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4.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5.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8.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9.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0.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1.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12.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3.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harts/chart65.xml" ContentType="application/vnd.openxmlformats-officedocument.drawingml.chart+xml"/>
  <Override PartName="/xl/charts/chart66.xml" ContentType="application/vnd.openxmlformats-officedocument.drawingml.chart+xml"/>
  <Override PartName="/xl/drawings/drawing14.xml" ContentType="application/vnd.openxmlformats-officedocument.drawing+xml"/>
  <Override PartName="/xl/charts/chart67.xml" ContentType="application/vnd.openxmlformats-officedocument.drawingml.chart+xml"/>
  <Override PartName="/xl/drawings/drawing15.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16.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17.xml" ContentType="application/vnd.openxmlformats-officedocument.drawing+xml"/>
  <Override PartName="/xl/ctrlProps/ctrlProp186.xml" ContentType="application/vnd.ms-excel.controlproperties+xml"/>
  <Override PartName="/xl/comments1.xml" ContentType="application/vnd.openxmlformats-officedocument.spreadsheetml.comments+xml"/>
  <Override PartName="/xl/drawings/drawing18.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codeName="{8C4F1C90-05EB-6A55-5F09-09C24B55AC0B}"/>
  <workbookPr codeName="ThisWorkbook" hidePivotFieldList="1"/>
  <bookViews>
    <workbookView xWindow="0" yWindow="300" windowWidth="21840" windowHeight="12195" tabRatio="954"/>
  </bookViews>
  <sheets>
    <sheet name="Cover" sheetId="53" r:id="rId1"/>
    <sheet name="Introduction" sheetId="44" state="hidden" r:id="rId2"/>
    <sheet name="General info" sheetId="28" r:id="rId3"/>
    <sheet name="WSS Profile" sheetId="1" r:id="rId4"/>
    <sheet name="Finance info" sheetId="5" state="hidden" r:id="rId5"/>
    <sheet name="Indicator info" sheetId="51" state="hidden" r:id="rId6"/>
    <sheet name="Perf assessment" sheetId="33" r:id="rId7"/>
    <sheet name="WS Plan" sheetId="3" r:id="rId8"/>
    <sheet name="WW Plan" sheetId="9" state="hidden" r:id="rId9"/>
    <sheet name="SW Plan" sheetId="11" state="hidden" r:id="rId10"/>
    <sheet name="Summary of PIP" sheetId="48" state="hidden" r:id="rId11"/>
    <sheet name="Financial Projections" sheetId="29" state="hidden" r:id="rId12"/>
    <sheet name="Action Plan finance" sheetId="32" state="hidden" r:id="rId13"/>
    <sheet name="Chart1" sheetId="52" state="hidden" r:id="rId14"/>
    <sheet name="Financing Plan" sheetId="21" state="hidden" r:id="rId15"/>
    <sheet name="PIP options" sheetId="41" state="hidden" r:id="rId16"/>
    <sheet name="Annexure" sheetId="37" state="hidden" r:id="rId17"/>
    <sheet name="Dashboard" sheetId="49" state="hidden" r:id="rId18"/>
    <sheet name="Population" sheetId="2" state="hidden" r:id="rId19"/>
    <sheet name="WS calcu" sheetId="4" state="hidden" r:id="rId20"/>
    <sheet name="MSW calcu" sheetId="15" state="hidden" r:id="rId21"/>
    <sheet name="WW calcu" sheetId="14" state="hidden" r:id="rId22"/>
    <sheet name="PIP finance" sheetId="16" state="hidden" r:id="rId23"/>
    <sheet name="Activation list" sheetId="36" state="hidden" r:id="rId24"/>
  </sheets>
  <externalReferences>
    <externalReference r:id="rId25"/>
    <externalReference r:id="rId26"/>
    <externalReference r:id="rId27"/>
  </externalReferences>
  <definedNames>
    <definedName name="_AggSTPFuncCap">'WSS Profile'!$G$243</definedName>
    <definedName name="_AggSTPinstallCap">'WSS Profile'!$G$242</definedName>
    <definedName name="_AGRNonResiProp">'WSS Profile'!$G$31</definedName>
    <definedName name="_AGRResiProp">'WSS Profile'!$F$31</definedName>
    <definedName name="_AreaInhabited">'WSS Profile'!$G$37</definedName>
    <definedName name="_AreaJuris">'WSS Profile'!$G$36</definedName>
    <definedName name="_AvgDailySupplyHrs">'WSS Profile'!$G$152</definedName>
    <definedName name="_AvgMonthlySupplyDays">'WSS Profile'!$G$153</definedName>
    <definedName name="_AvgWaterBenefitTaxPerConxn">'WSS Profile'!$G$214</definedName>
    <definedName name="_ClosedDrainsAreaCoverage">'WSS Profile'!$G$337</definedName>
    <definedName name="_ClosedDrainsLen">'WSS Profile'!$G$338</definedName>
    <definedName name="_CommunToiletHHperSeatperDayNonSlum">'WSS Profile'!$F$297</definedName>
    <definedName name="_CommunToiletHHperSeatperDaySlum">'WSS Profile'!$G$297</definedName>
    <definedName name="_CommunToiletonSepticDisposalNonSlum">'WSS Profile'!$F$300</definedName>
    <definedName name="_CommunToiletonSepticDisposalSlum">'WSS Profile'!$G$300</definedName>
    <definedName name="_CommunToiletonSewerDisposalNonSlum">'WSS Profile'!$F$299</definedName>
    <definedName name="_CommunToiletonSewerDisposalSlum">'WSS Profile'!$G$299</definedName>
    <definedName name="_CommunToiletonUnsafeDisposalNonSlum">'WSS Profile'!$F$301</definedName>
    <definedName name="_CommunToiletonUnsafeDisposalSlum">'WSS Profile'!$G$301</definedName>
    <definedName name="_CommunToiletSeatsHHNonSlum">'WSS Profile'!$F$295</definedName>
    <definedName name="_CommunToiletSeatsHHSlum">'WSS Profile'!$G$295</definedName>
    <definedName name="_CommunToiletSeatsNonFuncHHNonSlum">'WSS Profile'!$F$296</definedName>
    <definedName name="_CommunToiletSeatsNonFuncHHSlum">'WSS Profile'!$G$296</definedName>
    <definedName name="_CommunToiletsHHNonSlum">'WSS Profile'!$F$294</definedName>
    <definedName name="_CommunToiletsHHSlum">'WSS Profile'!$G$294</definedName>
    <definedName name="_Conxns.50Comm_Inst">'WSS Profile'!$F$102</definedName>
    <definedName name="_Conxns.50DomesticNonSlum">'WSS Profile'!$F$92</definedName>
    <definedName name="_Conxns.50DomesticSlum">'WSS Profile'!$F$97</definedName>
    <definedName name="_Conxns.50Other">'WSS Profile'!$F$107</definedName>
    <definedName name="_Conxns.75Comm_Inst">'WSS Profile'!$F$103</definedName>
    <definedName name="_Conxns.75DomesticNonSlum">'WSS Profile'!$F$93</definedName>
    <definedName name="_Conxns.75DomesticSlum">'WSS Profile'!$F$98</definedName>
    <definedName name="_Conxns.75Other">'WSS Profile'!$F$108</definedName>
    <definedName name="_Conxns1.0Comm_Inst">'WSS Profile'!$F$104</definedName>
    <definedName name="_Conxns1.0DomesticNonSlum">'WSS Profile'!$F$94</definedName>
    <definedName name="_Conxns1.0DomesticSlum">'WSS Profile'!$F$99</definedName>
    <definedName name="_Conxns1.0Other">'WSS Profile'!$F$109</definedName>
    <definedName name="_Conxns1.0plusComm_Inst">'WSS Profile'!$F$105</definedName>
    <definedName name="_Conxns1.0plusDomesticNonSlum">'WSS Profile'!$F$95</definedName>
    <definedName name="_Conxns1.0plusDomesticSlum">'WSS Profile'!$F$100</definedName>
    <definedName name="_Conxns1.0plusOther">'WSS Profile'!$F$110</definedName>
    <definedName name="_ConxnsHH.50DomesticNonSlum">'WSS Profile'!$G$92</definedName>
    <definedName name="_ConxnsHH.50DomesticSlum">'WSS Profile'!$G$97</definedName>
    <definedName name="_ConxnsHH.75DomesticNonSlum">'WSS Profile'!$G$93</definedName>
    <definedName name="_ConxnsHH.75DomesticSlum">'WSS Profile'!$G$98</definedName>
    <definedName name="_ConxnsHH1.0DomesticNonSlum">'WSS Profile'!$G$94</definedName>
    <definedName name="_ConxnsHH1.0DomesticSlum">'WSS Profile'!$G$99</definedName>
    <definedName name="_ConxnsHH1.0plusDomesticNonSlum">'WSS Profile'!$G$95</definedName>
    <definedName name="_ConxnsHH1.0plusDomesticSlum">'WSS Profile'!$G$100</definedName>
    <definedName name="_ConxnsMetered.50CommInst">'WSS Profile'!$F$130</definedName>
    <definedName name="_ConxnsMetered.50DomesticNonSlum">'WSS Profile'!$F$120</definedName>
    <definedName name="_ConxnsMetered.50DomesticSlum">'WSS Profile'!$F$125</definedName>
    <definedName name="_ConxnsMetered.50Others">'WSS Profile'!$F$135</definedName>
    <definedName name="_ConxnsMetered.75CommInst">'WSS Profile'!$F$131</definedName>
    <definedName name="_ConxnsMetered.75DomesticNonSlum">'WSS Profile'!$F$121</definedName>
    <definedName name="_ConxnsMetered.75DomesticSlum">'WSS Profile'!$F$126</definedName>
    <definedName name="_ConxnsMetered.75Others">'WSS Profile'!$F$136</definedName>
    <definedName name="_ConxnsMetered1.0CommInst">'WSS Profile'!$F$132</definedName>
    <definedName name="_ConxnsMetered1.0DomesticNonSlum">'WSS Profile'!$F$122</definedName>
    <definedName name="_ConxnsMetered1.0DomesticSlum">'WSS Profile'!$F$127</definedName>
    <definedName name="_ConxnsMetered1.0Others">'WSS Profile'!$F$137</definedName>
    <definedName name="_ConxnsMetered1.0plusCommInst">'WSS Profile'!$F$133</definedName>
    <definedName name="_ConxnsMetered1.0plusDomesticNonSlum">'WSS Profile'!$F$123</definedName>
    <definedName name="_ConxnsMetered1.0plusDomesticSlum">'WSS Profile'!$F$128</definedName>
    <definedName name="_ConxnsMetered1.0plusOthers">'WSS Profile'!$F$138</definedName>
    <definedName name="_ConxnsMeteredFree">'WSS Profile'!$F$141</definedName>
    <definedName name="_ConxnsMeteredFunc.50CommInst">'WSS Profile'!$G$130</definedName>
    <definedName name="_ConxnsMeteredFunc.50DomesticNonSlum">'WSS Profile'!$G$120</definedName>
    <definedName name="_ConxnsMeteredFunc.50DomesticSlum">'WSS Profile'!$G$125</definedName>
    <definedName name="_ConxnsMeteredFunc.50Others">'WSS Profile'!$G$135</definedName>
    <definedName name="_ConxnsMeteredFunc.75CommInst">'WSS Profile'!$G$131</definedName>
    <definedName name="_ConxnsMeteredFunc.75DomesticNonSlum">'WSS Profile'!$G$121</definedName>
    <definedName name="_ConxnsMeteredFunc.75DomesticSlum">'WSS Profile'!$G$126</definedName>
    <definedName name="_ConxnsMeteredFunc.75Others">'WSS Profile'!$G$136</definedName>
    <definedName name="_ConxnsMeteredFunc1.0CommInst">'WSS Profile'!$G$132</definedName>
    <definedName name="_ConxnsMeteredFunc1.0DomesticNonSlum">'WSS Profile'!$G$122</definedName>
    <definedName name="_ConxnsMeteredFunc1.0DomesticSlum">'WSS Profile'!$G$127</definedName>
    <definedName name="_ConxnsMeteredFunc1.0Others">'WSS Profile'!$G$137</definedName>
    <definedName name="_ConxnsMeteredFunc1.0plusCommInst">'WSS Profile'!$G$133</definedName>
    <definedName name="_ConxnsMeteredFunc1.0plusDomesticNonSlum">'WSS Profile'!$G$123</definedName>
    <definedName name="_ConxnsMeteredFunc1.0plusDomesticSlum">'WSS Profile'!$G$128</definedName>
    <definedName name="_ConxnsMeteredFunc1.0plusOthers">'WSS Profile'!$G$138</definedName>
    <definedName name="_ConxnsMeteredFuncFree">'WSS Profile'!$G$141</definedName>
    <definedName name="_ConxnsMeteredFuncGroupSlums">'WSS Profile'!$G$140</definedName>
    <definedName name="_ConxnsMeteredGroupSlums">'WSS Profile'!$F$140</definedName>
    <definedName name="_ConxnsMiscFree">'WSS Profile'!$F$113</definedName>
    <definedName name="_ConxnsMiscGrpSlum">'WSS Profile'!$F$112</definedName>
    <definedName name="_ConxnsMiscHHGrpSlum">'WSS Profile'!$G$112</definedName>
    <definedName name="_ConxnsMiscHHPublic">'WSS Profile'!$G$114</definedName>
    <definedName name="_ConxnsMiscPublic">'WSS Profile'!$F$114</definedName>
    <definedName name="_ConxnsTotal">'WSS Profile'!$F$115</definedName>
    <definedName name="_ConxnsTotalHH">'WSS Profile'!$G$115</definedName>
    <definedName name="_DistribNtwrkCoverage">'WSS Profile'!$G$86</definedName>
    <definedName name="_DistribNtwrkCoverageSlum">'WSS Profile'!$G$87</definedName>
    <definedName name="_DistribNtwrkLen">'WSS Profile'!$G$85</definedName>
    <definedName name="_EffluentSullageTreatedWaterEstpc">'WSS Profile'!$G$283</definedName>
    <definedName name="_EffluentSullageTreatmentFuncCap">'WSS Profile'!$G$282</definedName>
    <definedName name="_EffluentSullageTreatmentInstalledCap">'WSS Profile'!$G$281</definedName>
    <definedName name="_EffluentSullageTreatmentWaterReused">'WSS Profile'!$G$284</definedName>
    <definedName name="_ESRtotalCap">'WSS Profile'!$G$81</definedName>
    <definedName name="_xlnm._FilterDatabase" localSheetId="12" hidden="1">'Action Plan finance'!$C$55:$I$170</definedName>
    <definedName name="_xlnm._FilterDatabase" localSheetId="23" hidden="1">'Activation list'!$W$2:$W$119</definedName>
    <definedName name="_xlnm._FilterDatabase" localSheetId="22" hidden="1">'PIP finance'!$A$448:$S$582</definedName>
    <definedName name="_xlnm._FilterDatabase" localSheetId="9" hidden="1">'SW Plan'!$D$1:$D$254</definedName>
    <definedName name="_xlnm._FilterDatabase" localSheetId="7" hidden="1">'WS Plan'!$D$1:$D$298</definedName>
    <definedName name="_xlnm._FilterDatabase" localSheetId="3">'WSS Profile'!$G$1:$G$458</definedName>
    <definedName name="_xlnm._FilterDatabase" localSheetId="8" hidden="1">'WW Plan'!$D$1:$D$439</definedName>
    <definedName name="_FloodingFreq">'WSS Profile'!$G$343</definedName>
    <definedName name="_FloodingPoints">'WSS Profile'!$G$342</definedName>
    <definedName name="_FSMByproductpc">'WSS Profile'!$G$276</definedName>
    <definedName name="_FSMbyproductQtyReused">'WSS Profile'!$G$277</definedName>
    <definedName name="_FSMFuncCap">'WSS Profile'!$G$275</definedName>
    <definedName name="_FSMinstalledCap">'WSS Profile'!$G$274</definedName>
    <definedName name="_HHCensus2001">'WSS Profile'!$F$20</definedName>
    <definedName name="_HHCensus2011">'WSS Profile'!$G$20</definedName>
    <definedName name="_HHConxnsUnauthorised">'WSS Profile'!$G$147</definedName>
    <definedName name="_HHConxnsUnauthorisedSlums">'WSS Profile'!$G$148</definedName>
    <definedName name="_HHILNonSlum">'WSS Profile'!$F$290</definedName>
    <definedName name="_HHILSlum">'WSS Profile'!$G$290</definedName>
    <definedName name="_HHSlumCensus2001">'WSS Profile'!$F$21</definedName>
    <definedName name="_HHSlumCensus2011">'WSS Profile'!$G$21</definedName>
    <definedName name="_isWaterTaxLinked2PropTax">'WSS Profile'!$G$168</definedName>
    <definedName name="_ModeCityWWDisposal">'WSS Profile'!$F$219</definedName>
    <definedName name="_NewConxnChrg.50CommInst">'WSS Profile'!$F$190</definedName>
    <definedName name="_NewConxnChrg.50DomesticNonSlum">'WSS Profile'!$F$180</definedName>
    <definedName name="_NewConxnChrg.50DomesticSlum">'WSS Profile'!$F$185</definedName>
    <definedName name="_NewConxnChrg.50Other">'WSS Profile'!$F$195</definedName>
    <definedName name="_NewConxnChrg.75CommInst">'WSS Profile'!$F$191</definedName>
    <definedName name="_NewConxnChrg.75DomesticNonSlum">'WSS Profile'!$F$181</definedName>
    <definedName name="_NewConxnChrg.75DomesticSlum">'WSS Profile'!$F$186</definedName>
    <definedName name="_NewConxnChrg.75Other">'WSS Profile'!$F$196</definedName>
    <definedName name="_NewConxnChrg1.0CommInst">'WSS Profile'!$F$192</definedName>
    <definedName name="_NewConxnChrg1.0DomesticNonSlum">'WSS Profile'!$F$182</definedName>
    <definedName name="_NewConxnChrg1.0DomesticSlum">'WSS Profile'!$F$187</definedName>
    <definedName name="_NewConxnChrg1.0Other">'WSS Profile'!$F$197</definedName>
    <definedName name="_NewConxnChrg1.0plusCommInst">'WSS Profile'!$F$193</definedName>
    <definedName name="_NewConxnChrg1.0plusDomesticNonSlum">'WSS Profile'!$F$183</definedName>
    <definedName name="_NewConxnChrg1.0plusDomesticSlum">'WSS Profile'!$F$188</definedName>
    <definedName name="_NewConxnChrg1.0plusOther">'WSS Profile'!$F$198</definedName>
    <definedName name="_NewConxnChrgFreeConxn">'WSS Profile'!$F$201</definedName>
    <definedName name="_NewConxnChrgSlumGrpCnxn">'WSS Profile'!$F$200</definedName>
    <definedName name="_NewConxnChrgStandPosts">'WSS Profile'!$F$202</definedName>
    <definedName name="_NonResiProp">'WSS Profile'!$G$30</definedName>
    <definedName name="_NonSewerHHNonSlum">'WSS Profile'!$F$259</definedName>
    <definedName name="_NonSewerHHSlum">'WSS Profile'!$G$259</definedName>
    <definedName name="_onSiteOutputSeptage">'WSS Profile'!$G$246</definedName>
    <definedName name="_onSiteOutputSullage">'WSS Profile'!$G$245</definedName>
    <definedName name="_OpenDrainsAreaCoverage">'WSS Profile'!$G$335</definedName>
    <definedName name="_OpenDrainsLen">'WSS Profile'!$G$336</definedName>
    <definedName name="_pcTreatedWaterDerivedfromSTP">'WSS Profile'!$G$248</definedName>
    <definedName name="_PitLatrineDrainsHHNonSlum">'WSS Profile'!$F$258</definedName>
    <definedName name="_PitLatrineDrainsHHSlum">'WSS Profile'!$G$258</definedName>
    <definedName name="_PopCensus2001">'WSS Profile'!$F$18</definedName>
    <definedName name="_PopCensus2011">'WSS Profile'!$G$18</definedName>
    <definedName name="_PopGR20012011">'WSS Profile'!$G$25</definedName>
    <definedName name="_PopGR20112021Est">'WSS Profile'!$G$26</definedName>
    <definedName name="_PopSlumCensus2001">'WSS Profile'!$F$19</definedName>
    <definedName name="_PopSlumCensus2011">'WSS Profile'!$G$19</definedName>
    <definedName name="_PublicToiletonSepticDisposal">'WSS Profile'!$F$311</definedName>
    <definedName name="_PublicToiletonSewerDisposal">'WSS Profile'!$F$310</definedName>
    <definedName name="_PublicToiletonUnsafeDisposal">'WSS Profile'!$F$312</definedName>
    <definedName name="_PublicToilets">'WSS Profile'!$F$305</definedName>
    <definedName name="_PublicToiletSeats">'WSS Profile'!$F$306</definedName>
    <definedName name="_PublicToiletSeatsNonFunc">'WSS Profile'!$F$307</definedName>
    <definedName name="_PublicToiletsUserperSeatperDayEst">'WSS Profile'!$F$308</definedName>
    <definedName name="_PvtEmptierTruckDailyTrips">'WSS Profile'!$G$270</definedName>
    <definedName name="_PvtEmptierTrucks">'WSS Profile'!$G$268</definedName>
    <definedName name="_PvtEmptierTrucksCap">'WSS Profile'!$G$269</definedName>
    <definedName name="_PvtemptiesSepticTank">'WSS Profile'!$G$267</definedName>
    <definedName name="_QtyTreatedSewageReused">'WSS Profile'!$G$249</definedName>
    <definedName name="_ResiProp">'WSS Profile'!$F$30</definedName>
    <definedName name="_SepticDrainsHHNonSlum">'WSS Profile'!$F$257</definedName>
    <definedName name="_SepticDrainsHHSlum">'WSS Profile'!$G$257</definedName>
    <definedName name="_SepticSoakpitHHNonSlum">'WSS Profile'!$F$256</definedName>
    <definedName name="_SepticSoakpitHHSlum">'WSS Profile'!$G$256</definedName>
    <definedName name="_SewageGen" localSheetId="0">'[1]WSS info'!$G$226</definedName>
    <definedName name="_SewageGen">'WSS Profile'!$G$226</definedName>
    <definedName name="_SewerArea">'WSS Profile'!$G$228</definedName>
    <definedName name="_SewerConxnDomNonSlum">'WSS Profile'!$E$234</definedName>
    <definedName name="_SewerConxnDomSlum">'WSS Profile'!$E$235</definedName>
    <definedName name="_SewerConxnHHDomNonSlum">'WSS Profile'!$F$234</definedName>
    <definedName name="_SewerConxnHHDomSlum">'WSS Profile'!$F$235</definedName>
    <definedName name="_SewerConxnHHILDomNonSlum" localSheetId="0">'[1]WSS info'!$G$234</definedName>
    <definedName name="_SewerConxnHHILDomNonSlum" localSheetId="5">'[2]WSS info'!$G$234</definedName>
    <definedName name="_SewerConxnHHILDomNonSlum">'WSS Profile'!$G$234</definedName>
    <definedName name="_SewerConxnHHILDomSlum">'WSS Profile'!$G$235</definedName>
    <definedName name="_SewerConxnHHILTot">'WSS Profile'!$G$237</definedName>
    <definedName name="_SewerConxnHHTot">'WSS Profile'!$F$237</definedName>
    <definedName name="_SewerConxnNonResi">'WSS Profile'!$E$236</definedName>
    <definedName name="_SewerConxnTot">'WSS Profile'!$E$237</definedName>
    <definedName name="_SewerConxnUnauthorEst">'WSS Profile'!$E$238</definedName>
    <definedName name="_SeweredSlums">'WSS Profile'!$G$229</definedName>
    <definedName name="_SewerLen">'WSS Profile'!$G$227</definedName>
    <definedName name="_SewerLossesEst">'WSS Profile'!$G$230</definedName>
    <definedName name="_Slums">'WSS Profile'!$G$39</definedName>
    <definedName name="_SrcBulkRawAlloc">'WSS Profile'!$F$47</definedName>
    <definedName name="_SrcBulkRawDrawal">'WSS Profile'!$G$47</definedName>
    <definedName name="_SrcBulkTreatedAlloc">'WSS Profile'!$F$48</definedName>
    <definedName name="_SrcBulkTreatedDrawal">'WSS Profile'!$G$48</definedName>
    <definedName name="_SrcGroundAlloc">'WSS Profile'!$F$49</definedName>
    <definedName name="_SrcGroundDrawal">'WSS Profile'!$G$49</definedName>
    <definedName name="_SrcNonULBDrawal">'WSS Profile'!$F$51</definedName>
    <definedName name="_SrcSurfaceOwnAlloc">'WSS Profile'!$F$46</definedName>
    <definedName name="_SrcSurfaceOwnDrawal">'WSS Profile'!$G$46</definedName>
    <definedName name="_SWHasLandfillSite">'WSS Profile'!$G$445</definedName>
    <definedName name="_SWHasLandfillSiteRemainingCap">'WSS Profile'!$G$447</definedName>
    <definedName name="_SWLandfillSiteInstalCap">'WSS Profile'!$G$446</definedName>
    <definedName name="_SWM3wCap">'WSS Profile'!$G$413</definedName>
    <definedName name="_SWM3wNum">'WSS Profile'!$F$413</definedName>
    <definedName name="_SWM3wTrips">'WSS Profile'!$G$422</definedName>
    <definedName name="_SWMComplaintRcvdMonthly">'WSS Profile'!$G$406</definedName>
    <definedName name="_SWMComplaintResolvedMonthly">'WSS Profile'!$G$407</definedName>
    <definedName name="_SWMDumperCap">'WSS Profile'!$G$417</definedName>
    <definedName name="_SWMDumperNum">'WSS Profile'!$F$417</definedName>
    <definedName name="_SWMDumperTrips">'WSS Profile'!$G$426</definedName>
    <definedName name="_SWMDumpsiteDisposed">'WSS Profile'!$G$441</definedName>
    <definedName name="_SWMFlatRate">'WSS Profile'!$G$452</definedName>
    <definedName name="_SWMFlatRateBasis">'WSS Profile'!$F$453</definedName>
    <definedName name="_SWMFreqCleanDrain">'WSS Profile'!$G$401</definedName>
    <definedName name="_SWMFreqEmptySecBin">'WSS Profile'!$G$400</definedName>
    <definedName name="_SWMFreqSweepStreet">'WSS Profile'!$G$402</definedName>
    <definedName name="_SWMGeneratedMonthlyEst">'WSS Profile'!$G$372</definedName>
    <definedName name="_SWMGeneratedPerCapitaGrowthRate">'WSS Profile'!$G$374</definedName>
    <definedName name="_SWMGeneratedPerCapitaperday">'WSS Profile'!$G$373</definedName>
    <definedName name="_SWMHasFlatRate">'WSS Profile'!$F$452</definedName>
    <definedName name="_SWMHasPropTax_pc">'WSS Profile'!$F$454</definedName>
    <definedName name="_SWMMiniLorCap">'WSS Profile'!$G$416</definedName>
    <definedName name="_SWMMiniLorNum">'WSS Profile'!$F$416</definedName>
    <definedName name="_SWMMiniLorTrips">'WSS Profile'!$G$425</definedName>
    <definedName name="_SWMPriColxnD2DEstblshmts">'WSS Profile'!$G$382</definedName>
    <definedName name="_SWMPriColxnD2DHHNonSlum">'WSS Profile'!$G$380</definedName>
    <definedName name="_SWMPriColxnD2DHHSlum">'WSS Profile'!$G$381</definedName>
    <definedName name="_SWMProcessed2ByprodPercent">'WSS Profile'!$G$439</definedName>
    <definedName name="_SWMProcessingFuncCap">'WSS Profile'!$G$438</definedName>
    <definedName name="_SWMProcessingInstalCapMTperDay">'WSS Profile'!$G$437</definedName>
    <definedName name="_SWMPropTax_pc">'WSS Profile'!$G$454</definedName>
    <definedName name="_SWMQtyRcvdSeg4Processing">'WSS Profile'!$G$433</definedName>
    <definedName name="_SWMrecyclerTakeaway">'WSS Profile'!$G$440</definedName>
    <definedName name="_SWMsecondaryColxnBins">'WSS Profile'!$G$393</definedName>
    <definedName name="_SWMsecondaryColxnBinsAggCapacity">'WSS Profile'!$G$394</definedName>
    <definedName name="_SWMsecondaryColxnHH">'WSS Profile'!$G$391</definedName>
    <definedName name="_SWMsegregatingEstb">'WSS Profile'!$G$387</definedName>
    <definedName name="_SWMsegregatingHH">'WSS Profile'!$G$386</definedName>
    <definedName name="_SWMslumHHsecondaryColxn">'WSS Profile'!$G$392</definedName>
    <definedName name="_SWMTipperCap">'WSS Profile'!$G$414</definedName>
    <definedName name="_SWMTipperNum">'WSS Profile'!$F$414</definedName>
    <definedName name="_SWMTipperTrips">'WSS Profile'!$G$423</definedName>
    <definedName name="_SWMTrailerCap">'WSS Profile'!$G$415</definedName>
    <definedName name="_SWMTrailerNum">'WSS Profile'!$F$415</definedName>
    <definedName name="_SWMTrailerTrips">'WSS Profile'!$G$424</definedName>
    <definedName name="_SWMTransferStns">'WSS Profile'!$G$395</definedName>
    <definedName name="_SWMTransferStnsCap">'WSS Profile'!$G$396</definedName>
    <definedName name="_SWMTruckCap">'WSS Profile'!$G$418</definedName>
    <definedName name="_SWMTruckNum">'WSS Profile'!$F$418</definedName>
    <definedName name="_SWMTruckTrips">'WSS Profile'!$G$427</definedName>
    <definedName name="_TariffAnnual.50CommInst">'WSS Profile'!$G$190</definedName>
    <definedName name="_TariffAnnual.50DomesticNonSlum">'WSS Profile'!$G$180</definedName>
    <definedName name="_TariffAnnual.50DomesticSlum">'WSS Profile'!$G$185</definedName>
    <definedName name="_TariffAnnual.50Other">'WSS Profile'!$G$195</definedName>
    <definedName name="_TariffAnnual.75CommInst">'WSS Profile'!$G$191</definedName>
    <definedName name="_TariffAnnual.75DomesticNonSlum">'WSS Profile'!$G$181</definedName>
    <definedName name="_TariffAnnual.75DomesticSlum">'WSS Profile'!$G$186</definedName>
    <definedName name="_TariffAnnual.75Other">'WSS Profile'!$G$196</definedName>
    <definedName name="_TariffAnnual1.0CommInst">'WSS Profile'!$G$192</definedName>
    <definedName name="_TariffAnnual1.0DomesticNonSlum">'WSS Profile'!$G$182</definedName>
    <definedName name="_TariffAnnual1.0DomesticSlum">'WSS Profile'!$G$187</definedName>
    <definedName name="_TariffAnnual1.0Other">'WSS Profile'!$G$197</definedName>
    <definedName name="_TariffAnnual1.0plusCommInst">'WSS Profile'!$G$193</definedName>
    <definedName name="_TariffAnnual1.0plusDomesticNonSlum">'WSS Profile'!$G$183</definedName>
    <definedName name="_TariffAnnual1.0plusDomesticSlum">'WSS Profile'!$G$188</definedName>
    <definedName name="_TariffAnnual1.0plusOther">'WSS Profile'!$G$198</definedName>
    <definedName name="_TariffAnnualFreeCnxn">'WSS Profile'!$G$201</definedName>
    <definedName name="_TariffAnnualSlumGrpCnxn">'WSS Profile'!$G$200</definedName>
    <definedName name="_TariffAnnualSlumGrpConxn">'WSS Profile'!$G$200</definedName>
    <definedName name="_TariffAnnualStandPosts">'WSS Profile'!$G$202</definedName>
    <definedName name="_TariffRsPerKLCommInst">'WSS Profile'!$G$208</definedName>
    <definedName name="_TariffRsPerKLDomesticNonSlum">'WSS Profile'!$G$206</definedName>
    <definedName name="_TariffRsPerKLDomesticSlum">'WSS Profile'!$G$207</definedName>
    <definedName name="_TariffRsPerKLGrpConxn">'WSS Profile'!$G$210</definedName>
    <definedName name="_TariffRsPerKLOther">'WSS Profile'!$G$209</definedName>
    <definedName name="_TotTaxedNonResiProp">'WSS Profile'!$G$32</definedName>
    <definedName name="_TotTaxedResiProp">'WSS Profile'!$F$32</definedName>
    <definedName name="_TransmissionLossEst">'WSS Profile'!$G$56</definedName>
    <definedName name="_TransmissionNtwrkLen">'WSS Profile'!$G$55</definedName>
    <definedName name="_TreatedGrndWater">'WSS Profile'!$F$67</definedName>
    <definedName name="_TreatedSeptageSamplesPassedMonthly">'WSS Profile'!$G$324</definedName>
    <definedName name="_TreatedSeptageSamplesTestedMonthly">'WSS Profile'!$G$323</definedName>
    <definedName name="_TreatedTransmissionLossEst">'WSS Profile'!$G$76</definedName>
    <definedName name="_TreatedTransmissionNtwrkLen">'WSS Profile'!$G$75</definedName>
    <definedName name="_TreatedWWsamplesPassedMonthly">'WSS Profile'!$G$319</definedName>
    <definedName name="_TreatedWWsamplesTestedMonthly">'WSS Profile'!$G$318</definedName>
    <definedName name="_ULBemptierTruckDailyTrips" localSheetId="0">'[1]WSS info'!$F$270</definedName>
    <definedName name="_ULBemptierTruckDailyTrips" localSheetId="5">'[2]WSS info'!$F$270</definedName>
    <definedName name="_ULBemptierTruckDailyTrips">'WSS Profile'!$F$270</definedName>
    <definedName name="_ULBemptierTrucks">'WSS Profile'!$F$268</definedName>
    <definedName name="_ULBemptierTrucksCap">'WSS Profile'!$F$269</definedName>
    <definedName name="_ULBemptiesSepticTank">'WSS Profile'!$F$267</definedName>
    <definedName name="_Wards">'WSS Profile'!$G$38</definedName>
    <definedName name="_WaterBenefitTax">'WSS Profile'!$G$171</definedName>
    <definedName name="_WaterComplaintsMonthly">'WSS Profile'!$G$162</definedName>
    <definedName name="_WaterComplaintsResolvedMonthly">'WSS Profile'!$G$163</definedName>
    <definedName name="_WaterFlatUserCharges">'WSS Profile'!$G$169</definedName>
    <definedName name="_WaterSamplesCityMonthly">'WSS Profile'!$G$157</definedName>
    <definedName name="_WaterSamplesCityMonthlyPass">'WSS Profile'!$G$158</definedName>
    <definedName name="_WaterSupplyDistribLosses">'WSS Profile'!$G$146</definedName>
    <definedName name="_WaterTaxPropTaxPercent">'WSS Profile'!$G$175</definedName>
    <definedName name="_WaterVolumetricCharges">'WSS Profile'!$G$170</definedName>
    <definedName name="_WTPfuncCap">'WSS Profile'!$G$62</definedName>
    <definedName name="_WTPinstalledCap">'WSS Profile'!$G$61</definedName>
    <definedName name="_WTPLossEst">'WSS Profile'!$G$63</definedName>
    <definedName name="_WWChargesPropertyTax">'WSS Profile'!$F$351</definedName>
    <definedName name="_WWChargesPropertyTaxTariff">'WSS Profile'!$G$351</definedName>
    <definedName name="_WWChargesSewerBenefitTax">'WSS Profile'!$F$357</definedName>
    <definedName name="_WWChargesSewerBenefitTaxTariff">'WSS Profile'!$G$357</definedName>
    <definedName name="_WWComplaintsMonthly">'WSS Profile'!$G$328</definedName>
    <definedName name="_WWComplaintsResolvedMonthly">'WSS Profile'!$G$329</definedName>
    <definedName name="_WWFlatRateBasis">'WSS Profile'!$F$350</definedName>
    <definedName name="_WWFlatRateTariff">'WSS Profile'!$G$349</definedName>
    <definedName name="_WWFlatRateYN">'WSS Profile'!$F$349</definedName>
    <definedName name="_WWNewSewerConxnChargDomNonSlum">'WSS Profile'!$G$363</definedName>
    <definedName name="_WWNewSewerConxnChargDomSlum">'WSS Profile'!$G$364</definedName>
    <definedName name="_WWNewSewerConxnChargNonResi">'WSS Profile'!$G$365</definedName>
    <definedName name="_WWSepticEmptyChrgPvt">'WSS Profile'!$G$359</definedName>
    <definedName name="_WWSepticEmptyChrgULB" localSheetId="0">'[1]WSS info'!$G$355</definedName>
    <definedName name="_WWSepticEmptyChrgULB" localSheetId="5">'[2]WSS info'!$G$355</definedName>
    <definedName name="_WWSepticEmptyChrgULB">'Financing Plan'!$N$211</definedName>
    <definedName name="_Year">'General info'!$E$20</definedName>
    <definedName name="ActionPlanGanttSelection">'Action Plan finance'!$AH$52</definedName>
    <definedName name="ActionsFSM">#REF!</definedName>
    <definedName name="ActionsPrioritised">'Perf assessment'!$U$22:$U$262</definedName>
    <definedName name="ActionsSW">'SW Plan'!$C$22:$H$252</definedName>
    <definedName name="ActionsWS">'WS Plan'!$C$22:$H$296</definedName>
    <definedName name="ActionsWW">'WW Plan'!$C$22:$H$436</definedName>
    <definedName name="ActivatedCounts" localSheetId="0">'[1]Activation list'!$AE$3:$AE$5</definedName>
    <definedName name="ActivatedCounts" localSheetId="5">'[2]Activation list'!$AE$3:$AE$5</definedName>
    <definedName name="ActivatedCounts">'Activation list'!$AE$3:$AE$5</definedName>
    <definedName name="BudgetFigType">'Finance info'!$E$15:$J$15</definedName>
    <definedName name="CapexSource" localSheetId="12">'Action Plan finance'!$V$56:$Y$172</definedName>
    <definedName name="ColourRange" localSheetId="10">'Summary of PIP'!$T1:$V1</definedName>
    <definedName name="ColumnActivateSW" localSheetId="9">'SW Plan'!$D$21:$E$252</definedName>
    <definedName name="ColumnActivateWS">'WS Plan'!$D$22:$E$296</definedName>
    <definedName name="ColumnActivateWW" localSheetId="8">'WW Plan'!$D$22:$E$436</definedName>
    <definedName name="CurrencyMultiplier">IF('General info'!$E$44="Million - Billion",10^6,10^5)</definedName>
    <definedName name="FundSources">'Action Plan finance'!$V$56:$Y$170</definedName>
    <definedName name="I._EQUAL_WEIGHTAGE">'PIP options'!$T$17</definedName>
    <definedName name="Inflation">'Financial Projections'!$F$15:$F$17</definedName>
    <definedName name="Inflation1">'Financial Projections'!$F$15</definedName>
    <definedName name="Inflation2">'Financial Projections'!$F$16</definedName>
    <definedName name="Inflation3">'Financial Projections'!$F$17</definedName>
    <definedName name="InputCells" localSheetId="3">'WSS Profile'!$E$234:$E$236,'WSS Profile'!$E$238,'WSS Profile'!$F$18:$G$21,'WSS Profile'!$F$30:$G$32,'WSS Profile'!$F$46:$G$49,'WSS Profile'!$F$51,'WSS Profile'!$F$67,'WSS Profile'!$F$92:$G$95,'WSS Profile'!$F$97:$G$100,'WSS Profile'!$F$102:$F$105,'WSS Profile'!$F$107:$F$110,'WSS Profile'!$F$113,'WSS Profile'!$F$120:$G$123,'WSS Profile'!$F$125:$G$128,'WSS Profile'!$F$130:$G$133,'WSS Profile'!$F$135:$G$138,'WSS Profile'!$F$140:$G$141,'WSS Profile'!$F$180:$G$183,'WSS Profile'!$F$185:$G$188,'WSS Profile'!$F$190:$G$193,'WSS Profile'!$F$195:$G$198,'WSS Profile'!$F$234:$G$235,'WSS Profile'!$F$255:$G$258,'WSS Profile'!$F$267:$G$270,'WSS Profile'!$F$294:$G$297,'WSS Profile'!$F$299:$G$300,'WSS Profile'!$F$305,'WSS Profile'!$F$306,'WSS Profile'!$F$307,'WSS Profile'!$F$308,'WSS Profile'!$F$310,'WSS Profile'!$F$311,'WSS Profile'!$F$349:$F$350,'WSS Profile'!$F$351:$G$357,'WSS Profile'!$F$413:$G$418,'WSS Profile'!$F$452:$F$453,'WSS Profile'!$G$26,'WSS Profile'!$G$36:$G$39,'WSS Profile'!$G$55:$G$56,'WSS Profile'!$G$61:$G$63,'WSS Profile'!$G$75:$G$76,'WSS Profile'!$G$81,'WSS Profile'!$G$85:$G$87,'WSS Profile'!$F$112:$G$112,'WSS Profile'!$F$114:$G$114,'WSS Profile'!$G$146:$G$148,'WSS Profile'!$G$152:$G$153,'WSS Profile'!$G$157:$G$158,'WSS Profile'!$G$162:$G$163,'WSS Profile'!$G$168:$G$171,'WSS Profile'!$G$175,'WSS Profile'!$F$200:$G$200,'WSS Profile'!$G$206:$G$210,'WSS Profile'!$G$214,'WSS Profile'!$G$227:$G$230,'WSS Profile'!$G$242:$G$249,'WSS Profile'!$G$274:$G$277,'WSS Profile'!$G$281:$G$284,'WSS Profile'!$G$318:$G$319,'WSS Profile'!$G$323:$G$324,'WSS Profile'!$G$328:$G$329,'WSS Profile'!$G$335:$G$338,'WSS Profile'!$G$342:$G$343,'WSS Profile'!$G$349,'WSS Profile'!$G$355:$G$359,'WSS Profile'!$G$363:$G$365,'WSS Profile'!$G$372,'WSS Profile'!$G$374,'WSS Profile'!$G$380:$G$382,'WSS Profile'!$G$386:$G$387,'WSS Profile'!$G$391:$G$396,'WSS Profile'!$G$400:$G$402,'WSS Profile'!$G$406:$G$407,'WSS Profile'!$G$422:$G$427,'WSS Profile'!$G$433,'WSS Profile'!$G$437:$G$440,'WSS Profile'!$G$445:$G$447,'WSS Profile'!$G$452,'WSS Profile'!$F$454:$G$454</definedName>
    <definedName name="InputCellsWSSNo" localSheetId="0">'[1]WSS info'!$G$168:$G$171,'[1]WSS info'!$G$445,'[1]WSS info'!$F$454,'[1]WSS info'!$F$452,'[1]WSS info'!$F$349,'[1]WSS info'!$F$351:$F$357,'[1]WSS info'!$F$267:$G$267</definedName>
    <definedName name="InputCellsWSSNo" localSheetId="5">'[2]WSS info'!$G$168:$G$171,'[2]WSS info'!$G$445,'[2]WSS info'!$F$454,'[2]WSS info'!$F$452,'[2]WSS info'!$F$349,'[2]WSS info'!$F$351:$F$357,'[2]WSS info'!$F$267:$G$267</definedName>
    <definedName name="InputCellsWSSNo">'WSS Profile'!$G$168:$G$171,'WSS Profile'!$G$445,'WSS Profile'!$F$454,'WSS Profile'!$F$452,'WSS Profile'!$F$349,'WSS Profile'!$F$351:$F$357,'WSS Profile'!$F$267:$G$267</definedName>
    <definedName name="InputCellsWSSNone" localSheetId="0">'[1]WSS info'!$F$350,'[1]WSS info'!$F$453</definedName>
    <definedName name="InputCellsWSSNone" localSheetId="5">'[2]WSS info'!$F$350,'[2]WSS info'!$F$453</definedName>
    <definedName name="InputCellsWSSNone">'WSS Profile'!$F$350,'WSS Profile'!$F$453</definedName>
    <definedName name="InputCustomizeWeightsCheckbox" localSheetId="15">'PIP options'!$Z$15</definedName>
    <definedName name="InputRangeFinInfo" localSheetId="4">'Finance info'!$E$18:$J$90</definedName>
    <definedName name="InputRangeFinPlan1WSS_OP_CP" localSheetId="14">'Financing Plan'!$E$83:$N$112</definedName>
    <definedName name="InputRangeFinPlan2EnhanceRev" localSheetId="14">'Financing Plan'!$F$128:$O$144</definedName>
    <definedName name="InputRangeFinPlan3TariffWS" localSheetId="14">'Financing Plan'!$F$153:$O$178</definedName>
    <definedName name="InputRangeFinPlan4TariffWW" localSheetId="14">'Financing Plan'!$F$187:$O$221</definedName>
    <definedName name="InputRangeFinPlan5TariffSW" localSheetId="14">'Financing Plan'!$F$228:$O$236</definedName>
    <definedName name="InputRangeFinPlan6Guidelines" localSheetId="14">'Financing Plan'!$AM$166:$AV$191</definedName>
    <definedName name="InputRangeFinPlanCheckBox" localSheetId="14">'Financing Plan'!$AY$144,'Financing Plan'!$AY$80</definedName>
    <definedName name="InputRangeGenInfo" localSheetId="2">'General info'!$E$20,'General info'!$E$24,'General info'!$E$25,'General info'!$E$30,'General info'!$E$31,'General info'!$E$32,'General info'!$E$33,'General info'!$E$34:$F$34,'General info'!$E$35,'General info'!$E$36,'General info'!$E$37,'General info'!$E$38,'General info'!$E$39,'General info'!$E$40,'General info'!$E$41,'General info'!$E$50:$H$56,'General info'!$C$62,'General info'!$E$62:$H$66,'General info'!$C$63,'General info'!$C$64,'General info'!$C$65,'General info'!$C$66</definedName>
    <definedName name="InputRangeIndicatorInfo" localSheetId="5">'Indicator info'!$G$15:$L$15,'Indicator info'!$G$17:$L$17,'Indicator info'!$G$19:$L$19,'Indicator info'!$G$21:$L$21,'Indicator info'!$G$23:$L$23,'Indicator info'!$G$25:$L$25,'Indicator info'!$G$27:$L$27,'Indicator info'!$G$29:$L$29,'Indicator info'!$G$31:$L$31,'Indicator info'!$G$33:$L$33,'Indicator info'!$G$36:$L$36,'Indicator info'!$G$38:$L$38,'Indicator info'!$G$40:$L$40,'Indicator info'!$G$42:$L$42,'Indicator info'!$G$44:$L$44,'Indicator info'!$G$46:$L$46,'Indicator info'!$G$48:$L$48,'Indicator info'!$G$50:$L$50,'Indicator info'!$G$52:$L$52,'Indicator info'!$G$54:$L$54,'Indicator info'!$G$56:$L$56,'Indicator info'!$G$58:$L$58,'Indicator info'!$G$60:$L$60,'Indicator info'!$G$62:$L$62,'Indicator info'!$G$64:$L$64,'Indicator info'!$G$66:$L$66,'Indicator info'!$G$69:$L$69,'Indicator info'!$G$71:$L$71,'Indicator info'!$G$74:$L$74,'Indicator info'!$G$76:$L$76,'Indicator info'!$G$78:$L$78,'Indicator info'!$G$80:$L$80,'Indicator info'!$G$82:$L$82,'Indicator info'!$G$84:$L$84,'Indicator info'!$G$86:$L$86,'Indicator info'!$G$88:$L$88,'Indicator info'!$G$90:$L$90,'Indicator info'!$G$92:$L$92</definedName>
    <definedName name="InputRangeMuniFin" localSheetId="11">'Financial Projections'!$K$23:$T$23,'Financial Projections'!$K$27:$T$27,'Financial Projections'!$K$31:$T$31,'Financial Projections'!$K$35:$T$35,'Financial Projections'!$K$42:$T$42,'Financial Projections'!$K$46:$T$46,'Financial Projections'!$K$50:$T$50,'Financial Projections'!$K$54:$T$54,'Financial Projections'!$K$61:$T$61,'Financial Projections'!$K$65:$T$65,'Financial Projections'!$K$69:$T$69,'Financial Projections'!$K$73:$T$73,'Financial Projections'!$K$81:$T$82,'Financial Projections'!$K$86:$T$86,'Financial Projections'!$K$88:$T$89,'Financial Projections'!$K$99:$T$101,'Financial Projections'!$K$107:$T$112,'Financial Projections'!$K$119:$T$122,'Financial Projections'!$K$128:$T$132,'Financial Projections'!$K$142:$T$142,'Financial Projections'!$K$145:$T$146,'Financial Projections'!$K$152:$T$156,'Financial Projections'!$K$164:$T$167,'Financial Projections'!$K$173:$T$177,'Financial Projections'!$K$187:$T$189,'Financial Projections'!$K$195:$T$198,'Financial Projections'!$K$206:$T$209,'Financial Projections'!$K$215:$T$219,'Financial Projections'!$K$228:$T$230,'Financial Projections'!$K$236:$T$241,'Financial Projections'!$K$248:$T$251,'Financial Projections'!$K$256:$T$260,'Financial Projections'!$K$265:$T$266</definedName>
    <definedName name="InputRangePerfAssess" localSheetId="6">'Perf assessment'!$U$21:$U$261</definedName>
    <definedName name="InputRangeSWplan" localSheetId="9">'SW Plan'!$E$21:$I$252</definedName>
    <definedName name="InputRangeWSplan" localSheetId="7">'WS Plan'!$E$21:$H$296</definedName>
    <definedName name="InputRangeWSSinfo" localSheetId="3">'WSS Profile'!$C$15:$G$454</definedName>
    <definedName name="InputRangeWWplan" localSheetId="8">'WW Plan'!$E$21:$I$436</definedName>
    <definedName name="KPI" localSheetId="10">'Summary of PIP'!$C$200:$C$261</definedName>
    <definedName name="MSW_Sector_Information">'WSS Profile'!$C$368</definedName>
    <definedName name="Names">'Activation list'!$AN$23:$AN$147</definedName>
    <definedName name="PIP_Scenario_name">Dashboard!$C$31</definedName>
    <definedName name="PIPBaseYr">'General info'!$E$20</definedName>
    <definedName name="PIPEndYr">'General info'!$E$22</definedName>
    <definedName name="PIPStartYr">'General info'!$E$21</definedName>
    <definedName name="PlanPeriod" localSheetId="0">'[1]WS calcu'!$F$3:$O$3</definedName>
    <definedName name="PlanPeriod" localSheetId="5">'[2]WS calcu'!$F$3:$O$3</definedName>
    <definedName name="PlanPeriod">'WS calcu'!$F$3:$O$3</definedName>
    <definedName name="_xlnm.Print_Area" localSheetId="12">'Action Plan finance'!$B$1:$AC$172</definedName>
    <definedName name="_xlnm.Print_Area" localSheetId="16">Annexure!$B$2:$J$194</definedName>
    <definedName name="_xlnm.Print_Area" localSheetId="0">Cover!$B$2:$J$50</definedName>
    <definedName name="_xlnm.Print_Area" localSheetId="4">'Finance info'!$B$1:$K$91</definedName>
    <definedName name="_xlnm.Print_Area" localSheetId="11">'Financial Projections'!$B$2:$U$357</definedName>
    <definedName name="_xlnm.Print_Area" localSheetId="14">'Financing Plan'!$B$2:$AI$238</definedName>
    <definedName name="_xlnm.Print_Area" localSheetId="2">'General info'!$B$1:$I$68</definedName>
    <definedName name="_xlnm.Print_Area" localSheetId="1">Introduction!$B$2:$I$82</definedName>
    <definedName name="_xlnm.Print_Area" localSheetId="6">'Perf assessment'!$B$1:$N$328</definedName>
    <definedName name="_xlnm.Print_Area" localSheetId="15">'PIP options'!$B$2:$P$204</definedName>
    <definedName name="_xlnm.Print_Area" localSheetId="10">'Summary of PIP'!$B$1:$O$263</definedName>
    <definedName name="_xlnm.Print_Area" localSheetId="9">'SW Plan'!$B$1:$X$251</definedName>
    <definedName name="_xlnm.Print_Area" localSheetId="7">'WS Plan'!$B$2:$X$298</definedName>
    <definedName name="_xlnm.Print_Area" localSheetId="3">'WSS Profile'!$B$2:$I$456</definedName>
    <definedName name="_xlnm.Print_Area" localSheetId="8">'WW Plan'!$B$1:$X$439</definedName>
    <definedName name="_xlnm.Print_Titles" localSheetId="12">'Action Plan finance'!$8:$8</definedName>
    <definedName name="_xlnm.Print_Titles" localSheetId="16">Annexure!$8:$8</definedName>
    <definedName name="_xlnm.Print_Titles" localSheetId="4">'Finance info'!$8:$8</definedName>
    <definedName name="_xlnm.Print_Titles" localSheetId="11">'Financial Projections'!$8:$8</definedName>
    <definedName name="_xlnm.Print_Titles" localSheetId="14">'Financing Plan'!$8:$8</definedName>
    <definedName name="_xlnm.Print_Titles" localSheetId="6">'Perf assessment'!$8:$8</definedName>
    <definedName name="_xlnm.Print_Titles" localSheetId="15">'PIP options'!$9:$9</definedName>
    <definedName name="_xlnm.Print_Titles" localSheetId="10">'Summary of PIP'!$8:$8</definedName>
    <definedName name="_xlnm.Print_Titles" localSheetId="9">'SW Plan'!$8:$8</definedName>
    <definedName name="_xlnm.Print_Titles" localSheetId="7">'WS Plan'!$8:$8</definedName>
    <definedName name="_xlnm.Print_Titles" localSheetId="3">'WSS Profile'!$8:$8</definedName>
    <definedName name="_xlnm.Print_Titles" localSheetId="8">'WW Plan'!$8:$8</definedName>
    <definedName name="SectorName">'Action Plan finance'!$D$14</definedName>
    <definedName name="StartPoint" localSheetId="23">'Activation list'!$AD$3:$AD$5</definedName>
    <definedName name="STEmptyingChargeLevyAnnual">'WW calcu'!$AM$1216</definedName>
    <definedName name="STEmptyingChargeLevyAtEmptying">'WW calcu'!$AM$1215</definedName>
    <definedName name="STEmptyingChargingMode1">'WW calcu'!$AM$1203</definedName>
    <definedName name="STEmptyingChargingMode2">'WW calcu'!$AM$1204</definedName>
    <definedName name="STEmptyingChargingMode3">'WW calcu'!$AM$1205</definedName>
    <definedName name="STEmptyingChargingMode4">'WW calcu'!$AM$1206</definedName>
    <definedName name="STEmptyingChargingMode5">'WW calcu'!$AM$1207</definedName>
    <definedName name="STEmptyingChargingMode6">'WW calcu'!$AM$1208</definedName>
    <definedName name="STEmptyingChargingMode7">'WW calcu'!$AM$1209</definedName>
    <definedName name="STLevyAnnual">'Financing Plan'!$N$213</definedName>
    <definedName name="STLevyAnnualStart">'Financing Plan'!$I$213</definedName>
    <definedName name="STLevyAtEmptying">'Financing Plan'!$N$212</definedName>
    <definedName name="STLevyAtEmptyingStart">'Financing Plan'!$I$212</definedName>
    <definedName name="STulbChargingCurrentMode">'Financing Plan'!$K$211</definedName>
    <definedName name="STulbChargingCurrentRate">'Financing Plan'!$N$211</definedName>
    <definedName name="SW_Plan">'Activation list'!$AD$5:$AE$5</definedName>
    <definedName name="SWCapex">'PIP finance'!$C$324:$P$360</definedName>
    <definedName name="SWOpex">'PIP finance'!$C$365:$P$401</definedName>
    <definedName name="SWRevenue">'PIP finance'!$C$406:$P$442</definedName>
    <definedName name="TrafficLightWeight">'Summary of PIP'!$R$17</definedName>
    <definedName name="ULB">'General info'!$E$30</definedName>
    <definedName name="Water_Supply_Sector_Information">'WSS Profile'!$C$30</definedName>
    <definedName name="WS_CAPEX">'PIP finance'!$C$6</definedName>
    <definedName name="WS_O_M">'PIP finance'!$C$61</definedName>
    <definedName name="WS_Plan">'Activation list'!$AD$3:$AE$3</definedName>
    <definedName name="WS_REVENUE">'PIP finance'!$C$116</definedName>
    <definedName name="WSCapex">'PIP finance'!$C$8:$P$59</definedName>
    <definedName name="WSOpex">'PIP finance'!$C$63:$P$114</definedName>
    <definedName name="WSRevenue">'PIP finance'!$C$118:$P$169</definedName>
    <definedName name="WW_CAPEX">'PIP finance'!$C$174</definedName>
    <definedName name="WW_O_M">'PIP finance'!$C$222</definedName>
    <definedName name="WW_Plan">'Activation list'!$AD$4:$AE$4</definedName>
    <definedName name="WW_REVENUE">'PIP finance'!$C$270</definedName>
    <definedName name="WWCapex">'PIP finance'!$C$176:$P$220</definedName>
    <definedName name="WWChargesYN">'WSS Profile'!$F$349:$F$357</definedName>
    <definedName name="WWOpex">'PIP finance'!$C$224:$P$268</definedName>
    <definedName name="WWRevenue">'PIP finance'!$C$272:$P$316</definedName>
  </definedNames>
  <calcPr calcId="145621"/>
  <fileRecoveryPr autoRecover="0"/>
</workbook>
</file>

<file path=xl/calcChain.xml><?xml version="1.0" encoding="utf-8"?>
<calcChain xmlns="http://schemas.openxmlformats.org/spreadsheetml/2006/main">
  <c r="F83" i="21" l="1"/>
  <c r="E83" i="21"/>
  <c r="E906" i="14" l="1"/>
  <c r="E912" i="14"/>
  <c r="E909" i="14"/>
  <c r="E911" i="14"/>
  <c r="E905" i="14"/>
  <c r="Z1218" i="14" l="1"/>
  <c r="AA1218" i="14"/>
  <c r="AB1218" i="14"/>
  <c r="AC1218" i="14"/>
  <c r="AD1218" i="14"/>
  <c r="AE1218" i="14"/>
  <c r="W1218" i="14" l="1"/>
  <c r="X1218" i="14"/>
  <c r="Y1218" i="14"/>
  <c r="V1218" i="14"/>
  <c r="V1219" i="14" s="1"/>
  <c r="F1189" i="14"/>
  <c r="G1189" i="14"/>
  <c r="H1189" i="14"/>
  <c r="I1189" i="14"/>
  <c r="J1189" i="14"/>
  <c r="K1189" i="14"/>
  <c r="L1189" i="14"/>
  <c r="M1189" i="14"/>
  <c r="N1189" i="14"/>
  <c r="O1189" i="14"/>
  <c r="E1189" i="14"/>
  <c r="AL1209" i="14"/>
  <c r="AL1208" i="14"/>
  <c r="AL1207" i="14"/>
  <c r="AL1206" i="14"/>
  <c r="AL1205" i="14"/>
  <c r="AL1204" i="14"/>
  <c r="AL1203" i="14"/>
  <c r="E1169" i="14"/>
  <c r="W1219" i="14" l="1"/>
  <c r="X1219" i="14" s="1"/>
  <c r="Y1219" i="14" s="1"/>
  <c r="Z1219" i="14" s="1"/>
  <c r="AA1219" i="14" s="1"/>
  <c r="AB1219" i="14" s="1"/>
  <c r="AC1219" i="14" s="1"/>
  <c r="AD1219" i="14" s="1"/>
  <c r="AE1219" i="14" s="1"/>
  <c r="F16" i="5"/>
  <c r="G16" i="5"/>
  <c r="H16" i="5"/>
  <c r="I16" i="5"/>
  <c r="J16" i="5"/>
  <c r="E16" i="5"/>
  <c r="K139" i="21" l="1"/>
  <c r="E131" i="14" l="1"/>
  <c r="D1150" i="14" l="1"/>
  <c r="K1151" i="14"/>
  <c r="I1151" i="14"/>
  <c r="F54" i="5" l="1"/>
  <c r="G54" i="5"/>
  <c r="H54" i="5"/>
  <c r="I54" i="5"/>
  <c r="J54" i="5"/>
  <c r="E54" i="5"/>
  <c r="F31" i="5"/>
  <c r="G31" i="5"/>
  <c r="H31" i="5"/>
  <c r="I31" i="5"/>
  <c r="J31" i="5"/>
  <c r="E31" i="5"/>
  <c r="D283" i="33" l="1"/>
  <c r="D267" i="33"/>
  <c r="F80" i="29" l="1"/>
  <c r="G80" i="29"/>
  <c r="H80" i="29"/>
  <c r="I80" i="29"/>
  <c r="J80" i="29"/>
  <c r="F82" i="29"/>
  <c r="G82" i="29"/>
  <c r="H82" i="29"/>
  <c r="I82" i="29"/>
  <c r="J82" i="29"/>
  <c r="E82" i="29"/>
  <c r="E80" i="29"/>
  <c r="F73" i="29"/>
  <c r="F75" i="29" s="1"/>
  <c r="G73" i="29"/>
  <c r="G75" i="29" s="1"/>
  <c r="H73" i="29"/>
  <c r="H75" i="29" s="1"/>
  <c r="I73" i="29"/>
  <c r="I75" i="29" s="1"/>
  <c r="J73" i="29"/>
  <c r="J75" i="29" s="1"/>
  <c r="F69" i="29"/>
  <c r="F71" i="29" s="1"/>
  <c r="G69" i="29"/>
  <c r="G71" i="29" s="1"/>
  <c r="H69" i="29"/>
  <c r="H71" i="29" s="1"/>
  <c r="I69" i="29"/>
  <c r="I71" i="29" s="1"/>
  <c r="J69" i="29"/>
  <c r="J71" i="29" s="1"/>
  <c r="E73" i="29"/>
  <c r="E75" i="29" s="1"/>
  <c r="E69" i="29"/>
  <c r="E71" i="29" s="1"/>
  <c r="F65" i="29"/>
  <c r="F67" i="29" s="1"/>
  <c r="G65" i="29"/>
  <c r="G67" i="29" s="1"/>
  <c r="H65" i="29"/>
  <c r="H67" i="29" s="1"/>
  <c r="I65" i="29"/>
  <c r="I67" i="29" s="1"/>
  <c r="J65" i="29"/>
  <c r="J67" i="29" s="1"/>
  <c r="E65" i="29"/>
  <c r="E67" i="29" s="1"/>
  <c r="F60" i="29"/>
  <c r="G60" i="29"/>
  <c r="H60" i="29"/>
  <c r="I60" i="29"/>
  <c r="J60" i="29"/>
  <c r="F61" i="29"/>
  <c r="G61" i="29"/>
  <c r="H61" i="29"/>
  <c r="I61" i="29"/>
  <c r="J61" i="29"/>
  <c r="E61" i="29"/>
  <c r="E50" i="29"/>
  <c r="E52" i="29" s="1"/>
  <c r="E284" i="29" s="1"/>
  <c r="F46" i="29"/>
  <c r="F48" i="29" s="1"/>
  <c r="F276" i="29" s="1"/>
  <c r="G46" i="29"/>
  <c r="G48" i="29" s="1"/>
  <c r="G276" i="29" s="1"/>
  <c r="H46" i="29"/>
  <c r="H48" i="29" s="1"/>
  <c r="H276" i="29" s="1"/>
  <c r="I46" i="29"/>
  <c r="I48" i="29" s="1"/>
  <c r="I276" i="29" s="1"/>
  <c r="J46" i="29"/>
  <c r="J48" i="29" s="1"/>
  <c r="J276" i="29" s="1"/>
  <c r="E46" i="29"/>
  <c r="E48" i="29" s="1"/>
  <c r="E276" i="29" s="1"/>
  <c r="F41" i="29"/>
  <c r="G41" i="29"/>
  <c r="H41" i="29"/>
  <c r="I41" i="29"/>
  <c r="J41" i="29"/>
  <c r="F42" i="29"/>
  <c r="G42" i="29"/>
  <c r="H42" i="29"/>
  <c r="I42" i="29"/>
  <c r="J42" i="29"/>
  <c r="E42" i="29"/>
  <c r="E41" i="29"/>
  <c r="E60" i="29"/>
  <c r="F54" i="29"/>
  <c r="F56" i="29" s="1"/>
  <c r="F285" i="29" s="1"/>
  <c r="G54" i="29"/>
  <c r="G56" i="29" s="1"/>
  <c r="G285" i="29" s="1"/>
  <c r="H54" i="29"/>
  <c r="H56" i="29" s="1"/>
  <c r="H285" i="29" s="1"/>
  <c r="I54" i="29"/>
  <c r="I56" i="29" s="1"/>
  <c r="I285" i="29" s="1"/>
  <c r="J54" i="29"/>
  <c r="J56" i="29" s="1"/>
  <c r="J285" i="29" s="1"/>
  <c r="F50" i="29"/>
  <c r="F52" i="29" s="1"/>
  <c r="F284" i="29" s="1"/>
  <c r="G50" i="29"/>
  <c r="G52" i="29" s="1"/>
  <c r="G284" i="29" s="1"/>
  <c r="H50" i="29"/>
  <c r="H52" i="29" s="1"/>
  <c r="H284" i="29" s="1"/>
  <c r="I50" i="29"/>
  <c r="I52" i="29" s="1"/>
  <c r="I284" i="29" s="1"/>
  <c r="J50" i="29"/>
  <c r="J52" i="29" s="1"/>
  <c r="J284" i="29" s="1"/>
  <c r="E54" i="29"/>
  <c r="E56" i="29" s="1"/>
  <c r="E285" i="29" s="1"/>
  <c r="F35" i="29"/>
  <c r="F37" i="29" s="1"/>
  <c r="G35" i="29"/>
  <c r="G37" i="29" s="1"/>
  <c r="H35" i="29"/>
  <c r="H37" i="29" s="1"/>
  <c r="I35" i="29"/>
  <c r="I37" i="29" s="1"/>
  <c r="J35" i="29"/>
  <c r="J37" i="29" s="1"/>
  <c r="F31" i="29"/>
  <c r="F33" i="29" s="1"/>
  <c r="G31" i="29"/>
  <c r="G33" i="29" s="1"/>
  <c r="H31" i="29"/>
  <c r="H33" i="29" s="1"/>
  <c r="I31" i="29"/>
  <c r="J31" i="29"/>
  <c r="E35" i="29"/>
  <c r="E37" i="29" s="1"/>
  <c r="E31" i="29"/>
  <c r="E33" i="29" s="1"/>
  <c r="F27" i="29"/>
  <c r="F29" i="29" s="1"/>
  <c r="G27" i="29"/>
  <c r="G29" i="29" s="1"/>
  <c r="H27" i="29"/>
  <c r="H29" i="29" s="1"/>
  <c r="I27" i="29"/>
  <c r="I29" i="29" s="1"/>
  <c r="J27" i="29"/>
  <c r="J29" i="29" s="1"/>
  <c r="E27" i="29"/>
  <c r="E29" i="29" s="1"/>
  <c r="E23" i="29"/>
  <c r="F23" i="29"/>
  <c r="G23" i="29"/>
  <c r="H23" i="29"/>
  <c r="I23" i="29"/>
  <c r="J23" i="29"/>
  <c r="F22" i="29"/>
  <c r="G22" i="29"/>
  <c r="H22" i="29"/>
  <c r="I22" i="29"/>
  <c r="J22" i="29"/>
  <c r="E22" i="29"/>
  <c r="I286" i="29" l="1"/>
  <c r="H63" i="29"/>
  <c r="G63" i="29"/>
  <c r="G286" i="29"/>
  <c r="G44" i="29"/>
  <c r="G275" i="29" s="1"/>
  <c r="G277" i="29" s="1"/>
  <c r="H286" i="29"/>
  <c r="E286" i="29"/>
  <c r="F286" i="29"/>
  <c r="H44" i="29"/>
  <c r="H275" i="29" s="1"/>
  <c r="H277" i="29" s="1"/>
  <c r="J63" i="29"/>
  <c r="I88" i="29"/>
  <c r="I288" i="29" s="1"/>
  <c r="F89" i="29"/>
  <c r="F289" i="29" s="1"/>
  <c r="J88" i="29"/>
  <c r="J288" i="29" s="1"/>
  <c r="F88" i="29"/>
  <c r="F288" i="29" s="1"/>
  <c r="H88" i="29"/>
  <c r="H288" i="29" s="1"/>
  <c r="G89" i="29"/>
  <c r="G289" i="29" s="1"/>
  <c r="F44" i="29"/>
  <c r="F275" i="29" s="1"/>
  <c r="F277" i="29" s="1"/>
  <c r="I44" i="29"/>
  <c r="I275" i="29" s="1"/>
  <c r="E86" i="29"/>
  <c r="E280" i="29" s="1"/>
  <c r="E44" i="29"/>
  <c r="E275" i="29" s="1"/>
  <c r="J33" i="29"/>
  <c r="E81" i="29"/>
  <c r="E84" i="29" s="1"/>
  <c r="E279" i="29" s="1"/>
  <c r="G81" i="29"/>
  <c r="G84" i="29" s="1"/>
  <c r="G279" i="29" s="1"/>
  <c r="F86" i="29"/>
  <c r="F280" i="29" s="1"/>
  <c r="I86" i="29"/>
  <c r="I280" i="29" s="1"/>
  <c r="J44" i="29"/>
  <c r="J275" i="29" s="1"/>
  <c r="F63" i="29"/>
  <c r="G86" i="29"/>
  <c r="G280" i="29" s="1"/>
  <c r="J81" i="29"/>
  <c r="J84" i="29" s="1"/>
  <c r="J279" i="29" s="1"/>
  <c r="J86" i="29"/>
  <c r="J280" i="29" s="1"/>
  <c r="I81" i="29"/>
  <c r="I84" i="29" s="1"/>
  <c r="I279" i="29" s="1"/>
  <c r="H86" i="29"/>
  <c r="H280" i="29" s="1"/>
  <c r="E89" i="29"/>
  <c r="E289" i="29" s="1"/>
  <c r="H89" i="29"/>
  <c r="H289" i="29" s="1"/>
  <c r="F81" i="29"/>
  <c r="F84" i="29" s="1"/>
  <c r="F279" i="29" s="1"/>
  <c r="I63" i="29"/>
  <c r="E63" i="29"/>
  <c r="G88" i="29"/>
  <c r="G288" i="29" s="1"/>
  <c r="I33" i="29"/>
  <c r="J89" i="29"/>
  <c r="J289" i="29" s="1"/>
  <c r="H25" i="29"/>
  <c r="H81" i="29"/>
  <c r="H84" i="29" s="1"/>
  <c r="H279" i="29" s="1"/>
  <c r="E88" i="29"/>
  <c r="E288" i="29" s="1"/>
  <c r="I89" i="29"/>
  <c r="I289" i="29" s="1"/>
  <c r="J25" i="29"/>
  <c r="G25" i="29"/>
  <c r="I25" i="29"/>
  <c r="E25" i="29"/>
  <c r="F25" i="29"/>
  <c r="K21" i="29"/>
  <c r="K79" i="29" s="1"/>
  <c r="G290" i="29" l="1"/>
  <c r="H290" i="29"/>
  <c r="E290" i="29"/>
  <c r="H281" i="29"/>
  <c r="I281" i="29"/>
  <c r="I277" i="29"/>
  <c r="I290" i="29"/>
  <c r="F281" i="29"/>
  <c r="E277" i="29"/>
  <c r="G281" i="29"/>
  <c r="E281" i="29"/>
  <c r="F290" i="29"/>
  <c r="L21" i="29"/>
  <c r="L79" i="29" s="1"/>
  <c r="K40" i="29"/>
  <c r="K59" i="29" s="1"/>
  <c r="M21" i="29" l="1"/>
  <c r="M79" i="29" s="1"/>
  <c r="L40" i="29"/>
  <c r="L59" i="29" s="1"/>
  <c r="N21" i="29" l="1"/>
  <c r="N79" i="29" s="1"/>
  <c r="M40" i="29"/>
  <c r="M59" i="29" s="1"/>
  <c r="M76" i="51"/>
  <c r="O21" i="29" l="1"/>
  <c r="O79" i="29" s="1"/>
  <c r="N40" i="29"/>
  <c r="N59" i="29" s="1"/>
  <c r="M21" i="51"/>
  <c r="M25" i="51"/>
  <c r="M29" i="51"/>
  <c r="M17" i="51"/>
  <c r="M36" i="51"/>
  <c r="M38" i="51"/>
  <c r="M40" i="51"/>
  <c r="M42" i="51"/>
  <c r="M46" i="51"/>
  <c r="M54" i="51"/>
  <c r="M56" i="51"/>
  <c r="M58" i="51"/>
  <c r="M60" i="51"/>
  <c r="M62" i="51"/>
  <c r="M66" i="51"/>
  <c r="M68" i="51"/>
  <c r="M69" i="51"/>
  <c r="M73" i="51"/>
  <c r="M74" i="51"/>
  <c r="M80" i="51"/>
  <c r="M82" i="51"/>
  <c r="M86" i="51"/>
  <c r="M78" i="51"/>
  <c r="M15" i="51"/>
  <c r="A198" i="2"/>
  <c r="A197" i="2"/>
  <c r="A196" i="2"/>
  <c r="A192" i="2"/>
  <c r="A193" i="2"/>
  <c r="A194" i="2"/>
  <c r="A195" i="2"/>
  <c r="A191" i="2"/>
  <c r="A190" i="2"/>
  <c r="A189" i="2"/>
  <c r="A187" i="2"/>
  <c r="A186" i="2"/>
  <c r="A179" i="2"/>
  <c r="A180" i="2"/>
  <c r="A181" i="2"/>
  <c r="A182" i="2"/>
  <c r="A183" i="2"/>
  <c r="A178" i="2"/>
  <c r="A177" i="2"/>
  <c r="A176" i="2"/>
  <c r="A184" i="2" s="1"/>
  <c r="D184" i="2" s="1"/>
  <c r="A175" i="2"/>
  <c r="A173" i="2"/>
  <c r="A174" i="2"/>
  <c r="A170" i="2"/>
  <c r="A171" i="2"/>
  <c r="A172" i="2"/>
  <c r="A169" i="2"/>
  <c r="A168" i="2"/>
  <c r="A166" i="2"/>
  <c r="A165" i="2"/>
  <c r="A164" i="2"/>
  <c r="A163" i="2"/>
  <c r="A162" i="2"/>
  <c r="A161" i="2"/>
  <c r="A160" i="2"/>
  <c r="A159" i="2"/>
  <c r="A158" i="2"/>
  <c r="A157" i="2"/>
  <c r="E19" i="51"/>
  <c r="R35" i="48" s="1"/>
  <c r="A199" i="2" l="1"/>
  <c r="P21" i="29"/>
  <c r="P79" i="29" s="1"/>
  <c r="O40" i="29"/>
  <c r="O59" i="29" s="1"/>
  <c r="D159" i="2"/>
  <c r="G156" i="2"/>
  <c r="G188" i="2" s="1"/>
  <c r="F188" i="2"/>
  <c r="E188" i="2"/>
  <c r="F156" i="2"/>
  <c r="E156" i="2"/>
  <c r="Q21" i="29" l="1"/>
  <c r="Q79" i="29" s="1"/>
  <c r="P40" i="29"/>
  <c r="P59" i="29" s="1"/>
  <c r="G167" i="2"/>
  <c r="G185" i="2"/>
  <c r="F167" i="2"/>
  <c r="E167" i="2"/>
  <c r="K167" i="2" s="1"/>
  <c r="L188" i="2"/>
  <c r="F199" i="2" s="1"/>
  <c r="F189" i="2" l="1"/>
  <c r="F198" i="2"/>
  <c r="F192" i="2"/>
  <c r="F191" i="2"/>
  <c r="F194" i="2"/>
  <c r="F195" i="2"/>
  <c r="F190" i="2"/>
  <c r="F196" i="2"/>
  <c r="F193" i="2"/>
  <c r="F197" i="2"/>
  <c r="E171" i="2"/>
  <c r="E175" i="2"/>
  <c r="E179" i="2"/>
  <c r="E183" i="2"/>
  <c r="E172" i="2"/>
  <c r="E176" i="2"/>
  <c r="E180" i="2"/>
  <c r="E184" i="2"/>
  <c r="E169" i="2"/>
  <c r="E173" i="2"/>
  <c r="E177" i="2"/>
  <c r="E181" i="2"/>
  <c r="E170" i="2"/>
  <c r="E174" i="2"/>
  <c r="E178" i="2"/>
  <c r="E182" i="2"/>
  <c r="E168" i="2"/>
  <c r="R21" i="29"/>
  <c r="R79" i="29" s="1"/>
  <c r="Q40" i="29"/>
  <c r="Q59" i="29" s="1"/>
  <c r="F185" i="2"/>
  <c r="L185" i="2" s="1"/>
  <c r="F186" i="2" s="1"/>
  <c r="L167" i="2"/>
  <c r="G119" i="37"/>
  <c r="F172" i="2" l="1"/>
  <c r="F176" i="2"/>
  <c r="F180" i="2"/>
  <c r="F184" i="2"/>
  <c r="F169" i="2"/>
  <c r="F173" i="2"/>
  <c r="F177" i="2"/>
  <c r="F181" i="2"/>
  <c r="F168" i="2"/>
  <c r="F170" i="2"/>
  <c r="F174" i="2"/>
  <c r="F178" i="2"/>
  <c r="F182" i="2"/>
  <c r="F171" i="2"/>
  <c r="F175" i="2"/>
  <c r="F179" i="2"/>
  <c r="F183" i="2"/>
  <c r="S21" i="29"/>
  <c r="S79" i="29" s="1"/>
  <c r="R40" i="29"/>
  <c r="R59" i="29" s="1"/>
  <c r="G82" i="37"/>
  <c r="T21" i="29" l="1"/>
  <c r="S40" i="29"/>
  <c r="S59" i="29" s="1"/>
  <c r="G72" i="37"/>
  <c r="T40" i="29" l="1"/>
  <c r="T59" i="29" s="1"/>
  <c r="T79" i="29"/>
  <c r="D426" i="14"/>
  <c r="G43" i="28" l="1"/>
  <c r="D139" i="21" l="1"/>
  <c r="L60" i="49"/>
  <c r="T77" i="29"/>
  <c r="T19" i="29"/>
  <c r="J38" i="5"/>
  <c r="J24" i="5"/>
  <c r="AB15" i="32"/>
  <c r="N15" i="32"/>
  <c r="AG26" i="21"/>
  <c r="T182" i="29"/>
  <c r="AG65" i="21"/>
  <c r="T137" i="29"/>
  <c r="T269" i="29"/>
  <c r="T94" i="29"/>
  <c r="T224" i="29"/>
  <c r="AB49" i="32"/>
  <c r="J96" i="5"/>
  <c r="J72" i="5"/>
  <c r="J186" i="5"/>
  <c r="E155" i="15"/>
  <c r="D359" i="16"/>
  <c r="D358" i="16"/>
  <c r="D353" i="16"/>
  <c r="D351" i="16"/>
  <c r="D345" i="16"/>
  <c r="D344" i="16"/>
  <c r="D342" i="16"/>
  <c r="D423" i="16"/>
  <c r="D382" i="16"/>
  <c r="D341" i="16"/>
  <c r="D381" i="16"/>
  <c r="D340" i="16"/>
  <c r="D339" i="16"/>
  <c r="D338" i="16"/>
  <c r="D373" i="16"/>
  <c r="H69" i="11"/>
  <c r="H64" i="11"/>
  <c r="G330" i="16" l="1"/>
  <c r="G329" i="16"/>
  <c r="G328" i="16"/>
  <c r="G216" i="16"/>
  <c r="G207" i="16" l="1"/>
  <c r="G205" i="16"/>
  <c r="G197" i="16"/>
  <c r="D262" i="14" l="1"/>
  <c r="D654" i="4"/>
  <c r="E186" i="15"/>
  <c r="E226" i="15"/>
  <c r="D533" i="4"/>
  <c r="D538" i="4"/>
  <c r="D567" i="4"/>
  <c r="E180" i="15"/>
  <c r="D535" i="4"/>
  <c r="D540" i="4"/>
  <c r="D46" i="16"/>
  <c r="D76" i="16"/>
  <c r="D21" i="16"/>
  <c r="D17" i="16" l="1"/>
  <c r="G44" i="28" l="1"/>
  <c r="D48" i="16" l="1"/>
  <c r="D33" i="16"/>
  <c r="F355" i="1"/>
  <c r="B9" i="49" l="1"/>
  <c r="B8" i="49"/>
  <c r="F891" i="14"/>
  <c r="D87" i="5" l="1"/>
  <c r="L9" i="21" l="1"/>
  <c r="D855" i="14" l="1"/>
  <c r="L156" i="2" l="1"/>
  <c r="K156" i="2" l="1"/>
  <c r="K188" i="2"/>
  <c r="E185" i="2"/>
  <c r="K185" i="2" s="1"/>
  <c r="E186" i="2" s="1"/>
  <c r="F158" i="2"/>
  <c r="F165" i="2"/>
  <c r="F164" i="2"/>
  <c r="F160" i="2"/>
  <c r="F187" i="2"/>
  <c r="F163" i="2"/>
  <c r="F159" i="2"/>
  <c r="F166" i="2"/>
  <c r="F162" i="2"/>
  <c r="F161" i="2"/>
  <c r="F157" i="2"/>
  <c r="D199" i="2"/>
  <c r="D198" i="2"/>
  <c r="D197" i="2"/>
  <c r="D196" i="2"/>
  <c r="D195" i="2"/>
  <c r="D194" i="2"/>
  <c r="D193" i="2"/>
  <c r="D192" i="2"/>
  <c r="D191" i="2"/>
  <c r="D190" i="2"/>
  <c r="D189" i="2"/>
  <c r="D187" i="2"/>
  <c r="D186" i="2"/>
  <c r="D183" i="2"/>
  <c r="D182" i="2"/>
  <c r="D181" i="2"/>
  <c r="D180" i="2"/>
  <c r="D179" i="2"/>
  <c r="D178" i="2"/>
  <c r="D177" i="2"/>
  <c r="D176" i="2"/>
  <c r="D175" i="2"/>
  <c r="D174" i="2"/>
  <c r="D173" i="2"/>
  <c r="D172" i="2"/>
  <c r="D171" i="2"/>
  <c r="D170" i="2"/>
  <c r="D169" i="2"/>
  <c r="D168" i="2"/>
  <c r="D166" i="2"/>
  <c r="D165" i="2"/>
  <c r="D164" i="2"/>
  <c r="D163" i="2"/>
  <c r="D162" i="2"/>
  <c r="D161" i="2"/>
  <c r="D160" i="2"/>
  <c r="D158" i="2"/>
  <c r="D157" i="2"/>
  <c r="E193" i="2" l="1"/>
  <c r="E197" i="2"/>
  <c r="E192" i="2"/>
  <c r="E194" i="2"/>
  <c r="E195" i="2"/>
  <c r="E191" i="2"/>
  <c r="E196" i="2"/>
  <c r="E190" i="2"/>
  <c r="E189" i="2"/>
  <c r="E198" i="2"/>
  <c r="E199" i="2"/>
  <c r="E157" i="2"/>
  <c r="E162" i="2"/>
  <c r="E163" i="2"/>
  <c r="E158" i="2"/>
  <c r="E160" i="2"/>
  <c r="E165" i="2"/>
  <c r="E161" i="2"/>
  <c r="E187" i="2"/>
  <c r="E166" i="2"/>
  <c r="E164" i="2"/>
  <c r="E159" i="2"/>
  <c r="E507" i="4"/>
  <c r="I193" i="2" l="1"/>
  <c r="I168" i="2"/>
  <c r="I160" i="2"/>
  <c r="I196" i="2"/>
  <c r="I184" i="2"/>
  <c r="I162" i="2"/>
  <c r="I180" i="2"/>
  <c r="I169" i="2"/>
  <c r="I192" i="2"/>
  <c r="I170" i="2"/>
  <c r="I164" i="2"/>
  <c r="I183" i="2"/>
  <c r="I191" i="2"/>
  <c r="I158" i="2"/>
  <c r="I163" i="2"/>
  <c r="I182" i="2"/>
  <c r="I176" i="2"/>
  <c r="I194" i="2"/>
  <c r="I161" i="2"/>
  <c r="H161" i="2" s="1"/>
  <c r="I195" i="2"/>
  <c r="I172" i="2"/>
  <c r="I179" i="2"/>
  <c r="I171" i="2"/>
  <c r="I157" i="2"/>
  <c r="I175" i="2"/>
  <c r="I186" i="2"/>
  <c r="I199" i="2"/>
  <c r="I187" i="2"/>
  <c r="I197" i="2"/>
  <c r="I166" i="2"/>
  <c r="I181" i="2"/>
  <c r="I174" i="2"/>
  <c r="I173" i="2"/>
  <c r="I178" i="2"/>
  <c r="I177" i="2"/>
  <c r="I198" i="2"/>
  <c r="I189" i="2"/>
  <c r="I190" i="2"/>
  <c r="I159" i="2"/>
  <c r="I165" i="2"/>
  <c r="I210" i="21" l="1"/>
  <c r="K211" i="21" l="1"/>
  <c r="AM1208" i="14" l="1"/>
  <c r="AM1204" i="14"/>
  <c r="AM1207" i="14"/>
  <c r="AM1203" i="14"/>
  <c r="AM1206" i="14"/>
  <c r="AM1205" i="14"/>
  <c r="AM1209" i="14"/>
  <c r="N211" i="21"/>
  <c r="AM1215" i="14" s="1"/>
  <c r="M622" i="14"/>
  <c r="M621" i="14"/>
  <c r="U1197" i="14" s="1"/>
  <c r="U1200" i="14" s="1"/>
  <c r="AM1216" i="14" l="1"/>
  <c r="I1183" i="14"/>
  <c r="I1184" i="14" s="1"/>
  <c r="K1183" i="14"/>
  <c r="K1184" i="14" s="1"/>
  <c r="J1183" i="14"/>
  <c r="J1184" i="14" s="1"/>
  <c r="L1183" i="14"/>
  <c r="L1184" i="14" s="1"/>
  <c r="H1183" i="14"/>
  <c r="H1184" i="14" s="1"/>
  <c r="G1183" i="14"/>
  <c r="G1184" i="14" s="1"/>
  <c r="N1183" i="14"/>
  <c r="N1184" i="14" s="1"/>
  <c r="M1183" i="14"/>
  <c r="M1184" i="14" s="1"/>
  <c r="F1183" i="14"/>
  <c r="F1184" i="14" s="1"/>
  <c r="O1183" i="14"/>
  <c r="O1184" i="14" s="1"/>
  <c r="E1183" i="14"/>
  <c r="N1185" i="14"/>
  <c r="M1185" i="14"/>
  <c r="L1185" i="14"/>
  <c r="O1185" i="14"/>
  <c r="F1185" i="14"/>
  <c r="K1185" i="14"/>
  <c r="J1185" i="14"/>
  <c r="E1185" i="14"/>
  <c r="H1185" i="14"/>
  <c r="G1185" i="14"/>
  <c r="I1185" i="14"/>
  <c r="D891" i="14"/>
  <c r="F144" i="29"/>
  <c r="G144" i="29"/>
  <c r="H144" i="29"/>
  <c r="I144" i="29"/>
  <c r="J144" i="29"/>
  <c r="F143" i="29"/>
  <c r="G143" i="29"/>
  <c r="H143" i="29"/>
  <c r="I143" i="29"/>
  <c r="J143" i="29"/>
  <c r="F141" i="29"/>
  <c r="G141" i="29"/>
  <c r="H141" i="29"/>
  <c r="I141" i="29"/>
  <c r="J141" i="29"/>
  <c r="E144" i="29"/>
  <c r="E143" i="29"/>
  <c r="E141" i="29"/>
  <c r="F205" i="5"/>
  <c r="G205" i="5"/>
  <c r="H205" i="5"/>
  <c r="I205" i="5"/>
  <c r="J205" i="5"/>
  <c r="E205" i="5"/>
  <c r="D171" i="29"/>
  <c r="D162" i="29"/>
  <c r="D161" i="29"/>
  <c r="D150" i="29"/>
  <c r="D139" i="29"/>
  <c r="D138" i="29"/>
  <c r="D137" i="29"/>
  <c r="I1186" i="14" l="1"/>
  <c r="G1186" i="14"/>
  <c r="J1186" i="14"/>
  <c r="L1186" i="14"/>
  <c r="K1186" i="14"/>
  <c r="M1186" i="14"/>
  <c r="H1186" i="14"/>
  <c r="F1186" i="14"/>
  <c r="N1186" i="14"/>
  <c r="E1186" i="14"/>
  <c r="O1186" i="14"/>
  <c r="E1184" i="14"/>
  <c r="J228" i="29"/>
  <c r="F228" i="29"/>
  <c r="I228" i="29"/>
  <c r="H228" i="29"/>
  <c r="G228" i="29"/>
  <c r="E228" i="29"/>
  <c r="D283" i="29"/>
  <c r="D287" i="29" l="1"/>
  <c r="F83" i="5"/>
  <c r="J83" i="5"/>
  <c r="G83" i="5"/>
  <c r="H83" i="5"/>
  <c r="I83" i="5"/>
  <c r="F21" i="5" l="1"/>
  <c r="F22" i="5"/>
  <c r="F20" i="5"/>
  <c r="E215" i="29" l="1"/>
  <c r="O109" i="21" l="1"/>
  <c r="G118" i="9" l="1"/>
  <c r="Z22" i="3" l="1"/>
  <c r="R246" i="16"/>
  <c r="R245" i="16"/>
  <c r="O39" i="49" s="1"/>
  <c r="B7" i="49"/>
  <c r="R244" i="16" s="1"/>
  <c r="O38" i="49" l="1"/>
  <c r="O40" i="49"/>
  <c r="Q4" i="2" l="1"/>
  <c r="R4" i="2"/>
  <c r="S4" i="2"/>
  <c r="T4" i="2"/>
  <c r="U4" i="2"/>
  <c r="V4" i="2"/>
  <c r="W4" i="2"/>
  <c r="X4" i="2"/>
  <c r="Y4" i="2"/>
  <c r="Z4" i="2"/>
  <c r="AA4" i="2"/>
  <c r="AB4" i="2"/>
  <c r="AC4" i="2"/>
  <c r="AD4" i="2"/>
  <c r="AE4" i="2"/>
  <c r="AF4" i="2"/>
  <c r="AG4" i="2"/>
  <c r="AH4" i="2"/>
  <c r="AI4" i="2"/>
  <c r="P4" i="2"/>
  <c r="Y127" i="36"/>
  <c r="Y126" i="36"/>
  <c r="Y125" i="36"/>
  <c r="Y124" i="36"/>
  <c r="Y123" i="36"/>
  <c r="Y122" i="36"/>
  <c r="Y121" i="36"/>
  <c r="Y120" i="36"/>
  <c r="Y119" i="36"/>
  <c r="AF6" i="36" l="1"/>
  <c r="M909" i="16" l="1"/>
  <c r="L909" i="16"/>
  <c r="K909" i="16"/>
  <c r="J909" i="16"/>
  <c r="I909" i="16"/>
  <c r="H909" i="16"/>
  <c r="G909" i="16"/>
  <c r="F909" i="16"/>
  <c r="E909" i="16"/>
  <c r="D909" i="16"/>
  <c r="M908" i="16"/>
  <c r="L908" i="16"/>
  <c r="K908" i="16"/>
  <c r="J908" i="16"/>
  <c r="I908" i="16"/>
  <c r="H908" i="16"/>
  <c r="G908" i="16"/>
  <c r="F908" i="16" l="1"/>
  <c r="E908" i="16"/>
  <c r="D908" i="16"/>
  <c r="D865" i="16" l="1"/>
  <c r="M860" i="16" l="1"/>
  <c r="L860" i="16"/>
  <c r="K860" i="16"/>
  <c r="J860" i="16"/>
  <c r="I860" i="16"/>
  <c r="H860" i="16"/>
  <c r="G860" i="16"/>
  <c r="F860" i="16"/>
  <c r="E860" i="16"/>
  <c r="D860" i="16"/>
  <c r="M859" i="16"/>
  <c r="L859" i="16"/>
  <c r="K859" i="16"/>
  <c r="J859" i="16"/>
  <c r="I859" i="16"/>
  <c r="H859" i="16"/>
  <c r="G859" i="16"/>
  <c r="F859" i="16"/>
  <c r="E859" i="16"/>
  <c r="D859" i="16"/>
  <c r="D861" i="16" l="1"/>
  <c r="D851" i="16"/>
  <c r="M849" i="16"/>
  <c r="M854" i="16" s="1"/>
  <c r="L849" i="16"/>
  <c r="L854" i="16" s="1"/>
  <c r="K849" i="16"/>
  <c r="K854" i="16" s="1"/>
  <c r="J849" i="16"/>
  <c r="J854" i="16" s="1"/>
  <c r="I849" i="16"/>
  <c r="I854" i="16" s="1"/>
  <c r="H849" i="16"/>
  <c r="H854" i="16" s="1"/>
  <c r="G849" i="16"/>
  <c r="G854" i="16" s="1"/>
  <c r="F849" i="16"/>
  <c r="F854" i="16" s="1"/>
  <c r="E849" i="16"/>
  <c r="E854" i="16" s="1"/>
  <c r="D849" i="16"/>
  <c r="D854" i="16" l="1"/>
  <c r="D834" i="16"/>
  <c r="M829" i="16" l="1"/>
  <c r="L829" i="16"/>
  <c r="K829" i="16"/>
  <c r="J829" i="16"/>
  <c r="I829" i="16"/>
  <c r="H829" i="16"/>
  <c r="G829" i="16"/>
  <c r="F829" i="16"/>
  <c r="E829" i="16"/>
  <c r="D829" i="16"/>
  <c r="M787" i="16" l="1"/>
  <c r="AD5" i="36"/>
  <c r="AD4" i="36"/>
  <c r="AE4" i="36"/>
  <c r="F81" i="36"/>
  <c r="F93" i="36"/>
  <c r="F91" i="36"/>
  <c r="E92" i="36"/>
  <c r="E83" i="36"/>
  <c r="F85" i="36"/>
  <c r="E87" i="36"/>
  <c r="E90" i="36"/>
  <c r="E88" i="36"/>
  <c r="F83" i="36"/>
  <c r="F90" i="36"/>
  <c r="E91" i="36"/>
  <c r="E80" i="36"/>
  <c r="E85" i="36"/>
  <c r="AD3" i="36"/>
  <c r="AE3" i="36"/>
  <c r="E45" i="36"/>
  <c r="E43" i="36"/>
  <c r="F87" i="36"/>
  <c r="E93" i="36"/>
  <c r="AE5" i="36"/>
  <c r="E125" i="36"/>
  <c r="F86" i="36"/>
  <c r="E78" i="36"/>
  <c r="E89" i="36"/>
  <c r="E118" i="36"/>
  <c r="F43" i="36"/>
  <c r="F117" i="36"/>
  <c r="F78" i="36"/>
  <c r="F92" i="36"/>
  <c r="E115" i="36"/>
  <c r="E50" i="36"/>
  <c r="F45" i="36"/>
  <c r="E44" i="36"/>
  <c r="F48" i="36"/>
  <c r="E84" i="36"/>
  <c r="E79" i="36"/>
  <c r="E86" i="36"/>
  <c r="F82" i="36"/>
  <c r="E81" i="36"/>
  <c r="E82" i="36"/>
  <c r="F80" i="36"/>
  <c r="F84" i="36"/>
  <c r="F89" i="36"/>
  <c r="F118" i="36"/>
  <c r="F121" i="36"/>
  <c r="E123" i="36"/>
  <c r="E121" i="36"/>
  <c r="F127" i="36"/>
  <c r="E127" i="36"/>
  <c r="E126" i="36"/>
  <c r="E114" i="36"/>
  <c r="E48" i="36"/>
  <c r="E52" i="36"/>
  <c r="F46" i="36"/>
  <c r="E46" i="36"/>
  <c r="F49" i="36"/>
  <c r="E49" i="36"/>
  <c r="F47" i="36"/>
  <c r="F123" i="36"/>
  <c r="E119" i="36"/>
  <c r="E120" i="36"/>
  <c r="F120" i="36"/>
  <c r="F124" i="36"/>
  <c r="F122" i="36"/>
  <c r="F114" i="36"/>
  <c r="E122" i="36"/>
  <c r="F125" i="36"/>
  <c r="E117" i="36"/>
  <c r="F115" i="36"/>
  <c r="E116" i="36"/>
  <c r="F126" i="36"/>
  <c r="E124" i="36"/>
  <c r="C50" i="36" l="1"/>
  <c r="C48" i="36"/>
  <c r="C43" i="36"/>
  <c r="C127" i="36"/>
  <c r="C114" i="36"/>
  <c r="C123" i="36"/>
  <c r="C91" i="36"/>
  <c r="C44" i="36"/>
  <c r="C82" i="36"/>
  <c r="C124" i="36"/>
  <c r="C126" i="36"/>
  <c r="C119" i="36"/>
  <c r="C120" i="36"/>
  <c r="C80" i="36"/>
  <c r="C49" i="36"/>
  <c r="C45" i="36"/>
  <c r="C118" i="36"/>
  <c r="C121" i="36"/>
  <c r="C52" i="36"/>
  <c r="C81" i="36"/>
  <c r="C46" i="36"/>
  <c r="C79" i="36"/>
  <c r="C88" i="36"/>
  <c r="C87" i="36"/>
  <c r="C125" i="36"/>
  <c r="C122" i="36"/>
  <c r="C115" i="36"/>
  <c r="C78" i="36"/>
  <c r="C116" i="36"/>
  <c r="C117" i="36"/>
  <c r="C89" i="36"/>
  <c r="C85" i="36"/>
  <c r="C93" i="36"/>
  <c r="C83" i="36"/>
  <c r="C84" i="36"/>
  <c r="C92" i="36"/>
  <c r="C86" i="36"/>
  <c r="C90" i="36"/>
  <c r="M828" i="16"/>
  <c r="M792" i="16"/>
  <c r="L787" i="16"/>
  <c r="K787" i="16"/>
  <c r="J787" i="16"/>
  <c r="I787" i="16"/>
  <c r="H787" i="16"/>
  <c r="G787" i="16"/>
  <c r="F787" i="16"/>
  <c r="F828" i="16" s="1"/>
  <c r="E787" i="16"/>
  <c r="D787" i="16"/>
  <c r="E47" i="36"/>
  <c r="E51" i="36"/>
  <c r="F52" i="36"/>
  <c r="E94" i="36"/>
  <c r="F44" i="36"/>
  <c r="F79" i="36"/>
  <c r="F88" i="36"/>
  <c r="F116" i="36"/>
  <c r="F50" i="36"/>
  <c r="F51" i="36"/>
  <c r="E3" i="36"/>
  <c r="F119" i="36"/>
  <c r="C47" i="36" l="1"/>
  <c r="C51" i="36"/>
  <c r="C3" i="36"/>
  <c r="J828" i="16"/>
  <c r="J792" i="16"/>
  <c r="I828" i="16"/>
  <c r="I792" i="16"/>
  <c r="E828" i="16"/>
  <c r="E792" i="16"/>
  <c r="D828" i="16"/>
  <c r="D792" i="16"/>
  <c r="H828" i="16"/>
  <c r="H792" i="16"/>
  <c r="L828" i="16"/>
  <c r="L792" i="16"/>
  <c r="G828" i="16"/>
  <c r="G792" i="16"/>
  <c r="F792" i="16" s="1"/>
  <c r="K828" i="16"/>
  <c r="K792" i="16"/>
  <c r="F3" i="36"/>
  <c r="F94" i="36"/>
  <c r="D780" i="16" l="1"/>
  <c r="E4" i="36"/>
  <c r="C4" i="36" l="1"/>
  <c r="E5" i="36"/>
  <c r="F4" i="36"/>
  <c r="C5" i="36" l="1"/>
  <c r="Y704" i="16"/>
  <c r="X704" i="16"/>
  <c r="W704" i="16"/>
  <c r="V704" i="16"/>
  <c r="U704" i="16"/>
  <c r="T704" i="16"/>
  <c r="S704" i="16"/>
  <c r="R704" i="16"/>
  <c r="Q704" i="16"/>
  <c r="P704" i="16"/>
  <c r="M704" i="16"/>
  <c r="L704" i="16"/>
  <c r="K704" i="16"/>
  <c r="J704" i="16"/>
  <c r="I704" i="16"/>
  <c r="H704" i="16"/>
  <c r="G704" i="16"/>
  <c r="F704" i="16"/>
  <c r="E704" i="16"/>
  <c r="D704" i="16"/>
  <c r="Y703" i="16"/>
  <c r="Y724" i="16" s="1"/>
  <c r="X703" i="16"/>
  <c r="X724" i="16" s="1"/>
  <c r="W703" i="16"/>
  <c r="W724" i="16" s="1"/>
  <c r="V703" i="16"/>
  <c r="V724" i="16" s="1"/>
  <c r="U703" i="16"/>
  <c r="U724" i="16" s="1"/>
  <c r="T703" i="16"/>
  <c r="T724" i="16" s="1"/>
  <c r="S703" i="16"/>
  <c r="S724" i="16" s="1"/>
  <c r="R703" i="16"/>
  <c r="R724" i="16" s="1"/>
  <c r="Q703" i="16"/>
  <c r="Q724" i="16" s="1"/>
  <c r="P703" i="16"/>
  <c r="Y700" i="16"/>
  <c r="X700" i="16"/>
  <c r="W700" i="16"/>
  <c r="V700" i="16"/>
  <c r="U700" i="16"/>
  <c r="T700" i="16"/>
  <c r="S700" i="16"/>
  <c r="R700" i="16"/>
  <c r="Q700" i="16"/>
  <c r="P700" i="16"/>
  <c r="M700" i="16"/>
  <c r="L700" i="16"/>
  <c r="K700" i="16"/>
  <c r="J700" i="16"/>
  <c r="I700" i="16"/>
  <c r="H700" i="16"/>
  <c r="G700" i="16"/>
  <c r="F700" i="16"/>
  <c r="E700" i="16"/>
  <c r="D700" i="16"/>
  <c r="Y699" i="16"/>
  <c r="Y720" i="16" s="1"/>
  <c r="X699" i="16"/>
  <c r="X720" i="16" s="1"/>
  <c r="W699" i="16"/>
  <c r="W720" i="16" s="1"/>
  <c r="V699" i="16"/>
  <c r="V720" i="16" s="1"/>
  <c r="U699" i="16"/>
  <c r="U720" i="16" s="1"/>
  <c r="T699" i="16"/>
  <c r="T720" i="16" s="1"/>
  <c r="S699" i="16"/>
  <c r="S720" i="16" s="1"/>
  <c r="R699" i="16"/>
  <c r="R720" i="16" s="1"/>
  <c r="Q699" i="16"/>
  <c r="Q720" i="16" s="1"/>
  <c r="P699" i="16"/>
  <c r="P720" i="16" s="1"/>
  <c r="Y696" i="16"/>
  <c r="X696" i="16"/>
  <c r="W696" i="16"/>
  <c r="V696" i="16"/>
  <c r="U696" i="16"/>
  <c r="T696" i="16"/>
  <c r="S696" i="16"/>
  <c r="R696" i="16"/>
  <c r="Q696" i="16"/>
  <c r="P696" i="16"/>
  <c r="M696" i="16"/>
  <c r="L696" i="16"/>
  <c r="K696" i="16"/>
  <c r="J696" i="16"/>
  <c r="I696" i="16"/>
  <c r="H696" i="16"/>
  <c r="G696" i="16"/>
  <c r="F696" i="16"/>
  <c r="E696" i="16"/>
  <c r="D696" i="16"/>
  <c r="Y695" i="16"/>
  <c r="X695" i="16"/>
  <c r="W695" i="16"/>
  <c r="V695" i="16"/>
  <c r="U695" i="16"/>
  <c r="T695" i="16"/>
  <c r="S695" i="16"/>
  <c r="R695" i="16"/>
  <c r="Q695" i="16"/>
  <c r="P695" i="16"/>
  <c r="D686" i="16"/>
  <c r="F5" i="36"/>
  <c r="X708" i="16" l="1"/>
  <c r="Q697" i="16"/>
  <c r="Y697" i="16"/>
  <c r="V697" i="16"/>
  <c r="P697" i="16"/>
  <c r="T707" i="16"/>
  <c r="X707" i="16"/>
  <c r="F708" i="16"/>
  <c r="J708" i="16"/>
  <c r="U697" i="16"/>
  <c r="S707" i="16"/>
  <c r="E708" i="16"/>
  <c r="M708" i="16"/>
  <c r="R707" i="16"/>
  <c r="D708" i="16"/>
  <c r="H708" i="16"/>
  <c r="L708" i="16"/>
  <c r="W707" i="16"/>
  <c r="I708" i="16"/>
  <c r="S708" i="16"/>
  <c r="R708" i="16" s="1"/>
  <c r="Q708" i="16" s="1"/>
  <c r="P708" i="16" s="1"/>
  <c r="G708" i="16"/>
  <c r="K708" i="16"/>
  <c r="R697" i="16"/>
  <c r="Y701" i="16"/>
  <c r="W708" i="16"/>
  <c r="V708" i="16" s="1"/>
  <c r="U708" i="16" s="1"/>
  <c r="T708" i="16" s="1"/>
  <c r="Q707" i="16"/>
  <c r="S701" i="16"/>
  <c r="Y705" i="16"/>
  <c r="X705" i="16" s="1"/>
  <c r="Y707" i="16"/>
  <c r="U707" i="16"/>
  <c r="P724" i="16"/>
  <c r="X697" i="16"/>
  <c r="W697" i="16" s="1"/>
  <c r="S705" i="16"/>
  <c r="R705" i="16" s="1"/>
  <c r="Q705" i="16" s="1"/>
  <c r="T697" i="16"/>
  <c r="S697" i="16" s="1"/>
  <c r="P701" i="16"/>
  <c r="T701" i="16"/>
  <c r="T705" i="16"/>
  <c r="V707" i="16"/>
  <c r="X701" i="16"/>
  <c r="W701" i="16" s="1"/>
  <c r="W705" i="16"/>
  <c r="R701" i="16"/>
  <c r="V701" i="16"/>
  <c r="P705" i="16"/>
  <c r="V705" i="16"/>
  <c r="P707" i="16"/>
  <c r="Q701" i="16"/>
  <c r="U701" i="16"/>
  <c r="U705" i="16"/>
  <c r="D685" i="16"/>
  <c r="E6" i="36"/>
  <c r="C6" i="36" l="1"/>
  <c r="D684" i="16"/>
  <c r="F6" i="36"/>
  <c r="D642" i="16" l="1"/>
  <c r="D641" i="16"/>
  <c r="D640" i="16"/>
  <c r="D639" i="16"/>
  <c r="P614" i="16" l="1"/>
  <c r="N607" i="16"/>
  <c r="P591" i="16"/>
  <c r="Q582" i="16"/>
  <c r="P582" i="16"/>
  <c r="Q581" i="16"/>
  <c r="P581" i="16"/>
  <c r="S580" i="16"/>
  <c r="C580" i="16"/>
  <c r="Q579" i="16"/>
  <c r="P579" i="16"/>
  <c r="S578" i="16" l="1"/>
  <c r="S577" i="16"/>
  <c r="C577" i="16"/>
  <c r="Q576" i="16"/>
  <c r="P576" i="16"/>
  <c r="Q575" i="16"/>
  <c r="P575" i="16"/>
  <c r="Q574" i="16" l="1"/>
  <c r="P574" i="16"/>
  <c r="S573" i="16"/>
  <c r="S572" i="16"/>
  <c r="S571" i="16"/>
  <c r="S570" i="16"/>
  <c r="S569" i="16"/>
  <c r="C569" i="16"/>
  <c r="Q568" i="16"/>
  <c r="P568" i="16"/>
  <c r="Q567" i="16"/>
  <c r="P567" i="16"/>
  <c r="Q566" i="16"/>
  <c r="P566" i="16"/>
  <c r="Q565" i="16"/>
  <c r="P565" i="16"/>
  <c r="Q564" i="16"/>
  <c r="P564" i="16"/>
  <c r="Q563" i="16"/>
  <c r="P563" i="16"/>
  <c r="Q562" i="16"/>
  <c r="P562" i="16"/>
  <c r="Q561" i="16"/>
  <c r="P561" i="16"/>
  <c r="Q560" i="16"/>
  <c r="P560" i="16"/>
  <c r="S559" i="16"/>
  <c r="S558" i="16"/>
  <c r="Q557" i="16"/>
  <c r="P557" i="16"/>
  <c r="S556" i="16" l="1"/>
  <c r="C556" i="16"/>
  <c r="S555" i="16"/>
  <c r="Q555" i="16"/>
  <c r="P555" i="16"/>
  <c r="S554" i="16"/>
  <c r="Q554" i="16"/>
  <c r="P554" i="16"/>
  <c r="Q553" i="16"/>
  <c r="P553" i="16"/>
  <c r="Q552" i="16"/>
  <c r="P552" i="16"/>
  <c r="Q551" i="16"/>
  <c r="P551" i="16"/>
  <c r="S550" i="16"/>
  <c r="Q549" i="16"/>
  <c r="P549" i="16"/>
  <c r="Q548" i="16"/>
  <c r="P548" i="16"/>
  <c r="C547" i="16"/>
  <c r="T544" i="16"/>
  <c r="Q544" i="16"/>
  <c r="P544" i="16"/>
  <c r="T543" i="16"/>
  <c r="Q543" i="16"/>
  <c r="P543" i="16"/>
  <c r="T542" i="16"/>
  <c r="S542" i="16"/>
  <c r="C542" i="16"/>
  <c r="T541" i="16"/>
  <c r="Q541" i="16"/>
  <c r="P541" i="16"/>
  <c r="T540" i="16"/>
  <c r="S540" i="16"/>
  <c r="T539" i="16"/>
  <c r="S539" i="16"/>
  <c r="C539" i="16"/>
  <c r="T538" i="16"/>
  <c r="Q538" i="16"/>
  <c r="P538" i="16"/>
  <c r="T537" i="16"/>
  <c r="Q537" i="16"/>
  <c r="P537" i="16"/>
  <c r="T536" i="16"/>
  <c r="Q536" i="16"/>
  <c r="P536" i="16"/>
  <c r="T535" i="16"/>
  <c r="S535" i="16"/>
  <c r="T534" i="16" l="1"/>
  <c r="S534" i="16"/>
  <c r="T533" i="16"/>
  <c r="S533" i="16"/>
  <c r="C533" i="16"/>
  <c r="T532" i="16"/>
  <c r="Q532" i="16"/>
  <c r="P532" i="16"/>
  <c r="T531" i="16"/>
  <c r="Q531" i="16"/>
  <c r="P531" i="16"/>
  <c r="T530" i="16"/>
  <c r="Q530" i="16"/>
  <c r="P530" i="16"/>
  <c r="T529" i="16"/>
  <c r="Q529" i="16"/>
  <c r="P529" i="16"/>
  <c r="T528" i="16"/>
  <c r="Q528" i="16"/>
  <c r="P528" i="16"/>
  <c r="T527" i="16"/>
  <c r="Q527" i="16"/>
  <c r="P527" i="16"/>
  <c r="T526" i="16"/>
  <c r="Q526" i="16"/>
  <c r="P526" i="16"/>
  <c r="Q525" i="16"/>
  <c r="P525" i="16"/>
  <c r="T524" i="16" l="1"/>
  <c r="Q524" i="16"/>
  <c r="P524" i="16"/>
  <c r="T523" i="16"/>
  <c r="Q523" i="16"/>
  <c r="P523" i="16"/>
  <c r="T522" i="16"/>
  <c r="Q522" i="16"/>
  <c r="P522" i="16"/>
  <c r="T521" i="16"/>
  <c r="Q521" i="16"/>
  <c r="P521" i="16"/>
  <c r="T520" i="16"/>
  <c r="Q520" i="16"/>
  <c r="P520" i="16"/>
  <c r="T519" i="16" l="1"/>
  <c r="Q519" i="16"/>
  <c r="P519" i="16"/>
  <c r="T518" i="16"/>
  <c r="Q518" i="16"/>
  <c r="P518" i="16"/>
  <c r="T517" i="16"/>
  <c r="S517" i="16"/>
  <c r="T516" i="16"/>
  <c r="S516" i="16"/>
  <c r="T515" i="16"/>
  <c r="S515" i="16"/>
  <c r="C515" i="16"/>
  <c r="T514" i="16"/>
  <c r="Q514" i="16"/>
  <c r="P514" i="16"/>
  <c r="T513" i="16"/>
  <c r="Q513" i="16"/>
  <c r="P513" i="16"/>
  <c r="Q512" i="16"/>
  <c r="P512" i="16"/>
  <c r="Q511" i="16" l="1"/>
  <c r="P511" i="16"/>
  <c r="T510" i="16"/>
  <c r="Q510" i="16"/>
  <c r="P510" i="16"/>
  <c r="Q509" i="16"/>
  <c r="P509" i="16"/>
  <c r="T508" i="16"/>
  <c r="Q508" i="16"/>
  <c r="P508" i="16"/>
  <c r="T507" i="16"/>
  <c r="Q507" i="16"/>
  <c r="P507" i="16"/>
  <c r="Q506" i="16"/>
  <c r="P506" i="16"/>
  <c r="T505" i="16"/>
  <c r="S505" i="16"/>
  <c r="T504" i="16"/>
  <c r="Q504" i="16"/>
  <c r="P504" i="16"/>
  <c r="T503" i="16"/>
  <c r="Q503" i="16"/>
  <c r="P503" i="16"/>
  <c r="T502" i="16"/>
  <c r="Q502" i="16"/>
  <c r="P502" i="16"/>
  <c r="C501" i="16"/>
  <c r="O500" i="16"/>
  <c r="O546" i="16" s="1"/>
  <c r="T498" i="16"/>
  <c r="Q498" i="16"/>
  <c r="P498" i="16"/>
  <c r="T497" i="16"/>
  <c r="Q497" i="16"/>
  <c r="P497" i="16"/>
  <c r="T496" i="16"/>
  <c r="S496" i="16"/>
  <c r="C496" i="16"/>
  <c r="T495" i="16"/>
  <c r="Q495" i="16"/>
  <c r="P495" i="16"/>
  <c r="T494" i="16"/>
  <c r="Q494" i="16"/>
  <c r="P494" i="16"/>
  <c r="T493" i="16"/>
  <c r="Q493" i="16"/>
  <c r="P493" i="16"/>
  <c r="T492" i="16"/>
  <c r="S492" i="16"/>
  <c r="T491" i="16"/>
  <c r="S491" i="16"/>
  <c r="C491" i="16"/>
  <c r="Q490" i="16"/>
  <c r="P490" i="16"/>
  <c r="T489" i="16"/>
  <c r="Q489" i="16"/>
  <c r="P489" i="16"/>
  <c r="Q488" i="16"/>
  <c r="P488" i="16"/>
  <c r="T487" i="16"/>
  <c r="Q487" i="16"/>
  <c r="P487" i="16"/>
  <c r="T486" i="16"/>
  <c r="Q486" i="16"/>
  <c r="P486" i="16"/>
  <c r="T485" i="16"/>
  <c r="Q485" i="16"/>
  <c r="P485" i="16"/>
  <c r="T484" i="16"/>
  <c r="Q484" i="16"/>
  <c r="P484" i="16"/>
  <c r="T483" i="16"/>
  <c r="Q483" i="16"/>
  <c r="P483" i="16"/>
  <c r="T482" i="16"/>
  <c r="Q482" i="16"/>
  <c r="P482" i="16"/>
  <c r="T481" i="16"/>
  <c r="Q481" i="16"/>
  <c r="P481" i="16"/>
  <c r="T480" i="16" l="1"/>
  <c r="Q480" i="16"/>
  <c r="P480" i="16"/>
  <c r="T479" i="16" l="1"/>
  <c r="S479" i="16"/>
  <c r="T478" i="16"/>
  <c r="S478" i="16"/>
  <c r="T477" i="16"/>
  <c r="S477" i="16"/>
  <c r="T476" i="16"/>
  <c r="Q476" i="16"/>
  <c r="P476" i="16"/>
  <c r="T475" i="16"/>
  <c r="Q475" i="16"/>
  <c r="P475" i="16"/>
  <c r="T474" i="16"/>
  <c r="Q474" i="16"/>
  <c r="P474" i="16"/>
  <c r="T473" i="16"/>
  <c r="Q473" i="16"/>
  <c r="P473" i="16"/>
  <c r="T472" i="16"/>
  <c r="Q472" i="16"/>
  <c r="P472" i="16"/>
  <c r="T471" i="16"/>
  <c r="Q471" i="16"/>
  <c r="P471" i="16"/>
  <c r="T470" i="16"/>
  <c r="S470" i="16"/>
  <c r="C470" i="16"/>
  <c r="T469" i="16"/>
  <c r="Q469" i="16"/>
  <c r="P469" i="16"/>
  <c r="T468" i="16"/>
  <c r="Q468" i="16"/>
  <c r="P468" i="16"/>
  <c r="T467" i="16" l="1"/>
  <c r="Q467" i="16"/>
  <c r="P467" i="16"/>
  <c r="T466" i="16"/>
  <c r="Q466" i="16"/>
  <c r="P466" i="16"/>
  <c r="T465" i="16"/>
  <c r="Q465" i="16"/>
  <c r="P465" i="16"/>
  <c r="T464" i="16"/>
  <c r="Q464" i="16"/>
  <c r="P464" i="16"/>
  <c r="T463" i="16"/>
  <c r="Q463" i="16"/>
  <c r="P463" i="16"/>
  <c r="T462" i="16"/>
  <c r="P462" i="16"/>
  <c r="T461" i="16"/>
  <c r="Q461" i="16"/>
  <c r="P461" i="16"/>
  <c r="T460" i="16"/>
  <c r="Q460" i="16"/>
  <c r="P460" i="16"/>
  <c r="T459" i="16"/>
  <c r="S459" i="16"/>
  <c r="T458" i="16"/>
  <c r="S458" i="16"/>
  <c r="C458" i="16"/>
  <c r="T457" i="16"/>
  <c r="Q457" i="16"/>
  <c r="P457" i="16"/>
  <c r="T456" i="16"/>
  <c r="Q456" i="16"/>
  <c r="P456" i="16"/>
  <c r="T455" i="16"/>
  <c r="Q455" i="16"/>
  <c r="P455" i="16"/>
  <c r="T454" i="16"/>
  <c r="Q454" i="16"/>
  <c r="P454" i="16"/>
  <c r="T453" i="16"/>
  <c r="Q453" i="16"/>
  <c r="P453" i="16"/>
  <c r="T452" i="16"/>
  <c r="S452" i="16"/>
  <c r="T451" i="16"/>
  <c r="S451" i="16"/>
  <c r="T450" i="16"/>
  <c r="Q450" i="16"/>
  <c r="P450" i="16"/>
  <c r="T449" i="16"/>
  <c r="Q449" i="16"/>
  <c r="P449" i="16"/>
  <c r="C448" i="16"/>
  <c r="D441" i="16"/>
  <c r="D440" i="16"/>
  <c r="C439" i="16"/>
  <c r="C436" i="16"/>
  <c r="C428" i="16"/>
  <c r="C415" i="16"/>
  <c r="D414" i="16" l="1"/>
  <c r="D442" i="16" s="1"/>
  <c r="D400" i="16"/>
  <c r="D399" i="16"/>
  <c r="C398" i="16"/>
  <c r="E397" i="16"/>
  <c r="C395" i="16"/>
  <c r="E394" i="16"/>
  <c r="D393" i="16"/>
  <c r="C387" i="16"/>
  <c r="D386" i="16"/>
  <c r="D385" i="16"/>
  <c r="D384" i="16"/>
  <c r="D383" i="16"/>
  <c r="D380" i="16" l="1"/>
  <c r="D379" i="16"/>
  <c r="E378" i="16"/>
  <c r="D375" i="16"/>
  <c r="C374" i="16"/>
  <c r="D372" i="16"/>
  <c r="E371" i="16" l="1"/>
  <c r="G369" i="16"/>
  <c r="D369" i="16"/>
  <c r="D367" i="16"/>
  <c r="F360" i="16"/>
  <c r="C359" i="16"/>
  <c r="C358" i="16"/>
  <c r="C582" i="16" l="1"/>
  <c r="C441" i="16"/>
  <c r="C400" i="16"/>
  <c r="C581" i="16"/>
  <c r="C440" i="16"/>
  <c r="C399" i="16"/>
  <c r="D356" i="16"/>
  <c r="C356" i="16"/>
  <c r="C355" i="16"/>
  <c r="C353" i="16"/>
  <c r="D352" i="16"/>
  <c r="C352" i="16"/>
  <c r="C351" i="16"/>
  <c r="C350" i="16"/>
  <c r="C349" i="16"/>
  <c r="C348" i="16"/>
  <c r="C347" i="16"/>
  <c r="C345" i="16"/>
  <c r="C344" i="16"/>
  <c r="D343" i="16"/>
  <c r="C343" i="16"/>
  <c r="C342" i="16"/>
  <c r="C341" i="16"/>
  <c r="C340" i="16"/>
  <c r="C573" i="16" l="1"/>
  <c r="C432" i="16"/>
  <c r="C578" i="16"/>
  <c r="C437" i="16"/>
  <c r="C563" i="16"/>
  <c r="C422" i="16"/>
  <c r="C381" i="16"/>
  <c r="C567" i="16"/>
  <c r="C426" i="16"/>
  <c r="C385" i="16"/>
  <c r="C572" i="16"/>
  <c r="C431" i="16"/>
  <c r="C576" i="16"/>
  <c r="C435" i="16"/>
  <c r="C394" i="16"/>
  <c r="C566" i="16"/>
  <c r="C425" i="16"/>
  <c r="C384" i="16"/>
  <c r="C571" i="16"/>
  <c r="C430" i="16"/>
  <c r="C575" i="16"/>
  <c r="C434" i="16"/>
  <c r="C393" i="16"/>
  <c r="C392" i="16" s="1"/>
  <c r="C391" i="16" s="1"/>
  <c r="C390" i="16" s="1"/>
  <c r="C389" i="16" s="1"/>
  <c r="C388" i="16" s="1"/>
  <c r="C564" i="16"/>
  <c r="C423" i="16"/>
  <c r="C382" i="16"/>
  <c r="C568" i="16"/>
  <c r="C427" i="16"/>
  <c r="C386" i="16"/>
  <c r="C565" i="16"/>
  <c r="C424" i="16"/>
  <c r="C383" i="16"/>
  <c r="C570" i="16"/>
  <c r="C429" i="16"/>
  <c r="C574" i="16"/>
  <c r="C433" i="16"/>
  <c r="C579" i="16"/>
  <c r="C438" i="16"/>
  <c r="C397" i="16"/>
  <c r="C396" i="16" s="1"/>
  <c r="C339" i="16"/>
  <c r="C338" i="16"/>
  <c r="D337" i="16"/>
  <c r="C337" i="16"/>
  <c r="C336" i="16"/>
  <c r="C335" i="16"/>
  <c r="D334" i="16"/>
  <c r="C334" i="16"/>
  <c r="C332" i="16"/>
  <c r="C331" i="16"/>
  <c r="D330" i="16"/>
  <c r="C330" i="16"/>
  <c r="D329" i="16"/>
  <c r="C329" i="16"/>
  <c r="D328" i="16"/>
  <c r="C328" i="16"/>
  <c r="C327" i="16"/>
  <c r="D326" i="16"/>
  <c r="C326" i="16"/>
  <c r="C325" i="16"/>
  <c r="D315" i="16"/>
  <c r="D314" i="16"/>
  <c r="C313" i="16"/>
  <c r="E312" i="16"/>
  <c r="C310" i="16"/>
  <c r="E308" i="16"/>
  <c r="C304" i="16"/>
  <c r="E303" i="16"/>
  <c r="E298" i="16"/>
  <c r="E297" i="16"/>
  <c r="E294" i="16"/>
  <c r="E291" i="16"/>
  <c r="E290" i="16"/>
  <c r="C286" i="16"/>
  <c r="E283" i="16"/>
  <c r="E282" i="16"/>
  <c r="E281" i="16"/>
  <c r="E274" i="16"/>
  <c r="D267" i="16"/>
  <c r="D266" i="16"/>
  <c r="C265" i="16"/>
  <c r="E264" i="16"/>
  <c r="C262" i="16"/>
  <c r="D260" i="16"/>
  <c r="G255" i="16"/>
  <c r="D255" i="16"/>
  <c r="D254" i="16"/>
  <c r="D253" i="16"/>
  <c r="D252" i="16"/>
  <c r="D251" i="16"/>
  <c r="D249" i="16"/>
  <c r="G247" i="16"/>
  <c r="D247" i="16"/>
  <c r="E246" i="16"/>
  <c r="D245" i="16"/>
  <c r="E243" i="16"/>
  <c r="E242" i="16"/>
  <c r="E241" i="16"/>
  <c r="D237" i="16"/>
  <c r="E235" i="16"/>
  <c r="E234" i="16"/>
  <c r="E233" i="16"/>
  <c r="D227" i="16"/>
  <c r="D226" i="16"/>
  <c r="F220" i="16"/>
  <c r="D219" i="16"/>
  <c r="C219" i="16"/>
  <c r="C544" i="16" s="1"/>
  <c r="D218" i="16"/>
  <c r="C218" i="16"/>
  <c r="C543" i="16" s="1"/>
  <c r="D216" i="16"/>
  <c r="C216" i="16"/>
  <c r="C541" i="16" s="1"/>
  <c r="C215" i="16"/>
  <c r="C540" i="16" s="1"/>
  <c r="D213" i="16"/>
  <c r="C213" i="16"/>
  <c r="C538" i="16" s="1"/>
  <c r="E212" i="16"/>
  <c r="S537" i="16" s="1"/>
  <c r="C212" i="16"/>
  <c r="C537" i="16" s="1"/>
  <c r="C211" i="16"/>
  <c r="C536" i="16" s="1"/>
  <c r="C210" i="16"/>
  <c r="C535" i="16" s="1"/>
  <c r="C209" i="16"/>
  <c r="C534" i="16" s="1"/>
  <c r="D207" i="16"/>
  <c r="C207" i="16"/>
  <c r="C532" i="16" s="1"/>
  <c r="C314" i="16" l="1"/>
  <c r="C315" i="16"/>
  <c r="C260" i="16"/>
  <c r="C308" i="16"/>
  <c r="C307" i="16"/>
  <c r="C548" i="16"/>
  <c r="C407" i="16"/>
  <c r="C366" i="16"/>
  <c r="C549" i="16"/>
  <c r="C408" i="16"/>
  <c r="C367" i="16"/>
  <c r="C554" i="16"/>
  <c r="C413" i="16"/>
  <c r="C372" i="16"/>
  <c r="C559" i="16"/>
  <c r="C418" i="16"/>
  <c r="C259" i="16"/>
  <c r="C261" i="16"/>
  <c r="C312" i="16"/>
  <c r="C553" i="16"/>
  <c r="C412" i="16"/>
  <c r="C371" i="16"/>
  <c r="C558" i="16"/>
  <c r="C417" i="16"/>
  <c r="C562" i="16"/>
  <c r="C421" i="16"/>
  <c r="C380" i="16"/>
  <c r="C551" i="16"/>
  <c r="C410" i="16"/>
  <c r="C369" i="16"/>
  <c r="C368" i="16" s="1"/>
  <c r="C557" i="16"/>
  <c r="C416" i="16"/>
  <c r="C375" i="16"/>
  <c r="C561" i="16"/>
  <c r="C420" i="16"/>
  <c r="C379" i="16"/>
  <c r="C311" i="16"/>
  <c r="C257" i="16"/>
  <c r="C264" i="16"/>
  <c r="C263" i="16" s="1"/>
  <c r="C303" i="16"/>
  <c r="C306" i="16"/>
  <c r="C552" i="16"/>
  <c r="C411" i="16"/>
  <c r="C550" i="16"/>
  <c r="C409" i="16"/>
  <c r="C555" i="16"/>
  <c r="C414" i="16"/>
  <c r="C373" i="16"/>
  <c r="C560" i="16"/>
  <c r="C419" i="16"/>
  <c r="C378" i="16"/>
  <c r="C377" i="16" s="1"/>
  <c r="C376" i="16" s="1"/>
  <c r="C258" i="16"/>
  <c r="C255" i="16"/>
  <c r="C266" i="16"/>
  <c r="C267" i="16"/>
  <c r="C305" i="16"/>
  <c r="C309" i="16"/>
  <c r="D360" i="16"/>
  <c r="D206" i="16"/>
  <c r="C206" i="16"/>
  <c r="D205" i="16"/>
  <c r="C205" i="16"/>
  <c r="D204" i="16"/>
  <c r="C204" i="16"/>
  <c r="D203" i="16"/>
  <c r="C203" i="16"/>
  <c r="C202" i="16"/>
  <c r="D201" i="16"/>
  <c r="C201" i="16"/>
  <c r="C200" i="16"/>
  <c r="G199" i="16"/>
  <c r="D199" i="16"/>
  <c r="C199" i="16"/>
  <c r="C297" i="16" l="1"/>
  <c r="C249" i="16"/>
  <c r="S235" i="16" s="1"/>
  <c r="C247" i="16"/>
  <c r="C295" i="16"/>
  <c r="C527" i="16"/>
  <c r="C250" i="16"/>
  <c r="S236" i="16" s="1"/>
  <c r="C298" i="16"/>
  <c r="C528" i="16"/>
  <c r="C251" i="16"/>
  <c r="S237" i="16" s="1"/>
  <c r="C299" i="16"/>
  <c r="C530" i="16"/>
  <c r="C301" i="16"/>
  <c r="C253" i="16"/>
  <c r="S239" i="16" s="1"/>
  <c r="C525" i="16"/>
  <c r="C296" i="16"/>
  <c r="C248" i="16"/>
  <c r="S234" i="16" s="1"/>
  <c r="C531" i="16"/>
  <c r="C302" i="16"/>
  <c r="C254" i="16"/>
  <c r="S240" i="16" s="1"/>
  <c r="C529" i="16"/>
  <c r="C300" i="16"/>
  <c r="C252" i="16"/>
  <c r="S238" i="16" s="1"/>
  <c r="D198" i="16"/>
  <c r="C198" i="16"/>
  <c r="D197" i="16"/>
  <c r="C197" i="16"/>
  <c r="D196" i="16"/>
  <c r="C196" i="16"/>
  <c r="G195" i="16"/>
  <c r="D195" i="16"/>
  <c r="C195" i="16"/>
  <c r="E194" i="16"/>
  <c r="S519" i="16" s="1"/>
  <c r="C194" i="16"/>
  <c r="E193" i="16"/>
  <c r="S518" i="16" s="1"/>
  <c r="C193" i="16"/>
  <c r="C192" i="16"/>
  <c r="C191" i="16"/>
  <c r="C189" i="16"/>
  <c r="C188" i="16"/>
  <c r="C187" i="16"/>
  <c r="C186" i="16"/>
  <c r="D185" i="16"/>
  <c r="C185" i="16"/>
  <c r="C184" i="16"/>
  <c r="G49" i="36"/>
  <c r="G88" i="36"/>
  <c r="G126" i="36"/>
  <c r="G125" i="36"/>
  <c r="F7" i="36"/>
  <c r="G90" i="36"/>
  <c r="E7" i="36"/>
  <c r="F74" i="36"/>
  <c r="I48" i="36"/>
  <c r="F77" i="36"/>
  <c r="I51" i="36"/>
  <c r="I52" i="36"/>
  <c r="I84" i="36"/>
  <c r="G43" i="36"/>
  <c r="I117" i="36"/>
  <c r="G127" i="36"/>
  <c r="I90" i="36"/>
  <c r="H80" i="36"/>
  <c r="G94" i="36"/>
  <c r="I120" i="36"/>
  <c r="G83" i="36"/>
  <c r="H82" i="36"/>
  <c r="H94" i="36"/>
  <c r="I86" i="36"/>
  <c r="H52" i="36"/>
  <c r="G3" i="36"/>
  <c r="I82" i="36"/>
  <c r="G93" i="36"/>
  <c r="G46" i="36"/>
  <c r="I94" i="36"/>
  <c r="G45" i="36"/>
  <c r="I89" i="36"/>
  <c r="H93" i="36"/>
  <c r="I115" i="36"/>
  <c r="G115" i="36"/>
  <c r="E73" i="36"/>
  <c r="H49" i="36"/>
  <c r="I81" i="36"/>
  <c r="H127" i="36"/>
  <c r="I4" i="36"/>
  <c r="H121" i="36"/>
  <c r="G124" i="36"/>
  <c r="H78" i="36"/>
  <c r="H44" i="36"/>
  <c r="I118" i="36"/>
  <c r="H114" i="36"/>
  <c r="H126" i="36"/>
  <c r="G78" i="36"/>
  <c r="G51" i="36"/>
  <c r="I125" i="36"/>
  <c r="I123" i="36"/>
  <c r="I44" i="36"/>
  <c r="G50" i="36"/>
  <c r="H119" i="36"/>
  <c r="E74" i="36"/>
  <c r="H124" i="36"/>
  <c r="I127" i="36"/>
  <c r="G119" i="36"/>
  <c r="H92" i="36"/>
  <c r="H50" i="36"/>
  <c r="H118" i="36"/>
  <c r="I126" i="36"/>
  <c r="I46" i="36"/>
  <c r="G48" i="36"/>
  <c r="G117" i="36"/>
  <c r="I122" i="36"/>
  <c r="H47" i="36"/>
  <c r="G80" i="36"/>
  <c r="I116" i="36"/>
  <c r="H90" i="36"/>
  <c r="G81" i="36"/>
  <c r="I93" i="36"/>
  <c r="G89" i="36"/>
  <c r="I124" i="36"/>
  <c r="G47" i="36"/>
  <c r="G116" i="36"/>
  <c r="I80" i="36"/>
  <c r="F75" i="36"/>
  <c r="G82" i="36"/>
  <c r="G52" i="36"/>
  <c r="I47" i="36"/>
  <c r="I85" i="36"/>
  <c r="I5" i="36"/>
  <c r="G114" i="36"/>
  <c r="H6" i="36"/>
  <c r="G120" i="36"/>
  <c r="G79" i="36"/>
  <c r="H88" i="36"/>
  <c r="E95" i="36"/>
  <c r="H117" i="36"/>
  <c r="H45" i="36"/>
  <c r="I119" i="36"/>
  <c r="F76" i="36"/>
  <c r="G86" i="36"/>
  <c r="H3" i="36"/>
  <c r="I91" i="36"/>
  <c r="E76" i="36"/>
  <c r="H81" i="36"/>
  <c r="I43" i="36"/>
  <c r="E75" i="36"/>
  <c r="I49" i="36"/>
  <c r="G5" i="36"/>
  <c r="F95" i="36"/>
  <c r="G44" i="36"/>
  <c r="H5" i="36"/>
  <c r="G123" i="36"/>
  <c r="F73" i="36"/>
  <c r="H79" i="36"/>
  <c r="I87" i="36"/>
  <c r="I45" i="36"/>
  <c r="E8" i="36"/>
  <c r="I92" i="36"/>
  <c r="I114" i="36"/>
  <c r="I121" i="36"/>
  <c r="H122" i="36"/>
  <c r="H46" i="36"/>
  <c r="H86" i="36"/>
  <c r="I83" i="36"/>
  <c r="G91" i="36"/>
  <c r="H116" i="36"/>
  <c r="I88" i="36"/>
  <c r="E53" i="36"/>
  <c r="F53" i="36" s="1"/>
  <c r="G84" i="36"/>
  <c r="H89" i="36"/>
  <c r="H48" i="36"/>
  <c r="I50" i="36"/>
  <c r="G122" i="36"/>
  <c r="H125" i="36"/>
  <c r="H83" i="36"/>
  <c r="H43" i="36"/>
  <c r="G6" i="36"/>
  <c r="H123" i="36"/>
  <c r="H85" i="36"/>
  <c r="I79" i="36"/>
  <c r="E77" i="36"/>
  <c r="H120" i="36"/>
  <c r="I3" i="36"/>
  <c r="G85" i="36"/>
  <c r="H51" i="36"/>
  <c r="H4" i="36"/>
  <c r="G4" i="36"/>
  <c r="I78" i="36"/>
  <c r="G92" i="36"/>
  <c r="G118" i="36"/>
  <c r="H87" i="36"/>
  <c r="I6" i="36"/>
  <c r="H84" i="36"/>
  <c r="H115" i="36"/>
  <c r="F96" i="36"/>
  <c r="H91" i="36"/>
  <c r="E96" i="36"/>
  <c r="G87" i="36"/>
  <c r="G121" i="36"/>
  <c r="C7" i="36" l="1"/>
  <c r="C8" i="36"/>
  <c r="C284" i="16"/>
  <c r="C236" i="16"/>
  <c r="S232" i="16" s="1"/>
  <c r="C281" i="16"/>
  <c r="C233" i="16"/>
  <c r="C512" i="16"/>
  <c r="C283" i="16"/>
  <c r="C235" i="16"/>
  <c r="S231" i="16" s="1"/>
  <c r="C518" i="16"/>
  <c r="C241" i="16"/>
  <c r="C289" i="16"/>
  <c r="C520" i="16"/>
  <c r="C243" i="16"/>
  <c r="C291" i="16"/>
  <c r="C514" i="16"/>
  <c r="C285" i="16"/>
  <c r="C237" i="16"/>
  <c r="C516" i="16"/>
  <c r="C287" i="16"/>
  <c r="C239" i="16"/>
  <c r="C519" i="16"/>
  <c r="C290" i="16"/>
  <c r="C242" i="16"/>
  <c r="C522" i="16"/>
  <c r="C245" i="16"/>
  <c r="C293" i="16"/>
  <c r="C511" i="16"/>
  <c r="C282" i="16"/>
  <c r="C234" i="16"/>
  <c r="S230" i="16" s="1"/>
  <c r="C517" i="16"/>
  <c r="C288" i="16"/>
  <c r="C240" i="16"/>
  <c r="C523" i="16"/>
  <c r="C294" i="16"/>
  <c r="C246" i="16"/>
  <c r="C509" i="16"/>
  <c r="C232" i="16"/>
  <c r="C280" i="16"/>
  <c r="C521" i="16"/>
  <c r="C292" i="16"/>
  <c r="C244" i="16"/>
  <c r="S233" i="16" s="1"/>
  <c r="C183" i="16"/>
  <c r="I73" i="36"/>
  <c r="I7" i="36"/>
  <c r="H73" i="36"/>
  <c r="G7" i="36"/>
  <c r="I96" i="36"/>
  <c r="G76" i="36"/>
  <c r="H74" i="36"/>
  <c r="F8" i="36"/>
  <c r="I74" i="36"/>
  <c r="H76" i="36"/>
  <c r="G73" i="36"/>
  <c r="G53" i="36"/>
  <c r="I75" i="36"/>
  <c r="G95" i="36"/>
  <c r="E54" i="36"/>
  <c r="I77" i="36"/>
  <c r="F54" i="36"/>
  <c r="H77" i="36"/>
  <c r="E97" i="36"/>
  <c r="H7" i="36"/>
  <c r="H95" i="36"/>
  <c r="G75" i="36"/>
  <c r="I76" i="36"/>
  <c r="H53" i="36"/>
  <c r="H75" i="36"/>
  <c r="G74" i="36"/>
  <c r="G96" i="36"/>
  <c r="I53" i="36"/>
  <c r="I95" i="36"/>
  <c r="H96" i="36"/>
  <c r="G77" i="36"/>
  <c r="C508" i="16" l="1"/>
  <c r="C279" i="16"/>
  <c r="C231" i="16"/>
  <c r="S229" i="16" s="1"/>
  <c r="C182" i="16"/>
  <c r="C181" i="16"/>
  <c r="C180" i="16"/>
  <c r="D179" i="16"/>
  <c r="C179" i="16"/>
  <c r="D178" i="16"/>
  <c r="C178" i="16"/>
  <c r="C177" i="16"/>
  <c r="D168" i="16"/>
  <c r="D167" i="16"/>
  <c r="E166" i="16"/>
  <c r="C166" i="16"/>
  <c r="B166" i="16"/>
  <c r="D165" i="16"/>
  <c r="D164" i="16"/>
  <c r="E163" i="16"/>
  <c r="E161" i="16"/>
  <c r="C161" i="16"/>
  <c r="E160" i="16"/>
  <c r="E158" i="16"/>
  <c r="E157" i="16"/>
  <c r="E156" i="16"/>
  <c r="E155" i="16"/>
  <c r="E154" i="16"/>
  <c r="E153" i="16"/>
  <c r="E152" i="16"/>
  <c r="E151" i="16"/>
  <c r="E150" i="16"/>
  <c r="E143" i="16"/>
  <c r="E140" i="16"/>
  <c r="C140" i="16"/>
  <c r="E139" i="16"/>
  <c r="E138" i="16"/>
  <c r="E137" i="16"/>
  <c r="E131" i="16"/>
  <c r="E128" i="16"/>
  <c r="C128" i="16"/>
  <c r="E127" i="16"/>
  <c r="E126" i="16"/>
  <c r="E125" i="16"/>
  <c r="E124" i="16"/>
  <c r="D113" i="16"/>
  <c r="D112" i="16"/>
  <c r="C111" i="16"/>
  <c r="C106" i="16"/>
  <c r="E104" i="16"/>
  <c r="E103" i="16"/>
  <c r="D91" i="16"/>
  <c r="E90" i="16"/>
  <c r="D89" i="16"/>
  <c r="D88" i="16"/>
  <c r="E87" i="16"/>
  <c r="E86" i="16"/>
  <c r="C85" i="16"/>
  <c r="D84" i="16"/>
  <c r="D83" i="16"/>
  <c r="H54" i="36"/>
  <c r="I54" i="36"/>
  <c r="F9" i="36"/>
  <c r="I8" i="36"/>
  <c r="G8" i="36"/>
  <c r="E9" i="36"/>
  <c r="F97" i="36"/>
  <c r="E55" i="36"/>
  <c r="G54" i="36"/>
  <c r="H8" i="36"/>
  <c r="C9" i="36" l="1"/>
  <c r="C278" i="16"/>
  <c r="C230" i="16"/>
  <c r="S228" i="16" s="1"/>
  <c r="C505" i="16"/>
  <c r="C276" i="16"/>
  <c r="C228" i="16"/>
  <c r="C275" i="16"/>
  <c r="C227" i="16"/>
  <c r="C229" i="16"/>
  <c r="S227" i="16" s="1"/>
  <c r="C277" i="16"/>
  <c r="C502" i="16"/>
  <c r="C225" i="16"/>
  <c r="C503" i="16"/>
  <c r="C274" i="16"/>
  <c r="C273" i="16" s="1"/>
  <c r="C226" i="16"/>
  <c r="D82" i="16"/>
  <c r="D81" i="16"/>
  <c r="D80" i="16"/>
  <c r="D79" i="16"/>
  <c r="D78" i="16"/>
  <c r="D77" i="16"/>
  <c r="D75" i="16"/>
  <c r="C73" i="16"/>
  <c r="D72" i="16"/>
  <c r="D71" i="16"/>
  <c r="D65" i="16"/>
  <c r="D64" i="16"/>
  <c r="F59" i="16"/>
  <c r="D58" i="16"/>
  <c r="C58" i="16"/>
  <c r="D57" i="16"/>
  <c r="C57" i="16"/>
  <c r="D55" i="16"/>
  <c r="C55" i="16"/>
  <c r="D54" i="16"/>
  <c r="C54" i="16"/>
  <c r="D53" i="16"/>
  <c r="C53" i="16"/>
  <c r="C52" i="16"/>
  <c r="C50" i="16"/>
  <c r="D49" i="16"/>
  <c r="C49" i="16"/>
  <c r="C48" i="16"/>
  <c r="E47" i="16"/>
  <c r="S487" i="16" s="1"/>
  <c r="C47" i="16"/>
  <c r="C46" i="16"/>
  <c r="D45" i="16"/>
  <c r="C45" i="16"/>
  <c r="D44" i="16"/>
  <c r="C44" i="16"/>
  <c r="D43" i="16"/>
  <c r="C43" i="16"/>
  <c r="D42" i="16"/>
  <c r="C42" i="16"/>
  <c r="D41" i="16"/>
  <c r="C41" i="16"/>
  <c r="H9" i="36"/>
  <c r="G97" i="36"/>
  <c r="G9" i="36"/>
  <c r="F55" i="36"/>
  <c r="E10" i="36"/>
  <c r="H97" i="36"/>
  <c r="I9" i="36"/>
  <c r="I97" i="36"/>
  <c r="E98" i="36"/>
  <c r="C10" i="36" l="1"/>
  <c r="C487" i="16"/>
  <c r="C157" i="16"/>
  <c r="C102" i="16"/>
  <c r="C493" i="16"/>
  <c r="C163" i="16"/>
  <c r="C108" i="16"/>
  <c r="C484" i="16"/>
  <c r="C99" i="16"/>
  <c r="C154" i="16"/>
  <c r="C164" i="16"/>
  <c r="C109" i="16"/>
  <c r="C483" i="16"/>
  <c r="C153" i="16"/>
  <c r="C98" i="16"/>
  <c r="C97" i="16"/>
  <c r="C152" i="16"/>
  <c r="C486" i="16"/>
  <c r="C101" i="16"/>
  <c r="C156" i="16"/>
  <c r="C490" i="16"/>
  <c r="C105" i="16"/>
  <c r="C160" i="16"/>
  <c r="C492" i="16"/>
  <c r="C107" i="16"/>
  <c r="C162" i="16"/>
  <c r="C497" i="16"/>
  <c r="C167" i="16"/>
  <c r="C112" i="16"/>
  <c r="C498" i="16"/>
  <c r="C168" i="16"/>
  <c r="C113" i="16"/>
  <c r="C481" i="16"/>
  <c r="C151" i="16"/>
  <c r="C96" i="16"/>
  <c r="C155" i="16"/>
  <c r="C100" i="16"/>
  <c r="C488" i="16"/>
  <c r="C103" i="16"/>
  <c r="C158" i="16"/>
  <c r="C159" i="16"/>
  <c r="C104" i="16"/>
  <c r="C110" i="16"/>
  <c r="C165" i="16"/>
  <c r="D40" i="16"/>
  <c r="C40" i="16"/>
  <c r="C39" i="16"/>
  <c r="C38" i="16"/>
  <c r="C37" i="16"/>
  <c r="D36" i="16"/>
  <c r="C36" i="16"/>
  <c r="D35" i="16"/>
  <c r="C35" i="16"/>
  <c r="D34" i="16"/>
  <c r="C34" i="16"/>
  <c r="C33" i="16"/>
  <c r="E56" i="36"/>
  <c r="H55" i="36"/>
  <c r="I55" i="36"/>
  <c r="G55" i="36"/>
  <c r="E99" i="36"/>
  <c r="F98" i="36"/>
  <c r="F10" i="36"/>
  <c r="C478" i="16" l="1"/>
  <c r="C148" i="16"/>
  <c r="C93" i="16"/>
  <c r="C145" i="16"/>
  <c r="C90" i="16"/>
  <c r="C479" i="16"/>
  <c r="C149" i="16"/>
  <c r="C94" i="16"/>
  <c r="C477" i="16"/>
  <c r="C92" i="16"/>
  <c r="C147" i="16"/>
  <c r="C474" i="16"/>
  <c r="C144" i="16"/>
  <c r="C89" i="16"/>
  <c r="C473" i="16"/>
  <c r="C88" i="16"/>
  <c r="C143" i="16"/>
  <c r="C91" i="16"/>
  <c r="C146" i="16"/>
  <c r="C480" i="16"/>
  <c r="C150" i="16"/>
  <c r="C95" i="16"/>
  <c r="D32" i="16"/>
  <c r="C32" i="16"/>
  <c r="D31" i="16"/>
  <c r="C31" i="16"/>
  <c r="D29" i="16"/>
  <c r="C29" i="16"/>
  <c r="D28" i="16"/>
  <c r="C28" i="16"/>
  <c r="D27" i="16"/>
  <c r="C27" i="16"/>
  <c r="D26" i="16"/>
  <c r="C26" i="16"/>
  <c r="D25" i="16"/>
  <c r="C25" i="16"/>
  <c r="D24" i="16"/>
  <c r="C24" i="16"/>
  <c r="D23" i="16"/>
  <c r="C23" i="16"/>
  <c r="C22" i="16"/>
  <c r="C21" i="16"/>
  <c r="D20" i="16"/>
  <c r="C20" i="16"/>
  <c r="C19" i="16"/>
  <c r="C17" i="16"/>
  <c r="D16" i="16"/>
  <c r="C16" i="16"/>
  <c r="E15" i="16"/>
  <c r="S455" i="16" s="1"/>
  <c r="C15" i="16"/>
  <c r="F56" i="36"/>
  <c r="F99" i="36"/>
  <c r="G98" i="36"/>
  <c r="E11" i="36"/>
  <c r="G10" i="36"/>
  <c r="I10" i="36"/>
  <c r="H10" i="36"/>
  <c r="H98" i="36"/>
  <c r="I98" i="36"/>
  <c r="C11" i="36" l="1"/>
  <c r="C457" i="16"/>
  <c r="C127" i="16"/>
  <c r="C72" i="16"/>
  <c r="C465" i="16"/>
  <c r="C135" i="16"/>
  <c r="C80" i="16"/>
  <c r="C469" i="16"/>
  <c r="C139" i="16"/>
  <c r="C84" i="16"/>
  <c r="C455" i="16"/>
  <c r="C125" i="16"/>
  <c r="C70" i="16"/>
  <c r="C456" i="16"/>
  <c r="C126" i="16"/>
  <c r="C71" i="16"/>
  <c r="C131" i="16"/>
  <c r="C76" i="16"/>
  <c r="C464" i="16"/>
  <c r="C134" i="16"/>
  <c r="C79" i="16"/>
  <c r="C468" i="16"/>
  <c r="C83" i="16"/>
  <c r="C138" i="16"/>
  <c r="C459" i="16"/>
  <c r="C129" i="16"/>
  <c r="C74" i="16"/>
  <c r="C132" i="16"/>
  <c r="C77" i="16"/>
  <c r="C466" i="16"/>
  <c r="C136" i="16"/>
  <c r="C81" i="16"/>
  <c r="C471" i="16"/>
  <c r="C141" i="16"/>
  <c r="C86" i="16"/>
  <c r="C460" i="16"/>
  <c r="C130" i="16"/>
  <c r="C75" i="16"/>
  <c r="C463" i="16"/>
  <c r="C133" i="16"/>
  <c r="C78" i="16"/>
  <c r="C467" i="16"/>
  <c r="C137" i="16"/>
  <c r="C82" i="16"/>
  <c r="C142" i="16"/>
  <c r="C87" i="16"/>
  <c r="E14" i="16"/>
  <c r="S454" i="16" s="1"/>
  <c r="C14" i="16"/>
  <c r="E13" i="16"/>
  <c r="S453" i="16" s="1"/>
  <c r="C13" i="16"/>
  <c r="C12" i="16"/>
  <c r="C11" i="16"/>
  <c r="D10" i="16"/>
  <c r="C10" i="16"/>
  <c r="C9" i="16"/>
  <c r="H3" i="16"/>
  <c r="H2" i="16"/>
  <c r="H1" i="16"/>
  <c r="L321" i="15"/>
  <c r="K321" i="15"/>
  <c r="J321" i="15"/>
  <c r="I320" i="15"/>
  <c r="H320" i="15"/>
  <c r="G320" i="15"/>
  <c r="F320" i="15"/>
  <c r="E320" i="15"/>
  <c r="F317" i="15"/>
  <c r="E317" i="15"/>
  <c r="F316" i="15"/>
  <c r="E316" i="15"/>
  <c r="I56" i="36"/>
  <c r="I99" i="36"/>
  <c r="H56" i="36"/>
  <c r="E100" i="36"/>
  <c r="G99" i="36"/>
  <c r="F11" i="36"/>
  <c r="E57" i="36"/>
  <c r="H99" i="36"/>
  <c r="G56" i="36"/>
  <c r="H330" i="16" l="1"/>
  <c r="H328" i="16"/>
  <c r="H329" i="16"/>
  <c r="H216" i="16"/>
  <c r="H197" i="16"/>
  <c r="H207" i="16"/>
  <c r="H205" i="16"/>
  <c r="I2" i="16"/>
  <c r="I255" i="16" s="1"/>
  <c r="I3" i="16"/>
  <c r="I1" i="16"/>
  <c r="C452" i="16"/>
  <c r="C122" i="16"/>
  <c r="C67" i="16"/>
  <c r="C451" i="16"/>
  <c r="C121" i="16"/>
  <c r="C66" i="16"/>
  <c r="C454" i="16"/>
  <c r="C124" i="16"/>
  <c r="C69" i="16"/>
  <c r="H255" i="16"/>
  <c r="H247" i="16"/>
  <c r="C449" i="16"/>
  <c r="C119" i="16"/>
  <c r="C64" i="16"/>
  <c r="C450" i="16"/>
  <c r="C120" i="16"/>
  <c r="C65" i="16"/>
  <c r="H199" i="16"/>
  <c r="H195" i="16"/>
  <c r="C453" i="16"/>
  <c r="C123" i="16"/>
  <c r="C68" i="16"/>
  <c r="F300" i="15"/>
  <c r="F299" i="15"/>
  <c r="G290" i="15"/>
  <c r="G11" i="36"/>
  <c r="H11" i="36"/>
  <c r="E12" i="36"/>
  <c r="I11" i="36"/>
  <c r="E101" i="36"/>
  <c r="F100" i="36"/>
  <c r="F57" i="36"/>
  <c r="J2" i="16" l="1"/>
  <c r="K2" i="16" s="1"/>
  <c r="I369" i="16"/>
  <c r="H369" i="16" s="1"/>
  <c r="C12" i="36"/>
  <c r="I216" i="16"/>
  <c r="I329" i="16"/>
  <c r="I330" i="16"/>
  <c r="I328" i="16"/>
  <c r="I205" i="16"/>
  <c r="I197" i="16"/>
  <c r="I207" i="16"/>
  <c r="I247" i="16"/>
  <c r="I195" i="16"/>
  <c r="J3" i="16"/>
  <c r="J1" i="16"/>
  <c r="I199" i="16"/>
  <c r="H57" i="36"/>
  <c r="F101" i="36"/>
  <c r="G100" i="36"/>
  <c r="I57" i="36"/>
  <c r="H100" i="36"/>
  <c r="E13" i="36"/>
  <c r="I100" i="36"/>
  <c r="G57" i="36"/>
  <c r="F12" i="36"/>
  <c r="E58" i="36"/>
  <c r="J247" i="16" l="1"/>
  <c r="J255" i="16"/>
  <c r="J369" i="16"/>
  <c r="C13" i="36"/>
  <c r="K3" i="16"/>
  <c r="J329" i="16"/>
  <c r="J216" i="16"/>
  <c r="J330" i="16"/>
  <c r="J328" i="16"/>
  <c r="J205" i="16"/>
  <c r="J197" i="16"/>
  <c r="J207" i="16"/>
  <c r="J199" i="16"/>
  <c r="K1" i="16"/>
  <c r="J195" i="16"/>
  <c r="K369" i="16"/>
  <c r="K255" i="16"/>
  <c r="K247" i="16"/>
  <c r="L2" i="16"/>
  <c r="I12" i="36"/>
  <c r="G12" i="36"/>
  <c r="H12" i="36"/>
  <c r="E102" i="36"/>
  <c r="F13" i="36"/>
  <c r="H101" i="36"/>
  <c r="F58" i="36"/>
  <c r="G101" i="36"/>
  <c r="F102" i="36"/>
  <c r="I101" i="36"/>
  <c r="K216" i="16" l="1"/>
  <c r="K330" i="16"/>
  <c r="K328" i="16"/>
  <c r="K329" i="16"/>
  <c r="K207" i="16"/>
  <c r="K205" i="16"/>
  <c r="K197" i="16"/>
  <c r="L3" i="16"/>
  <c r="M3" i="16" s="1"/>
  <c r="L1" i="16"/>
  <c r="K199" i="16"/>
  <c r="K195" i="16"/>
  <c r="L255" i="16"/>
  <c r="L247" i="16"/>
  <c r="M2" i="16"/>
  <c r="H13" i="36"/>
  <c r="I58" i="36"/>
  <c r="G102" i="36"/>
  <c r="H58" i="36"/>
  <c r="H102" i="36"/>
  <c r="I102" i="36"/>
  <c r="E103" i="36"/>
  <c r="E14" i="36"/>
  <c r="I13" i="36"/>
  <c r="E59" i="36"/>
  <c r="G58" i="36"/>
  <c r="G13" i="36"/>
  <c r="C14" i="36" l="1"/>
  <c r="L330" i="16"/>
  <c r="L328" i="16"/>
  <c r="L216" i="16"/>
  <c r="L329" i="16"/>
  <c r="L197" i="16"/>
  <c r="L205" i="16"/>
  <c r="L207" i="16"/>
  <c r="C73" i="36"/>
  <c r="M1" i="16"/>
  <c r="L195" i="16"/>
  <c r="L199" i="16"/>
  <c r="M255" i="16"/>
  <c r="M247" i="16"/>
  <c r="N2" i="16"/>
  <c r="N3" i="16"/>
  <c r="F14" i="36"/>
  <c r="E15" i="36"/>
  <c r="F103" i="36"/>
  <c r="F59" i="36"/>
  <c r="C15" i="36" l="1"/>
  <c r="M330" i="16"/>
  <c r="M328" i="16"/>
  <c r="M216" i="16"/>
  <c r="M329" i="16"/>
  <c r="M205" i="16"/>
  <c r="M207" i="16"/>
  <c r="M197" i="16"/>
  <c r="C74" i="36"/>
  <c r="M199" i="16"/>
  <c r="N1" i="16"/>
  <c r="M195" i="16"/>
  <c r="N255" i="16"/>
  <c r="N247" i="16"/>
  <c r="O2" i="16"/>
  <c r="O3" i="16"/>
  <c r="I103" i="36"/>
  <c r="F15" i="36"/>
  <c r="G59" i="36"/>
  <c r="H59" i="36"/>
  <c r="G14" i="36"/>
  <c r="H14" i="36"/>
  <c r="I59" i="36"/>
  <c r="E104" i="36"/>
  <c r="H103" i="36"/>
  <c r="E60" i="36"/>
  <c r="F60" i="36" s="1"/>
  <c r="G103" i="36"/>
  <c r="I14" i="36"/>
  <c r="N329" i="16" l="1"/>
  <c r="N330" i="16"/>
  <c r="N328" i="16"/>
  <c r="N216" i="16"/>
  <c r="N207" i="16"/>
  <c r="N205" i="16"/>
  <c r="N197" i="16"/>
  <c r="C75" i="36"/>
  <c r="O1" i="16"/>
  <c r="N195" i="16"/>
  <c r="N199" i="16"/>
  <c r="O255" i="16"/>
  <c r="O247" i="16"/>
  <c r="P2" i="16"/>
  <c r="P3" i="16"/>
  <c r="E16" i="36"/>
  <c r="E61" i="36"/>
  <c r="E62" i="36"/>
  <c r="F16" i="36"/>
  <c r="H15" i="36"/>
  <c r="E17" i="36"/>
  <c r="G15" i="36"/>
  <c r="F104" i="36"/>
  <c r="G60" i="36"/>
  <c r="I15" i="36"/>
  <c r="I60" i="36"/>
  <c r="H60" i="36"/>
  <c r="C16" i="36" l="1"/>
  <c r="C17" i="36" s="1"/>
  <c r="O216" i="16"/>
  <c r="O329" i="16"/>
  <c r="O330" i="16"/>
  <c r="O328" i="16"/>
  <c r="O207" i="16"/>
  <c r="O205" i="16"/>
  <c r="O197" i="16"/>
  <c r="C76" i="36"/>
  <c r="P1" i="16"/>
  <c r="O199" i="16"/>
  <c r="O195" i="16"/>
  <c r="P255" i="16"/>
  <c r="E255" i="16" s="1"/>
  <c r="P247" i="16"/>
  <c r="E247" i="16" s="1"/>
  <c r="F62" i="36"/>
  <c r="F17" i="36"/>
  <c r="G16" i="36"/>
  <c r="F61" i="36"/>
  <c r="H16" i="36"/>
  <c r="G104" i="36"/>
  <c r="E105" i="36"/>
  <c r="I16" i="36"/>
  <c r="I104" i="36"/>
  <c r="H104" i="36"/>
  <c r="P330" i="16" l="1"/>
  <c r="P328" i="16"/>
  <c r="E328" i="16" s="1"/>
  <c r="S551" i="16" s="1"/>
  <c r="P329" i="16"/>
  <c r="E329" i="16" s="1"/>
  <c r="S552" i="16" s="1"/>
  <c r="P216" i="16"/>
  <c r="E216" i="16" s="1"/>
  <c r="S541" i="16" s="1"/>
  <c r="P197" i="16"/>
  <c r="E197" i="16" s="1"/>
  <c r="S522" i="16" s="1"/>
  <c r="P207" i="16"/>
  <c r="E207" i="16" s="1"/>
  <c r="S532" i="16" s="1"/>
  <c r="P205" i="16"/>
  <c r="C77" i="36"/>
  <c r="P195" i="16"/>
  <c r="E195" i="16" s="1"/>
  <c r="S520" i="16" s="1"/>
  <c r="S462" i="16"/>
  <c r="P199" i="16"/>
  <c r="E199" i="16" s="1"/>
  <c r="S524" i="16" s="1"/>
  <c r="D223" i="15"/>
  <c r="F222" i="15"/>
  <c r="F221" i="15"/>
  <c r="F219" i="15"/>
  <c r="F216" i="15" s="1"/>
  <c r="F218" i="15"/>
  <c r="F215" i="15" s="1"/>
  <c r="E202" i="15"/>
  <c r="G202" i="15" s="1"/>
  <c r="E201" i="15"/>
  <c r="E18" i="36"/>
  <c r="G62" i="36"/>
  <c r="H61" i="36"/>
  <c r="E63" i="36"/>
  <c r="F63" i="36"/>
  <c r="H62" i="36"/>
  <c r="E106" i="36"/>
  <c r="H17" i="36"/>
  <c r="I61" i="36"/>
  <c r="F105" i="36"/>
  <c r="I17" i="36"/>
  <c r="G61" i="36"/>
  <c r="G17" i="36"/>
  <c r="I62" i="36"/>
  <c r="C18" i="36" l="1"/>
  <c r="F202" i="15"/>
  <c r="G201" i="15"/>
  <c r="F201" i="15"/>
  <c r="E185" i="15"/>
  <c r="E179" i="15" s="1"/>
  <c r="E182" i="15"/>
  <c r="E184" i="15" s="1"/>
  <c r="E178" i="15" s="1"/>
  <c r="E165" i="15"/>
  <c r="E163" i="15"/>
  <c r="E161" i="15"/>
  <c r="E159" i="15"/>
  <c r="E157" i="15"/>
  <c r="H154" i="15"/>
  <c r="H63" i="36"/>
  <c r="I105" i="36"/>
  <c r="G105" i="36"/>
  <c r="F64" i="36"/>
  <c r="F18" i="36"/>
  <c r="E64" i="36"/>
  <c r="H105" i="36"/>
  <c r="I63" i="36"/>
  <c r="F106" i="36"/>
  <c r="G63" i="36"/>
  <c r="E176" i="15" l="1"/>
  <c r="D190" i="15"/>
  <c r="E183" i="15"/>
  <c r="E177" i="15" s="1"/>
  <c r="E19" i="36"/>
  <c r="I106" i="36"/>
  <c r="E65" i="36"/>
  <c r="I64" i="36"/>
  <c r="G106" i="36"/>
  <c r="H18" i="36"/>
  <c r="G18" i="36"/>
  <c r="H106" i="36"/>
  <c r="G64" i="36"/>
  <c r="H64" i="36"/>
  <c r="E107" i="36"/>
  <c r="I18" i="36"/>
  <c r="C19" i="36" l="1"/>
  <c r="F65" i="36"/>
  <c r="F20" i="36"/>
  <c r="F107" i="36"/>
  <c r="F19" i="36"/>
  <c r="F145" i="15" l="1"/>
  <c r="D142" i="15"/>
  <c r="I65" i="36"/>
  <c r="I107" i="36"/>
  <c r="E21" i="36"/>
  <c r="H19" i="36"/>
  <c r="E67" i="36"/>
  <c r="F66" i="36"/>
  <c r="G65" i="36"/>
  <c r="H20" i="36"/>
  <c r="H65" i="36"/>
  <c r="H107" i="36"/>
  <c r="I20" i="36"/>
  <c r="E108" i="36"/>
  <c r="I19" i="36"/>
  <c r="E66" i="36"/>
  <c r="E20" i="36"/>
  <c r="G107" i="36"/>
  <c r="G20" i="36"/>
  <c r="G19" i="36"/>
  <c r="C20" i="36" l="1"/>
  <c r="C21" i="36"/>
  <c r="E138" i="15"/>
  <c r="I66" i="36"/>
  <c r="E68" i="36"/>
  <c r="F67" i="36"/>
  <c r="H66" i="36"/>
  <c r="G66" i="36"/>
  <c r="F109" i="36"/>
  <c r="E22" i="36"/>
  <c r="F108" i="36"/>
  <c r="E109" i="36"/>
  <c r="F21" i="36"/>
  <c r="C22" i="36" l="1"/>
  <c r="E129" i="15"/>
  <c r="E128" i="15"/>
  <c r="F125" i="15"/>
  <c r="D122" i="15"/>
  <c r="F120" i="15"/>
  <c r="E120" i="15"/>
  <c r="F119" i="15"/>
  <c r="E119" i="15"/>
  <c r="E116" i="15"/>
  <c r="I109" i="36"/>
  <c r="I108" i="36"/>
  <c r="I21" i="36"/>
  <c r="F22" i="36"/>
  <c r="G67" i="36"/>
  <c r="F68" i="36"/>
  <c r="I67" i="36"/>
  <c r="E110" i="36"/>
  <c r="G21" i="36"/>
  <c r="F110" i="36"/>
  <c r="G109" i="36"/>
  <c r="H108" i="36"/>
  <c r="H21" i="36"/>
  <c r="H67" i="36"/>
  <c r="H109" i="36"/>
  <c r="G108" i="36"/>
  <c r="F129" i="15" l="1"/>
  <c r="F155" i="15" s="1"/>
  <c r="E102" i="15"/>
  <c r="E101" i="15"/>
  <c r="E100" i="15"/>
  <c r="E99" i="15"/>
  <c r="E98" i="15"/>
  <c r="E69" i="36"/>
  <c r="H110" i="36"/>
  <c r="F23" i="36"/>
  <c r="H68" i="36"/>
  <c r="I22" i="36"/>
  <c r="G110" i="36"/>
  <c r="G22" i="36"/>
  <c r="H22" i="36"/>
  <c r="I110" i="36"/>
  <c r="E111" i="36"/>
  <c r="I68" i="36"/>
  <c r="E23" i="36"/>
  <c r="G68" i="36"/>
  <c r="C23" i="36" l="1"/>
  <c r="F163" i="15"/>
  <c r="F164" i="15" s="1"/>
  <c r="F159" i="15"/>
  <c r="F160" i="15" s="1"/>
  <c r="F156" i="15"/>
  <c r="F157" i="15" s="1"/>
  <c r="E97" i="15"/>
  <c r="D94" i="15"/>
  <c r="E90" i="15"/>
  <c r="F86" i="15"/>
  <c r="F87" i="15" s="1"/>
  <c r="I23" i="36"/>
  <c r="F69" i="36"/>
  <c r="H23" i="36"/>
  <c r="F111" i="36"/>
  <c r="G23" i="36"/>
  <c r="E24" i="36"/>
  <c r="C24" i="36" l="1"/>
  <c r="F161" i="15"/>
  <c r="F165" i="15"/>
  <c r="F167" i="15"/>
  <c r="F168" i="15"/>
  <c r="P47" i="15"/>
  <c r="O47" i="15"/>
  <c r="N47" i="15"/>
  <c r="M47" i="15"/>
  <c r="L47" i="15"/>
  <c r="K47" i="15"/>
  <c r="J47" i="15"/>
  <c r="I47" i="15"/>
  <c r="H47" i="15"/>
  <c r="G47" i="15"/>
  <c r="E47" i="15"/>
  <c r="P46" i="15"/>
  <c r="O46" i="15"/>
  <c r="N46" i="15"/>
  <c r="M46" i="15"/>
  <c r="L46" i="15"/>
  <c r="K46" i="15"/>
  <c r="J46" i="15"/>
  <c r="I46" i="15"/>
  <c r="H46" i="15"/>
  <c r="G46" i="15"/>
  <c r="E46" i="15"/>
  <c r="G69" i="36"/>
  <c r="F24" i="36"/>
  <c r="I111" i="36"/>
  <c r="E25" i="36"/>
  <c r="E71" i="36"/>
  <c r="I69" i="36"/>
  <c r="E70" i="36"/>
  <c r="E112" i="36"/>
  <c r="H69" i="36"/>
  <c r="H111" i="36"/>
  <c r="G111" i="36"/>
  <c r="C25" i="36" l="1"/>
  <c r="O370" i="16"/>
  <c r="K370" i="16"/>
  <c r="G370" i="16"/>
  <c r="P370" i="16"/>
  <c r="L370" i="16"/>
  <c r="H370" i="16"/>
  <c r="M370" i="16"/>
  <c r="N370" i="16"/>
  <c r="J370" i="16"/>
  <c r="I370" i="16"/>
  <c r="F72" i="36"/>
  <c r="E72" i="36"/>
  <c r="F25" i="36"/>
  <c r="H24" i="36"/>
  <c r="E26" i="36"/>
  <c r="F70" i="36"/>
  <c r="F112" i="36"/>
  <c r="E113" i="36"/>
  <c r="I24" i="36"/>
  <c r="F71" i="36"/>
  <c r="G24" i="36"/>
  <c r="C26" i="36" l="1"/>
  <c r="E370" i="16"/>
  <c r="C370" i="16" s="1"/>
  <c r="P369" i="16" s="1"/>
  <c r="E40" i="15"/>
  <c r="P39" i="15"/>
  <c r="O39" i="15"/>
  <c r="N39" i="15"/>
  <c r="M39" i="15"/>
  <c r="L39" i="15"/>
  <c r="K39" i="15"/>
  <c r="J39" i="15"/>
  <c r="I39" i="15"/>
  <c r="H39" i="15"/>
  <c r="G39" i="15"/>
  <c r="F38" i="15"/>
  <c r="G70" i="36"/>
  <c r="F113" i="36"/>
  <c r="H70" i="36"/>
  <c r="F26" i="36"/>
  <c r="E27" i="36"/>
  <c r="H72" i="36"/>
  <c r="G72" i="36"/>
  <c r="I71" i="36"/>
  <c r="G71" i="36"/>
  <c r="G25" i="36"/>
  <c r="I70" i="36"/>
  <c r="I112" i="36"/>
  <c r="H25" i="36"/>
  <c r="I72" i="36"/>
  <c r="H112" i="36"/>
  <c r="I25" i="36"/>
  <c r="H71" i="36"/>
  <c r="G112" i="36"/>
  <c r="C27" i="36" l="1"/>
  <c r="O369" i="16"/>
  <c r="G113" i="36"/>
  <c r="I113" i="36"/>
  <c r="I26" i="36"/>
  <c r="F27" i="36"/>
  <c r="H113" i="36"/>
  <c r="H26" i="36"/>
  <c r="G26" i="36"/>
  <c r="N369" i="16" l="1"/>
  <c r="E32" i="15"/>
  <c r="H27" i="36"/>
  <c r="E28" i="36"/>
  <c r="I27" i="36"/>
  <c r="G27" i="36"/>
  <c r="C28" i="36" l="1"/>
  <c r="M369" i="16"/>
  <c r="F30" i="15"/>
  <c r="F28" i="15"/>
  <c r="F28" i="36"/>
  <c r="L369" i="16" l="1"/>
  <c r="H28" i="36"/>
  <c r="I28" i="36"/>
  <c r="G28" i="36"/>
  <c r="E29" i="36"/>
  <c r="C29" i="36" l="1"/>
  <c r="E369" i="16"/>
  <c r="E24" i="15"/>
  <c r="F20" i="15"/>
  <c r="E31" i="36"/>
  <c r="F29" i="36"/>
  <c r="F30" i="36"/>
  <c r="F19" i="15" l="1"/>
  <c r="F27" i="15" s="1"/>
  <c r="F32" i="36"/>
  <c r="G30" i="36"/>
  <c r="G29" i="36"/>
  <c r="I29" i="36"/>
  <c r="H29" i="36"/>
  <c r="E32" i="36"/>
  <c r="E30" i="36"/>
  <c r="H30" i="36"/>
  <c r="F31" i="36"/>
  <c r="I30" i="36"/>
  <c r="C30" i="36" l="1"/>
  <c r="C31" i="36" s="1"/>
  <c r="C32" i="36"/>
  <c r="F257" i="15"/>
  <c r="F35" i="15"/>
  <c r="F18" i="15"/>
  <c r="I31" i="36"/>
  <c r="E33" i="36"/>
  <c r="H32" i="36"/>
  <c r="I32" i="36"/>
  <c r="F33" i="36"/>
  <c r="E34" i="36"/>
  <c r="G31" i="36"/>
  <c r="H31" i="36"/>
  <c r="G32" i="36"/>
  <c r="C33" i="36" l="1"/>
  <c r="F247" i="15"/>
  <c r="F26" i="15"/>
  <c r="E19" i="15"/>
  <c r="F256" i="15"/>
  <c r="F43" i="15"/>
  <c r="F17" i="15"/>
  <c r="F34" i="36"/>
  <c r="I33" i="36"/>
  <c r="E35" i="36"/>
  <c r="H33" i="36"/>
  <c r="G33" i="36"/>
  <c r="C34" i="36" l="1"/>
  <c r="F56" i="15"/>
  <c r="F248" i="15"/>
  <c r="F34" i="15"/>
  <c r="E20" i="15"/>
  <c r="F35" i="36"/>
  <c r="G34" i="36"/>
  <c r="H34" i="36"/>
  <c r="I34" i="36"/>
  <c r="C35" i="36" l="1"/>
  <c r="F249" i="15"/>
  <c r="F42" i="15"/>
  <c r="E54" i="15"/>
  <c r="E41" i="36"/>
  <c r="I35" i="36"/>
  <c r="G35" i="36"/>
  <c r="H35" i="36"/>
  <c r="E36" i="36"/>
  <c r="C36" i="36" l="1"/>
  <c r="F55" i="15"/>
  <c r="E42" i="36"/>
  <c r="F36" i="36"/>
  <c r="F37" i="36"/>
  <c r="F41" i="36"/>
  <c r="F60" i="15" l="1"/>
  <c r="G37" i="36"/>
  <c r="H36" i="36"/>
  <c r="I41" i="36"/>
  <c r="G41" i="36"/>
  <c r="E37" i="36"/>
  <c r="E38" i="36"/>
  <c r="H37" i="36"/>
  <c r="I36" i="36"/>
  <c r="F42" i="36"/>
  <c r="E39" i="36"/>
  <c r="G36" i="36"/>
  <c r="I37" i="36"/>
  <c r="H41" i="36"/>
  <c r="C37" i="36" l="1"/>
  <c r="C38" i="36"/>
  <c r="C41" i="36"/>
  <c r="E299" i="15"/>
  <c r="I42" i="36"/>
  <c r="H42" i="36"/>
  <c r="F38" i="36"/>
  <c r="E40" i="36"/>
  <c r="G42" i="36"/>
  <c r="F39" i="36"/>
  <c r="C39" i="36" l="1"/>
  <c r="C42" i="36"/>
  <c r="F7" i="15"/>
  <c r="F266" i="15" s="1"/>
  <c r="E1147" i="14"/>
  <c r="D1147" i="14"/>
  <c r="E1146" i="14"/>
  <c r="D1146" i="14"/>
  <c r="D1136" i="14"/>
  <c r="D1135" i="14"/>
  <c r="D1132" i="14"/>
  <c r="D1131" i="14"/>
  <c r="D1130" i="14"/>
  <c r="H39" i="36"/>
  <c r="H38" i="36"/>
  <c r="F40" i="36"/>
  <c r="I39" i="36"/>
  <c r="I38" i="36"/>
  <c r="G38" i="36"/>
  <c r="G39" i="36"/>
  <c r="C40" i="36" l="1"/>
  <c r="E1131" i="14"/>
  <c r="E1132" i="14"/>
  <c r="E303" i="15"/>
  <c r="I40" i="36"/>
  <c r="G40" i="36"/>
  <c r="H40" i="36"/>
  <c r="C53" i="36" l="1"/>
  <c r="D1102" i="14"/>
  <c r="D1101" i="14"/>
  <c r="D1100" i="14"/>
  <c r="C54" i="36" l="1"/>
  <c r="D1094" i="14"/>
  <c r="D1093" i="14"/>
  <c r="C55" i="36" l="1"/>
  <c r="D1041" i="14"/>
  <c r="D1040" i="14"/>
  <c r="D1039" i="14"/>
  <c r="C56" i="36" l="1"/>
  <c r="C1026" i="14"/>
  <c r="C1025" i="14"/>
  <c r="C57" i="36" l="1"/>
  <c r="C1024" i="14"/>
  <c r="C1023" i="14"/>
  <c r="C1022" i="14"/>
  <c r="C1021" i="14"/>
  <c r="C58" i="36" l="1"/>
  <c r="E967" i="14"/>
  <c r="C59" i="36" l="1"/>
  <c r="E944" i="14"/>
  <c r="C60" i="36" l="1"/>
  <c r="E908" i="14"/>
  <c r="C61" i="36" l="1"/>
  <c r="C62" i="36" l="1"/>
  <c r="D892" i="14"/>
  <c r="E892" i="14" s="1"/>
  <c r="D890" i="14"/>
  <c r="F890" i="14" s="1"/>
  <c r="C63" i="36" l="1"/>
  <c r="F892" i="14"/>
  <c r="D885" i="14" s="1"/>
  <c r="E890" i="14"/>
  <c r="D889" i="14"/>
  <c r="C64" i="36" l="1"/>
  <c r="C65" i="36" s="1"/>
  <c r="C66" i="36" s="1"/>
  <c r="C67" i="36" s="1"/>
  <c r="C68" i="36" s="1"/>
  <c r="C69" i="36" s="1"/>
  <c r="C70" i="36" s="1"/>
  <c r="C71" i="36" s="1"/>
  <c r="C72" i="36" s="1"/>
  <c r="C94" i="36" s="1"/>
  <c r="C95" i="36" s="1"/>
  <c r="C96" i="36" s="1"/>
  <c r="C97" i="36" s="1"/>
  <c r="C98" i="36" s="1"/>
  <c r="C99" i="36" s="1"/>
  <c r="C100" i="36" s="1"/>
  <c r="C101" i="36" s="1"/>
  <c r="C102" i="36" s="1"/>
  <c r="C103" i="36" s="1"/>
  <c r="C104" i="36" s="1"/>
  <c r="C105" i="36" s="1"/>
  <c r="C106" i="36" s="1"/>
  <c r="C107" i="36" s="1"/>
  <c r="C108" i="36" s="1"/>
  <c r="C109" i="36" s="1"/>
  <c r="C110" i="36" s="1"/>
  <c r="C111" i="36" s="1"/>
  <c r="C112" i="36" s="1"/>
  <c r="C113" i="36" s="1"/>
  <c r="K67" i="36" s="1"/>
  <c r="E889" i="14"/>
  <c r="F889" i="14"/>
  <c r="D880" i="14"/>
  <c r="M124" i="36" l="1"/>
  <c r="M53" i="36"/>
  <c r="M73" i="36"/>
  <c r="M117" i="36"/>
  <c r="M77" i="36"/>
  <c r="K75" i="36"/>
  <c r="M118" i="36"/>
  <c r="K64" i="36"/>
  <c r="M108" i="36"/>
  <c r="K105" i="36"/>
  <c r="K89" i="36"/>
  <c r="M70" i="36"/>
  <c r="K69" i="36"/>
  <c r="K58" i="36"/>
  <c r="K48" i="36"/>
  <c r="M63" i="36"/>
  <c r="K59" i="36"/>
  <c r="K52" i="36"/>
  <c r="M116" i="36"/>
  <c r="M46" i="36"/>
  <c r="M66" i="36"/>
  <c r="K108" i="36"/>
  <c r="K124" i="36"/>
  <c r="K43" i="36"/>
  <c r="M90" i="36"/>
  <c r="M107" i="36"/>
  <c r="K80" i="36"/>
  <c r="M60" i="36"/>
  <c r="K62" i="36"/>
  <c r="M43" i="36"/>
  <c r="M112" i="36"/>
  <c r="K91" i="36"/>
  <c r="K114" i="36"/>
  <c r="M93" i="36"/>
  <c r="K112" i="36"/>
  <c r="M79" i="36"/>
  <c r="K84" i="36"/>
  <c r="K117" i="36"/>
  <c r="K90" i="36"/>
  <c r="M127" i="36"/>
  <c r="M44" i="36"/>
  <c r="M72" i="36"/>
  <c r="K50" i="36"/>
  <c r="M59" i="36"/>
  <c r="K70" i="36"/>
  <c r="M50" i="36"/>
  <c r="K95" i="36"/>
  <c r="M68" i="36"/>
  <c r="M58" i="36"/>
  <c r="M86" i="36"/>
  <c r="K102" i="36"/>
  <c r="K103" i="36"/>
  <c r="M69" i="36"/>
  <c r="M85" i="36"/>
  <c r="K65" i="36"/>
  <c r="K101" i="36"/>
  <c r="M45" i="36"/>
  <c r="K88" i="36"/>
  <c r="K116" i="36"/>
  <c r="K71" i="36"/>
  <c r="M103" i="36"/>
  <c r="M123" i="36"/>
  <c r="K73" i="36"/>
  <c r="M81" i="36"/>
  <c r="M76" i="36"/>
  <c r="M67" i="36"/>
  <c r="M89" i="36"/>
  <c r="K61" i="36"/>
  <c r="K82" i="36"/>
  <c r="K79" i="36"/>
  <c r="M100" i="36"/>
  <c r="K86" i="36"/>
  <c r="K94" i="36"/>
  <c r="K53" i="36"/>
  <c r="M84" i="36"/>
  <c r="M126" i="36"/>
  <c r="M95" i="36"/>
  <c r="M52" i="36"/>
  <c r="M48" i="36"/>
  <c r="K115" i="36"/>
  <c r="K97" i="36"/>
  <c r="K126" i="36"/>
  <c r="K100" i="36"/>
  <c r="K51" i="36"/>
  <c r="M121" i="36"/>
  <c r="K47" i="36"/>
  <c r="M49" i="36"/>
  <c r="M122" i="36"/>
  <c r="M125" i="36"/>
  <c r="K44" i="36"/>
  <c r="M62" i="36"/>
  <c r="K57" i="36"/>
  <c r="M88" i="36"/>
  <c r="K106" i="36"/>
  <c r="M54" i="36"/>
  <c r="M105" i="36"/>
  <c r="K81" i="36"/>
  <c r="K63" i="36"/>
  <c r="M64" i="36"/>
  <c r="K122" i="36"/>
  <c r="M74" i="36"/>
  <c r="M94" i="36"/>
  <c r="K113" i="36"/>
  <c r="M56" i="36"/>
  <c r="K56" i="36"/>
  <c r="K74" i="36"/>
  <c r="K104" i="36"/>
  <c r="K120" i="36"/>
  <c r="M110" i="36"/>
  <c r="M102" i="36"/>
  <c r="K107" i="36"/>
  <c r="M99" i="36"/>
  <c r="M51" i="36"/>
  <c r="K111" i="36"/>
  <c r="K127" i="36"/>
  <c r="M104" i="36"/>
  <c r="M78" i="36"/>
  <c r="M119" i="36"/>
  <c r="M91" i="36"/>
  <c r="M80" i="36"/>
  <c r="M101" i="36"/>
  <c r="K85" i="36"/>
  <c r="M111" i="36"/>
  <c r="K109" i="36"/>
  <c r="K93" i="36"/>
  <c r="M20" i="36"/>
  <c r="K20" i="36"/>
  <c r="M21" i="36"/>
  <c r="K21" i="36"/>
  <c r="K19" i="36"/>
  <c r="M24" i="36"/>
  <c r="M23" i="36"/>
  <c r="M22" i="36"/>
  <c r="K22" i="36"/>
  <c r="M5" i="36"/>
  <c r="M10" i="36"/>
  <c r="M15" i="36"/>
  <c r="M6" i="36"/>
  <c r="M13" i="36"/>
  <c r="K9" i="36"/>
  <c r="K15" i="36"/>
  <c r="K11" i="36"/>
  <c r="M16" i="36"/>
  <c r="K25" i="36"/>
  <c r="M9" i="36"/>
  <c r="K23" i="36"/>
  <c r="K13" i="36"/>
  <c r="M14" i="36"/>
  <c r="M19" i="36"/>
  <c r="K3" i="36"/>
  <c r="K6" i="36"/>
  <c r="K12" i="36"/>
  <c r="K5" i="36"/>
  <c r="M18" i="36"/>
  <c r="K24" i="36"/>
  <c r="K16" i="36"/>
  <c r="M11" i="36"/>
  <c r="M8" i="36"/>
  <c r="K10" i="36"/>
  <c r="M25" i="36"/>
  <c r="K4" i="36"/>
  <c r="K18" i="36"/>
  <c r="M26" i="36"/>
  <c r="K17" i="36"/>
  <c r="K8" i="36"/>
  <c r="K7" i="36"/>
  <c r="M4" i="36"/>
  <c r="M17" i="36"/>
  <c r="M7" i="36"/>
  <c r="M3" i="36"/>
  <c r="K14" i="36"/>
  <c r="M12" i="36"/>
  <c r="K26" i="36"/>
  <c r="M27" i="36"/>
  <c r="K28" i="36"/>
  <c r="M31" i="36"/>
  <c r="M28" i="36"/>
  <c r="K27" i="36"/>
  <c r="M30" i="36"/>
  <c r="K29" i="36"/>
  <c r="M29" i="36"/>
  <c r="K30" i="36"/>
  <c r="M32" i="36"/>
  <c r="K32" i="36"/>
  <c r="M33" i="36"/>
  <c r="K31" i="36"/>
  <c r="K33" i="36"/>
  <c r="M35" i="36"/>
  <c r="K34" i="36"/>
  <c r="M34" i="36"/>
  <c r="M36" i="36"/>
  <c r="K39" i="36"/>
  <c r="K38" i="36"/>
  <c r="K35" i="36"/>
  <c r="K37" i="36"/>
  <c r="K36" i="36"/>
  <c r="M37" i="36"/>
  <c r="M39" i="36"/>
  <c r="K46" i="36"/>
  <c r="K55" i="36"/>
  <c r="M38" i="36"/>
  <c r="M114" i="36"/>
  <c r="K42" i="36"/>
  <c r="K68" i="36"/>
  <c r="K77" i="36"/>
  <c r="M40" i="36"/>
  <c r="M106" i="36"/>
  <c r="M42" i="36"/>
  <c r="K78" i="36"/>
  <c r="M96" i="36"/>
  <c r="K99" i="36"/>
  <c r="M113" i="36"/>
  <c r="M115" i="36"/>
  <c r="K66" i="36"/>
  <c r="M82" i="36"/>
  <c r="M75" i="36"/>
  <c r="K110" i="36"/>
  <c r="K76" i="36"/>
  <c r="K72" i="36"/>
  <c r="M61" i="36"/>
  <c r="M92" i="36"/>
  <c r="K40" i="36"/>
  <c r="K49" i="36"/>
  <c r="M47" i="36"/>
  <c r="K41" i="36"/>
  <c r="M98" i="36"/>
  <c r="K123" i="36"/>
  <c r="K83" i="36"/>
  <c r="M55" i="36"/>
  <c r="K121" i="36"/>
  <c r="M57" i="36"/>
  <c r="K60" i="36"/>
  <c r="M120" i="36"/>
  <c r="M41" i="36"/>
  <c r="K87" i="36"/>
  <c r="K125" i="36"/>
  <c r="K45" i="36"/>
  <c r="K92" i="36"/>
  <c r="M65" i="36"/>
  <c r="K118" i="36"/>
  <c r="M83" i="36"/>
  <c r="K54" i="36"/>
  <c r="K96" i="36"/>
  <c r="K119" i="36"/>
  <c r="M97" i="36"/>
  <c r="K98" i="36"/>
  <c r="M109" i="36"/>
  <c r="M87" i="36"/>
  <c r="M71" i="36"/>
  <c r="D865" i="14"/>
  <c r="D859" i="14" l="1"/>
  <c r="D856" i="14"/>
  <c r="D854" i="14"/>
  <c r="D860" i="14" l="1"/>
  <c r="D867" i="14"/>
  <c r="D864" i="14"/>
  <c r="D861" i="14"/>
  <c r="D863" i="14"/>
  <c r="D862" i="14"/>
  <c r="D853" i="14"/>
  <c r="D852" i="14"/>
  <c r="D851" i="14"/>
  <c r="D850" i="14"/>
  <c r="D849" i="14"/>
  <c r="D848" i="14"/>
  <c r="E840" i="14"/>
  <c r="F838" i="14" l="1"/>
  <c r="E838" i="14"/>
  <c r="F837" i="14"/>
  <c r="E837" i="14"/>
  <c r="G838" i="14" l="1"/>
  <c r="E839" i="14"/>
  <c r="G837" i="14"/>
  <c r="E830" i="14" l="1"/>
  <c r="F830" i="14" s="1"/>
  <c r="G830" i="14" s="1"/>
  <c r="H830" i="14" s="1"/>
  <c r="I830" i="14" s="1"/>
  <c r="J830" i="14" s="1"/>
  <c r="K830" i="14" s="1"/>
  <c r="L830" i="14" s="1"/>
  <c r="M830" i="14" s="1"/>
  <c r="E829" i="14"/>
  <c r="F829" i="14" s="1"/>
  <c r="G829" i="14" s="1"/>
  <c r="G831" i="14" l="1"/>
  <c r="H829" i="14"/>
  <c r="E831" i="14"/>
  <c r="F831" i="14"/>
  <c r="H831" i="14" l="1"/>
  <c r="I829" i="14"/>
  <c r="I831" i="14" l="1"/>
  <c r="J829" i="14"/>
  <c r="J831" i="14" l="1"/>
  <c r="K829" i="14"/>
  <c r="K831" i="14" l="1"/>
  <c r="L829" i="14"/>
  <c r="L831" i="14" l="1"/>
  <c r="M829" i="14"/>
  <c r="M831" i="14" l="1"/>
  <c r="N829" i="14"/>
  <c r="O829" i="14" l="1"/>
  <c r="D773" i="14" l="1"/>
  <c r="D769" i="14"/>
  <c r="D766" i="14"/>
  <c r="D764" i="14"/>
  <c r="D761" i="14"/>
  <c r="D754" i="14" l="1"/>
  <c r="D747" i="14"/>
  <c r="D744" i="14"/>
  <c r="D741" i="14"/>
  <c r="D739" i="14"/>
  <c r="D737" i="14"/>
  <c r="E732" i="14"/>
  <c r="E731" i="14" l="1"/>
  <c r="E788" i="14" s="1"/>
  <c r="D705" i="14" l="1"/>
  <c r="D702" i="14" l="1"/>
  <c r="D699" i="14" l="1"/>
  <c r="D697" i="14" l="1"/>
  <c r="D695" i="14"/>
  <c r="E689" i="14" l="1"/>
  <c r="E787" i="14" l="1"/>
  <c r="E693" i="14"/>
  <c r="E662" i="14"/>
  <c r="E661" i="14"/>
  <c r="D660" i="14"/>
  <c r="D659" i="14"/>
  <c r="D658" i="14"/>
  <c r="D655" i="14" l="1"/>
  <c r="E654" i="14"/>
  <c r="D654" i="14"/>
  <c r="E653" i="14"/>
  <c r="E639" i="14" l="1"/>
  <c r="D639" i="14"/>
  <c r="E631" i="14"/>
  <c r="E633" i="14" l="1"/>
  <c r="E640" i="14"/>
  <c r="E643" i="14" s="1"/>
  <c r="E641" i="14"/>
  <c r="E642" i="14" l="1"/>
  <c r="M624" i="14"/>
  <c r="G621" i="14" l="1"/>
  <c r="G622" i="14" s="1"/>
  <c r="F621" i="14"/>
  <c r="E621" i="14"/>
  <c r="E622" i="14" s="1"/>
  <c r="D621" i="14"/>
  <c r="M620" i="14"/>
  <c r="E667" i="14" l="1"/>
  <c r="D622" i="14"/>
  <c r="E668" i="14"/>
  <c r="F622" i="14"/>
  <c r="E669" i="14" l="1"/>
  <c r="E664" i="14"/>
  <c r="E656" i="14"/>
  <c r="E665" i="14" l="1"/>
  <c r="D575" i="14" l="1"/>
  <c r="C575" i="14"/>
  <c r="E568" i="14" l="1"/>
  <c r="E567" i="14"/>
  <c r="E565" i="14"/>
  <c r="D557" i="14"/>
  <c r="D556" i="14"/>
  <c r="D555" i="14"/>
  <c r="E573" i="14" l="1"/>
  <c r="D551" i="14"/>
  <c r="D546" i="14"/>
  <c r="D545" i="14"/>
  <c r="D544" i="14"/>
  <c r="D541" i="14"/>
  <c r="E541" i="14" s="1"/>
  <c r="D536" i="14"/>
  <c r="D535" i="14"/>
  <c r="D534" i="14"/>
  <c r="E549" i="14" l="1"/>
  <c r="D531" i="14"/>
  <c r="D530" i="14"/>
  <c r="D529" i="14"/>
  <c r="D527" i="14"/>
  <c r="D517" i="14"/>
  <c r="D516" i="14"/>
  <c r="D514" i="14"/>
  <c r="D513" i="14"/>
  <c r="D512" i="14" l="1"/>
  <c r="D511" i="14"/>
  <c r="D509" i="14"/>
  <c r="E509" i="14" s="1"/>
  <c r="D508" i="14"/>
  <c r="E508" i="14" s="1"/>
  <c r="D498" i="14"/>
  <c r="D497" i="14"/>
  <c r="C493" i="14"/>
  <c r="C492" i="14"/>
  <c r="E445" i="14" l="1"/>
  <c r="F445" i="14" s="1"/>
  <c r="G445" i="14" s="1"/>
  <c r="H445" i="14" s="1"/>
  <c r="I445" i="14" s="1"/>
  <c r="J445" i="14" s="1"/>
  <c r="K445" i="14" s="1"/>
  <c r="L445" i="14" s="1"/>
  <c r="M445" i="14" s="1"/>
  <c r="N445" i="14" s="1"/>
  <c r="O445" i="14" s="1"/>
  <c r="E444" i="14"/>
  <c r="F444" i="14" s="1"/>
  <c r="G444" i="14" s="1"/>
  <c r="E438" i="14"/>
  <c r="F438" i="14" s="1"/>
  <c r="G438" i="14" s="1"/>
  <c r="H438" i="14" s="1"/>
  <c r="I438" i="14" s="1"/>
  <c r="J438" i="14" s="1"/>
  <c r="K438" i="14" s="1"/>
  <c r="L438" i="14" s="1"/>
  <c r="M438" i="14" s="1"/>
  <c r="N438" i="14" s="1"/>
  <c r="O438" i="14" s="1"/>
  <c r="E437" i="14"/>
  <c r="F437" i="14" s="1"/>
  <c r="G437" i="14" s="1"/>
  <c r="H437" i="14" s="1"/>
  <c r="I437" i="14" s="1"/>
  <c r="E435" i="14"/>
  <c r="E434" i="14"/>
  <c r="F434" i="14" s="1"/>
  <c r="E433" i="14"/>
  <c r="F433" i="14" s="1"/>
  <c r="G433" i="14" s="1"/>
  <c r="H433" i="14" s="1"/>
  <c r="I433" i="14" s="1"/>
  <c r="J433" i="14" s="1"/>
  <c r="K433" i="14" s="1"/>
  <c r="L433" i="14" s="1"/>
  <c r="M433" i="14" s="1"/>
  <c r="N433" i="14" s="1"/>
  <c r="O433" i="14" s="1"/>
  <c r="O571" i="14" s="1"/>
  <c r="N571" i="14" s="1"/>
  <c r="M571" i="14" s="1"/>
  <c r="L571" i="14" s="1"/>
  <c r="K571" i="14" s="1"/>
  <c r="J571" i="14" s="1"/>
  <c r="I571" i="14" s="1"/>
  <c r="H571" i="14" s="1"/>
  <c r="G571" i="14" s="1"/>
  <c r="F571" i="14" s="1"/>
  <c r="E571" i="14" s="1"/>
  <c r="E432" i="14"/>
  <c r="F432" i="14" s="1"/>
  <c r="F497" i="14" s="1"/>
  <c r="J437" i="14" l="1"/>
  <c r="K437" i="14" s="1"/>
  <c r="L437" i="14" s="1"/>
  <c r="M437" i="14" s="1"/>
  <c r="N437" i="14" s="1"/>
  <c r="O437" i="14" s="1"/>
  <c r="E440" i="14"/>
  <c r="F439" i="14"/>
  <c r="E439" i="14"/>
  <c r="F435" i="14"/>
  <c r="F440" i="14" s="1"/>
  <c r="E574" i="14"/>
  <c r="F570" i="14"/>
  <c r="E570" i="14" s="1"/>
  <c r="F520" i="14"/>
  <c r="G202" i="16"/>
  <c r="G432" i="14"/>
  <c r="G497" i="14" s="1"/>
  <c r="G434" i="14"/>
  <c r="E428" i="14"/>
  <c r="D427" i="14"/>
  <c r="D488" i="14" s="1"/>
  <c r="D487" i="14"/>
  <c r="G435" i="14" l="1"/>
  <c r="H435" i="14" s="1"/>
  <c r="H440" i="14" s="1"/>
  <c r="F547" i="14"/>
  <c r="F518" i="14"/>
  <c r="F519" i="14"/>
  <c r="G520" i="14"/>
  <c r="H202" i="16"/>
  <c r="H432" i="14"/>
  <c r="H497" i="14" s="1"/>
  <c r="H434" i="14"/>
  <c r="H439" i="14" s="1"/>
  <c r="G439" i="14"/>
  <c r="D421" i="14"/>
  <c r="G440" i="14" l="1"/>
  <c r="H520" i="14"/>
  <c r="H519" i="14" s="1"/>
  <c r="I202" i="16"/>
  <c r="I432" i="14"/>
  <c r="I497" i="14" s="1"/>
  <c r="G519" i="14"/>
  <c r="G518" i="14"/>
  <c r="G547" i="14"/>
  <c r="D420" i="14"/>
  <c r="E413" i="14"/>
  <c r="F413" i="14" s="1"/>
  <c r="D408" i="14"/>
  <c r="D407" i="14"/>
  <c r="E396" i="14"/>
  <c r="F396" i="14" s="1"/>
  <c r="G396" i="14" s="1"/>
  <c r="H396" i="14" s="1"/>
  <c r="I396" i="14" s="1"/>
  <c r="J396" i="14" s="1"/>
  <c r="K396" i="14" s="1"/>
  <c r="L396" i="14" s="1"/>
  <c r="M396" i="14" s="1"/>
  <c r="N396" i="14" s="1"/>
  <c r="O396" i="14" s="1"/>
  <c r="E395" i="14"/>
  <c r="E392" i="14"/>
  <c r="E391" i="14"/>
  <c r="E386" i="14"/>
  <c r="E385" i="14"/>
  <c r="C378" i="14"/>
  <c r="D375" i="14"/>
  <c r="D374" i="14"/>
  <c r="F395" i="14" l="1"/>
  <c r="E1159" i="14"/>
  <c r="E1174" i="14" s="1"/>
  <c r="E397" i="14"/>
  <c r="E398" i="14"/>
  <c r="G413" i="14"/>
  <c r="H547" i="14"/>
  <c r="H518" i="14"/>
  <c r="I570" i="14"/>
  <c r="H570" i="14" s="1"/>
  <c r="G570" i="14" s="1"/>
  <c r="I520" i="14"/>
  <c r="J202" i="16"/>
  <c r="J432" i="14"/>
  <c r="J497" i="14" s="1"/>
  <c r="G395" i="14" l="1"/>
  <c r="F1159" i="14"/>
  <c r="F1174" i="14" s="1"/>
  <c r="H413" i="14"/>
  <c r="J570" i="14"/>
  <c r="J520" i="14"/>
  <c r="K202" i="16"/>
  <c r="K432" i="14"/>
  <c r="K497" i="14" s="1"/>
  <c r="D342" i="14"/>
  <c r="D341" i="14"/>
  <c r="E341" i="14" s="1"/>
  <c r="E338" i="14"/>
  <c r="E337" i="14"/>
  <c r="C325" i="14"/>
  <c r="D321" i="14"/>
  <c r="D308" i="14"/>
  <c r="D307" i="14"/>
  <c r="D305" i="14"/>
  <c r="H395" i="14" l="1"/>
  <c r="G1159" i="14"/>
  <c r="G1174" i="14" s="1"/>
  <c r="E342" i="14"/>
  <c r="K520" i="14"/>
  <c r="L202" i="16"/>
  <c r="L432" i="14"/>
  <c r="L497" i="14" s="1"/>
  <c r="I413" i="14"/>
  <c r="D304" i="14"/>
  <c r="E302" i="14"/>
  <c r="E301" i="14"/>
  <c r="I395" i="14" l="1"/>
  <c r="H1159" i="14"/>
  <c r="H1174" i="14" s="1"/>
  <c r="E304" i="14"/>
  <c r="J413" i="14"/>
  <c r="L570" i="14"/>
  <c r="K570" i="14" s="1"/>
  <c r="L520" i="14"/>
  <c r="M432" i="14"/>
  <c r="M497" i="14" s="1"/>
  <c r="E312" i="14" l="1"/>
  <c r="E310" i="14" s="1"/>
  <c r="I1159" i="14"/>
  <c r="I1174" i="14" s="1"/>
  <c r="J395" i="14"/>
  <c r="J292" i="14" s="1"/>
  <c r="I292" i="14"/>
  <c r="K413" i="14"/>
  <c r="M570" i="14"/>
  <c r="M520" i="14"/>
  <c r="N432" i="14"/>
  <c r="N497" i="14" s="1"/>
  <c r="O293" i="14"/>
  <c r="N293" i="14"/>
  <c r="M293" i="14"/>
  <c r="L293" i="14"/>
  <c r="K293" i="14"/>
  <c r="J293" i="14"/>
  <c r="I293" i="14"/>
  <c r="H293" i="14"/>
  <c r="G293" i="14"/>
  <c r="F293" i="14"/>
  <c r="E293" i="14" s="1"/>
  <c r="H292" i="14"/>
  <c r="G292" i="14"/>
  <c r="F292" i="14"/>
  <c r="E292" i="14"/>
  <c r="D285" i="14"/>
  <c r="K395" i="14" l="1"/>
  <c r="J1159" i="14"/>
  <c r="J1174" i="14" s="1"/>
  <c r="L413" i="14"/>
  <c r="M202" i="16"/>
  <c r="N202" i="16"/>
  <c r="N570" i="14"/>
  <c r="O202" i="16"/>
  <c r="O432" i="14"/>
  <c r="O497" i="14" s="1"/>
  <c r="L395" i="14" l="1"/>
  <c r="K1159" i="14"/>
  <c r="K1174" i="14" s="1"/>
  <c r="K292" i="14"/>
  <c r="M413" i="14"/>
  <c r="O520" i="14"/>
  <c r="P202" i="16"/>
  <c r="E202" i="16" s="1"/>
  <c r="S527" i="16" s="1"/>
  <c r="O570" i="14"/>
  <c r="M395" i="14" l="1"/>
  <c r="L1159" i="14"/>
  <c r="L1174" i="14" s="1"/>
  <c r="L292" i="14"/>
  <c r="N520" i="14"/>
  <c r="N413" i="14"/>
  <c r="E263" i="14"/>
  <c r="E262" i="14"/>
  <c r="E259" i="14"/>
  <c r="N395" i="14" l="1"/>
  <c r="M1159" i="14"/>
  <c r="M1174" i="14" s="1"/>
  <c r="M292" i="14"/>
  <c r="O413" i="14"/>
  <c r="E258" i="14"/>
  <c r="E257" i="14"/>
  <c r="E256" i="14"/>
  <c r="H240" i="14"/>
  <c r="G240" i="14"/>
  <c r="E240" i="14"/>
  <c r="D240" i="14"/>
  <c r="O395" i="14" l="1"/>
  <c r="N1159" i="14"/>
  <c r="N1174" i="14" s="1"/>
  <c r="N292" i="14"/>
  <c r="D1067" i="14"/>
  <c r="D1049" i="14"/>
  <c r="O1159" i="14" l="1"/>
  <c r="O1174" i="14" s="1"/>
  <c r="O292" i="14"/>
  <c r="E345" i="14"/>
  <c r="D206" i="14" l="1"/>
  <c r="D204" i="14"/>
  <c r="D199" i="14" l="1"/>
  <c r="E198" i="14"/>
  <c r="D196" i="14"/>
  <c r="D195" i="14"/>
  <c r="D193" i="14"/>
  <c r="E189" i="14" l="1"/>
  <c r="E190" i="14" s="1"/>
  <c r="E201" i="14" s="1"/>
  <c r="D188" i="14"/>
  <c r="D165" i="14"/>
  <c r="D149" i="14"/>
  <c r="D148" i="14"/>
  <c r="E138" i="14" l="1"/>
  <c r="D137" i="14"/>
  <c r="E134" i="14" l="1"/>
  <c r="E133" i="14" s="1"/>
  <c r="E142" i="14"/>
  <c r="D130" i="14"/>
  <c r="E121" i="14"/>
  <c r="D120" i="14" l="1"/>
  <c r="E120" i="14" s="1"/>
  <c r="E117" i="14"/>
  <c r="D1029" i="14" l="1"/>
  <c r="D1120" i="14" s="1"/>
  <c r="E114" i="14"/>
  <c r="E125" i="14" s="1"/>
  <c r="D113" i="14"/>
  <c r="D107" i="14"/>
  <c r="D116" i="14" l="1"/>
  <c r="D106" i="14"/>
  <c r="D104" i="14"/>
  <c r="D103" i="14"/>
  <c r="D96" i="14"/>
  <c r="D88" i="14" l="1"/>
  <c r="D86" i="14" l="1"/>
  <c r="D85" i="14"/>
  <c r="D80" i="14"/>
  <c r="D78" i="14"/>
  <c r="D77" i="14"/>
  <c r="D68" i="14" l="1"/>
  <c r="E42" i="14" l="1"/>
  <c r="D40" i="14"/>
  <c r="D39" i="14"/>
  <c r="D36" i="14"/>
  <c r="D30" i="14" l="1"/>
  <c r="D29" i="14"/>
  <c r="L889" i="4" l="1"/>
  <c r="K889" i="4"/>
  <c r="J889" i="4"/>
  <c r="I888" i="4"/>
  <c r="H888" i="4"/>
  <c r="G888" i="4"/>
  <c r="F888" i="4"/>
  <c r="E888" i="4"/>
  <c r="D888" i="4"/>
  <c r="E885" i="4"/>
  <c r="D885" i="4"/>
  <c r="E884" i="4"/>
  <c r="D884" i="4"/>
  <c r="F881" i="4"/>
  <c r="E881" i="4"/>
  <c r="F880" i="4"/>
  <c r="E880" i="4"/>
  <c r="F879" i="4"/>
  <c r="E879" i="4"/>
  <c r="F878" i="4"/>
  <c r="E878" i="4"/>
  <c r="D870" i="4"/>
  <c r="D869" i="4"/>
  <c r="F857" i="4"/>
  <c r="F856" i="4" s="1"/>
  <c r="E857" i="4"/>
  <c r="D857" i="4"/>
  <c r="D856" i="4"/>
  <c r="D853" i="4"/>
  <c r="D852" i="4"/>
  <c r="D851" i="4"/>
  <c r="D880" i="4" l="1"/>
  <c r="D879" i="4"/>
  <c r="D881" i="4"/>
  <c r="E853" i="4"/>
  <c r="E852" i="4"/>
  <c r="E856" i="4"/>
  <c r="E869" i="4"/>
  <c r="D878" i="4"/>
  <c r="E844" i="4"/>
  <c r="O841" i="4"/>
  <c r="N841" i="4"/>
  <c r="M841" i="4"/>
  <c r="L841" i="4"/>
  <c r="K841" i="4"/>
  <c r="J841" i="4"/>
  <c r="I841" i="4"/>
  <c r="H841" i="4"/>
  <c r="G841" i="4"/>
  <c r="F841" i="4"/>
  <c r="O840" i="4"/>
  <c r="N840" i="4"/>
  <c r="M840" i="4"/>
  <c r="L840" i="4"/>
  <c r="K840" i="4"/>
  <c r="J840" i="4"/>
  <c r="I840" i="4"/>
  <c r="H840" i="4"/>
  <c r="G840" i="4"/>
  <c r="F840" i="4"/>
  <c r="O811" i="4" l="1"/>
  <c r="N811" i="4"/>
  <c r="M811" i="4"/>
  <c r="L811" i="4"/>
  <c r="K811" i="4"/>
  <c r="J811" i="4"/>
  <c r="I811" i="4"/>
  <c r="H811" i="4"/>
  <c r="G811" i="4"/>
  <c r="F811" i="4"/>
  <c r="D759" i="4" l="1"/>
  <c r="D758" i="4"/>
  <c r="D757" i="4"/>
  <c r="D755" i="4"/>
  <c r="D754" i="4"/>
  <c r="D753" i="4"/>
  <c r="D752" i="4"/>
  <c r="D750" i="4"/>
  <c r="D749" i="4"/>
  <c r="D748" i="4"/>
  <c r="D747" i="4"/>
  <c r="D740" i="4"/>
  <c r="D745" i="4" s="1"/>
  <c r="D739" i="4"/>
  <c r="D744" i="4" s="1"/>
  <c r="D738" i="4" l="1"/>
  <c r="D743" i="4" s="1"/>
  <c r="D737" i="4"/>
  <c r="D742" i="4" s="1"/>
  <c r="D713" i="4" s="1"/>
  <c r="O735" i="4"/>
  <c r="N735" i="4"/>
  <c r="M735" i="4"/>
  <c r="L735" i="4"/>
  <c r="K735" i="4"/>
  <c r="J735" i="4"/>
  <c r="I735" i="4"/>
  <c r="H735" i="4"/>
  <c r="G735" i="4"/>
  <c r="F735" i="4"/>
  <c r="D718" i="4"/>
  <c r="D711" i="4"/>
  <c r="D710" i="4"/>
  <c r="D708" i="4" l="1"/>
  <c r="D709" i="4"/>
  <c r="E665" i="4"/>
  <c r="E662" i="4" s="1"/>
  <c r="E664" i="4"/>
  <c r="E661" i="4" s="1"/>
  <c r="D607" i="4" l="1"/>
  <c r="D625" i="4" l="1"/>
  <c r="D587" i="4" l="1"/>
  <c r="D586" i="4"/>
  <c r="F586" i="4" s="1"/>
  <c r="D585" i="4"/>
  <c r="E475" i="4" s="1"/>
  <c r="D584" i="4"/>
  <c r="F584" i="4" s="1"/>
  <c r="D574" i="4"/>
  <c r="D573" i="4"/>
  <c r="E586" i="4" l="1"/>
  <c r="D598" i="4"/>
  <c r="D592" i="4"/>
  <c r="D610" i="4" s="1"/>
  <c r="E585" i="4"/>
  <c r="F587" i="4"/>
  <c r="E587" i="4"/>
  <c r="E584" i="4"/>
  <c r="D628" i="4" s="1"/>
  <c r="F585" i="4"/>
  <c r="I562" i="4"/>
  <c r="D562" i="4"/>
  <c r="I561" i="4"/>
  <c r="D561" i="4"/>
  <c r="E561" i="4" s="1"/>
  <c r="I560" i="4"/>
  <c r="I563" i="4" s="1"/>
  <c r="D560" i="4"/>
  <c r="I559" i="4"/>
  <c r="J559" i="4" s="1"/>
  <c r="D634" i="4" l="1"/>
  <c r="D563" i="4"/>
  <c r="D559" i="4"/>
  <c r="C555" i="4"/>
  <c r="C550" i="4"/>
  <c r="D537" i="4"/>
  <c r="F196" i="15" s="1"/>
  <c r="D532" i="4"/>
  <c r="K559" i="4" l="1"/>
  <c r="E559" i="4"/>
  <c r="D525" i="4" l="1"/>
  <c r="D524" i="4" l="1"/>
  <c r="O514" i="4"/>
  <c r="N514" i="4"/>
  <c r="M514" i="4"/>
  <c r="L514" i="4"/>
  <c r="K514" i="4"/>
  <c r="J514" i="4"/>
  <c r="I514" i="4"/>
  <c r="H514" i="4"/>
  <c r="G514" i="4"/>
  <c r="F514" i="4" l="1"/>
  <c r="E514" i="4"/>
  <c r="E512" i="4"/>
  <c r="E511" i="4"/>
  <c r="E510" i="4"/>
  <c r="E505" i="4" l="1"/>
  <c r="F504" i="4"/>
  <c r="F500" i="4"/>
  <c r="E494" i="4" l="1"/>
  <c r="E492" i="4" l="1"/>
  <c r="E476" i="4" l="1"/>
  <c r="D460" i="4" l="1"/>
  <c r="D468" i="4" l="1"/>
  <c r="D461" i="4" s="1"/>
  <c r="D472" i="4"/>
  <c r="D465" i="4" s="1"/>
  <c r="D471" i="4"/>
  <c r="D470" i="4"/>
  <c r="D463" i="4" s="1"/>
  <c r="D469" i="4"/>
  <c r="D462" i="4" s="1"/>
  <c r="D432" i="4"/>
  <c r="D431" i="4"/>
  <c r="D430" i="4"/>
  <c r="D428" i="4"/>
  <c r="D427" i="4"/>
  <c r="D426" i="4"/>
  <c r="D425" i="4"/>
  <c r="D423" i="4"/>
  <c r="D422" i="4"/>
  <c r="D421" i="4"/>
  <c r="D420" i="4"/>
  <c r="D415" i="4"/>
  <c r="D413" i="4"/>
  <c r="D412" i="4"/>
  <c r="D411" i="4"/>
  <c r="D410" i="4"/>
  <c r="D409" i="4" s="1"/>
  <c r="E406" i="4"/>
  <c r="E407" i="4" s="1"/>
  <c r="D353" i="4"/>
  <c r="D373" i="4" s="1"/>
  <c r="D370" i="4" l="1"/>
  <c r="D366" i="4"/>
  <c r="D358" i="4"/>
  <c r="D377" i="4"/>
  <c r="D375" i="4"/>
  <c r="E408" i="4"/>
  <c r="D356" i="4"/>
  <c r="D360" i="4"/>
  <c r="D362" i="4"/>
  <c r="D365" i="4"/>
  <c r="D367" i="4"/>
  <c r="D368" i="4"/>
  <c r="D464" i="4"/>
  <c r="D355" i="4"/>
  <c r="D361" i="4"/>
  <c r="D363" i="4"/>
  <c r="D372" i="4"/>
  <c r="D357" i="4"/>
  <c r="D371" i="4"/>
  <c r="H318" i="4"/>
  <c r="G318" i="4" s="1"/>
  <c r="E318" i="4"/>
  <c r="D303" i="4"/>
  <c r="D302" i="4"/>
  <c r="D301" i="4"/>
  <c r="D300" i="4"/>
  <c r="D299" i="4"/>
  <c r="D286" i="4" l="1"/>
  <c r="D285" i="4"/>
  <c r="D284" i="4"/>
  <c r="D283" i="4"/>
  <c r="D282" i="4"/>
  <c r="D279" i="4"/>
  <c r="D278" i="4"/>
  <c r="D277" i="4"/>
  <c r="D276" i="4"/>
  <c r="D275" i="4"/>
  <c r="D274" i="4"/>
  <c r="D287" i="4" l="1"/>
  <c r="H212" i="4" l="1"/>
  <c r="G212" i="4"/>
  <c r="F212" i="4"/>
  <c r="E212" i="4"/>
  <c r="D173" i="4" l="1"/>
  <c r="D148" i="4" l="1"/>
  <c r="D147" i="4"/>
  <c r="D164" i="4" s="1"/>
  <c r="D165" i="4" l="1"/>
  <c r="D139" i="4"/>
  <c r="D138" i="4"/>
  <c r="D137" i="4"/>
  <c r="D136" i="4"/>
  <c r="D185" i="4" s="1"/>
  <c r="D187" i="4" l="1"/>
  <c r="D144" i="4"/>
  <c r="D186" i="4"/>
  <c r="D143" i="4"/>
  <c r="D188" i="4"/>
  <c r="D145" i="4"/>
  <c r="D142" i="4"/>
  <c r="E109" i="4"/>
  <c r="E107" i="4"/>
  <c r="E117" i="4" s="1"/>
  <c r="E352" i="4" l="1"/>
  <c r="E377" i="4" s="1"/>
  <c r="E208" i="4"/>
  <c r="E148" i="4"/>
  <c r="E119" i="4"/>
  <c r="E106" i="4"/>
  <c r="E104" i="4"/>
  <c r="E103" i="4"/>
  <c r="E102" i="4"/>
  <c r="E101" i="4"/>
  <c r="E99" i="4"/>
  <c r="E98" i="4"/>
  <c r="E97" i="4"/>
  <c r="E96" i="4"/>
  <c r="E94" i="4"/>
  <c r="E93" i="4"/>
  <c r="E144" i="4" s="1"/>
  <c r="E92" i="4"/>
  <c r="E91" i="4"/>
  <c r="E142" i="4" s="1"/>
  <c r="E89" i="4"/>
  <c r="E139" i="4" s="1"/>
  <c r="E88" i="4"/>
  <c r="E138" i="4" s="1"/>
  <c r="E87" i="4"/>
  <c r="E137" i="4" s="1"/>
  <c r="E86" i="4"/>
  <c r="D101" i="4" l="1"/>
  <c r="D98" i="4"/>
  <c r="D99" i="4"/>
  <c r="D94" i="4"/>
  <c r="D102" i="4"/>
  <c r="D104" i="4"/>
  <c r="D203" i="4" s="1"/>
  <c r="D97" i="4"/>
  <c r="D103" i="4"/>
  <c r="D92" i="4"/>
  <c r="E114" i="4"/>
  <c r="E147" i="4"/>
  <c r="E116" i="4"/>
  <c r="E446" i="4"/>
  <c r="F352" i="4"/>
  <c r="F377" i="4" s="1"/>
  <c r="E145" i="4"/>
  <c r="E136" i="4"/>
  <c r="E113" i="4"/>
  <c r="E108" i="4"/>
  <c r="E220" i="4"/>
  <c r="E143" i="4"/>
  <c r="D86" i="4"/>
  <c r="D87" i="4"/>
  <c r="D88" i="4"/>
  <c r="D89" i="4"/>
  <c r="D91" i="4"/>
  <c r="D93" i="4"/>
  <c r="D96" i="4"/>
  <c r="E115" i="4"/>
  <c r="E76" i="4"/>
  <c r="E173" i="4" s="1"/>
  <c r="E75" i="4"/>
  <c r="E70" i="4"/>
  <c r="E146" i="4" l="1"/>
  <c r="D159" i="4" s="1"/>
  <c r="F446" i="4"/>
  <c r="G352" i="4"/>
  <c r="G377" i="4" s="1"/>
  <c r="E140" i="4"/>
  <c r="D153" i="4" s="1"/>
  <c r="E118" i="4"/>
  <c r="E127" i="4" s="1"/>
  <c r="D160" i="4" l="1"/>
  <c r="D161" i="4"/>
  <c r="D162" i="4"/>
  <c r="E124" i="4"/>
  <c r="H352" i="4"/>
  <c r="H377" i="4" s="1"/>
  <c r="G446" i="4"/>
  <c r="E128" i="4"/>
  <c r="E125" i="4"/>
  <c r="F125" i="4" s="1"/>
  <c r="E130" i="4"/>
  <c r="D156" i="4"/>
  <c r="D155" i="4"/>
  <c r="E126" i="4"/>
  <c r="F126" i="4" s="1"/>
  <c r="E129" i="4" l="1"/>
  <c r="F178" i="4"/>
  <c r="E178" i="4" s="1"/>
  <c r="G126" i="4"/>
  <c r="H126" i="4" s="1"/>
  <c r="I126" i="4" s="1"/>
  <c r="J126" i="4" s="1"/>
  <c r="K126" i="4" s="1"/>
  <c r="L126" i="4" s="1"/>
  <c r="M126" i="4" s="1"/>
  <c r="N126" i="4" s="1"/>
  <c r="O126" i="4" s="1"/>
  <c r="G125" i="4"/>
  <c r="H446" i="4"/>
  <c r="I352" i="4"/>
  <c r="I377" i="4" s="1"/>
  <c r="E51" i="4"/>
  <c r="E67" i="4" l="1"/>
  <c r="E59" i="4"/>
  <c r="I446" i="4"/>
  <c r="J352" i="4"/>
  <c r="J377" i="4" s="1"/>
  <c r="G177" i="4"/>
  <c r="H125" i="4"/>
  <c r="E793" i="4" l="1"/>
  <c r="D56" i="4"/>
  <c r="J446" i="4"/>
  <c r="K352" i="4"/>
  <c r="K377" i="4" s="1"/>
  <c r="E80" i="4"/>
  <c r="E73" i="4"/>
  <c r="F177" i="4"/>
  <c r="E177" i="4" s="1"/>
  <c r="H177" i="4"/>
  <c r="I125" i="4"/>
  <c r="I177" i="4" l="1"/>
  <c r="J125" i="4"/>
  <c r="L352" i="4"/>
  <c r="L377" i="4" s="1"/>
  <c r="K446" i="4"/>
  <c r="J177" i="4" l="1"/>
  <c r="K125" i="4"/>
  <c r="L446" i="4"/>
  <c r="M352" i="4"/>
  <c r="M377" i="4" s="1"/>
  <c r="K177" i="4" l="1"/>
  <c r="L125" i="4"/>
  <c r="N352" i="4"/>
  <c r="N377" i="4" s="1"/>
  <c r="M446" i="4"/>
  <c r="L177" i="4" l="1"/>
  <c r="M125" i="4"/>
  <c r="N446" i="4"/>
  <c r="O352" i="4"/>
  <c r="O377" i="4" s="1"/>
  <c r="E25" i="4"/>
  <c r="O446" i="4" l="1"/>
  <c r="M177" i="4"/>
  <c r="N125" i="4"/>
  <c r="E23" i="4"/>
  <c r="E18" i="4"/>
  <c r="N177" i="4" l="1"/>
  <c r="O125" i="4"/>
  <c r="O177" i="4" l="1"/>
  <c r="E15" i="4"/>
  <c r="E13" i="4" l="1"/>
  <c r="E12" i="4"/>
  <c r="E9" i="4"/>
  <c r="H861" i="4" s="1"/>
  <c r="H862" i="4" s="1"/>
  <c r="E7" i="4" l="1"/>
  <c r="E6" i="4"/>
  <c r="E5" i="4"/>
  <c r="C373" i="2"/>
  <c r="B373" i="2"/>
  <c r="C372" i="2"/>
  <c r="B372" i="2"/>
  <c r="C371" i="2"/>
  <c r="B371" i="2"/>
  <c r="C370" i="2"/>
  <c r="B370" i="2"/>
  <c r="C369" i="2"/>
  <c r="B369" i="2"/>
  <c r="C368" i="2"/>
  <c r="B368" i="2"/>
  <c r="E860" i="4" l="1"/>
  <c r="E19" i="4"/>
  <c r="B367" i="2"/>
  <c r="X716" i="16" l="1"/>
  <c r="W716" i="16" l="1"/>
  <c r="X728" i="16"/>
  <c r="V716" i="16" l="1"/>
  <c r="W728" i="16"/>
  <c r="U716" i="16" l="1"/>
  <c r="V728" i="16"/>
  <c r="T716" i="16" l="1"/>
  <c r="U728" i="16"/>
  <c r="S716" i="16" l="1"/>
  <c r="T728" i="16"/>
  <c r="R716" i="16" l="1"/>
  <c r="S728" i="16"/>
  <c r="Q716" i="16" l="1"/>
  <c r="R728" i="16"/>
  <c r="P716" i="16" l="1"/>
  <c r="P728" i="16" s="1"/>
  <c r="Q728" i="16"/>
  <c r="E220" i="2" l="1"/>
  <c r="E205" i="2" l="1"/>
  <c r="F244" i="2" l="1"/>
  <c r="F243" i="2"/>
  <c r="F245" i="2"/>
  <c r="F242" i="2"/>
  <c r="F241" i="2"/>
  <c r="F240" i="2"/>
  <c r="F237" i="2"/>
  <c r="F238" i="2"/>
  <c r="F239" i="2"/>
  <c r="F232" i="2"/>
  <c r="F230" i="2"/>
  <c r="F231" i="2"/>
  <c r="F229" i="2"/>
  <c r="F226" i="2"/>
  <c r="F228" i="2"/>
  <c r="F227" i="2"/>
  <c r="F225" i="2"/>
  <c r="F224" i="2"/>
  <c r="F223" i="2"/>
  <c r="F217" i="2"/>
  <c r="F216" i="2"/>
  <c r="F215" i="2"/>
  <c r="F214" i="2"/>
  <c r="F213" i="2"/>
  <c r="F212" i="2"/>
  <c r="F211" i="2"/>
  <c r="F210" i="2"/>
  <c r="F209" i="2"/>
  <c r="F208" i="2"/>
  <c r="G231" i="2" l="1"/>
  <c r="A231" i="2" s="1"/>
  <c r="G227" i="2"/>
  <c r="A227" i="2" s="1"/>
  <c r="G208" i="2"/>
  <c r="G225" i="2"/>
  <c r="A225" i="2" s="1"/>
  <c r="G239" i="2"/>
  <c r="A239" i="2" s="1"/>
  <c r="G241" i="2"/>
  <c r="A241" i="2" s="1"/>
  <c r="G213" i="2"/>
  <c r="G242" i="2"/>
  <c r="G212" i="2"/>
  <c r="G216" i="2"/>
  <c r="G229" i="2"/>
  <c r="G244" i="2"/>
  <c r="A244" i="2" s="1"/>
  <c r="G209" i="2"/>
  <c r="A209" i="2" s="1"/>
  <c r="G238" i="2"/>
  <c r="A238" i="2" s="1"/>
  <c r="G224" i="2"/>
  <c r="A224" i="2" s="1"/>
  <c r="G226" i="2"/>
  <c r="A226" i="2" s="1"/>
  <c r="G240" i="2"/>
  <c r="A240" i="2" s="1"/>
  <c r="G243" i="2"/>
  <c r="A243" i="2" s="1"/>
  <c r="G217" i="2"/>
  <c r="A217" i="2" s="1"/>
  <c r="G211" i="2"/>
  <c r="G215" i="2"/>
  <c r="G232" i="2"/>
  <c r="A232" i="2" s="1"/>
  <c r="G228" i="2"/>
  <c r="A228" i="2" s="1"/>
  <c r="G230" i="2"/>
  <c r="A230" i="2" s="1"/>
  <c r="G237" i="2"/>
  <c r="G210" i="2"/>
  <c r="A210" i="2" s="1"/>
  <c r="G214" i="2"/>
  <c r="G223" i="2"/>
  <c r="G245" i="2"/>
  <c r="A245" i="2" s="1"/>
  <c r="L246" i="2" l="1"/>
  <c r="A237" i="2"/>
  <c r="A214" i="2"/>
  <c r="L233" i="2"/>
  <c r="A223" i="2"/>
  <c r="A212" i="2"/>
  <c r="A211" i="2"/>
  <c r="A215" i="2"/>
  <c r="A229" i="2"/>
  <c r="A213" i="2"/>
  <c r="A216" i="2"/>
  <c r="A242" i="2"/>
  <c r="L218" i="2"/>
  <c r="A208" i="2"/>
  <c r="K152" i="2" l="1"/>
  <c r="J152" i="2"/>
  <c r="I152" i="2"/>
  <c r="H152" i="2"/>
  <c r="G152" i="2"/>
  <c r="F152" i="2"/>
  <c r="N140" i="2"/>
  <c r="J187" i="2" s="1"/>
  <c r="K137" i="2"/>
  <c r="J137" i="2"/>
  <c r="I137" i="2"/>
  <c r="H137" i="2"/>
  <c r="G137" i="2"/>
  <c r="F137" i="2"/>
  <c r="K102" i="2" l="1"/>
  <c r="J102" i="2"/>
  <c r="I102" i="2"/>
  <c r="H102" i="2"/>
  <c r="G102" i="2"/>
  <c r="F102" i="2"/>
  <c r="N99" i="2" l="1"/>
  <c r="N98" i="2"/>
  <c r="N102" i="2" s="1"/>
  <c r="N152" i="2" s="1"/>
  <c r="N97" i="2"/>
  <c r="N96" i="2"/>
  <c r="N95" i="2"/>
  <c r="N94" i="2"/>
  <c r="N93" i="2"/>
  <c r="N92" i="2"/>
  <c r="N101" i="2" s="1"/>
  <c r="N151" i="2" s="1"/>
  <c r="N89" i="2"/>
  <c r="K87" i="2"/>
  <c r="J87" i="2"/>
  <c r="I87" i="2"/>
  <c r="H87" i="2"/>
  <c r="G87" i="2"/>
  <c r="F87" i="2"/>
  <c r="N79" i="2"/>
  <c r="N78" i="2"/>
  <c r="N87" i="2" s="1"/>
  <c r="N137" i="2" s="1"/>
  <c r="N77" i="2"/>
  <c r="N76" i="2"/>
  <c r="N86" i="2" s="1"/>
  <c r="N136" i="2" s="1"/>
  <c r="N75" i="2"/>
  <c r="N85" i="2" s="1"/>
  <c r="N135" i="2" s="1"/>
  <c r="N74" i="2"/>
  <c r="N84" i="2" s="1"/>
  <c r="N134" i="2" s="1"/>
  <c r="N73" i="2"/>
  <c r="N83" i="2" s="1"/>
  <c r="N133" i="2" s="1"/>
  <c r="N72" i="2"/>
  <c r="N122" i="2" s="1"/>
  <c r="N71" i="2"/>
  <c r="N82" i="2" s="1"/>
  <c r="N132" i="2" s="1"/>
  <c r="N66" i="2"/>
  <c r="N65" i="2"/>
  <c r="N64" i="2"/>
  <c r="N63" i="2"/>
  <c r="N62" i="2"/>
  <c r="N61" i="2"/>
  <c r="N69" i="2" s="1"/>
  <c r="N119" i="2" s="1"/>
  <c r="N60" i="2"/>
  <c r="N58" i="2"/>
  <c r="N67" i="2" s="1"/>
  <c r="N117" i="2" s="1"/>
  <c r="F55" i="2"/>
  <c r="E55" i="2"/>
  <c r="D155" i="2" s="1"/>
  <c r="D55" i="2"/>
  <c r="E48" i="2"/>
  <c r="E43" i="2"/>
  <c r="E42" i="2"/>
  <c r="E520" i="4" l="1"/>
  <c r="D492" i="4"/>
  <c r="N80" i="2"/>
  <c r="N130" i="2" s="1"/>
  <c r="N81" i="2"/>
  <c r="N131" i="2" s="1"/>
  <c r="N100" i="2"/>
  <c r="N150" i="2" s="1"/>
  <c r="E152" i="2"/>
  <c r="M152" i="2" s="1"/>
  <c r="E150" i="2"/>
  <c r="E148" i="2"/>
  <c r="E146" i="2"/>
  <c r="E144" i="2"/>
  <c r="E142" i="2"/>
  <c r="M142" i="2" s="1"/>
  <c r="E139" i="2"/>
  <c r="M139" i="2" s="1"/>
  <c r="E137" i="2"/>
  <c r="M137" i="2" s="1"/>
  <c r="E135" i="2"/>
  <c r="M135" i="2" s="1"/>
  <c r="E133" i="2"/>
  <c r="M133" i="2" s="1"/>
  <c r="E131" i="2"/>
  <c r="M131" i="2" s="1"/>
  <c r="E129" i="2"/>
  <c r="E127" i="2"/>
  <c r="E125" i="2"/>
  <c r="E123" i="2"/>
  <c r="M123" i="2" s="1"/>
  <c r="E122" i="2"/>
  <c r="E151" i="2"/>
  <c r="M151" i="2" s="1"/>
  <c r="E149" i="2"/>
  <c r="E147" i="2"/>
  <c r="E145" i="2"/>
  <c r="E143" i="2"/>
  <c r="E140" i="2"/>
  <c r="E136" i="2"/>
  <c r="M136" i="2" s="1"/>
  <c r="E134" i="2"/>
  <c r="M134" i="2" s="1"/>
  <c r="E132" i="2"/>
  <c r="M132" i="2" s="1"/>
  <c r="E130" i="2"/>
  <c r="E128" i="2"/>
  <c r="E126" i="2"/>
  <c r="E124" i="2"/>
  <c r="E121" i="2"/>
  <c r="M121" i="2" s="1"/>
  <c r="E119" i="2"/>
  <c r="M119" i="2" s="1"/>
  <c r="E118" i="2"/>
  <c r="E114" i="2"/>
  <c r="E112" i="2"/>
  <c r="E116" i="2"/>
  <c r="E110" i="2"/>
  <c r="M110" i="2" s="1"/>
  <c r="E117" i="2"/>
  <c r="E115" i="2"/>
  <c r="E113" i="2"/>
  <c r="E111" i="2"/>
  <c r="E108" i="2"/>
  <c r="M108" i="2" s="1"/>
  <c r="E102" i="2"/>
  <c r="M102" i="2" s="1"/>
  <c r="D109" i="2"/>
  <c r="N108" i="2" s="1"/>
  <c r="E109" i="2"/>
  <c r="M109" i="2" s="1"/>
  <c r="E66" i="2"/>
  <c r="M66" i="2" s="1"/>
  <c r="E75" i="2"/>
  <c r="M75" i="2" s="1"/>
  <c r="E79" i="2"/>
  <c r="M79" i="2" s="1"/>
  <c r="E84" i="2"/>
  <c r="M84" i="2" s="1"/>
  <c r="E61" i="2"/>
  <c r="M61" i="2" s="1"/>
  <c r="E65" i="2"/>
  <c r="M65" i="2" s="1"/>
  <c r="E69" i="2"/>
  <c r="M69" i="2" s="1"/>
  <c r="E74" i="2"/>
  <c r="M74" i="2" s="1"/>
  <c r="E78" i="2"/>
  <c r="M78" i="2" s="1"/>
  <c r="E86" i="2"/>
  <c r="M86" i="2" s="1"/>
  <c r="E94" i="2"/>
  <c r="M94" i="2" s="1"/>
  <c r="E98" i="2"/>
  <c r="M98" i="2" s="1"/>
  <c r="E71" i="2"/>
  <c r="M71" i="2" s="1"/>
  <c r="E82" i="2"/>
  <c r="M82" i="2" s="1"/>
  <c r="E58" i="2"/>
  <c r="M58" i="2" s="1"/>
  <c r="E59" i="2"/>
  <c r="M59" i="2" s="1"/>
  <c r="E63" i="2"/>
  <c r="M63" i="2" s="1"/>
  <c r="E67" i="2"/>
  <c r="M67" i="2" s="1"/>
  <c r="E68" i="2"/>
  <c r="E72" i="2"/>
  <c r="M72" i="2" s="1"/>
  <c r="E76" i="2"/>
  <c r="M76" i="2" s="1"/>
  <c r="E80" i="2"/>
  <c r="M80" i="2" s="1"/>
  <c r="E85" i="2"/>
  <c r="M85" i="2" s="1"/>
  <c r="E87" i="2"/>
  <c r="M87" i="2" s="1"/>
  <c r="E89" i="2"/>
  <c r="M89" i="2" s="1"/>
  <c r="E92" i="2"/>
  <c r="E96" i="2"/>
  <c r="M96" i="2" s="1"/>
  <c r="E100" i="2"/>
  <c r="M100" i="2" s="1"/>
  <c r="E62" i="2"/>
  <c r="M62" i="2" s="1"/>
  <c r="E95" i="2"/>
  <c r="M95" i="2" s="1"/>
  <c r="E99" i="2"/>
  <c r="M99" i="2" s="1"/>
  <c r="D59" i="2"/>
  <c r="E60" i="2"/>
  <c r="M60" i="2" s="1"/>
  <c r="E64" i="2"/>
  <c r="M64" i="2" s="1"/>
  <c r="E73" i="2"/>
  <c r="M73" i="2" s="1"/>
  <c r="E77" i="2"/>
  <c r="M77" i="2" s="1"/>
  <c r="E81" i="2"/>
  <c r="M81" i="2" s="1"/>
  <c r="E83" i="2"/>
  <c r="M83" i="2" s="1"/>
  <c r="E90" i="2"/>
  <c r="E93" i="2"/>
  <c r="M93" i="2" s="1"/>
  <c r="E97" i="2"/>
  <c r="M97" i="2" s="1"/>
  <c r="E101" i="2"/>
  <c r="M101" i="2" s="1"/>
  <c r="D505" i="4" l="1"/>
  <c r="G154" i="2"/>
  <c r="N112" i="2"/>
  <c r="M113" i="2"/>
  <c r="N127" i="2"/>
  <c r="M128" i="2"/>
  <c r="N146" i="2"/>
  <c r="M147" i="2"/>
  <c r="N147" i="2"/>
  <c r="M148" i="2"/>
  <c r="D758" i="16"/>
  <c r="W55" i="21" s="1"/>
  <c r="E539" i="4"/>
  <c r="E532" i="4"/>
  <c r="E533" i="4" s="1"/>
  <c r="E537" i="4"/>
  <c r="E524" i="4"/>
  <c r="F520" i="4"/>
  <c r="D501" i="4"/>
  <c r="N110" i="2"/>
  <c r="M111" i="2"/>
  <c r="N125" i="2"/>
  <c r="M126" i="2"/>
  <c r="N144" i="2"/>
  <c r="M145" i="2"/>
  <c r="N121" i="2"/>
  <c r="M122" i="2"/>
  <c r="N128" i="2"/>
  <c r="M129" i="2"/>
  <c r="N145" i="2"/>
  <c r="M146" i="2"/>
  <c r="E803" i="4"/>
  <c r="E210" i="2"/>
  <c r="D118" i="2"/>
  <c r="N115" i="2"/>
  <c r="M116" i="2"/>
  <c r="N116" i="2"/>
  <c r="M117" i="2"/>
  <c r="N113" i="2"/>
  <c r="M114" i="2"/>
  <c r="N123" i="2"/>
  <c r="M124" i="2"/>
  <c r="N142" i="2"/>
  <c r="M143" i="2"/>
  <c r="N126" i="2"/>
  <c r="M127" i="2"/>
  <c r="N143" i="2"/>
  <c r="M144" i="2"/>
  <c r="D68" i="2"/>
  <c r="N59" i="2"/>
  <c r="M90" i="2"/>
  <c r="M92" i="2"/>
  <c r="N114" i="2"/>
  <c r="M115" i="2"/>
  <c r="N111" i="2"/>
  <c r="M112" i="2"/>
  <c r="N129" i="2"/>
  <c r="M130" i="2"/>
  <c r="N139" i="2"/>
  <c r="M140" i="2"/>
  <c r="N148" i="2"/>
  <c r="M149" i="2"/>
  <c r="N124" i="2"/>
  <c r="M125" i="2"/>
  <c r="N149" i="2"/>
  <c r="M150" i="2"/>
  <c r="E522" i="4" l="1"/>
  <c r="E525" i="4"/>
  <c r="E623" i="4" s="1"/>
  <c r="E538" i="4"/>
  <c r="F185" i="15" s="1"/>
  <c r="F179" i="15" s="1"/>
  <c r="E501" i="4"/>
  <c r="N109" i="2"/>
  <c r="N68" i="2"/>
  <c r="F537" i="4"/>
  <c r="F532" i="4"/>
  <c r="F524" i="4"/>
  <c r="F501" i="4" l="1"/>
  <c r="M68" i="2"/>
  <c r="N118" i="2"/>
  <c r="M118" i="2" l="1"/>
  <c r="E40" i="2" l="1"/>
  <c r="F40" i="2" s="1"/>
  <c r="E39" i="2"/>
  <c r="E41" i="2" l="1"/>
  <c r="G11" i="15"/>
  <c r="F11" i="15" s="1"/>
  <c r="G40" i="2"/>
  <c r="F39" i="2"/>
  <c r="E1239" i="14" l="1"/>
  <c r="E1252" i="14"/>
  <c r="E1213" i="14"/>
  <c r="E47" i="2"/>
  <c r="E49" i="2" s="1"/>
  <c r="E1190" i="14"/>
  <c r="E1192" i="14" s="1"/>
  <c r="E917" i="14" s="1"/>
  <c r="H11" i="15"/>
  <c r="H40" i="2"/>
  <c r="F41" i="2"/>
  <c r="G39" i="2"/>
  <c r="E855" i="14" l="1"/>
  <c r="F1239" i="14"/>
  <c r="F1252" i="14"/>
  <c r="F1213" i="14"/>
  <c r="E540" i="4"/>
  <c r="E502" i="4"/>
  <c r="F48" i="2"/>
  <c r="F1190" i="14"/>
  <c r="F1192" i="14" s="1"/>
  <c r="I11" i="15"/>
  <c r="I40" i="2"/>
  <c r="G41" i="2"/>
  <c r="H39" i="2"/>
  <c r="F855" i="14" l="1"/>
  <c r="F917" i="14"/>
  <c r="G1239" i="14"/>
  <c r="G1252" i="14"/>
  <c r="F492" i="4"/>
  <c r="F522" i="4"/>
  <c r="F538" i="4"/>
  <c r="F525" i="4"/>
  <c r="F533" i="4"/>
  <c r="E865" i="14"/>
  <c r="E854" i="14" s="1"/>
  <c r="G1190" i="14"/>
  <c r="G1192" i="14" s="1"/>
  <c r="G1213" i="14"/>
  <c r="J11" i="15"/>
  <c r="J40" i="2"/>
  <c r="H41" i="2"/>
  <c r="I39" i="2"/>
  <c r="G855" i="14" l="1"/>
  <c r="G917" i="14"/>
  <c r="H1252" i="14"/>
  <c r="H1239" i="14"/>
  <c r="H1190" i="14"/>
  <c r="H1192" i="14" s="1"/>
  <c r="H1213" i="14"/>
  <c r="I41" i="2"/>
  <c r="J39" i="2"/>
  <c r="H48" i="2"/>
  <c r="K11" i="15"/>
  <c r="K40" i="2"/>
  <c r="H855" i="14" l="1"/>
  <c r="H917" i="14"/>
  <c r="I1252" i="14"/>
  <c r="I1239" i="14"/>
  <c r="H492" i="4"/>
  <c r="H522" i="4"/>
  <c r="I1190" i="14"/>
  <c r="I1192" i="14" s="1"/>
  <c r="I1213" i="14"/>
  <c r="G48" i="2"/>
  <c r="I48" i="2"/>
  <c r="J41" i="2"/>
  <c r="K39" i="2"/>
  <c r="L11" i="15"/>
  <c r="L40" i="2"/>
  <c r="I855" i="14" l="1"/>
  <c r="I917" i="14"/>
  <c r="J1252" i="14"/>
  <c r="J1239" i="14"/>
  <c r="I492" i="4"/>
  <c r="I522" i="4"/>
  <c r="G492" i="4"/>
  <c r="G522" i="4"/>
  <c r="J1190" i="14"/>
  <c r="J1192" i="14" s="1"/>
  <c r="J1213" i="14"/>
  <c r="M11" i="15"/>
  <c r="M40" i="2"/>
  <c r="J48" i="2"/>
  <c r="K41" i="2"/>
  <c r="L39" i="2"/>
  <c r="C24" i="2"/>
  <c r="C31" i="2" s="1"/>
  <c r="J855" i="14" l="1"/>
  <c r="J917" i="14"/>
  <c r="K1252" i="14"/>
  <c r="K1239" i="14"/>
  <c r="J492" i="4"/>
  <c r="J522" i="4"/>
  <c r="K1190" i="14"/>
  <c r="K1192" i="14" s="1"/>
  <c r="K1213" i="14"/>
  <c r="K48" i="2"/>
  <c r="N11" i="15"/>
  <c r="N40" i="2"/>
  <c r="L41" i="2"/>
  <c r="M39" i="2"/>
  <c r="C23" i="2"/>
  <c r="C30" i="2" s="1"/>
  <c r="C22" i="2"/>
  <c r="C29" i="2" s="1"/>
  <c r="E21" i="2"/>
  <c r="K855" i="14" l="1"/>
  <c r="K917" i="14"/>
  <c r="L1239" i="14"/>
  <c r="L1252" i="14"/>
  <c r="K492" i="4"/>
  <c r="K522" i="4"/>
  <c r="F21" i="2"/>
  <c r="G21" i="2" s="1"/>
  <c r="L1190" i="14"/>
  <c r="L1192" i="14" s="1"/>
  <c r="L1213" i="14"/>
  <c r="O11" i="15"/>
  <c r="O40" i="2"/>
  <c r="L48" i="2"/>
  <c r="M41" i="2"/>
  <c r="N39" i="2"/>
  <c r="E3" i="4"/>
  <c r="E38" i="2"/>
  <c r="E28" i="2"/>
  <c r="L855" i="14" l="1"/>
  <c r="L917" i="14"/>
  <c r="E1180" i="14"/>
  <c r="E916" i="14"/>
  <c r="M1239" i="14"/>
  <c r="M1252" i="14"/>
  <c r="L492" i="4"/>
  <c r="L522" i="4"/>
  <c r="F28" i="2"/>
  <c r="F46" i="2" s="1"/>
  <c r="D251" i="2" s="1"/>
  <c r="F38" i="2"/>
  <c r="F3" i="4"/>
  <c r="E1206" i="14"/>
  <c r="M1190" i="14"/>
  <c r="M1192" i="14" s="1"/>
  <c r="M1213" i="14"/>
  <c r="F7" i="16"/>
  <c r="F3" i="15"/>
  <c r="D1044" i="14"/>
  <c r="D983" i="14"/>
  <c r="E931" i="14"/>
  <c r="E895" i="14"/>
  <c r="E846" i="14"/>
  <c r="E836" i="14"/>
  <c r="J837" i="14" s="1"/>
  <c r="E828" i="14"/>
  <c r="E807" i="14"/>
  <c r="E687" i="14"/>
  <c r="E579" i="14"/>
  <c r="E562" i="14"/>
  <c r="E504" i="14"/>
  <c r="E431" i="14"/>
  <c r="E235" i="14"/>
  <c r="E209" i="14"/>
  <c r="E187" i="14"/>
  <c r="E100" i="14"/>
  <c r="E3" i="14"/>
  <c r="E762" i="4"/>
  <c r="E679" i="4"/>
  <c r="E669" i="4"/>
  <c r="E649" i="4"/>
  <c r="E590" i="4"/>
  <c r="E566" i="4"/>
  <c r="E489" i="4"/>
  <c r="E437" i="4"/>
  <c r="E310" i="4"/>
  <c r="E326" i="4"/>
  <c r="E272" i="4"/>
  <c r="E263" i="4"/>
  <c r="E239" i="4"/>
  <c r="E213" i="4"/>
  <c r="E183" i="4"/>
  <c r="E226" i="4"/>
  <c r="E151" i="4"/>
  <c r="E134" i="4"/>
  <c r="E123" i="4"/>
  <c r="E112" i="4"/>
  <c r="E84" i="4"/>
  <c r="E44" i="4"/>
  <c r="E36" i="4"/>
  <c r="F310" i="4"/>
  <c r="F263" i="4"/>
  <c r="F774" i="4" s="1"/>
  <c r="N41" i="2"/>
  <c r="O39" i="2"/>
  <c r="O41" i="2" s="1"/>
  <c r="G3" i="4"/>
  <c r="G38" i="2"/>
  <c r="G28" i="2"/>
  <c r="H21" i="2"/>
  <c r="E46" i="2"/>
  <c r="M48" i="2"/>
  <c r="E1198" i="14" l="1"/>
  <c r="E1199" i="14" s="1"/>
  <c r="E1222" i="14"/>
  <c r="E1224" i="14"/>
  <c r="E1196" i="14"/>
  <c r="E1232" i="14"/>
  <c r="U1198" i="14"/>
  <c r="M855" i="14"/>
  <c r="M917" i="14"/>
  <c r="F916" i="14"/>
  <c r="O1239" i="14"/>
  <c r="O1252" i="14"/>
  <c r="G916" i="14"/>
  <c r="N1239" i="14"/>
  <c r="N1252" i="14"/>
  <c r="E77" i="4"/>
  <c r="E78" i="4"/>
  <c r="G1180" i="14"/>
  <c r="E37" i="4"/>
  <c r="E38" i="4"/>
  <c r="E39" i="4"/>
  <c r="E40" i="4"/>
  <c r="E277" i="4"/>
  <c r="E275" i="4"/>
  <c r="E274" i="4"/>
  <c r="E278" i="4"/>
  <c r="E276" i="4"/>
  <c r="F1180" i="14"/>
  <c r="F23" i="4"/>
  <c r="G23" i="4" s="1"/>
  <c r="F15" i="4"/>
  <c r="G15" i="4" s="1"/>
  <c r="F12" i="4"/>
  <c r="G12" i="4" s="1"/>
  <c r="F9" i="4"/>
  <c r="G9" i="4" s="1"/>
  <c r="F6" i="4"/>
  <c r="G6" i="4" s="1"/>
  <c r="F7" i="4"/>
  <c r="F18" i="4" s="1"/>
  <c r="F19" i="4" s="1"/>
  <c r="F5" i="4"/>
  <c r="M492" i="4"/>
  <c r="M522" i="4"/>
  <c r="F235" i="14"/>
  <c r="F504" i="14"/>
  <c r="F123" i="4"/>
  <c r="F128" i="4" s="1"/>
  <c r="F649" i="4"/>
  <c r="F836" i="14"/>
  <c r="F134" i="4"/>
  <c r="F679" i="4"/>
  <c r="F895" i="14"/>
  <c r="F183" i="4"/>
  <c r="F437" i="4"/>
  <c r="F475" i="4" s="1"/>
  <c r="F476" i="4" s="1"/>
  <c r="F3" i="14"/>
  <c r="F579" i="14"/>
  <c r="F662" i="14" s="1"/>
  <c r="E983" i="14"/>
  <c r="F44" i="4"/>
  <c r="F213" i="4"/>
  <c r="F566" i="4"/>
  <c r="F187" i="14"/>
  <c r="F807" i="14"/>
  <c r="G3" i="15"/>
  <c r="G107" i="15" s="1"/>
  <c r="F36" i="4"/>
  <c r="F112" i="4"/>
  <c r="F239" i="4"/>
  <c r="F272" i="4"/>
  <c r="F489" i="4"/>
  <c r="F507" i="4" s="1"/>
  <c r="F669" i="4"/>
  <c r="F100" i="14"/>
  <c r="F134" i="14" s="1"/>
  <c r="F431" i="14"/>
  <c r="F498" i="14" s="1"/>
  <c r="F687" i="14"/>
  <c r="F846" i="14"/>
  <c r="E1044" i="14"/>
  <c r="F84" i="4"/>
  <c r="F151" i="4"/>
  <c r="F226" i="4"/>
  <c r="F326" i="4"/>
  <c r="F590" i="4"/>
  <c r="F762" i="4"/>
  <c r="F209" i="14"/>
  <c r="F562" i="14"/>
  <c r="F565" i="14" s="1"/>
  <c r="F568" i="14" s="1"/>
  <c r="F575" i="14" s="1"/>
  <c r="E575" i="14" s="1"/>
  <c r="F828" i="14"/>
  <c r="F931" i="14"/>
  <c r="F958" i="14" s="1"/>
  <c r="F959" i="14" s="1"/>
  <c r="G7" i="16"/>
  <c r="G62" i="16" s="1"/>
  <c r="V1198" i="14"/>
  <c r="G1206" i="14"/>
  <c r="O1190" i="14"/>
  <c r="O1192" i="14" s="1"/>
  <c r="O1213" i="14"/>
  <c r="N1190" i="14"/>
  <c r="N1192" i="14" s="1"/>
  <c r="N1213" i="14"/>
  <c r="E774" i="4"/>
  <c r="E813" i="4" s="1"/>
  <c r="F308" i="14"/>
  <c r="F307" i="14"/>
  <c r="F196" i="14"/>
  <c r="F195" i="14"/>
  <c r="G106" i="15"/>
  <c r="F156" i="14"/>
  <c r="F158" i="14"/>
  <c r="F152" i="14"/>
  <c r="F155" i="14"/>
  <c r="F159" i="14"/>
  <c r="F153" i="14"/>
  <c r="E155" i="14"/>
  <c r="E159" i="14"/>
  <c r="E153" i="14"/>
  <c r="E156" i="14"/>
  <c r="E158" i="14"/>
  <c r="E152" i="14"/>
  <c r="E54" i="14"/>
  <c r="E53" i="14"/>
  <c r="E29" i="14"/>
  <c r="E30" i="14"/>
  <c r="F733" i="14"/>
  <c r="G46" i="2"/>
  <c r="E251" i="2" s="1"/>
  <c r="O48" i="2"/>
  <c r="H236" i="2"/>
  <c r="J236" i="2"/>
  <c r="J222" i="2"/>
  <c r="H222" i="2"/>
  <c r="H207" i="2"/>
  <c r="H7" i="16"/>
  <c r="H3" i="15"/>
  <c r="H23" i="15" s="1"/>
  <c r="H24" i="15" s="1"/>
  <c r="F1044" i="14"/>
  <c r="F983" i="14"/>
  <c r="G931" i="14"/>
  <c r="G895" i="14"/>
  <c r="G846" i="14"/>
  <c r="G836" i="14"/>
  <c r="G828" i="14"/>
  <c r="G807" i="14"/>
  <c r="G687" i="14"/>
  <c r="G579" i="14"/>
  <c r="G562" i="14"/>
  <c r="G565" i="14" s="1"/>
  <c r="G504" i="14"/>
  <c r="G431" i="14"/>
  <c r="G235" i="14"/>
  <c r="G285" i="14" s="1"/>
  <c r="G209" i="14"/>
  <c r="G187" i="14"/>
  <c r="G100" i="14"/>
  <c r="G3" i="14"/>
  <c r="G762" i="4"/>
  <c r="G679" i="4"/>
  <c r="G669" i="4"/>
  <c r="G649" i="4"/>
  <c r="G590" i="4"/>
  <c r="G566" i="4"/>
  <c r="G489" i="4"/>
  <c r="G437" i="4"/>
  <c r="G310" i="4"/>
  <c r="G326" i="4"/>
  <c r="G272" i="4"/>
  <c r="G263" i="4"/>
  <c r="G183" i="4"/>
  <c r="G226" i="4"/>
  <c r="G213" i="4"/>
  <c r="G239" i="4"/>
  <c r="G151" i="4"/>
  <c r="G134" i="4"/>
  <c r="G123" i="4"/>
  <c r="G112" i="4"/>
  <c r="G84" i="4"/>
  <c r="G44" i="4"/>
  <c r="G36" i="4"/>
  <c r="P11" i="15"/>
  <c r="F405" i="16"/>
  <c r="F364" i="16"/>
  <c r="F271" i="16"/>
  <c r="F223" i="16"/>
  <c r="S243" i="16" s="1"/>
  <c r="F323" i="16"/>
  <c r="F117" i="16"/>
  <c r="F175" i="16"/>
  <c r="F62" i="16"/>
  <c r="F234" i="15"/>
  <c r="F205" i="15"/>
  <c r="F153" i="15"/>
  <c r="F174" i="15"/>
  <c r="F73" i="15"/>
  <c r="F135" i="15" s="1"/>
  <c r="N48" i="2"/>
  <c r="H3" i="4"/>
  <c r="H38" i="2"/>
  <c r="H28" i="2"/>
  <c r="I21" i="2"/>
  <c r="G153" i="15"/>
  <c r="W57" i="21" l="1"/>
  <c r="F1232" i="14"/>
  <c r="F1224" i="14"/>
  <c r="F1225" i="14" s="1"/>
  <c r="F1198" i="14"/>
  <c r="F1199" i="14" s="1"/>
  <c r="F1222" i="14"/>
  <c r="F1223" i="14" s="1"/>
  <c r="F1196" i="14"/>
  <c r="F1197" i="14" s="1"/>
  <c r="G1224" i="14"/>
  <c r="G1225" i="14" s="1"/>
  <c r="G1222" i="14"/>
  <c r="G1223" i="14" s="1"/>
  <c r="G1198" i="14"/>
  <c r="G1199" i="14" s="1"/>
  <c r="G1196" i="14"/>
  <c r="G1197" i="14" s="1"/>
  <c r="E1197" i="14"/>
  <c r="E1216" i="14" s="1"/>
  <c r="E1225" i="14"/>
  <c r="E1223" i="14"/>
  <c r="O855" i="14"/>
  <c r="O917" i="14"/>
  <c r="N855" i="14"/>
  <c r="N917" i="14"/>
  <c r="H916" i="14"/>
  <c r="F653" i="14"/>
  <c r="G653" i="14" s="1"/>
  <c r="W1198" i="14"/>
  <c r="G1232" i="14"/>
  <c r="E1165" i="14"/>
  <c r="E1157" i="14"/>
  <c r="F1165" i="14"/>
  <c r="F335" i="14"/>
  <c r="G335" i="14" s="1"/>
  <c r="F248" i="14"/>
  <c r="F249" i="14"/>
  <c r="F342" i="14" s="1"/>
  <c r="F401" i="14"/>
  <c r="F402" i="14"/>
  <c r="G402" i="14" s="1"/>
  <c r="G73" i="15"/>
  <c r="G109" i="15"/>
  <c r="H109" i="15" s="1"/>
  <c r="G234" i="15"/>
  <c r="G111" i="15"/>
  <c r="H111" i="15" s="1"/>
  <c r="G174" i="15"/>
  <c r="G292" i="15" s="1"/>
  <c r="G245" i="15" s="1"/>
  <c r="G323" i="16"/>
  <c r="G337" i="16" s="1"/>
  <c r="G108" i="15"/>
  <c r="H108" i="15" s="1"/>
  <c r="F278" i="4"/>
  <c r="G278" i="4" s="1"/>
  <c r="G205" i="15"/>
  <c r="F329" i="14"/>
  <c r="F374" i="14" s="1"/>
  <c r="G110" i="15"/>
  <c r="H110" i="15" s="1"/>
  <c r="F336" i="14"/>
  <c r="G336" i="14" s="1"/>
  <c r="F330" i="14"/>
  <c r="G330" i="14" s="1"/>
  <c r="F655" i="14"/>
  <c r="G655" i="14" s="1"/>
  <c r="E447" i="16"/>
  <c r="Q578" i="16" s="1"/>
  <c r="H15" i="4"/>
  <c r="F661" i="14"/>
  <c r="G661" i="14" s="1"/>
  <c r="H9" i="4"/>
  <c r="F275" i="4"/>
  <c r="G275" i="4" s="1"/>
  <c r="E41" i="4"/>
  <c r="G699" i="14"/>
  <c r="G741" i="14"/>
  <c r="G766" i="14"/>
  <c r="G698" i="14"/>
  <c r="G740" i="14"/>
  <c r="G765" i="14"/>
  <c r="F699" i="14"/>
  <c r="F766" i="14"/>
  <c r="F698" i="14"/>
  <c r="F740" i="14"/>
  <c r="F765" i="14"/>
  <c r="F741" i="14"/>
  <c r="F38" i="4"/>
  <c r="F39" i="4"/>
  <c r="F40" i="4"/>
  <c r="F37" i="4"/>
  <c r="G160" i="15"/>
  <c r="G156" i="15"/>
  <c r="G164" i="15"/>
  <c r="G78" i="4"/>
  <c r="G77" i="4"/>
  <c r="G343" i="16"/>
  <c r="G352" i="16"/>
  <c r="G353" i="16"/>
  <c r="G345" i="16"/>
  <c r="F654" i="14"/>
  <c r="F660" i="14" s="1"/>
  <c r="G244" i="16" s="1"/>
  <c r="F663" i="14"/>
  <c r="G663" i="14" s="1"/>
  <c r="F160" i="14"/>
  <c r="G86" i="15"/>
  <c r="H86" i="15" s="1"/>
  <c r="G23" i="15"/>
  <c r="G128" i="4"/>
  <c r="G80" i="16"/>
  <c r="H23" i="4"/>
  <c r="F274" i="4"/>
  <c r="E279" i="4"/>
  <c r="G39" i="4"/>
  <c r="G40" i="4"/>
  <c r="G37" i="4"/>
  <c r="G38" i="4"/>
  <c r="G77" i="16"/>
  <c r="G76" i="16"/>
  <c r="G113" i="16"/>
  <c r="G112" i="16"/>
  <c r="G72" i="16"/>
  <c r="G82" i="16"/>
  <c r="G78" i="16"/>
  <c r="G84" i="16"/>
  <c r="G79" i="16"/>
  <c r="G83" i="16"/>
  <c r="H55" i="16"/>
  <c r="H28" i="16"/>
  <c r="H20" i="16"/>
  <c r="H53" i="16"/>
  <c r="H49" i="16"/>
  <c r="H31" i="16"/>
  <c r="H32" i="16"/>
  <c r="H43" i="16"/>
  <c r="H65" i="16"/>
  <c r="H26" i="16"/>
  <c r="H29" i="16"/>
  <c r="H40" i="16"/>
  <c r="H16" i="16"/>
  <c r="H46" i="16"/>
  <c r="H58" i="16"/>
  <c r="H41" i="16"/>
  <c r="H25" i="16"/>
  <c r="H91" i="16"/>
  <c r="H33" i="16"/>
  <c r="H34" i="16"/>
  <c r="H27" i="16"/>
  <c r="H24" i="16"/>
  <c r="H21" i="16"/>
  <c r="H36" i="16"/>
  <c r="H44" i="16"/>
  <c r="H64" i="16"/>
  <c r="H57" i="16"/>
  <c r="H42" i="16"/>
  <c r="H23" i="16"/>
  <c r="H54" i="16"/>
  <c r="H17" i="16"/>
  <c r="H10" i="16"/>
  <c r="H35" i="16"/>
  <c r="H45" i="16"/>
  <c r="H89" i="16"/>
  <c r="F77" i="4"/>
  <c r="F78" i="4"/>
  <c r="F75" i="4"/>
  <c r="G75" i="4" s="1"/>
  <c r="F76" i="4"/>
  <c r="G76" i="4" s="1"/>
  <c r="F1206" i="14"/>
  <c r="G7" i="4"/>
  <c r="G18" i="4" s="1"/>
  <c r="G19" i="4" s="1"/>
  <c r="G135" i="15"/>
  <c r="G285" i="15" s="1"/>
  <c r="G119" i="15"/>
  <c r="H1180" i="14"/>
  <c r="H6" i="4"/>
  <c r="F954" i="14"/>
  <c r="F955" i="14" s="1"/>
  <c r="F757" i="14"/>
  <c r="G757" i="14" s="1"/>
  <c r="G8" i="16"/>
  <c r="G53" i="16"/>
  <c r="G42" i="16"/>
  <c r="G57" i="16"/>
  <c r="G40" i="16"/>
  <c r="G54" i="16"/>
  <c r="G36" i="16"/>
  <c r="G35" i="16"/>
  <c r="G32" i="16"/>
  <c r="G89" i="16"/>
  <c r="G16" i="16"/>
  <c r="G71" i="16" s="1"/>
  <c r="G27" i="16"/>
  <c r="G29" i="16"/>
  <c r="G24" i="16"/>
  <c r="G21" i="16"/>
  <c r="G64" i="16"/>
  <c r="G31" i="16"/>
  <c r="G28" i="16"/>
  <c r="G20" i="16"/>
  <c r="G10" i="16"/>
  <c r="G91" i="16"/>
  <c r="G34" i="16"/>
  <c r="G46" i="16"/>
  <c r="G17" i="16"/>
  <c r="G65" i="16"/>
  <c r="G55" i="16"/>
  <c r="G49" i="16"/>
  <c r="G58" i="16"/>
  <c r="G23" i="16"/>
  <c r="G41" i="16"/>
  <c r="G45" i="16"/>
  <c r="G44" i="16"/>
  <c r="G43" i="16"/>
  <c r="G33" i="16"/>
  <c r="G88" i="16" s="1"/>
  <c r="G25" i="16"/>
  <c r="G26" i="16"/>
  <c r="F285" i="14"/>
  <c r="F283" i="14"/>
  <c r="G81" i="16"/>
  <c r="H12" i="4"/>
  <c r="F276" i="4"/>
  <c r="G276" i="4" s="1"/>
  <c r="F277" i="4"/>
  <c r="G277" i="4" s="1"/>
  <c r="G5" i="4"/>
  <c r="N492" i="4"/>
  <c r="N522" i="4"/>
  <c r="O492" i="4"/>
  <c r="O522" i="4"/>
  <c r="O605" i="4" s="1"/>
  <c r="F157" i="14"/>
  <c r="F154" i="14"/>
  <c r="F323" i="14"/>
  <c r="F321" i="14"/>
  <c r="F745" i="14"/>
  <c r="G745" i="14" s="1"/>
  <c r="F131" i="14"/>
  <c r="G131" i="14" s="1"/>
  <c r="F770" i="14"/>
  <c r="G770" i="14" s="1"/>
  <c r="F117" i="14"/>
  <c r="F114" i="14"/>
  <c r="G114" i="14" s="1"/>
  <c r="F189" i="14"/>
  <c r="G231" i="16" s="1"/>
  <c r="F956" i="14"/>
  <c r="F957" i="14" s="1"/>
  <c r="F703" i="14"/>
  <c r="G703" i="14" s="1"/>
  <c r="G475" i="4"/>
  <c r="G476" i="4" s="1"/>
  <c r="G175" i="16"/>
  <c r="G364" i="16"/>
  <c r="G382" i="16" s="1"/>
  <c r="G117" i="16"/>
  <c r="G223" i="16"/>
  <c r="G267" i="16" s="1"/>
  <c r="D587" i="16"/>
  <c r="D607" i="16" s="1"/>
  <c r="G271" i="16"/>
  <c r="G405" i="16"/>
  <c r="G307" i="14"/>
  <c r="G308" i="14"/>
  <c r="F574" i="14"/>
  <c r="F285" i="15"/>
  <c r="F313" i="15"/>
  <c r="H106" i="15"/>
  <c r="G196" i="14"/>
  <c r="G195" i="14"/>
  <c r="G198" i="16"/>
  <c r="F573" i="14"/>
  <c r="G568" i="14"/>
  <c r="G573" i="14" s="1"/>
  <c r="H107" i="15"/>
  <c r="F161" i="14"/>
  <c r="E161" i="14"/>
  <c r="G158" i="14"/>
  <c r="G152" i="14"/>
  <c r="G153" i="14"/>
  <c r="G156" i="14"/>
  <c r="G159" i="14"/>
  <c r="G155" i="14"/>
  <c r="F162" i="14"/>
  <c r="F166" i="14" s="1"/>
  <c r="E162" i="14"/>
  <c r="F304" i="14"/>
  <c r="G401" i="14"/>
  <c r="G662" i="14"/>
  <c r="G249" i="14"/>
  <c r="G248" i="14"/>
  <c r="G733" i="14"/>
  <c r="G507" i="4"/>
  <c r="G253" i="16"/>
  <c r="H8" i="16"/>
  <c r="F292" i="15"/>
  <c r="F245" i="15" s="1"/>
  <c r="G134" i="14"/>
  <c r="F138" i="14"/>
  <c r="H234" i="15"/>
  <c r="H205" i="15"/>
  <c r="H174" i="15"/>
  <c r="H292" i="15" s="1"/>
  <c r="H245" i="15" s="1"/>
  <c r="H153" i="15"/>
  <c r="H73" i="15"/>
  <c r="I3" i="4"/>
  <c r="I38" i="2"/>
  <c r="I28" i="2"/>
  <c r="J21" i="2"/>
  <c r="H46" i="2"/>
  <c r="F251" i="2" s="1"/>
  <c r="J207" i="2"/>
  <c r="I7" i="16"/>
  <c r="I3" i="15"/>
  <c r="I23" i="15" s="1"/>
  <c r="I24" i="15" s="1"/>
  <c r="G1044" i="14"/>
  <c r="G983" i="14"/>
  <c r="H931" i="14"/>
  <c r="H895" i="14"/>
  <c r="H846" i="14"/>
  <c r="H836" i="14"/>
  <c r="H828" i="14"/>
  <c r="H807" i="14"/>
  <c r="H687" i="14"/>
  <c r="H579" i="14"/>
  <c r="H562" i="14"/>
  <c r="H565" i="14" s="1"/>
  <c r="H504" i="14"/>
  <c r="H431" i="14"/>
  <c r="H235" i="14"/>
  <c r="H209" i="14"/>
  <c r="H187" i="14"/>
  <c r="H100" i="14"/>
  <c r="H3" i="14"/>
  <c r="H762" i="4"/>
  <c r="H679" i="4"/>
  <c r="H669" i="4"/>
  <c r="H649" i="4"/>
  <c r="H590" i="4"/>
  <c r="H566" i="4"/>
  <c r="H489" i="4"/>
  <c r="H437" i="4"/>
  <c r="H310" i="4"/>
  <c r="H326" i="4"/>
  <c r="H272" i="4"/>
  <c r="H263" i="4"/>
  <c r="H239" i="4"/>
  <c r="H183" i="4"/>
  <c r="H226" i="4"/>
  <c r="H213" i="4"/>
  <c r="H151" i="4"/>
  <c r="H134" i="4"/>
  <c r="H112" i="4"/>
  <c r="H123" i="4"/>
  <c r="H84" i="4"/>
  <c r="H44" i="4"/>
  <c r="H36" i="4"/>
  <c r="G958" i="14"/>
  <c r="G959" i="14" s="1"/>
  <c r="G956" i="14"/>
  <c r="G954" i="14"/>
  <c r="E587" i="16"/>
  <c r="F447" i="16"/>
  <c r="H405" i="16"/>
  <c r="H364" i="16"/>
  <c r="H323" i="16"/>
  <c r="H271" i="16"/>
  <c r="H223" i="16"/>
  <c r="H175" i="16"/>
  <c r="H117" i="16"/>
  <c r="H62" i="16"/>
  <c r="P550" i="16"/>
  <c r="E1242" i="14" l="1"/>
  <c r="Y57" i="21"/>
  <c r="H1198" i="14"/>
  <c r="H1199" i="14" s="1"/>
  <c r="Z57" i="21" s="1"/>
  <c r="H1196" i="14"/>
  <c r="H1197" i="14" s="1"/>
  <c r="H1222" i="14"/>
  <c r="H1223" i="14" s="1"/>
  <c r="H1224" i="14"/>
  <c r="H1225" i="14" s="1"/>
  <c r="E918" i="14"/>
  <c r="I916" i="14"/>
  <c r="X1198" i="14"/>
  <c r="H1232" i="14"/>
  <c r="F515" i="14"/>
  <c r="G1165" i="14"/>
  <c r="Q492" i="16"/>
  <c r="P517" i="16"/>
  <c r="P452" i="16"/>
  <c r="P558" i="16"/>
  <c r="P492" i="16"/>
  <c r="P559" i="16"/>
  <c r="P451" i="16"/>
  <c r="Q477" i="16"/>
  <c r="P505" i="16"/>
  <c r="P535" i="16"/>
  <c r="Q571" i="16"/>
  <c r="Q573" i="16"/>
  <c r="G341" i="16"/>
  <c r="G326" i="16"/>
  <c r="P478" i="16"/>
  <c r="P534" i="16"/>
  <c r="Q558" i="16"/>
  <c r="Q459" i="16"/>
  <c r="P477" i="16"/>
  <c r="Q517" i="16"/>
  <c r="P540" i="16"/>
  <c r="P571" i="16"/>
  <c r="P578" i="16"/>
  <c r="G358" i="16"/>
  <c r="G339" i="16"/>
  <c r="G356" i="16"/>
  <c r="P459" i="16"/>
  <c r="Q479" i="16"/>
  <c r="Q478" i="16"/>
  <c r="E500" i="16"/>
  <c r="P516" i="16"/>
  <c r="Q535" i="16"/>
  <c r="Q550" i="16"/>
  <c r="P570" i="16"/>
  <c r="Q572" i="16"/>
  <c r="P572" i="16"/>
  <c r="F656" i="14"/>
  <c r="Q451" i="16"/>
  <c r="Q452" i="16"/>
  <c r="P479" i="16"/>
  <c r="Q505" i="16"/>
  <c r="Q516" i="16"/>
  <c r="Q534" i="16"/>
  <c r="Q540" i="16"/>
  <c r="Q559" i="16"/>
  <c r="P573" i="16"/>
  <c r="Q570" i="16"/>
  <c r="G423" i="16"/>
  <c r="I15" i="4"/>
  <c r="G329" i="14"/>
  <c r="G374" i="14" s="1"/>
  <c r="H201" i="16" s="1"/>
  <c r="G383" i="16"/>
  <c r="G844" i="4"/>
  <c r="G340" i="16"/>
  <c r="G359" i="16"/>
  <c r="G342" i="16"/>
  <c r="G334" i="16"/>
  <c r="G324" i="16"/>
  <c r="G654" i="14"/>
  <c r="G656" i="14" s="1"/>
  <c r="G338" i="16"/>
  <c r="G351" i="16"/>
  <c r="G344" i="16"/>
  <c r="F664" i="14"/>
  <c r="H1206" i="14"/>
  <c r="T243" i="16"/>
  <c r="F668" i="14"/>
  <c r="I9" i="4"/>
  <c r="H75" i="4"/>
  <c r="G251" i="16"/>
  <c r="G254" i="16"/>
  <c r="H81" i="16"/>
  <c r="G266" i="16"/>
  <c r="H225" i="16"/>
  <c r="H227" i="16"/>
  <c r="H260" i="16"/>
  <c r="H226" i="16"/>
  <c r="H414" i="16"/>
  <c r="H441" i="16"/>
  <c r="I55" i="16"/>
  <c r="I31" i="16"/>
  <c r="I29" i="16"/>
  <c r="I21" i="16"/>
  <c r="I42" i="16"/>
  <c r="I46" i="16"/>
  <c r="I35" i="16"/>
  <c r="I25" i="16"/>
  <c r="I91" i="16"/>
  <c r="I64" i="16"/>
  <c r="I33" i="16"/>
  <c r="I20" i="16"/>
  <c r="I57" i="16"/>
  <c r="I54" i="16"/>
  <c r="I34" i="16"/>
  <c r="I45" i="16"/>
  <c r="I43" i="16"/>
  <c r="I17" i="16"/>
  <c r="I26" i="16"/>
  <c r="I40" i="16"/>
  <c r="I44" i="16"/>
  <c r="I24" i="16"/>
  <c r="I41" i="16"/>
  <c r="I16" i="16"/>
  <c r="I58" i="16"/>
  <c r="I10" i="16"/>
  <c r="I89" i="16"/>
  <c r="I53" i="16"/>
  <c r="I36" i="16"/>
  <c r="I27" i="16"/>
  <c r="I28" i="16"/>
  <c r="I32" i="16"/>
  <c r="I49" i="16"/>
  <c r="I23" i="16"/>
  <c r="I65" i="16"/>
  <c r="G414" i="16"/>
  <c r="G441" i="16"/>
  <c r="G165" i="16"/>
  <c r="G168" i="16"/>
  <c r="G164" i="16"/>
  <c r="G167" i="16"/>
  <c r="F809" i="4"/>
  <c r="G380" i="16"/>
  <c r="H164" i="15"/>
  <c r="G165" i="15"/>
  <c r="H278" i="4"/>
  <c r="H77" i="16"/>
  <c r="H75" i="16"/>
  <c r="H76" i="16"/>
  <c r="H82" i="16"/>
  <c r="H79" i="16"/>
  <c r="H78" i="16"/>
  <c r="H315" i="16"/>
  <c r="H314" i="16"/>
  <c r="G293" i="16"/>
  <c r="G315" i="16"/>
  <c r="G314" i="16"/>
  <c r="G393" i="16"/>
  <c r="G373" i="16"/>
  <c r="G372" i="16"/>
  <c r="G367" i="16"/>
  <c r="G366" i="16"/>
  <c r="G385" i="16"/>
  <c r="G384" i="16"/>
  <c r="G375" i="16"/>
  <c r="H277" i="4"/>
  <c r="F844" i="4"/>
  <c r="H275" i="4"/>
  <c r="H128" i="4"/>
  <c r="G400" i="16"/>
  <c r="G157" i="15"/>
  <c r="H156" i="15"/>
  <c r="G168" i="15"/>
  <c r="G211" i="16"/>
  <c r="H168" i="16"/>
  <c r="H167" i="16"/>
  <c r="H356" i="16"/>
  <c r="H343" i="16"/>
  <c r="H326" i="16"/>
  <c r="H351" i="16"/>
  <c r="H340" i="16"/>
  <c r="H344" i="16"/>
  <c r="H337" i="16"/>
  <c r="H339" i="16"/>
  <c r="H342" i="16"/>
  <c r="H352" i="16"/>
  <c r="H345" i="16"/>
  <c r="H386" i="16" s="1"/>
  <c r="H338" i="16"/>
  <c r="H379" i="16" s="1"/>
  <c r="G379" i="16" s="1"/>
  <c r="H334" i="16"/>
  <c r="H359" i="16"/>
  <c r="H353" i="16"/>
  <c r="H40" i="4"/>
  <c r="H37" i="4"/>
  <c r="H38" i="4"/>
  <c r="H39" i="4"/>
  <c r="H698" i="14"/>
  <c r="H740" i="14"/>
  <c r="H765" i="14"/>
  <c r="H699" i="14"/>
  <c r="H741" i="14"/>
  <c r="H766" i="14"/>
  <c r="G213" i="16"/>
  <c r="G219" i="16"/>
  <c r="G218" i="16"/>
  <c r="G185" i="16"/>
  <c r="G206" i="16"/>
  <c r="G245" i="16"/>
  <c r="G204" i="16"/>
  <c r="G252" i="16" s="1"/>
  <c r="G196" i="16"/>
  <c r="G179" i="16"/>
  <c r="G178" i="16"/>
  <c r="G203" i="16"/>
  <c r="H276" i="4"/>
  <c r="H7" i="4"/>
  <c r="H18" i="4" s="1"/>
  <c r="H19" i="4" s="1"/>
  <c r="H119" i="15"/>
  <c r="X57" i="21"/>
  <c r="G41" i="4"/>
  <c r="F279" i="4"/>
  <c r="G274" i="4"/>
  <c r="G24" i="15"/>
  <c r="G22" i="15" s="1"/>
  <c r="G386" i="16"/>
  <c r="H160" i="15"/>
  <c r="G161" i="15"/>
  <c r="F41" i="4"/>
  <c r="H211" i="16"/>
  <c r="H245" i="16"/>
  <c r="H196" i="16"/>
  <c r="H206" i="16"/>
  <c r="H219" i="16"/>
  <c r="H203" i="16"/>
  <c r="H218" i="16"/>
  <c r="H204" i="16"/>
  <c r="H252" i="16" s="1"/>
  <c r="H178" i="16"/>
  <c r="H179" i="16"/>
  <c r="H213" i="16"/>
  <c r="H185" i="16"/>
  <c r="H393" i="16"/>
  <c r="H372" i="16"/>
  <c r="H366" i="16"/>
  <c r="H384" i="16"/>
  <c r="H367" i="16"/>
  <c r="H373" i="16"/>
  <c r="H385" i="16"/>
  <c r="G955" i="14"/>
  <c r="H77" i="4"/>
  <c r="H78" i="4"/>
  <c r="H55" i="4"/>
  <c r="I1180" i="14"/>
  <c r="I6" i="4"/>
  <c r="F667" i="14"/>
  <c r="F669" i="14" s="1"/>
  <c r="G176" i="16"/>
  <c r="G440" i="16"/>
  <c r="G260" i="16"/>
  <c r="G225" i="16"/>
  <c r="G226" i="16"/>
  <c r="G227" i="16"/>
  <c r="I12" i="4"/>
  <c r="H5" i="4"/>
  <c r="H76" i="4"/>
  <c r="H88" i="16"/>
  <c r="G809" i="4"/>
  <c r="I23" i="4"/>
  <c r="I86" i="15"/>
  <c r="H80" i="16"/>
  <c r="G157" i="14"/>
  <c r="G284" i="16"/>
  <c r="G236" i="16"/>
  <c r="G160" i="14"/>
  <c r="G323" i="14"/>
  <c r="G321" i="14"/>
  <c r="E1029" i="14"/>
  <c r="G230" i="16"/>
  <c r="G154" i="14"/>
  <c r="F121" i="14"/>
  <c r="F125" i="14" s="1"/>
  <c r="G189" i="14"/>
  <c r="H231" i="16" s="1"/>
  <c r="E1034" i="14"/>
  <c r="D1034" i="14" s="1"/>
  <c r="E1120" i="14" s="1"/>
  <c r="F190" i="14"/>
  <c r="G259" i="16"/>
  <c r="G957" i="14"/>
  <c r="G117" i="14"/>
  <c r="H475" i="4"/>
  <c r="H476" i="4" s="1"/>
  <c r="Q592" i="16"/>
  <c r="H254" i="16"/>
  <c r="G201" i="16"/>
  <c r="F375" i="14"/>
  <c r="F322" i="14"/>
  <c r="G200" i="16"/>
  <c r="H308" i="14"/>
  <c r="H307" i="14"/>
  <c r="I106" i="15"/>
  <c r="I111" i="15"/>
  <c r="H196" i="14"/>
  <c r="H195" i="14"/>
  <c r="H335" i="14"/>
  <c r="H401" i="14"/>
  <c r="H330" i="14"/>
  <c r="H661" i="14"/>
  <c r="H198" i="16"/>
  <c r="H267" i="16"/>
  <c r="H507" i="4"/>
  <c r="F180" i="14"/>
  <c r="G399" i="16"/>
  <c r="D368" i="2"/>
  <c r="D372" i="2"/>
  <c r="D373" i="2"/>
  <c r="D371" i="2"/>
  <c r="D370" i="2"/>
  <c r="D369" i="2"/>
  <c r="H568" i="14"/>
  <c r="H575" i="14" s="1"/>
  <c r="H324" i="16"/>
  <c r="H358" i="16"/>
  <c r="H341" i="16"/>
  <c r="D1032" i="14"/>
  <c r="E165" i="14"/>
  <c r="E163" i="14"/>
  <c r="E176" i="14"/>
  <c r="H423" i="16"/>
  <c r="H382" i="16"/>
  <c r="H159" i="14"/>
  <c r="H153" i="14"/>
  <c r="H156" i="14"/>
  <c r="H158" i="14"/>
  <c r="H152" i="14"/>
  <c r="H155" i="14"/>
  <c r="H663" i="14"/>
  <c r="H402" i="14"/>
  <c r="I109" i="15"/>
  <c r="E166" i="14"/>
  <c r="E180" i="14"/>
  <c r="G162" i="14"/>
  <c r="G166" i="14" s="1"/>
  <c r="I108" i="15"/>
  <c r="I110" i="15"/>
  <c r="G574" i="14"/>
  <c r="G575" i="14"/>
  <c r="G342" i="14"/>
  <c r="G188" i="16"/>
  <c r="G161" i="14"/>
  <c r="F165" i="14"/>
  <c r="E1032" i="14"/>
  <c r="H440" i="16"/>
  <c r="I107" i="15"/>
  <c r="H176" i="16"/>
  <c r="H266" i="16"/>
  <c r="H253" i="16"/>
  <c r="H733" i="14"/>
  <c r="H653" i="14"/>
  <c r="H285" i="14"/>
  <c r="H283" i="14"/>
  <c r="H284" i="14"/>
  <c r="H248" i="14"/>
  <c r="H249" i="14"/>
  <c r="H662" i="14"/>
  <c r="H336" i="14"/>
  <c r="G668" i="14"/>
  <c r="G664" i="14"/>
  <c r="G304" i="14"/>
  <c r="U243" i="16"/>
  <c r="I8" i="16"/>
  <c r="F142" i="14"/>
  <c r="F181" i="14" s="1"/>
  <c r="G138" i="14"/>
  <c r="N605" i="4"/>
  <c r="M605" i="4" s="1"/>
  <c r="L605" i="4" s="1"/>
  <c r="K605" i="4" s="1"/>
  <c r="J605" i="4" s="1"/>
  <c r="I605" i="4" s="1"/>
  <c r="H605" i="4" s="1"/>
  <c r="G605" i="4" s="1"/>
  <c r="F605" i="4" s="1"/>
  <c r="E605" i="4" s="1"/>
  <c r="J7" i="16"/>
  <c r="J3" i="15"/>
  <c r="J23" i="15" s="1"/>
  <c r="J24" i="15" s="1"/>
  <c r="H1044" i="14"/>
  <c r="H983" i="14"/>
  <c r="I931" i="14"/>
  <c r="I895" i="14"/>
  <c r="I846" i="14"/>
  <c r="I836" i="14"/>
  <c r="I828" i="14"/>
  <c r="I807" i="14"/>
  <c r="I687" i="14"/>
  <c r="I579" i="14"/>
  <c r="I562" i="14"/>
  <c r="I565" i="14" s="1"/>
  <c r="I504" i="14"/>
  <c r="I431" i="14"/>
  <c r="I235" i="14"/>
  <c r="I209" i="14"/>
  <c r="I187" i="14"/>
  <c r="I100" i="14"/>
  <c r="I3" i="14"/>
  <c r="I762" i="4"/>
  <c r="I679" i="4"/>
  <c r="I669" i="4"/>
  <c r="I649" i="4"/>
  <c r="I590" i="4"/>
  <c r="I566" i="4"/>
  <c r="I489" i="4"/>
  <c r="I437" i="4"/>
  <c r="I326" i="4"/>
  <c r="I310" i="4"/>
  <c r="I272" i="4"/>
  <c r="I263" i="4"/>
  <c r="I239" i="4"/>
  <c r="I226" i="4"/>
  <c r="I183" i="4"/>
  <c r="I213" i="4"/>
  <c r="I151" i="4"/>
  <c r="I134" i="4"/>
  <c r="I112" i="4"/>
  <c r="I123" i="4"/>
  <c r="I84" i="4"/>
  <c r="I44" i="4"/>
  <c r="I36" i="4"/>
  <c r="E607" i="16"/>
  <c r="R592" i="16"/>
  <c r="I46" i="2"/>
  <c r="G251" i="2" s="1"/>
  <c r="H958" i="14"/>
  <c r="H959" i="14" s="1"/>
  <c r="H956" i="14"/>
  <c r="H954" i="14"/>
  <c r="F587" i="16"/>
  <c r="G447" i="16"/>
  <c r="I405" i="16"/>
  <c r="I364" i="16"/>
  <c r="I223" i="16"/>
  <c r="I323" i="16"/>
  <c r="I271" i="16"/>
  <c r="I175" i="16"/>
  <c r="I117" i="16"/>
  <c r="I62" i="16"/>
  <c r="H134" i="14"/>
  <c r="H259" i="16"/>
  <c r="H131" i="14"/>
  <c r="H114" i="14"/>
  <c r="H770" i="14"/>
  <c r="H745" i="14"/>
  <c r="H703" i="14"/>
  <c r="J3" i="4"/>
  <c r="J38" i="2"/>
  <c r="J28" i="2"/>
  <c r="K21" i="2"/>
  <c r="I234" i="15"/>
  <c r="I205" i="15"/>
  <c r="I174" i="15"/>
  <c r="I292" i="15" s="1"/>
  <c r="I245" i="15" s="1"/>
  <c r="I153" i="15"/>
  <c r="I73" i="15"/>
  <c r="E882" i="14" l="1"/>
  <c r="E919" i="14"/>
  <c r="I1196" i="14"/>
  <c r="I1197" i="14" s="1"/>
  <c r="I1198" i="14"/>
  <c r="I1199" i="14" s="1"/>
  <c r="AA57" i="21" s="1"/>
  <c r="I1222" i="14"/>
  <c r="I1223" i="14" s="1"/>
  <c r="I1224" i="14"/>
  <c r="I1225" i="14" s="1"/>
  <c r="J916" i="14"/>
  <c r="Y1198" i="14"/>
  <c r="I1232" i="14"/>
  <c r="I1206" i="14"/>
  <c r="H1165" i="14"/>
  <c r="G660" i="14"/>
  <c r="H244" i="16" s="1"/>
  <c r="F665" i="14"/>
  <c r="H955" i="14"/>
  <c r="F1101" i="14"/>
  <c r="G667" i="14"/>
  <c r="G669" i="14" s="1"/>
  <c r="I75" i="4"/>
  <c r="H329" i="14"/>
  <c r="H374" i="14" s="1"/>
  <c r="I201" i="16" s="1"/>
  <c r="H654" i="14"/>
  <c r="I654" i="14" s="1"/>
  <c r="G515" i="14"/>
  <c r="H375" i="16"/>
  <c r="I7" i="4"/>
  <c r="I18" i="4" s="1"/>
  <c r="I19" i="4" s="1"/>
  <c r="H189" i="14"/>
  <c r="I231" i="16" s="1"/>
  <c r="E1101" i="14"/>
  <c r="H251" i="16"/>
  <c r="H288" i="15"/>
  <c r="G288" i="15" s="1"/>
  <c r="I119" i="15"/>
  <c r="G262" i="15"/>
  <c r="H844" i="4"/>
  <c r="I128" i="4"/>
  <c r="J86" i="15"/>
  <c r="J1180" i="14"/>
  <c r="J6" i="4"/>
  <c r="J7" i="4"/>
  <c r="J18" i="4" s="1"/>
  <c r="J19" i="4" s="1"/>
  <c r="I113" i="16"/>
  <c r="H113" i="16" s="1"/>
  <c r="I77" i="16"/>
  <c r="I76" i="16"/>
  <c r="I79" i="16"/>
  <c r="I82" i="16"/>
  <c r="I84" i="16"/>
  <c r="H84" i="16" s="1"/>
  <c r="I112" i="16"/>
  <c r="H112" i="16" s="1"/>
  <c r="I342" i="16"/>
  <c r="I383" i="16" s="1"/>
  <c r="H383" i="16" s="1"/>
  <c r="I356" i="16"/>
  <c r="I326" i="16"/>
  <c r="I339" i="16"/>
  <c r="I380" i="16" s="1"/>
  <c r="H380" i="16" s="1"/>
  <c r="I353" i="16"/>
  <c r="I334" i="16"/>
  <c r="I375" i="16" s="1"/>
  <c r="I344" i="16"/>
  <c r="I385" i="16" s="1"/>
  <c r="I340" i="16"/>
  <c r="I345" i="16"/>
  <c r="I343" i="16"/>
  <c r="I384" i="16" s="1"/>
  <c r="I338" i="16"/>
  <c r="I352" i="16"/>
  <c r="I393" i="16" s="1"/>
  <c r="I337" i="16"/>
  <c r="I359" i="16"/>
  <c r="I400" i="16" s="1"/>
  <c r="H400" i="16" s="1"/>
  <c r="I351" i="16"/>
  <c r="I37" i="4"/>
  <c r="I38" i="4"/>
  <c r="I39" i="4"/>
  <c r="I40" i="4"/>
  <c r="I245" i="16"/>
  <c r="I206" i="16"/>
  <c r="I219" i="16"/>
  <c r="I196" i="16"/>
  <c r="I178" i="16"/>
  <c r="I218" i="16"/>
  <c r="I266" i="16" s="1"/>
  <c r="I179" i="16"/>
  <c r="I213" i="16"/>
  <c r="I185" i="16"/>
  <c r="I204" i="16"/>
  <c r="I252" i="16" s="1"/>
  <c r="I203" i="16"/>
  <c r="I251" i="16" s="1"/>
  <c r="I367" i="16"/>
  <c r="I373" i="16"/>
  <c r="I366" i="16"/>
  <c r="I372" i="16"/>
  <c r="J89" i="16"/>
  <c r="J64" i="16"/>
  <c r="J65" i="16"/>
  <c r="J91" i="16"/>
  <c r="J17" i="16"/>
  <c r="J43" i="16"/>
  <c r="J21" i="16"/>
  <c r="J31" i="16"/>
  <c r="J16" i="16"/>
  <c r="J29" i="16"/>
  <c r="J44" i="16"/>
  <c r="J35" i="16"/>
  <c r="J49" i="16"/>
  <c r="J41" i="16"/>
  <c r="J32" i="16"/>
  <c r="J58" i="16"/>
  <c r="J27" i="16"/>
  <c r="J24" i="16"/>
  <c r="J53" i="16"/>
  <c r="J23" i="16"/>
  <c r="J40" i="16"/>
  <c r="J57" i="16"/>
  <c r="J54" i="16"/>
  <c r="J55" i="16"/>
  <c r="J10" i="16"/>
  <c r="J26" i="16"/>
  <c r="J33" i="16"/>
  <c r="J20" i="16"/>
  <c r="J45" i="16"/>
  <c r="J34" i="16"/>
  <c r="J36" i="16"/>
  <c r="J25" i="16"/>
  <c r="J46" i="16"/>
  <c r="J28" i="16"/>
  <c r="J42" i="16"/>
  <c r="I81" i="16"/>
  <c r="G25" i="4"/>
  <c r="F25" i="4"/>
  <c r="F307" i="4"/>
  <c r="F306" i="4"/>
  <c r="I80" i="16"/>
  <c r="I315" i="16"/>
  <c r="I314" i="16"/>
  <c r="I441" i="16"/>
  <c r="I414" i="16"/>
  <c r="I276" i="4"/>
  <c r="H41" i="4"/>
  <c r="E1100" i="14"/>
  <c r="I277" i="4"/>
  <c r="I278" i="4"/>
  <c r="H164" i="16"/>
  <c r="I164" i="16" s="1"/>
  <c r="I75" i="16"/>
  <c r="H809" i="4"/>
  <c r="I741" i="14"/>
  <c r="I698" i="14"/>
  <c r="I740" i="14"/>
  <c r="I765" i="14"/>
  <c r="I699" i="14"/>
  <c r="I766" i="14"/>
  <c r="I5" i="4"/>
  <c r="I160" i="15"/>
  <c r="H161" i="15"/>
  <c r="I211" i="16"/>
  <c r="I88" i="16"/>
  <c r="I168" i="16"/>
  <c r="I167" i="16"/>
  <c r="I260" i="16"/>
  <c r="I227" i="16"/>
  <c r="I225" i="16"/>
  <c r="I226" i="16"/>
  <c r="I77" i="4"/>
  <c r="I78" i="4"/>
  <c r="I55" i="4"/>
  <c r="J23" i="4"/>
  <c r="I76" i="4"/>
  <c r="J12" i="4"/>
  <c r="F1100" i="14"/>
  <c r="G279" i="4"/>
  <c r="H274" i="4"/>
  <c r="H157" i="15"/>
  <c r="I156" i="15"/>
  <c r="H168" i="15"/>
  <c r="I275" i="4"/>
  <c r="G75" i="16"/>
  <c r="I164" i="15"/>
  <c r="H165" i="15"/>
  <c r="J9" i="4"/>
  <c r="H165" i="16"/>
  <c r="I165" i="16" s="1"/>
  <c r="I78" i="16"/>
  <c r="J15" i="4"/>
  <c r="F1034" i="14"/>
  <c r="H160" i="14"/>
  <c r="F176" i="14"/>
  <c r="F172" i="14" s="1"/>
  <c r="H157" i="14"/>
  <c r="H236" i="16"/>
  <c r="H284" i="16"/>
  <c r="F120" i="14"/>
  <c r="F148" i="14"/>
  <c r="F149" i="14"/>
  <c r="F177" i="14"/>
  <c r="F173" i="14" s="1"/>
  <c r="H154" i="14"/>
  <c r="H323" i="14"/>
  <c r="H321" i="14"/>
  <c r="G121" i="14"/>
  <c r="G125" i="14" s="1"/>
  <c r="H230" i="16"/>
  <c r="G190" i="14"/>
  <c r="F204" i="14"/>
  <c r="F206" i="14"/>
  <c r="F1029" i="14"/>
  <c r="H957" i="14"/>
  <c r="I475" i="4"/>
  <c r="I476" i="4" s="1"/>
  <c r="H117" i="14"/>
  <c r="G1029" i="14" s="1"/>
  <c r="E1093" i="14"/>
  <c r="I254" i="16"/>
  <c r="J111" i="15"/>
  <c r="G375" i="14"/>
  <c r="H304" i="14"/>
  <c r="G665" i="14"/>
  <c r="H200" i="16"/>
  <c r="F1093" i="14" s="1"/>
  <c r="G322" i="14"/>
  <c r="I308" i="14"/>
  <c r="I307" i="14"/>
  <c r="G180" i="14"/>
  <c r="H574" i="14"/>
  <c r="J109" i="15"/>
  <c r="H162" i="14"/>
  <c r="H166" i="14" s="1"/>
  <c r="J106" i="15"/>
  <c r="I195" i="14"/>
  <c r="I196" i="14"/>
  <c r="H138" i="14"/>
  <c r="H142" i="14" s="1"/>
  <c r="J107" i="15"/>
  <c r="I507" i="4"/>
  <c r="I198" i="16"/>
  <c r="I267" i="16"/>
  <c r="E172" i="14"/>
  <c r="H279" i="15"/>
  <c r="G279" i="15" s="1"/>
  <c r="E369" i="2"/>
  <c r="E371" i="2"/>
  <c r="E370" i="2"/>
  <c r="E373" i="2"/>
  <c r="E372" i="2"/>
  <c r="E368" i="2"/>
  <c r="I568" i="14"/>
  <c r="I155" i="14"/>
  <c r="I156" i="14"/>
  <c r="I158" i="14"/>
  <c r="I152" i="14"/>
  <c r="I159" i="14"/>
  <c r="I153" i="14"/>
  <c r="I382" i="16"/>
  <c r="I423" i="16"/>
  <c r="G165" i="14"/>
  <c r="F1032" i="14"/>
  <c r="I440" i="16"/>
  <c r="H188" i="16"/>
  <c r="J108" i="15"/>
  <c r="H573" i="14"/>
  <c r="I733" i="14"/>
  <c r="H262" i="15"/>
  <c r="I324" i="16"/>
  <c r="I341" i="16"/>
  <c r="I358" i="16"/>
  <c r="J110" i="15"/>
  <c r="H161" i="14"/>
  <c r="I284" i="14"/>
  <c r="I283" i="14"/>
  <c r="I285" i="14"/>
  <c r="I248" i="14"/>
  <c r="I249" i="14"/>
  <c r="I662" i="14"/>
  <c r="I402" i="14"/>
  <c r="I176" i="16"/>
  <c r="I661" i="14"/>
  <c r="I253" i="16"/>
  <c r="I336" i="14"/>
  <c r="H342" i="14"/>
  <c r="I335" i="14"/>
  <c r="I663" i="14"/>
  <c r="H668" i="14"/>
  <c r="H664" i="14"/>
  <c r="I330" i="14"/>
  <c r="I653" i="14"/>
  <c r="I401" i="14"/>
  <c r="J8" i="16"/>
  <c r="V243" i="16"/>
  <c r="G142" i="14"/>
  <c r="G181" i="14" s="1"/>
  <c r="I770" i="14"/>
  <c r="I745" i="14"/>
  <c r="I703" i="14"/>
  <c r="K3" i="4"/>
  <c r="K38" i="2"/>
  <c r="K28" i="2"/>
  <c r="L21" i="2"/>
  <c r="K7" i="16"/>
  <c r="K3" i="15"/>
  <c r="K23" i="15" s="1"/>
  <c r="K24" i="15" s="1"/>
  <c r="I1044" i="14"/>
  <c r="I983" i="14"/>
  <c r="J931" i="14"/>
  <c r="J895" i="14"/>
  <c r="J846" i="14"/>
  <c r="J836" i="14"/>
  <c r="J828" i="14"/>
  <c r="J807" i="14"/>
  <c r="J687" i="14"/>
  <c r="J579" i="14"/>
  <c r="J562" i="14"/>
  <c r="J565" i="14" s="1"/>
  <c r="J504" i="14"/>
  <c r="J431" i="14"/>
  <c r="J235" i="14"/>
  <c r="J209" i="14"/>
  <c r="J187" i="14"/>
  <c r="J100" i="14"/>
  <c r="J3" i="14"/>
  <c r="J762" i="4"/>
  <c r="J679" i="4"/>
  <c r="J669" i="4"/>
  <c r="J649" i="4"/>
  <c r="J590" i="4"/>
  <c r="J566" i="4"/>
  <c r="J489" i="4"/>
  <c r="J437" i="4"/>
  <c r="J326" i="4"/>
  <c r="J310" i="4"/>
  <c r="J272" i="4"/>
  <c r="J263" i="4"/>
  <c r="J226" i="4"/>
  <c r="J213" i="4"/>
  <c r="J183" i="4"/>
  <c r="J239" i="4"/>
  <c r="J151" i="4"/>
  <c r="J134" i="4"/>
  <c r="J112" i="4"/>
  <c r="J123" i="4"/>
  <c r="J84" i="4"/>
  <c r="J44" i="4"/>
  <c r="J36" i="4"/>
  <c r="I134" i="14"/>
  <c r="I259" i="16"/>
  <c r="S592" i="16"/>
  <c r="F607" i="16"/>
  <c r="I131" i="14"/>
  <c r="I114" i="14"/>
  <c r="J46" i="2"/>
  <c r="H251" i="2" s="1"/>
  <c r="E181" i="14"/>
  <c r="I954" i="14"/>
  <c r="I958" i="14"/>
  <c r="I959" i="14" s="1"/>
  <c r="I956" i="14"/>
  <c r="G587" i="16"/>
  <c r="H447" i="16"/>
  <c r="J405" i="16"/>
  <c r="J364" i="16"/>
  <c r="J323" i="16"/>
  <c r="J223" i="16"/>
  <c r="J271" i="16"/>
  <c r="J175" i="16"/>
  <c r="J117" i="16"/>
  <c r="J62" i="16"/>
  <c r="E177" i="14"/>
  <c r="J234" i="15"/>
  <c r="J205" i="15"/>
  <c r="J153" i="15"/>
  <c r="J174" i="15"/>
  <c r="J292" i="15" s="1"/>
  <c r="J245" i="15" s="1"/>
  <c r="J73" i="15"/>
  <c r="J1224" i="14" l="1"/>
  <c r="J1225" i="14" s="1"/>
  <c r="J1198" i="14"/>
  <c r="J1199" i="14" s="1"/>
  <c r="J1196" i="14"/>
  <c r="J1197" i="14" s="1"/>
  <c r="J1222" i="14"/>
  <c r="J1223" i="14" s="1"/>
  <c r="K916" i="14"/>
  <c r="Z1198" i="14"/>
  <c r="J1232" i="14"/>
  <c r="I1165" i="14"/>
  <c r="I955" i="14"/>
  <c r="H660" i="14"/>
  <c r="I244" i="16" s="1"/>
  <c r="J75" i="4"/>
  <c r="J119" i="15"/>
  <c r="I329" i="14"/>
  <c r="I374" i="14" s="1"/>
  <c r="I189" i="14"/>
  <c r="J231" i="16" s="1"/>
  <c r="G1034" i="14"/>
  <c r="G1101" i="14"/>
  <c r="H190" i="14"/>
  <c r="H204" i="14" s="1"/>
  <c r="H515" i="14"/>
  <c r="J1206" i="14"/>
  <c r="J80" i="16"/>
  <c r="G1100" i="14"/>
  <c r="I844" i="4"/>
  <c r="I41" i="4"/>
  <c r="I25" i="4" s="1"/>
  <c r="J128" i="4"/>
  <c r="K86" i="15"/>
  <c r="J167" i="16"/>
  <c r="J168" i="16"/>
  <c r="J356" i="16"/>
  <c r="J342" i="16"/>
  <c r="J383" i="16" s="1"/>
  <c r="J338" i="16"/>
  <c r="J339" i="16"/>
  <c r="J380" i="16" s="1"/>
  <c r="J344" i="16"/>
  <c r="J385" i="16" s="1"/>
  <c r="J334" i="16"/>
  <c r="J375" i="16" s="1"/>
  <c r="J353" i="16"/>
  <c r="J337" i="16"/>
  <c r="J343" i="16"/>
  <c r="J384" i="16" s="1"/>
  <c r="J326" i="16"/>
  <c r="J351" i="16"/>
  <c r="J359" i="16"/>
  <c r="J400" i="16" s="1"/>
  <c r="J352" i="16"/>
  <c r="J393" i="16" s="1"/>
  <c r="J345" i="16"/>
  <c r="J386" i="16" s="1"/>
  <c r="J340" i="16"/>
  <c r="J38" i="4"/>
  <c r="J39" i="4"/>
  <c r="J40" i="4"/>
  <c r="J37" i="4"/>
  <c r="J741" i="14"/>
  <c r="J698" i="14"/>
  <c r="J740" i="14"/>
  <c r="J765" i="14"/>
  <c r="J699" i="14"/>
  <c r="J766" i="14"/>
  <c r="K15" i="4"/>
  <c r="K9" i="4"/>
  <c r="F810" i="4"/>
  <c r="G114" i="16"/>
  <c r="D717" i="16" s="1"/>
  <c r="K23" i="4"/>
  <c r="J160" i="15"/>
  <c r="J278" i="4"/>
  <c r="H25" i="4"/>
  <c r="J75" i="16"/>
  <c r="I809" i="4"/>
  <c r="J78" i="16"/>
  <c r="J245" i="16"/>
  <c r="J219" i="16"/>
  <c r="J267" i="16" s="1"/>
  <c r="J204" i="16"/>
  <c r="J252" i="16" s="1"/>
  <c r="J203" i="16"/>
  <c r="J251" i="16" s="1"/>
  <c r="J178" i="16"/>
  <c r="J179" i="16"/>
  <c r="J218" i="16"/>
  <c r="J266" i="16" s="1"/>
  <c r="J185" i="16"/>
  <c r="J213" i="16"/>
  <c r="J206" i="16"/>
  <c r="J196" i="16"/>
  <c r="J367" i="16"/>
  <c r="J373" i="16"/>
  <c r="J372" i="16"/>
  <c r="J366" i="16"/>
  <c r="J77" i="4"/>
  <c r="J78" i="4"/>
  <c r="J55" i="4"/>
  <c r="J275" i="4"/>
  <c r="H279" i="4"/>
  <c r="I274" i="4"/>
  <c r="J211" i="16"/>
  <c r="J277" i="4"/>
  <c r="G48" i="16"/>
  <c r="J88" i="16"/>
  <c r="I386" i="16"/>
  <c r="J315" i="16"/>
  <c r="J314" i="16"/>
  <c r="J441" i="16"/>
  <c r="J414" i="16"/>
  <c r="K65" i="16"/>
  <c r="K89" i="16"/>
  <c r="K91" i="16"/>
  <c r="K64" i="16"/>
  <c r="K17" i="16"/>
  <c r="K34" i="16"/>
  <c r="K23" i="16"/>
  <c r="K10" i="16"/>
  <c r="K41" i="16"/>
  <c r="K29" i="16"/>
  <c r="K57" i="16"/>
  <c r="K16" i="16"/>
  <c r="K26" i="16"/>
  <c r="K43" i="16"/>
  <c r="K35" i="16"/>
  <c r="K58" i="16"/>
  <c r="K25" i="16"/>
  <c r="K20" i="16"/>
  <c r="K53" i="16"/>
  <c r="K24" i="16"/>
  <c r="K45" i="16"/>
  <c r="K55" i="16"/>
  <c r="K44" i="16"/>
  <c r="K32" i="16"/>
  <c r="K27" i="16"/>
  <c r="K21" i="16"/>
  <c r="K49" i="16"/>
  <c r="K42" i="16"/>
  <c r="K31" i="16"/>
  <c r="K54" i="16"/>
  <c r="K36" i="16"/>
  <c r="K40" i="16"/>
  <c r="K46" i="16"/>
  <c r="K28" i="16"/>
  <c r="K33" i="16"/>
  <c r="K1180" i="14"/>
  <c r="K6" i="4"/>
  <c r="K7" i="4"/>
  <c r="K18" i="4" s="1"/>
  <c r="K19" i="4" s="1"/>
  <c r="J164" i="15"/>
  <c r="G306" i="4"/>
  <c r="H48" i="16" s="1"/>
  <c r="G307" i="4"/>
  <c r="K12" i="4"/>
  <c r="J83" i="16"/>
  <c r="I83" i="16" s="1"/>
  <c r="H83" i="16" s="1"/>
  <c r="G810" i="4" s="1"/>
  <c r="J77" i="16"/>
  <c r="J76" i="16"/>
  <c r="J113" i="16"/>
  <c r="J84" i="16"/>
  <c r="J79" i="16"/>
  <c r="J71" i="16"/>
  <c r="I71" i="16" s="1"/>
  <c r="J82" i="16"/>
  <c r="J260" i="16"/>
  <c r="J225" i="16"/>
  <c r="J227" i="16"/>
  <c r="J226" i="16"/>
  <c r="G176" i="14"/>
  <c r="G172" i="14" s="1"/>
  <c r="J165" i="16"/>
  <c r="I168" i="15"/>
  <c r="J156" i="15"/>
  <c r="J76" i="4"/>
  <c r="J81" i="16"/>
  <c r="J164" i="16"/>
  <c r="J276" i="4"/>
  <c r="J72" i="16"/>
  <c r="I72" i="16" s="1"/>
  <c r="H72" i="16" s="1"/>
  <c r="J5" i="4"/>
  <c r="I160" i="14"/>
  <c r="I157" i="14"/>
  <c r="I323" i="14"/>
  <c r="I321" i="14"/>
  <c r="I154" i="14"/>
  <c r="G120" i="14"/>
  <c r="G149" i="14"/>
  <c r="G148" i="14"/>
  <c r="I660" i="14"/>
  <c r="J244" i="16" s="1"/>
  <c r="I236" i="16"/>
  <c r="I284" i="16"/>
  <c r="I117" i="14"/>
  <c r="J230" i="16" s="1"/>
  <c r="I230" i="16"/>
  <c r="G204" i="14"/>
  <c r="G206" i="14"/>
  <c r="J475" i="4"/>
  <c r="J476" i="4" s="1"/>
  <c r="I957" i="14"/>
  <c r="H121" i="14"/>
  <c r="J254" i="16"/>
  <c r="I304" i="14"/>
  <c r="I200" i="16"/>
  <c r="G1093" i="14" s="1"/>
  <c r="H322" i="14"/>
  <c r="J308" i="14"/>
  <c r="J307" i="14"/>
  <c r="J507" i="4"/>
  <c r="K107" i="15"/>
  <c r="J195" i="14"/>
  <c r="J196" i="14"/>
  <c r="J336" i="14"/>
  <c r="K108" i="15"/>
  <c r="H180" i="14"/>
  <c r="J330" i="14"/>
  <c r="J653" i="14"/>
  <c r="K111" i="15"/>
  <c r="J198" i="16"/>
  <c r="I399" i="16"/>
  <c r="H399" i="16" s="1"/>
  <c r="F370" i="2"/>
  <c r="F372" i="2"/>
  <c r="F373" i="2"/>
  <c r="F371" i="2"/>
  <c r="F368" i="2"/>
  <c r="F369" i="2"/>
  <c r="J568" i="14"/>
  <c r="J575" i="14" s="1"/>
  <c r="J156" i="14"/>
  <c r="J153" i="14"/>
  <c r="J155" i="14"/>
  <c r="J158" i="14"/>
  <c r="J152" i="14"/>
  <c r="J159" i="14"/>
  <c r="I162" i="14"/>
  <c r="I166" i="14" s="1"/>
  <c r="J324" i="16"/>
  <c r="J358" i="16"/>
  <c r="J399" i="16" s="1"/>
  <c r="J341" i="16"/>
  <c r="J733" i="14"/>
  <c r="G177" i="14"/>
  <c r="G173" i="14" s="1"/>
  <c r="I188" i="16"/>
  <c r="I262" i="15"/>
  <c r="I161" i="14"/>
  <c r="I573" i="14"/>
  <c r="I575" i="14"/>
  <c r="J440" i="16"/>
  <c r="G1032" i="14"/>
  <c r="H165" i="14"/>
  <c r="J402" i="14"/>
  <c r="J382" i="16"/>
  <c r="J423" i="16"/>
  <c r="J663" i="14"/>
  <c r="K110" i="15"/>
  <c r="K109" i="15"/>
  <c r="K106" i="15"/>
  <c r="I574" i="14"/>
  <c r="H375" i="14"/>
  <c r="J253" i="16"/>
  <c r="J283" i="14"/>
  <c r="J284" i="14"/>
  <c r="J285" i="14"/>
  <c r="J249" i="14"/>
  <c r="J248" i="14"/>
  <c r="J662" i="14"/>
  <c r="J654" i="14"/>
  <c r="J401" i="14"/>
  <c r="J335" i="14"/>
  <c r="J661" i="14"/>
  <c r="I342" i="14"/>
  <c r="J176" i="16"/>
  <c r="I668" i="14"/>
  <c r="I664" i="14"/>
  <c r="W243" i="16"/>
  <c r="K8" i="16"/>
  <c r="H181" i="14"/>
  <c r="G607" i="16"/>
  <c r="T592" i="16"/>
  <c r="J131" i="14"/>
  <c r="J114" i="14"/>
  <c r="J498" i="14"/>
  <c r="I498" i="14" s="1"/>
  <c r="H498" i="14" s="1"/>
  <c r="G498" i="14" s="1"/>
  <c r="J770" i="14"/>
  <c r="J745" i="14"/>
  <c r="J703" i="14"/>
  <c r="L3" i="4"/>
  <c r="L38" i="2"/>
  <c r="L28" i="2"/>
  <c r="M21" i="2"/>
  <c r="J259" i="16"/>
  <c r="J134" i="14"/>
  <c r="K46" i="2"/>
  <c r="I251" i="2" s="1"/>
  <c r="L7" i="16"/>
  <c r="L3" i="15"/>
  <c r="L23" i="15" s="1"/>
  <c r="L24" i="15" s="1"/>
  <c r="J1044" i="14"/>
  <c r="J983" i="14"/>
  <c r="K931" i="14"/>
  <c r="K895" i="14"/>
  <c r="K846" i="14"/>
  <c r="K836" i="14"/>
  <c r="K828" i="14"/>
  <c r="K807" i="14"/>
  <c r="K687" i="14"/>
  <c r="K579" i="14"/>
  <c r="K562" i="14"/>
  <c r="K565" i="14" s="1"/>
  <c r="K504" i="14"/>
  <c r="K431" i="14"/>
  <c r="K235" i="14"/>
  <c r="K209" i="14"/>
  <c r="K187" i="14"/>
  <c r="K100" i="14"/>
  <c r="K3" i="14"/>
  <c r="K762" i="4"/>
  <c r="K679" i="4"/>
  <c r="K669" i="4"/>
  <c r="K649" i="4"/>
  <c r="K590" i="4"/>
  <c r="K566" i="4"/>
  <c r="K489" i="4"/>
  <c r="K437" i="4"/>
  <c r="K326" i="4"/>
  <c r="K310" i="4"/>
  <c r="K272" i="4"/>
  <c r="K263" i="4"/>
  <c r="K183" i="4"/>
  <c r="K226" i="4"/>
  <c r="K213" i="4"/>
  <c r="K239" i="4"/>
  <c r="K151" i="4"/>
  <c r="K134" i="4"/>
  <c r="K123" i="4"/>
  <c r="K112" i="4"/>
  <c r="K84" i="4"/>
  <c r="K44" i="4"/>
  <c r="K75" i="4" s="1"/>
  <c r="K36" i="4"/>
  <c r="J958" i="14"/>
  <c r="J959" i="14" s="1"/>
  <c r="J956" i="14"/>
  <c r="J954" i="14"/>
  <c r="H587" i="16"/>
  <c r="I447" i="16"/>
  <c r="K405" i="16"/>
  <c r="K364" i="16"/>
  <c r="K323" i="16"/>
  <c r="K271" i="16"/>
  <c r="K223" i="16"/>
  <c r="K175" i="16"/>
  <c r="K117" i="16"/>
  <c r="K62" i="16"/>
  <c r="E173" i="14"/>
  <c r="I138" i="14"/>
  <c r="K234" i="15"/>
  <c r="K205" i="15"/>
  <c r="K153" i="15"/>
  <c r="K174" i="15"/>
  <c r="K292" i="15" s="1"/>
  <c r="K245" i="15" s="1"/>
  <c r="K73" i="15"/>
  <c r="O13" i="2"/>
  <c r="E13" i="2"/>
  <c r="J955" i="14" l="1"/>
  <c r="K1196" i="14"/>
  <c r="K1197" i="14" s="1"/>
  <c r="K1198" i="14"/>
  <c r="K1199" i="14" s="1"/>
  <c r="K1222" i="14"/>
  <c r="K1223" i="14" s="1"/>
  <c r="K1224" i="14"/>
  <c r="K1225" i="14" s="1"/>
  <c r="L916" i="14"/>
  <c r="AA1198" i="14"/>
  <c r="K1232" i="14"/>
  <c r="J1165" i="14"/>
  <c r="I190" i="14"/>
  <c r="I206" i="14" s="1"/>
  <c r="I515" i="14"/>
  <c r="H1034" i="14"/>
  <c r="K119" i="15"/>
  <c r="J189" i="14"/>
  <c r="K231" i="16" s="1"/>
  <c r="J329" i="14"/>
  <c r="J374" i="14" s="1"/>
  <c r="H206" i="14"/>
  <c r="J288" i="15"/>
  <c r="I288" i="15" s="1"/>
  <c r="J844" i="4"/>
  <c r="H1101" i="14"/>
  <c r="AB57" i="21"/>
  <c r="K275" i="4"/>
  <c r="K128" i="4"/>
  <c r="K76" i="4"/>
  <c r="K164" i="15"/>
  <c r="H810" i="4"/>
  <c r="K160" i="15"/>
  <c r="H1029" i="14"/>
  <c r="H1100" i="14"/>
  <c r="K76" i="16"/>
  <c r="K77" i="16"/>
  <c r="K113" i="16"/>
  <c r="K84" i="16"/>
  <c r="K79" i="16"/>
  <c r="K72" i="16"/>
  <c r="K315" i="16"/>
  <c r="K314" i="16"/>
  <c r="L1180" i="14"/>
  <c r="L6" i="4"/>
  <c r="L7" i="4"/>
  <c r="L18" i="4" s="1"/>
  <c r="L19" i="4" s="1"/>
  <c r="K165" i="16"/>
  <c r="K82" i="16"/>
  <c r="K167" i="16"/>
  <c r="K168" i="16"/>
  <c r="K343" i="16"/>
  <c r="K384" i="16" s="1"/>
  <c r="K342" i="16"/>
  <c r="K338" i="16"/>
  <c r="K379" i="16" s="1"/>
  <c r="K345" i="16"/>
  <c r="K353" i="16"/>
  <c r="K337" i="16"/>
  <c r="K356" i="16"/>
  <c r="K351" i="16"/>
  <c r="K352" i="16"/>
  <c r="K393" i="16" s="1"/>
  <c r="K344" i="16"/>
  <c r="K385" i="16" s="1"/>
  <c r="K339" i="16"/>
  <c r="K380" i="16" s="1"/>
  <c r="K340" i="16"/>
  <c r="K359" i="16"/>
  <c r="K400" i="16" s="1"/>
  <c r="K334" i="16"/>
  <c r="K326" i="16"/>
  <c r="K39" i="4"/>
  <c r="K40" i="4"/>
  <c r="K37" i="4"/>
  <c r="K38" i="4"/>
  <c r="K699" i="14"/>
  <c r="K766" i="14"/>
  <c r="K765" i="14"/>
  <c r="K741" i="14"/>
  <c r="K698" i="14"/>
  <c r="K740" i="14"/>
  <c r="K276" i="4"/>
  <c r="L12" i="4"/>
  <c r="K71" i="16"/>
  <c r="K80" i="16"/>
  <c r="L9" i="4"/>
  <c r="J41" i="4"/>
  <c r="J25" i="4" s="1"/>
  <c r="J379" i="16"/>
  <c r="I379" i="16" s="1"/>
  <c r="K245" i="16"/>
  <c r="K219" i="16"/>
  <c r="K267" i="16" s="1"/>
  <c r="K204" i="16"/>
  <c r="K252" i="16" s="1"/>
  <c r="K179" i="16"/>
  <c r="K203" i="16"/>
  <c r="K251" i="16" s="1"/>
  <c r="K218" i="16"/>
  <c r="K266" i="16" s="1"/>
  <c r="K185" i="16"/>
  <c r="K206" i="16"/>
  <c r="K213" i="16"/>
  <c r="K196" i="16"/>
  <c r="K178" i="16"/>
  <c r="K373" i="16"/>
  <c r="K366" i="16"/>
  <c r="K372" i="16"/>
  <c r="K367" i="16"/>
  <c r="K78" i="4"/>
  <c r="K77" i="4"/>
  <c r="K81" i="16"/>
  <c r="J168" i="15"/>
  <c r="K156" i="15"/>
  <c r="K88" i="16"/>
  <c r="K112" i="16"/>
  <c r="J112" i="16" s="1"/>
  <c r="J114" i="16" s="1"/>
  <c r="G717" i="16" s="1"/>
  <c r="K78" i="16"/>
  <c r="J274" i="4"/>
  <c r="I279" i="4"/>
  <c r="I810" i="4"/>
  <c r="K278" i="4"/>
  <c r="L23" i="4"/>
  <c r="L15" i="4"/>
  <c r="K225" i="16"/>
  <c r="K260" i="16"/>
  <c r="K226" i="16"/>
  <c r="K227" i="16"/>
  <c r="K441" i="16"/>
  <c r="K414" i="16"/>
  <c r="L64" i="16"/>
  <c r="L89" i="16"/>
  <c r="L91" i="16"/>
  <c r="L65" i="16"/>
  <c r="L20" i="16"/>
  <c r="L53" i="16"/>
  <c r="L27" i="16"/>
  <c r="L42" i="16"/>
  <c r="L25" i="16"/>
  <c r="L49" i="16"/>
  <c r="L54" i="16"/>
  <c r="L10" i="16"/>
  <c r="L21" i="16"/>
  <c r="L31" i="16"/>
  <c r="L57" i="16"/>
  <c r="L28" i="16"/>
  <c r="L32" i="16"/>
  <c r="L55" i="16"/>
  <c r="L41" i="16"/>
  <c r="L45" i="16"/>
  <c r="L17" i="16"/>
  <c r="L35" i="16"/>
  <c r="L29" i="16"/>
  <c r="L40" i="16"/>
  <c r="L44" i="16"/>
  <c r="L43" i="16"/>
  <c r="L58" i="16"/>
  <c r="L24" i="16"/>
  <c r="L33" i="16"/>
  <c r="L16" i="16"/>
  <c r="L36" i="16"/>
  <c r="L34" i="16"/>
  <c r="L26" i="16"/>
  <c r="L23" i="16"/>
  <c r="L46" i="16"/>
  <c r="J157" i="14"/>
  <c r="K1206" i="14"/>
  <c r="K164" i="16"/>
  <c r="H71" i="16"/>
  <c r="H798" i="4"/>
  <c r="I114" i="16"/>
  <c r="F717" i="16" s="1"/>
  <c r="K5" i="4"/>
  <c r="K83" i="16"/>
  <c r="K75" i="16"/>
  <c r="J809" i="4"/>
  <c r="K277" i="4"/>
  <c r="H306" i="4"/>
  <c r="H307" i="4"/>
  <c r="L86" i="15"/>
  <c r="Y716" i="16"/>
  <c r="Y728" i="16" s="1"/>
  <c r="D738" i="16"/>
  <c r="K211" i="16"/>
  <c r="J154" i="14"/>
  <c r="J321" i="14"/>
  <c r="J323" i="14"/>
  <c r="J117" i="14"/>
  <c r="K230" i="16" s="1"/>
  <c r="J660" i="14"/>
  <c r="K244" i="16" s="1"/>
  <c r="J236" i="16"/>
  <c r="J284" i="16"/>
  <c r="J160" i="14"/>
  <c r="H125" i="14"/>
  <c r="H177" i="14" s="1"/>
  <c r="H173" i="14" s="1"/>
  <c r="H148" i="14"/>
  <c r="H149" i="14"/>
  <c r="K475" i="4"/>
  <c r="K476" i="4" s="1"/>
  <c r="J957" i="14"/>
  <c r="H120" i="14"/>
  <c r="H176" i="14"/>
  <c r="H172" i="14" s="1"/>
  <c r="I121" i="14"/>
  <c r="K254" i="16"/>
  <c r="J304" i="14"/>
  <c r="J200" i="16"/>
  <c r="I322" i="14"/>
  <c r="K307" i="14"/>
  <c r="K308" i="14"/>
  <c r="J342" i="14"/>
  <c r="K507" i="4"/>
  <c r="I180" i="14"/>
  <c r="K195" i="14"/>
  <c r="K196" i="14"/>
  <c r="L111" i="15"/>
  <c r="J161" i="14"/>
  <c r="K198" i="16"/>
  <c r="K733" i="14"/>
  <c r="J573" i="14"/>
  <c r="G368" i="2"/>
  <c r="G372" i="2"/>
  <c r="G369" i="2"/>
  <c r="G371" i="2"/>
  <c r="G373" i="2"/>
  <c r="G370" i="2"/>
  <c r="K568" i="14"/>
  <c r="K575" i="14" s="1"/>
  <c r="L110" i="15"/>
  <c r="K440" i="16"/>
  <c r="L106" i="15"/>
  <c r="J279" i="15"/>
  <c r="I279" i="15" s="1"/>
  <c r="K324" i="16"/>
  <c r="K358" i="16"/>
  <c r="K341" i="16"/>
  <c r="L109" i="15"/>
  <c r="J262" i="15"/>
  <c r="H1032" i="14"/>
  <c r="I165" i="14"/>
  <c r="J574" i="14"/>
  <c r="K423" i="16"/>
  <c r="K382" i="16"/>
  <c r="L107" i="15"/>
  <c r="L108" i="15"/>
  <c r="J188" i="16"/>
  <c r="K158" i="14"/>
  <c r="K152" i="14"/>
  <c r="K159" i="14"/>
  <c r="K155" i="14"/>
  <c r="K156" i="14"/>
  <c r="K153" i="14"/>
  <c r="K54" i="14"/>
  <c r="K53" i="14"/>
  <c r="K29" i="14"/>
  <c r="K30" i="14"/>
  <c r="J162" i="14"/>
  <c r="J166" i="14" s="1"/>
  <c r="K284" i="14"/>
  <c r="K285" i="14"/>
  <c r="K283" i="14"/>
  <c r="K249" i="14"/>
  <c r="K248" i="14"/>
  <c r="K662" i="14"/>
  <c r="K654" i="14"/>
  <c r="K253" i="16"/>
  <c r="K653" i="14"/>
  <c r="K661" i="14"/>
  <c r="K330" i="14"/>
  <c r="K663" i="14"/>
  <c r="K335" i="14"/>
  <c r="J668" i="14"/>
  <c r="J664" i="14"/>
  <c r="K336" i="14"/>
  <c r="K401" i="14"/>
  <c r="J201" i="16"/>
  <c r="I375" i="14"/>
  <c r="K176" i="16"/>
  <c r="K402" i="14"/>
  <c r="L8" i="16"/>
  <c r="X243" i="16"/>
  <c r="F13" i="2"/>
  <c r="F17" i="2" s="1"/>
  <c r="K958" i="14"/>
  <c r="K959" i="14" s="1"/>
  <c r="K956" i="14"/>
  <c r="K954" i="14"/>
  <c r="L234" i="15"/>
  <c r="L205" i="15"/>
  <c r="L174" i="15"/>
  <c r="L292" i="15" s="1"/>
  <c r="L245" i="15" s="1"/>
  <c r="L153" i="15"/>
  <c r="L73" i="15"/>
  <c r="I142" i="14"/>
  <c r="H607" i="16"/>
  <c r="U592" i="16"/>
  <c r="K131" i="14"/>
  <c r="K114" i="14"/>
  <c r="K498" i="14"/>
  <c r="K770" i="14"/>
  <c r="K745" i="14"/>
  <c r="K703" i="14"/>
  <c r="K134" i="14"/>
  <c r="M3" i="4"/>
  <c r="M38" i="2"/>
  <c r="M28" i="2"/>
  <c r="N21" i="2"/>
  <c r="K259" i="16"/>
  <c r="I587" i="16"/>
  <c r="J447" i="16"/>
  <c r="L405" i="16"/>
  <c r="L364" i="16"/>
  <c r="L323" i="16"/>
  <c r="L271" i="16"/>
  <c r="L223" i="16"/>
  <c r="L175" i="16"/>
  <c r="L117" i="16"/>
  <c r="L62" i="16"/>
  <c r="K189" i="14"/>
  <c r="L231" i="16" s="1"/>
  <c r="L46" i="2"/>
  <c r="J251" i="2" s="1"/>
  <c r="M7" i="16"/>
  <c r="M3" i="15"/>
  <c r="M23" i="15" s="1"/>
  <c r="M24" i="15" s="1"/>
  <c r="K1044" i="14"/>
  <c r="K983" i="14"/>
  <c r="L931" i="14"/>
  <c r="L895" i="14"/>
  <c r="L846" i="14"/>
  <c r="L836" i="14"/>
  <c r="L828" i="14"/>
  <c r="L807" i="14"/>
  <c r="L687" i="14"/>
  <c r="L579" i="14"/>
  <c r="L562" i="14"/>
  <c r="L565" i="14" s="1"/>
  <c r="L504" i="14"/>
  <c r="L431" i="14"/>
  <c r="L235" i="14"/>
  <c r="L209" i="14"/>
  <c r="L187" i="14"/>
  <c r="L100" i="14"/>
  <c r="L3" i="14"/>
  <c r="L762" i="4"/>
  <c r="L679" i="4"/>
  <c r="L669" i="4"/>
  <c r="L649" i="4"/>
  <c r="L590" i="4"/>
  <c r="L566" i="4"/>
  <c r="L489" i="4"/>
  <c r="L437" i="4"/>
  <c r="L310" i="4"/>
  <c r="L326" i="4"/>
  <c r="L272" i="4"/>
  <c r="L263" i="4"/>
  <c r="L239" i="4"/>
  <c r="L183" i="4"/>
  <c r="L226" i="4"/>
  <c r="L213" i="4"/>
  <c r="L151" i="4"/>
  <c r="L134" i="4"/>
  <c r="L112" i="4"/>
  <c r="L123" i="4"/>
  <c r="L84" i="4"/>
  <c r="L44" i="4"/>
  <c r="L75" i="4" s="1"/>
  <c r="L36" i="4"/>
  <c r="J138" i="14"/>
  <c r="K955" i="14" l="1"/>
  <c r="I1034" i="14"/>
  <c r="J190" i="14"/>
  <c r="J206" i="14" s="1"/>
  <c r="I204" i="14"/>
  <c r="L1222" i="14"/>
  <c r="L1223" i="14" s="1"/>
  <c r="L1224" i="14"/>
  <c r="L1225" i="14" s="1"/>
  <c r="L1196" i="14"/>
  <c r="L1197" i="14" s="1"/>
  <c r="L1198" i="14"/>
  <c r="L1199" i="14" s="1"/>
  <c r="M916" i="14"/>
  <c r="AB1198" i="14"/>
  <c r="L1232" i="14"/>
  <c r="K329" i="14"/>
  <c r="K374" i="14" s="1"/>
  <c r="L201" i="16" s="1"/>
  <c r="K1165" i="14"/>
  <c r="L119" i="15"/>
  <c r="J515" i="14"/>
  <c r="L164" i="15"/>
  <c r="L275" i="4"/>
  <c r="L128" i="4"/>
  <c r="L1206" i="14"/>
  <c r="K288" i="15"/>
  <c r="I1100" i="14"/>
  <c r="L88" i="16"/>
  <c r="L160" i="15"/>
  <c r="L278" i="4"/>
  <c r="M9" i="4"/>
  <c r="J810" i="4"/>
  <c r="L475" i="4"/>
  <c r="L476" i="4" s="1"/>
  <c r="AC57" i="21"/>
  <c r="L84" i="16"/>
  <c r="M12" i="4"/>
  <c r="I1101" i="14"/>
  <c r="L81" i="16"/>
  <c r="L78" i="16"/>
  <c r="L71" i="16"/>
  <c r="K844" i="4"/>
  <c r="K114" i="16"/>
  <c r="H717" i="16" s="1"/>
  <c r="L5" i="4"/>
  <c r="L168" i="16"/>
  <c r="L167" i="16"/>
  <c r="L352" i="16"/>
  <c r="L393" i="16" s="1"/>
  <c r="L334" i="16"/>
  <c r="L351" i="16"/>
  <c r="L359" i="16"/>
  <c r="L400" i="16" s="1"/>
  <c r="L343" i="16"/>
  <c r="L356" i="16"/>
  <c r="L337" i="16"/>
  <c r="L338" i="16"/>
  <c r="L353" i="16"/>
  <c r="L344" i="16"/>
  <c r="L342" i="16"/>
  <c r="L383" i="16" s="1"/>
  <c r="K383" i="16" s="1"/>
  <c r="L326" i="16"/>
  <c r="L345" i="16"/>
  <c r="L340" i="16"/>
  <c r="L339" i="16"/>
  <c r="L380" i="16" s="1"/>
  <c r="I48" i="16"/>
  <c r="L82" i="16"/>
  <c r="J279" i="4"/>
  <c r="K274" i="4"/>
  <c r="L40" i="4"/>
  <c r="L37" i="4"/>
  <c r="L38" i="4"/>
  <c r="L39" i="4"/>
  <c r="L698" i="14"/>
  <c r="L740" i="14"/>
  <c r="L765" i="14"/>
  <c r="L699" i="14"/>
  <c r="L766" i="14"/>
  <c r="L741" i="14"/>
  <c r="L254" i="16"/>
  <c r="L245" i="16"/>
  <c r="L219" i="16"/>
  <c r="L267" i="16" s="1"/>
  <c r="L213" i="16"/>
  <c r="L206" i="16"/>
  <c r="L204" i="16"/>
  <c r="L252" i="16" s="1"/>
  <c r="L196" i="16"/>
  <c r="L203" i="16"/>
  <c r="L251" i="16" s="1"/>
  <c r="L218" i="16"/>
  <c r="L266" i="16" s="1"/>
  <c r="L185" i="16"/>
  <c r="L178" i="16"/>
  <c r="L179" i="16"/>
  <c r="L373" i="16"/>
  <c r="L367" i="16"/>
  <c r="L372" i="16"/>
  <c r="L366" i="16"/>
  <c r="L277" i="4"/>
  <c r="G798" i="4"/>
  <c r="F798" i="4" s="1"/>
  <c r="H114" i="16"/>
  <c r="E717" i="16" s="1"/>
  <c r="E738" i="16" s="1"/>
  <c r="L211" i="16"/>
  <c r="K386" i="16"/>
  <c r="L77" i="4"/>
  <c r="L78" i="4"/>
  <c r="L55" i="4"/>
  <c r="K55" i="4" s="1"/>
  <c r="L260" i="16"/>
  <c r="L225" i="16"/>
  <c r="L226" i="16"/>
  <c r="L227" i="16"/>
  <c r="L441" i="16"/>
  <c r="L414" i="16"/>
  <c r="M1180" i="14"/>
  <c r="M6" i="4"/>
  <c r="M7" i="4"/>
  <c r="M18" i="4" s="1"/>
  <c r="M19" i="4" s="1"/>
  <c r="M86" i="15"/>
  <c r="L75" i="16"/>
  <c r="K809" i="4"/>
  <c r="M15" i="4"/>
  <c r="L76" i="4"/>
  <c r="L165" i="16"/>
  <c r="M91" i="16"/>
  <c r="M64" i="16"/>
  <c r="M89" i="16"/>
  <c r="M65" i="16"/>
  <c r="M16" i="16"/>
  <c r="M43" i="16"/>
  <c r="M57" i="16"/>
  <c r="M58" i="16"/>
  <c r="M27" i="16"/>
  <c r="M29" i="16"/>
  <c r="M25" i="16"/>
  <c r="M26" i="16"/>
  <c r="M17" i="16"/>
  <c r="M45" i="16"/>
  <c r="M40" i="16"/>
  <c r="M49" i="16"/>
  <c r="M35" i="16"/>
  <c r="M24" i="16"/>
  <c r="M10" i="16"/>
  <c r="M46" i="16"/>
  <c r="M21" i="16"/>
  <c r="M41" i="16"/>
  <c r="M36" i="16"/>
  <c r="M42" i="16"/>
  <c r="M55" i="16"/>
  <c r="M28" i="16"/>
  <c r="M44" i="16"/>
  <c r="M33" i="16"/>
  <c r="M20" i="16"/>
  <c r="M32" i="16"/>
  <c r="M31" i="16"/>
  <c r="M53" i="16"/>
  <c r="M54" i="16"/>
  <c r="M34" i="16"/>
  <c r="M23" i="16"/>
  <c r="L76" i="16"/>
  <c r="L77" i="16"/>
  <c r="L83" i="16"/>
  <c r="L72" i="16"/>
  <c r="L315" i="16"/>
  <c r="L314" i="16"/>
  <c r="L164" i="16"/>
  <c r="L79" i="16"/>
  <c r="M23" i="4"/>
  <c r="I306" i="4"/>
  <c r="J48" i="16" s="1"/>
  <c r="I307" i="4"/>
  <c r="L156" i="15"/>
  <c r="K168" i="15"/>
  <c r="L276" i="4"/>
  <c r="K41" i="4"/>
  <c r="K375" i="16"/>
  <c r="L80" i="16"/>
  <c r="K117" i="14"/>
  <c r="L230" i="16" s="1"/>
  <c r="I1029" i="14"/>
  <c r="K157" i="14"/>
  <c r="K69" i="14"/>
  <c r="K68" i="14"/>
  <c r="K660" i="14"/>
  <c r="L244" i="16" s="1"/>
  <c r="K154" i="14"/>
  <c r="J165" i="14"/>
  <c r="K236" i="16"/>
  <c r="K284" i="16"/>
  <c r="K323" i="14"/>
  <c r="K321" i="14"/>
  <c r="K37" i="14"/>
  <c r="K36" i="14"/>
  <c r="K160" i="14"/>
  <c r="J204" i="14"/>
  <c r="I120" i="14"/>
  <c r="I148" i="14"/>
  <c r="I149" i="14"/>
  <c r="K957" i="14"/>
  <c r="J121" i="14"/>
  <c r="I176" i="14"/>
  <c r="I172" i="14" s="1"/>
  <c r="I125" i="14"/>
  <c r="I177" i="14" s="1"/>
  <c r="K304" i="14"/>
  <c r="K342" i="14"/>
  <c r="M111" i="15"/>
  <c r="J322" i="14"/>
  <c r="K200" i="16"/>
  <c r="L307" i="14"/>
  <c r="L308" i="14"/>
  <c r="L507" i="4"/>
  <c r="L568" i="14"/>
  <c r="L575" i="14" s="1"/>
  <c r="J180" i="14"/>
  <c r="L195" i="14"/>
  <c r="L196" i="14"/>
  <c r="L733" i="14"/>
  <c r="M106" i="15"/>
  <c r="M110" i="15"/>
  <c r="K262" i="15"/>
  <c r="L198" i="16"/>
  <c r="K162" i="14"/>
  <c r="K166" i="14" s="1"/>
  <c r="H369" i="2"/>
  <c r="H373" i="2"/>
  <c r="H371" i="2"/>
  <c r="H370" i="2"/>
  <c r="H368" i="2"/>
  <c r="H372" i="2"/>
  <c r="K399" i="16"/>
  <c r="L159" i="14"/>
  <c r="L153" i="14"/>
  <c r="L155" i="14"/>
  <c r="L158" i="14"/>
  <c r="L152" i="14"/>
  <c r="L156" i="14"/>
  <c r="L54" i="14"/>
  <c r="L53" i="14"/>
  <c r="L40" i="14"/>
  <c r="L39" i="14"/>
  <c r="L30" i="14"/>
  <c r="L29" i="14"/>
  <c r="K188" i="16"/>
  <c r="L423" i="16"/>
  <c r="L382" i="16"/>
  <c r="G13" i="2"/>
  <c r="G17" i="2" s="1"/>
  <c r="L653" i="14"/>
  <c r="M108" i="15"/>
  <c r="M107" i="15"/>
  <c r="M109" i="15"/>
  <c r="L440" i="16"/>
  <c r="I1032" i="14"/>
  <c r="L324" i="16"/>
  <c r="L358" i="16"/>
  <c r="L341" i="16"/>
  <c r="K161" i="14"/>
  <c r="K279" i="15"/>
  <c r="K573" i="14"/>
  <c r="L176" i="16"/>
  <c r="L253" i="16"/>
  <c r="L335" i="14"/>
  <c r="L336" i="14"/>
  <c r="L663" i="14"/>
  <c r="K201" i="16"/>
  <c r="J375" i="14"/>
  <c r="K249" i="16" s="1"/>
  <c r="J249" i="16" s="1"/>
  <c r="I249" i="16" s="1"/>
  <c r="H249" i="16" s="1"/>
  <c r="G249" i="16" s="1"/>
  <c r="H1093" i="14"/>
  <c r="L285" i="14"/>
  <c r="L283" i="14"/>
  <c r="L284" i="14"/>
  <c r="L249" i="14"/>
  <c r="L248" i="14"/>
  <c r="L662" i="14"/>
  <c r="L654" i="14"/>
  <c r="L401" i="14"/>
  <c r="L402" i="14"/>
  <c r="L330" i="14"/>
  <c r="L661" i="14"/>
  <c r="K668" i="14"/>
  <c r="K664" i="14"/>
  <c r="M8" i="16"/>
  <c r="Y243" i="16"/>
  <c r="K190" i="14"/>
  <c r="J142" i="14"/>
  <c r="J181" i="14" s="1"/>
  <c r="L131" i="14"/>
  <c r="L114" i="14"/>
  <c r="L770" i="14"/>
  <c r="L745" i="14"/>
  <c r="L703" i="14"/>
  <c r="J1034" i="14"/>
  <c r="L189" i="14"/>
  <c r="M231" i="16" s="1"/>
  <c r="M46" i="2"/>
  <c r="K251" i="2" s="1"/>
  <c r="L134" i="14"/>
  <c r="I181" i="14"/>
  <c r="J587" i="16"/>
  <c r="K447" i="16"/>
  <c r="M405" i="16"/>
  <c r="M364" i="16"/>
  <c r="M223" i="16"/>
  <c r="M323" i="16"/>
  <c r="M271" i="16"/>
  <c r="M175" i="16"/>
  <c r="M117" i="16"/>
  <c r="M62" i="16"/>
  <c r="L958" i="14"/>
  <c r="L959" i="14" s="1"/>
  <c r="L956" i="14"/>
  <c r="L954" i="14"/>
  <c r="I607" i="16"/>
  <c r="V592" i="16"/>
  <c r="M234" i="15"/>
  <c r="M205" i="15"/>
  <c r="M174" i="15"/>
  <c r="M292" i="15" s="1"/>
  <c r="M245" i="15" s="1"/>
  <c r="M153" i="15"/>
  <c r="M73" i="15"/>
  <c r="M119" i="15" s="1"/>
  <c r="L498" i="14"/>
  <c r="N3" i="4"/>
  <c r="N38" i="2"/>
  <c r="N28" i="2"/>
  <c r="O21" i="2"/>
  <c r="N7" i="16"/>
  <c r="N3" i="15"/>
  <c r="N23" i="15" s="1"/>
  <c r="N24" i="15" s="1"/>
  <c r="L1044" i="14"/>
  <c r="L983" i="14"/>
  <c r="M931" i="14"/>
  <c r="M895" i="14"/>
  <c r="M846" i="14"/>
  <c r="M836" i="14"/>
  <c r="M828" i="14"/>
  <c r="M807" i="14"/>
  <c r="M687" i="14"/>
  <c r="M579" i="14"/>
  <c r="M562" i="14"/>
  <c r="M565" i="14" s="1"/>
  <c r="M504" i="14"/>
  <c r="M431" i="14"/>
  <c r="M235" i="14"/>
  <c r="M209" i="14"/>
  <c r="M187" i="14"/>
  <c r="M100" i="14"/>
  <c r="M3" i="14"/>
  <c r="M762" i="4"/>
  <c r="M679" i="4"/>
  <c r="M669" i="4"/>
  <c r="M649" i="4"/>
  <c r="M590" i="4"/>
  <c r="M566" i="4"/>
  <c r="M489" i="4"/>
  <c r="M437" i="4"/>
  <c r="M310" i="4"/>
  <c r="M326" i="4"/>
  <c r="M272" i="4"/>
  <c r="M263" i="4"/>
  <c r="M226" i="4"/>
  <c r="M213" i="4"/>
  <c r="M239" i="4"/>
  <c r="M183" i="4"/>
  <c r="M151" i="4"/>
  <c r="M134" i="4"/>
  <c r="M123" i="4"/>
  <c r="M112" i="4"/>
  <c r="M84" i="4"/>
  <c r="M44" i="4"/>
  <c r="M75" i="4" s="1"/>
  <c r="M36" i="4"/>
  <c r="K138" i="14"/>
  <c r="L955" i="14" l="1"/>
  <c r="M1224" i="14"/>
  <c r="M1225" i="14" s="1"/>
  <c r="M1196" i="14"/>
  <c r="M1197" i="14" s="1"/>
  <c r="M1222" i="14"/>
  <c r="M1223" i="14" s="1"/>
  <c r="M1198" i="14"/>
  <c r="M1199" i="14" s="1"/>
  <c r="N916" i="14"/>
  <c r="L329" i="14"/>
  <c r="L374" i="14" s="1"/>
  <c r="M201" i="16" s="1"/>
  <c r="K515" i="14"/>
  <c r="AC1198" i="14"/>
  <c r="M1232" i="14"/>
  <c r="L1165" i="14"/>
  <c r="M275" i="4"/>
  <c r="M128" i="4"/>
  <c r="M160" i="15"/>
  <c r="M475" i="4"/>
  <c r="M476" i="4" s="1"/>
  <c r="L117" i="14"/>
  <c r="M230" i="16" s="1"/>
  <c r="M278" i="4"/>
  <c r="L957" i="14"/>
  <c r="M1206" i="14"/>
  <c r="M277" i="4"/>
  <c r="M5" i="4"/>
  <c r="M80" i="16"/>
  <c r="M78" i="16"/>
  <c r="AD57" i="21"/>
  <c r="M76" i="4"/>
  <c r="M164" i="15"/>
  <c r="L844" i="4"/>
  <c r="M88" i="16"/>
  <c r="N1180" i="14"/>
  <c r="N6" i="4"/>
  <c r="N7" i="4"/>
  <c r="N18" i="4" s="1"/>
  <c r="N19" i="4" s="1"/>
  <c r="M245" i="16"/>
  <c r="M204" i="16"/>
  <c r="M252" i="16" s="1"/>
  <c r="M196" i="16"/>
  <c r="M203" i="16"/>
  <c r="M251" i="16" s="1"/>
  <c r="M185" i="16"/>
  <c r="M218" i="16"/>
  <c r="M266" i="16" s="1"/>
  <c r="M206" i="16"/>
  <c r="M254" i="16" s="1"/>
  <c r="M178" i="16"/>
  <c r="M213" i="16"/>
  <c r="M219" i="16"/>
  <c r="M267" i="16" s="1"/>
  <c r="M179" i="16"/>
  <c r="K810" i="4"/>
  <c r="N91" i="16"/>
  <c r="N64" i="16"/>
  <c r="N65" i="16"/>
  <c r="N89" i="16"/>
  <c r="N21" i="16"/>
  <c r="N55" i="16"/>
  <c r="N27" i="16"/>
  <c r="N49" i="16"/>
  <c r="N23" i="16"/>
  <c r="N41" i="16"/>
  <c r="N34" i="16"/>
  <c r="N20" i="16"/>
  <c r="N42" i="16"/>
  <c r="N32" i="16"/>
  <c r="N57" i="16"/>
  <c r="N53" i="16"/>
  <c r="N58" i="16"/>
  <c r="N24" i="16"/>
  <c r="N31" i="16"/>
  <c r="N33" i="16"/>
  <c r="N17" i="16"/>
  <c r="N28" i="16"/>
  <c r="N26" i="16"/>
  <c r="N43" i="16"/>
  <c r="N10" i="16"/>
  <c r="N54" i="16"/>
  <c r="N35" i="16"/>
  <c r="N29" i="16"/>
  <c r="N16" i="16"/>
  <c r="N25" i="16"/>
  <c r="N45" i="16"/>
  <c r="N44" i="16"/>
  <c r="N36" i="16"/>
  <c r="N40" i="16"/>
  <c r="N46" i="16"/>
  <c r="M366" i="16"/>
  <c r="M373" i="16"/>
  <c r="M372" i="16"/>
  <c r="M367" i="16"/>
  <c r="M164" i="16"/>
  <c r="N12" i="4"/>
  <c r="J307" i="4"/>
  <c r="J306" i="4"/>
  <c r="K48" i="16" s="1"/>
  <c r="M315" i="16"/>
  <c r="M314" i="16"/>
  <c r="M441" i="16"/>
  <c r="M414" i="16"/>
  <c r="N23" i="4"/>
  <c r="M165" i="16"/>
  <c r="N15" i="4"/>
  <c r="J1100" i="14"/>
  <c r="N9" i="4"/>
  <c r="L288" i="15"/>
  <c r="M37" i="4"/>
  <c r="M38" i="4"/>
  <c r="M39" i="4"/>
  <c r="M40" i="4"/>
  <c r="M741" i="14"/>
  <c r="M698" i="14"/>
  <c r="M740" i="14"/>
  <c r="M765" i="14"/>
  <c r="M699" i="14"/>
  <c r="M766" i="14"/>
  <c r="J1029" i="14"/>
  <c r="M77" i="16"/>
  <c r="M76" i="16"/>
  <c r="M79" i="16"/>
  <c r="M72" i="16"/>
  <c r="M342" i="16"/>
  <c r="M343" i="16"/>
  <c r="M326" i="16"/>
  <c r="M340" i="16"/>
  <c r="M345" i="16"/>
  <c r="M334" i="16"/>
  <c r="M337" i="16"/>
  <c r="M351" i="16"/>
  <c r="M359" i="16"/>
  <c r="M400" i="16" s="1"/>
  <c r="M356" i="16"/>
  <c r="M353" i="16"/>
  <c r="M352" i="16"/>
  <c r="M393" i="16" s="1"/>
  <c r="M289" i="15" s="1"/>
  <c r="L289" i="15" s="1"/>
  <c r="K289" i="15" s="1"/>
  <c r="J289" i="15" s="1"/>
  <c r="I289" i="15" s="1"/>
  <c r="H289" i="15" s="1"/>
  <c r="G289" i="15" s="1"/>
  <c r="M344" i="16"/>
  <c r="M338" i="16"/>
  <c r="M339" i="16"/>
  <c r="M380" i="16" s="1"/>
  <c r="K798" i="4"/>
  <c r="J798" i="4" s="1"/>
  <c r="I798" i="4" s="1"/>
  <c r="M156" i="15"/>
  <c r="L168" i="15"/>
  <c r="M83" i="16"/>
  <c r="M84" i="16"/>
  <c r="M81" i="16"/>
  <c r="L41" i="4"/>
  <c r="M77" i="4"/>
  <c r="M78" i="4"/>
  <c r="M55" i="4"/>
  <c r="M167" i="16"/>
  <c r="M168" i="16"/>
  <c r="M226" i="16"/>
  <c r="M227" i="16"/>
  <c r="M260" i="16"/>
  <c r="M225" i="16"/>
  <c r="M276" i="4"/>
  <c r="M75" i="16"/>
  <c r="L809" i="4"/>
  <c r="M82" i="16"/>
  <c r="M71" i="16"/>
  <c r="N86" i="15"/>
  <c r="M211" i="16"/>
  <c r="K279" i="4"/>
  <c r="L274" i="4"/>
  <c r="L154" i="14"/>
  <c r="L157" i="14"/>
  <c r="L323" i="14"/>
  <c r="L321" i="14"/>
  <c r="K206" i="14"/>
  <c r="K204" i="14"/>
  <c r="L236" i="16"/>
  <c r="L284" i="16"/>
  <c r="J120" i="14"/>
  <c r="J149" i="14"/>
  <c r="J148" i="14"/>
  <c r="L660" i="14"/>
  <c r="M244" i="16" s="1"/>
  <c r="L36" i="14"/>
  <c r="L37" i="14"/>
  <c r="L68" i="14"/>
  <c r="L69" i="14"/>
  <c r="L160" i="14"/>
  <c r="J176" i="14"/>
  <c r="J172" i="14" s="1"/>
  <c r="K121" i="14"/>
  <c r="J125" i="14"/>
  <c r="J177" i="14" s="1"/>
  <c r="J173" i="14" s="1"/>
  <c r="L304" i="14"/>
  <c r="H13" i="2"/>
  <c r="H17" i="2" s="1"/>
  <c r="M308" i="14"/>
  <c r="L574" i="14"/>
  <c r="K574" i="14" s="1"/>
  <c r="K180" i="14"/>
  <c r="I1093" i="14"/>
  <c r="L188" i="16"/>
  <c r="M307" i="14"/>
  <c r="M507" i="4"/>
  <c r="L200" i="16"/>
  <c r="J1093" i="14" s="1"/>
  <c r="K322" i="14"/>
  <c r="L573" i="14"/>
  <c r="M733" i="14"/>
  <c r="M653" i="14"/>
  <c r="N106" i="15"/>
  <c r="I173" i="14"/>
  <c r="M336" i="14"/>
  <c r="M195" i="14"/>
  <c r="M196" i="14"/>
  <c r="M198" i="16"/>
  <c r="L162" i="14"/>
  <c r="L166" i="14" s="1"/>
  <c r="K375" i="14"/>
  <c r="L249" i="16" s="1"/>
  <c r="L279" i="15"/>
  <c r="L399" i="16"/>
  <c r="I368" i="2"/>
  <c r="I372" i="2"/>
  <c r="I371" i="2"/>
  <c r="I370" i="2"/>
  <c r="I373" i="2"/>
  <c r="I369" i="2"/>
  <c r="M324" i="16"/>
  <c r="M341" i="16"/>
  <c r="M358" i="16"/>
  <c r="N109" i="15"/>
  <c r="N110" i="15"/>
  <c r="M155" i="14"/>
  <c r="M159" i="14"/>
  <c r="M153" i="14"/>
  <c r="M156" i="14"/>
  <c r="M158" i="14"/>
  <c r="M152" i="14"/>
  <c r="M54" i="14"/>
  <c r="M53" i="14"/>
  <c r="M39" i="14"/>
  <c r="M40" i="14"/>
  <c r="M29" i="14"/>
  <c r="M30" i="14"/>
  <c r="M440" i="16"/>
  <c r="N108" i="15"/>
  <c r="N111" i="15"/>
  <c r="L161" i="14"/>
  <c r="M382" i="16"/>
  <c r="M423" i="16"/>
  <c r="J1032" i="14"/>
  <c r="K165" i="14"/>
  <c r="M568" i="14"/>
  <c r="M575" i="14" s="1"/>
  <c r="N107" i="15"/>
  <c r="L262" i="15"/>
  <c r="M285" i="14"/>
  <c r="M283" i="14"/>
  <c r="M284" i="14"/>
  <c r="M248" i="14"/>
  <c r="M249" i="14"/>
  <c r="M402" i="14"/>
  <c r="M663" i="14"/>
  <c r="M335" i="14"/>
  <c r="L668" i="14"/>
  <c r="L664" i="14"/>
  <c r="M662" i="14"/>
  <c r="M654" i="14"/>
  <c r="M661" i="14"/>
  <c r="M176" i="16"/>
  <c r="M253" i="16"/>
  <c r="M330" i="14"/>
  <c r="M401" i="14"/>
  <c r="L342" i="14"/>
  <c r="N8" i="16"/>
  <c r="Z243" i="16"/>
  <c r="L190" i="14"/>
  <c r="M958" i="14"/>
  <c r="M959" i="14" s="1"/>
  <c r="M956" i="14"/>
  <c r="M954" i="14"/>
  <c r="K587" i="16"/>
  <c r="L447" i="16"/>
  <c r="N405" i="16"/>
  <c r="N364" i="16"/>
  <c r="N223" i="16"/>
  <c r="N323" i="16"/>
  <c r="N271" i="16"/>
  <c r="N175" i="16"/>
  <c r="N117" i="16"/>
  <c r="N62" i="16"/>
  <c r="N46" i="2"/>
  <c r="L251" i="2" s="1"/>
  <c r="W592" i="16"/>
  <c r="J607" i="16"/>
  <c r="M134" i="14"/>
  <c r="M131" i="14"/>
  <c r="M114" i="14"/>
  <c r="M498" i="14"/>
  <c r="M770" i="14"/>
  <c r="M745" i="14"/>
  <c r="M703" i="14"/>
  <c r="N234" i="15"/>
  <c r="N205" i="15"/>
  <c r="N153" i="15"/>
  <c r="N174" i="15"/>
  <c r="N292" i="15" s="1"/>
  <c r="N245" i="15" s="1"/>
  <c r="N73" i="15"/>
  <c r="N119" i="15" s="1"/>
  <c r="O3" i="4"/>
  <c r="O38" i="2"/>
  <c r="O28" i="2"/>
  <c r="O7" i="16"/>
  <c r="O3" i="15"/>
  <c r="O23" i="15" s="1"/>
  <c r="O24" i="15" s="1"/>
  <c r="M1044" i="14"/>
  <c r="M983" i="14"/>
  <c r="N931" i="14"/>
  <c r="N895" i="14"/>
  <c r="N846" i="14"/>
  <c r="N836" i="14"/>
  <c r="N828" i="14"/>
  <c r="N807" i="14"/>
  <c r="N687" i="14"/>
  <c r="N579" i="14"/>
  <c r="N562" i="14"/>
  <c r="N565" i="14" s="1"/>
  <c r="N504" i="14"/>
  <c r="N431" i="14"/>
  <c r="N235" i="14"/>
  <c r="N209" i="14"/>
  <c r="N187" i="14"/>
  <c r="N100" i="14"/>
  <c r="N3" i="14"/>
  <c r="N762" i="4"/>
  <c r="N679" i="4"/>
  <c r="N669" i="4"/>
  <c r="N649" i="4"/>
  <c r="N590" i="4"/>
  <c r="N566" i="4"/>
  <c r="N489" i="4"/>
  <c r="N437" i="4"/>
  <c r="N326" i="4"/>
  <c r="N310" i="4"/>
  <c r="N272" i="4"/>
  <c r="N263" i="4"/>
  <c r="N226" i="4"/>
  <c r="N213" i="4"/>
  <c r="N183" i="4"/>
  <c r="N239" i="4"/>
  <c r="N151" i="4"/>
  <c r="N134" i="4"/>
  <c r="N123" i="4"/>
  <c r="N128" i="4" s="1"/>
  <c r="N112" i="4"/>
  <c r="N84" i="4"/>
  <c r="N44" i="4"/>
  <c r="N75" i="4" s="1"/>
  <c r="N36" i="4"/>
  <c r="K1034" i="14"/>
  <c r="M189" i="14"/>
  <c r="N231" i="16" s="1"/>
  <c r="K142" i="14"/>
  <c r="L138" i="14"/>
  <c r="O12" i="2"/>
  <c r="O11" i="2" s="1"/>
  <c r="E12" i="2"/>
  <c r="E11" i="2" s="1"/>
  <c r="M329" i="14" l="1"/>
  <c r="M374" i="14" s="1"/>
  <c r="M955" i="14"/>
  <c r="L515" i="14"/>
  <c r="N1196" i="14"/>
  <c r="N1197" i="14" s="1"/>
  <c r="N1224" i="14"/>
  <c r="N1225" i="14" s="1"/>
  <c r="N1198" i="14"/>
  <c r="N1199" i="14" s="1"/>
  <c r="N1222" i="14"/>
  <c r="N1223" i="14" s="1"/>
  <c r="O916" i="14"/>
  <c r="AD1198" i="14"/>
  <c r="N1232" i="14"/>
  <c r="M1165" i="14"/>
  <c r="N160" i="15"/>
  <c r="N277" i="4"/>
  <c r="K1029" i="14"/>
  <c r="M117" i="14"/>
  <c r="N230" i="16" s="1"/>
  <c r="N475" i="4"/>
  <c r="N476" i="4" s="1"/>
  <c r="M957" i="14"/>
  <c r="M844" i="4"/>
  <c r="N5" i="4"/>
  <c r="N1206" i="14"/>
  <c r="N82" i="16"/>
  <c r="O9" i="4"/>
  <c r="K1100" i="14"/>
  <c r="N275" i="4"/>
  <c r="N165" i="16"/>
  <c r="M288" i="15"/>
  <c r="L798" i="4"/>
  <c r="N278" i="4"/>
  <c r="N83" i="16"/>
  <c r="N79" i="16"/>
  <c r="N38" i="4"/>
  <c r="N39" i="4"/>
  <c r="N40" i="4"/>
  <c r="N37" i="4"/>
  <c r="N314" i="16"/>
  <c r="N315" i="16"/>
  <c r="N441" i="16"/>
  <c r="N414" i="16"/>
  <c r="L810" i="4"/>
  <c r="N77" i="4"/>
  <c r="N78" i="4"/>
  <c r="N55" i="4"/>
  <c r="O1180" i="14"/>
  <c r="O6" i="4"/>
  <c r="O7" i="4"/>
  <c r="O18" i="4" s="1"/>
  <c r="O19" i="4" s="1"/>
  <c r="N77" i="16"/>
  <c r="N76" i="16"/>
  <c r="N352" i="16"/>
  <c r="N393" i="16" s="1"/>
  <c r="N289" i="15" s="1"/>
  <c r="N353" i="16"/>
  <c r="N351" i="16"/>
  <c r="N356" i="16"/>
  <c r="N342" i="16"/>
  <c r="N345" i="16"/>
  <c r="N343" i="16"/>
  <c r="N334" i="16"/>
  <c r="N359" i="16"/>
  <c r="N400" i="16" s="1"/>
  <c r="N338" i="16"/>
  <c r="N340" i="16"/>
  <c r="N337" i="16"/>
  <c r="N344" i="16"/>
  <c r="N326" i="16"/>
  <c r="N339" i="16"/>
  <c r="N380" i="16" s="1"/>
  <c r="AE57" i="21"/>
  <c r="N81" i="16"/>
  <c r="N276" i="4"/>
  <c r="N164" i="15"/>
  <c r="N80" i="16"/>
  <c r="N211" i="16"/>
  <c r="N71" i="16"/>
  <c r="N78" i="16"/>
  <c r="N245" i="16"/>
  <c r="N218" i="16"/>
  <c r="N266" i="16" s="1"/>
  <c r="N206" i="16"/>
  <c r="N254" i="16" s="1"/>
  <c r="N178" i="16"/>
  <c r="N213" i="16"/>
  <c r="N219" i="16"/>
  <c r="N267" i="16" s="1"/>
  <c r="N203" i="16"/>
  <c r="N251" i="16" s="1"/>
  <c r="N196" i="16"/>
  <c r="N185" i="16"/>
  <c r="N204" i="16"/>
  <c r="N252" i="16" s="1"/>
  <c r="N179" i="16"/>
  <c r="N372" i="16"/>
  <c r="N367" i="16"/>
  <c r="N373" i="16"/>
  <c r="N366" i="16"/>
  <c r="K306" i="4"/>
  <c r="L48" i="16" s="1"/>
  <c r="K307" i="4"/>
  <c r="N741" i="14"/>
  <c r="N766" i="14"/>
  <c r="N698" i="14"/>
  <c r="N740" i="14"/>
  <c r="N765" i="14"/>
  <c r="N699" i="14"/>
  <c r="O65" i="16"/>
  <c r="O91" i="16"/>
  <c r="O89" i="16"/>
  <c r="O64" i="16"/>
  <c r="O16" i="16"/>
  <c r="O44" i="16"/>
  <c r="O57" i="16"/>
  <c r="O42" i="16"/>
  <c r="O36" i="16"/>
  <c r="O43" i="16"/>
  <c r="O17" i="16"/>
  <c r="O34" i="16"/>
  <c r="O29" i="16"/>
  <c r="O28" i="16"/>
  <c r="O20" i="16"/>
  <c r="O55" i="16"/>
  <c r="O53" i="16"/>
  <c r="O26" i="16"/>
  <c r="O31" i="16"/>
  <c r="O54" i="16"/>
  <c r="O41" i="16"/>
  <c r="O58" i="16"/>
  <c r="O33" i="16"/>
  <c r="O21" i="16"/>
  <c r="O35" i="16"/>
  <c r="O49" i="16"/>
  <c r="O24" i="16"/>
  <c r="O25" i="16"/>
  <c r="O32" i="16"/>
  <c r="O45" i="16"/>
  <c r="O40" i="16"/>
  <c r="O27" i="16"/>
  <c r="O23" i="16"/>
  <c r="O46" i="16"/>
  <c r="O10" i="16"/>
  <c r="N167" i="16"/>
  <c r="N168" i="16"/>
  <c r="N227" i="16"/>
  <c r="N225" i="16"/>
  <c r="N226" i="16"/>
  <c r="N260" i="16"/>
  <c r="L279" i="4"/>
  <c r="M274" i="4"/>
  <c r="O86" i="15"/>
  <c r="N76" i="4"/>
  <c r="M168" i="15"/>
  <c r="N156" i="15"/>
  <c r="M41" i="4"/>
  <c r="O15" i="4"/>
  <c r="O23" i="4"/>
  <c r="O12" i="4"/>
  <c r="O13" i="4" s="1"/>
  <c r="N164" i="16"/>
  <c r="N84" i="16"/>
  <c r="N88" i="16"/>
  <c r="N75" i="16"/>
  <c r="M809" i="4"/>
  <c r="M160" i="14"/>
  <c r="M157" i="14"/>
  <c r="M37" i="14"/>
  <c r="M36" i="14"/>
  <c r="L121" i="14"/>
  <c r="L120" i="14" s="1"/>
  <c r="K148" i="14"/>
  <c r="K149" i="14"/>
  <c r="M154" i="14"/>
  <c r="L204" i="14"/>
  <c r="L206" i="14"/>
  <c r="M323" i="14"/>
  <c r="M321" i="14"/>
  <c r="M660" i="14"/>
  <c r="N244" i="16" s="1"/>
  <c r="M236" i="16"/>
  <c r="M284" i="16"/>
  <c r="M69" i="14"/>
  <c r="M68" i="14"/>
  <c r="K120" i="14"/>
  <c r="K176" i="14"/>
  <c r="K172" i="14" s="1"/>
  <c r="K125" i="14"/>
  <c r="K177" i="14" s="1"/>
  <c r="M304" i="14"/>
  <c r="N308" i="14"/>
  <c r="I13" i="2"/>
  <c r="I17" i="2" s="1"/>
  <c r="N507" i="4"/>
  <c r="N653" i="14"/>
  <c r="N307" i="14"/>
  <c r="L322" i="14"/>
  <c r="M200" i="16"/>
  <c r="K1093" i="14" s="1"/>
  <c r="N733" i="14"/>
  <c r="L180" i="14"/>
  <c r="M342" i="14"/>
  <c r="O106" i="15"/>
  <c r="N336" i="14"/>
  <c r="N196" i="14"/>
  <c r="N195" i="14"/>
  <c r="N401" i="14"/>
  <c r="N663" i="14"/>
  <c r="N198" i="16"/>
  <c r="M279" i="15"/>
  <c r="M188" i="16"/>
  <c r="M399" i="16"/>
  <c r="J368" i="2"/>
  <c r="J372" i="2"/>
  <c r="J369" i="2"/>
  <c r="J371" i="2"/>
  <c r="J370" i="2"/>
  <c r="J373" i="2"/>
  <c r="N568" i="14"/>
  <c r="N575" i="14" s="1"/>
  <c r="O111" i="15"/>
  <c r="M574" i="14"/>
  <c r="M162" i="14"/>
  <c r="M166" i="14" s="1"/>
  <c r="N440" i="16"/>
  <c r="O107" i="15"/>
  <c r="M573" i="14"/>
  <c r="N324" i="16"/>
  <c r="N341" i="16"/>
  <c r="N358" i="16"/>
  <c r="O108" i="15"/>
  <c r="O110" i="15"/>
  <c r="N156" i="14"/>
  <c r="N158" i="14"/>
  <c r="N152" i="14"/>
  <c r="N153" i="14"/>
  <c r="N155" i="14"/>
  <c r="N159" i="14"/>
  <c r="N54" i="14"/>
  <c r="N53" i="14"/>
  <c r="N39" i="14"/>
  <c r="N40" i="14"/>
  <c r="N30" i="14"/>
  <c r="N29" i="14"/>
  <c r="N423" i="16"/>
  <c r="N382" i="16"/>
  <c r="M262" i="15"/>
  <c r="L165" i="14"/>
  <c r="K1032" i="14"/>
  <c r="M161" i="14"/>
  <c r="O109" i="15"/>
  <c r="N330" i="14"/>
  <c r="N661" i="14"/>
  <c r="N176" i="16"/>
  <c r="N253" i="16"/>
  <c r="N283" i="14"/>
  <c r="N285" i="14"/>
  <c r="N284" i="14"/>
  <c r="N248" i="14"/>
  <c r="N249" i="14"/>
  <c r="N662" i="14"/>
  <c r="N654" i="14"/>
  <c r="N329" i="14"/>
  <c r="N374" i="14" s="1"/>
  <c r="L375" i="14"/>
  <c r="M668" i="14"/>
  <c r="M664" i="14"/>
  <c r="N335" i="14"/>
  <c r="N402" i="14"/>
  <c r="O8" i="16"/>
  <c r="AA243" i="16"/>
  <c r="F12" i="2"/>
  <c r="G12" i="2" s="1"/>
  <c r="F11" i="2"/>
  <c r="G11" i="2" s="1"/>
  <c r="M190" i="14"/>
  <c r="M138" i="14"/>
  <c r="K181" i="14"/>
  <c r="O234" i="15"/>
  <c r="O205" i="15"/>
  <c r="O153" i="15"/>
  <c r="O160" i="15" s="1"/>
  <c r="O174" i="15"/>
  <c r="O292" i="15" s="1"/>
  <c r="O245" i="15" s="1"/>
  <c r="O73" i="15"/>
  <c r="O119" i="15" s="1"/>
  <c r="N958" i="14"/>
  <c r="N959" i="14" s="1"/>
  <c r="N956" i="14"/>
  <c r="N954" i="14"/>
  <c r="N955" i="14" s="1"/>
  <c r="L587" i="16"/>
  <c r="M447" i="16"/>
  <c r="O405" i="16"/>
  <c r="O364" i="16"/>
  <c r="O223" i="16"/>
  <c r="O323" i="16"/>
  <c r="O271" i="16"/>
  <c r="O175" i="16"/>
  <c r="O117" i="16"/>
  <c r="O62" i="16"/>
  <c r="P7" i="16"/>
  <c r="P3" i="15"/>
  <c r="N1044" i="14"/>
  <c r="N983" i="14"/>
  <c r="N1098" i="14" s="1"/>
  <c r="O931" i="14"/>
  <c r="O895" i="14"/>
  <c r="O846" i="14"/>
  <c r="O836" i="14"/>
  <c r="O828" i="14"/>
  <c r="O807" i="14"/>
  <c r="O687" i="14"/>
  <c r="O579" i="14"/>
  <c r="O562" i="14"/>
  <c r="O565" i="14" s="1"/>
  <c r="O504" i="14"/>
  <c r="O431" i="14"/>
  <c r="O235" i="14"/>
  <c r="O209" i="14"/>
  <c r="O187" i="14"/>
  <c r="O100" i="14"/>
  <c r="O73" i="14"/>
  <c r="O3" i="14"/>
  <c r="O762" i="4"/>
  <c r="O679" i="4"/>
  <c r="O669" i="4"/>
  <c r="O649" i="4"/>
  <c r="O590" i="4"/>
  <c r="O566" i="4"/>
  <c r="O489" i="4"/>
  <c r="O437" i="4"/>
  <c r="O310" i="4"/>
  <c r="O326" i="4"/>
  <c r="O272" i="4"/>
  <c r="O263" i="4"/>
  <c r="O774" i="4" s="1"/>
  <c r="O183" i="4"/>
  <c r="O239" i="4"/>
  <c r="O226" i="4"/>
  <c r="O213" i="4"/>
  <c r="O151" i="4"/>
  <c r="O134" i="4"/>
  <c r="O123" i="4"/>
  <c r="O128" i="4" s="1"/>
  <c r="O180" i="4" s="1"/>
  <c r="N180" i="4" s="1"/>
  <c r="M180" i="4" s="1"/>
  <c r="L180" i="4" s="1"/>
  <c r="K180" i="4" s="1"/>
  <c r="J180" i="4" s="1"/>
  <c r="I180" i="4" s="1"/>
  <c r="H180" i="4" s="1"/>
  <c r="G180" i="4" s="1"/>
  <c r="F180" i="4" s="1"/>
  <c r="E180" i="4" s="1"/>
  <c r="O112" i="4"/>
  <c r="O84" i="4"/>
  <c r="O44" i="4"/>
  <c r="O36" i="4"/>
  <c r="L1034" i="14"/>
  <c r="N189" i="14"/>
  <c r="O231" i="16" s="1"/>
  <c r="N131" i="14"/>
  <c r="N114" i="14"/>
  <c r="N770" i="14"/>
  <c r="N745" i="14"/>
  <c r="N703" i="14"/>
  <c r="L142" i="14"/>
  <c r="O46" i="2"/>
  <c r="N134" i="14"/>
  <c r="K607" i="16"/>
  <c r="X592" i="16"/>
  <c r="F10" i="2"/>
  <c r="O7" i="2"/>
  <c r="E7" i="2"/>
  <c r="E15" i="2" s="1"/>
  <c r="M515" i="14" l="1"/>
  <c r="O1198" i="14"/>
  <c r="O1199" i="14" s="1"/>
  <c r="O1196" i="14"/>
  <c r="O1197" i="14" s="1"/>
  <c r="O1224" i="14"/>
  <c r="O1225" i="14" s="1"/>
  <c r="O1222" i="14"/>
  <c r="O1223" i="14" s="1"/>
  <c r="AE1198" i="14"/>
  <c r="O1232" i="14"/>
  <c r="N1165" i="14"/>
  <c r="N157" i="14"/>
  <c r="N117" i="14"/>
  <c r="O230" i="16" s="1"/>
  <c r="N957" i="14"/>
  <c r="L1029" i="14"/>
  <c r="O475" i="4"/>
  <c r="O476" i="4" s="1"/>
  <c r="O5" i="4"/>
  <c r="O275" i="4"/>
  <c r="AF57" i="21"/>
  <c r="N288" i="15"/>
  <c r="N844" i="4"/>
  <c r="O1206" i="14"/>
  <c r="O164" i="16"/>
  <c r="O39" i="4"/>
  <c r="O40" i="4"/>
  <c r="O37" i="4"/>
  <c r="O38" i="4"/>
  <c r="O77" i="16"/>
  <c r="O76" i="16"/>
  <c r="O88" i="16"/>
  <c r="O112" i="16"/>
  <c r="N112" i="16" s="1"/>
  <c r="M112" i="16" s="1"/>
  <c r="L112" i="16" s="1"/>
  <c r="O78" i="16"/>
  <c r="O337" i="16"/>
  <c r="O352" i="16"/>
  <c r="O393" i="16" s="1"/>
  <c r="O339" i="16"/>
  <c r="O380" i="16" s="1"/>
  <c r="O353" i="16"/>
  <c r="O342" i="16"/>
  <c r="O383" i="16" s="1"/>
  <c r="N383" i="16" s="1"/>
  <c r="M383" i="16" s="1"/>
  <c r="O351" i="16"/>
  <c r="O359" i="16"/>
  <c r="O400" i="16" s="1"/>
  <c r="O356" i="16"/>
  <c r="O326" i="16"/>
  <c r="O338" i="16"/>
  <c r="O379" i="16" s="1"/>
  <c r="N379" i="16" s="1"/>
  <c r="M379" i="16" s="1"/>
  <c r="L379" i="16" s="1"/>
  <c r="O343" i="16"/>
  <c r="O384" i="16" s="1"/>
  <c r="N384" i="16" s="1"/>
  <c r="M384" i="16" s="1"/>
  <c r="L384" i="16" s="1"/>
  <c r="O344" i="16"/>
  <c r="O385" i="16" s="1"/>
  <c r="N385" i="16" s="1"/>
  <c r="M385" i="16" s="1"/>
  <c r="L385" i="16" s="1"/>
  <c r="O340" i="16"/>
  <c r="O334" i="16"/>
  <c r="O375" i="16" s="1"/>
  <c r="N375" i="16" s="1"/>
  <c r="M375" i="16" s="1"/>
  <c r="L375" i="16" s="1"/>
  <c r="O345" i="16"/>
  <c r="O80" i="16"/>
  <c r="M810" i="4"/>
  <c r="P86" i="15"/>
  <c r="O84" i="16"/>
  <c r="O71" i="16"/>
  <c r="O211" i="16"/>
  <c r="O278" i="4"/>
  <c r="O277" i="4"/>
  <c r="O78" i="4"/>
  <c r="O77" i="4"/>
  <c r="O55" i="4"/>
  <c r="O699" i="14"/>
  <c r="O766" i="14"/>
  <c r="O765" i="14"/>
  <c r="O741" i="14"/>
  <c r="O698" i="14"/>
  <c r="O740" i="14"/>
  <c r="O168" i="16"/>
  <c r="O167" i="16"/>
  <c r="O227" i="16"/>
  <c r="O226" i="16"/>
  <c r="O260" i="16"/>
  <c r="O225" i="16"/>
  <c r="N304" i="14"/>
  <c r="O156" i="15"/>
  <c r="N168" i="15"/>
  <c r="N274" i="4"/>
  <c r="M279" i="4"/>
  <c r="O82" i="16"/>
  <c r="O81" i="16"/>
  <c r="O164" i="15"/>
  <c r="O165" i="16"/>
  <c r="O75" i="4"/>
  <c r="P31" i="15"/>
  <c r="P23" i="15"/>
  <c r="O245" i="16"/>
  <c r="O203" i="16"/>
  <c r="O251" i="16" s="1"/>
  <c r="O179" i="16"/>
  <c r="O178" i="16"/>
  <c r="O196" i="16"/>
  <c r="O218" i="16"/>
  <c r="O266" i="16" s="1"/>
  <c r="O219" i="16"/>
  <c r="O267" i="16" s="1"/>
  <c r="O213" i="16"/>
  <c r="O204" i="16"/>
  <c r="O252" i="16" s="1"/>
  <c r="O206" i="16"/>
  <c r="O254" i="16" s="1"/>
  <c r="O185" i="16"/>
  <c r="O373" i="16"/>
  <c r="O366" i="16"/>
  <c r="O372" i="16"/>
  <c r="O367" i="16"/>
  <c r="L306" i="4"/>
  <c r="L307" i="4"/>
  <c r="O79" i="16"/>
  <c r="O75" i="16"/>
  <c r="N809" i="4"/>
  <c r="O276" i="4"/>
  <c r="P64" i="16"/>
  <c r="P91" i="16"/>
  <c r="E91" i="16" s="1"/>
  <c r="P89" i="16"/>
  <c r="E89" i="16" s="1"/>
  <c r="P65" i="16"/>
  <c r="E65" i="16" s="1"/>
  <c r="P20" i="16"/>
  <c r="P58" i="16"/>
  <c r="E58" i="16" s="1"/>
  <c r="S498" i="16" s="1"/>
  <c r="P26" i="16"/>
  <c r="E26" i="16" s="1"/>
  <c r="S466" i="16" s="1"/>
  <c r="P31" i="16"/>
  <c r="E31" i="16" s="1"/>
  <c r="S471" i="16" s="1"/>
  <c r="P40" i="16"/>
  <c r="E40" i="16" s="1"/>
  <c r="S480" i="16" s="1"/>
  <c r="P46" i="16"/>
  <c r="E46" i="16" s="1"/>
  <c r="S486" i="16" s="1"/>
  <c r="P25" i="16"/>
  <c r="E25" i="16" s="1"/>
  <c r="S465" i="16" s="1"/>
  <c r="P54" i="16"/>
  <c r="E54" i="16" s="1"/>
  <c r="S494" i="16" s="1"/>
  <c r="P17" i="16"/>
  <c r="E17" i="16" s="1"/>
  <c r="S457" i="16" s="1"/>
  <c r="P41" i="16"/>
  <c r="E41" i="16" s="1"/>
  <c r="S481" i="16" s="1"/>
  <c r="P35" i="16"/>
  <c r="E35" i="16" s="1"/>
  <c r="S475" i="16" s="1"/>
  <c r="P44" i="16"/>
  <c r="E44" i="16" s="1"/>
  <c r="S484" i="16" s="1"/>
  <c r="P28" i="16"/>
  <c r="E28" i="16" s="1"/>
  <c r="S468" i="16" s="1"/>
  <c r="P27" i="16"/>
  <c r="E27" i="16" s="1"/>
  <c r="S467" i="16" s="1"/>
  <c r="P42" i="16"/>
  <c r="E42" i="16" s="1"/>
  <c r="S482" i="16" s="1"/>
  <c r="P33" i="16"/>
  <c r="E33" i="16" s="1"/>
  <c r="S473" i="16" s="1"/>
  <c r="P16" i="16"/>
  <c r="E16" i="16" s="1"/>
  <c r="S456" i="16" s="1"/>
  <c r="P32" i="16"/>
  <c r="E32" i="16" s="1"/>
  <c r="S472" i="16" s="1"/>
  <c r="P53" i="16"/>
  <c r="P24" i="16"/>
  <c r="E24" i="16" s="1"/>
  <c r="S464" i="16" s="1"/>
  <c r="P57" i="16"/>
  <c r="E57" i="16" s="1"/>
  <c r="S497" i="16" s="1"/>
  <c r="P45" i="16"/>
  <c r="E45" i="16" s="1"/>
  <c r="S485" i="16" s="1"/>
  <c r="P10" i="16"/>
  <c r="E10" i="16" s="1"/>
  <c r="S450" i="16" s="1"/>
  <c r="P43" i="16"/>
  <c r="E43" i="16" s="1"/>
  <c r="S483" i="16" s="1"/>
  <c r="P21" i="16"/>
  <c r="E21" i="16" s="1"/>
  <c r="S461" i="16" s="1"/>
  <c r="P49" i="16"/>
  <c r="E49" i="16" s="1"/>
  <c r="S489" i="16" s="1"/>
  <c r="P36" i="16"/>
  <c r="E36" i="16" s="1"/>
  <c r="S476" i="16" s="1"/>
  <c r="P55" i="16"/>
  <c r="E55" i="16" s="1"/>
  <c r="S495" i="16" s="1"/>
  <c r="P23" i="16"/>
  <c r="P29" i="16"/>
  <c r="E29" i="16" s="1"/>
  <c r="S469" i="16" s="1"/>
  <c r="P34" i="16"/>
  <c r="E34" i="16" s="1"/>
  <c r="S474" i="16" s="1"/>
  <c r="O314" i="16"/>
  <c r="O315" i="16"/>
  <c r="O441" i="16"/>
  <c r="O414" i="16"/>
  <c r="O76" i="4"/>
  <c r="O83" i="16"/>
  <c r="L1100" i="14"/>
  <c r="N41" i="4"/>
  <c r="M121" i="14"/>
  <c r="M148" i="14" s="1"/>
  <c r="N36" i="14"/>
  <c r="N37" i="14"/>
  <c r="N154" i="14"/>
  <c r="N68" i="14"/>
  <c r="N69" i="14"/>
  <c r="N236" i="16"/>
  <c r="N284" i="16"/>
  <c r="N160" i="14"/>
  <c r="L125" i="14"/>
  <c r="L177" i="14" s="1"/>
  <c r="L148" i="14"/>
  <c r="L149" i="14"/>
  <c r="M206" i="14"/>
  <c r="M204" i="14"/>
  <c r="N660" i="14"/>
  <c r="O244" i="16" s="1"/>
  <c r="L176" i="14"/>
  <c r="L172" i="14" s="1"/>
  <c r="N321" i="14"/>
  <c r="N323" i="14"/>
  <c r="J13" i="2"/>
  <c r="J17" i="2" s="1"/>
  <c r="N73" i="14"/>
  <c r="O92" i="14"/>
  <c r="O91" i="14"/>
  <c r="O84" i="14"/>
  <c r="O76" i="14"/>
  <c r="O83" i="14"/>
  <c r="O75" i="14"/>
  <c r="O308" i="14"/>
  <c r="O733" i="14"/>
  <c r="O507" i="4"/>
  <c r="M322" i="14"/>
  <c r="N200" i="16"/>
  <c r="O307" i="14"/>
  <c r="N342" i="14"/>
  <c r="P110" i="15"/>
  <c r="P107" i="15"/>
  <c r="P108" i="15"/>
  <c r="P111" i="15"/>
  <c r="O196" i="14"/>
  <c r="O195" i="14"/>
  <c r="O330" i="14"/>
  <c r="N262" i="15"/>
  <c r="O198" i="16"/>
  <c r="N574" i="14"/>
  <c r="N573" i="14"/>
  <c r="M180" i="14"/>
  <c r="K173" i="14"/>
  <c r="N162" i="14"/>
  <c r="N164" i="14" s="1"/>
  <c r="M164" i="14" s="1"/>
  <c r="L164" i="14" s="1"/>
  <c r="K164" i="14" s="1"/>
  <c r="J164" i="14" s="1"/>
  <c r="I164" i="14" s="1"/>
  <c r="H164" i="14" s="1"/>
  <c r="G164" i="14" s="1"/>
  <c r="F164" i="14" s="1"/>
  <c r="E164" i="14" s="1"/>
  <c r="N399" i="16"/>
  <c r="K370" i="2"/>
  <c r="K372" i="2"/>
  <c r="K369" i="2"/>
  <c r="K373" i="2"/>
  <c r="K368" i="2"/>
  <c r="K371" i="2"/>
  <c r="O568" i="14"/>
  <c r="O575" i="14" s="1"/>
  <c r="O324" i="16"/>
  <c r="O358" i="16"/>
  <c r="O341" i="16"/>
  <c r="M165" i="14"/>
  <c r="L1032" i="14"/>
  <c r="O31" i="15"/>
  <c r="P32" i="15"/>
  <c r="P30" i="15" s="1"/>
  <c r="P33" i="15" s="1"/>
  <c r="O382" i="16"/>
  <c r="O423" i="16"/>
  <c r="N188" i="16"/>
  <c r="N161" i="14"/>
  <c r="N279" i="15"/>
  <c r="N138" i="14"/>
  <c r="O158" i="14"/>
  <c r="O152" i="14"/>
  <c r="O153" i="14"/>
  <c r="O156" i="14"/>
  <c r="O159" i="14"/>
  <c r="O155" i="14"/>
  <c r="O54" i="14"/>
  <c r="O53" i="14"/>
  <c r="O40" i="14"/>
  <c r="O39" i="14"/>
  <c r="O29" i="14"/>
  <c r="O30" i="14"/>
  <c r="O440" i="16"/>
  <c r="P109" i="15"/>
  <c r="P106" i="15"/>
  <c r="O284" i="14"/>
  <c r="O283" i="14"/>
  <c r="O285" i="14"/>
  <c r="O249" i="14"/>
  <c r="O248" i="14"/>
  <c r="O662" i="14"/>
  <c r="O654" i="14"/>
  <c r="O402" i="14"/>
  <c r="O653" i="14"/>
  <c r="O176" i="16"/>
  <c r="O253" i="16"/>
  <c r="M142" i="14"/>
  <c r="M181" i="14" s="1"/>
  <c r="O661" i="14"/>
  <c r="O336" i="14"/>
  <c r="O329" i="14"/>
  <c r="O374" i="14" s="1"/>
  <c r="N515" i="14"/>
  <c r="O201" i="16"/>
  <c r="O663" i="14"/>
  <c r="O335" i="14"/>
  <c r="N201" i="16"/>
  <c r="M375" i="14"/>
  <c r="N668" i="14"/>
  <c r="N664" i="14"/>
  <c r="O401" i="14"/>
  <c r="P8" i="16"/>
  <c r="AB243" i="16"/>
  <c r="G18" i="2"/>
  <c r="H12" i="2"/>
  <c r="O15" i="2"/>
  <c r="F7" i="2"/>
  <c r="F15" i="2" s="1"/>
  <c r="F18" i="2"/>
  <c r="H11" i="2"/>
  <c r="Y7" i="2"/>
  <c r="AI7" i="2" s="1"/>
  <c r="M1034" i="14"/>
  <c r="O189" i="14"/>
  <c r="P231" i="16" s="1"/>
  <c r="O131" i="14"/>
  <c r="O114" i="14"/>
  <c r="O498" i="14"/>
  <c r="O770" i="14"/>
  <c r="O745" i="14"/>
  <c r="O703" i="14"/>
  <c r="L607" i="16"/>
  <c r="Y592" i="16"/>
  <c r="N190" i="14"/>
  <c r="M1098" i="14"/>
  <c r="N1043" i="14"/>
  <c r="O134" i="14"/>
  <c r="O133" i="14" s="1"/>
  <c r="N133" i="14" s="1"/>
  <c r="M133" i="14" s="1"/>
  <c r="L133" i="14" s="1"/>
  <c r="K133" i="14" s="1"/>
  <c r="J133" i="14" s="1"/>
  <c r="I133" i="14" s="1"/>
  <c r="H133" i="14" s="1"/>
  <c r="G133" i="14" s="1"/>
  <c r="F133" i="14" s="1"/>
  <c r="M251" i="2"/>
  <c r="K236" i="2"/>
  <c r="K222" i="2"/>
  <c r="I222" i="2"/>
  <c r="I207" i="2"/>
  <c r="K207" i="2" s="1"/>
  <c r="J205" i="2" s="1"/>
  <c r="H205" i="2" s="1"/>
  <c r="I236" i="2"/>
  <c r="C9" i="41" s="1"/>
  <c r="N13" i="4"/>
  <c r="N774" i="4"/>
  <c r="M774" i="4" s="1"/>
  <c r="L774" i="4" s="1"/>
  <c r="K774" i="4" s="1"/>
  <c r="J774" i="4" s="1"/>
  <c r="I774" i="4" s="1"/>
  <c r="H774" i="4" s="1"/>
  <c r="G774" i="4" s="1"/>
  <c r="O813" i="4"/>
  <c r="O958" i="14"/>
  <c r="O959" i="14" s="1"/>
  <c r="O956" i="14"/>
  <c r="O954" i="14"/>
  <c r="O955" i="14" s="1"/>
  <c r="M587" i="16"/>
  <c r="N447" i="16"/>
  <c r="P405" i="16"/>
  <c r="P364" i="16"/>
  <c r="P323" i="16"/>
  <c r="P271" i="16"/>
  <c r="P223" i="16"/>
  <c r="P175" i="16"/>
  <c r="P117" i="16"/>
  <c r="P62" i="16"/>
  <c r="L181" i="14"/>
  <c r="P234" i="15"/>
  <c r="P205" i="15"/>
  <c r="P174" i="15"/>
  <c r="P292" i="15" s="1"/>
  <c r="P245" i="15" s="1"/>
  <c r="P265" i="15" s="1"/>
  <c r="P153" i="15"/>
  <c r="P160" i="15" s="1"/>
  <c r="P73" i="15"/>
  <c r="P119" i="15" s="1"/>
  <c r="O117" i="14"/>
  <c r="P230" i="16" s="1"/>
  <c r="AG57" i="21" l="1"/>
  <c r="O1161" i="14"/>
  <c r="O1165" i="14"/>
  <c r="O957" i="14"/>
  <c r="M1029" i="14"/>
  <c r="K13" i="2"/>
  <c r="K17" i="2" s="1"/>
  <c r="M176" i="14"/>
  <c r="M172" i="14" s="1"/>
  <c r="M120" i="14"/>
  <c r="M125" i="14"/>
  <c r="M177" i="14" s="1"/>
  <c r="M173" i="14" s="1"/>
  <c r="O288" i="15"/>
  <c r="P77" i="16"/>
  <c r="E77" i="16" s="1"/>
  <c r="P76" i="16"/>
  <c r="E76" i="16" s="1"/>
  <c r="P112" i="16"/>
  <c r="E112" i="16" s="1"/>
  <c r="P72" i="16"/>
  <c r="P84" i="16"/>
  <c r="E84" i="16" s="1"/>
  <c r="P88" i="16"/>
  <c r="E88" i="16" s="1"/>
  <c r="P82" i="16"/>
  <c r="E82" i="16" s="1"/>
  <c r="P71" i="16"/>
  <c r="E71" i="16" s="1"/>
  <c r="P83" i="16"/>
  <c r="E83" i="16" s="1"/>
  <c r="P79" i="16"/>
  <c r="E79" i="16" s="1"/>
  <c r="P315" i="16"/>
  <c r="E315" i="16" s="1"/>
  <c r="P314" i="16"/>
  <c r="E314" i="16" s="1"/>
  <c r="P245" i="16"/>
  <c r="P203" i="16"/>
  <c r="E203" i="16" s="1"/>
  <c r="S528" i="16" s="1"/>
  <c r="P219" i="16"/>
  <c r="E219" i="16" s="1"/>
  <c r="S544" i="16" s="1"/>
  <c r="P196" i="16"/>
  <c r="E196" i="16" s="1"/>
  <c r="S521" i="16" s="1"/>
  <c r="P185" i="16"/>
  <c r="E185" i="16" s="1"/>
  <c r="S510" i="16" s="1"/>
  <c r="P178" i="16"/>
  <c r="E178" i="16" s="1"/>
  <c r="S503" i="16" s="1"/>
  <c r="P218" i="16"/>
  <c r="E218" i="16" s="1"/>
  <c r="S543" i="16" s="1"/>
  <c r="P213" i="16"/>
  <c r="E213" i="16" s="1"/>
  <c r="S538" i="16" s="1"/>
  <c r="P206" i="16"/>
  <c r="P254" i="16" s="1"/>
  <c r="E254" i="16" s="1"/>
  <c r="P204" i="16"/>
  <c r="E204" i="16" s="1"/>
  <c r="S529" i="16" s="1"/>
  <c r="P179" i="16"/>
  <c r="E179" i="16" s="1"/>
  <c r="S504" i="16" s="1"/>
  <c r="P367" i="16"/>
  <c r="E367" i="16" s="1"/>
  <c r="P373" i="16"/>
  <c r="E373" i="16" s="1"/>
  <c r="P372" i="16"/>
  <c r="E372" i="16" s="1"/>
  <c r="P366" i="16"/>
  <c r="E366" i="16" s="1"/>
  <c r="P225" i="16"/>
  <c r="E225" i="16" s="1"/>
  <c r="P227" i="16"/>
  <c r="E227" i="16" s="1"/>
  <c r="P226" i="16"/>
  <c r="E226" i="16" s="1"/>
  <c r="P260" i="16"/>
  <c r="E260" i="16" s="1"/>
  <c r="P441" i="16"/>
  <c r="E441" i="16" s="1"/>
  <c r="P414" i="16"/>
  <c r="E414" i="16" s="1"/>
  <c r="P24" i="15"/>
  <c r="P22" i="15" s="1"/>
  <c r="P81" i="16"/>
  <c r="E81" i="16" s="1"/>
  <c r="M306" i="4"/>
  <c r="N48" i="16" s="1"/>
  <c r="M307" i="4"/>
  <c r="M48" i="16"/>
  <c r="P164" i="15"/>
  <c r="N279" i="4"/>
  <c r="O274" i="4"/>
  <c r="O279" i="4" s="1"/>
  <c r="P211" i="16"/>
  <c r="P168" i="16"/>
  <c r="E168" i="16" s="1"/>
  <c r="P167" i="16"/>
  <c r="E167" i="16" s="1"/>
  <c r="P356" i="16"/>
  <c r="E356" i="16" s="1"/>
  <c r="S579" i="16" s="1"/>
  <c r="P343" i="16"/>
  <c r="E343" i="16" s="1"/>
  <c r="S566" i="16" s="1"/>
  <c r="P326" i="16"/>
  <c r="E326" i="16" s="1"/>
  <c r="S549" i="16" s="1"/>
  <c r="P340" i="16"/>
  <c r="E340" i="16" s="1"/>
  <c r="S563" i="16" s="1"/>
  <c r="P338" i="16"/>
  <c r="E338" i="16" s="1"/>
  <c r="S561" i="16" s="1"/>
  <c r="P344" i="16"/>
  <c r="E344" i="16" s="1"/>
  <c r="S567" i="16" s="1"/>
  <c r="P337" i="16"/>
  <c r="P351" i="16"/>
  <c r="E351" i="16" s="1"/>
  <c r="S574" i="16" s="1"/>
  <c r="P352" i="16"/>
  <c r="E352" i="16" s="1"/>
  <c r="S575" i="16" s="1"/>
  <c r="P334" i="16"/>
  <c r="E334" i="16" s="1"/>
  <c r="S557" i="16" s="1"/>
  <c r="P345" i="16"/>
  <c r="E345" i="16" s="1"/>
  <c r="S568" i="16" s="1"/>
  <c r="P342" i="16"/>
  <c r="E342" i="16" s="1"/>
  <c r="S565" i="16" s="1"/>
  <c r="P353" i="16"/>
  <c r="E353" i="16" s="1"/>
  <c r="S576" i="16" s="1"/>
  <c r="P339" i="16"/>
  <c r="P359" i="16"/>
  <c r="E359" i="16" s="1"/>
  <c r="S582" i="16" s="1"/>
  <c r="P78" i="16"/>
  <c r="E23" i="16"/>
  <c r="S463" i="16" s="1"/>
  <c r="P75" i="16"/>
  <c r="O809" i="4"/>
  <c r="E20" i="16"/>
  <c r="S460" i="16" s="1"/>
  <c r="N810" i="4"/>
  <c r="O56" i="4"/>
  <c r="N56" i="4" s="1"/>
  <c r="M56" i="4" s="1"/>
  <c r="L56" i="4" s="1"/>
  <c r="K56" i="4" s="1"/>
  <c r="J56" i="4" s="1"/>
  <c r="I56" i="4" s="1"/>
  <c r="H56" i="4" s="1"/>
  <c r="P164" i="16"/>
  <c r="E164" i="16" s="1"/>
  <c r="P80" i="16"/>
  <c r="E80" i="16" s="1"/>
  <c r="P165" i="16"/>
  <c r="E165" i="16" s="1"/>
  <c r="P156" i="15"/>
  <c r="O168" i="15"/>
  <c r="M1100" i="14"/>
  <c r="O41" i="4"/>
  <c r="M149" i="14"/>
  <c r="L173" i="14"/>
  <c r="N121" i="14"/>
  <c r="N149" i="14" s="1"/>
  <c r="O69" i="14"/>
  <c r="O68" i="14"/>
  <c r="O323" i="14"/>
  <c r="P323" i="14" s="1"/>
  <c r="O321" i="14"/>
  <c r="O80" i="14"/>
  <c r="O79" i="14"/>
  <c r="O96" i="14"/>
  <c r="O95" i="14"/>
  <c r="O660" i="14"/>
  <c r="P244" i="16" s="1"/>
  <c r="E244" i="16" s="1"/>
  <c r="O160" i="14"/>
  <c r="N206" i="14"/>
  <c r="N204" i="14"/>
  <c r="O37" i="14"/>
  <c r="O36" i="14"/>
  <c r="O88" i="14"/>
  <c r="O87" i="14"/>
  <c r="O157" i="14"/>
  <c r="O154" i="14"/>
  <c r="O236" i="16"/>
  <c r="O284" i="16"/>
  <c r="O106" i="14"/>
  <c r="O107" i="14"/>
  <c r="M73" i="14"/>
  <c r="N91" i="14"/>
  <c r="N92" i="14"/>
  <c r="N83" i="14"/>
  <c r="N84" i="14"/>
  <c r="N76" i="14"/>
  <c r="N75" i="14"/>
  <c r="L1093" i="14"/>
  <c r="N322" i="14"/>
  <c r="O200" i="16"/>
  <c r="M1093" i="14" s="1"/>
  <c r="O188" i="16"/>
  <c r="P198" i="16"/>
  <c r="E198" i="16" s="1"/>
  <c r="S523" i="16" s="1"/>
  <c r="O262" i="15"/>
  <c r="N375" i="14"/>
  <c r="N166" i="14"/>
  <c r="N180" i="14"/>
  <c r="O399" i="16"/>
  <c r="L370" i="2"/>
  <c r="L368" i="2"/>
  <c r="L369" i="2"/>
  <c r="L373" i="2"/>
  <c r="L372" i="2"/>
  <c r="L371" i="2"/>
  <c r="O162" i="14"/>
  <c r="O161" i="14"/>
  <c r="N31" i="15"/>
  <c r="O32" i="15"/>
  <c r="O30" i="15" s="1"/>
  <c r="O573" i="14"/>
  <c r="P423" i="16"/>
  <c r="P382" i="16"/>
  <c r="E382" i="16" s="1"/>
  <c r="P440" i="16"/>
  <c r="E440" i="16" s="1"/>
  <c r="N142" i="14"/>
  <c r="P324" i="16"/>
  <c r="P358" i="16"/>
  <c r="P341" i="16"/>
  <c r="E341" i="16" s="1"/>
  <c r="S564" i="16" s="1"/>
  <c r="E330" i="16"/>
  <c r="S553" i="16" s="1"/>
  <c r="E53" i="16"/>
  <c r="S493" i="16" s="1"/>
  <c r="O844" i="4"/>
  <c r="N165" i="14"/>
  <c r="M1032" i="14"/>
  <c r="O279" i="15"/>
  <c r="O574" i="14"/>
  <c r="G241" i="14"/>
  <c r="H241" i="14"/>
  <c r="P176" i="16"/>
  <c r="E205" i="16"/>
  <c r="S530" i="16" s="1"/>
  <c r="O259" i="16"/>
  <c r="M1101" i="14" s="1"/>
  <c r="O668" i="14"/>
  <c r="O664" i="14"/>
  <c r="O342" i="14"/>
  <c r="P293" i="16"/>
  <c r="O293" i="16" s="1"/>
  <c r="N293" i="16" s="1"/>
  <c r="M293" i="16" s="1"/>
  <c r="L293" i="16" s="1"/>
  <c r="K293" i="16" s="1"/>
  <c r="J293" i="16" s="1"/>
  <c r="I293" i="16" s="1"/>
  <c r="H293" i="16" s="1"/>
  <c r="E293" i="16" s="1"/>
  <c r="O515" i="14"/>
  <c r="O304" i="14"/>
  <c r="E241" i="14"/>
  <c r="D241" i="14"/>
  <c r="AC243" i="16"/>
  <c r="E64" i="16"/>
  <c r="G7" i="2"/>
  <c r="P7" i="2"/>
  <c r="H18" i="2"/>
  <c r="I12" i="2"/>
  <c r="Z7" i="2"/>
  <c r="I11" i="2"/>
  <c r="N813" i="4"/>
  <c r="M813" i="4" s="1"/>
  <c r="L813" i="4" s="1"/>
  <c r="K813" i="4" s="1"/>
  <c r="J813" i="4" s="1"/>
  <c r="I813" i="4" s="1"/>
  <c r="H813" i="4" s="1"/>
  <c r="G813" i="4" s="1"/>
  <c r="F813" i="4" s="1"/>
  <c r="M13" i="4"/>
  <c r="N498" i="14"/>
  <c r="P250" i="16"/>
  <c r="O138" i="14"/>
  <c r="E231" i="16"/>
  <c r="N1029" i="14"/>
  <c r="O116" i="14"/>
  <c r="N116" i="14" s="1"/>
  <c r="M116" i="14" s="1"/>
  <c r="L116" i="14" s="1"/>
  <c r="K116" i="14" s="1"/>
  <c r="J116" i="14" s="1"/>
  <c r="I116" i="14" s="1"/>
  <c r="H116" i="14" s="1"/>
  <c r="G116" i="14" s="1"/>
  <c r="F116" i="14" s="1"/>
  <c r="E116" i="14" s="1"/>
  <c r="E230" i="16"/>
  <c r="M607" i="16"/>
  <c r="Z592" i="16"/>
  <c r="L1098" i="14"/>
  <c r="M1043" i="14"/>
  <c r="P259" i="16"/>
  <c r="O265" i="15"/>
  <c r="P283" i="15"/>
  <c r="P272" i="15"/>
  <c r="N500" i="16"/>
  <c r="Q462" i="16"/>
  <c r="N259" i="16"/>
  <c r="L1101" i="14" s="1"/>
  <c r="O190" i="14"/>
  <c r="N1161" i="14" l="1"/>
  <c r="N148" i="14"/>
  <c r="L13" i="2"/>
  <c r="E78" i="16"/>
  <c r="O798" i="4"/>
  <c r="O54" i="4"/>
  <c r="N54" i="4" s="1"/>
  <c r="M54" i="4" s="1"/>
  <c r="L54" i="4" s="1"/>
  <c r="K54" i="4" s="1"/>
  <c r="J54" i="4" s="1"/>
  <c r="I54" i="4" s="1"/>
  <c r="H54" i="4" s="1"/>
  <c r="N1101" i="14"/>
  <c r="P168" i="15"/>
  <c r="P400" i="16"/>
  <c r="E400" i="16" s="1"/>
  <c r="P393" i="16"/>
  <c r="P289" i="15" s="1"/>
  <c r="O289" i="15" s="1"/>
  <c r="P380" i="16"/>
  <c r="E380" i="16" s="1"/>
  <c r="E339" i="16"/>
  <c r="S562" i="16" s="1"/>
  <c r="P288" i="15"/>
  <c r="O810" i="4"/>
  <c r="N307" i="4"/>
  <c r="N306" i="4"/>
  <c r="O48" i="16" s="1"/>
  <c r="P384" i="16"/>
  <c r="E384" i="16" s="1"/>
  <c r="P386" i="16"/>
  <c r="O386" i="16" s="1"/>
  <c r="N386" i="16" s="1"/>
  <c r="M386" i="16" s="1"/>
  <c r="L386" i="16" s="1"/>
  <c r="E386" i="16" s="1"/>
  <c r="E206" i="16"/>
  <c r="S531" i="16" s="1"/>
  <c r="N1100" i="14"/>
  <c r="E211" i="16"/>
  <c r="S536" i="16" s="1"/>
  <c r="O307" i="4"/>
  <c r="O306" i="4"/>
  <c r="O22" i="15"/>
  <c r="N22" i="15" s="1"/>
  <c r="M22" i="15" s="1"/>
  <c r="L22" i="15" s="1"/>
  <c r="K22" i="15" s="1"/>
  <c r="J22" i="15" s="1"/>
  <c r="I22" i="15" s="1"/>
  <c r="H22" i="15" s="1"/>
  <c r="P25" i="15"/>
  <c r="P385" i="16"/>
  <c r="E385" i="16" s="1"/>
  <c r="P375" i="16"/>
  <c r="E375" i="16" s="1"/>
  <c r="P379" i="16"/>
  <c r="E379" i="16" s="1"/>
  <c r="O72" i="16"/>
  <c r="N176" i="14"/>
  <c r="N172" i="14" s="1"/>
  <c r="O121" i="14"/>
  <c r="O125" i="14" s="1"/>
  <c r="N125" i="14"/>
  <c r="N120" i="14"/>
  <c r="N87" i="14"/>
  <c r="N88" i="14"/>
  <c r="O163" i="14"/>
  <c r="N163" i="14" s="1"/>
  <c r="M163" i="14" s="1"/>
  <c r="L163" i="14" s="1"/>
  <c r="K163" i="14" s="1"/>
  <c r="J163" i="14" s="1"/>
  <c r="I163" i="14" s="1"/>
  <c r="H163" i="14" s="1"/>
  <c r="G163" i="14" s="1"/>
  <c r="F163" i="14" s="1"/>
  <c r="P284" i="16"/>
  <c r="E284" i="16" s="1"/>
  <c r="P236" i="16"/>
  <c r="E236" i="16" s="1"/>
  <c r="N79" i="14"/>
  <c r="N80" i="14"/>
  <c r="O204" i="14"/>
  <c r="O206" i="14"/>
  <c r="P279" i="16" s="1"/>
  <c r="O279" i="16" s="1"/>
  <c r="N279" i="16" s="1"/>
  <c r="M279" i="16" s="1"/>
  <c r="L279" i="16" s="1"/>
  <c r="K279" i="16" s="1"/>
  <c r="J279" i="16" s="1"/>
  <c r="I279" i="16" s="1"/>
  <c r="H279" i="16" s="1"/>
  <c r="G279" i="16" s="1"/>
  <c r="E279" i="16" s="1"/>
  <c r="N95" i="14"/>
  <c r="N96" i="14"/>
  <c r="N106" i="14"/>
  <c r="N107" i="14"/>
  <c r="L73" i="14"/>
  <c r="M91" i="14"/>
  <c r="M92" i="14"/>
  <c r="M83" i="14"/>
  <c r="M84" i="14"/>
  <c r="M76" i="14"/>
  <c r="M75" i="14"/>
  <c r="P321" i="14"/>
  <c r="O322" i="14"/>
  <c r="P322" i="14" s="1"/>
  <c r="P200" i="16"/>
  <c r="E200" i="16" s="1"/>
  <c r="N181" i="14"/>
  <c r="E393" i="16"/>
  <c r="P253" i="16"/>
  <c r="E253" i="16" s="1"/>
  <c r="P267" i="16"/>
  <c r="E267" i="16" s="1"/>
  <c r="P262" i="15"/>
  <c r="E358" i="16"/>
  <c r="S581" i="16" s="1"/>
  <c r="M370" i="2"/>
  <c r="M369" i="2"/>
  <c r="M373" i="2"/>
  <c r="M372" i="2"/>
  <c r="M371" i="2"/>
  <c r="M368" i="2"/>
  <c r="P251" i="16"/>
  <c r="E251" i="16" s="1"/>
  <c r="P399" i="16"/>
  <c r="E399" i="16" s="1"/>
  <c r="M31" i="15"/>
  <c r="N32" i="15"/>
  <c r="N30" i="15" s="1"/>
  <c r="P279" i="15"/>
  <c r="E337" i="16"/>
  <c r="S560" i="16" s="1"/>
  <c r="O165" i="14"/>
  <c r="N1032" i="14"/>
  <c r="O33" i="15"/>
  <c r="P188" i="16"/>
  <c r="E188" i="16" s="1"/>
  <c r="S513" i="16" s="1"/>
  <c r="O176" i="14"/>
  <c r="P383" i="16"/>
  <c r="E383" i="16" s="1"/>
  <c r="O166" i="14"/>
  <c r="O164" i="14"/>
  <c r="P266" i="16"/>
  <c r="E266" i="16" s="1"/>
  <c r="P201" i="16"/>
  <c r="O375" i="14"/>
  <c r="P249" i="16" s="1"/>
  <c r="O249" i="16" s="1"/>
  <c r="N249" i="16" s="1"/>
  <c r="M249" i="16" s="1"/>
  <c r="E249" i="16" s="1"/>
  <c r="P252" i="16"/>
  <c r="E252" i="16" s="1"/>
  <c r="M13" i="2"/>
  <c r="L17" i="2"/>
  <c r="AA7" i="2"/>
  <c r="AB7" i="2" s="1"/>
  <c r="AC7" i="2" s="1"/>
  <c r="AD7" i="2" s="1"/>
  <c r="AE7" i="2" s="1"/>
  <c r="AF7" i="2" s="1"/>
  <c r="AG7" i="2" s="1"/>
  <c r="AH7" i="2" s="1"/>
  <c r="P12" i="2"/>
  <c r="P18" i="2" s="1"/>
  <c r="I18" i="2"/>
  <c r="J12" i="2"/>
  <c r="Q7" i="2"/>
  <c r="G15" i="2"/>
  <c r="H7" i="2"/>
  <c r="J11" i="2"/>
  <c r="O250" i="16"/>
  <c r="N250" i="16" s="1"/>
  <c r="M250" i="16" s="1"/>
  <c r="L250" i="16" s="1"/>
  <c r="K250" i="16" s="1"/>
  <c r="O193" i="14"/>
  <c r="O1168" i="14" s="1"/>
  <c r="M500" i="16"/>
  <c r="L500" i="16" s="1"/>
  <c r="K500" i="16" s="1"/>
  <c r="J500" i="16" s="1"/>
  <c r="I500" i="16" s="1"/>
  <c r="H500" i="16" s="1"/>
  <c r="G500" i="16" s="1"/>
  <c r="F500" i="16" s="1"/>
  <c r="N546" i="16"/>
  <c r="K1098" i="14"/>
  <c r="L1043" i="14"/>
  <c r="J250" i="16"/>
  <c r="I250" i="16" s="1"/>
  <c r="H250" i="16" s="1"/>
  <c r="G250" i="16" s="1"/>
  <c r="L13" i="4"/>
  <c r="L259" i="16"/>
  <c r="J1101" i="14" s="1"/>
  <c r="M259" i="16"/>
  <c r="K1101" i="14" s="1"/>
  <c r="N265" i="15"/>
  <c r="O283" i="15"/>
  <c r="O272" i="15"/>
  <c r="O180" i="14"/>
  <c r="O137" i="14"/>
  <c r="O142" i="14"/>
  <c r="M1161" i="14" l="1"/>
  <c r="P307" i="4"/>
  <c r="N72" i="16"/>
  <c r="N798" i="4"/>
  <c r="O25" i="15"/>
  <c r="N25" i="15" s="1"/>
  <c r="M25" i="15" s="1"/>
  <c r="L25" i="15" s="1"/>
  <c r="K25" i="15" s="1"/>
  <c r="J25" i="15" s="1"/>
  <c r="I25" i="15" s="1"/>
  <c r="H25" i="15" s="1"/>
  <c r="G25" i="15" s="1"/>
  <c r="O149" i="14"/>
  <c r="P278" i="16" s="1"/>
  <c r="P48" i="16"/>
  <c r="E48" i="16" s="1"/>
  <c r="P306" i="4"/>
  <c r="O148" i="14"/>
  <c r="O120" i="14"/>
  <c r="O171" i="14" s="1"/>
  <c r="M88" i="14"/>
  <c r="M87" i="14"/>
  <c r="O177" i="14"/>
  <c r="M96" i="14"/>
  <c r="M95" i="14"/>
  <c r="M80" i="14"/>
  <c r="M79" i="14"/>
  <c r="M106" i="14"/>
  <c r="M107" i="14"/>
  <c r="K73" i="14"/>
  <c r="L91" i="14"/>
  <c r="L92" i="14"/>
  <c r="L76" i="14"/>
  <c r="L83" i="14"/>
  <c r="L84" i="14"/>
  <c r="L75" i="14"/>
  <c r="P15" i="2"/>
  <c r="M1094" i="14"/>
  <c r="L31" i="15"/>
  <c r="M32" i="15"/>
  <c r="M30" i="15" s="1"/>
  <c r="O172" i="14"/>
  <c r="N33" i="15"/>
  <c r="N1093" i="14"/>
  <c r="E201" i="16"/>
  <c r="S526" i="16" s="1"/>
  <c r="N1094" i="14"/>
  <c r="N13" i="2"/>
  <c r="M17" i="2"/>
  <c r="R7" i="2"/>
  <c r="Q12" i="2"/>
  <c r="Q15" i="2" s="1"/>
  <c r="J18" i="2"/>
  <c r="K12" i="2"/>
  <c r="M546" i="16"/>
  <c r="L546" i="16" s="1"/>
  <c r="K546" i="16" s="1"/>
  <c r="J546" i="16" s="1"/>
  <c r="I546" i="16" s="1"/>
  <c r="H546" i="16" s="1"/>
  <c r="G546" i="16" s="1"/>
  <c r="F546" i="16" s="1"/>
  <c r="E546" i="16" s="1"/>
  <c r="H15" i="2"/>
  <c r="I7" i="2"/>
  <c r="K11" i="2"/>
  <c r="N137" i="14"/>
  <c r="N193" i="14"/>
  <c r="N1168" i="14" s="1"/>
  <c r="O181" i="14"/>
  <c r="N177" i="14"/>
  <c r="L1094" i="14"/>
  <c r="E250" i="16"/>
  <c r="E1094" i="14"/>
  <c r="O278" i="16"/>
  <c r="M265" i="15"/>
  <c r="N283" i="15"/>
  <c r="N272" i="15"/>
  <c r="K13" i="4"/>
  <c r="J1098" i="14"/>
  <c r="K1043" i="14"/>
  <c r="L1161" i="14" l="1"/>
  <c r="M798" i="4"/>
  <c r="E72" i="16"/>
  <c r="L79" i="14"/>
  <c r="L80" i="14"/>
  <c r="L95" i="14"/>
  <c r="L96" i="14"/>
  <c r="L87" i="14"/>
  <c r="L88" i="14"/>
  <c r="J73" i="14"/>
  <c r="K92" i="14"/>
  <c r="K91" i="14"/>
  <c r="K84" i="14"/>
  <c r="K76" i="14"/>
  <c r="K83" i="14"/>
  <c r="K75" i="14"/>
  <c r="K1161" i="14" s="1"/>
  <c r="L107" i="14"/>
  <c r="L106" i="14"/>
  <c r="M33" i="15"/>
  <c r="Q18" i="2"/>
  <c r="K31" i="15"/>
  <c r="L32" i="15"/>
  <c r="L30" i="15" s="1"/>
  <c r="S7" i="2"/>
  <c r="N17" i="2"/>
  <c r="O17" i="2"/>
  <c r="R12" i="2"/>
  <c r="R15" i="2" s="1"/>
  <c r="J7" i="2"/>
  <c r="I15" i="2"/>
  <c r="K18" i="2"/>
  <c r="L12" i="2"/>
  <c r="L11" i="2"/>
  <c r="L265" i="15"/>
  <c r="M283" i="15"/>
  <c r="M272" i="15"/>
  <c r="K1094" i="14"/>
  <c r="M137" i="14"/>
  <c r="N171" i="14"/>
  <c r="M193" i="14"/>
  <c r="M1168" i="14" s="1"/>
  <c r="I1098" i="14"/>
  <c r="J1043" i="14"/>
  <c r="J13" i="4"/>
  <c r="N278" i="16"/>
  <c r="O173" i="14"/>
  <c r="N173" i="14" s="1"/>
  <c r="K80" i="14" l="1"/>
  <c r="K79" i="14"/>
  <c r="K96" i="14"/>
  <c r="K95" i="14"/>
  <c r="K88" i="14"/>
  <c r="K87" i="14"/>
  <c r="K106" i="14"/>
  <c r="K107" i="14"/>
  <c r="I73" i="14"/>
  <c r="J91" i="14"/>
  <c r="J92" i="14"/>
  <c r="J83" i="14"/>
  <c r="J84" i="14"/>
  <c r="J76" i="14"/>
  <c r="J75" i="14"/>
  <c r="R18" i="2"/>
  <c r="L33" i="15"/>
  <c r="J31" i="15"/>
  <c r="K32" i="15"/>
  <c r="K30" i="15" s="1"/>
  <c r="S12" i="2"/>
  <c r="S15" i="2" s="1"/>
  <c r="T7" i="2"/>
  <c r="L18" i="2"/>
  <c r="M12" i="2"/>
  <c r="K7" i="2"/>
  <c r="J15" i="2"/>
  <c r="M11" i="2"/>
  <c r="I13" i="4"/>
  <c r="L137" i="14"/>
  <c r="M171" i="14"/>
  <c r="L193" i="14"/>
  <c r="L1168" i="14" s="1"/>
  <c r="M278" i="16"/>
  <c r="K265" i="15"/>
  <c r="L283" i="15"/>
  <c r="L272" i="15"/>
  <c r="H1098" i="14"/>
  <c r="I1043" i="14"/>
  <c r="J1094" i="14"/>
  <c r="J1161" i="14" l="1"/>
  <c r="J87" i="14"/>
  <c r="J88" i="14"/>
  <c r="J79" i="14"/>
  <c r="J80" i="14"/>
  <c r="J95" i="14"/>
  <c r="J96" i="14"/>
  <c r="J107" i="14"/>
  <c r="H73" i="14"/>
  <c r="I91" i="14"/>
  <c r="I92" i="14"/>
  <c r="I83" i="14"/>
  <c r="I84" i="14"/>
  <c r="I76" i="14"/>
  <c r="I75" i="14"/>
  <c r="J106" i="14"/>
  <c r="S18" i="2"/>
  <c r="K33" i="15"/>
  <c r="I31" i="15"/>
  <c r="J32" i="15"/>
  <c r="J30" i="15" s="1"/>
  <c r="U7" i="2"/>
  <c r="T12" i="2"/>
  <c r="T15" i="2" s="1"/>
  <c r="L7" i="2"/>
  <c r="K15" i="2"/>
  <c r="M18" i="2"/>
  <c r="N12" i="2"/>
  <c r="N11" i="2"/>
  <c r="L278" i="16"/>
  <c r="G1098" i="14"/>
  <c r="H1043" i="14"/>
  <c r="H13" i="4"/>
  <c r="I1094" i="14"/>
  <c r="K137" i="14"/>
  <c r="L171" i="14"/>
  <c r="J265" i="15"/>
  <c r="K283" i="15"/>
  <c r="K272" i="15"/>
  <c r="K193" i="14"/>
  <c r="K1168" i="14" s="1"/>
  <c r="I1161" i="14" l="1"/>
  <c r="I96" i="14"/>
  <c r="I95" i="14"/>
  <c r="I88" i="14"/>
  <c r="I87" i="14"/>
  <c r="I80" i="14"/>
  <c r="I79" i="14"/>
  <c r="G73" i="14"/>
  <c r="H91" i="14"/>
  <c r="H92" i="14"/>
  <c r="H76" i="14"/>
  <c r="H83" i="14"/>
  <c r="H84" i="14"/>
  <c r="H75" i="14"/>
  <c r="I106" i="14"/>
  <c r="I107" i="14"/>
  <c r="J33" i="15"/>
  <c r="H31" i="15"/>
  <c r="I32" i="15"/>
  <c r="I30" i="15" s="1"/>
  <c r="T18" i="2"/>
  <c r="U12" i="2"/>
  <c r="U15" i="2" s="1"/>
  <c r="V7" i="2"/>
  <c r="N18" i="2"/>
  <c r="O18" i="2"/>
  <c r="M7" i="2"/>
  <c r="L15" i="2"/>
  <c r="K278" i="16"/>
  <c r="H1094" i="14"/>
  <c r="G13" i="4"/>
  <c r="J137" i="14"/>
  <c r="K171" i="14"/>
  <c r="J193" i="14"/>
  <c r="J1168" i="14" s="1"/>
  <c r="I265" i="15"/>
  <c r="J283" i="15"/>
  <c r="J272" i="15"/>
  <c r="F1098" i="14"/>
  <c r="G1043" i="14"/>
  <c r="H1161" i="14" l="1"/>
  <c r="H79" i="14"/>
  <c r="H80" i="14"/>
  <c r="H95" i="14"/>
  <c r="H96" i="14"/>
  <c r="H87" i="14"/>
  <c r="H88" i="14"/>
  <c r="H107" i="14"/>
  <c r="H106" i="14"/>
  <c r="F73" i="14"/>
  <c r="G92" i="14"/>
  <c r="G91" i="14"/>
  <c r="G84" i="14"/>
  <c r="G83" i="14"/>
  <c r="U18" i="2"/>
  <c r="I33" i="15"/>
  <c r="G31" i="15"/>
  <c r="G32" i="15" s="1"/>
  <c r="H32" i="15"/>
  <c r="H30" i="15" s="1"/>
  <c r="W7" i="2"/>
  <c r="V12" i="2"/>
  <c r="V18" i="2" s="1"/>
  <c r="N7" i="2"/>
  <c r="N15" i="2" s="1"/>
  <c r="M15" i="2"/>
  <c r="H265" i="15"/>
  <c r="I283" i="15"/>
  <c r="I272" i="15"/>
  <c r="F13" i="4"/>
  <c r="J278" i="16"/>
  <c r="G1094" i="14"/>
  <c r="E1098" i="14"/>
  <c r="F1043" i="14"/>
  <c r="I193" i="14"/>
  <c r="I1168" i="14" s="1"/>
  <c r="I137" i="14"/>
  <c r="J171" i="14"/>
  <c r="G88" i="14" l="1"/>
  <c r="G87" i="14"/>
  <c r="G96" i="14"/>
  <c r="G95" i="14"/>
  <c r="E73" i="14"/>
  <c r="F91" i="14"/>
  <c r="F92" i="14"/>
  <c r="F83" i="14"/>
  <c r="F84" i="14"/>
  <c r="V15" i="2"/>
  <c r="G30" i="15"/>
  <c r="G33" i="15" s="1"/>
  <c r="H33" i="15"/>
  <c r="W12" i="2"/>
  <c r="W15" i="2" s="1"/>
  <c r="X7" i="2"/>
  <c r="G265" i="15"/>
  <c r="H283" i="15"/>
  <c r="H272" i="15"/>
  <c r="H193" i="14"/>
  <c r="H1168" i="14" s="1"/>
  <c r="F1094" i="14"/>
  <c r="E245" i="16"/>
  <c r="I278" i="16"/>
  <c r="D1098" i="14"/>
  <c r="E1097" i="14"/>
  <c r="E1043" i="14"/>
  <c r="H137" i="14"/>
  <c r="I171" i="14"/>
  <c r="O5" i="2"/>
  <c r="E5" i="2"/>
  <c r="E16" i="2" s="1"/>
  <c r="F87" i="14" l="1"/>
  <c r="P87" i="14" s="1"/>
  <c r="F88" i="14"/>
  <c r="P88" i="14" s="1"/>
  <c r="F95" i="14"/>
  <c r="P95" i="14" s="1"/>
  <c r="F96" i="14"/>
  <c r="P96" i="14" s="1"/>
  <c r="E91" i="14"/>
  <c r="E92" i="14"/>
  <c r="E83" i="14"/>
  <c r="E84" i="14"/>
  <c r="E75" i="14"/>
  <c r="E76" i="14"/>
  <c r="W18" i="2"/>
  <c r="X12" i="2"/>
  <c r="X18" i="2" s="1"/>
  <c r="Y5" i="2"/>
  <c r="O16" i="2"/>
  <c r="F5" i="2"/>
  <c r="F16" i="2" s="1"/>
  <c r="H278" i="16"/>
  <c r="E6" i="2"/>
  <c r="E14" i="2" s="1"/>
  <c r="N1097" i="14"/>
  <c r="M1097" i="14" s="1"/>
  <c r="L1097" i="14" s="1"/>
  <c r="K1097" i="14" s="1"/>
  <c r="J1097" i="14" s="1"/>
  <c r="I1097" i="14" s="1"/>
  <c r="H1097" i="14" s="1"/>
  <c r="G1097" i="14" s="1"/>
  <c r="F1097" i="14" s="1"/>
  <c r="D1097" i="14"/>
  <c r="D1043" i="14"/>
  <c r="O6" i="2"/>
  <c r="F265" i="15"/>
  <c r="G283" i="15"/>
  <c r="G272" i="15"/>
  <c r="G137" i="14"/>
  <c r="H171" i="14"/>
  <c r="G193" i="14"/>
  <c r="G1168" i="14" s="1"/>
  <c r="F3" i="2"/>
  <c r="F165" i="37"/>
  <c r="E150" i="37"/>
  <c r="E149" i="37"/>
  <c r="E147" i="37"/>
  <c r="E146" i="37"/>
  <c r="E145" i="37"/>
  <c r="E144" i="37"/>
  <c r="E143" i="37"/>
  <c r="E142" i="37"/>
  <c r="E141" i="37"/>
  <c r="E139" i="37"/>
  <c r="E138" i="37"/>
  <c r="E137" i="37"/>
  <c r="E136" i="37"/>
  <c r="E135" i="37"/>
  <c r="E134" i="37"/>
  <c r="E133" i="37"/>
  <c r="E132" i="37"/>
  <c r="E131" i="37"/>
  <c r="E130" i="37"/>
  <c r="E129" i="37"/>
  <c r="E128" i="37"/>
  <c r="E126" i="37"/>
  <c r="E125" i="37"/>
  <c r="E124" i="37"/>
  <c r="E123" i="37"/>
  <c r="E122" i="37"/>
  <c r="E121" i="37"/>
  <c r="E120" i="37"/>
  <c r="E119" i="37"/>
  <c r="E112" i="37"/>
  <c r="E111" i="37"/>
  <c r="E109" i="37"/>
  <c r="E108" i="37"/>
  <c r="E107" i="37"/>
  <c r="E106" i="37"/>
  <c r="E105" i="37"/>
  <c r="E104" i="37"/>
  <c r="E103" i="37"/>
  <c r="E102" i="37"/>
  <c r="E100" i="37"/>
  <c r="E99" i="37"/>
  <c r="E98" i="37"/>
  <c r="E97" i="37"/>
  <c r="E96" i="37"/>
  <c r="E95" i="37"/>
  <c r="E94" i="37"/>
  <c r="E93" i="37"/>
  <c r="E92" i="37"/>
  <c r="E91" i="37"/>
  <c r="E90" i="37"/>
  <c r="E89" i="37"/>
  <c r="E88" i="37"/>
  <c r="E87" i="37"/>
  <c r="E86" i="37"/>
  <c r="E85" i="37"/>
  <c r="E84" i="37"/>
  <c r="E82" i="37"/>
  <c r="E81" i="37"/>
  <c r="E80" i="37"/>
  <c r="E79" i="37"/>
  <c r="E78" i="37"/>
  <c r="E77" i="37"/>
  <c r="E76" i="37"/>
  <c r="E75" i="37"/>
  <c r="E74" i="37"/>
  <c r="E73" i="37"/>
  <c r="E72" i="37"/>
  <c r="E71" i="37"/>
  <c r="G70" i="37"/>
  <c r="E70" i="37"/>
  <c r="E63" i="37"/>
  <c r="E62" i="37"/>
  <c r="E61" i="37"/>
  <c r="E60" i="37"/>
  <c r="E58" i="37"/>
  <c r="E57" i="37"/>
  <c r="E56" i="37"/>
  <c r="E55" i="37"/>
  <c r="E54" i="37"/>
  <c r="E53" i="37"/>
  <c r="E52" i="37"/>
  <c r="E51" i="37"/>
  <c r="E50" i="37"/>
  <c r="E49" i="37"/>
  <c r="E48" i="37"/>
  <c r="E47" i="37"/>
  <c r="E46" i="37"/>
  <c r="E45" i="37"/>
  <c r="E44" i="37"/>
  <c r="E43" i="37"/>
  <c r="E42" i="37"/>
  <c r="E41" i="37"/>
  <c r="E40" i="37"/>
  <c r="E39" i="37"/>
  <c r="E37" i="37"/>
  <c r="E36" i="37"/>
  <c r="E35" i="37"/>
  <c r="E34" i="37"/>
  <c r="E33" i="37"/>
  <c r="E32" i="37"/>
  <c r="E31" i="37"/>
  <c r="E30" i="37"/>
  <c r="E29" i="37"/>
  <c r="E28" i="37"/>
  <c r="E27" i="37"/>
  <c r="E25" i="37"/>
  <c r="E24" i="37"/>
  <c r="E23" i="37"/>
  <c r="E22" i="37"/>
  <c r="E21" i="37"/>
  <c r="E20" i="37"/>
  <c r="E19" i="37"/>
  <c r="E18" i="37"/>
  <c r="E17" i="37"/>
  <c r="K201" i="41"/>
  <c r="J201" i="41"/>
  <c r="I201" i="41"/>
  <c r="G201" i="41"/>
  <c r="F201" i="41"/>
  <c r="K200" i="41"/>
  <c r="J200" i="41"/>
  <c r="I200" i="41"/>
  <c r="G200" i="41"/>
  <c r="F200" i="41"/>
  <c r="K199" i="41"/>
  <c r="J199" i="41"/>
  <c r="I199" i="41"/>
  <c r="G199" i="41"/>
  <c r="F199" i="41"/>
  <c r="K198" i="41"/>
  <c r="J198" i="41"/>
  <c r="I198" i="41"/>
  <c r="G198" i="41"/>
  <c r="F198" i="41"/>
  <c r="K195" i="41"/>
  <c r="J195" i="41"/>
  <c r="I195" i="41"/>
  <c r="G195" i="41"/>
  <c r="F195" i="41"/>
  <c r="K194" i="41"/>
  <c r="J194" i="41"/>
  <c r="I194" i="41"/>
  <c r="G194" i="41"/>
  <c r="F194" i="41"/>
  <c r="K193" i="41"/>
  <c r="J193" i="41"/>
  <c r="I193" i="41"/>
  <c r="G193" i="41"/>
  <c r="F193" i="41"/>
  <c r="K192" i="41"/>
  <c r="J192" i="41"/>
  <c r="I192" i="41"/>
  <c r="G192" i="41"/>
  <c r="F192" i="41"/>
  <c r="K189" i="41"/>
  <c r="J189" i="41"/>
  <c r="I189" i="41"/>
  <c r="G189" i="41"/>
  <c r="F189" i="41"/>
  <c r="K188" i="41"/>
  <c r="J188" i="41"/>
  <c r="I188" i="41"/>
  <c r="G188" i="41"/>
  <c r="F188" i="41"/>
  <c r="K187" i="41"/>
  <c r="J187" i="41"/>
  <c r="I187" i="41"/>
  <c r="G187" i="41"/>
  <c r="F187" i="41"/>
  <c r="K186" i="41"/>
  <c r="J186" i="41"/>
  <c r="I186" i="41"/>
  <c r="G186" i="41"/>
  <c r="F186" i="41"/>
  <c r="K184" i="41"/>
  <c r="J184" i="41"/>
  <c r="I184" i="41"/>
  <c r="G184" i="41"/>
  <c r="F184" i="41"/>
  <c r="K183" i="41"/>
  <c r="J183" i="41"/>
  <c r="I183" i="41"/>
  <c r="G183" i="41"/>
  <c r="F183" i="41"/>
  <c r="K182" i="41"/>
  <c r="J182" i="41"/>
  <c r="I182" i="41"/>
  <c r="G182" i="41"/>
  <c r="F182" i="41"/>
  <c r="K180" i="41"/>
  <c r="J180" i="41"/>
  <c r="I180" i="41"/>
  <c r="G180" i="41"/>
  <c r="F180" i="41"/>
  <c r="K179" i="41"/>
  <c r="J179" i="41"/>
  <c r="I179" i="41"/>
  <c r="G179" i="41"/>
  <c r="F179" i="41"/>
  <c r="K178" i="41"/>
  <c r="J178" i="41"/>
  <c r="I178" i="41"/>
  <c r="G178" i="41"/>
  <c r="F178" i="41"/>
  <c r="K176" i="41"/>
  <c r="J176" i="41"/>
  <c r="I176" i="41"/>
  <c r="G176" i="41"/>
  <c r="F176" i="41"/>
  <c r="E1161" i="14" l="1"/>
  <c r="E107" i="14"/>
  <c r="E78" i="14"/>
  <c r="E86" i="14" s="1"/>
  <c r="E94" i="14"/>
  <c r="K421" i="14"/>
  <c r="E421" i="14"/>
  <c r="M421" i="14"/>
  <c r="J421" i="14"/>
  <c r="O421" i="14"/>
  <c r="L421" i="14"/>
  <c r="I421" i="14"/>
  <c r="G421" i="14"/>
  <c r="H421" i="14"/>
  <c r="N421" i="14"/>
  <c r="F421" i="14"/>
  <c r="E106" i="14"/>
  <c r="E77" i="14"/>
  <c r="E93" i="14"/>
  <c r="M420" i="14"/>
  <c r="K420" i="14"/>
  <c r="F420" i="14"/>
  <c r="E420" i="14"/>
  <c r="N420" i="14"/>
  <c r="J420" i="14"/>
  <c r="O420" i="14"/>
  <c r="G420" i="14"/>
  <c r="I420" i="14"/>
  <c r="L420" i="14"/>
  <c r="H420" i="14"/>
  <c r="X15" i="2"/>
  <c r="K190" i="41"/>
  <c r="K196" i="41"/>
  <c r="I190" i="41"/>
  <c r="I196" i="41"/>
  <c r="I202" i="41"/>
  <c r="F190" i="41"/>
  <c r="F196" i="41"/>
  <c r="F202" i="41"/>
  <c r="Y12" i="2"/>
  <c r="Y15" i="2" s="1"/>
  <c r="G196" i="41"/>
  <c r="J196" i="41"/>
  <c r="F6" i="2"/>
  <c r="F14" i="2" s="1"/>
  <c r="O14" i="2"/>
  <c r="G190" i="41"/>
  <c r="G202" i="41"/>
  <c r="J190" i="41"/>
  <c r="J202" i="41"/>
  <c r="G5" i="2"/>
  <c r="K202" i="41"/>
  <c r="P5" i="2"/>
  <c r="Q5" i="2" s="1"/>
  <c r="R5" i="2" s="1"/>
  <c r="S5" i="2" s="1"/>
  <c r="T5" i="2" s="1"/>
  <c r="U5" i="2" s="1"/>
  <c r="V5" i="2" s="1"/>
  <c r="W5" i="2" s="1"/>
  <c r="X5" i="2" s="1"/>
  <c r="F137" i="14"/>
  <c r="G171" i="14"/>
  <c r="F283" i="15"/>
  <c r="F272" i="15"/>
  <c r="Y6" i="2"/>
  <c r="F193" i="14"/>
  <c r="F1168" i="14" s="1"/>
  <c r="AI5" i="2"/>
  <c r="G278" i="16"/>
  <c r="D25" i="41"/>
  <c r="D24" i="41"/>
  <c r="Y18" i="2" l="1"/>
  <c r="D988" i="14"/>
  <c r="Z12" i="2"/>
  <c r="Z15" i="2" s="1"/>
  <c r="G6" i="2"/>
  <c r="G14" i="2" s="1"/>
  <c r="Z5" i="2"/>
  <c r="AA5" i="2" s="1"/>
  <c r="AB5" i="2" s="1"/>
  <c r="AC5" i="2" s="1"/>
  <c r="AD5" i="2" s="1"/>
  <c r="AE5" i="2" s="1"/>
  <c r="AF5" i="2" s="1"/>
  <c r="AG5" i="2" s="1"/>
  <c r="AH5" i="2" s="1"/>
  <c r="P6" i="2"/>
  <c r="G16" i="2"/>
  <c r="H5" i="2"/>
  <c r="E137" i="14"/>
  <c r="F171" i="14"/>
  <c r="E193" i="14"/>
  <c r="E1168" i="14" s="1"/>
  <c r="E278" i="16"/>
  <c r="AI6" i="2"/>
  <c r="M233" i="21"/>
  <c r="J232" i="21"/>
  <c r="N227" i="21"/>
  <c r="I226" i="21"/>
  <c r="M218" i="21"/>
  <c r="J217" i="21"/>
  <c r="M205" i="21"/>
  <c r="J204" i="21"/>
  <c r="N199" i="21"/>
  <c r="E871" i="14" s="1"/>
  <c r="E859" i="14" s="1"/>
  <c r="I198" i="21"/>
  <c r="K199" i="21" s="1"/>
  <c r="I192" i="21"/>
  <c r="L192" i="21" s="1"/>
  <c r="E848" i="14" l="1"/>
  <c r="E860" i="14"/>
  <c r="F860" i="14"/>
  <c r="H860" i="14"/>
  <c r="I860" i="14"/>
  <c r="G860" i="14"/>
  <c r="J860" i="14"/>
  <c r="K860" i="14"/>
  <c r="L860" i="14"/>
  <c r="M860" i="14"/>
  <c r="O860" i="14"/>
  <c r="N860" i="14"/>
  <c r="E883" i="14"/>
  <c r="E884" i="14" s="1"/>
  <c r="D769" i="16" s="1"/>
  <c r="W58" i="21" s="1"/>
  <c r="E891" i="14"/>
  <c r="Z18" i="2"/>
  <c r="E870" i="14"/>
  <c r="F870" i="14" s="1"/>
  <c r="F871" i="14" s="1"/>
  <c r="H6" i="2"/>
  <c r="I6" i="2" s="1"/>
  <c r="AA12" i="2"/>
  <c r="AB12" i="2" s="1"/>
  <c r="AC12" i="2" s="1"/>
  <c r="AD12" i="2" s="1"/>
  <c r="AE12" i="2" s="1"/>
  <c r="AF12" i="2" s="1"/>
  <c r="AG12" i="2" s="1"/>
  <c r="AH12" i="2" s="1"/>
  <c r="AI12" i="2" s="1"/>
  <c r="P11" i="2"/>
  <c r="P13" i="2" s="1"/>
  <c r="Q6" i="2"/>
  <c r="Z6" i="2"/>
  <c r="AA6" i="2" s="1"/>
  <c r="AB6" i="2" s="1"/>
  <c r="AC6" i="2" s="1"/>
  <c r="AD6" i="2" s="1"/>
  <c r="AE6" i="2" s="1"/>
  <c r="AF6" i="2" s="1"/>
  <c r="AG6" i="2" s="1"/>
  <c r="AH6" i="2" s="1"/>
  <c r="I5" i="2"/>
  <c r="H16" i="2"/>
  <c r="J192" i="21"/>
  <c r="E202" i="14"/>
  <c r="D186" i="14"/>
  <c r="K227" i="21"/>
  <c r="F190" i="15"/>
  <c r="F189" i="15"/>
  <c r="D133" i="14"/>
  <c r="E171" i="14"/>
  <c r="F883" i="14" l="1"/>
  <c r="F884" i="14" s="1"/>
  <c r="E769" i="16" s="1"/>
  <c r="X58" i="21" s="1"/>
  <c r="H14" i="2"/>
  <c r="P14" i="2"/>
  <c r="J6" i="2"/>
  <c r="I14" i="2"/>
  <c r="J5" i="2"/>
  <c r="I16" i="2"/>
  <c r="Q11" i="2"/>
  <c r="R6" i="2"/>
  <c r="P17" i="2"/>
  <c r="P16" i="2"/>
  <c r="G189" i="15"/>
  <c r="G190" i="15" s="1"/>
  <c r="F182" i="15"/>
  <c r="E191" i="15"/>
  <c r="F191" i="15" s="1"/>
  <c r="E192" i="15"/>
  <c r="G883" i="14" l="1"/>
  <c r="H883" i="14" s="1"/>
  <c r="J183" i="15"/>
  <c r="J177" i="15" s="1"/>
  <c r="N183" i="15"/>
  <c r="N177" i="15" s="1"/>
  <c r="K183" i="15"/>
  <c r="K177" i="15" s="1"/>
  <c r="O183" i="15"/>
  <c r="O177" i="15" s="1"/>
  <c r="G183" i="15"/>
  <c r="G177" i="15" s="1"/>
  <c r="H183" i="15"/>
  <c r="H177" i="15" s="1"/>
  <c r="L183" i="15"/>
  <c r="L177" i="15" s="1"/>
  <c r="P183" i="15"/>
  <c r="I183" i="15"/>
  <c r="I177" i="15" s="1"/>
  <c r="M183" i="15"/>
  <c r="M177" i="15" s="1"/>
  <c r="F183" i="15"/>
  <c r="S6" i="2"/>
  <c r="R11" i="2"/>
  <c r="K5" i="2"/>
  <c r="J16" i="2"/>
  <c r="K6" i="2"/>
  <c r="J14" i="2"/>
  <c r="Q13" i="2"/>
  <c r="Q14" i="2"/>
  <c r="H189" i="15"/>
  <c r="H190" i="15" s="1"/>
  <c r="F176" i="15"/>
  <c r="I185" i="21"/>
  <c r="N185" i="21" s="1"/>
  <c r="G884" i="14" l="1"/>
  <c r="F769" i="16" s="1"/>
  <c r="Y58" i="21" s="1"/>
  <c r="F178" i="15"/>
  <c r="T6" i="2"/>
  <c r="S11" i="2"/>
  <c r="L6" i="2"/>
  <c r="K14" i="2"/>
  <c r="L5" i="2"/>
  <c r="K16" i="2"/>
  <c r="Q16" i="2"/>
  <c r="Q17" i="2"/>
  <c r="R13" i="2"/>
  <c r="R14" i="2"/>
  <c r="J185" i="21"/>
  <c r="L185" i="21"/>
  <c r="F177" i="15"/>
  <c r="I883" i="14"/>
  <c r="P177" i="15"/>
  <c r="I189" i="15"/>
  <c r="I190" i="15" s="1"/>
  <c r="F772" i="16"/>
  <c r="E772" i="16" s="1"/>
  <c r="D772" i="16" s="1"/>
  <c r="I183" i="21"/>
  <c r="J174" i="21"/>
  <c r="M175" i="21" s="1"/>
  <c r="J168" i="21"/>
  <c r="M169" i="21" s="1"/>
  <c r="J162" i="21"/>
  <c r="L163" i="21" s="1"/>
  <c r="M157" i="21"/>
  <c r="J156" i="21"/>
  <c r="H884" i="14" l="1"/>
  <c r="G769" i="16" s="1"/>
  <c r="Z58" i="21" s="1"/>
  <c r="T11" i="2"/>
  <c r="U6" i="2"/>
  <c r="M5" i="2"/>
  <c r="L16" i="2"/>
  <c r="M6" i="2"/>
  <c r="L14" i="2"/>
  <c r="S13" i="2"/>
  <c r="S14" i="2"/>
  <c r="R16" i="2"/>
  <c r="R17" i="2"/>
  <c r="F559" i="4"/>
  <c r="D485" i="4"/>
  <c r="O163" i="21"/>
  <c r="N163" i="21"/>
  <c r="L184" i="21"/>
  <c r="J184" i="21"/>
  <c r="J883" i="14"/>
  <c r="J189" i="15"/>
  <c r="J190" i="15" s="1"/>
  <c r="G772" i="16"/>
  <c r="M163" i="21"/>
  <c r="N184" i="21"/>
  <c r="G949" i="14" s="1"/>
  <c r="K150" i="21"/>
  <c r="E733" i="4" s="1"/>
  <c r="F733" i="4" s="1"/>
  <c r="G733" i="4" s="1"/>
  <c r="H733" i="4" s="1"/>
  <c r="I733" i="4" s="1"/>
  <c r="J733" i="4" s="1"/>
  <c r="K733" i="4" s="1"/>
  <c r="L733" i="4" s="1"/>
  <c r="M733" i="4" s="1"/>
  <c r="N733" i="4" s="1"/>
  <c r="O733" i="4" s="1"/>
  <c r="O139" i="21"/>
  <c r="J139" i="21"/>
  <c r="J135" i="21"/>
  <c r="I884" i="14" l="1"/>
  <c r="H769" i="16" s="1"/>
  <c r="AA58" i="21" s="1"/>
  <c r="G947" i="14"/>
  <c r="H947" i="14"/>
  <c r="I947" i="14"/>
  <c r="J947" i="14"/>
  <c r="K947" i="14"/>
  <c r="L947" i="14"/>
  <c r="M947" i="14"/>
  <c r="N947" i="14"/>
  <c r="O947" i="14"/>
  <c r="G951" i="14"/>
  <c r="H951" i="14"/>
  <c r="I951" i="14"/>
  <c r="J951" i="14"/>
  <c r="K951" i="14"/>
  <c r="L951" i="14"/>
  <c r="M951" i="14"/>
  <c r="N951" i="14"/>
  <c r="O951" i="14"/>
  <c r="V6" i="2"/>
  <c r="U11" i="2"/>
  <c r="N6" i="2"/>
  <c r="N14" i="2" s="1"/>
  <c r="M14" i="2"/>
  <c r="N5" i="2"/>
  <c r="N16" i="2" s="1"/>
  <c r="M16" i="2"/>
  <c r="T13" i="2"/>
  <c r="T14" i="2"/>
  <c r="S16" i="2"/>
  <c r="S17" i="2"/>
  <c r="K189" i="15"/>
  <c r="K190" i="15" s="1"/>
  <c r="H772" i="16"/>
  <c r="K883" i="14"/>
  <c r="D760" i="16"/>
  <c r="F734" i="4"/>
  <c r="F560" i="4"/>
  <c r="F951" i="14"/>
  <c r="F949" i="14"/>
  <c r="H949" i="14"/>
  <c r="I949" i="14"/>
  <c r="J949" i="14"/>
  <c r="H133" i="21"/>
  <c r="H132" i="21"/>
  <c r="H128" i="21"/>
  <c r="J884" i="14" l="1"/>
  <c r="I769" i="16" s="1"/>
  <c r="AB58" i="21" s="1"/>
  <c r="G734" i="4"/>
  <c r="V11" i="2"/>
  <c r="V14" i="2" s="1"/>
  <c r="W6" i="2"/>
  <c r="U13" i="2"/>
  <c r="U14" i="2"/>
  <c r="T17" i="2"/>
  <c r="T16" i="2"/>
  <c r="L189" i="15"/>
  <c r="L190" i="15" s="1"/>
  <c r="I772" i="16"/>
  <c r="E949" i="14"/>
  <c r="E950" i="14" s="1"/>
  <c r="O949" i="14" s="1"/>
  <c r="E560" i="4"/>
  <c r="F563" i="4"/>
  <c r="G560" i="4"/>
  <c r="H560" i="4" s="1"/>
  <c r="E951" i="14"/>
  <c r="E952" i="14" s="1"/>
  <c r="L883" i="14"/>
  <c r="F947" i="14"/>
  <c r="E113" i="21"/>
  <c r="K884" i="14" l="1"/>
  <c r="J769" i="16" s="1"/>
  <c r="AC58" i="21" s="1"/>
  <c r="H734" i="4"/>
  <c r="F950" i="14"/>
  <c r="G950" i="14" s="1"/>
  <c r="H950" i="14" s="1"/>
  <c r="I950" i="14" s="1"/>
  <c r="J950" i="14" s="1"/>
  <c r="F952" i="14"/>
  <c r="G952" i="14" s="1"/>
  <c r="H952" i="14" s="1"/>
  <c r="I952" i="14" s="1"/>
  <c r="J952" i="14" s="1"/>
  <c r="K952" i="14" s="1"/>
  <c r="L952" i="14" s="1"/>
  <c r="M952" i="14" s="1"/>
  <c r="N952" i="14" s="1"/>
  <c r="O952" i="14" s="1"/>
  <c r="X6" i="2"/>
  <c r="W11" i="2"/>
  <c r="U16" i="2"/>
  <c r="U17" i="2"/>
  <c r="E563" i="4"/>
  <c r="M883" i="14"/>
  <c r="M189" i="15"/>
  <c r="M190" i="15" s="1"/>
  <c r="J772" i="16"/>
  <c r="N949" i="14"/>
  <c r="E947" i="14"/>
  <c r="L884" i="14" l="1"/>
  <c r="K769" i="16" s="1"/>
  <c r="AD58" i="21" s="1"/>
  <c r="I734" i="4"/>
  <c r="X11" i="2"/>
  <c r="W13" i="2"/>
  <c r="W14" i="2"/>
  <c r="M949" i="14"/>
  <c r="N189" i="15"/>
  <c r="N190" i="15" s="1"/>
  <c r="K772" i="16"/>
  <c r="N883" i="14"/>
  <c r="E948" i="14"/>
  <c r="D767" i="16" s="1"/>
  <c r="M884" i="14" l="1"/>
  <c r="L769" i="16" s="1"/>
  <c r="AE58" i="21" s="1"/>
  <c r="J734" i="4"/>
  <c r="F948" i="14"/>
  <c r="Y11" i="2"/>
  <c r="V13" i="2"/>
  <c r="W16" i="2"/>
  <c r="L949" i="14"/>
  <c r="O883" i="14"/>
  <c r="O189" i="15"/>
  <c r="O190" i="15" s="1"/>
  <c r="L772" i="16"/>
  <c r="N884" i="14" l="1"/>
  <c r="M769" i="16" s="1"/>
  <c r="AF58" i="21" s="1"/>
  <c r="K734" i="4"/>
  <c r="G948" i="14"/>
  <c r="E767" i="16"/>
  <c r="Z11" i="2"/>
  <c r="V16" i="2"/>
  <c r="V17" i="2"/>
  <c r="W17" i="2"/>
  <c r="K949" i="14"/>
  <c r="K950" i="14" s="1"/>
  <c r="L950" i="14" s="1"/>
  <c r="M950" i="14" s="1"/>
  <c r="N950" i="14" s="1"/>
  <c r="O950" i="14" s="1"/>
  <c r="P189" i="15"/>
  <c r="P190" i="15" s="1"/>
  <c r="M772" i="16"/>
  <c r="O884" i="14" l="1"/>
  <c r="N769" i="16" s="1"/>
  <c r="AG58" i="21" s="1"/>
  <c r="L734" i="4"/>
  <c r="H948" i="14"/>
  <c r="F767" i="16"/>
  <c r="AA11" i="2"/>
  <c r="AB11" i="2" s="1"/>
  <c r="AC11" i="2" s="1"/>
  <c r="AD11" i="2" s="1"/>
  <c r="AE11" i="2" s="1"/>
  <c r="AF11" i="2" s="1"/>
  <c r="AG11" i="2" s="1"/>
  <c r="AH11" i="2" s="1"/>
  <c r="AI11" i="2" s="1"/>
  <c r="N772" i="16"/>
  <c r="I948" i="14" l="1"/>
  <c r="M734" i="4"/>
  <c r="O104" i="21"/>
  <c r="N734" i="4" l="1"/>
  <c r="J948" i="14"/>
  <c r="K948" i="14" l="1"/>
  <c r="I767" i="16"/>
  <c r="H767" i="16" s="1"/>
  <c r="G767" i="16" s="1"/>
  <c r="O734" i="4"/>
  <c r="N92" i="21"/>
  <c r="M92" i="21"/>
  <c r="L92" i="21"/>
  <c r="K92" i="21"/>
  <c r="J92" i="21"/>
  <c r="I92" i="21"/>
  <c r="H92" i="21"/>
  <c r="G92" i="21"/>
  <c r="F92" i="21"/>
  <c r="E92" i="21"/>
  <c r="J767" i="16" l="1"/>
  <c r="L948" i="14"/>
  <c r="H907" i="16"/>
  <c r="H827" i="16"/>
  <c r="E907" i="16"/>
  <c r="E827" i="16"/>
  <c r="I907" i="16"/>
  <c r="I827" i="16"/>
  <c r="M907" i="16"/>
  <c r="M827" i="16"/>
  <c r="D907" i="16"/>
  <c r="D827" i="16"/>
  <c r="G907" i="16"/>
  <c r="G827" i="16"/>
  <c r="K907" i="16"/>
  <c r="K827" i="16"/>
  <c r="L907" i="16"/>
  <c r="L827" i="16"/>
  <c r="F907" i="16"/>
  <c r="F827" i="16"/>
  <c r="J907" i="16"/>
  <c r="J827" i="16"/>
  <c r="O92" i="21"/>
  <c r="K767" i="16" l="1"/>
  <c r="M948" i="14"/>
  <c r="X68" i="21"/>
  <c r="Y68" i="21" s="1"/>
  <c r="L767" i="16" l="1"/>
  <c r="N948" i="14"/>
  <c r="E68" i="21"/>
  <c r="F214" i="21" s="1"/>
  <c r="M767" i="16" l="1"/>
  <c r="O948" i="14"/>
  <c r="F68" i="21"/>
  <c r="F186" i="21"/>
  <c r="F235" i="21"/>
  <c r="F201" i="21"/>
  <c r="F193" i="21"/>
  <c r="N192" i="21" s="1"/>
  <c r="F229" i="21"/>
  <c r="F220" i="21"/>
  <c r="F207" i="21"/>
  <c r="F177" i="21"/>
  <c r="F159" i="21"/>
  <c r="F152" i="21"/>
  <c r="F171" i="21"/>
  <c r="F165" i="21"/>
  <c r="F140" i="21"/>
  <c r="F143" i="21"/>
  <c r="F136" i="21"/>
  <c r="N56" i="21"/>
  <c r="M56" i="21"/>
  <c r="L56" i="21"/>
  <c r="N767" i="16" l="1"/>
  <c r="G186" i="21"/>
  <c r="G214" i="21"/>
  <c r="G143" i="21"/>
  <c r="G171" i="21"/>
  <c r="G207" i="21"/>
  <c r="G68" i="21"/>
  <c r="G177" i="21"/>
  <c r="G229" i="21"/>
  <c r="G152" i="21"/>
  <c r="G136" i="21"/>
  <c r="G165" i="21"/>
  <c r="G193" i="21"/>
  <c r="G140" i="21"/>
  <c r="G159" i="21"/>
  <c r="G201" i="21"/>
  <c r="G220" i="21"/>
  <c r="G235" i="21"/>
  <c r="K56" i="21"/>
  <c r="H186" i="21" l="1"/>
  <c r="H214" i="21"/>
  <c r="H201" i="21"/>
  <c r="H140" i="21"/>
  <c r="H159" i="21"/>
  <c r="H235" i="21"/>
  <c r="H165" i="21"/>
  <c r="H171" i="21"/>
  <c r="H143" i="21"/>
  <c r="H207" i="21"/>
  <c r="H68" i="21"/>
  <c r="H177" i="21"/>
  <c r="H220" i="21"/>
  <c r="H136" i="21"/>
  <c r="H152" i="21"/>
  <c r="H193" i="21"/>
  <c r="H229" i="21"/>
  <c r="J56" i="21"/>
  <c r="I186" i="21" l="1"/>
  <c r="I214" i="21"/>
  <c r="I68" i="21"/>
  <c r="I143" i="21"/>
  <c r="I229" i="21"/>
  <c r="I193" i="21"/>
  <c r="I140" i="21"/>
  <c r="I177" i="21"/>
  <c r="I165" i="21"/>
  <c r="I152" i="21"/>
  <c r="I159" i="21"/>
  <c r="I201" i="21"/>
  <c r="I220" i="21"/>
  <c r="I136" i="21"/>
  <c r="I171" i="21"/>
  <c r="I207" i="21"/>
  <c r="I235" i="21"/>
  <c r="I56" i="21"/>
  <c r="H56" i="21"/>
  <c r="G56" i="21"/>
  <c r="F56" i="21"/>
  <c r="E56" i="21"/>
  <c r="J186" i="21" l="1"/>
  <c r="J214" i="21"/>
  <c r="J140" i="21"/>
  <c r="J220" i="21"/>
  <c r="J165" i="21"/>
  <c r="J193" i="21"/>
  <c r="J201" i="21"/>
  <c r="J136" i="21"/>
  <c r="J159" i="21"/>
  <c r="J68" i="21"/>
  <c r="J143" i="21"/>
  <c r="J171" i="21"/>
  <c r="J152" i="21"/>
  <c r="J177" i="21"/>
  <c r="J207" i="21"/>
  <c r="J229" i="21"/>
  <c r="J235" i="21"/>
  <c r="N55" i="21"/>
  <c r="M55" i="21"/>
  <c r="L55" i="21"/>
  <c r="K55" i="21"/>
  <c r="J55" i="21"/>
  <c r="I55" i="21"/>
  <c r="H55" i="21"/>
  <c r="G55" i="21"/>
  <c r="F55" i="21"/>
  <c r="E55" i="21"/>
  <c r="K186" i="21" l="1"/>
  <c r="K214" i="21"/>
  <c r="K68" i="21"/>
  <c r="K140" i="21"/>
  <c r="K152" i="21"/>
  <c r="K177" i="21"/>
  <c r="K171" i="21"/>
  <c r="K207" i="21"/>
  <c r="K229" i="21"/>
  <c r="K235" i="21"/>
  <c r="K136" i="21"/>
  <c r="K143" i="21"/>
  <c r="K159" i="21"/>
  <c r="K165" i="21"/>
  <c r="K201" i="21"/>
  <c r="K220" i="21"/>
  <c r="K193" i="21"/>
  <c r="O55" i="21"/>
  <c r="AC54" i="21"/>
  <c r="AB54" i="21"/>
  <c r="AA54" i="21"/>
  <c r="Z54" i="21"/>
  <c r="Y54" i="21"/>
  <c r="X54" i="21" s="1"/>
  <c r="W54" i="21" s="1"/>
  <c r="L186" i="21" l="1"/>
  <c r="L214" i="21"/>
  <c r="AD54" i="21"/>
  <c r="L143" i="21"/>
  <c r="L201" i="21"/>
  <c r="L177" i="21"/>
  <c r="L171" i="21"/>
  <c r="L235" i="21"/>
  <c r="L159" i="21"/>
  <c r="L140" i="21"/>
  <c r="L220" i="21"/>
  <c r="L68" i="21"/>
  <c r="L136" i="21"/>
  <c r="L165" i="21"/>
  <c r="L152" i="21"/>
  <c r="L193" i="21"/>
  <c r="L207" i="21"/>
  <c r="L229" i="21"/>
  <c r="AE54" i="21" l="1"/>
  <c r="L54" i="21" s="1"/>
  <c r="J61" i="49" s="1"/>
  <c r="M214" i="21"/>
  <c r="M193" i="21"/>
  <c r="M143" i="21"/>
  <c r="M186" i="21"/>
  <c r="M140" i="21"/>
  <c r="M165" i="21"/>
  <c r="M152" i="21"/>
  <c r="M201" i="21"/>
  <c r="M220" i="21"/>
  <c r="M68" i="21"/>
  <c r="M136" i="21"/>
  <c r="M177" i="21"/>
  <c r="M171" i="21"/>
  <c r="M159" i="21"/>
  <c r="M207" i="21"/>
  <c r="M229" i="21"/>
  <c r="M235" i="21"/>
  <c r="K54" i="21"/>
  <c r="I61" i="49" s="1"/>
  <c r="N186" i="21" l="1"/>
  <c r="N214" i="21"/>
  <c r="N68" i="21"/>
  <c r="O207" i="21" s="1"/>
  <c r="N152" i="21"/>
  <c r="N177" i="21"/>
  <c r="N140" i="21"/>
  <c r="N165" i="21"/>
  <c r="N193" i="21"/>
  <c r="N207" i="21"/>
  <c r="N235" i="21"/>
  <c r="AF54" i="21"/>
  <c r="M54" i="21" s="1"/>
  <c r="K61" i="49" s="1"/>
  <c r="N136" i="21"/>
  <c r="N143" i="21"/>
  <c r="N171" i="21"/>
  <c r="N159" i="21"/>
  <c r="N229" i="21"/>
  <c r="N201" i="21"/>
  <c r="N220" i="21"/>
  <c r="J54" i="21"/>
  <c r="H61" i="49" s="1"/>
  <c r="O235" i="21" l="1"/>
  <c r="O152" i="21"/>
  <c r="O186" i="21"/>
  <c r="O214" i="21"/>
  <c r="O143" i="21"/>
  <c r="O165" i="21"/>
  <c r="AG54" i="21"/>
  <c r="N54" i="21" s="1"/>
  <c r="L61" i="49" s="1"/>
  <c r="O171" i="21"/>
  <c r="O159" i="21"/>
  <c r="O193" i="21"/>
  <c r="O136" i="21"/>
  <c r="O140" i="21"/>
  <c r="O177" i="21"/>
  <c r="O201" i="21"/>
  <c r="O220" i="21"/>
  <c r="O229" i="21"/>
  <c r="I54" i="21"/>
  <c r="G61" i="49" s="1"/>
  <c r="H54" i="21" l="1"/>
  <c r="F61" i="49" s="1"/>
  <c r="G54" i="21" l="1"/>
  <c r="F54" i="21" l="1"/>
  <c r="D61" i="49" s="1"/>
  <c r="E61" i="49"/>
  <c r="E54" i="21"/>
  <c r="C61" i="49" s="1"/>
  <c r="T293" i="29" l="1"/>
  <c r="S293" i="29"/>
  <c r="R293" i="29"/>
  <c r="Q293" i="29" l="1"/>
  <c r="P293" i="29" l="1"/>
  <c r="O293" i="29"/>
  <c r="N293" i="29"/>
  <c r="M293" i="29"/>
  <c r="L293" i="29" l="1"/>
  <c r="K293" i="29"/>
  <c r="T292" i="29" l="1"/>
  <c r="S292" i="29"/>
  <c r="R292" i="29" l="1"/>
  <c r="Q292" i="29" l="1"/>
  <c r="P292" i="29" l="1"/>
  <c r="O292" i="29" l="1"/>
  <c r="N292" i="29"/>
  <c r="M292" i="29"/>
  <c r="L292" i="29"/>
  <c r="K292" i="29"/>
  <c r="K294" i="29" s="1"/>
  <c r="J266" i="29" l="1"/>
  <c r="J293" i="29" s="1"/>
  <c r="I266" i="29"/>
  <c r="I293" i="29" s="1"/>
  <c r="H266" i="29"/>
  <c r="H293" i="29" s="1"/>
  <c r="H297" i="29" s="1"/>
  <c r="G266" i="29"/>
  <c r="G293" i="29" s="1"/>
  <c r="G297" i="29" s="1"/>
  <c r="F266" i="29"/>
  <c r="F293" i="29" s="1"/>
  <c r="F297" i="29" s="1"/>
  <c r="E266" i="29"/>
  <c r="E293" i="29" s="1"/>
  <c r="J265" i="29"/>
  <c r="J292" i="29" s="1"/>
  <c r="I265" i="29"/>
  <c r="I292" i="29" s="1"/>
  <c r="I296" i="29" s="1"/>
  <c r="H265" i="29"/>
  <c r="H292" i="29" s="1"/>
  <c r="G265" i="29"/>
  <c r="G292" i="29" s="1"/>
  <c r="F265" i="29"/>
  <c r="F292" i="29" s="1"/>
  <c r="E265" i="29"/>
  <c r="E292" i="29" s="1"/>
  <c r="E296" i="29" s="1"/>
  <c r="T289" i="29"/>
  <c r="S289" i="29"/>
  <c r="R289" i="29"/>
  <c r="Q289" i="29"/>
  <c r="P289" i="29"/>
  <c r="O289" i="29"/>
  <c r="N289" i="29"/>
  <c r="M289" i="29"/>
  <c r="L289" i="29"/>
  <c r="T288" i="29"/>
  <c r="T290" i="29" s="1"/>
  <c r="S288" i="29"/>
  <c r="R288" i="29"/>
  <c r="Q288" i="29"/>
  <c r="P288" i="29"/>
  <c r="P290" i="29" s="1"/>
  <c r="O288" i="29"/>
  <c r="N288" i="29"/>
  <c r="M288" i="29"/>
  <c r="L288" i="29"/>
  <c r="E294" i="29" l="1"/>
  <c r="E297" i="29"/>
  <c r="G294" i="29"/>
  <c r="G296" i="29"/>
  <c r="I294" i="29"/>
  <c r="I297" i="29"/>
  <c r="F294" i="29"/>
  <c r="F296" i="29"/>
  <c r="H294" i="29"/>
  <c r="H296" i="29"/>
  <c r="M290" i="29"/>
  <c r="O290" i="29"/>
  <c r="Q290" i="29"/>
  <c r="N290" i="29"/>
  <c r="R290" i="29"/>
  <c r="K289" i="29"/>
  <c r="K288" i="29"/>
  <c r="L290" i="29"/>
  <c r="S290" i="29"/>
  <c r="J294" i="29"/>
  <c r="T280" i="29"/>
  <c r="S280" i="29"/>
  <c r="R280" i="29"/>
  <c r="Q280" i="29"/>
  <c r="P280" i="29"/>
  <c r="O280" i="29"/>
  <c r="N280" i="29"/>
  <c r="M280" i="29"/>
  <c r="L280" i="29"/>
  <c r="K280" i="29"/>
  <c r="J241" i="29"/>
  <c r="I241" i="29"/>
  <c r="H241" i="29"/>
  <c r="G241" i="29"/>
  <c r="F241" i="29"/>
  <c r="E241" i="29"/>
  <c r="J240" i="29"/>
  <c r="I240" i="29"/>
  <c r="H240" i="29"/>
  <c r="G240" i="29"/>
  <c r="F240" i="29"/>
  <c r="E240" i="29"/>
  <c r="J239" i="29"/>
  <c r="I239" i="29"/>
  <c r="H239" i="29"/>
  <c r="G239" i="29"/>
  <c r="F239" i="29"/>
  <c r="E239" i="29"/>
  <c r="J237" i="29"/>
  <c r="I237" i="29"/>
  <c r="H237" i="29"/>
  <c r="G237" i="29"/>
  <c r="F237" i="29"/>
  <c r="E237" i="29"/>
  <c r="J236" i="29"/>
  <c r="I236" i="29"/>
  <c r="H236" i="29"/>
  <c r="G236" i="29"/>
  <c r="F236" i="29"/>
  <c r="E236" i="29"/>
  <c r="J217" i="29"/>
  <c r="I217" i="29"/>
  <c r="H217" i="29"/>
  <c r="G217" i="29"/>
  <c r="F217" i="29"/>
  <c r="E217" i="29"/>
  <c r="J216" i="29"/>
  <c r="I216" i="29"/>
  <c r="H216" i="29"/>
  <c r="G216" i="29"/>
  <c r="F216" i="29"/>
  <c r="E216" i="29"/>
  <c r="J215" i="29"/>
  <c r="I215" i="29"/>
  <c r="H215" i="29"/>
  <c r="G215" i="29"/>
  <c r="F215" i="29"/>
  <c r="J209" i="29"/>
  <c r="I209" i="29"/>
  <c r="H209" i="29"/>
  <c r="G209" i="29"/>
  <c r="F209" i="29"/>
  <c r="E209" i="29"/>
  <c r="J208" i="29"/>
  <c r="I208" i="29"/>
  <c r="H208" i="29"/>
  <c r="G208" i="29"/>
  <c r="F208" i="29"/>
  <c r="E208" i="29"/>
  <c r="J207" i="29"/>
  <c r="I207" i="29"/>
  <c r="H207" i="29"/>
  <c r="G207" i="29"/>
  <c r="F207" i="29"/>
  <c r="E207" i="29"/>
  <c r="J206" i="29"/>
  <c r="I206" i="29"/>
  <c r="H206" i="29"/>
  <c r="G206" i="29"/>
  <c r="F206" i="29"/>
  <c r="E206" i="29"/>
  <c r="J198" i="29"/>
  <c r="I198" i="29"/>
  <c r="H198" i="29"/>
  <c r="G198" i="29"/>
  <c r="F198" i="29"/>
  <c r="E198" i="29"/>
  <c r="J197" i="29"/>
  <c r="I197" i="29"/>
  <c r="H197" i="29"/>
  <c r="G197" i="29"/>
  <c r="F197" i="29"/>
  <c r="E197" i="29"/>
  <c r="J196" i="29"/>
  <c r="I196" i="29"/>
  <c r="H196" i="29"/>
  <c r="G196" i="29"/>
  <c r="F196" i="29"/>
  <c r="E196" i="29"/>
  <c r="J195" i="29"/>
  <c r="I195" i="29"/>
  <c r="H195" i="29"/>
  <c r="G195" i="29"/>
  <c r="F195" i="29"/>
  <c r="E195" i="29"/>
  <c r="J189" i="29"/>
  <c r="I189" i="29"/>
  <c r="H189" i="29"/>
  <c r="G189" i="29"/>
  <c r="F189" i="29"/>
  <c r="E189" i="29"/>
  <c r="J188" i="29"/>
  <c r="I188" i="29"/>
  <c r="H188" i="29"/>
  <c r="G188" i="29"/>
  <c r="F188" i="29"/>
  <c r="E188" i="29"/>
  <c r="J186" i="29"/>
  <c r="I186" i="29"/>
  <c r="H186" i="29"/>
  <c r="G186" i="29"/>
  <c r="F186" i="29"/>
  <c r="E186" i="29"/>
  <c r="J175" i="29"/>
  <c r="J258" i="29" s="1"/>
  <c r="I175" i="29"/>
  <c r="I258" i="29" s="1"/>
  <c r="H175" i="29"/>
  <c r="H258" i="29" s="1"/>
  <c r="G175" i="29"/>
  <c r="G258" i="29" s="1"/>
  <c r="F175" i="29"/>
  <c r="F258" i="29" s="1"/>
  <c r="E175" i="29"/>
  <c r="E258" i="29" s="1"/>
  <c r="J174" i="29"/>
  <c r="J257" i="29" s="1"/>
  <c r="I174" i="29"/>
  <c r="I257" i="29" s="1"/>
  <c r="H174" i="29"/>
  <c r="H257" i="29" s="1"/>
  <c r="G174" i="29"/>
  <c r="G257" i="29" s="1"/>
  <c r="F174" i="29"/>
  <c r="F257" i="29" s="1"/>
  <c r="E174" i="29"/>
  <c r="E257" i="29" s="1"/>
  <c r="J173" i="29"/>
  <c r="J256" i="29" s="1"/>
  <c r="I173" i="29"/>
  <c r="I256" i="29" s="1"/>
  <c r="H173" i="29"/>
  <c r="H256" i="29" s="1"/>
  <c r="G173" i="29"/>
  <c r="G256" i="29" s="1"/>
  <c r="F173" i="29"/>
  <c r="F256" i="29" s="1"/>
  <c r="E173" i="29"/>
  <c r="E256" i="29" s="1"/>
  <c r="J167" i="29"/>
  <c r="J251" i="29" s="1"/>
  <c r="I167" i="29"/>
  <c r="I251" i="29" s="1"/>
  <c r="H167" i="29"/>
  <c r="H251" i="29" s="1"/>
  <c r="G167" i="29"/>
  <c r="G251" i="29" s="1"/>
  <c r="F167" i="29"/>
  <c r="F251" i="29" s="1"/>
  <c r="E167" i="29"/>
  <c r="E251" i="29" s="1"/>
  <c r="J166" i="29"/>
  <c r="J250" i="29" s="1"/>
  <c r="I166" i="29"/>
  <c r="I250" i="29" s="1"/>
  <c r="H166" i="29"/>
  <c r="H250" i="29" s="1"/>
  <c r="G166" i="29"/>
  <c r="G250" i="29" s="1"/>
  <c r="F166" i="29"/>
  <c r="F250" i="29" s="1"/>
  <c r="E166" i="29"/>
  <c r="E250" i="29" s="1"/>
  <c r="J165" i="29"/>
  <c r="J249" i="29" s="1"/>
  <c r="I165" i="29"/>
  <c r="I249" i="29" s="1"/>
  <c r="H165" i="29"/>
  <c r="H249" i="29" s="1"/>
  <c r="G165" i="29"/>
  <c r="G249" i="29" s="1"/>
  <c r="F165" i="29"/>
  <c r="F249" i="29" s="1"/>
  <c r="E165" i="29"/>
  <c r="E249" i="29" s="1"/>
  <c r="J164" i="29"/>
  <c r="J248" i="29" s="1"/>
  <c r="I164" i="29"/>
  <c r="I248" i="29" s="1"/>
  <c r="H164" i="29"/>
  <c r="H248" i="29" s="1"/>
  <c r="G164" i="29"/>
  <c r="G248" i="29" s="1"/>
  <c r="F164" i="29"/>
  <c r="F248" i="29" s="1"/>
  <c r="E164" i="29"/>
  <c r="E248" i="29" s="1"/>
  <c r="J156" i="29"/>
  <c r="I156" i="29"/>
  <c r="H156" i="29"/>
  <c r="G156" i="29"/>
  <c r="F156" i="29"/>
  <c r="E156" i="29"/>
  <c r="J154" i="29"/>
  <c r="I154" i="29"/>
  <c r="H154" i="29"/>
  <c r="G154" i="29"/>
  <c r="F154" i="29"/>
  <c r="E154" i="29"/>
  <c r="J153" i="29"/>
  <c r="I153" i="29"/>
  <c r="H153" i="29"/>
  <c r="G153" i="29"/>
  <c r="F153" i="29"/>
  <c r="E153" i="29"/>
  <c r="J152" i="29"/>
  <c r="I152" i="29"/>
  <c r="H152" i="29"/>
  <c r="G152" i="29"/>
  <c r="F152" i="29"/>
  <c r="E152" i="29"/>
  <c r="J146" i="29"/>
  <c r="J230" i="29" s="1"/>
  <c r="I146" i="29"/>
  <c r="I230" i="29" s="1"/>
  <c r="H146" i="29"/>
  <c r="H230" i="29" s="1"/>
  <c r="G146" i="29"/>
  <c r="G230" i="29" s="1"/>
  <c r="F146" i="29"/>
  <c r="F230" i="29" s="1"/>
  <c r="E146" i="29"/>
  <c r="E230" i="29" s="1"/>
  <c r="J145" i="29"/>
  <c r="J229" i="29" s="1"/>
  <c r="I145" i="29"/>
  <c r="I229" i="29" s="1"/>
  <c r="H145" i="29"/>
  <c r="H229" i="29" s="1"/>
  <c r="G145" i="29"/>
  <c r="G229" i="29" s="1"/>
  <c r="F145" i="29"/>
  <c r="F229" i="29" s="1"/>
  <c r="E145" i="29"/>
  <c r="E229" i="29" s="1"/>
  <c r="K290" i="29" l="1"/>
  <c r="F169" i="29"/>
  <c r="J169" i="29"/>
  <c r="J286" i="29" s="1"/>
  <c r="F179" i="29"/>
  <c r="J179" i="29"/>
  <c r="H191" i="29"/>
  <c r="F200" i="29"/>
  <c r="F221" i="29"/>
  <c r="J200" i="29"/>
  <c r="F226" i="15" s="1"/>
  <c r="J211" i="29"/>
  <c r="F211" i="29"/>
  <c r="H211" i="29"/>
  <c r="H221" i="29"/>
  <c r="G148" i="29"/>
  <c r="E158" i="29"/>
  <c r="I158" i="29"/>
  <c r="E221" i="29"/>
  <c r="I221" i="29"/>
  <c r="G169" i="29"/>
  <c r="G179" i="29"/>
  <c r="E191" i="29"/>
  <c r="I191" i="29"/>
  <c r="G200" i="29"/>
  <c r="G211" i="29"/>
  <c r="F148" i="29"/>
  <c r="H158" i="29"/>
  <c r="F158" i="29"/>
  <c r="J158" i="29"/>
  <c r="H169" i="29"/>
  <c r="H179" i="29"/>
  <c r="F191" i="29"/>
  <c r="J191" i="29"/>
  <c r="H200" i="29"/>
  <c r="G221" i="29"/>
  <c r="J148" i="29"/>
  <c r="J221" i="29"/>
  <c r="E148" i="29"/>
  <c r="I148" i="29"/>
  <c r="G158" i="29"/>
  <c r="E169" i="29"/>
  <c r="I169" i="29"/>
  <c r="E179" i="29"/>
  <c r="I179" i="29"/>
  <c r="G191" i="29"/>
  <c r="E200" i="29"/>
  <c r="I200" i="29"/>
  <c r="E211" i="29"/>
  <c r="I211" i="29"/>
  <c r="H148" i="29"/>
  <c r="J130" i="29"/>
  <c r="I130" i="29"/>
  <c r="H130" i="29"/>
  <c r="G130" i="29"/>
  <c r="F130" i="29"/>
  <c r="E130" i="29"/>
  <c r="J129" i="29"/>
  <c r="I129" i="29"/>
  <c r="H129" i="29"/>
  <c r="G129" i="29"/>
  <c r="F129" i="29"/>
  <c r="E129" i="29"/>
  <c r="J128" i="29"/>
  <c r="I128" i="29"/>
  <c r="H128" i="29"/>
  <c r="G128" i="29"/>
  <c r="F128" i="29"/>
  <c r="E128" i="29"/>
  <c r="F293" i="15" l="1"/>
  <c r="J238" i="29"/>
  <c r="J277" i="29"/>
  <c r="I238" i="29"/>
  <c r="G238" i="29"/>
  <c r="F238" i="29"/>
  <c r="E238" i="29"/>
  <c r="H238" i="29"/>
  <c r="E922" i="14"/>
  <c r="J261" i="29"/>
  <c r="F261" i="29"/>
  <c r="G261" i="29"/>
  <c r="D1105" i="14"/>
  <c r="N1104" i="14" s="1"/>
  <c r="M1104" i="14" s="1"/>
  <c r="L1104" i="14" s="1"/>
  <c r="K1104" i="14" s="1"/>
  <c r="J1104" i="14" s="1"/>
  <c r="I1104" i="14" s="1"/>
  <c r="H1104" i="14" s="1"/>
  <c r="G1104" i="14" s="1"/>
  <c r="F1104" i="14" s="1"/>
  <c r="E1104" i="14" s="1"/>
  <c r="D1104" i="14" s="1"/>
  <c r="F294" i="15"/>
  <c r="F228" i="15"/>
  <c r="F227" i="15"/>
  <c r="G134" i="29"/>
  <c r="J134" i="29"/>
  <c r="E261" i="29"/>
  <c r="I261" i="29"/>
  <c r="E134" i="29"/>
  <c r="I134" i="29"/>
  <c r="F134" i="29"/>
  <c r="H261" i="29"/>
  <c r="H134" i="29"/>
  <c r="J122" i="29"/>
  <c r="I122" i="29"/>
  <c r="H122" i="29"/>
  <c r="G122" i="29"/>
  <c r="F122" i="29"/>
  <c r="E122" i="29"/>
  <c r="J121" i="29"/>
  <c r="I121" i="29"/>
  <c r="H121" i="29"/>
  <c r="G121" i="29"/>
  <c r="F121" i="29"/>
  <c r="E121" i="29"/>
  <c r="J120" i="29"/>
  <c r="I120" i="29"/>
  <c r="H120" i="29"/>
  <c r="G120" i="29"/>
  <c r="F120" i="29"/>
  <c r="E120" i="29"/>
  <c r="J119" i="29"/>
  <c r="I119" i="29"/>
  <c r="H119" i="29"/>
  <c r="G119" i="29"/>
  <c r="F119" i="29"/>
  <c r="E119" i="29"/>
  <c r="E924" i="14" l="1"/>
  <c r="E923" i="14"/>
  <c r="D1106" i="14"/>
  <c r="J252" i="29"/>
  <c r="I336" i="29"/>
  <c r="J336" i="29"/>
  <c r="E252" i="29"/>
  <c r="G124" i="29"/>
  <c r="I124" i="29"/>
  <c r="F124" i="29"/>
  <c r="J124" i="29"/>
  <c r="E336" i="29"/>
  <c r="E124" i="29"/>
  <c r="H124" i="29"/>
  <c r="O28" i="29"/>
  <c r="O29" i="29" s="1"/>
  <c r="N28" i="29"/>
  <c r="N29" i="29" s="1"/>
  <c r="M28" i="29"/>
  <c r="M29" i="29" s="1"/>
  <c r="L28" i="29"/>
  <c r="L29" i="29" s="1"/>
  <c r="K28" i="29"/>
  <c r="K29" i="29" s="1"/>
  <c r="J112" i="29"/>
  <c r="I112" i="29"/>
  <c r="H112" i="29"/>
  <c r="G112" i="29"/>
  <c r="F112" i="29"/>
  <c r="E112" i="29"/>
  <c r="J111" i="29"/>
  <c r="I111" i="29"/>
  <c r="H111" i="29"/>
  <c r="G111" i="29"/>
  <c r="F111" i="29"/>
  <c r="E111" i="29"/>
  <c r="J110" i="29"/>
  <c r="I110" i="29"/>
  <c r="H110" i="29"/>
  <c r="G110" i="29"/>
  <c r="F110" i="29"/>
  <c r="E110" i="29"/>
  <c r="J109" i="29"/>
  <c r="I109" i="29"/>
  <c r="H109" i="29"/>
  <c r="G109" i="29"/>
  <c r="F109" i="29"/>
  <c r="E109" i="29"/>
  <c r="J108" i="29"/>
  <c r="I108" i="29"/>
  <c r="H108" i="29"/>
  <c r="G108" i="29"/>
  <c r="F108" i="29"/>
  <c r="E108" i="29"/>
  <c r="J107" i="29"/>
  <c r="I107" i="29"/>
  <c r="H107" i="29"/>
  <c r="G107" i="29"/>
  <c r="F107" i="29"/>
  <c r="E107" i="29"/>
  <c r="J101" i="29"/>
  <c r="I101" i="29"/>
  <c r="H101" i="29"/>
  <c r="G101" i="29"/>
  <c r="F101" i="29"/>
  <c r="E101" i="29"/>
  <c r="J100" i="29"/>
  <c r="I100" i="29"/>
  <c r="H100" i="29"/>
  <c r="G100" i="29"/>
  <c r="F100" i="29"/>
  <c r="E100" i="29"/>
  <c r="J98" i="29"/>
  <c r="I98" i="29"/>
  <c r="H98" i="29"/>
  <c r="G98" i="29"/>
  <c r="F98" i="29"/>
  <c r="E98" i="29"/>
  <c r="K97" i="29"/>
  <c r="J103" i="29" l="1"/>
  <c r="K106" i="29"/>
  <c r="F336" i="29"/>
  <c r="E114" i="29"/>
  <c r="H252" i="29"/>
  <c r="S684" i="16" s="1"/>
  <c r="AP92" i="21" s="1"/>
  <c r="I114" i="29"/>
  <c r="I242" i="29" s="1"/>
  <c r="F103" i="29"/>
  <c r="I252" i="29"/>
  <c r="T684" i="16" s="1"/>
  <c r="AQ92" i="21" s="1"/>
  <c r="F114" i="29"/>
  <c r="J114" i="29"/>
  <c r="J242" i="29" s="1"/>
  <c r="F567" i="4"/>
  <c r="P262" i="2"/>
  <c r="P684" i="16"/>
  <c r="E325" i="29"/>
  <c r="F899" i="16"/>
  <c r="G899" i="16"/>
  <c r="G897" i="16"/>
  <c r="F897" i="16" s="1"/>
  <c r="U684" i="16"/>
  <c r="AR92" i="21" s="1"/>
  <c r="J290" i="29"/>
  <c r="E232" i="29"/>
  <c r="I232" i="29"/>
  <c r="H567" i="4"/>
  <c r="R262" i="2"/>
  <c r="F325" i="29"/>
  <c r="E899" i="16"/>
  <c r="E897" i="16"/>
  <c r="D897" i="16" s="1"/>
  <c r="H899" i="16"/>
  <c r="L97" i="29"/>
  <c r="E103" i="29"/>
  <c r="I103" i="29"/>
  <c r="G252" i="29"/>
  <c r="J232" i="29"/>
  <c r="I567" i="4"/>
  <c r="S262" i="2"/>
  <c r="D735" i="16"/>
  <c r="D714" i="16"/>
  <c r="D693" i="16"/>
  <c r="K320" i="29"/>
  <c r="K271" i="29"/>
  <c r="K264" i="29"/>
  <c r="K255" i="29"/>
  <c r="K205" i="29"/>
  <c r="K185" i="29"/>
  <c r="K163" i="29"/>
  <c r="K151" i="29"/>
  <c r="K140" i="29"/>
  <c r="K214" i="29"/>
  <c r="K194" i="29"/>
  <c r="K172" i="29"/>
  <c r="K247" i="29"/>
  <c r="K235" i="29"/>
  <c r="K227" i="29"/>
  <c r="K127" i="29"/>
  <c r="K118" i="29"/>
  <c r="H232" i="29"/>
  <c r="G567" i="4"/>
  <c r="Q262" i="2"/>
  <c r="H325" i="29"/>
  <c r="D899" i="16"/>
  <c r="U686" i="16"/>
  <c r="H103" i="29"/>
  <c r="H114" i="29"/>
  <c r="J567" i="4"/>
  <c r="T262" i="2"/>
  <c r="I899" i="16"/>
  <c r="G103" i="29"/>
  <c r="G114" i="29"/>
  <c r="G336" i="29"/>
  <c r="H336" i="29"/>
  <c r="F252" i="29"/>
  <c r="F670" i="4" l="1"/>
  <c r="F846" i="4" s="1"/>
  <c r="J670" i="4"/>
  <c r="J846" i="4" s="1"/>
  <c r="H670" i="4"/>
  <c r="I670" i="4"/>
  <c r="I846" i="4" s="1"/>
  <c r="G670" i="4"/>
  <c r="G846" i="4" s="1"/>
  <c r="H904" i="16"/>
  <c r="I324" i="29"/>
  <c r="J331" i="29"/>
  <c r="U682" i="16"/>
  <c r="AR90" i="21" s="1"/>
  <c r="E567" i="4"/>
  <c r="I902" i="16"/>
  <c r="E845" i="4"/>
  <c r="E324" i="29"/>
  <c r="J329" i="29"/>
  <c r="E331" i="29"/>
  <c r="J325" i="29"/>
  <c r="J281" i="29"/>
  <c r="Q684" i="16"/>
  <c r="AN92" i="21" s="1"/>
  <c r="AM92" i="21" s="1"/>
  <c r="H242" i="29"/>
  <c r="T682" i="16"/>
  <c r="H331" i="29"/>
  <c r="D904" i="16"/>
  <c r="E903" i="16"/>
  <c r="S682" i="16"/>
  <c r="I898" i="16"/>
  <c r="E898" i="16"/>
  <c r="D898" i="16"/>
  <c r="D896" i="16"/>
  <c r="E904" i="16"/>
  <c r="F323" i="29"/>
  <c r="I903" i="16"/>
  <c r="J296" i="29"/>
  <c r="P269" i="2"/>
  <c r="F232" i="29"/>
  <c r="F329" i="29" s="1"/>
  <c r="G325" i="29"/>
  <c r="J324" i="29"/>
  <c r="J328" i="29"/>
  <c r="G232" i="29"/>
  <c r="F898" i="16"/>
  <c r="R684" i="16"/>
  <c r="AO92" i="21" s="1"/>
  <c r="E735" i="16"/>
  <c r="E693" i="16"/>
  <c r="E714" i="16"/>
  <c r="L320" i="29"/>
  <c r="L271" i="29"/>
  <c r="L264" i="29"/>
  <c r="L255" i="29"/>
  <c r="L247" i="29"/>
  <c r="L235" i="29"/>
  <c r="L227" i="29"/>
  <c r="L205" i="29"/>
  <c r="L185" i="29"/>
  <c r="L163" i="29"/>
  <c r="L151" i="29"/>
  <c r="L214" i="29"/>
  <c r="L194" i="29"/>
  <c r="L172" i="29"/>
  <c r="L140" i="29"/>
  <c r="L127" i="29"/>
  <c r="L118" i="29"/>
  <c r="M97" i="29"/>
  <c r="L106" i="29"/>
  <c r="H898" i="16"/>
  <c r="T686" i="16"/>
  <c r="U685" i="16"/>
  <c r="AR94" i="21"/>
  <c r="G898" i="16"/>
  <c r="E323" i="29"/>
  <c r="J330" i="29"/>
  <c r="I325" i="29"/>
  <c r="H846" i="4" l="1"/>
  <c r="E670" i="4"/>
  <c r="E672" i="4" s="1"/>
  <c r="I323" i="29"/>
  <c r="I331" i="29"/>
  <c r="J327" i="29"/>
  <c r="H896" i="16"/>
  <c r="J335" i="29"/>
  <c r="J322" i="29"/>
  <c r="J323" i="29"/>
  <c r="J334" i="29"/>
  <c r="I904" i="16"/>
  <c r="F330" i="29"/>
  <c r="F328" i="29"/>
  <c r="J297" i="29"/>
  <c r="H324" i="29"/>
  <c r="G896" i="16"/>
  <c r="G330" i="29"/>
  <c r="S686" i="16"/>
  <c r="AQ94" i="21"/>
  <c r="I335" i="29"/>
  <c r="I334" i="29"/>
  <c r="R682" i="16"/>
  <c r="AP90" i="21"/>
  <c r="AQ90" i="21"/>
  <c r="F324" i="29"/>
  <c r="F331" i="29"/>
  <c r="G242" i="29"/>
  <c r="S680" i="16"/>
  <c r="H322" i="29"/>
  <c r="F903" i="16"/>
  <c r="G328" i="29"/>
  <c r="G904" i="16"/>
  <c r="H323" i="29"/>
  <c r="H902" i="16"/>
  <c r="F904" i="16"/>
  <c r="G323" i="29"/>
  <c r="D903" i="16"/>
  <c r="F735" i="16"/>
  <c r="F714" i="16"/>
  <c r="F693" i="16"/>
  <c r="M320" i="29"/>
  <c r="M271" i="29"/>
  <c r="M255" i="29"/>
  <c r="M264" i="29"/>
  <c r="M214" i="29"/>
  <c r="M194" i="29"/>
  <c r="M172" i="29"/>
  <c r="M247" i="29"/>
  <c r="M235" i="29"/>
  <c r="M227" i="29"/>
  <c r="M205" i="29"/>
  <c r="M185" i="29"/>
  <c r="M163" i="29"/>
  <c r="M151" i="29"/>
  <c r="M140" i="29"/>
  <c r="M127" i="29"/>
  <c r="M118" i="29"/>
  <c r="M106" i="29"/>
  <c r="N97" i="29"/>
  <c r="G903" i="16"/>
  <c r="H329" i="29"/>
  <c r="H328" i="29"/>
  <c r="H903" i="16"/>
  <c r="I328" i="29"/>
  <c r="I329" i="29"/>
  <c r="G329" i="29"/>
  <c r="T685" i="16"/>
  <c r="G324" i="29"/>
  <c r="I322" i="29"/>
  <c r="F896" i="16"/>
  <c r="E896" i="16"/>
  <c r="H330" i="29"/>
  <c r="I330" i="29"/>
  <c r="G331" i="29"/>
  <c r="E671" i="4" l="1"/>
  <c r="E846" i="4"/>
  <c r="I327" i="29"/>
  <c r="S685" i="16"/>
  <c r="H327" i="29"/>
  <c r="G327" i="29"/>
  <c r="F327" i="29" s="1"/>
  <c r="F242" i="29"/>
  <c r="Q682" i="16"/>
  <c r="AO90" i="21"/>
  <c r="R686" i="16"/>
  <c r="R685" i="16" s="1"/>
  <c r="AP94" i="21"/>
  <c r="G735" i="16"/>
  <c r="G714" i="16"/>
  <c r="G693" i="16"/>
  <c r="N320" i="29"/>
  <c r="N271" i="29"/>
  <c r="N255" i="29"/>
  <c r="N264" i="29"/>
  <c r="N214" i="29"/>
  <c r="N194" i="29"/>
  <c r="N172" i="29"/>
  <c r="N247" i="29"/>
  <c r="N235" i="29"/>
  <c r="N227" i="29"/>
  <c r="N205" i="29"/>
  <c r="N185" i="29"/>
  <c r="N163" i="29"/>
  <c r="N151" i="29"/>
  <c r="N140" i="29"/>
  <c r="N127" i="29"/>
  <c r="N118" i="29"/>
  <c r="N106" i="29"/>
  <c r="O97" i="29"/>
  <c r="T294" i="29"/>
  <c r="S294" i="29" s="1"/>
  <c r="R294" i="29" s="1"/>
  <c r="Q294" i="29" s="1"/>
  <c r="P294" i="29" s="1"/>
  <c r="O294" i="29" s="1"/>
  <c r="N294" i="29" s="1"/>
  <c r="M294" i="29" s="1"/>
  <c r="L294" i="29" s="1"/>
  <c r="G902" i="16"/>
  <c r="R680" i="16"/>
  <c r="R681" i="16" s="1"/>
  <c r="AO89" i="21" s="1"/>
  <c r="S681" i="16"/>
  <c r="H334" i="29"/>
  <c r="H335" i="29"/>
  <c r="E330" i="29"/>
  <c r="E328" i="29"/>
  <c r="D901" i="16"/>
  <c r="E329" i="29"/>
  <c r="H735" i="16" l="1"/>
  <c r="H714" i="16"/>
  <c r="H693" i="16"/>
  <c r="O320" i="29"/>
  <c r="O271" i="29"/>
  <c r="O264" i="29"/>
  <c r="O255" i="29"/>
  <c r="O205" i="29"/>
  <c r="O185" i="29"/>
  <c r="O163" i="29"/>
  <c r="O151" i="29"/>
  <c r="O140" i="29"/>
  <c r="O214" i="29"/>
  <c r="O194" i="29"/>
  <c r="O172" i="29"/>
  <c r="O247" i="29"/>
  <c r="O235" i="29"/>
  <c r="O227" i="29"/>
  <c r="O127" i="29"/>
  <c r="O118" i="29"/>
  <c r="O106" i="29"/>
  <c r="P97" i="29"/>
  <c r="E242" i="29"/>
  <c r="E327" i="29"/>
  <c r="F902" i="16"/>
  <c r="Q680" i="16"/>
  <c r="AN88" i="21" s="1"/>
  <c r="AO88" i="21"/>
  <c r="Q686" i="16"/>
  <c r="Q685" i="16" s="1"/>
  <c r="AO94" i="21"/>
  <c r="G334" i="29"/>
  <c r="G335" i="29"/>
  <c r="G322" i="29"/>
  <c r="P682" i="16"/>
  <c r="AN90" i="21"/>
  <c r="E902" i="16" l="1"/>
  <c r="P686" i="16"/>
  <c r="AM94" i="21" s="1"/>
  <c r="AN94" i="21"/>
  <c r="Q681" i="16"/>
  <c r="AN89" i="21" s="1"/>
  <c r="P680" i="16"/>
  <c r="AM88" i="21" s="1"/>
  <c r="D902" i="16"/>
  <c r="I735" i="16"/>
  <c r="I714" i="16"/>
  <c r="I693" i="16"/>
  <c r="P320" i="29"/>
  <c r="P271" i="29"/>
  <c r="P264" i="29"/>
  <c r="P255" i="29"/>
  <c r="P247" i="29"/>
  <c r="P235" i="29"/>
  <c r="P227" i="29"/>
  <c r="P205" i="29"/>
  <c r="P185" i="29"/>
  <c r="P163" i="29"/>
  <c r="P214" i="29"/>
  <c r="P194" i="29"/>
  <c r="P172" i="29"/>
  <c r="P151" i="29"/>
  <c r="P140" i="29"/>
  <c r="P127" i="29"/>
  <c r="P118" i="29"/>
  <c r="Q97" i="29"/>
  <c r="P106" i="29"/>
  <c r="AM90" i="21"/>
  <c r="F335" i="29"/>
  <c r="F334" i="29"/>
  <c r="F322" i="29"/>
  <c r="J735" i="16" l="1"/>
  <c r="J714" i="16"/>
  <c r="J693" i="16"/>
  <c r="Q320" i="29"/>
  <c r="Q271" i="29"/>
  <c r="Q255" i="29"/>
  <c r="Q264" i="29"/>
  <c r="Q214" i="29"/>
  <c r="Q194" i="29"/>
  <c r="Q172" i="29"/>
  <c r="Q247" i="29"/>
  <c r="Q235" i="29"/>
  <c r="Q227" i="29"/>
  <c r="Q205" i="29"/>
  <c r="Q185" i="29"/>
  <c r="Q163" i="29"/>
  <c r="Q151" i="29"/>
  <c r="Q140" i="29"/>
  <c r="Q127" i="29"/>
  <c r="Q118" i="29"/>
  <c r="Q106" i="29"/>
  <c r="R97" i="29"/>
  <c r="P681" i="16"/>
  <c r="U680" i="16" s="1"/>
  <c r="P685" i="16"/>
  <c r="E334" i="29"/>
  <c r="E335" i="29"/>
  <c r="E322" i="29"/>
  <c r="AM89" i="21" l="1"/>
  <c r="K735" i="16"/>
  <c r="K714" i="16"/>
  <c r="K693" i="16"/>
  <c r="R320" i="29"/>
  <c r="R271" i="29"/>
  <c r="R255" i="29"/>
  <c r="R264" i="29"/>
  <c r="R214" i="29"/>
  <c r="R194" i="29"/>
  <c r="R172" i="29"/>
  <c r="R247" i="29"/>
  <c r="R235" i="29"/>
  <c r="R227" i="29"/>
  <c r="R205" i="29"/>
  <c r="R185" i="29"/>
  <c r="R163" i="29"/>
  <c r="R151" i="29"/>
  <c r="R140" i="29"/>
  <c r="R127" i="29"/>
  <c r="R118" i="29"/>
  <c r="R106" i="29"/>
  <c r="S97" i="29"/>
  <c r="T680" i="16"/>
  <c r="AR88" i="21"/>
  <c r="U681" i="16"/>
  <c r="AR89" i="21" s="1"/>
  <c r="L735" i="16" l="1"/>
  <c r="L714" i="16"/>
  <c r="L693" i="16"/>
  <c r="S320" i="29"/>
  <c r="S271" i="29"/>
  <c r="S264" i="29"/>
  <c r="S255" i="29"/>
  <c r="S205" i="29"/>
  <c r="S185" i="29"/>
  <c r="S163" i="29"/>
  <c r="S151" i="29"/>
  <c r="S140" i="29"/>
  <c r="S214" i="29"/>
  <c r="S194" i="29"/>
  <c r="S172" i="29"/>
  <c r="S247" i="29"/>
  <c r="S235" i="29"/>
  <c r="S227" i="29"/>
  <c r="S127" i="29"/>
  <c r="S118" i="29"/>
  <c r="S106" i="29"/>
  <c r="T97" i="29"/>
  <c r="AQ88" i="21"/>
  <c r="AP88" i="21" s="1"/>
  <c r="T681" i="16"/>
  <c r="AQ89" i="21" s="1"/>
  <c r="AH53" i="32"/>
  <c r="D447" i="16" s="1"/>
  <c r="K51" i="32"/>
  <c r="B59" i="49" s="1"/>
  <c r="AB16" i="32"/>
  <c r="V261" i="48"/>
  <c r="U261" i="48"/>
  <c r="T261" i="48"/>
  <c r="V259" i="48"/>
  <c r="U259" i="48"/>
  <c r="T259" i="48"/>
  <c r="K468" i="16" l="1"/>
  <c r="E452" i="16"/>
  <c r="N468" i="16"/>
  <c r="L456" i="16"/>
  <c r="K463" i="16"/>
  <c r="J463" i="16" s="1"/>
  <c r="I463" i="16" s="1"/>
  <c r="H463" i="16" s="1"/>
  <c r="G463" i="16" s="1"/>
  <c r="F463" i="16" s="1"/>
  <c r="E463" i="16" s="1"/>
  <c r="J453" i="16"/>
  <c r="H459" i="16"/>
  <c r="L451" i="16"/>
  <c r="E458" i="16"/>
  <c r="I451" i="16"/>
  <c r="N452" i="16"/>
  <c r="I454" i="16"/>
  <c r="E456" i="16"/>
  <c r="M457" i="16"/>
  <c r="E459" i="16"/>
  <c r="L463" i="16"/>
  <c r="G468" i="16"/>
  <c r="J497" i="16"/>
  <c r="L493" i="16"/>
  <c r="L491" i="16"/>
  <c r="E488" i="16"/>
  <c r="N484" i="16"/>
  <c r="M484" i="16" s="1"/>
  <c r="L484" i="16" s="1"/>
  <c r="K484" i="16" s="1"/>
  <c r="J484" i="16" s="1"/>
  <c r="I484" i="16" s="1"/>
  <c r="J483" i="16"/>
  <c r="M492" i="16"/>
  <c r="J481" i="16"/>
  <c r="G497" i="16"/>
  <c r="I493" i="16"/>
  <c r="M491" i="16"/>
  <c r="E486" i="16"/>
  <c r="E496" i="16"/>
  <c r="G484" i="16"/>
  <c r="I498" i="16"/>
  <c r="N496" i="16"/>
  <c r="G493" i="16"/>
  <c r="K491" i="16"/>
  <c r="F487" i="16"/>
  <c r="H483" i="16"/>
  <c r="G483" i="16" s="1"/>
  <c r="F483" i="16" s="1"/>
  <c r="E483" i="16" s="1"/>
  <c r="M496" i="16"/>
  <c r="F486" i="16"/>
  <c r="I480" i="16"/>
  <c r="F479" i="16"/>
  <c r="L477" i="16"/>
  <c r="M471" i="16"/>
  <c r="J470" i="16"/>
  <c r="K470" i="16"/>
  <c r="N477" i="16"/>
  <c r="G479" i="16"/>
  <c r="M477" i="16"/>
  <c r="I473" i="16"/>
  <c r="F471" i="16"/>
  <c r="H479" i="16"/>
  <c r="H480" i="16"/>
  <c r="G480" i="16" s="1"/>
  <c r="F480" i="16" s="1"/>
  <c r="L478" i="16"/>
  <c r="E474" i="16"/>
  <c r="H471" i="16"/>
  <c r="K469" i="16"/>
  <c r="J477" i="16"/>
  <c r="G471" i="16"/>
  <c r="L452" i="16"/>
  <c r="G454" i="16"/>
  <c r="M455" i="16"/>
  <c r="K457" i="16"/>
  <c r="K459" i="16"/>
  <c r="I465" i="16"/>
  <c r="H465" i="16" s="1"/>
  <c r="G465" i="16" s="1"/>
  <c r="F465" i="16" s="1"/>
  <c r="E465" i="16" s="1"/>
  <c r="N467" i="16"/>
  <c r="G452" i="16"/>
  <c r="F454" i="16"/>
  <c r="L455" i="16"/>
  <c r="J457" i="16"/>
  <c r="F459" i="16"/>
  <c r="M463" i="16"/>
  <c r="H468" i="16"/>
  <c r="H451" i="16"/>
  <c r="L457" i="16"/>
  <c r="H454" i="16"/>
  <c r="L459" i="16"/>
  <c r="M452" i="16"/>
  <c r="I458" i="16"/>
  <c r="F468" i="16"/>
  <c r="J455" i="16"/>
  <c r="E451" i="16"/>
  <c r="J452" i="16"/>
  <c r="E454" i="16"/>
  <c r="K455" i="16"/>
  <c r="I457" i="16"/>
  <c r="N458" i="16"/>
  <c r="F460" i="16"/>
  <c r="L467" i="16"/>
  <c r="D500" i="16"/>
  <c r="F540" i="16" s="1"/>
  <c r="N497" i="16"/>
  <c r="G496" i="16"/>
  <c r="G492" i="16"/>
  <c r="H486" i="16"/>
  <c r="F484" i="16"/>
  <c r="F493" i="16"/>
  <c r="I487" i="16"/>
  <c r="K497" i="16"/>
  <c r="M493" i="16"/>
  <c r="H492" i="16"/>
  <c r="H487" i="16"/>
  <c r="H497" i="16"/>
  <c r="N491" i="16"/>
  <c r="E497" i="16"/>
  <c r="K493" i="16"/>
  <c r="F492" i="16"/>
  <c r="J487" i="16"/>
  <c r="N483" i="16"/>
  <c r="M483" i="16" s="1"/>
  <c r="L483" i="16" s="1"/>
  <c r="L497" i="16"/>
  <c r="E487" i="16"/>
  <c r="H481" i="16"/>
  <c r="G481" i="16" s="1"/>
  <c r="F481" i="16" s="1"/>
  <c r="E481" i="16" s="1"/>
  <c r="J479" i="16"/>
  <c r="E478" i="16"/>
  <c r="H473" i="16"/>
  <c r="N470" i="16"/>
  <c r="H469" i="16"/>
  <c r="G478" i="16"/>
  <c r="K479" i="16"/>
  <c r="F478" i="16"/>
  <c r="M473" i="16"/>
  <c r="J471" i="16"/>
  <c r="L479" i="16"/>
  <c r="F469" i="16"/>
  <c r="E479" i="16"/>
  <c r="G477" i="16"/>
  <c r="L471" i="16"/>
  <c r="E470" i="16"/>
  <c r="K478" i="16"/>
  <c r="K471" i="16"/>
  <c r="H452" i="16"/>
  <c r="M453" i="16"/>
  <c r="I455" i="16"/>
  <c r="G457" i="16"/>
  <c r="G459" i="16"/>
  <c r="N464" i="16"/>
  <c r="M464" i="16" s="1"/>
  <c r="L464" i="16" s="1"/>
  <c r="K464" i="16" s="1"/>
  <c r="J464" i="16" s="1"/>
  <c r="I464" i="16" s="1"/>
  <c r="H464" i="16" s="1"/>
  <c r="G464" i="16" s="1"/>
  <c r="F464" i="16" s="1"/>
  <c r="E464" i="16" s="1"/>
  <c r="O464" i="16" s="1"/>
  <c r="J467" i="16"/>
  <c r="M468" i="16"/>
  <c r="N451" i="16"/>
  <c r="L453" i="16"/>
  <c r="H455" i="16"/>
  <c r="F457" i="16"/>
  <c r="E457" i="16" s="1"/>
  <c r="K458" i="16"/>
  <c r="H460" i="16"/>
  <c r="G460" i="16" s="1"/>
  <c r="M467" i="16"/>
  <c r="E450" i="16"/>
  <c r="F455" i="16"/>
  <c r="N453" i="16"/>
  <c r="M458" i="16"/>
  <c r="H456" i="16"/>
  <c r="K467" i="16"/>
  <c r="F453" i="16"/>
  <c r="G467" i="16"/>
  <c r="N450" i="16"/>
  <c r="M450" i="16" s="1"/>
  <c r="L450" i="16" s="1"/>
  <c r="K450" i="16" s="1"/>
  <c r="J450" i="16" s="1"/>
  <c r="I450" i="16" s="1"/>
  <c r="H450" i="16" s="1"/>
  <c r="G450" i="16" s="1"/>
  <c r="F450" i="16" s="1"/>
  <c r="F452" i="16"/>
  <c r="K453" i="16"/>
  <c r="G455" i="16"/>
  <c r="M456" i="16"/>
  <c r="J458" i="16"/>
  <c r="M459" i="16"/>
  <c r="H467" i="16"/>
  <c r="E498" i="16"/>
  <c r="K496" i="16"/>
  <c r="K492" i="16"/>
  <c r="G487" i="16"/>
  <c r="I483" i="16"/>
  <c r="N493" i="16"/>
  <c r="F491" i="16"/>
  <c r="M487" i="16"/>
  <c r="F498" i="16"/>
  <c r="H496" i="16"/>
  <c r="L492" i="16"/>
  <c r="E491" i="16"/>
  <c r="L487" i="16"/>
  <c r="H498" i="16"/>
  <c r="G498" i="16" s="1"/>
  <c r="I492" i="16"/>
  <c r="I497" i="16"/>
  <c r="F496" i="16"/>
  <c r="J492" i="16"/>
  <c r="N487" i="16"/>
  <c r="H484" i="16"/>
  <c r="I481" i="16"/>
  <c r="N479" i="16"/>
  <c r="I478" i="16"/>
  <c r="L473" i="16"/>
  <c r="E471" i="16"/>
  <c r="L469" i="16"/>
  <c r="E469" i="16"/>
  <c r="J469" i="16"/>
  <c r="J478" i="16"/>
  <c r="E477" i="16"/>
  <c r="N471" i="16"/>
  <c r="I469" i="16"/>
  <c r="J473" i="16"/>
  <c r="I479" i="16"/>
  <c r="K477" i="16"/>
  <c r="G473" i="16"/>
  <c r="I470" i="16"/>
  <c r="E480" i="16"/>
  <c r="F473" i="16"/>
  <c r="K451" i="16"/>
  <c r="I453" i="16"/>
  <c r="E455" i="16"/>
  <c r="K456" i="16"/>
  <c r="L458" i="16"/>
  <c r="N463" i="16"/>
  <c r="F467" i="16"/>
  <c r="I468" i="16"/>
  <c r="J451" i="16"/>
  <c r="H453" i="16"/>
  <c r="N454" i="16"/>
  <c r="J456" i="16"/>
  <c r="G458" i="16"/>
  <c r="N459" i="16"/>
  <c r="I467" i="16"/>
  <c r="L454" i="16"/>
  <c r="H457" i="16"/>
  <c r="J468" i="16"/>
  <c r="N455" i="16"/>
  <c r="E460" i="16"/>
  <c r="I452" i="16"/>
  <c r="L466" i="16"/>
  <c r="M451" i="16"/>
  <c r="G453" i="16"/>
  <c r="M454" i="16"/>
  <c r="I456" i="16"/>
  <c r="F458" i="16"/>
  <c r="I459" i="16"/>
  <c r="M466" i="16"/>
  <c r="F497" i="16"/>
  <c r="H493" i="16"/>
  <c r="H491" i="16"/>
  <c r="K487" i="16"/>
  <c r="E484" i="16"/>
  <c r="I496" i="16"/>
  <c r="E492" i="16"/>
  <c r="H488" i="16"/>
  <c r="L496" i="16"/>
  <c r="E493" i="16"/>
  <c r="I491" i="16"/>
  <c r="G488" i="16"/>
  <c r="F488" i="16" s="1"/>
  <c r="J493" i="16"/>
  <c r="M497" i="16"/>
  <c r="J496" i="16"/>
  <c r="N492" i="16"/>
  <c r="G491" i="16"/>
  <c r="I488" i="16"/>
  <c r="G486" i="16"/>
  <c r="N486" i="16"/>
  <c r="M486" i="16" s="1"/>
  <c r="L486" i="16" s="1"/>
  <c r="K486" i="16" s="1"/>
  <c r="J486" i="16" s="1"/>
  <c r="I486" i="16" s="1"/>
  <c r="J491" i="16"/>
  <c r="K483" i="16"/>
  <c r="J480" i="16"/>
  <c r="M478" i="16"/>
  <c r="H477" i="16"/>
  <c r="I471" i="16"/>
  <c r="F470" i="16"/>
  <c r="N469" i="16"/>
  <c r="M469" i="16" s="1"/>
  <c r="H470" i="16"/>
  <c r="N478" i="16"/>
  <c r="I477" i="16"/>
  <c r="E473" i="16"/>
  <c r="G470" i="16"/>
  <c r="F477" i="16"/>
  <c r="M479" i="16"/>
  <c r="H478" i="16"/>
  <c r="K473" i="16"/>
  <c r="M470" i="16"/>
  <c r="G469" i="16"/>
  <c r="N473" i="16"/>
  <c r="L470" i="16"/>
  <c r="G451" i="16"/>
  <c r="E453" i="16"/>
  <c r="K454" i="16"/>
  <c r="G456" i="16"/>
  <c r="H458" i="16"/>
  <c r="J460" i="16"/>
  <c r="I460" i="16" s="1"/>
  <c r="K466" i="16"/>
  <c r="J466" i="16" s="1"/>
  <c r="I466" i="16" s="1"/>
  <c r="H466" i="16" s="1"/>
  <c r="G466" i="16" s="1"/>
  <c r="F466" i="16" s="1"/>
  <c r="E466" i="16" s="1"/>
  <c r="E468" i="16"/>
  <c r="F451" i="16"/>
  <c r="K452" i="16"/>
  <c r="J454" i="16"/>
  <c r="F456" i="16"/>
  <c r="N457" i="16"/>
  <c r="J459" i="16"/>
  <c r="E467" i="16"/>
  <c r="L468" i="16"/>
  <c r="M735" i="16"/>
  <c r="N757" i="16" s="1"/>
  <c r="M714" i="16"/>
  <c r="M693" i="16"/>
  <c r="T320" i="29"/>
  <c r="T271" i="29"/>
  <c r="S895" i="16" s="1"/>
  <c r="T264" i="29"/>
  <c r="T255" i="29"/>
  <c r="T247" i="29"/>
  <c r="T235" i="29"/>
  <c r="T227" i="29"/>
  <c r="T205" i="29"/>
  <c r="T185" i="29"/>
  <c r="T163" i="29"/>
  <c r="T151" i="29"/>
  <c r="T214" i="29"/>
  <c r="T194" i="29"/>
  <c r="T172" i="29"/>
  <c r="T140" i="29"/>
  <c r="T127" i="29"/>
  <c r="T118" i="29"/>
  <c r="T106" i="29"/>
  <c r="D259" i="48"/>
  <c r="G199" i="2" s="1"/>
  <c r="V257" i="48"/>
  <c r="U257" i="48"/>
  <c r="T257" i="48"/>
  <c r="V255" i="48"/>
  <c r="U255" i="48"/>
  <c r="T255" i="48"/>
  <c r="E505" i="16" l="1"/>
  <c r="E534" i="16"/>
  <c r="I517" i="16"/>
  <c r="J516" i="16"/>
  <c r="F535" i="16"/>
  <c r="E519" i="16"/>
  <c r="I519" i="16"/>
  <c r="G540" i="16"/>
  <c r="N516" i="16"/>
  <c r="E535" i="16"/>
  <c r="G531" i="16"/>
  <c r="F531" i="16" s="1"/>
  <c r="E531" i="16" s="1"/>
  <c r="I516" i="16"/>
  <c r="G525" i="16"/>
  <c r="H505" i="16"/>
  <c r="H522" i="16"/>
  <c r="J537" i="16"/>
  <c r="M505" i="16"/>
  <c r="N519" i="16"/>
  <c r="K519" i="16"/>
  <c r="K520" i="16"/>
  <c r="D546" i="16"/>
  <c r="E557" i="16" s="1"/>
  <c r="I532" i="16"/>
  <c r="H532" i="16" s="1"/>
  <c r="G532" i="16" s="1"/>
  <c r="F532" i="16" s="1"/>
  <c r="E532" i="16" s="1"/>
  <c r="H534" i="16"/>
  <c r="H525" i="16"/>
  <c r="G518" i="16"/>
  <c r="E516" i="16"/>
  <c r="N505" i="16"/>
  <c r="I544" i="16"/>
  <c r="K544" i="16"/>
  <c r="G541" i="16"/>
  <c r="F541" i="16" s="1"/>
  <c r="E541" i="16" s="1"/>
  <c r="K534" i="16"/>
  <c r="K525" i="16"/>
  <c r="E518" i="16"/>
  <c r="H519" i="16"/>
  <c r="H518" i="16"/>
  <c r="J505" i="16"/>
  <c r="J541" i="16"/>
  <c r="G543" i="16"/>
  <c r="F543" i="16" s="1"/>
  <c r="E543" i="16" s="1"/>
  <c r="G534" i="16"/>
  <c r="L517" i="16"/>
  <c r="K517" i="16"/>
  <c r="F537" i="16"/>
  <c r="L534" i="16"/>
  <c r="E540" i="16"/>
  <c r="M534" i="16"/>
  <c r="M525" i="16"/>
  <c r="G519" i="16"/>
  <c r="J520" i="16"/>
  <c r="J519" i="16"/>
  <c r="I505" i="16"/>
  <c r="K540" i="16"/>
  <c r="N537" i="16"/>
  <c r="J540" i="16"/>
  <c r="J535" i="16"/>
  <c r="I534" i="16"/>
  <c r="G522" i="16"/>
  <c r="F522" i="16" s="1"/>
  <c r="E522" i="16" s="1"/>
  <c r="H516" i="16"/>
  <c r="M517" i="16"/>
  <c r="G516" i="16"/>
  <c r="L505" i="16"/>
  <c r="I540" i="16"/>
  <c r="J525" i="16"/>
  <c r="N518" i="16"/>
  <c r="E537" i="16"/>
  <c r="F534" i="16"/>
  <c r="K518" i="16"/>
  <c r="F519" i="16"/>
  <c r="E517" i="16"/>
  <c r="E520" i="16"/>
  <c r="G520" i="16"/>
  <c r="F520" i="16" s="1"/>
  <c r="M518" i="16"/>
  <c r="F525" i="16"/>
  <c r="N525" i="16"/>
  <c r="L535" i="16"/>
  <c r="K535" i="16"/>
  <c r="N534" i="16"/>
  <c r="L537" i="16"/>
  <c r="K537" i="16"/>
  <c r="K541" i="16"/>
  <c r="M537" i="16"/>
  <c r="L566" i="16"/>
  <c r="J517" i="16"/>
  <c r="L518" i="16"/>
  <c r="M516" i="16"/>
  <c r="L519" i="16"/>
  <c r="M519" i="16"/>
  <c r="I518" i="16"/>
  <c r="G523" i="16"/>
  <c r="F523" i="16" s="1"/>
  <c r="E523" i="16" s="1"/>
  <c r="L525" i="16"/>
  <c r="H535" i="16"/>
  <c r="G535" i="16"/>
  <c r="J534" i="16"/>
  <c r="J544" i="16"/>
  <c r="H537" i="16"/>
  <c r="M540" i="16"/>
  <c r="I537" i="16"/>
  <c r="M572" i="16"/>
  <c r="K505" i="16"/>
  <c r="G517" i="16"/>
  <c r="F516" i="16"/>
  <c r="J518" i="16"/>
  <c r="N517" i="16"/>
  <c r="H517" i="16"/>
  <c r="I522" i="16"/>
  <c r="I525" i="16"/>
  <c r="K532" i="16"/>
  <c r="J532" i="16"/>
  <c r="G528" i="16"/>
  <c r="F528" i="16" s="1"/>
  <c r="E528" i="16" s="1"/>
  <c r="G537" i="16"/>
  <c r="H541" i="16"/>
  <c r="L540" i="16"/>
  <c r="H544" i="16"/>
  <c r="G544" i="16" s="1"/>
  <c r="F544" i="16" s="1"/>
  <c r="E544" i="16" s="1"/>
  <c r="L582" i="16"/>
  <c r="F505" i="16"/>
  <c r="G505" i="16"/>
  <c r="K516" i="16"/>
  <c r="H520" i="16"/>
  <c r="F518" i="16"/>
  <c r="F517" i="16"/>
  <c r="L516" i="16"/>
  <c r="I520" i="16"/>
  <c r="E525" i="16"/>
  <c r="I535" i="16"/>
  <c r="H529" i="16"/>
  <c r="G529" i="16" s="1"/>
  <c r="F529" i="16" s="1"/>
  <c r="E529" i="16" s="1"/>
  <c r="M535" i="16"/>
  <c r="N535" i="16"/>
  <c r="N540" i="16"/>
  <c r="H540" i="16"/>
  <c r="I541" i="16"/>
  <c r="O455" i="16"/>
  <c r="O467" i="16"/>
  <c r="O453" i="16"/>
  <c r="O484" i="16"/>
  <c r="O479" i="16"/>
  <c r="O454" i="16"/>
  <c r="O483" i="16"/>
  <c r="O458" i="16"/>
  <c r="O463" i="16"/>
  <c r="O473" i="16"/>
  <c r="O471" i="16"/>
  <c r="O478" i="16"/>
  <c r="O486" i="16"/>
  <c r="O452" i="16"/>
  <c r="O468" i="16"/>
  <c r="O492" i="16"/>
  <c r="O477" i="16"/>
  <c r="O491" i="16"/>
  <c r="O487" i="16"/>
  <c r="O451" i="16"/>
  <c r="O493" i="16"/>
  <c r="O469" i="16"/>
  <c r="O450" i="16"/>
  <c r="O457" i="16"/>
  <c r="O470" i="16"/>
  <c r="O497" i="16"/>
  <c r="O496" i="16"/>
  <c r="O459" i="16"/>
  <c r="R895" i="16"/>
  <c r="Q895" i="16" s="1"/>
  <c r="P895" i="16" s="1"/>
  <c r="O895" i="16" s="1"/>
  <c r="N895" i="16" s="1"/>
  <c r="M895" i="16" s="1"/>
  <c r="L895" i="16" s="1"/>
  <c r="K895" i="16" s="1"/>
  <c r="J895" i="16" s="1"/>
  <c r="M906" i="16"/>
  <c r="R909" i="16" s="1"/>
  <c r="M757" i="16"/>
  <c r="L757" i="16" s="1"/>
  <c r="K757" i="16" s="1"/>
  <c r="J757" i="16" s="1"/>
  <c r="I757" i="16" s="1"/>
  <c r="H757" i="16" s="1"/>
  <c r="G757" i="16" s="1"/>
  <c r="F757" i="16" s="1"/>
  <c r="E757" i="16" s="1"/>
  <c r="M777" i="16"/>
  <c r="E577" i="16" l="1"/>
  <c r="K554" i="16"/>
  <c r="N571" i="16"/>
  <c r="L562" i="16"/>
  <c r="L574" i="16"/>
  <c r="N558" i="16"/>
  <c r="E575" i="16"/>
  <c r="H566" i="16"/>
  <c r="I551" i="16"/>
  <c r="H567" i="16"/>
  <c r="N574" i="16"/>
  <c r="F573" i="16"/>
  <c r="M561" i="16"/>
  <c r="G562" i="16"/>
  <c r="K577" i="16"/>
  <c r="E559" i="16"/>
  <c r="H572" i="16"/>
  <c r="J562" i="16"/>
  <c r="I555" i="16"/>
  <c r="I578" i="16"/>
  <c r="I571" i="16"/>
  <c r="K550" i="16"/>
  <c r="M579" i="16"/>
  <c r="M571" i="16"/>
  <c r="F554" i="16"/>
  <c r="E554" i="16" s="1"/>
  <c r="K559" i="16"/>
  <c r="F555" i="16"/>
  <c r="E555" i="16" s="1"/>
  <c r="K569" i="16"/>
  <c r="O517" i="16"/>
  <c r="N566" i="16"/>
  <c r="M562" i="16"/>
  <c r="I574" i="16"/>
  <c r="G581" i="16"/>
  <c r="I567" i="16"/>
  <c r="M574" i="16"/>
  <c r="I580" i="16"/>
  <c r="K560" i="16"/>
  <c r="M570" i="16"/>
  <c r="I559" i="16"/>
  <c r="I554" i="16"/>
  <c r="G578" i="16"/>
  <c r="E558" i="16"/>
  <c r="F560" i="16"/>
  <c r="J555" i="16"/>
  <c r="F570" i="16"/>
  <c r="J567" i="16"/>
  <c r="I560" i="16"/>
  <c r="M550" i="16"/>
  <c r="F578" i="16"/>
  <c r="K574" i="16"/>
  <c r="J568" i="16"/>
  <c r="H555" i="16"/>
  <c r="L555" i="16"/>
  <c r="K571" i="16"/>
  <c r="G569" i="16"/>
  <c r="F562" i="16"/>
  <c r="M580" i="16"/>
  <c r="F561" i="16"/>
  <c r="J571" i="16"/>
  <c r="N560" i="16"/>
  <c r="M554" i="16"/>
  <c r="O516" i="16"/>
  <c r="N580" i="16"/>
  <c r="I573" i="16"/>
  <c r="F559" i="16"/>
  <c r="H571" i="16"/>
  <c r="I565" i="16"/>
  <c r="H564" i="16"/>
  <c r="G564" i="16" s="1"/>
  <c r="F564" i="16" s="1"/>
  <c r="E564" i="16" s="1"/>
  <c r="K556" i="16"/>
  <c r="H556" i="16"/>
  <c r="J556" i="16"/>
  <c r="O525" i="16"/>
  <c r="O518" i="16"/>
  <c r="E578" i="16"/>
  <c r="J570" i="16"/>
  <c r="L573" i="16"/>
  <c r="N567" i="16"/>
  <c r="G575" i="16"/>
  <c r="M560" i="16"/>
  <c r="M551" i="16"/>
  <c r="F551" i="16"/>
  <c r="H551" i="16"/>
  <c r="H580" i="16"/>
  <c r="I577" i="16"/>
  <c r="N564" i="16"/>
  <c r="N575" i="16"/>
  <c r="G561" i="16"/>
  <c r="L569" i="16"/>
  <c r="F571" i="16"/>
  <c r="N557" i="16"/>
  <c r="L580" i="16"/>
  <c r="N577" i="16"/>
  <c r="K565" i="16"/>
  <c r="J565" i="16" s="1"/>
  <c r="M559" i="16"/>
  <c r="K561" i="16"/>
  <c r="H570" i="16"/>
  <c r="G572" i="16"/>
  <c r="O519" i="16"/>
  <c r="O540" i="16"/>
  <c r="F582" i="16"/>
  <c r="F577" i="16"/>
  <c r="H562" i="16"/>
  <c r="G574" i="16"/>
  <c r="F558" i="16"/>
  <c r="F568" i="16"/>
  <c r="E568" i="16" s="1"/>
  <c r="M566" i="16"/>
  <c r="N554" i="16"/>
  <c r="F550" i="16"/>
  <c r="J554" i="16"/>
  <c r="H582" i="16"/>
  <c r="G582" i="16" s="1"/>
  <c r="M573" i="16"/>
  <c r="J559" i="16"/>
  <c r="L571" i="16"/>
  <c r="I566" i="16"/>
  <c r="L564" i="16"/>
  <c r="G557" i="16"/>
  <c r="L556" i="16"/>
  <c r="N556" i="16"/>
  <c r="H581" i="16"/>
  <c r="H578" i="16"/>
  <c r="L568" i="16"/>
  <c r="L567" i="16"/>
  <c r="L565" i="16"/>
  <c r="N572" i="16"/>
  <c r="K558" i="16"/>
  <c r="E549" i="16"/>
  <c r="M556" i="16"/>
  <c r="M581" i="16"/>
  <c r="L581" i="16" s="1"/>
  <c r="L578" i="16"/>
  <c r="F569" i="16"/>
  <c r="G568" i="16"/>
  <c r="G566" i="16"/>
  <c r="F566" i="16" s="1"/>
  <c r="G573" i="16"/>
  <c r="H559" i="16"/>
  <c r="H550" i="16"/>
  <c r="O534" i="16"/>
  <c r="O535" i="16"/>
  <c r="O505" i="16"/>
  <c r="O537" i="16"/>
  <c r="K582" i="16"/>
  <c r="J580" i="16"/>
  <c r="M578" i="16"/>
  <c r="N578" i="16"/>
  <c r="N570" i="16"/>
  <c r="J558" i="16"/>
  <c r="F575" i="16"/>
  <c r="I568" i="16"/>
  <c r="H560" i="16"/>
  <c r="K575" i="16"/>
  <c r="N568" i="16"/>
  <c r="H561" i="16"/>
  <c r="I569" i="16"/>
  <c r="H554" i="16"/>
  <c r="M557" i="16"/>
  <c r="J551" i="16"/>
  <c r="E556" i="16"/>
  <c r="L551" i="16"/>
  <c r="I557" i="16"/>
  <c r="K580" i="16"/>
  <c r="E580" i="16"/>
  <c r="L577" i="16"/>
  <c r="J574" i="16"/>
  <c r="H568" i="16"/>
  <c r="G560" i="16"/>
  <c r="N565" i="16"/>
  <c r="I572" i="16"/>
  <c r="F565" i="16"/>
  <c r="E565" i="16" s="1"/>
  <c r="M569" i="16"/>
  <c r="J572" i="16"/>
  <c r="M565" i="16"/>
  <c r="G558" i="16"/>
  <c r="L558" i="16"/>
  <c r="L557" i="16"/>
  <c r="J557" i="16"/>
  <c r="G580" i="16"/>
  <c r="H577" i="16"/>
  <c r="M567" i="16"/>
  <c r="K564" i="16"/>
  <c r="F572" i="16"/>
  <c r="H575" i="16"/>
  <c r="G577" i="16"/>
  <c r="G571" i="16"/>
  <c r="G559" i="16"/>
  <c r="M568" i="16"/>
  <c r="H558" i="16"/>
  <c r="L561" i="16"/>
  <c r="L554" i="16"/>
  <c r="I556" i="16"/>
  <c r="J582" i="16"/>
  <c r="I582" i="16" s="1"/>
  <c r="F581" i="16"/>
  <c r="E581" i="16" s="1"/>
  <c r="L579" i="16"/>
  <c r="K579" i="16" s="1"/>
  <c r="J579" i="16" s="1"/>
  <c r="I579" i="16" s="1"/>
  <c r="H579" i="16" s="1"/>
  <c r="G579" i="16" s="1"/>
  <c r="F579" i="16" s="1"/>
  <c r="E579" i="16" s="1"/>
  <c r="I575" i="16"/>
  <c r="J569" i="16"/>
  <c r="J561" i="16"/>
  <c r="E569" i="16"/>
  <c r="J573" i="16"/>
  <c r="K566" i="16"/>
  <c r="K572" i="16"/>
  <c r="K573" i="16"/>
  <c r="G567" i="16"/>
  <c r="L559" i="16"/>
  <c r="K562" i="16"/>
  <c r="L550" i="16"/>
  <c r="J550" i="16"/>
  <c r="E550" i="16"/>
  <c r="N550" i="16"/>
  <c r="E582" i="16"/>
  <c r="F580" i="16"/>
  <c r="M577" i="16"/>
  <c r="E573" i="16"/>
  <c r="J566" i="16"/>
  <c r="M558" i="16"/>
  <c r="E561" i="16"/>
  <c r="K570" i="16"/>
  <c r="I562" i="16"/>
  <c r="I564" i="16"/>
  <c r="E571" i="16"/>
  <c r="E574" i="16"/>
  <c r="G556" i="16"/>
  <c r="K555" i="16"/>
  <c r="F556" i="16"/>
  <c r="M582" i="16"/>
  <c r="F574" i="16"/>
  <c r="N559" i="16"/>
  <c r="E572" i="16"/>
  <c r="K568" i="16"/>
  <c r="H565" i="16"/>
  <c r="G565" i="16" s="1"/>
  <c r="K557" i="16"/>
  <c r="H557" i="16"/>
  <c r="F557" i="16"/>
  <c r="K581" i="16"/>
  <c r="N579" i="16"/>
  <c r="J564" i="16"/>
  <c r="J575" i="16"/>
  <c r="L560" i="16"/>
  <c r="H569" i="16"/>
  <c r="I570" i="16"/>
  <c r="N551" i="16"/>
  <c r="G554" i="16"/>
  <c r="L572" i="16"/>
  <c r="G570" i="16"/>
  <c r="N562" i="16"/>
  <c r="G555" i="16"/>
  <c r="M575" i="16"/>
  <c r="N573" i="16"/>
  <c r="K567" i="16"/>
  <c r="K551" i="16"/>
  <c r="G551" i="16"/>
  <c r="I581" i="16"/>
  <c r="E562" i="16"/>
  <c r="H573" i="16"/>
  <c r="N569" i="16"/>
  <c r="E560" i="16"/>
  <c r="K578" i="16"/>
  <c r="I558" i="16"/>
  <c r="I561" i="16"/>
  <c r="N555" i="16"/>
  <c r="M555" i="16"/>
  <c r="N561" i="16"/>
  <c r="J578" i="16"/>
  <c r="J560" i="16"/>
  <c r="L570" i="16"/>
  <c r="J577" i="16"/>
  <c r="E570" i="16"/>
  <c r="H574" i="16"/>
  <c r="E551" i="16"/>
  <c r="G550" i="16"/>
  <c r="E566" i="16"/>
  <c r="N582" i="16"/>
  <c r="F567" i="16"/>
  <c r="E567" i="16" s="1"/>
  <c r="I550" i="16"/>
  <c r="J581" i="16"/>
  <c r="L575" i="16"/>
  <c r="M564" i="16"/>
  <c r="L777" i="16"/>
  <c r="K777" i="16" s="1"/>
  <c r="J777" i="16" s="1"/>
  <c r="I777" i="16" s="1"/>
  <c r="H777" i="16" s="1"/>
  <c r="G777" i="16" s="1"/>
  <c r="F777" i="16" s="1"/>
  <c r="E777" i="16" s="1"/>
  <c r="L906" i="16"/>
  <c r="K906" i="16" s="1"/>
  <c r="J906" i="16" s="1"/>
  <c r="I906" i="16" s="1"/>
  <c r="H906" i="16" s="1"/>
  <c r="G906" i="16" s="1"/>
  <c r="F906" i="16" s="1"/>
  <c r="E906" i="16" s="1"/>
  <c r="D906" i="16" s="1"/>
  <c r="R907" i="16" s="1"/>
  <c r="D777" i="16"/>
  <c r="D757" i="16"/>
  <c r="V253" i="48"/>
  <c r="U253" i="48"/>
  <c r="T253" i="48"/>
  <c r="V251" i="48"/>
  <c r="U251" i="48"/>
  <c r="T251" i="48"/>
  <c r="O571" i="16" l="1"/>
  <c r="O566" i="16"/>
  <c r="O570" i="16"/>
  <c r="O578" i="16"/>
  <c r="O560" i="16"/>
  <c r="O557" i="16"/>
  <c r="O572" i="16"/>
  <c r="O558" i="16"/>
  <c r="O579" i="16"/>
  <c r="O559" i="16"/>
  <c r="O567" i="16"/>
  <c r="O551" i="16"/>
  <c r="O555" i="16"/>
  <c r="O554" i="16"/>
  <c r="O564" i="16"/>
  <c r="O550" i="16"/>
  <c r="O573" i="16"/>
  <c r="O575" i="16"/>
  <c r="O561" i="16"/>
  <c r="O562" i="16"/>
  <c r="O574" i="16"/>
  <c r="O582" i="16"/>
  <c r="O565" i="16"/>
  <c r="O568" i="16"/>
  <c r="V249" i="48"/>
  <c r="U249" i="48"/>
  <c r="T249" i="48"/>
  <c r="V247" i="48"/>
  <c r="U247" i="48"/>
  <c r="T247" i="48"/>
  <c r="V243" i="48" l="1"/>
  <c r="U243" i="48"/>
  <c r="T243" i="48"/>
  <c r="L243" i="48"/>
  <c r="K243" i="48"/>
  <c r="J243" i="48"/>
  <c r="I243" i="48"/>
  <c r="H243" i="48"/>
  <c r="G243" i="48"/>
  <c r="F243" i="48"/>
  <c r="E243" i="48"/>
  <c r="D243" i="48" l="1"/>
  <c r="G187" i="2" s="1"/>
  <c r="V241" i="48"/>
  <c r="U241" i="48"/>
  <c r="T241" i="48"/>
  <c r="N241" i="48"/>
  <c r="M241" i="48"/>
  <c r="L241" i="48"/>
  <c r="K241" i="48"/>
  <c r="J241" i="48"/>
  <c r="I241" i="48"/>
  <c r="H241" i="48"/>
  <c r="G241" i="48"/>
  <c r="F241" i="48" l="1"/>
  <c r="E241" i="48"/>
  <c r="D241" i="48"/>
  <c r="G186" i="2" s="1"/>
  <c r="V237" i="48"/>
  <c r="U237" i="48"/>
  <c r="T237" i="48"/>
  <c r="V235" i="48"/>
  <c r="U235" i="48"/>
  <c r="T235" i="48"/>
  <c r="D235" i="48" l="1"/>
  <c r="G184" i="2" s="1"/>
  <c r="V233" i="48"/>
  <c r="U233" i="48"/>
  <c r="T233" i="48"/>
  <c r="V231" i="48"/>
  <c r="U231" i="48"/>
  <c r="T231" i="48"/>
  <c r="V229" i="48"/>
  <c r="U229" i="48"/>
  <c r="T229" i="48"/>
  <c r="D229" i="48"/>
  <c r="G183" i="2" s="1"/>
  <c r="V227" i="48"/>
  <c r="U227" i="48"/>
  <c r="T227" i="48"/>
  <c r="V225" i="48" l="1"/>
  <c r="U225" i="48"/>
  <c r="T225" i="48"/>
  <c r="V223" i="48"/>
  <c r="U223" i="48"/>
  <c r="T223" i="48"/>
  <c r="V221" i="48" l="1"/>
  <c r="U221" i="48"/>
  <c r="T221" i="48"/>
  <c r="V217" i="48"/>
  <c r="U217" i="48"/>
  <c r="T217" i="48"/>
  <c r="V215" i="48" l="1"/>
  <c r="U215" i="48"/>
  <c r="T215" i="48"/>
  <c r="D215" i="48"/>
  <c r="G166" i="2" s="1"/>
  <c r="V213" i="48"/>
  <c r="U213" i="48"/>
  <c r="T213" i="48"/>
  <c r="V211" i="48"/>
  <c r="U211" i="48"/>
  <c r="T211" i="48"/>
  <c r="V209" i="48" l="1"/>
  <c r="U209" i="48"/>
  <c r="T209" i="48"/>
  <c r="V207" i="48" l="1"/>
  <c r="U207" i="48"/>
  <c r="T207" i="48"/>
  <c r="V205" i="48"/>
  <c r="U205" i="48"/>
  <c r="T205" i="48"/>
  <c r="V201" i="48"/>
  <c r="U201" i="48"/>
  <c r="T201" i="48"/>
  <c r="D200" i="48"/>
  <c r="E200" i="48" s="1"/>
  <c r="F200" i="48" s="1"/>
  <c r="G200" i="48" s="1"/>
  <c r="H200" i="48" s="1"/>
  <c r="H246" i="48" l="1"/>
  <c r="H240" i="48" s="1"/>
  <c r="H220" i="48"/>
  <c r="I200" i="48"/>
  <c r="F246" i="48"/>
  <c r="F240" i="48" s="1"/>
  <c r="F220" i="48"/>
  <c r="E246" i="48"/>
  <c r="E240" i="48" s="1"/>
  <c r="E220" i="48"/>
  <c r="D220" i="48" s="1"/>
  <c r="D246" i="48"/>
  <c r="G246" i="48"/>
  <c r="G240" i="48" s="1"/>
  <c r="G220" i="48"/>
  <c r="V183" i="48"/>
  <c r="U183" i="48"/>
  <c r="T183" i="48"/>
  <c r="D183" i="48"/>
  <c r="V181" i="48"/>
  <c r="U181" i="48"/>
  <c r="T181" i="48"/>
  <c r="V176" i="48"/>
  <c r="U176" i="48"/>
  <c r="T176" i="48"/>
  <c r="V174" i="48"/>
  <c r="U174" i="48"/>
  <c r="T174" i="48"/>
  <c r="D240" i="48" l="1"/>
  <c r="I246" i="48"/>
  <c r="I240" i="48" s="1"/>
  <c r="I220" i="48"/>
  <c r="J200" i="48"/>
  <c r="V165" i="48"/>
  <c r="U165" i="48"/>
  <c r="T165" i="48"/>
  <c r="J246" i="48" l="1"/>
  <c r="J240" i="48" s="1"/>
  <c r="J220" i="48"/>
  <c r="K200" i="48"/>
  <c r="V163" i="48"/>
  <c r="U163" i="48"/>
  <c r="T163" i="48"/>
  <c r="K246" i="48" l="1"/>
  <c r="K240" i="48" s="1"/>
  <c r="K220" i="48"/>
  <c r="L200" i="48"/>
  <c r="V161" i="48"/>
  <c r="U161" i="48"/>
  <c r="T161" i="48"/>
  <c r="V156" i="48"/>
  <c r="U156" i="48"/>
  <c r="T156" i="48"/>
  <c r="V154" i="48"/>
  <c r="U154" i="48"/>
  <c r="T154" i="48"/>
  <c r="L246" i="48" l="1"/>
  <c r="L240" i="48" s="1"/>
  <c r="L220" i="48"/>
  <c r="L152" i="48" s="1"/>
  <c r="M200" i="48"/>
  <c r="K152" i="48"/>
  <c r="J152" i="48"/>
  <c r="M246" i="48" l="1"/>
  <c r="M240" i="48" s="1"/>
  <c r="M220" i="48"/>
  <c r="M152" i="48" s="1"/>
  <c r="N200" i="48"/>
  <c r="I152" i="48"/>
  <c r="H152" i="48"/>
  <c r="N246" i="48" l="1"/>
  <c r="N240" i="48" s="1"/>
  <c r="N220" i="48"/>
  <c r="N152" i="48" s="1"/>
  <c r="G152" i="48"/>
  <c r="F152" i="48"/>
  <c r="E152" i="48" l="1"/>
  <c r="D152" i="48"/>
  <c r="V136" i="48"/>
  <c r="U136" i="48"/>
  <c r="T136" i="48"/>
  <c r="D136" i="48"/>
  <c r="H232" i="2" s="1"/>
  <c r="V134" i="48"/>
  <c r="U134" i="48"/>
  <c r="T134" i="48"/>
  <c r="V125" i="48"/>
  <c r="U125" i="48"/>
  <c r="T125" i="48"/>
  <c r="V123" i="48"/>
  <c r="U123" i="48"/>
  <c r="T123" i="48"/>
  <c r="D123" i="48" l="1"/>
  <c r="G173" i="2" s="1"/>
  <c r="V121" i="48"/>
  <c r="U121" i="48"/>
  <c r="T121" i="48"/>
  <c r="H228" i="2" l="1"/>
  <c r="J228" i="2" s="1"/>
  <c r="N110" i="48"/>
  <c r="M110" i="48"/>
  <c r="L110" i="48"/>
  <c r="K110" i="48"/>
  <c r="J110" i="48"/>
  <c r="I110" i="48"/>
  <c r="H110" i="48"/>
  <c r="G110" i="48"/>
  <c r="F110" i="48" s="1"/>
  <c r="E110" i="48" s="1"/>
  <c r="D110" i="48"/>
  <c r="V102" i="48"/>
  <c r="U102" i="48"/>
  <c r="T102" i="48"/>
  <c r="V100" i="48"/>
  <c r="U100" i="48"/>
  <c r="T100" i="48"/>
  <c r="V98" i="48"/>
  <c r="U98" i="48"/>
  <c r="T98" i="48"/>
  <c r="V87" i="48" l="1"/>
  <c r="U87" i="48"/>
  <c r="T87" i="48"/>
  <c r="V85" i="48"/>
  <c r="U85" i="48"/>
  <c r="T85" i="48"/>
  <c r="N83" i="48"/>
  <c r="Z37" i="49" s="1"/>
  <c r="M83" i="48"/>
  <c r="Y37" i="49" s="1"/>
  <c r="L83" i="48"/>
  <c r="X37" i="49" s="1"/>
  <c r="K83" i="48"/>
  <c r="W37" i="49" s="1"/>
  <c r="J83" i="48" l="1"/>
  <c r="V37" i="49" s="1"/>
  <c r="I83" i="48"/>
  <c r="U37" i="49" s="1"/>
  <c r="H83" i="48" l="1"/>
  <c r="T37" i="49" s="1"/>
  <c r="G83" i="48"/>
  <c r="S37" i="49" s="1"/>
  <c r="F83" i="48" l="1"/>
  <c r="R37" i="49" s="1"/>
  <c r="E83" i="48"/>
  <c r="Q37" i="49" s="1"/>
  <c r="D83" i="48" l="1"/>
  <c r="P37" i="49" s="1"/>
  <c r="V67" i="48"/>
  <c r="U67" i="48"/>
  <c r="T67" i="48"/>
  <c r="D67" i="48" l="1"/>
  <c r="V65" i="48"/>
  <c r="U65" i="48"/>
  <c r="T65" i="48"/>
  <c r="I56" i="48" l="1"/>
  <c r="H56" i="48"/>
  <c r="G56" i="48"/>
  <c r="F56" i="48"/>
  <c r="E56" i="48"/>
  <c r="D56" i="48" s="1"/>
  <c r="V54" i="48"/>
  <c r="U54" i="48"/>
  <c r="T54" i="48"/>
  <c r="V52" i="48" l="1"/>
  <c r="U52" i="48"/>
  <c r="T52" i="48"/>
  <c r="V50" i="48"/>
  <c r="U50" i="48"/>
  <c r="T50" i="48"/>
  <c r="V39" i="48"/>
  <c r="U39" i="48"/>
  <c r="T39" i="48"/>
  <c r="V37" i="48"/>
  <c r="U37" i="48"/>
  <c r="T37" i="48"/>
  <c r="D30" i="48" l="1"/>
  <c r="V26" i="48"/>
  <c r="U26" i="48"/>
  <c r="T26" i="48"/>
  <c r="V24" i="48"/>
  <c r="U24" i="48"/>
  <c r="V35" i="48" l="1"/>
  <c r="U35" i="48" s="1"/>
  <c r="T35" i="48"/>
  <c r="T24" i="48"/>
  <c r="N22" i="48"/>
  <c r="M22" i="48"/>
  <c r="L22" i="48"/>
  <c r="K22" i="48"/>
  <c r="J22" i="48"/>
  <c r="I22" i="48"/>
  <c r="H22" i="48"/>
  <c r="G22" i="48"/>
  <c r="F22" i="48"/>
  <c r="E22" i="48"/>
  <c r="D22" i="48"/>
  <c r="H229" i="11"/>
  <c r="F213" i="15" s="1"/>
  <c r="G213" i="15" s="1"/>
  <c r="H213" i="15" s="1"/>
  <c r="I213" i="15" s="1"/>
  <c r="J213" i="15" s="1"/>
  <c r="K213" i="15" s="1"/>
  <c r="L213" i="15" s="1"/>
  <c r="M213" i="15" s="1"/>
  <c r="N213" i="15" s="1"/>
  <c r="O213" i="15" s="1"/>
  <c r="P213" i="15" s="1"/>
  <c r="N193" i="48" s="1"/>
  <c r="M193" i="48" s="1"/>
  <c r="L193" i="48" s="1"/>
  <c r="K193" i="48" s="1"/>
  <c r="J193" i="48" s="1"/>
  <c r="I193" i="48" s="1"/>
  <c r="H193" i="48" s="1"/>
  <c r="G193" i="48" s="1"/>
  <c r="F193" i="48" s="1"/>
  <c r="E193" i="48" s="1"/>
  <c r="D193" i="48" s="1"/>
  <c r="H228" i="11"/>
  <c r="F207" i="15" s="1"/>
  <c r="Z227" i="11"/>
  <c r="Z223" i="11" l="1"/>
  <c r="Z215" i="11"/>
  <c r="H211" i="11"/>
  <c r="H210" i="11"/>
  <c r="E136" i="15" s="1"/>
  <c r="Z209" i="11"/>
  <c r="H203" i="11"/>
  <c r="Z202" i="11"/>
  <c r="Z198" i="11"/>
  <c r="Z197" i="11"/>
  <c r="Z196" i="11"/>
  <c r="Z195" i="11"/>
  <c r="H176" i="11"/>
  <c r="Z175" i="11"/>
  <c r="Z171" i="11"/>
  <c r="H166" i="11"/>
  <c r="F89" i="15" s="1"/>
  <c r="H165" i="11"/>
  <c r="Z164" i="11"/>
  <c r="Z146" i="11"/>
  <c r="H137" i="11"/>
  <c r="H136" i="11"/>
  <c r="Z135" i="11"/>
  <c r="G132" i="11"/>
  <c r="G131" i="11"/>
  <c r="G130" i="11"/>
  <c r="G129" i="11"/>
  <c r="G128" i="11"/>
  <c r="G127" i="11"/>
  <c r="F97" i="15" s="1"/>
  <c r="G97" i="15" s="1"/>
  <c r="H124" i="11"/>
  <c r="Z123" i="11"/>
  <c r="Z119" i="11"/>
  <c r="H109" i="11"/>
  <c r="H108" i="11"/>
  <c r="H147" i="11" l="1"/>
  <c r="P87" i="15"/>
  <c r="O87" i="15" s="1"/>
  <c r="N87" i="15" s="1"/>
  <c r="M87" i="15" s="1"/>
  <c r="L87" i="15" s="1"/>
  <c r="K87" i="15" s="1"/>
  <c r="J87" i="15" s="1"/>
  <c r="I87" i="15" s="1"/>
  <c r="H87" i="15" s="1"/>
  <c r="G87" i="15" s="1"/>
  <c r="F90" i="15"/>
  <c r="G89" i="15"/>
  <c r="H89" i="15" s="1"/>
  <c r="I89" i="15" s="1"/>
  <c r="J89" i="15" s="1"/>
  <c r="K89" i="15" s="1"/>
  <c r="L89" i="15" s="1"/>
  <c r="M89" i="15" s="1"/>
  <c r="N89" i="15" s="1"/>
  <c r="O89" i="15" s="1"/>
  <c r="P89" i="15" s="1"/>
  <c r="H97" i="15"/>
  <c r="F136" i="15"/>
  <c r="G136" i="15"/>
  <c r="H107" i="11"/>
  <c r="Z106" i="11"/>
  <c r="H102" i="11"/>
  <c r="Z101" i="11"/>
  <c r="Z97" i="11"/>
  <c r="Z96" i="11"/>
  <c r="Z90" i="11"/>
  <c r="Z70" i="11"/>
  <c r="Z59" i="11"/>
  <c r="Z54" i="11"/>
  <c r="Z45" i="11"/>
  <c r="H40" i="11"/>
  <c r="H39" i="11"/>
  <c r="Z38" i="11"/>
  <c r="Z34" i="11"/>
  <c r="Z28" i="11"/>
  <c r="Z22" i="11"/>
  <c r="H413" i="9"/>
  <c r="E903" i="14" s="1"/>
  <c r="H412" i="9"/>
  <c r="Z411" i="9"/>
  <c r="Z407" i="9"/>
  <c r="H398" i="9"/>
  <c r="Z397" i="9"/>
  <c r="H394" i="9"/>
  <c r="F839" i="14" s="1"/>
  <c r="Z393" i="9"/>
  <c r="Z371" i="9"/>
  <c r="Z367" i="9"/>
  <c r="Z366" i="9"/>
  <c r="H355" i="9"/>
  <c r="H354" i="9"/>
  <c r="Z353" i="9"/>
  <c r="H342" i="9"/>
  <c r="Z341" i="9"/>
  <c r="H333" i="9"/>
  <c r="Z332" i="9"/>
  <c r="H324" i="9"/>
  <c r="Z323" i="9"/>
  <c r="H310" i="9"/>
  <c r="H309" i="9"/>
  <c r="Z308" i="9"/>
  <c r="H297" i="9"/>
  <c r="G297" i="9"/>
  <c r="G296" i="9"/>
  <c r="G295" i="9"/>
  <c r="Z293" i="9"/>
  <c r="Z282" i="9"/>
  <c r="Z275" i="9"/>
  <c r="H266" i="9"/>
  <c r="H265" i="9"/>
  <c r="Z264" i="9"/>
  <c r="H260" i="9"/>
  <c r="E897" i="14" l="1"/>
  <c r="G839" i="14"/>
  <c r="F840" i="14"/>
  <c r="F903" i="14"/>
  <c r="D146" i="48"/>
  <c r="I97" i="15"/>
  <c r="H259" i="9"/>
  <c r="H258" i="9"/>
  <c r="H257" i="9"/>
  <c r="Z256" i="9"/>
  <c r="H245" i="9"/>
  <c r="H244" i="9"/>
  <c r="H243" i="9"/>
  <c r="Z241" i="9"/>
  <c r="H235" i="9"/>
  <c r="H234" i="9"/>
  <c r="H839" i="14" l="1"/>
  <c r="G840" i="14"/>
  <c r="G903" i="14"/>
  <c r="H903" i="14" s="1"/>
  <c r="I903" i="14" s="1"/>
  <c r="J903" i="14" s="1"/>
  <c r="K903" i="14" s="1"/>
  <c r="L903" i="14" s="1"/>
  <c r="M903" i="14" s="1"/>
  <c r="N903" i="14" s="1"/>
  <c r="O903" i="14" s="1"/>
  <c r="N146" i="48" s="1"/>
  <c r="M146" i="48" s="1"/>
  <c r="L146" i="48" s="1"/>
  <c r="K146" i="48" s="1"/>
  <c r="J146" i="48" s="1"/>
  <c r="I146" i="48" s="1"/>
  <c r="H146" i="48" s="1"/>
  <c r="G146" i="48" s="1"/>
  <c r="F146" i="48" s="1"/>
  <c r="E146" i="48"/>
  <c r="J97" i="15"/>
  <c r="H233" i="9"/>
  <c r="H232" i="9"/>
  <c r="Z231" i="9"/>
  <c r="H227" i="9"/>
  <c r="H226" i="9"/>
  <c r="Z225" i="9"/>
  <c r="E1205" i="14" l="1"/>
  <c r="E1207" i="14" s="1"/>
  <c r="E1231" i="14"/>
  <c r="E1233" i="14" s="1"/>
  <c r="F1231" i="14"/>
  <c r="F1233" i="14" s="1"/>
  <c r="F1205" i="14"/>
  <c r="G1231" i="14"/>
  <c r="G1233" i="14" s="1"/>
  <c r="G1205" i="14"/>
  <c r="H1205" i="14"/>
  <c r="H1231" i="14"/>
  <c r="H1233" i="14" s="1"/>
  <c r="I1205" i="14"/>
  <c r="I1231" i="14"/>
  <c r="J1205" i="14"/>
  <c r="J1231" i="14"/>
  <c r="J1233" i="14" s="1"/>
  <c r="K1231" i="14"/>
  <c r="K1205" i="14"/>
  <c r="L1231" i="14"/>
  <c r="L1233" i="14" s="1"/>
  <c r="L1205" i="14"/>
  <c r="M1205" i="14"/>
  <c r="M1231" i="14"/>
  <c r="M1233" i="14" s="1"/>
  <c r="N1231" i="14"/>
  <c r="N1233" i="14" s="1"/>
  <c r="N1205" i="14"/>
  <c r="O1205" i="14"/>
  <c r="O1231" i="14"/>
  <c r="K1233" i="14"/>
  <c r="I1233" i="14"/>
  <c r="I839" i="14"/>
  <c r="H840" i="14"/>
  <c r="K97" i="15"/>
  <c r="G218" i="9"/>
  <c r="Z217" i="9"/>
  <c r="H214" i="9"/>
  <c r="Z213" i="9"/>
  <c r="Z209" i="9"/>
  <c r="Z208" i="9"/>
  <c r="H199" i="9"/>
  <c r="D197" i="14" s="1"/>
  <c r="H196" i="9"/>
  <c r="H192" i="9"/>
  <c r="H184" i="9"/>
  <c r="H183" i="9"/>
  <c r="Z182" i="9"/>
  <c r="H179" i="9"/>
  <c r="G179" i="9"/>
  <c r="H176" i="9"/>
  <c r="G176" i="9"/>
  <c r="H172" i="9"/>
  <c r="G172" i="9"/>
  <c r="H164" i="9"/>
  <c r="G164" i="9"/>
  <c r="H163" i="9"/>
  <c r="G163" i="9"/>
  <c r="Z161" i="9"/>
  <c r="O1207" i="14" l="1"/>
  <c r="N1207" i="14"/>
  <c r="J1207" i="14"/>
  <c r="I1207" i="14"/>
  <c r="H1207" i="14"/>
  <c r="G1207" i="14"/>
  <c r="M1207" i="14"/>
  <c r="L1207" i="14"/>
  <c r="K1207" i="14"/>
  <c r="J839" i="14"/>
  <c r="I840" i="14"/>
  <c r="F1207" i="14"/>
  <c r="L197" i="14"/>
  <c r="K197" i="14"/>
  <c r="O197" i="14"/>
  <c r="G197" i="14"/>
  <c r="F197" i="14"/>
  <c r="F205" i="14" s="1"/>
  <c r="M197" i="14"/>
  <c r="I197" i="14"/>
  <c r="N197" i="14"/>
  <c r="J197" i="14"/>
  <c r="H197" i="14"/>
  <c r="H180" i="9"/>
  <c r="G180" i="9" s="1"/>
  <c r="H200" i="9"/>
  <c r="L97" i="15"/>
  <c r="K839" i="14" l="1"/>
  <c r="J840" i="14"/>
  <c r="L205" i="14"/>
  <c r="M189" i="16" s="1"/>
  <c r="N205" i="14"/>
  <c r="O189" i="16" s="1"/>
  <c r="G205" i="14"/>
  <c r="H189" i="16" s="1"/>
  <c r="J205" i="14"/>
  <c r="K189" i="16" s="1"/>
  <c r="I205" i="14"/>
  <c r="J189" i="16" s="1"/>
  <c r="O205" i="14"/>
  <c r="P189" i="16" s="1"/>
  <c r="H205" i="14"/>
  <c r="I189" i="16" s="1"/>
  <c r="M205" i="14"/>
  <c r="N189" i="16" s="1"/>
  <c r="K205" i="14"/>
  <c r="L189" i="16" s="1"/>
  <c r="I198" i="14"/>
  <c r="F198" i="14"/>
  <c r="L198" i="14"/>
  <c r="M198" i="14"/>
  <c r="J198" i="14"/>
  <c r="G198" i="14"/>
  <c r="G189" i="16"/>
  <c r="N198" i="14"/>
  <c r="K198" i="14"/>
  <c r="H198" i="14"/>
  <c r="O198" i="14"/>
  <c r="M97" i="15"/>
  <c r="L839" i="14" l="1"/>
  <c r="K840" i="14"/>
  <c r="O237" i="16"/>
  <c r="O285" i="16"/>
  <c r="M1041" i="14" s="1"/>
  <c r="P237" i="16"/>
  <c r="P285" i="16"/>
  <c r="N1041" i="14" s="1"/>
  <c r="E189" i="16"/>
  <c r="S514" i="16" s="1"/>
  <c r="M237" i="16"/>
  <c r="M285" i="16"/>
  <c r="K1041" i="14" s="1"/>
  <c r="N285" i="16"/>
  <c r="L1041" i="14" s="1"/>
  <c r="N237" i="16"/>
  <c r="I237" i="16"/>
  <c r="I285" i="16"/>
  <c r="G1041" i="14" s="1"/>
  <c r="H285" i="16"/>
  <c r="F1041" i="14" s="1"/>
  <c r="H237" i="16"/>
  <c r="G237" i="16"/>
  <c r="G285" i="16"/>
  <c r="E1041" i="14" s="1"/>
  <c r="L237" i="16"/>
  <c r="L285" i="16"/>
  <c r="J1041" i="14" s="1"/>
  <c r="K237" i="16"/>
  <c r="K285" i="16"/>
  <c r="I1041" i="14" s="1"/>
  <c r="J237" i="16"/>
  <c r="J285" i="16"/>
  <c r="H1041" i="14" s="1"/>
  <c r="O199" i="14"/>
  <c r="N1037" i="14"/>
  <c r="O201" i="14"/>
  <c r="J1037" i="14"/>
  <c r="K199" i="14"/>
  <c r="K201" i="14"/>
  <c r="I1037" i="14"/>
  <c r="J199" i="14"/>
  <c r="J201" i="14"/>
  <c r="H1037" i="14"/>
  <c r="I199" i="14"/>
  <c r="I201" i="14"/>
  <c r="G1037" i="14"/>
  <c r="H199" i="14"/>
  <c r="H201" i="14"/>
  <c r="F1037" i="14"/>
  <c r="G199" i="14"/>
  <c r="G201" i="14"/>
  <c r="E1037" i="14"/>
  <c r="D1037" i="14" s="1"/>
  <c r="F199" i="14"/>
  <c r="F201" i="14"/>
  <c r="K1037" i="14"/>
  <c r="L199" i="14"/>
  <c r="L201" i="14"/>
  <c r="N199" i="14"/>
  <c r="M1037" i="14"/>
  <c r="N201" i="14"/>
  <c r="L1037" i="14"/>
  <c r="M199" i="14"/>
  <c r="M201" i="14"/>
  <c r="N97" i="15"/>
  <c r="H150" i="9"/>
  <c r="G150" i="9"/>
  <c r="H145" i="9"/>
  <c r="G145" i="9"/>
  <c r="Z137" i="9"/>
  <c r="H129" i="9"/>
  <c r="G129" i="9"/>
  <c r="H125" i="9"/>
  <c r="E40" i="14" s="1"/>
  <c r="E351" i="14" s="1"/>
  <c r="H120" i="9"/>
  <c r="H118" i="9"/>
  <c r="D33" i="14"/>
  <c r="H114" i="9"/>
  <c r="G114" i="9"/>
  <c r="G125" i="9" s="1"/>
  <c r="Z111" i="9"/>
  <c r="Z106" i="9"/>
  <c r="H100" i="9"/>
  <c r="G100" i="9"/>
  <c r="G99" i="9"/>
  <c r="Z97" i="9"/>
  <c r="H93" i="9"/>
  <c r="D547" i="14" s="1"/>
  <c r="H81" i="9"/>
  <c r="Z79" i="9"/>
  <c r="H75" i="9"/>
  <c r="D519" i="14" s="1"/>
  <c r="G75" i="9"/>
  <c r="D518" i="14" s="1"/>
  <c r="H61" i="9"/>
  <c r="G61" i="9"/>
  <c r="H60" i="9"/>
  <c r="G60" i="9"/>
  <c r="Z57" i="9"/>
  <c r="H52" i="9"/>
  <c r="G52" i="9"/>
  <c r="N202" i="14" l="1"/>
  <c r="N1169" i="14"/>
  <c r="G202" i="14"/>
  <c r="G1169" i="14"/>
  <c r="O202" i="14"/>
  <c r="O1169" i="14"/>
  <c r="J202" i="14"/>
  <c r="J1169" i="14"/>
  <c r="H202" i="14"/>
  <c r="H1169" i="14"/>
  <c r="M202" i="14"/>
  <c r="M1169" i="14"/>
  <c r="K202" i="14"/>
  <c r="K1169" i="14"/>
  <c r="F202" i="14"/>
  <c r="F1169" i="14"/>
  <c r="L202" i="14"/>
  <c r="L1169" i="14"/>
  <c r="I202" i="14"/>
  <c r="I1169" i="14"/>
  <c r="M839" i="14"/>
  <c r="L840" i="14"/>
  <c r="E285" i="16"/>
  <c r="E237" i="16"/>
  <c r="E268" i="16" s="1"/>
  <c r="G76" i="14"/>
  <c r="F76" i="14"/>
  <c r="F75" i="14"/>
  <c r="G75" i="14"/>
  <c r="I30" i="14"/>
  <c r="J30" i="14"/>
  <c r="D50" i="14"/>
  <c r="E39" i="14"/>
  <c r="E350" i="14" s="1"/>
  <c r="G283" i="14"/>
  <c r="G120" i="9"/>
  <c r="H29" i="14" s="1"/>
  <c r="F284" i="14"/>
  <c r="G284" i="14"/>
  <c r="J40" i="14"/>
  <c r="K40" i="14"/>
  <c r="I40" i="14"/>
  <c r="K39" i="14"/>
  <c r="I39" i="14"/>
  <c r="J39" i="14"/>
  <c r="H40" i="14"/>
  <c r="F40" i="14"/>
  <c r="G40" i="14"/>
  <c r="H39" i="14"/>
  <c r="F39" i="14"/>
  <c r="G39" i="14"/>
  <c r="G30" i="14"/>
  <c r="H30" i="14"/>
  <c r="F30" i="14"/>
  <c r="H286" i="9"/>
  <c r="G286" i="9" s="1"/>
  <c r="G154" i="9"/>
  <c r="D93" i="14" s="1"/>
  <c r="I1040" i="14"/>
  <c r="K268" i="16"/>
  <c r="O47" i="29" s="1"/>
  <c r="O48" i="29" s="1"/>
  <c r="K1040" i="14"/>
  <c r="M268" i="16"/>
  <c r="Q47" i="29" s="1"/>
  <c r="Q48" i="29" s="1"/>
  <c r="F1040" i="14"/>
  <c r="H268" i="16"/>
  <c r="L47" i="29" s="1"/>
  <c r="L48" i="29" s="1"/>
  <c r="N1040" i="14"/>
  <c r="P268" i="16"/>
  <c r="T47" i="29" s="1"/>
  <c r="T48" i="29" s="1"/>
  <c r="H154" i="9"/>
  <c r="L1040" i="14"/>
  <c r="N268" i="16"/>
  <c r="R47" i="29" s="1"/>
  <c r="R48" i="29" s="1"/>
  <c r="M1040" i="14"/>
  <c r="O268" i="16"/>
  <c r="S47" i="29" s="1"/>
  <c r="S48" i="29" s="1"/>
  <c r="E1040" i="14"/>
  <c r="G268" i="16"/>
  <c r="K47" i="29" s="1"/>
  <c r="K48" i="29" s="1"/>
  <c r="G1040" i="14"/>
  <c r="I268" i="16"/>
  <c r="M47" i="29" s="1"/>
  <c r="M48" i="29" s="1"/>
  <c r="H130" i="9"/>
  <c r="D453" i="14"/>
  <c r="I240" i="14"/>
  <c r="I241" i="14" s="1"/>
  <c r="D452" i="14"/>
  <c r="F240" i="14"/>
  <c r="F241" i="14" s="1"/>
  <c r="H1040" i="14"/>
  <c r="J268" i="16"/>
  <c r="N47" i="29" s="1"/>
  <c r="N48" i="29" s="1"/>
  <c r="J1040" i="14"/>
  <c r="L268" i="16"/>
  <c r="P47" i="29" s="1"/>
  <c r="P48" i="29" s="1"/>
  <c r="O97" i="15"/>
  <c r="H45" i="9"/>
  <c r="G45" i="9"/>
  <c r="H44" i="9"/>
  <c r="G238" i="14" s="1"/>
  <c r="G242" i="14" s="1"/>
  <c r="G243" i="14" s="1"/>
  <c r="G44" i="9"/>
  <c r="D238" i="14" s="1"/>
  <c r="G1161" i="14" l="1"/>
  <c r="F1161" i="14"/>
  <c r="L51" i="14"/>
  <c r="M186" i="16" s="1"/>
  <c r="L50" i="14"/>
  <c r="M51" i="14"/>
  <c r="N186" i="16" s="1"/>
  <c r="M50" i="14"/>
  <c r="N51" i="14"/>
  <c r="O186" i="16" s="1"/>
  <c r="N50" i="14"/>
  <c r="O50" i="14"/>
  <c r="O51" i="14"/>
  <c r="P186" i="16" s="1"/>
  <c r="N839" i="14"/>
  <c r="M840" i="14"/>
  <c r="F50" i="14"/>
  <c r="F51" i="14"/>
  <c r="F80" i="14"/>
  <c r="F79" i="14"/>
  <c r="H50" i="14"/>
  <c r="H51" i="14"/>
  <c r="J50" i="14"/>
  <c r="J51" i="14"/>
  <c r="H36" i="14"/>
  <c r="H37" i="14"/>
  <c r="I51" i="14"/>
  <c r="I50" i="14"/>
  <c r="G51" i="14"/>
  <c r="G50" i="14"/>
  <c r="K51" i="14"/>
  <c r="K50" i="14"/>
  <c r="G80" i="14"/>
  <c r="G79" i="14"/>
  <c r="F29" i="14"/>
  <c r="G107" i="14"/>
  <c r="F107" i="14"/>
  <c r="G78" i="14"/>
  <c r="J78" i="14"/>
  <c r="J86" i="14" s="1"/>
  <c r="J94" i="14" s="1"/>
  <c r="N78" i="14"/>
  <c r="N86" i="14" s="1"/>
  <c r="O78" i="14"/>
  <c r="O86" i="14" s="1"/>
  <c r="O94" i="14" s="1"/>
  <c r="L78" i="14"/>
  <c r="M78" i="14"/>
  <c r="K78" i="14"/>
  <c r="K86" i="14" s="1"/>
  <c r="I78" i="14"/>
  <c r="G106" i="14"/>
  <c r="I77" i="14"/>
  <c r="I85" i="14" s="1"/>
  <c r="M77" i="14"/>
  <c r="H77" i="14"/>
  <c r="F106" i="14"/>
  <c r="O77" i="14"/>
  <c r="O85" i="14" s="1"/>
  <c r="O93" i="14" s="1"/>
  <c r="L77" i="14"/>
  <c r="N77" i="14"/>
  <c r="N85" i="14" s="1"/>
  <c r="K77" i="14"/>
  <c r="J77" i="14" s="1"/>
  <c r="J85" i="14" s="1"/>
  <c r="J93" i="14" s="1"/>
  <c r="F77" i="14"/>
  <c r="F85" i="14" s="1"/>
  <c r="H54" i="14"/>
  <c r="I54" i="14"/>
  <c r="J54" i="14"/>
  <c r="G130" i="9"/>
  <c r="F53" i="14" s="1"/>
  <c r="I29" i="14"/>
  <c r="J29" i="14"/>
  <c r="G29" i="14"/>
  <c r="F54" i="14"/>
  <c r="G54" i="14"/>
  <c r="D283" i="14"/>
  <c r="D284" i="14"/>
  <c r="D287" i="14"/>
  <c r="E103" i="14"/>
  <c r="E104" i="14"/>
  <c r="G158" i="9"/>
  <c r="L186" i="16"/>
  <c r="G593" i="16"/>
  <c r="G721" i="16"/>
  <c r="G742" i="16" s="1"/>
  <c r="F593" i="16"/>
  <c r="F721" i="16"/>
  <c r="F742" i="16" s="1"/>
  <c r="L721" i="16"/>
  <c r="L742" i="16" s="1"/>
  <c r="L593" i="16"/>
  <c r="D54" i="14"/>
  <c r="H222" i="9"/>
  <c r="H134" i="9"/>
  <c r="M593" i="16"/>
  <c r="M721" i="16"/>
  <c r="M742" i="16" s="1"/>
  <c r="J593" i="16"/>
  <c r="J721" i="16"/>
  <c r="J742" i="16" s="1"/>
  <c r="I721" i="16"/>
  <c r="I742" i="16" s="1"/>
  <c r="I593" i="16"/>
  <c r="D593" i="16"/>
  <c r="D721" i="16"/>
  <c r="K721" i="16"/>
  <c r="K742" i="16" s="1"/>
  <c r="K593" i="16"/>
  <c r="D94" i="14"/>
  <c r="H158" i="9"/>
  <c r="E593" i="16"/>
  <c r="E721" i="16"/>
  <c r="E742" i="16" s="1"/>
  <c r="H721" i="16"/>
  <c r="H742" i="16" s="1"/>
  <c r="H593" i="16"/>
  <c r="G46" i="9"/>
  <c r="H46" i="9"/>
  <c r="P97" i="15"/>
  <c r="Z42" i="9"/>
  <c r="Z38" i="9"/>
  <c r="Z32" i="9"/>
  <c r="Z28" i="9"/>
  <c r="Z22" i="9"/>
  <c r="Z274" i="3"/>
  <c r="Z268" i="3"/>
  <c r="H264" i="3"/>
  <c r="H263" i="3"/>
  <c r="Z262" i="3"/>
  <c r="Z258" i="3"/>
  <c r="H249" i="3"/>
  <c r="H248" i="3"/>
  <c r="H243" i="3"/>
  <c r="H242" i="3"/>
  <c r="H237" i="3"/>
  <c r="H236" i="3"/>
  <c r="H231" i="3"/>
  <c r="H230" i="3"/>
  <c r="H225" i="3"/>
  <c r="H224" i="3"/>
  <c r="Z222" i="3"/>
  <c r="H216" i="3"/>
  <c r="E264" i="4" s="1"/>
  <c r="Z215" i="3"/>
  <c r="G212" i="3"/>
  <c r="G211" i="3"/>
  <c r="G210" i="3"/>
  <c r="G209" i="3"/>
  <c r="G208" i="3"/>
  <c r="Z206" i="3"/>
  <c r="H203" i="3"/>
  <c r="Z202" i="3"/>
  <c r="Z198" i="3"/>
  <c r="Z195" i="3"/>
  <c r="Z192" i="3"/>
  <c r="Z189" i="3"/>
  <c r="H187" i="3"/>
  <c r="H183" i="3"/>
  <c r="Z182" i="3"/>
  <c r="H179" i="3"/>
  <c r="Z178" i="3"/>
  <c r="H175" i="3"/>
  <c r="Z174" i="3"/>
  <c r="Z170" i="3"/>
  <c r="Z169" i="3"/>
  <c r="Z168" i="3"/>
  <c r="Z161" i="3"/>
  <c r="Z159" i="3"/>
  <c r="Z155" i="3"/>
  <c r="Z151" i="3"/>
  <c r="Z149" i="3"/>
  <c r="Z147" i="3"/>
  <c r="H136" i="3"/>
  <c r="E33" i="4" s="1"/>
  <c r="Z135" i="3"/>
  <c r="H130" i="3"/>
  <c r="Z129" i="3"/>
  <c r="Z125" i="3"/>
  <c r="K1157" i="14" l="1"/>
  <c r="I1157" i="14"/>
  <c r="L1157" i="14"/>
  <c r="N1157" i="14"/>
  <c r="J1157" i="14"/>
  <c r="H1157" i="14"/>
  <c r="M1157" i="14"/>
  <c r="O1157" i="14"/>
  <c r="G1157" i="14"/>
  <c r="F1157" i="14"/>
  <c r="P79" i="14"/>
  <c r="H286" i="14"/>
  <c r="H287" i="14" s="1"/>
  <c r="I286" i="14"/>
  <c r="I287" i="14" s="1"/>
  <c r="J286" i="14"/>
  <c r="J287" i="14" s="1"/>
  <c r="K286" i="14"/>
  <c r="K287" i="14" s="1"/>
  <c r="L286" i="14"/>
  <c r="L287" i="14" s="1"/>
  <c r="M286" i="14"/>
  <c r="M287" i="14" s="1"/>
  <c r="N286" i="14"/>
  <c r="N287" i="14" s="1"/>
  <c r="O286" i="14"/>
  <c r="O287" i="14" s="1"/>
  <c r="G286" i="14"/>
  <c r="G287" i="14" s="1"/>
  <c r="F286" i="14"/>
  <c r="F287" i="14" s="1"/>
  <c r="O839" i="14"/>
  <c r="N123" i="48" s="1"/>
  <c r="I228" i="2" s="1"/>
  <c r="K228" i="2" s="1"/>
  <c r="B228" i="2" s="1"/>
  <c r="N840" i="14"/>
  <c r="M123" i="48"/>
  <c r="L123" i="48" s="1"/>
  <c r="K123" i="48" s="1"/>
  <c r="J123" i="48" s="1"/>
  <c r="I123" i="48" s="1"/>
  <c r="H123" i="48" s="1"/>
  <c r="G123" i="48" s="1"/>
  <c r="F123" i="48" s="1"/>
  <c r="E123" i="48" s="1"/>
  <c r="I37" i="14"/>
  <c r="I36" i="14"/>
  <c r="F68" i="14"/>
  <c r="F69" i="14"/>
  <c r="G37" i="14"/>
  <c r="G36" i="14"/>
  <c r="F36" i="14"/>
  <c r="F37" i="14"/>
  <c r="G186" i="16" s="1"/>
  <c r="J36" i="14"/>
  <c r="J37" i="14"/>
  <c r="M86" i="14"/>
  <c r="L86" i="14" s="1"/>
  <c r="N94" i="14"/>
  <c r="N988" i="14"/>
  <c r="F78" i="14"/>
  <c r="F86" i="14" s="1"/>
  <c r="G86" i="14"/>
  <c r="H78" i="14"/>
  <c r="H86" i="14" s="1"/>
  <c r="I86" i="14"/>
  <c r="I94" i="14" s="1"/>
  <c r="M85" i="14"/>
  <c r="N93" i="14"/>
  <c r="G187" i="16"/>
  <c r="P80" i="14"/>
  <c r="G77" i="14"/>
  <c r="G85" i="14" s="1"/>
  <c r="H85" i="14"/>
  <c r="H93" i="14" s="1"/>
  <c r="E85" i="14"/>
  <c r="F93" i="14"/>
  <c r="I93" i="14"/>
  <c r="I988" i="14"/>
  <c r="G134" i="9"/>
  <c r="D463" i="14" s="1"/>
  <c r="E463" i="14" s="1"/>
  <c r="G53" i="14"/>
  <c r="D53" i="14"/>
  <c r="G222" i="9"/>
  <c r="H53" i="14"/>
  <c r="I53" i="14"/>
  <c r="J53" i="14"/>
  <c r="D742" i="16"/>
  <c r="P50" i="14"/>
  <c r="P51" i="14"/>
  <c r="H188" i="3"/>
  <c r="N593" i="16"/>
  <c r="D464" i="14"/>
  <c r="E464" i="14" s="1"/>
  <c r="H300" i="9"/>
  <c r="G300" i="9" s="1"/>
  <c r="F264" i="4"/>
  <c r="D213" i="48"/>
  <c r="G164" i="2" s="1"/>
  <c r="D311" i="4"/>
  <c r="E311" i="4"/>
  <c r="D313" i="4"/>
  <c r="E313" i="4"/>
  <c r="D315" i="4"/>
  <c r="E315" i="4"/>
  <c r="F315" i="4" s="1"/>
  <c r="D280" i="4"/>
  <c r="F33" i="4"/>
  <c r="G33" i="4" s="1"/>
  <c r="H33" i="4" s="1"/>
  <c r="D312" i="4"/>
  <c r="E312" i="4"/>
  <c r="D314" i="4"/>
  <c r="E314" i="4"/>
  <c r="Z101" i="3"/>
  <c r="Z94" i="3"/>
  <c r="H89" i="3"/>
  <c r="E268" i="4" s="1"/>
  <c r="H88" i="3"/>
  <c r="Z87" i="3"/>
  <c r="H82" i="3"/>
  <c r="H81" i="3"/>
  <c r="Z80" i="3"/>
  <c r="Z76" i="3"/>
  <c r="H65" i="3"/>
  <c r="Z64" i="3"/>
  <c r="H57" i="3"/>
  <c r="H56" i="3"/>
  <c r="Z55" i="3"/>
  <c r="H50" i="3"/>
  <c r="Z49" i="3"/>
  <c r="H45" i="3"/>
  <c r="Z44" i="3"/>
  <c r="H41" i="3"/>
  <c r="H40" i="3"/>
  <c r="E131" i="4" s="1"/>
  <c r="Z39" i="3"/>
  <c r="Z35" i="3"/>
  <c r="Z34" i="3"/>
  <c r="Z28" i="3"/>
  <c r="Z327" i="33"/>
  <c r="Z326" i="33"/>
  <c r="Z325" i="33"/>
  <c r="Z324" i="33"/>
  <c r="Z323" i="33"/>
  <c r="Z322" i="33"/>
  <c r="Z321" i="33"/>
  <c r="Z320" i="33"/>
  <c r="L184" i="16" l="1"/>
  <c r="M184" i="16"/>
  <c r="H184" i="16"/>
  <c r="O184" i="16"/>
  <c r="N184" i="16"/>
  <c r="G184" i="16"/>
  <c r="I69" i="14"/>
  <c r="J186" i="16" s="1"/>
  <c r="I68" i="14"/>
  <c r="G69" i="14"/>
  <c r="H186" i="16" s="1"/>
  <c r="G68" i="14"/>
  <c r="H68" i="14"/>
  <c r="H69" i="14"/>
  <c r="I186" i="16" s="1"/>
  <c r="J68" i="14"/>
  <c r="J69" i="14"/>
  <c r="K186" i="16" s="1"/>
  <c r="H94" i="14"/>
  <c r="G94" i="14" s="1"/>
  <c r="P37" i="14"/>
  <c r="H988" i="14"/>
  <c r="M94" i="14"/>
  <c r="L94" i="14" s="1"/>
  <c r="K94" i="14" s="1"/>
  <c r="F94" i="14"/>
  <c r="E988" i="14" s="1"/>
  <c r="M988" i="14"/>
  <c r="G93" i="14"/>
  <c r="L85" i="14"/>
  <c r="K85" i="14" s="1"/>
  <c r="K93" i="14" s="1"/>
  <c r="M93" i="14"/>
  <c r="P36" i="14"/>
  <c r="P286" i="14"/>
  <c r="P184" i="16"/>
  <c r="J184" i="16"/>
  <c r="F131" i="4"/>
  <c r="F61" i="4" s="1"/>
  <c r="D211" i="48"/>
  <c r="G163" i="2" s="1"/>
  <c r="D39" i="48"/>
  <c r="H214" i="2" s="1"/>
  <c r="F312" i="4"/>
  <c r="I33" i="4"/>
  <c r="G264" i="4"/>
  <c r="E213" i="48"/>
  <c r="F313" i="4"/>
  <c r="F314" i="4"/>
  <c r="G315" i="4"/>
  <c r="F311" i="4"/>
  <c r="D64" i="4"/>
  <c r="Z319" i="33"/>
  <c r="Z318" i="33"/>
  <c r="Z317" i="33"/>
  <c r="Z316" i="33"/>
  <c r="Z315" i="33"/>
  <c r="Z314" i="33"/>
  <c r="Z313" i="33"/>
  <c r="G988" i="14" l="1"/>
  <c r="F988" i="14"/>
  <c r="J988" i="14"/>
  <c r="P68" i="14"/>
  <c r="P69" i="14"/>
  <c r="E186" i="16"/>
  <c r="S511" i="16" s="1"/>
  <c r="L93" i="14"/>
  <c r="K988" i="14" s="1"/>
  <c r="L988" i="14"/>
  <c r="P287" i="14"/>
  <c r="U184" i="16" s="1"/>
  <c r="I184" i="16"/>
  <c r="K184" i="16"/>
  <c r="G311" i="4"/>
  <c r="G314" i="4"/>
  <c r="H264" i="4"/>
  <c r="F213" i="48"/>
  <c r="H315" i="4"/>
  <c r="G313" i="4"/>
  <c r="J33" i="4"/>
  <c r="K33" i="4" s="1"/>
  <c r="L33" i="4" s="1"/>
  <c r="M33" i="4" s="1"/>
  <c r="N33" i="4" s="1"/>
  <c r="O33" i="4" s="1"/>
  <c r="G131" i="4"/>
  <c r="Z312" i="33"/>
  <c r="Z311" i="33"/>
  <c r="Z310" i="33"/>
  <c r="Z309" i="33"/>
  <c r="Z308" i="33"/>
  <c r="Z307" i="33"/>
  <c r="Z306" i="33"/>
  <c r="Z305" i="33"/>
  <c r="Z304" i="33"/>
  <c r="Z303" i="33"/>
  <c r="Z302" i="33"/>
  <c r="Z301" i="33"/>
  <c r="Z300" i="33"/>
  <c r="Z299" i="33"/>
  <c r="Z298" i="33"/>
  <c r="Z297" i="33"/>
  <c r="Z296" i="33"/>
  <c r="Z295" i="33"/>
  <c r="Z294" i="33"/>
  <c r="Z293" i="33"/>
  <c r="Z292" i="33"/>
  <c r="Z291" i="33"/>
  <c r="Z290" i="33"/>
  <c r="Z289" i="33"/>
  <c r="Z288" i="33"/>
  <c r="Z287" i="33"/>
  <c r="Z286" i="33"/>
  <c r="Z285" i="33"/>
  <c r="Z284" i="33"/>
  <c r="Z283" i="33"/>
  <c r="T261" i="33"/>
  <c r="C261" i="33"/>
  <c r="T260" i="33"/>
  <c r="T259" i="33"/>
  <c r="C259" i="33"/>
  <c r="T258" i="33"/>
  <c r="T257" i="33"/>
  <c r="T256" i="33"/>
  <c r="T255" i="33"/>
  <c r="T254" i="33"/>
  <c r="T253" i="33"/>
  <c r="C253" i="33"/>
  <c r="T252" i="33"/>
  <c r="C252" i="33"/>
  <c r="T251" i="33"/>
  <c r="T250" i="33"/>
  <c r="C250" i="33"/>
  <c r="T249" i="33"/>
  <c r="T248" i="33"/>
  <c r="C248" i="33"/>
  <c r="T247" i="33"/>
  <c r="C247" i="33"/>
  <c r="T246" i="33"/>
  <c r="C246" i="33"/>
  <c r="T245" i="33"/>
  <c r="C245" i="33"/>
  <c r="T244" i="33"/>
  <c r="T243" i="33"/>
  <c r="T242" i="33"/>
  <c r="T241" i="33"/>
  <c r="T240" i="33"/>
  <c r="T239" i="33"/>
  <c r="C239" i="33"/>
  <c r="T238" i="33"/>
  <c r="C238" i="33"/>
  <c r="T237" i="33"/>
  <c r="C237" i="33"/>
  <c r="T236" i="33"/>
  <c r="C236" i="33"/>
  <c r="T235" i="33"/>
  <c r="T234" i="33"/>
  <c r="C234" i="33"/>
  <c r="T233" i="33"/>
  <c r="C233" i="33"/>
  <c r="T232" i="33"/>
  <c r="C232" i="33"/>
  <c r="T231" i="33"/>
  <c r="C231" i="33"/>
  <c r="T230" i="33"/>
  <c r="C230" i="33"/>
  <c r="T229" i="33"/>
  <c r="T228" i="33"/>
  <c r="C228" i="33"/>
  <c r="T227" i="33"/>
  <c r="C227" i="33"/>
  <c r="T226" i="33"/>
  <c r="T225" i="33"/>
  <c r="C225" i="33"/>
  <c r="T224" i="33"/>
  <c r="T223" i="33"/>
  <c r="T222" i="33"/>
  <c r="T221" i="33"/>
  <c r="T220" i="33"/>
  <c r="T219" i="33"/>
  <c r="C219" i="33"/>
  <c r="T218" i="33"/>
  <c r="C218" i="33"/>
  <c r="T217" i="33"/>
  <c r="T216" i="33"/>
  <c r="C216" i="33"/>
  <c r="T215" i="33"/>
  <c r="C215" i="33"/>
  <c r="T214" i="33"/>
  <c r="C214" i="33"/>
  <c r="T213" i="33"/>
  <c r="T212" i="33"/>
  <c r="C212" i="33"/>
  <c r="T211" i="33"/>
  <c r="T210" i="33"/>
  <c r="C210" i="33"/>
  <c r="T209" i="33"/>
  <c r="C209" i="33"/>
  <c r="D201" i="33"/>
  <c r="T200" i="33"/>
  <c r="T199" i="33"/>
  <c r="T198" i="33"/>
  <c r="U186" i="16" l="1"/>
  <c r="T511" i="16" s="1"/>
  <c r="E184" i="16"/>
  <c r="AA288" i="33"/>
  <c r="I304" i="33" s="1"/>
  <c r="AA280" i="33"/>
  <c r="I296" i="33" s="1"/>
  <c r="AA283" i="33"/>
  <c r="I299" i="33" s="1"/>
  <c r="AA285" i="33"/>
  <c r="AA287" i="33"/>
  <c r="I303" i="33" s="1"/>
  <c r="AA289" i="33"/>
  <c r="I305" i="33" s="1"/>
  <c r="AA269" i="33"/>
  <c r="I285" i="33" s="1"/>
  <c r="AA271" i="33"/>
  <c r="I287" i="33" s="1"/>
  <c r="AA273" i="33"/>
  <c r="I289" i="33" s="1"/>
  <c r="AA275" i="33"/>
  <c r="I291" i="33" s="1"/>
  <c r="AA277" i="33"/>
  <c r="I293" i="33" s="1"/>
  <c r="AA281" i="33"/>
  <c r="I297" i="33" s="1"/>
  <c r="AA290" i="33"/>
  <c r="I306" i="33" s="1"/>
  <c r="AA292" i="33"/>
  <c r="I308" i="33" s="1"/>
  <c r="AA294" i="33"/>
  <c r="I310" i="33" s="1"/>
  <c r="AA296" i="33"/>
  <c r="I312" i="33" s="1"/>
  <c r="AA298" i="33"/>
  <c r="I314" i="33" s="1"/>
  <c r="AA300" i="33"/>
  <c r="I316" i="33" s="1"/>
  <c r="AA302" i="33"/>
  <c r="I318" i="33" s="1"/>
  <c r="AA304" i="33"/>
  <c r="I320" i="33" s="1"/>
  <c r="AA306" i="33"/>
  <c r="I322" i="33" s="1"/>
  <c r="AA308" i="33"/>
  <c r="I324" i="33" s="1"/>
  <c r="AA310" i="33"/>
  <c r="I326" i="33" s="1"/>
  <c r="AA312" i="33"/>
  <c r="AA278" i="33"/>
  <c r="I294" i="33" s="1"/>
  <c r="AA282" i="33"/>
  <c r="I298" i="33" s="1"/>
  <c r="AA284" i="33"/>
  <c r="I300" i="33" s="1"/>
  <c r="AA286" i="33"/>
  <c r="I302" i="33" s="1"/>
  <c r="AA326" i="33"/>
  <c r="AA324" i="33"/>
  <c r="AA322" i="33"/>
  <c r="AA320" i="33"/>
  <c r="AA327" i="33"/>
  <c r="AA325" i="33"/>
  <c r="AA323" i="33"/>
  <c r="AA321" i="33"/>
  <c r="AA319" i="33"/>
  <c r="AA317" i="33"/>
  <c r="AA315" i="33"/>
  <c r="AA313" i="33"/>
  <c r="AA318" i="33"/>
  <c r="AA316" i="33"/>
  <c r="AA314" i="33"/>
  <c r="AA268" i="33"/>
  <c r="I284" i="33" s="1"/>
  <c r="AA270" i="33"/>
  <c r="I286" i="33" s="1"/>
  <c r="AA272" i="33"/>
  <c r="I288" i="33" s="1"/>
  <c r="AA274" i="33"/>
  <c r="I290" i="33" s="1"/>
  <c r="AA276" i="33"/>
  <c r="I292" i="33" s="1"/>
  <c r="AA279" i="33"/>
  <c r="I295" i="33" s="1"/>
  <c r="AA291" i="33"/>
  <c r="I307" i="33" s="1"/>
  <c r="AA293" i="33"/>
  <c r="I309" i="33" s="1"/>
  <c r="AA295" i="33"/>
  <c r="I311" i="33" s="1"/>
  <c r="AA297" i="33"/>
  <c r="I313" i="33" s="1"/>
  <c r="AA299" i="33"/>
  <c r="I315" i="33" s="1"/>
  <c r="AA301" i="33"/>
  <c r="I317" i="33" s="1"/>
  <c r="AA303" i="33"/>
  <c r="I319" i="33" s="1"/>
  <c r="AA305" i="33"/>
  <c r="I321" i="33" s="1"/>
  <c r="AA307" i="33"/>
  <c r="I323" i="33" s="1"/>
  <c r="AA309" i="33"/>
  <c r="I325" i="33" s="1"/>
  <c r="AA311" i="33"/>
  <c r="I327" i="33" s="1"/>
  <c r="I264" i="4"/>
  <c r="G213" i="48"/>
  <c r="H311" i="4"/>
  <c r="H131" i="4"/>
  <c r="H313" i="4"/>
  <c r="H314" i="4"/>
  <c r="I315" i="4"/>
  <c r="I301" i="33"/>
  <c r="G61" i="4"/>
  <c r="T197" i="33"/>
  <c r="I131" i="4" l="1"/>
  <c r="J264" i="4"/>
  <c r="H213" i="48"/>
  <c r="I311" i="4"/>
  <c r="H61" i="4"/>
  <c r="J315" i="4"/>
  <c r="I314" i="4"/>
  <c r="I313" i="4"/>
  <c r="T196" i="33"/>
  <c r="T195" i="33"/>
  <c r="T194" i="33"/>
  <c r="T193" i="33"/>
  <c r="T192" i="33"/>
  <c r="T186" i="33"/>
  <c r="C186" i="33"/>
  <c r="T185" i="33"/>
  <c r="T184" i="33"/>
  <c r="C184" i="33"/>
  <c r="T183" i="33"/>
  <c r="T182" i="33"/>
  <c r="T181" i="33"/>
  <c r="T180" i="33"/>
  <c r="T179" i="33"/>
  <c r="T178" i="33"/>
  <c r="C178" i="33"/>
  <c r="T177" i="33"/>
  <c r="C177" i="33"/>
  <c r="T176" i="33"/>
  <c r="Z282" i="33" l="1"/>
  <c r="Z278" i="33"/>
  <c r="Z281" i="33"/>
  <c r="Z277" i="33"/>
  <c r="Z275" i="33"/>
  <c r="Z273" i="33"/>
  <c r="Z271" i="33"/>
  <c r="Z269" i="33"/>
  <c r="Z280" i="33"/>
  <c r="Z279" i="33"/>
  <c r="Z276" i="33"/>
  <c r="Z274" i="33"/>
  <c r="Z272" i="33"/>
  <c r="Z270" i="33"/>
  <c r="Z268" i="33"/>
  <c r="K315" i="4"/>
  <c r="J131" i="4"/>
  <c r="J61" i="4" s="1"/>
  <c r="J311" i="4"/>
  <c r="J314" i="4"/>
  <c r="I61" i="4"/>
  <c r="J313" i="4"/>
  <c r="K264" i="4"/>
  <c r="I213" i="48"/>
  <c r="C176" i="33"/>
  <c r="T175" i="33"/>
  <c r="T174" i="33"/>
  <c r="C174" i="33"/>
  <c r="T173" i="33"/>
  <c r="C173" i="33"/>
  <c r="T172" i="33"/>
  <c r="T171" i="33"/>
  <c r="T170" i="33"/>
  <c r="T169" i="33"/>
  <c r="T168" i="33"/>
  <c r="T167" i="33"/>
  <c r="C167" i="33"/>
  <c r="T166" i="33"/>
  <c r="C166" i="33"/>
  <c r="T165" i="33"/>
  <c r="C165" i="33"/>
  <c r="T164" i="33"/>
  <c r="C164" i="33"/>
  <c r="T163" i="33"/>
  <c r="C163" i="33"/>
  <c r="T162" i="33"/>
  <c r="C162" i="33"/>
  <c r="T161" i="33"/>
  <c r="C161" i="33"/>
  <c r="T160" i="33"/>
  <c r="C160" i="33"/>
  <c r="T159" i="33"/>
  <c r="T158" i="33"/>
  <c r="C158" i="33"/>
  <c r="T157" i="33"/>
  <c r="C157" i="33"/>
  <c r="T156" i="33"/>
  <c r="C156" i="33"/>
  <c r="T155" i="33"/>
  <c r="C155" i="33"/>
  <c r="T154" i="33"/>
  <c r="C154" i="33"/>
  <c r="T153" i="33"/>
  <c r="C153" i="33"/>
  <c r="T152" i="33"/>
  <c r="C152" i="33"/>
  <c r="T151" i="33"/>
  <c r="T150" i="33"/>
  <c r="C150" i="33"/>
  <c r="T149" i="33"/>
  <c r="C149" i="33"/>
  <c r="T148" i="33"/>
  <c r="T147" i="33"/>
  <c r="T146" i="33"/>
  <c r="T145" i="33"/>
  <c r="T144" i="33"/>
  <c r="T143" i="33"/>
  <c r="C143" i="33"/>
  <c r="T142" i="33"/>
  <c r="C142" i="33"/>
  <c r="T141" i="33"/>
  <c r="C141" i="33"/>
  <c r="T140" i="33"/>
  <c r="C140" i="33"/>
  <c r="T139" i="33"/>
  <c r="T138" i="33"/>
  <c r="C138" i="33"/>
  <c r="T137" i="33"/>
  <c r="C137" i="33"/>
  <c r="T136" i="33"/>
  <c r="C136" i="33"/>
  <c r="T135" i="33"/>
  <c r="C135" i="33"/>
  <c r="T134" i="33"/>
  <c r="C134" i="33"/>
  <c r="T133" i="33"/>
  <c r="T132" i="33"/>
  <c r="C132" i="33"/>
  <c r="T131" i="33"/>
  <c r="T130" i="33"/>
  <c r="C130" i="33"/>
  <c r="T129" i="33"/>
  <c r="C129" i="33"/>
  <c r="T128" i="33"/>
  <c r="C128" i="33"/>
  <c r="D121" i="33"/>
  <c r="T120" i="33"/>
  <c r="T119" i="33"/>
  <c r="T118" i="33"/>
  <c r="T117" i="33"/>
  <c r="D117" i="33"/>
  <c r="T116" i="33"/>
  <c r="T115" i="33"/>
  <c r="T114" i="33"/>
  <c r="T113" i="33"/>
  <c r="T112" i="33"/>
  <c r="X327" i="33" l="1"/>
  <c r="X325" i="33"/>
  <c r="X323" i="33"/>
  <c r="X321" i="33"/>
  <c r="X326" i="33"/>
  <c r="X324" i="33"/>
  <c r="X322" i="33"/>
  <c r="X320" i="33"/>
  <c r="X318" i="33"/>
  <c r="X316" i="33"/>
  <c r="X314" i="33"/>
  <c r="X319" i="33"/>
  <c r="X317" i="33"/>
  <c r="X315" i="33"/>
  <c r="X313" i="33"/>
  <c r="X312" i="33"/>
  <c r="X310" i="33"/>
  <c r="D326" i="33" s="1"/>
  <c r="X308" i="33"/>
  <c r="D324" i="33" s="1"/>
  <c r="X306" i="33"/>
  <c r="D322" i="33" s="1"/>
  <c r="X304" i="33"/>
  <c r="D320" i="33" s="1"/>
  <c r="X302" i="33"/>
  <c r="D318" i="33" s="1"/>
  <c r="X300" i="33"/>
  <c r="D316" i="33" s="1"/>
  <c r="X298" i="33"/>
  <c r="D314" i="33" s="1"/>
  <c r="X296" i="33"/>
  <c r="D312" i="33" s="1"/>
  <c r="X294" i="33"/>
  <c r="D310" i="33" s="1"/>
  <c r="X292" i="33"/>
  <c r="D308" i="33" s="1"/>
  <c r="X290" i="33"/>
  <c r="D306" i="33" s="1"/>
  <c r="X281" i="33"/>
  <c r="D297" i="33" s="1"/>
  <c r="X277" i="33"/>
  <c r="D293" i="33" s="1"/>
  <c r="X275" i="33"/>
  <c r="D291" i="33" s="1"/>
  <c r="X273" i="33"/>
  <c r="D289" i="33" s="1"/>
  <c r="X271" i="33"/>
  <c r="D287" i="33" s="1"/>
  <c r="X269" i="33"/>
  <c r="D285" i="33" s="1"/>
  <c r="X289" i="33"/>
  <c r="D305" i="33" s="1"/>
  <c r="X287" i="33"/>
  <c r="D303" i="33" s="1"/>
  <c r="X285" i="33"/>
  <c r="D301" i="33" s="1"/>
  <c r="X283" i="33"/>
  <c r="D299" i="33" s="1"/>
  <c r="X280" i="33"/>
  <c r="D296" i="33" s="1"/>
  <c r="X311" i="33"/>
  <c r="D327" i="33" s="1"/>
  <c r="X309" i="33"/>
  <c r="D325" i="33" s="1"/>
  <c r="X307" i="33"/>
  <c r="D323" i="33" s="1"/>
  <c r="X305" i="33"/>
  <c r="D321" i="33" s="1"/>
  <c r="X303" i="33"/>
  <c r="D319" i="33" s="1"/>
  <c r="X301" i="33"/>
  <c r="D317" i="33" s="1"/>
  <c r="X299" i="33"/>
  <c r="D315" i="33" s="1"/>
  <c r="X297" i="33"/>
  <c r="D313" i="33" s="1"/>
  <c r="X295" i="33"/>
  <c r="D311" i="33" s="1"/>
  <c r="X293" i="33"/>
  <c r="D309" i="33" s="1"/>
  <c r="X291" i="33"/>
  <c r="D307" i="33" s="1"/>
  <c r="X279" i="33"/>
  <c r="D295" i="33" s="1"/>
  <c r="X276" i="33"/>
  <c r="D292" i="33" s="1"/>
  <c r="X274" i="33"/>
  <c r="D290" i="33" s="1"/>
  <c r="X272" i="33"/>
  <c r="D288" i="33" s="1"/>
  <c r="X270" i="33"/>
  <c r="D286" i="33" s="1"/>
  <c r="X268" i="33"/>
  <c r="D284" i="33" s="1"/>
  <c r="X288" i="33"/>
  <c r="D304" i="33" s="1"/>
  <c r="X286" i="33"/>
  <c r="D302" i="33" s="1"/>
  <c r="X284" i="33"/>
  <c r="D300" i="33" s="1"/>
  <c r="X282" i="33"/>
  <c r="D298" i="33" s="1"/>
  <c r="X278" i="33"/>
  <c r="D294" i="33" s="1"/>
  <c r="L264" i="4"/>
  <c r="J213" i="48"/>
  <c r="L315" i="4"/>
  <c r="K311" i="4"/>
  <c r="K313" i="4"/>
  <c r="K131" i="4"/>
  <c r="K61" i="4" s="1"/>
  <c r="K314" i="4"/>
  <c r="T111" i="33"/>
  <c r="T104" i="33"/>
  <c r="C104" i="33"/>
  <c r="T103" i="33"/>
  <c r="C103" i="33"/>
  <c r="T102" i="33"/>
  <c r="C102" i="33"/>
  <c r="T101" i="33"/>
  <c r="T100" i="33"/>
  <c r="C100" i="33"/>
  <c r="T99" i="33"/>
  <c r="T98" i="33"/>
  <c r="T97" i="33"/>
  <c r="T96" i="33"/>
  <c r="T95" i="33"/>
  <c r="T94" i="33"/>
  <c r="C94" i="33"/>
  <c r="T93" i="33"/>
  <c r="T92" i="33"/>
  <c r="C92" i="33"/>
  <c r="T91" i="33"/>
  <c r="C91" i="33"/>
  <c r="T90" i="33"/>
  <c r="C90" i="33"/>
  <c r="T89" i="33"/>
  <c r="C89" i="33"/>
  <c r="T88" i="33"/>
  <c r="C88" i="33"/>
  <c r="T87" i="33"/>
  <c r="C87" i="33"/>
  <c r="T86" i="33"/>
  <c r="C86" i="33"/>
  <c r="T85" i="33"/>
  <c r="C85" i="33"/>
  <c r="T84" i="33"/>
  <c r="C84" i="33"/>
  <c r="T83" i="33"/>
  <c r="C83" i="33"/>
  <c r="T82" i="33"/>
  <c r="T81" i="33"/>
  <c r="C81" i="33"/>
  <c r="T80" i="33"/>
  <c r="C80" i="33"/>
  <c r="T79" i="33"/>
  <c r="C79" i="33"/>
  <c r="T78" i="33"/>
  <c r="T77" i="33"/>
  <c r="C77" i="33"/>
  <c r="T76" i="33"/>
  <c r="C76" i="33"/>
  <c r="T75" i="33"/>
  <c r="C75" i="33"/>
  <c r="T74" i="33"/>
  <c r="C74" i="33"/>
  <c r="T73" i="33"/>
  <c r="C73" i="33"/>
  <c r="T72" i="33"/>
  <c r="C72" i="33"/>
  <c r="T71" i="33"/>
  <c r="T70" i="33"/>
  <c r="T69" i="33"/>
  <c r="T68" i="33"/>
  <c r="T67" i="33"/>
  <c r="T66" i="33"/>
  <c r="C66" i="33"/>
  <c r="W326" i="33" l="1"/>
  <c r="W324" i="33"/>
  <c r="W322" i="33"/>
  <c r="W327" i="33"/>
  <c r="W325" i="33"/>
  <c r="W323" i="33"/>
  <c r="W321" i="33"/>
  <c r="W319" i="33"/>
  <c r="W317" i="33"/>
  <c r="W315" i="33"/>
  <c r="W313" i="33"/>
  <c r="W320" i="33"/>
  <c r="W318" i="33"/>
  <c r="W316" i="33"/>
  <c r="W314" i="33"/>
  <c r="W289" i="33"/>
  <c r="W287" i="33"/>
  <c r="W285" i="33"/>
  <c r="W283" i="33"/>
  <c r="W280" i="33"/>
  <c r="D280" i="33" s="1"/>
  <c r="W311" i="33"/>
  <c r="W309" i="33"/>
  <c r="W307" i="33"/>
  <c r="W305" i="33"/>
  <c r="W303" i="33"/>
  <c r="W301" i="33"/>
  <c r="W299" i="33"/>
  <c r="W297" i="33"/>
  <c r="W295" i="33"/>
  <c r="W293" i="33"/>
  <c r="W291" i="33"/>
  <c r="W279" i="33"/>
  <c r="D279" i="33" s="1"/>
  <c r="W276" i="33"/>
  <c r="W274" i="33"/>
  <c r="W272" i="33"/>
  <c r="W270" i="33"/>
  <c r="W268" i="33"/>
  <c r="D268" i="33" s="1"/>
  <c r="W288" i="33"/>
  <c r="W286" i="33"/>
  <c r="W284" i="33"/>
  <c r="W282" i="33"/>
  <c r="D282" i="33" s="1"/>
  <c r="W278" i="33"/>
  <c r="D278" i="33" s="1"/>
  <c r="W312" i="33"/>
  <c r="W310" i="33"/>
  <c r="W308" i="33"/>
  <c r="W306" i="33"/>
  <c r="W304" i="33"/>
  <c r="W302" i="33"/>
  <c r="W300" i="33"/>
  <c r="W298" i="33"/>
  <c r="W296" i="33"/>
  <c r="W294" i="33"/>
  <c r="W292" i="33"/>
  <c r="W290" i="33"/>
  <c r="W281" i="33"/>
  <c r="D281" i="33" s="1"/>
  <c r="W277" i="33"/>
  <c r="W275" i="33"/>
  <c r="W273" i="33"/>
  <c r="W271" i="33"/>
  <c r="W269" i="33"/>
  <c r="L131" i="4"/>
  <c r="L61" i="4" s="1"/>
  <c r="L311" i="4"/>
  <c r="M264" i="4"/>
  <c r="K213" i="48"/>
  <c r="L313" i="4"/>
  <c r="M315" i="4"/>
  <c r="L314" i="4"/>
  <c r="T65" i="33"/>
  <c r="C65" i="33"/>
  <c r="T64" i="33"/>
  <c r="C64" i="33"/>
  <c r="T63" i="33"/>
  <c r="C63" i="33"/>
  <c r="T62" i="33"/>
  <c r="T61" i="33"/>
  <c r="C61" i="33"/>
  <c r="T60" i="33"/>
  <c r="N315" i="4" l="1"/>
  <c r="O315" i="4" s="1"/>
  <c r="M131" i="4"/>
  <c r="N264" i="4"/>
  <c r="L213" i="48"/>
  <c r="M314" i="4"/>
  <c r="M313" i="4"/>
  <c r="M311" i="4"/>
  <c r="C60" i="33"/>
  <c r="T59" i="33"/>
  <c r="C59" i="33"/>
  <c r="T58" i="33"/>
  <c r="T57" i="33"/>
  <c r="C57" i="33"/>
  <c r="T56" i="33"/>
  <c r="T55" i="33"/>
  <c r="T54" i="33"/>
  <c r="T53" i="33"/>
  <c r="T52" i="33"/>
  <c r="T51" i="33"/>
  <c r="C51" i="33"/>
  <c r="T50" i="33"/>
  <c r="C50" i="33"/>
  <c r="T49" i="33"/>
  <c r="T48" i="33"/>
  <c r="C48" i="33"/>
  <c r="T47" i="33"/>
  <c r="C47" i="33"/>
  <c r="T46" i="33"/>
  <c r="C46" i="33"/>
  <c r="T45" i="33"/>
  <c r="T44" i="33"/>
  <c r="C44" i="33"/>
  <c r="T43" i="33"/>
  <c r="C43" i="33"/>
  <c r="T42" i="33"/>
  <c r="T41" i="33"/>
  <c r="C41" i="33"/>
  <c r="T40" i="33"/>
  <c r="C40" i="33"/>
  <c r="T39" i="33"/>
  <c r="D32" i="33"/>
  <c r="T31" i="33"/>
  <c r="T30" i="33"/>
  <c r="T29" i="33"/>
  <c r="D29" i="33"/>
  <c r="T28" i="33"/>
  <c r="T27" i="33"/>
  <c r="T26" i="33"/>
  <c r="T25" i="33"/>
  <c r="T24" i="33"/>
  <c r="T23" i="33"/>
  <c r="T22" i="33"/>
  <c r="J90" i="5"/>
  <c r="I90" i="5"/>
  <c r="H90" i="5"/>
  <c r="G90" i="5"/>
  <c r="F90" i="5"/>
  <c r="E90" i="5"/>
  <c r="E83" i="5"/>
  <c r="J256" i="5"/>
  <c r="I256" i="5"/>
  <c r="H256" i="5"/>
  <c r="G256" i="5"/>
  <c r="F256" i="5"/>
  <c r="E256" i="5"/>
  <c r="J249" i="5"/>
  <c r="I249" i="5"/>
  <c r="H249" i="5"/>
  <c r="G249" i="5"/>
  <c r="F249" i="5"/>
  <c r="E249" i="5"/>
  <c r="J240" i="5"/>
  <c r="I240" i="5"/>
  <c r="H240" i="5"/>
  <c r="G240" i="5"/>
  <c r="F240" i="5"/>
  <c r="E240" i="5"/>
  <c r="J231" i="5"/>
  <c r="I231" i="5"/>
  <c r="H231" i="5"/>
  <c r="G231" i="5"/>
  <c r="F231" i="5"/>
  <c r="E231" i="5"/>
  <c r="J221" i="5"/>
  <c r="I221" i="5"/>
  <c r="H221" i="5"/>
  <c r="G221" i="5"/>
  <c r="F221" i="5"/>
  <c r="E221" i="5"/>
  <c r="J214" i="5"/>
  <c r="I214" i="5"/>
  <c r="H214" i="5"/>
  <c r="G214" i="5"/>
  <c r="F214" i="5"/>
  <c r="E214" i="5"/>
  <c r="J195" i="5"/>
  <c r="I195" i="5"/>
  <c r="H195" i="5"/>
  <c r="G195" i="5"/>
  <c r="F195" i="5"/>
  <c r="E195" i="5"/>
  <c r="J183" i="5"/>
  <c r="I183" i="5"/>
  <c r="H183" i="5"/>
  <c r="G183" i="5"/>
  <c r="F183" i="5"/>
  <c r="E183" i="5"/>
  <c r="J176" i="5"/>
  <c r="I176" i="5"/>
  <c r="H176" i="5"/>
  <c r="G176" i="5"/>
  <c r="F176" i="5"/>
  <c r="E176" i="5"/>
  <c r="J167" i="5"/>
  <c r="I167" i="5"/>
  <c r="H270" i="3" s="1"/>
  <c r="H167" i="5"/>
  <c r="G167" i="5"/>
  <c r="F167" i="5"/>
  <c r="E167" i="5"/>
  <c r="J157" i="5"/>
  <c r="I157" i="5"/>
  <c r="H157" i="5"/>
  <c r="G157" i="5"/>
  <c r="F157" i="5"/>
  <c r="E157" i="5"/>
  <c r="J142" i="5"/>
  <c r="I142" i="5"/>
  <c r="H142" i="5"/>
  <c r="G142" i="5"/>
  <c r="F142" i="5"/>
  <c r="E142" i="5"/>
  <c r="J133" i="5"/>
  <c r="I133" i="5"/>
  <c r="H133" i="5"/>
  <c r="G133" i="5"/>
  <c r="F133" i="5"/>
  <c r="E133" i="5"/>
  <c r="J126" i="5"/>
  <c r="I126" i="5"/>
  <c r="H126" i="5"/>
  <c r="G126" i="5"/>
  <c r="F126" i="5"/>
  <c r="E126" i="5"/>
  <c r="J117" i="5"/>
  <c r="I117" i="5"/>
  <c r="H117" i="5"/>
  <c r="G117" i="5"/>
  <c r="F117" i="5"/>
  <c r="E117" i="5"/>
  <c r="J107" i="5"/>
  <c r="I107" i="5"/>
  <c r="H107" i="5"/>
  <c r="G107" i="5"/>
  <c r="F107" i="5"/>
  <c r="E107" i="5"/>
  <c r="C105" i="5"/>
  <c r="J13" i="5"/>
  <c r="I13" i="5" l="1"/>
  <c r="J62" i="5"/>
  <c r="J40" i="5"/>
  <c r="J26" i="5"/>
  <c r="J51" i="5"/>
  <c r="C106" i="5"/>
  <c r="U326" i="33"/>
  <c r="U324" i="33"/>
  <c r="U322" i="33"/>
  <c r="U327" i="33"/>
  <c r="U325" i="33"/>
  <c r="U323" i="33"/>
  <c r="U321" i="33"/>
  <c r="U319" i="33"/>
  <c r="U317" i="33"/>
  <c r="U315" i="33"/>
  <c r="U313" i="33"/>
  <c r="U320" i="33"/>
  <c r="U318" i="33"/>
  <c r="U316" i="33"/>
  <c r="U314" i="33"/>
  <c r="U311" i="33"/>
  <c r="C327" i="33" s="1"/>
  <c r="U309" i="33"/>
  <c r="C325" i="33" s="1"/>
  <c r="U307" i="33"/>
  <c r="C323" i="33" s="1"/>
  <c r="U305" i="33"/>
  <c r="C321" i="33" s="1"/>
  <c r="U303" i="33"/>
  <c r="C319" i="33" s="1"/>
  <c r="U301" i="33"/>
  <c r="C317" i="33" s="1"/>
  <c r="U299" i="33"/>
  <c r="C315" i="33" s="1"/>
  <c r="U297" i="33"/>
  <c r="C313" i="33" s="1"/>
  <c r="U295" i="33"/>
  <c r="C311" i="33" s="1"/>
  <c r="U293" i="33"/>
  <c r="C309" i="33" s="1"/>
  <c r="U291" i="33"/>
  <c r="C307" i="33" s="1"/>
  <c r="U279" i="33"/>
  <c r="C295" i="33" s="1"/>
  <c r="U276" i="33"/>
  <c r="C292" i="33" s="1"/>
  <c r="U274" i="33"/>
  <c r="C290" i="33" s="1"/>
  <c r="U272" i="33"/>
  <c r="C288" i="33" s="1"/>
  <c r="U270" i="33"/>
  <c r="C286" i="33" s="1"/>
  <c r="U268" i="33"/>
  <c r="C284" i="33" s="1"/>
  <c r="U288" i="33"/>
  <c r="C304" i="33" s="1"/>
  <c r="U286" i="33"/>
  <c r="C302" i="33" s="1"/>
  <c r="U284" i="33"/>
  <c r="C300" i="33" s="1"/>
  <c r="U282" i="33"/>
  <c r="C298" i="33" s="1"/>
  <c r="U278" i="33"/>
  <c r="C294" i="33" s="1"/>
  <c r="U312" i="33"/>
  <c r="U310" i="33"/>
  <c r="C326" i="33" s="1"/>
  <c r="U308" i="33"/>
  <c r="C324" i="33" s="1"/>
  <c r="U306" i="33"/>
  <c r="C322" i="33" s="1"/>
  <c r="U304" i="33"/>
  <c r="C320" i="33" s="1"/>
  <c r="U302" i="33"/>
  <c r="C318" i="33" s="1"/>
  <c r="U300" i="33"/>
  <c r="C316" i="33" s="1"/>
  <c r="U298" i="33"/>
  <c r="C314" i="33" s="1"/>
  <c r="U296" i="33"/>
  <c r="C312" i="33" s="1"/>
  <c r="U294" i="33"/>
  <c r="C310" i="33" s="1"/>
  <c r="U292" i="33"/>
  <c r="C308" i="33" s="1"/>
  <c r="U290" i="33"/>
  <c r="C306" i="33" s="1"/>
  <c r="U281" i="33"/>
  <c r="C297" i="33" s="1"/>
  <c r="U277" i="33"/>
  <c r="C293" i="33" s="1"/>
  <c r="U275" i="33"/>
  <c r="C291" i="33" s="1"/>
  <c r="U273" i="33"/>
  <c r="C289" i="33" s="1"/>
  <c r="U271" i="33"/>
  <c r="C287" i="33" s="1"/>
  <c r="U269" i="33"/>
  <c r="C285" i="33" s="1"/>
  <c r="U289" i="33"/>
  <c r="C305" i="33" s="1"/>
  <c r="U287" i="33"/>
  <c r="C303" i="33" s="1"/>
  <c r="U285" i="33"/>
  <c r="C301" i="33" s="1"/>
  <c r="U283" i="33"/>
  <c r="C299" i="33" s="1"/>
  <c r="U280" i="33"/>
  <c r="C296" i="33" s="1"/>
  <c r="T327" i="33"/>
  <c r="T325" i="33"/>
  <c r="T323" i="33"/>
  <c r="T321" i="33"/>
  <c r="T326" i="33"/>
  <c r="T324" i="33"/>
  <c r="T322" i="33"/>
  <c r="T320" i="33"/>
  <c r="T318" i="33"/>
  <c r="T316" i="33"/>
  <c r="T314" i="33"/>
  <c r="T319" i="33"/>
  <c r="T317" i="33"/>
  <c r="T315" i="33"/>
  <c r="T288" i="33"/>
  <c r="T286" i="33"/>
  <c r="T284" i="33"/>
  <c r="T282" i="33"/>
  <c r="I282" i="33" s="1"/>
  <c r="T278" i="33"/>
  <c r="I278" i="33" s="1"/>
  <c r="T312" i="33"/>
  <c r="T310" i="33"/>
  <c r="T308" i="33"/>
  <c r="T306" i="33"/>
  <c r="T304" i="33"/>
  <c r="T302" i="33"/>
  <c r="T300" i="33"/>
  <c r="T298" i="33"/>
  <c r="T296" i="33"/>
  <c r="T294" i="33"/>
  <c r="T292" i="33"/>
  <c r="T290" i="33"/>
  <c r="T281" i="33"/>
  <c r="I281" i="33" s="1"/>
  <c r="T277" i="33"/>
  <c r="I277" i="33" s="1"/>
  <c r="D277" i="33" s="1"/>
  <c r="T275" i="33"/>
  <c r="I275" i="33" s="1"/>
  <c r="D275" i="33" s="1"/>
  <c r="C275" i="33" s="1"/>
  <c r="T273" i="33"/>
  <c r="I273" i="33" s="1"/>
  <c r="D273" i="33" s="1"/>
  <c r="C273" i="33" s="1"/>
  <c r="T271" i="33"/>
  <c r="I271" i="33" s="1"/>
  <c r="D271" i="33" s="1"/>
  <c r="C271" i="33" s="1"/>
  <c r="T269" i="33"/>
  <c r="I269" i="33" s="1"/>
  <c r="D269" i="33" s="1"/>
  <c r="C269" i="33" s="1"/>
  <c r="T289" i="33"/>
  <c r="T287" i="33"/>
  <c r="T285" i="33"/>
  <c r="T283" i="33"/>
  <c r="T280" i="33"/>
  <c r="I280" i="33" s="1"/>
  <c r="T313" i="33"/>
  <c r="T311" i="33"/>
  <c r="T309" i="33"/>
  <c r="T307" i="33"/>
  <c r="T305" i="33"/>
  <c r="T303" i="33"/>
  <c r="T301" i="33"/>
  <c r="T299" i="33"/>
  <c r="T297" i="33"/>
  <c r="T295" i="33"/>
  <c r="T293" i="33"/>
  <c r="T291" i="33"/>
  <c r="T279" i="33"/>
  <c r="I279" i="33" s="1"/>
  <c r="T276" i="33"/>
  <c r="I276" i="33" s="1"/>
  <c r="D276" i="33" s="1"/>
  <c r="T274" i="33"/>
  <c r="I274" i="33" s="1"/>
  <c r="D274" i="33" s="1"/>
  <c r="C274" i="33" s="1"/>
  <c r="T272" i="33"/>
  <c r="I272" i="33" s="1"/>
  <c r="D272" i="33" s="1"/>
  <c r="C272" i="33" s="1"/>
  <c r="T270" i="33"/>
  <c r="I270" i="33" s="1"/>
  <c r="D270" i="33" s="1"/>
  <c r="C270" i="33" s="1"/>
  <c r="T268" i="33"/>
  <c r="N131" i="4"/>
  <c r="L32" i="48"/>
  <c r="K32" i="48" s="1"/>
  <c r="J32" i="48" s="1"/>
  <c r="I32" i="48" s="1"/>
  <c r="H32" i="48" s="1"/>
  <c r="G32" i="48" s="1"/>
  <c r="F32" i="48" s="1"/>
  <c r="E32" i="48" s="1"/>
  <c r="D32" i="48" s="1"/>
  <c r="N313" i="4"/>
  <c r="O264" i="4"/>
  <c r="M213" i="48"/>
  <c r="I99" i="5"/>
  <c r="I21" i="29" s="1"/>
  <c r="M61" i="4"/>
  <c r="N311" i="4"/>
  <c r="N314" i="4"/>
  <c r="J99" i="5"/>
  <c r="J21" i="29" s="1"/>
  <c r="G441" i="1"/>
  <c r="G373" i="1"/>
  <c r="F312" i="1"/>
  <c r="G301" i="1"/>
  <c r="F301" i="1"/>
  <c r="G259" i="1"/>
  <c r="F259" i="1"/>
  <c r="F290" i="1" s="1"/>
  <c r="G237" i="1"/>
  <c r="F237" i="1"/>
  <c r="E237" i="1"/>
  <c r="G142" i="1"/>
  <c r="F142" i="1"/>
  <c r="G115" i="1"/>
  <c r="F115" i="1"/>
  <c r="F69" i="1"/>
  <c r="G67" i="1"/>
  <c r="H95" i="3" s="1"/>
  <c r="F50" i="1"/>
  <c r="G25" i="1"/>
  <c r="E21" i="28"/>
  <c r="O3" i="36"/>
  <c r="O4" i="36"/>
  <c r="O5" i="36"/>
  <c r="O6" i="36"/>
  <c r="O7" i="36"/>
  <c r="O8" i="36"/>
  <c r="O9" i="36"/>
  <c r="O10" i="36"/>
  <c r="O11" i="36"/>
  <c r="O12" i="36"/>
  <c r="O13" i="36"/>
  <c r="O14" i="36"/>
  <c r="O15" i="36"/>
  <c r="O16" i="36"/>
  <c r="O17" i="36"/>
  <c r="O18" i="36"/>
  <c r="O19" i="36"/>
  <c r="O20" i="36"/>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49" i="36"/>
  <c r="O50" i="36"/>
  <c r="O51" i="36"/>
  <c r="O52" i="36"/>
  <c r="O53" i="36"/>
  <c r="O54" i="36"/>
  <c r="O55" i="36"/>
  <c r="O56" i="36"/>
  <c r="O57" i="36"/>
  <c r="O58" i="36"/>
  <c r="O59" i="36"/>
  <c r="O60" i="36"/>
  <c r="O61" i="36"/>
  <c r="O62" i="36"/>
  <c r="O63" i="36"/>
  <c r="O64" i="36"/>
  <c r="O65" i="36"/>
  <c r="O66" i="36"/>
  <c r="O67" i="36"/>
  <c r="O68" i="36"/>
  <c r="O69" i="36"/>
  <c r="O70" i="36"/>
  <c r="O71" i="36"/>
  <c r="O72" i="36"/>
  <c r="O73" i="36"/>
  <c r="O74" i="36"/>
  <c r="O75" i="36"/>
  <c r="O76" i="36"/>
  <c r="O77" i="36"/>
  <c r="O78" i="36"/>
  <c r="O79" i="36"/>
  <c r="O80" i="36"/>
  <c r="O81" i="36"/>
  <c r="O82" i="36"/>
  <c r="O83" i="36"/>
  <c r="O84" i="36"/>
  <c r="O85" i="36"/>
  <c r="O86" i="36"/>
  <c r="O87" i="36"/>
  <c r="O88" i="36"/>
  <c r="O89" i="36"/>
  <c r="O90" i="36"/>
  <c r="O91" i="36"/>
  <c r="O92" i="36"/>
  <c r="O93" i="36"/>
  <c r="O94" i="36"/>
  <c r="O95" i="36"/>
  <c r="O96" i="36"/>
  <c r="O97" i="36"/>
  <c r="O98" i="36"/>
  <c r="O99" i="36"/>
  <c r="O100" i="36"/>
  <c r="O101" i="36"/>
  <c r="O102" i="36"/>
  <c r="O103" i="36"/>
  <c r="O104" i="36"/>
  <c r="O105" i="36"/>
  <c r="O106" i="36"/>
  <c r="O107" i="36"/>
  <c r="O108" i="36"/>
  <c r="O109" i="36"/>
  <c r="O110" i="36"/>
  <c r="O111" i="36"/>
  <c r="O112" i="36"/>
  <c r="O113" i="36"/>
  <c r="O114" i="36"/>
  <c r="O115" i="36"/>
  <c r="O116" i="36"/>
  <c r="O117" i="36"/>
  <c r="O118" i="36"/>
  <c r="O119" i="36"/>
  <c r="O120" i="36"/>
  <c r="O121" i="36"/>
  <c r="O122" i="36"/>
  <c r="O123" i="36"/>
  <c r="O124" i="36"/>
  <c r="O125" i="36"/>
  <c r="O126" i="36"/>
  <c r="O127" i="36"/>
  <c r="S127" i="36" s="1"/>
  <c r="Z615" i="16"/>
  <c r="Y615" i="16"/>
  <c r="X615" i="16"/>
  <c r="W615" i="16"/>
  <c r="V615" i="16"/>
  <c r="U615" i="16"/>
  <c r="T615" i="16"/>
  <c r="S615" i="16"/>
  <c r="R615" i="16"/>
  <c r="Q615" i="16"/>
  <c r="O56" i="21"/>
  <c r="P51" i="49" s="1"/>
  <c r="E60" i="21"/>
  <c r="I39" i="41"/>
  <c r="I38" i="41"/>
  <c r="F38" i="41"/>
  <c r="H217" i="2"/>
  <c r="J217" i="2" s="1"/>
  <c r="J232" i="2"/>
  <c r="Y251" i="2"/>
  <c r="X251" i="2"/>
  <c r="W251" i="2"/>
  <c r="V251" i="2"/>
  <c r="U251" i="2"/>
  <c r="T251" i="2"/>
  <c r="S251" i="2"/>
  <c r="R251" i="2"/>
  <c r="Q251" i="2"/>
  <c r="P251" i="2"/>
  <c r="T269" i="2"/>
  <c r="S269" i="2"/>
  <c r="R269" i="2"/>
  <c r="Q269" i="2"/>
  <c r="U48" i="16"/>
  <c r="T488" i="16" s="1"/>
  <c r="S488" i="16" s="1"/>
  <c r="P187" i="16"/>
  <c r="N512" i="16" s="1"/>
  <c r="O187" i="16"/>
  <c r="N187" i="16"/>
  <c r="M187" i="16"/>
  <c r="L187" i="16"/>
  <c r="K187" i="16"/>
  <c r="J187" i="16"/>
  <c r="I187" i="16"/>
  <c r="H187" i="16"/>
  <c r="F512" i="16" s="1"/>
  <c r="E512" i="16" s="1"/>
  <c r="U187" i="16"/>
  <c r="U200" i="16"/>
  <c r="T525" i="16" s="1"/>
  <c r="S525" i="16" s="1"/>
  <c r="D784" i="16"/>
  <c r="D795" i="16" s="1"/>
  <c r="E115" i="21" s="1"/>
  <c r="E61" i="21" s="1"/>
  <c r="D789" i="16"/>
  <c r="I896" i="16"/>
  <c r="AR93" i="21"/>
  <c r="AQ93" i="21"/>
  <c r="AP93" i="21"/>
  <c r="AO93" i="21"/>
  <c r="AN93" i="21"/>
  <c r="AM93" i="21"/>
  <c r="Z68" i="21"/>
  <c r="AA68" i="21" s="1"/>
  <c r="AB68" i="21" s="1"/>
  <c r="AC68" i="21" s="1"/>
  <c r="AD68" i="21" s="1"/>
  <c r="AE68" i="21" s="1"/>
  <c r="AF68" i="21" s="1"/>
  <c r="AG68" i="21" s="1"/>
  <c r="E642" i="16"/>
  <c r="F642" i="16" s="1"/>
  <c r="G642" i="16" s="1"/>
  <c r="H642" i="16" s="1"/>
  <c r="I642" i="16" s="1"/>
  <c r="J642" i="16" s="1"/>
  <c r="K642" i="16" s="1"/>
  <c r="L642" i="16" s="1"/>
  <c r="M642" i="16" s="1"/>
  <c r="Q909" i="16"/>
  <c r="P3" i="36"/>
  <c r="P4" i="36"/>
  <c r="P5" i="36"/>
  <c r="P6" i="36"/>
  <c r="P7" i="36"/>
  <c r="P8" i="36"/>
  <c r="P9" i="36"/>
  <c r="P10" i="36"/>
  <c r="P11" i="36"/>
  <c r="P12" i="36"/>
  <c r="P13" i="36"/>
  <c r="P14" i="36"/>
  <c r="P15" i="36"/>
  <c r="P16" i="36"/>
  <c r="P17" i="36"/>
  <c r="P18" i="36"/>
  <c r="P20" i="36"/>
  <c r="P19" i="36"/>
  <c r="P21" i="36"/>
  <c r="P22" i="36"/>
  <c r="P23" i="36"/>
  <c r="P24" i="36"/>
  <c r="P25" i="36"/>
  <c r="P26" i="36"/>
  <c r="P27" i="36"/>
  <c r="P28" i="36"/>
  <c r="P29" i="36"/>
  <c r="P30" i="36"/>
  <c r="P31" i="36"/>
  <c r="P32" i="36"/>
  <c r="P33" i="36"/>
  <c r="P35" i="36"/>
  <c r="P37" i="36"/>
  <c r="P39" i="36"/>
  <c r="P41" i="36"/>
  <c r="P43" i="36"/>
  <c r="P45" i="36"/>
  <c r="P47" i="36"/>
  <c r="P50" i="36"/>
  <c r="P36" i="36"/>
  <c r="P40" i="36"/>
  <c r="P42" i="36"/>
  <c r="P44" i="36"/>
  <c r="P46" i="36"/>
  <c r="P48" i="36"/>
  <c r="P34" i="36"/>
  <c r="P38" i="36"/>
  <c r="P49" i="36"/>
  <c r="P51" i="36"/>
  <c r="P58" i="36"/>
  <c r="P62" i="36"/>
  <c r="P65" i="36"/>
  <c r="P69" i="36"/>
  <c r="P73" i="36"/>
  <c r="P77" i="36"/>
  <c r="P52" i="36"/>
  <c r="P54" i="36"/>
  <c r="P57" i="36"/>
  <c r="P61" i="36"/>
  <c r="P64" i="36"/>
  <c r="P68" i="36"/>
  <c r="P72" i="36"/>
  <c r="P76" i="36"/>
  <c r="P53" i="36"/>
  <c r="P56" i="36"/>
  <c r="P60" i="36"/>
  <c r="P67" i="36"/>
  <c r="P71" i="36"/>
  <c r="P75" i="36"/>
  <c r="P55" i="36"/>
  <c r="P59" i="36"/>
  <c r="P63" i="36"/>
  <c r="P66" i="36"/>
  <c r="P70" i="36"/>
  <c r="P74" i="36"/>
  <c r="P84" i="36"/>
  <c r="P89" i="36"/>
  <c r="P83" i="36"/>
  <c r="P87" i="36"/>
  <c r="P88" i="36"/>
  <c r="P80" i="36"/>
  <c r="P79" i="36"/>
  <c r="P82" i="36"/>
  <c r="P86" i="36"/>
  <c r="P91" i="36"/>
  <c r="P78" i="36"/>
  <c r="P81" i="36"/>
  <c r="P85" i="36"/>
  <c r="P90" i="36"/>
  <c r="P92" i="36"/>
  <c r="P93" i="36"/>
  <c r="P100" i="36"/>
  <c r="P96" i="36"/>
  <c r="P99" i="36"/>
  <c r="P95" i="36"/>
  <c r="P98" i="36"/>
  <c r="P94" i="36"/>
  <c r="P97" i="36"/>
  <c r="P101" i="36"/>
  <c r="P114" i="36"/>
  <c r="P116" i="36"/>
  <c r="P118" i="36"/>
  <c r="P121" i="36"/>
  <c r="P104" i="36"/>
  <c r="P106" i="36"/>
  <c r="P108" i="36"/>
  <c r="P110" i="36"/>
  <c r="P112" i="36"/>
  <c r="P122" i="36"/>
  <c r="P113" i="36"/>
  <c r="P115" i="36"/>
  <c r="P117" i="36"/>
  <c r="P119" i="36"/>
  <c r="P123" i="36"/>
  <c r="P124" i="36"/>
  <c r="P102" i="36"/>
  <c r="P103" i="36"/>
  <c r="P105" i="36"/>
  <c r="P107" i="36"/>
  <c r="P109" i="36"/>
  <c r="P111" i="36"/>
  <c r="P120" i="36"/>
  <c r="P125" i="36"/>
  <c r="P126" i="36"/>
  <c r="P127" i="36"/>
  <c r="J40" i="29" l="1"/>
  <c r="J59" i="29" s="1"/>
  <c r="J79" i="29"/>
  <c r="I40" i="29"/>
  <c r="I59" i="29" s="1"/>
  <c r="I79" i="29"/>
  <c r="H13" i="5"/>
  <c r="I26" i="5"/>
  <c r="I62" i="5"/>
  <c r="I40" i="5"/>
  <c r="I51" i="5"/>
  <c r="M512" i="16"/>
  <c r="L512" i="16" s="1"/>
  <c r="K512" i="16" s="1"/>
  <c r="J512" i="16" s="1"/>
  <c r="I512" i="16" s="1"/>
  <c r="H512" i="16" s="1"/>
  <c r="G512" i="16" s="1"/>
  <c r="O512" i="16" s="1"/>
  <c r="I4" i="2"/>
  <c r="N4" i="2"/>
  <c r="G4" i="2"/>
  <c r="O4" i="2"/>
  <c r="F4" i="2"/>
  <c r="J4" i="2"/>
  <c r="L4" i="2"/>
  <c r="M4" i="2"/>
  <c r="K4" i="2"/>
  <c r="H4" i="2"/>
  <c r="I268" i="33"/>
  <c r="C268" i="33"/>
  <c r="E7" i="14"/>
  <c r="E540" i="14"/>
  <c r="H87" i="9"/>
  <c r="E507" i="14"/>
  <c r="H69" i="9"/>
  <c r="S100" i="36"/>
  <c r="T100" i="36" s="1"/>
  <c r="S92" i="36"/>
  <c r="T92" i="36" s="1"/>
  <c r="S72" i="36"/>
  <c r="E49" i="4"/>
  <c r="H204" i="3"/>
  <c r="E506" i="14"/>
  <c r="G69" i="9"/>
  <c r="E8" i="14"/>
  <c r="E24" i="14" s="1"/>
  <c r="S61" i="36"/>
  <c r="E22" i="28"/>
  <c r="S53" i="36"/>
  <c r="S29" i="36"/>
  <c r="S59" i="36"/>
  <c r="S64" i="36"/>
  <c r="S14" i="36"/>
  <c r="U14" i="36" s="1"/>
  <c r="S90" i="36"/>
  <c r="T90" i="36" s="1"/>
  <c r="S78" i="36"/>
  <c r="T78" i="36" s="1"/>
  <c r="S66" i="36"/>
  <c r="U66" i="36" s="1"/>
  <c r="S47" i="36"/>
  <c r="S27" i="36"/>
  <c r="U127" i="36"/>
  <c r="T127" i="36"/>
  <c r="S125" i="36"/>
  <c r="U125" i="36" s="1"/>
  <c r="S117" i="36"/>
  <c r="S34" i="36"/>
  <c r="T34" i="36" s="1"/>
  <c r="S22" i="36"/>
  <c r="T22" i="36" s="1"/>
  <c r="S18" i="36"/>
  <c r="U18" i="36" s="1"/>
  <c r="S11" i="36"/>
  <c r="S7" i="36"/>
  <c r="S62" i="36"/>
  <c r="U62" i="36" s="1"/>
  <c r="S15" i="36"/>
  <c r="U15" i="36" s="1"/>
  <c r="E187" i="16"/>
  <c r="S116" i="36"/>
  <c r="T116" i="36" s="1"/>
  <c r="S111" i="36"/>
  <c r="S108" i="36"/>
  <c r="T108" i="36" s="1"/>
  <c r="I141" i="5"/>
  <c r="I160" i="5"/>
  <c r="I252" i="5"/>
  <c r="I244" i="5"/>
  <c r="I234" i="5"/>
  <c r="I227" i="5"/>
  <c r="I217" i="5"/>
  <c r="I209" i="5"/>
  <c r="I189" i="5"/>
  <c r="I136" i="5"/>
  <c r="I110" i="5"/>
  <c r="I198" i="5"/>
  <c r="I179" i="5"/>
  <c r="I171" i="5"/>
  <c r="I151" i="5"/>
  <c r="I129" i="5"/>
  <c r="I121" i="5"/>
  <c r="O131" i="4"/>
  <c r="S124" i="36"/>
  <c r="T124" i="36" s="1"/>
  <c r="S93" i="36"/>
  <c r="S85" i="36"/>
  <c r="S122" i="36"/>
  <c r="T122" i="36" s="1"/>
  <c r="S106" i="36"/>
  <c r="U106" i="36" s="1"/>
  <c r="S95" i="36"/>
  <c r="S84" i="36"/>
  <c r="T84" i="36" s="1"/>
  <c r="S79" i="36"/>
  <c r="S63" i="36"/>
  <c r="S40" i="36"/>
  <c r="S32" i="36"/>
  <c r="S16" i="36"/>
  <c r="S13" i="36"/>
  <c r="S5" i="36"/>
  <c r="T5" i="36" s="1"/>
  <c r="J97" i="29"/>
  <c r="J198" i="5"/>
  <c r="J189" i="5"/>
  <c r="J179" i="5"/>
  <c r="J171" i="5"/>
  <c r="J160" i="5"/>
  <c r="J151" i="5"/>
  <c r="J136" i="5"/>
  <c r="J129" i="5"/>
  <c r="J121" i="5"/>
  <c r="J110" i="5"/>
  <c r="J252" i="5"/>
  <c r="I75" i="5" s="1"/>
  <c r="J244" i="5"/>
  <c r="J234" i="5"/>
  <c r="J227" i="5"/>
  <c r="J217" i="5"/>
  <c r="J209" i="5"/>
  <c r="J141" i="5"/>
  <c r="O311" i="4"/>
  <c r="O313" i="4"/>
  <c r="O314" i="4"/>
  <c r="N213" i="48"/>
  <c r="N54" i="48"/>
  <c r="M54" i="48" s="1"/>
  <c r="L54" i="48" s="1"/>
  <c r="K54" i="48" s="1"/>
  <c r="J54" i="48" s="1"/>
  <c r="I54" i="48" s="1"/>
  <c r="H54" i="48" s="1"/>
  <c r="G54" i="48" s="1"/>
  <c r="F54" i="48" s="1"/>
  <c r="E54" i="48" s="1"/>
  <c r="D54" i="48" s="1"/>
  <c r="D30" i="33" s="1"/>
  <c r="S58" i="36"/>
  <c r="U58" i="36" s="1"/>
  <c r="S46" i="36"/>
  <c r="U46" i="36" s="1"/>
  <c r="N61" i="4"/>
  <c r="S119" i="36"/>
  <c r="S101" i="36"/>
  <c r="S98" i="36"/>
  <c r="U98" i="36" s="1"/>
  <c r="S87" i="36"/>
  <c r="S80" i="36"/>
  <c r="S77" i="36"/>
  <c r="S74" i="36"/>
  <c r="U74" i="36" s="1"/>
  <c r="S69" i="36"/>
  <c r="S50" i="36"/>
  <c r="T50" i="36" s="1"/>
  <c r="S43" i="36"/>
  <c r="S35" i="36"/>
  <c r="S31" i="36"/>
  <c r="S24" i="36"/>
  <c r="S21" i="36"/>
  <c r="S10" i="36"/>
  <c r="U10" i="36" s="1"/>
  <c r="S6" i="36"/>
  <c r="S4" i="36"/>
  <c r="S109" i="36"/>
  <c r="S114" i="36"/>
  <c r="U114" i="36" s="1"/>
  <c r="S103" i="36"/>
  <c r="S82" i="36"/>
  <c r="T82" i="36" s="1"/>
  <c r="S75" i="36"/>
  <c r="S56" i="36"/>
  <c r="S48" i="36"/>
  <c r="S45" i="36"/>
  <c r="S42" i="36"/>
  <c r="U42" i="36" s="1"/>
  <c r="S37" i="36"/>
  <c r="S26" i="36"/>
  <c r="U26" i="36" s="1"/>
  <c r="S19" i="36"/>
  <c r="S8" i="36"/>
  <c r="S3" i="36"/>
  <c r="S30" i="36"/>
  <c r="S23" i="36"/>
  <c r="S123" i="36"/>
  <c r="S120" i="36"/>
  <c r="S115" i="36"/>
  <c r="S112" i="36"/>
  <c r="S107" i="36"/>
  <c r="S104" i="36"/>
  <c r="S99" i="36"/>
  <c r="S96" i="36"/>
  <c r="S91" i="36"/>
  <c r="S88" i="36"/>
  <c r="S83" i="36"/>
  <c r="S70" i="36"/>
  <c r="S67" i="36"/>
  <c r="S54" i="36"/>
  <c r="S51" i="36"/>
  <c r="S38" i="36"/>
  <c r="S126" i="36"/>
  <c r="S121" i="36"/>
  <c r="S118" i="36"/>
  <c r="S113" i="36"/>
  <c r="S110" i="36"/>
  <c r="S105" i="36"/>
  <c r="S102" i="36"/>
  <c r="S97" i="36"/>
  <c r="S94" i="36"/>
  <c r="S89" i="36"/>
  <c r="S86" i="36"/>
  <c r="S81" i="36"/>
  <c r="S71" i="36"/>
  <c r="S68" i="36"/>
  <c r="S65" i="36"/>
  <c r="S55" i="36"/>
  <c r="S52" i="36"/>
  <c r="S49" i="36"/>
  <c r="S39" i="36"/>
  <c r="S36" i="36"/>
  <c r="S33" i="36"/>
  <c r="S20" i="36"/>
  <c r="S17" i="36"/>
  <c r="S76" i="36"/>
  <c r="S73" i="36"/>
  <c r="S60" i="36"/>
  <c r="S57" i="36"/>
  <c r="S44" i="36"/>
  <c r="S41" i="36"/>
  <c r="S28" i="36"/>
  <c r="S25" i="36"/>
  <c r="S12" i="36"/>
  <c r="S9" i="36"/>
  <c r="G13" i="5" l="1"/>
  <c r="H51" i="5"/>
  <c r="H26" i="5"/>
  <c r="H62" i="5"/>
  <c r="H40" i="5"/>
  <c r="H99" i="5"/>
  <c r="H21" i="29" s="1"/>
  <c r="U116" i="36"/>
  <c r="U100" i="36"/>
  <c r="T74" i="36"/>
  <c r="U92" i="36"/>
  <c r="T98" i="36"/>
  <c r="T66" i="36"/>
  <c r="U22" i="36"/>
  <c r="U34" i="36"/>
  <c r="U78" i="36"/>
  <c r="T106" i="36"/>
  <c r="U90" i="36"/>
  <c r="T18" i="36"/>
  <c r="U84" i="36"/>
  <c r="U124" i="36"/>
  <c r="U122" i="36"/>
  <c r="T114" i="36"/>
  <c r="U72" i="36"/>
  <c r="T72" i="36"/>
  <c r="F507" i="14"/>
  <c r="G507" i="14" s="1"/>
  <c r="H507" i="14" s="1"/>
  <c r="I507" i="14" s="1"/>
  <c r="J507" i="14" s="1"/>
  <c r="K507" i="14" s="1"/>
  <c r="L507" i="14" s="1"/>
  <c r="M507" i="14" s="1"/>
  <c r="N507" i="14" s="1"/>
  <c r="O507" i="14" s="1"/>
  <c r="E9" i="14"/>
  <c r="E850" i="14" s="1"/>
  <c r="E23" i="14"/>
  <c r="T58" i="36"/>
  <c r="U108" i="36"/>
  <c r="T15" i="36"/>
  <c r="E50" i="4"/>
  <c r="E65" i="4"/>
  <c r="E57" i="4" s="1"/>
  <c r="D48" i="4"/>
  <c r="E48" i="4" s="1"/>
  <c r="F540" i="14"/>
  <c r="G540" i="14" s="1"/>
  <c r="H540" i="14" s="1"/>
  <c r="I540" i="14" s="1"/>
  <c r="J540" i="14" s="1"/>
  <c r="K540" i="14" s="1"/>
  <c r="L540" i="14" s="1"/>
  <c r="M540" i="14" s="1"/>
  <c r="N540" i="14" s="1"/>
  <c r="O540" i="14" s="1"/>
  <c r="T62" i="36"/>
  <c r="F506" i="14"/>
  <c r="G506" i="14" s="1"/>
  <c r="H506" i="14" s="1"/>
  <c r="I506" i="14" s="1"/>
  <c r="J506" i="14" s="1"/>
  <c r="K506" i="14" s="1"/>
  <c r="L506" i="14" s="1"/>
  <c r="M506" i="14" s="1"/>
  <c r="N506" i="14" s="1"/>
  <c r="O506" i="14" s="1"/>
  <c r="T42" i="36"/>
  <c r="T125" i="36"/>
  <c r="U61" i="36"/>
  <c r="T61" i="36"/>
  <c r="T14" i="36"/>
  <c r="U53" i="36"/>
  <c r="T53" i="36"/>
  <c r="T10" i="36"/>
  <c r="U5" i="36"/>
  <c r="U29" i="36"/>
  <c r="T29" i="36"/>
  <c r="T26" i="36"/>
  <c r="T46" i="36"/>
  <c r="U59" i="36"/>
  <c r="T59" i="36"/>
  <c r="U64" i="36"/>
  <c r="T64" i="36"/>
  <c r="U47" i="36"/>
  <c r="T47" i="36"/>
  <c r="U27" i="36"/>
  <c r="T27" i="36"/>
  <c r="U111" i="36"/>
  <c r="T111" i="36"/>
  <c r="U11" i="36"/>
  <c r="T11" i="36"/>
  <c r="U117" i="36"/>
  <c r="T117" i="36"/>
  <c r="U7" i="36"/>
  <c r="T7" i="36"/>
  <c r="U40" i="36"/>
  <c r="T40" i="36"/>
  <c r="U95" i="36"/>
  <c r="T95" i="36"/>
  <c r="G75" i="5"/>
  <c r="I97" i="29"/>
  <c r="J320" i="29"/>
  <c r="J271" i="29"/>
  <c r="I895" i="16" s="1"/>
  <c r="J255" i="29"/>
  <c r="J264" i="29"/>
  <c r="J214" i="29"/>
  <c r="J194" i="29"/>
  <c r="J172" i="29"/>
  <c r="J247" i="29"/>
  <c r="J235" i="29"/>
  <c r="J227" i="29"/>
  <c r="J205" i="29"/>
  <c r="J185" i="29"/>
  <c r="J163" i="29"/>
  <c r="J151" i="29"/>
  <c r="J140" i="29"/>
  <c r="J127" i="29"/>
  <c r="J118" i="29"/>
  <c r="J106" i="29"/>
  <c r="U678" i="16" s="1"/>
  <c r="U16" i="36"/>
  <c r="T16" i="36"/>
  <c r="U79" i="36"/>
  <c r="T79" i="36"/>
  <c r="U93" i="36"/>
  <c r="T93" i="36"/>
  <c r="U82" i="36"/>
  <c r="U50" i="36"/>
  <c r="O61" i="4"/>
  <c r="U32" i="36"/>
  <c r="T32" i="36"/>
  <c r="U13" i="36"/>
  <c r="T13" i="36"/>
  <c r="U63" i="36"/>
  <c r="T63" i="36"/>
  <c r="U85" i="36"/>
  <c r="T85" i="36"/>
  <c r="U3" i="36"/>
  <c r="T3" i="36"/>
  <c r="U37" i="36"/>
  <c r="T37" i="36"/>
  <c r="U56" i="36"/>
  <c r="T56" i="36"/>
  <c r="U35" i="36"/>
  <c r="T35" i="36"/>
  <c r="U30" i="36"/>
  <c r="T30" i="36"/>
  <c r="U48" i="36"/>
  <c r="T48" i="36"/>
  <c r="U103" i="36"/>
  <c r="T103" i="36"/>
  <c r="U6" i="36"/>
  <c r="T6" i="36"/>
  <c r="U31" i="36"/>
  <c r="T31" i="36"/>
  <c r="U69" i="36"/>
  <c r="T69" i="36"/>
  <c r="U87" i="36"/>
  <c r="T87" i="36"/>
  <c r="U23" i="36"/>
  <c r="T23" i="36"/>
  <c r="U19" i="36"/>
  <c r="T19" i="36"/>
  <c r="U45" i="36"/>
  <c r="T45" i="36"/>
  <c r="U4" i="36"/>
  <c r="T4" i="36"/>
  <c r="U24" i="36"/>
  <c r="T24" i="36"/>
  <c r="U80" i="36"/>
  <c r="T80" i="36"/>
  <c r="U119" i="36"/>
  <c r="T119" i="36"/>
  <c r="U8" i="36"/>
  <c r="T8" i="36"/>
  <c r="U75" i="36"/>
  <c r="T75" i="36"/>
  <c r="U109" i="36"/>
  <c r="T109" i="36"/>
  <c r="U21" i="36"/>
  <c r="T21" i="36"/>
  <c r="U43" i="36"/>
  <c r="T43" i="36"/>
  <c r="U77" i="36"/>
  <c r="T77" i="36"/>
  <c r="U101" i="36"/>
  <c r="T101" i="36"/>
  <c r="U25" i="36"/>
  <c r="T25" i="36"/>
  <c r="U57" i="36"/>
  <c r="T57" i="36"/>
  <c r="U17" i="36"/>
  <c r="T17" i="36"/>
  <c r="U39" i="36"/>
  <c r="T39" i="36"/>
  <c r="U65" i="36"/>
  <c r="T65" i="36"/>
  <c r="U86" i="36"/>
  <c r="T86" i="36"/>
  <c r="U102" i="36"/>
  <c r="T102" i="36"/>
  <c r="U118" i="36"/>
  <c r="T118" i="36"/>
  <c r="U51" i="36"/>
  <c r="T51" i="36"/>
  <c r="U83" i="36"/>
  <c r="T83" i="36"/>
  <c r="U99" i="36"/>
  <c r="T99" i="36"/>
  <c r="U115" i="36"/>
  <c r="T115" i="36"/>
  <c r="U12" i="36"/>
  <c r="T12" i="36"/>
  <c r="U44" i="36"/>
  <c r="T44" i="36"/>
  <c r="U76" i="36"/>
  <c r="T76" i="36"/>
  <c r="U36" i="36"/>
  <c r="T36" i="36"/>
  <c r="U55" i="36"/>
  <c r="T55" i="36"/>
  <c r="U81" i="36"/>
  <c r="T81" i="36"/>
  <c r="U97" i="36"/>
  <c r="T97" i="36"/>
  <c r="U113" i="36"/>
  <c r="T113" i="36"/>
  <c r="U38" i="36"/>
  <c r="T38" i="36"/>
  <c r="U70" i="36"/>
  <c r="T70" i="36"/>
  <c r="U96" i="36"/>
  <c r="T96" i="36"/>
  <c r="U112" i="36"/>
  <c r="T112" i="36"/>
  <c r="U9" i="36"/>
  <c r="T9" i="36"/>
  <c r="U41" i="36"/>
  <c r="T41" i="36"/>
  <c r="U73" i="36"/>
  <c r="T73" i="36"/>
  <c r="U33" i="36"/>
  <c r="T33" i="36"/>
  <c r="U52" i="36"/>
  <c r="T52" i="36"/>
  <c r="U71" i="36"/>
  <c r="T71" i="36"/>
  <c r="U94" i="36"/>
  <c r="T94" i="36"/>
  <c r="U110" i="36"/>
  <c r="T110" i="36"/>
  <c r="U126" i="36"/>
  <c r="T126" i="36"/>
  <c r="U67" i="36"/>
  <c r="T67" i="36"/>
  <c r="U91" i="36"/>
  <c r="T91" i="36"/>
  <c r="U107" i="36"/>
  <c r="T107" i="36"/>
  <c r="U123" i="36"/>
  <c r="T123" i="36"/>
  <c r="U28" i="36"/>
  <c r="T28" i="36"/>
  <c r="U60" i="36"/>
  <c r="T60" i="36"/>
  <c r="U20" i="36"/>
  <c r="T20" i="36"/>
  <c r="U49" i="36"/>
  <c r="T49" i="36"/>
  <c r="U68" i="36"/>
  <c r="T68" i="36"/>
  <c r="U89" i="36"/>
  <c r="T89" i="36"/>
  <c r="U105" i="36"/>
  <c r="T105" i="36"/>
  <c r="U121" i="36"/>
  <c r="T121" i="36"/>
  <c r="U54" i="36"/>
  <c r="T54" i="36"/>
  <c r="U88" i="36"/>
  <c r="T88" i="36"/>
  <c r="U104" i="36"/>
  <c r="T104" i="36"/>
  <c r="U120" i="36"/>
  <c r="T120" i="36"/>
  <c r="H40" i="29" l="1"/>
  <c r="H59" i="29" s="1"/>
  <c r="H79" i="29"/>
  <c r="H234" i="5"/>
  <c r="H141" i="5"/>
  <c r="H171" i="5"/>
  <c r="H129" i="5"/>
  <c r="H110" i="5"/>
  <c r="H244" i="5"/>
  <c r="H209" i="5"/>
  <c r="H179" i="5"/>
  <c r="H136" i="5"/>
  <c r="H227" i="5"/>
  <c r="H198" i="5"/>
  <c r="H160" i="5"/>
  <c r="H121" i="5"/>
  <c r="H252" i="5"/>
  <c r="E75" i="5" s="1"/>
  <c r="H217" i="5"/>
  <c r="H189" i="5"/>
  <c r="H151" i="5"/>
  <c r="F13" i="5"/>
  <c r="G51" i="5"/>
  <c r="G26" i="5"/>
  <c r="G62" i="5"/>
  <c r="G40" i="5"/>
  <c r="G99" i="5"/>
  <c r="G21" i="29" s="1"/>
  <c r="E33" i="14"/>
  <c r="E25" i="14"/>
  <c r="F541" i="14"/>
  <c r="F509" i="14"/>
  <c r="F508" i="14"/>
  <c r="E58" i="4"/>
  <c r="E66" i="4"/>
  <c r="E79" i="4" s="1"/>
  <c r="E81" i="4" s="1"/>
  <c r="E52" i="4" s="1"/>
  <c r="D55" i="4"/>
  <c r="E62" i="4"/>
  <c r="E120" i="4"/>
  <c r="H97" i="29"/>
  <c r="I320" i="29"/>
  <c r="I271" i="29"/>
  <c r="H895" i="16" s="1"/>
  <c r="I255" i="29"/>
  <c r="I264" i="29"/>
  <c r="I214" i="29"/>
  <c r="I194" i="29"/>
  <c r="I172" i="29"/>
  <c r="I247" i="29"/>
  <c r="I235" i="29"/>
  <c r="I227" i="29"/>
  <c r="I205" i="29"/>
  <c r="I185" i="29"/>
  <c r="I163" i="29"/>
  <c r="I151" i="29"/>
  <c r="I140" i="29"/>
  <c r="I127" i="29"/>
  <c r="I118" i="29"/>
  <c r="I106" i="29"/>
  <c r="T678" i="16" s="1"/>
  <c r="W123" i="36"/>
  <c r="W125" i="36"/>
  <c r="W127" i="36"/>
  <c r="W122" i="36"/>
  <c r="W120" i="36"/>
  <c r="X126" i="36"/>
  <c r="X127" i="36"/>
  <c r="W124" i="36"/>
  <c r="W121" i="36"/>
  <c r="W119" i="36"/>
  <c r="W126" i="36"/>
  <c r="W6" i="36"/>
  <c r="AA6" i="36" s="1"/>
  <c r="W82" i="36"/>
  <c r="AA82" i="36" s="1"/>
  <c r="X108" i="36"/>
  <c r="AH161" i="32" s="1"/>
  <c r="B357" i="2" s="1"/>
  <c r="X16" i="36"/>
  <c r="AH69" i="32" s="1"/>
  <c r="B265" i="2" s="1"/>
  <c r="X33" i="36"/>
  <c r="AH86" i="32" s="1"/>
  <c r="B282" i="2" s="1"/>
  <c r="X49" i="36"/>
  <c r="AH102" i="32" s="1"/>
  <c r="B298" i="2" s="1"/>
  <c r="X65" i="36"/>
  <c r="AH118" i="32" s="1"/>
  <c r="B314" i="2" s="1"/>
  <c r="X81" i="36"/>
  <c r="AH134" i="32" s="1"/>
  <c r="B330" i="2" s="1"/>
  <c r="X98" i="36"/>
  <c r="AH151" i="32" s="1"/>
  <c r="B347" i="2" s="1"/>
  <c r="X115" i="36"/>
  <c r="AH168" i="32" s="1"/>
  <c r="B364" i="2" s="1"/>
  <c r="W83" i="36"/>
  <c r="AA83" i="36" s="1"/>
  <c r="W90" i="36"/>
  <c r="AA90" i="36" s="1"/>
  <c r="W94" i="36"/>
  <c r="AA94" i="36" s="1"/>
  <c r="W98" i="36"/>
  <c r="AA98" i="36" s="1"/>
  <c r="W10" i="36"/>
  <c r="AA10" i="36" s="1"/>
  <c r="W115" i="36"/>
  <c r="AA115" i="36" s="1"/>
  <c r="W117" i="36"/>
  <c r="AA117" i="36" s="1"/>
  <c r="X15" i="36"/>
  <c r="AH68" i="32" s="1"/>
  <c r="B264" i="2" s="1"/>
  <c r="X32" i="36"/>
  <c r="AH85" i="32" s="1"/>
  <c r="B281" i="2" s="1"/>
  <c r="X48" i="36"/>
  <c r="AH101" i="32" s="1"/>
  <c r="B297" i="2" s="1"/>
  <c r="X64" i="36"/>
  <c r="AH117" i="32" s="1"/>
  <c r="B313" i="2" s="1"/>
  <c r="X80" i="36"/>
  <c r="AH133" i="32" s="1"/>
  <c r="B329" i="2" s="1"/>
  <c r="X97" i="36"/>
  <c r="AH150" i="32" s="1"/>
  <c r="B346" i="2" s="1"/>
  <c r="X114" i="36"/>
  <c r="AH167" i="32" s="1"/>
  <c r="B363" i="2" s="1"/>
  <c r="W24" i="36"/>
  <c r="AA24" i="36" s="1"/>
  <c r="W28" i="36"/>
  <c r="AA28" i="36" s="1"/>
  <c r="W32" i="36"/>
  <c r="AA32" i="36" s="1"/>
  <c r="W40" i="36"/>
  <c r="AA40" i="36" s="1"/>
  <c r="W4" i="36"/>
  <c r="AA4" i="36" s="1"/>
  <c r="X22" i="36"/>
  <c r="AH75" i="32" s="1"/>
  <c r="B271" i="2" s="1"/>
  <c r="W111" i="36"/>
  <c r="AA111" i="36" s="1"/>
  <c r="W112" i="36"/>
  <c r="AA112" i="36" s="1"/>
  <c r="X14" i="36"/>
  <c r="AH67" i="32" s="1"/>
  <c r="B263" i="2" s="1"/>
  <c r="X31" i="36"/>
  <c r="AH84" i="32" s="1"/>
  <c r="B280" i="2" s="1"/>
  <c r="X47" i="36"/>
  <c r="AH100" i="32" s="1"/>
  <c r="B296" i="2" s="1"/>
  <c r="X63" i="36"/>
  <c r="AH116" i="32" s="1"/>
  <c r="B312" i="2" s="1"/>
  <c r="X79" i="36"/>
  <c r="AH132" i="32" s="1"/>
  <c r="B328" i="2" s="1"/>
  <c r="X96" i="36"/>
  <c r="AH149" i="32" s="1"/>
  <c r="B345" i="2" s="1"/>
  <c r="X113" i="36"/>
  <c r="AH166" i="32" s="1"/>
  <c r="B362" i="2" s="1"/>
  <c r="W15" i="36"/>
  <c r="AA15" i="36" s="1"/>
  <c r="W19" i="36"/>
  <c r="AA19" i="36" s="1"/>
  <c r="W106" i="36"/>
  <c r="AA106" i="36" s="1"/>
  <c r="W88" i="36"/>
  <c r="AA88" i="36" s="1"/>
  <c r="W113" i="36"/>
  <c r="AA113" i="36" s="1"/>
  <c r="X17" i="36"/>
  <c r="AH70" i="32" s="1"/>
  <c r="B266" i="2" s="1"/>
  <c r="X34" i="36"/>
  <c r="AH87" i="32" s="1"/>
  <c r="B283" i="2" s="1"/>
  <c r="X50" i="36"/>
  <c r="AH103" i="32" s="1"/>
  <c r="B299" i="2" s="1"/>
  <c r="X66" i="36"/>
  <c r="AH119" i="32" s="1"/>
  <c r="B315" i="2" s="1"/>
  <c r="X83" i="36"/>
  <c r="AH136" i="32" s="1"/>
  <c r="B332" i="2" s="1"/>
  <c r="X99" i="36"/>
  <c r="AH152" i="32" s="1"/>
  <c r="B348" i="2" s="1"/>
  <c r="X116" i="36"/>
  <c r="AH169" i="32" s="1"/>
  <c r="B365" i="2" s="1"/>
  <c r="W45" i="36"/>
  <c r="AA45" i="36" s="1"/>
  <c r="W49" i="36"/>
  <c r="AA49" i="36" s="1"/>
  <c r="W53" i="36"/>
  <c r="AA53" i="36" s="1"/>
  <c r="W57" i="36"/>
  <c r="AA57" i="36" s="1"/>
  <c r="W61" i="36"/>
  <c r="AA61" i="36" s="1"/>
  <c r="W65" i="36"/>
  <c r="AA65" i="36" s="1"/>
  <c r="W69" i="36"/>
  <c r="AA69" i="36" s="1"/>
  <c r="W73" i="36"/>
  <c r="AA73" i="36" s="1"/>
  <c r="W77" i="36"/>
  <c r="AA77" i="36" s="1"/>
  <c r="W72" i="36"/>
  <c r="AA72" i="36" s="1"/>
  <c r="W43" i="36"/>
  <c r="AA43" i="36" s="1"/>
  <c r="W109" i="36"/>
  <c r="AA109" i="36" s="1"/>
  <c r="X12" i="36"/>
  <c r="AH65" i="32" s="1"/>
  <c r="B261" i="2" s="1"/>
  <c r="X29" i="36"/>
  <c r="AH82" i="32" s="1"/>
  <c r="B278" i="2" s="1"/>
  <c r="X45" i="36"/>
  <c r="AH98" i="32" s="1"/>
  <c r="B294" i="2" s="1"/>
  <c r="X61" i="36"/>
  <c r="AH114" i="32" s="1"/>
  <c r="B310" i="2" s="1"/>
  <c r="X77" i="36"/>
  <c r="AH130" i="32" s="1"/>
  <c r="B326" i="2" s="1"/>
  <c r="X94" i="36"/>
  <c r="AH147" i="32" s="1"/>
  <c r="B343" i="2" s="1"/>
  <c r="X111" i="36"/>
  <c r="AH164" i="32" s="1"/>
  <c r="B360" i="2" s="1"/>
  <c r="W8" i="36"/>
  <c r="AA8" i="36" s="1"/>
  <c r="W89" i="36"/>
  <c r="AA89" i="36" s="1"/>
  <c r="W93" i="36"/>
  <c r="AA93" i="36" s="1"/>
  <c r="W97" i="36"/>
  <c r="AA97" i="36" s="1"/>
  <c r="W5" i="36"/>
  <c r="AA5" i="36" s="1"/>
  <c r="W86" i="36"/>
  <c r="AA86" i="36" s="1"/>
  <c r="W103" i="36"/>
  <c r="AA103" i="36" s="1"/>
  <c r="X11" i="36"/>
  <c r="AH64" i="32" s="1"/>
  <c r="B260" i="2" s="1"/>
  <c r="X28" i="36"/>
  <c r="AH81" i="32" s="1"/>
  <c r="B277" i="2" s="1"/>
  <c r="X44" i="36"/>
  <c r="AH97" i="32" s="1"/>
  <c r="B293" i="2" s="1"/>
  <c r="X60" i="36"/>
  <c r="AH113" i="32" s="1"/>
  <c r="B309" i="2" s="1"/>
  <c r="X76" i="36"/>
  <c r="AH129" i="32" s="1"/>
  <c r="B325" i="2" s="1"/>
  <c r="X93" i="36"/>
  <c r="AH146" i="32" s="1"/>
  <c r="B342" i="2" s="1"/>
  <c r="X110" i="36"/>
  <c r="AH163" i="32" s="1"/>
  <c r="B359" i="2" s="1"/>
  <c r="W23" i="36"/>
  <c r="AA23" i="36" s="1"/>
  <c r="W27" i="36"/>
  <c r="AA27" i="36" s="1"/>
  <c r="W31" i="36"/>
  <c r="AA31" i="36" s="1"/>
  <c r="W37" i="36"/>
  <c r="AA37" i="36" s="1"/>
  <c r="W81" i="36"/>
  <c r="AA81" i="36" s="1"/>
  <c r="W12" i="36"/>
  <c r="AA12" i="36" s="1"/>
  <c r="X82" i="36"/>
  <c r="AH135" i="32" s="1"/>
  <c r="B331" i="2" s="1"/>
  <c r="W118" i="36"/>
  <c r="AA118" i="36" s="1"/>
  <c r="X10" i="36"/>
  <c r="AH63" i="32" s="1"/>
  <c r="B259" i="2" s="1"/>
  <c r="X27" i="36"/>
  <c r="AH80" i="32" s="1"/>
  <c r="B276" i="2" s="1"/>
  <c r="X43" i="36"/>
  <c r="AH96" i="32" s="1"/>
  <c r="B292" i="2" s="1"/>
  <c r="X59" i="36"/>
  <c r="AH112" i="32" s="1"/>
  <c r="B308" i="2" s="1"/>
  <c r="X75" i="36"/>
  <c r="AH128" i="32" s="1"/>
  <c r="B324" i="2" s="1"/>
  <c r="X92" i="36"/>
  <c r="AH145" i="32" s="1"/>
  <c r="B341" i="2" s="1"/>
  <c r="X109" i="36"/>
  <c r="AH162" i="32" s="1"/>
  <c r="B358" i="2" s="1"/>
  <c r="W14" i="36"/>
  <c r="AA14" i="36" s="1"/>
  <c r="W18" i="36"/>
  <c r="AA18" i="36" s="1"/>
  <c r="W87" i="36"/>
  <c r="AA87" i="36" s="1"/>
  <c r="W36" i="36"/>
  <c r="AA36" i="36" s="1"/>
  <c r="W99" i="36"/>
  <c r="AA99" i="36" s="1"/>
  <c r="X13" i="36"/>
  <c r="AH66" i="32" s="1"/>
  <c r="B262" i="2" s="1"/>
  <c r="X30" i="36"/>
  <c r="AH83" i="32" s="1"/>
  <c r="B279" i="2" s="1"/>
  <c r="X46" i="36"/>
  <c r="AH99" i="32" s="1"/>
  <c r="B295" i="2" s="1"/>
  <c r="X62" i="36"/>
  <c r="AH115" i="32" s="1"/>
  <c r="B311" i="2" s="1"/>
  <c r="X78" i="36"/>
  <c r="AH131" i="32" s="1"/>
  <c r="B327" i="2" s="1"/>
  <c r="X95" i="36"/>
  <c r="AH148" i="32" s="1"/>
  <c r="B344" i="2" s="1"/>
  <c r="X112" i="36"/>
  <c r="AH165" i="32" s="1"/>
  <c r="B361" i="2" s="1"/>
  <c r="W44" i="36"/>
  <c r="AA44" i="36" s="1"/>
  <c r="W48" i="36"/>
  <c r="AA48" i="36" s="1"/>
  <c r="W52" i="36"/>
  <c r="AA52" i="36" s="1"/>
  <c r="W56" i="36"/>
  <c r="AA56" i="36" s="1"/>
  <c r="W60" i="36"/>
  <c r="AA60" i="36" s="1"/>
  <c r="W64" i="36"/>
  <c r="AA64" i="36" s="1"/>
  <c r="W68" i="36"/>
  <c r="AA68" i="36" s="1"/>
  <c r="W76" i="36"/>
  <c r="AA76" i="36" s="1"/>
  <c r="W22" i="36"/>
  <c r="AA22" i="36" s="1"/>
  <c r="W114" i="36"/>
  <c r="AA114" i="36" s="1"/>
  <c r="X8" i="36"/>
  <c r="AH61" i="32" s="1"/>
  <c r="B257" i="2" s="1"/>
  <c r="X25" i="36"/>
  <c r="AH78" i="32" s="1"/>
  <c r="B274" i="2" s="1"/>
  <c r="X41" i="36"/>
  <c r="AH94" i="32" s="1"/>
  <c r="B290" i="2" s="1"/>
  <c r="X57" i="36"/>
  <c r="AH110" i="32" s="1"/>
  <c r="B306" i="2" s="1"/>
  <c r="X73" i="36"/>
  <c r="AH126" i="32" s="1"/>
  <c r="B322" i="2" s="1"/>
  <c r="X90" i="36"/>
  <c r="AH143" i="32" s="1"/>
  <c r="B339" i="2" s="1"/>
  <c r="X106" i="36"/>
  <c r="AH159" i="32" s="1"/>
  <c r="B355" i="2" s="1"/>
  <c r="X124" i="36"/>
  <c r="W85" i="36"/>
  <c r="AA85" i="36" s="1"/>
  <c r="W92" i="36"/>
  <c r="AA92" i="36" s="1"/>
  <c r="W96" i="36"/>
  <c r="AA96" i="36" s="1"/>
  <c r="W102" i="36"/>
  <c r="AA102" i="36" s="1"/>
  <c r="W39" i="36"/>
  <c r="AA39" i="36" s="1"/>
  <c r="W104" i="36"/>
  <c r="AA104" i="36" s="1"/>
  <c r="X7" i="36"/>
  <c r="AH60" i="32" s="1"/>
  <c r="B256" i="2" s="1"/>
  <c r="X24" i="36"/>
  <c r="AH77" i="32" s="1"/>
  <c r="B273" i="2" s="1"/>
  <c r="X40" i="36"/>
  <c r="AH93" i="32" s="1"/>
  <c r="B289" i="2" s="1"/>
  <c r="X56" i="36"/>
  <c r="AH109" i="32" s="1"/>
  <c r="B305" i="2" s="1"/>
  <c r="X72" i="36"/>
  <c r="AH125" i="32" s="1"/>
  <c r="B321" i="2" s="1"/>
  <c r="X89" i="36"/>
  <c r="AH142" i="32" s="1"/>
  <c r="B338" i="2" s="1"/>
  <c r="X105" i="36"/>
  <c r="AH158" i="32" s="1"/>
  <c r="B354" i="2" s="1"/>
  <c r="X123" i="36"/>
  <c r="W26" i="36"/>
  <c r="AA26" i="36" s="1"/>
  <c r="W30" i="36"/>
  <c r="AA30" i="36" s="1"/>
  <c r="W34" i="36"/>
  <c r="AA34" i="36" s="1"/>
  <c r="W42" i="36"/>
  <c r="AA42" i="36" s="1"/>
  <c r="W9" i="36"/>
  <c r="AA9" i="36" s="1"/>
  <c r="W80" i="36"/>
  <c r="AA80" i="36" s="1"/>
  <c r="W100" i="36"/>
  <c r="AA100" i="36" s="1"/>
  <c r="X6" i="36"/>
  <c r="AH59" i="32" s="1"/>
  <c r="B255" i="2" s="1"/>
  <c r="X23" i="36"/>
  <c r="AH76" i="32" s="1"/>
  <c r="B272" i="2" s="1"/>
  <c r="X39" i="36"/>
  <c r="AH92" i="32" s="1"/>
  <c r="B288" i="2" s="1"/>
  <c r="X55" i="36"/>
  <c r="AH108" i="32" s="1"/>
  <c r="B304" i="2" s="1"/>
  <c r="X71" i="36"/>
  <c r="AH124" i="32" s="1"/>
  <c r="B320" i="2" s="1"/>
  <c r="X88" i="36"/>
  <c r="AH141" i="32" s="1"/>
  <c r="B337" i="2" s="1"/>
  <c r="X104" i="36"/>
  <c r="AH157" i="32" s="1"/>
  <c r="B353" i="2" s="1"/>
  <c r="X122" i="36"/>
  <c r="W17" i="36"/>
  <c r="AA17" i="36" s="1"/>
  <c r="W21" i="36"/>
  <c r="AA21" i="36" s="1"/>
  <c r="W35" i="36"/>
  <c r="AA35" i="36" s="1"/>
  <c r="W105" i="36"/>
  <c r="AA105" i="36" s="1"/>
  <c r="X9" i="36"/>
  <c r="AH62" i="32" s="1"/>
  <c r="B258" i="2" s="1"/>
  <c r="X26" i="36"/>
  <c r="AH79" i="32" s="1"/>
  <c r="B275" i="2" s="1"/>
  <c r="X42" i="36"/>
  <c r="AH95" i="32" s="1"/>
  <c r="B291" i="2" s="1"/>
  <c r="X58" i="36"/>
  <c r="AH111" i="32" s="1"/>
  <c r="B307" i="2" s="1"/>
  <c r="X74" i="36"/>
  <c r="AH127" i="32" s="1"/>
  <c r="B323" i="2" s="1"/>
  <c r="X91" i="36"/>
  <c r="AH144" i="32" s="1"/>
  <c r="B340" i="2" s="1"/>
  <c r="X107" i="36"/>
  <c r="AH160" i="32" s="1"/>
  <c r="B356" i="2" s="1"/>
  <c r="X125" i="36"/>
  <c r="W47" i="36"/>
  <c r="AA47" i="36" s="1"/>
  <c r="W51" i="36"/>
  <c r="AA51" i="36" s="1"/>
  <c r="W55" i="36"/>
  <c r="AA55" i="36" s="1"/>
  <c r="W59" i="36"/>
  <c r="AA59" i="36" s="1"/>
  <c r="W63" i="36"/>
  <c r="AA63" i="36" s="1"/>
  <c r="W67" i="36"/>
  <c r="AA67" i="36" s="1"/>
  <c r="W71" i="36"/>
  <c r="AA71" i="36" s="1"/>
  <c r="W75" i="36"/>
  <c r="AA75" i="36" s="1"/>
  <c r="W79" i="36"/>
  <c r="AA79" i="36" s="1"/>
  <c r="W62" i="36"/>
  <c r="AA62" i="36" s="1"/>
  <c r="W70" i="36"/>
  <c r="AA70" i="36" s="1"/>
  <c r="W78" i="36"/>
  <c r="AA78" i="36" s="1"/>
  <c r="W11" i="36"/>
  <c r="AA11" i="36" s="1"/>
  <c r="W116" i="36"/>
  <c r="AA116" i="36" s="1"/>
  <c r="X4" i="36"/>
  <c r="AH57" i="32" s="1"/>
  <c r="B253" i="2" s="1"/>
  <c r="X20" i="36"/>
  <c r="AH73" i="32" s="1"/>
  <c r="B269" i="2" s="1"/>
  <c r="X37" i="36"/>
  <c r="AH90" i="32" s="1"/>
  <c r="B286" i="2" s="1"/>
  <c r="X53" i="36"/>
  <c r="AH106" i="32" s="1"/>
  <c r="B302" i="2" s="1"/>
  <c r="X69" i="36"/>
  <c r="AH122" i="32" s="1"/>
  <c r="B318" i="2" s="1"/>
  <c r="X86" i="36"/>
  <c r="AH139" i="32" s="1"/>
  <c r="B335" i="2" s="1"/>
  <c r="X102" i="36"/>
  <c r="AH155" i="32" s="1"/>
  <c r="B351" i="2" s="1"/>
  <c r="X120" i="36"/>
  <c r="W84" i="36"/>
  <c r="AA84" i="36" s="1"/>
  <c r="W91" i="36"/>
  <c r="AA91" i="36" s="1"/>
  <c r="W95" i="36"/>
  <c r="AA95" i="36" s="1"/>
  <c r="W101" i="36"/>
  <c r="AA101" i="36" s="1"/>
  <c r="W13" i="36"/>
  <c r="AA13" i="36" s="1"/>
  <c r="W110" i="36"/>
  <c r="AA110" i="36" s="1"/>
  <c r="X3" i="36"/>
  <c r="X19" i="36"/>
  <c r="AH72" i="32" s="1"/>
  <c r="B268" i="2" s="1"/>
  <c r="X36" i="36"/>
  <c r="AH89" i="32" s="1"/>
  <c r="B285" i="2" s="1"/>
  <c r="X52" i="36"/>
  <c r="AH105" i="32" s="1"/>
  <c r="B301" i="2" s="1"/>
  <c r="X68" i="36"/>
  <c r="AH121" i="32" s="1"/>
  <c r="B317" i="2" s="1"/>
  <c r="X85" i="36"/>
  <c r="AH138" i="32" s="1"/>
  <c r="B334" i="2" s="1"/>
  <c r="X101" i="36"/>
  <c r="AH154" i="32" s="1"/>
  <c r="B350" i="2" s="1"/>
  <c r="X119" i="36"/>
  <c r="W25" i="36"/>
  <c r="AA25" i="36" s="1"/>
  <c r="W29" i="36"/>
  <c r="AA29" i="36" s="1"/>
  <c r="W33" i="36"/>
  <c r="AA33" i="36" s="1"/>
  <c r="W41" i="36"/>
  <c r="AA41" i="36" s="1"/>
  <c r="W7" i="36"/>
  <c r="AA7" i="36" s="1"/>
  <c r="W38" i="36"/>
  <c r="AA38" i="36" s="1"/>
  <c r="W107" i="36"/>
  <c r="AA107" i="36" s="1"/>
  <c r="X117" i="36"/>
  <c r="AH170" i="32" s="1"/>
  <c r="B366" i="2" s="1"/>
  <c r="X18" i="36"/>
  <c r="AH71" i="32" s="1"/>
  <c r="B267" i="2" s="1"/>
  <c r="X35" i="36"/>
  <c r="AH88" i="32" s="1"/>
  <c r="B284" i="2" s="1"/>
  <c r="X51" i="36"/>
  <c r="AH104" i="32" s="1"/>
  <c r="B300" i="2" s="1"/>
  <c r="X67" i="36"/>
  <c r="AH120" i="32" s="1"/>
  <c r="B316" i="2" s="1"/>
  <c r="X84" i="36"/>
  <c r="AH137" i="32" s="1"/>
  <c r="B333" i="2" s="1"/>
  <c r="X100" i="36"/>
  <c r="AH153" i="32" s="1"/>
  <c r="B349" i="2" s="1"/>
  <c r="X118" i="36"/>
  <c r="W16" i="36"/>
  <c r="AA16" i="36" s="1"/>
  <c r="W20" i="36"/>
  <c r="AA20" i="36" s="1"/>
  <c r="W3" i="36"/>
  <c r="AA3" i="36" s="1"/>
  <c r="W108" i="36"/>
  <c r="AA108" i="36" s="1"/>
  <c r="X5" i="36"/>
  <c r="AH58" i="32" s="1"/>
  <c r="B254" i="2" s="1"/>
  <c r="X21" i="36"/>
  <c r="AH74" i="32" s="1"/>
  <c r="B270" i="2" s="1"/>
  <c r="X38" i="36"/>
  <c r="AH91" i="32" s="1"/>
  <c r="B287" i="2" s="1"/>
  <c r="X54" i="36"/>
  <c r="AH107" i="32" s="1"/>
  <c r="B303" i="2" s="1"/>
  <c r="X70" i="36"/>
  <c r="AH123" i="32" s="1"/>
  <c r="B319" i="2" s="1"/>
  <c r="X87" i="36"/>
  <c r="AH140" i="32" s="1"/>
  <c r="B336" i="2" s="1"/>
  <c r="X103" i="36"/>
  <c r="AH156" i="32" s="1"/>
  <c r="B352" i="2" s="1"/>
  <c r="X121" i="36"/>
  <c r="W46" i="36"/>
  <c r="AA46" i="36" s="1"/>
  <c r="W50" i="36"/>
  <c r="AA50" i="36" s="1"/>
  <c r="W54" i="36"/>
  <c r="AA54" i="36" s="1"/>
  <c r="W58" i="36"/>
  <c r="AA58" i="36" s="1"/>
  <c r="W66" i="36"/>
  <c r="AA66" i="36" s="1"/>
  <c r="W74" i="36"/>
  <c r="AA74" i="36" s="1"/>
  <c r="G40" i="29" l="1"/>
  <c r="G59" i="29" s="1"/>
  <c r="G79" i="29"/>
  <c r="G179" i="5"/>
  <c r="G129" i="5"/>
  <c r="G121" i="5"/>
  <c r="G209" i="5"/>
  <c r="G151" i="5"/>
  <c r="G189" i="5"/>
  <c r="G252" i="5"/>
  <c r="G234" i="5"/>
  <c r="G198" i="5"/>
  <c r="G136" i="5"/>
  <c r="G171" i="5"/>
  <c r="G217" i="5"/>
  <c r="G160" i="5"/>
  <c r="G227" i="5"/>
  <c r="G110" i="5"/>
  <c r="G244" i="5"/>
  <c r="G141" i="5"/>
  <c r="E13" i="5"/>
  <c r="F62" i="5"/>
  <c r="F40" i="5"/>
  <c r="F26" i="5"/>
  <c r="F51" i="5"/>
  <c r="F99" i="5"/>
  <c r="F21" i="29" s="1"/>
  <c r="G55" i="4"/>
  <c r="F55" i="4"/>
  <c r="E55" i="4" s="1"/>
  <c r="E56" i="4" s="1"/>
  <c r="E54" i="4" s="1"/>
  <c r="E64" i="4"/>
  <c r="G123" i="16"/>
  <c r="Z126" i="36"/>
  <c r="AA126" i="36"/>
  <c r="Z127" i="36"/>
  <c r="AA127" i="36"/>
  <c r="Z119" i="36"/>
  <c r="AA119" i="36"/>
  <c r="Z125" i="36"/>
  <c r="AA125" i="36"/>
  <c r="Z121" i="36"/>
  <c r="AA121" i="36"/>
  <c r="Z123" i="36"/>
  <c r="AA123" i="36"/>
  <c r="Z124" i="36"/>
  <c r="AA124" i="36"/>
  <c r="Z122" i="36"/>
  <c r="AA122" i="36"/>
  <c r="Z120" i="36"/>
  <c r="AA120" i="36"/>
  <c r="C68" i="32"/>
  <c r="Z15" i="36"/>
  <c r="C111" i="32"/>
  <c r="Z58" i="36"/>
  <c r="C160" i="32"/>
  <c r="C356" i="2" s="1"/>
  <c r="J356" i="2" s="1"/>
  <c r="Z107" i="36"/>
  <c r="C123" i="32"/>
  <c r="Z70" i="36"/>
  <c r="C99" i="32"/>
  <c r="C295" i="2" s="1"/>
  <c r="Z46" i="36"/>
  <c r="C161" i="32"/>
  <c r="AA161" i="32" s="1"/>
  <c r="Z108" i="36"/>
  <c r="C86" i="32"/>
  <c r="C282" i="2" s="1"/>
  <c r="Z33" i="36"/>
  <c r="C137" i="32"/>
  <c r="C333" i="2" s="1"/>
  <c r="Z84" i="36"/>
  <c r="C124" i="32"/>
  <c r="C320" i="2" s="1"/>
  <c r="I320" i="2" s="1"/>
  <c r="Z71" i="36"/>
  <c r="C88" i="32"/>
  <c r="Z35" i="36"/>
  <c r="C83" i="32"/>
  <c r="C279" i="2" s="1"/>
  <c r="M279" i="2" s="1"/>
  <c r="Z30" i="36"/>
  <c r="C167" i="32"/>
  <c r="C363" i="2" s="1"/>
  <c r="Z114" i="36"/>
  <c r="C101" i="32"/>
  <c r="Z48" i="36"/>
  <c r="C134" i="32"/>
  <c r="C330" i="2" s="1"/>
  <c r="Z81" i="36"/>
  <c r="C146" i="32"/>
  <c r="AA146" i="32" s="1"/>
  <c r="Z93" i="36"/>
  <c r="C118" i="32"/>
  <c r="C314" i="2" s="1"/>
  <c r="L314" i="2" s="1"/>
  <c r="Z65" i="36"/>
  <c r="C72" i="32"/>
  <c r="C268" i="2" s="1"/>
  <c r="Z19" i="36"/>
  <c r="C77" i="32"/>
  <c r="C273" i="2" s="1"/>
  <c r="H273" i="2" s="1"/>
  <c r="Z24" i="36"/>
  <c r="C170" i="32"/>
  <c r="AA170" i="32" s="1"/>
  <c r="Z117" i="36"/>
  <c r="C59" i="32"/>
  <c r="Z6" i="36"/>
  <c r="C82" i="32"/>
  <c r="C278" i="2" s="1"/>
  <c r="L278" i="2" s="1"/>
  <c r="Z29" i="36"/>
  <c r="C169" i="32"/>
  <c r="AA169" i="32" s="1"/>
  <c r="Z116" i="36"/>
  <c r="C79" i="32"/>
  <c r="C275" i="2" s="1"/>
  <c r="F275" i="2" s="1"/>
  <c r="Z26" i="36"/>
  <c r="C165" i="32"/>
  <c r="C361" i="2" s="1"/>
  <c r="K361" i="2" s="1"/>
  <c r="Z112" i="36"/>
  <c r="C64" i="32"/>
  <c r="Z11" i="36"/>
  <c r="C116" i="32"/>
  <c r="C312" i="2" s="1"/>
  <c r="Z63" i="36"/>
  <c r="C70" i="32"/>
  <c r="Z17" i="36"/>
  <c r="C157" i="32"/>
  <c r="C353" i="2" s="1"/>
  <c r="H353" i="2" s="1"/>
  <c r="Z104" i="36"/>
  <c r="C129" i="32"/>
  <c r="C325" i="2" s="1"/>
  <c r="G325" i="2" s="1"/>
  <c r="Z76" i="36"/>
  <c r="C89" i="32"/>
  <c r="Z36" i="36"/>
  <c r="C84" i="32"/>
  <c r="Z31" i="36"/>
  <c r="C61" i="32"/>
  <c r="Z8" i="36"/>
  <c r="C162" i="32"/>
  <c r="C358" i="2" s="1"/>
  <c r="Z109" i="36"/>
  <c r="C110" i="32"/>
  <c r="C306" i="2" s="1"/>
  <c r="F306" i="2" s="1"/>
  <c r="Z57" i="36"/>
  <c r="C164" i="32"/>
  <c r="AA164" i="32" s="1"/>
  <c r="Z111" i="36"/>
  <c r="C63" i="32"/>
  <c r="Z10" i="36"/>
  <c r="C73" i="32"/>
  <c r="C269" i="2" s="1"/>
  <c r="Z20" i="36"/>
  <c r="C78" i="32"/>
  <c r="C274" i="2" s="1"/>
  <c r="D274" i="2" s="1"/>
  <c r="Z25" i="36"/>
  <c r="C119" i="32"/>
  <c r="Z66" i="36"/>
  <c r="C69" i="32"/>
  <c r="Z16" i="36"/>
  <c r="C163" i="32"/>
  <c r="C359" i="2" s="1"/>
  <c r="D359" i="2" s="1"/>
  <c r="Z110" i="36"/>
  <c r="C131" i="32"/>
  <c r="C327" i="2" s="1"/>
  <c r="F327" i="2" s="1"/>
  <c r="Z78" i="36"/>
  <c r="C112" i="32"/>
  <c r="Z59" i="36"/>
  <c r="C153" i="32"/>
  <c r="Z100" i="36"/>
  <c r="C92" i="32"/>
  <c r="C288" i="2" s="1"/>
  <c r="Z39" i="36"/>
  <c r="C121" i="32"/>
  <c r="Z68" i="36"/>
  <c r="C140" i="32"/>
  <c r="C336" i="2" s="1"/>
  <c r="Z87" i="36"/>
  <c r="C80" i="32"/>
  <c r="C276" i="2" s="1"/>
  <c r="M276" i="2" s="1"/>
  <c r="Z27" i="36"/>
  <c r="C96" i="32"/>
  <c r="Z43" i="36"/>
  <c r="C106" i="32"/>
  <c r="Z53" i="36"/>
  <c r="C151" i="32"/>
  <c r="C347" i="2" s="1"/>
  <c r="E347" i="2" s="1"/>
  <c r="Z98" i="36"/>
  <c r="C74" i="32"/>
  <c r="C270" i="2" s="1"/>
  <c r="Z21" i="36"/>
  <c r="C97" i="32"/>
  <c r="C293" i="2" s="1"/>
  <c r="Z44" i="36"/>
  <c r="C133" i="32"/>
  <c r="Z80" i="36"/>
  <c r="C155" i="32"/>
  <c r="C351" i="2" s="1"/>
  <c r="Z102" i="36"/>
  <c r="C71" i="32"/>
  <c r="C267" i="2" s="1"/>
  <c r="Z18" i="36"/>
  <c r="C76" i="32"/>
  <c r="C272" i="2" s="1"/>
  <c r="Z23" i="36"/>
  <c r="C156" i="32"/>
  <c r="C352" i="2" s="1"/>
  <c r="Z103" i="36"/>
  <c r="C125" i="32"/>
  <c r="C321" i="2" s="1"/>
  <c r="Z72" i="36"/>
  <c r="C102" i="32"/>
  <c r="Z49" i="36"/>
  <c r="C57" i="32"/>
  <c r="Z4" i="36"/>
  <c r="C147" i="32"/>
  <c r="AA147" i="32" s="1"/>
  <c r="Z94" i="36"/>
  <c r="C152" i="32"/>
  <c r="C348" i="2" s="1"/>
  <c r="Z99" i="36"/>
  <c r="C142" i="32"/>
  <c r="C338" i="2" s="1"/>
  <c r="Z89" i="36"/>
  <c r="C108" i="32"/>
  <c r="Z55" i="36"/>
  <c r="C117" i="32"/>
  <c r="C313" i="2" s="1"/>
  <c r="Z64" i="36"/>
  <c r="C107" i="32"/>
  <c r="C303" i="2" s="1"/>
  <c r="H303" i="2" s="1"/>
  <c r="Z54" i="36"/>
  <c r="C91" i="32"/>
  <c r="Z38" i="36"/>
  <c r="C154" i="32"/>
  <c r="AA154" i="32" s="1"/>
  <c r="Z101" i="36"/>
  <c r="C115" i="32"/>
  <c r="Z62" i="36"/>
  <c r="C104" i="32"/>
  <c r="Z51" i="36"/>
  <c r="C62" i="32"/>
  <c r="Z9" i="36"/>
  <c r="C149" i="32"/>
  <c r="AA149" i="32" s="1"/>
  <c r="Z96" i="36"/>
  <c r="C113" i="32"/>
  <c r="Z60" i="36"/>
  <c r="C67" i="32"/>
  <c r="Z14" i="36"/>
  <c r="C171" i="32"/>
  <c r="AA171" i="32" s="1"/>
  <c r="Z118" i="36"/>
  <c r="C139" i="32"/>
  <c r="AA139" i="32" s="1"/>
  <c r="Z86" i="36"/>
  <c r="C130" i="32"/>
  <c r="C326" i="2" s="1"/>
  <c r="F326" i="2" s="1"/>
  <c r="Z77" i="36"/>
  <c r="C98" i="32"/>
  <c r="Z45" i="36"/>
  <c r="C166" i="32"/>
  <c r="C362" i="2" s="1"/>
  <c r="G362" i="2" s="1"/>
  <c r="Z113" i="36"/>
  <c r="C93" i="32"/>
  <c r="Z40" i="36"/>
  <c r="C143" i="32"/>
  <c r="AA143" i="32" s="1"/>
  <c r="Z90" i="36"/>
  <c r="C120" i="32"/>
  <c r="C316" i="2" s="1"/>
  <c r="Z67" i="36"/>
  <c r="C90" i="32"/>
  <c r="C286" i="2" s="1"/>
  <c r="Z37" i="36"/>
  <c r="C114" i="32"/>
  <c r="C310" i="2" s="1"/>
  <c r="Z61" i="36"/>
  <c r="C168" i="32"/>
  <c r="AA168" i="32" s="1"/>
  <c r="Z115" i="36"/>
  <c r="C127" i="32"/>
  <c r="Z74" i="36"/>
  <c r="C66" i="32"/>
  <c r="Z13" i="36"/>
  <c r="C103" i="32"/>
  <c r="C299" i="2" s="1"/>
  <c r="Z50" i="36"/>
  <c r="C60" i="32"/>
  <c r="Z7" i="36"/>
  <c r="C148" i="32"/>
  <c r="AA148" i="32" s="1"/>
  <c r="Z95" i="36"/>
  <c r="C132" i="32"/>
  <c r="Z79" i="36"/>
  <c r="C100" i="32"/>
  <c r="C296" i="2" s="1"/>
  <c r="Z47" i="36"/>
  <c r="C95" i="32"/>
  <c r="C291" i="2" s="1"/>
  <c r="L291" i="2" s="1"/>
  <c r="Z42" i="36"/>
  <c r="C145" i="32"/>
  <c r="C341" i="2" s="1"/>
  <c r="G341" i="2" s="1"/>
  <c r="Z92" i="36"/>
  <c r="C109" i="32"/>
  <c r="Z56" i="36"/>
  <c r="C58" i="32"/>
  <c r="Z5" i="36"/>
  <c r="C126" i="32"/>
  <c r="Z73" i="36"/>
  <c r="C141" i="32"/>
  <c r="C337" i="2" s="1"/>
  <c r="I337" i="2" s="1"/>
  <c r="Z88" i="36"/>
  <c r="C85" i="32"/>
  <c r="C281" i="2" s="1"/>
  <c r="L281" i="2" s="1"/>
  <c r="Z32" i="36"/>
  <c r="C136" i="32"/>
  <c r="C332" i="2" s="1"/>
  <c r="Z83" i="36"/>
  <c r="C56" i="32"/>
  <c r="Z3" i="36"/>
  <c r="C75" i="32"/>
  <c r="C271" i="2" s="1"/>
  <c r="Z22" i="36"/>
  <c r="C94" i="32"/>
  <c r="Z41" i="36"/>
  <c r="C144" i="32"/>
  <c r="C340" i="2" s="1"/>
  <c r="F340" i="2" s="1"/>
  <c r="Z91" i="36"/>
  <c r="C128" i="32"/>
  <c r="C324" i="2" s="1"/>
  <c r="M324" i="2" s="1"/>
  <c r="Z75" i="36"/>
  <c r="C158" i="32"/>
  <c r="AA158" i="32" s="1"/>
  <c r="Z105" i="36"/>
  <c r="C87" i="32"/>
  <c r="Z34" i="36"/>
  <c r="C138" i="32"/>
  <c r="C334" i="2" s="1"/>
  <c r="Z85" i="36"/>
  <c r="C105" i="32"/>
  <c r="C301" i="2" s="1"/>
  <c r="Z52" i="36"/>
  <c r="C65" i="32"/>
  <c r="Z12" i="36"/>
  <c r="C150" i="32"/>
  <c r="Z97" i="36"/>
  <c r="C122" i="32"/>
  <c r="Z69" i="36"/>
  <c r="C159" i="32"/>
  <c r="C355" i="2" s="1"/>
  <c r="M355" i="2" s="1"/>
  <c r="Z106" i="36"/>
  <c r="C81" i="32"/>
  <c r="C277" i="2" s="1"/>
  <c r="J277" i="2" s="1"/>
  <c r="Z28" i="36"/>
  <c r="C135" i="32"/>
  <c r="Z82" i="36"/>
  <c r="F516" i="14"/>
  <c r="F513" i="14"/>
  <c r="F517" i="14"/>
  <c r="F514" i="14"/>
  <c r="F544" i="14"/>
  <c r="F555" i="14" s="1"/>
  <c r="F545" i="14"/>
  <c r="F556" i="14" s="1"/>
  <c r="F546" i="14"/>
  <c r="F557" i="14" s="1"/>
  <c r="G541" i="14"/>
  <c r="G545" i="14" s="1"/>
  <c r="G509" i="14"/>
  <c r="F512" i="14"/>
  <c r="F511" i="14"/>
  <c r="G508" i="14"/>
  <c r="G97" i="29"/>
  <c r="H320" i="29"/>
  <c r="H271" i="29"/>
  <c r="G895" i="16" s="1"/>
  <c r="H264" i="29"/>
  <c r="H255" i="29"/>
  <c r="H247" i="29"/>
  <c r="H235" i="29"/>
  <c r="H227" i="29"/>
  <c r="H205" i="29"/>
  <c r="H185" i="29"/>
  <c r="H163" i="29"/>
  <c r="H151" i="29"/>
  <c r="H140" i="29"/>
  <c r="H214" i="29"/>
  <c r="H194" i="29"/>
  <c r="H172" i="29"/>
  <c r="H118" i="29"/>
  <c r="H127" i="29"/>
  <c r="H106" i="29"/>
  <c r="S678" i="16" s="1"/>
  <c r="AH56" i="32"/>
  <c r="B252" i="2" s="1"/>
  <c r="B18" i="49" l="1"/>
  <c r="B68" i="49" s="1"/>
  <c r="B25" i="49"/>
  <c r="B17" i="49"/>
  <c r="B15" i="49"/>
  <c r="B21" i="49"/>
  <c r="B71" i="49" s="1"/>
  <c r="B23" i="49"/>
  <c r="B73" i="49" s="1"/>
  <c r="B26" i="49"/>
  <c r="B76" i="49" s="1"/>
  <c r="B24" i="49"/>
  <c r="B74" i="49" s="1"/>
  <c r="B22" i="49"/>
  <c r="B72" i="49" s="1"/>
  <c r="B19" i="49"/>
  <c r="F40" i="29"/>
  <c r="F59" i="29" s="1"/>
  <c r="F79" i="29"/>
  <c r="F189" i="5"/>
  <c r="F151" i="5"/>
  <c r="F110" i="5"/>
  <c r="F227" i="5"/>
  <c r="F244" i="5"/>
  <c r="F198" i="5"/>
  <c r="F160" i="5"/>
  <c r="F121" i="5"/>
  <c r="F234" i="5"/>
  <c r="F141" i="5"/>
  <c r="F179" i="5"/>
  <c r="F136" i="5"/>
  <c r="F252" i="5"/>
  <c r="F217" i="5"/>
  <c r="F171" i="5"/>
  <c r="F129" i="5"/>
  <c r="F209" i="5"/>
  <c r="E26" i="5"/>
  <c r="E62" i="5"/>
  <c r="E40" i="5"/>
  <c r="E51" i="5"/>
  <c r="E99" i="5"/>
  <c r="E21" i="29" s="1"/>
  <c r="F534" i="14"/>
  <c r="F536" i="14"/>
  <c r="F535" i="14"/>
  <c r="G556" i="14"/>
  <c r="G56" i="4"/>
  <c r="F56" i="4" s="1"/>
  <c r="B12" i="49"/>
  <c r="B62" i="49" s="1"/>
  <c r="B14" i="49"/>
  <c r="B64" i="49" s="1"/>
  <c r="B13" i="49"/>
  <c r="B63" i="49" s="1"/>
  <c r="B20" i="49"/>
  <c r="B70" i="49" s="1"/>
  <c r="B16" i="49"/>
  <c r="B66" i="49" s="1"/>
  <c r="C304" i="2"/>
  <c r="D304" i="2" s="1"/>
  <c r="AA162" i="32"/>
  <c r="C292" i="2"/>
  <c r="C264" i="2"/>
  <c r="F264" i="2" s="1"/>
  <c r="C253" i="2"/>
  <c r="C350" i="2"/>
  <c r="J350" i="2" s="1"/>
  <c r="C297" i="2"/>
  <c r="M297" i="2" s="1"/>
  <c r="C289" i="2"/>
  <c r="G289" i="2" s="1"/>
  <c r="C345" i="2"/>
  <c r="G345" i="2" s="1"/>
  <c r="AA136" i="32"/>
  <c r="C335" i="2"/>
  <c r="I335" i="2" s="1"/>
  <c r="C318" i="2"/>
  <c r="H318" i="2" s="1"/>
  <c r="AA163" i="32"/>
  <c r="C317" i="2"/>
  <c r="G317" i="2" s="1"/>
  <c r="AA138" i="32"/>
  <c r="AA144" i="32"/>
  <c r="C364" i="2"/>
  <c r="D364" i="2" s="1"/>
  <c r="C343" i="2"/>
  <c r="H343" i="2" s="1"/>
  <c r="R10" i="16"/>
  <c r="S10" i="16"/>
  <c r="C322" i="2"/>
  <c r="I322" i="2" s="1"/>
  <c r="C285" i="2"/>
  <c r="L285" i="2" s="1"/>
  <c r="Q181" i="16"/>
  <c r="C311" i="2"/>
  <c r="L311" i="2" s="1"/>
  <c r="C357" i="2"/>
  <c r="G357" i="2" s="1"/>
  <c r="T181" i="16"/>
  <c r="C329" i="2"/>
  <c r="L329" i="2" s="1"/>
  <c r="C307" i="2"/>
  <c r="M307" i="2" s="1"/>
  <c r="C365" i="2"/>
  <c r="J365" i="2" s="1"/>
  <c r="Q10" i="16"/>
  <c r="C302" i="2"/>
  <c r="I302" i="2" s="1"/>
  <c r="AA156" i="32"/>
  <c r="C284" i="2"/>
  <c r="C339" i="2"/>
  <c r="D339" i="2" s="1"/>
  <c r="R182" i="16"/>
  <c r="C256" i="2"/>
  <c r="AA159" i="32"/>
  <c r="C309" i="2"/>
  <c r="K309" i="2" s="1"/>
  <c r="T10" i="16"/>
  <c r="S182" i="16"/>
  <c r="S181" i="16"/>
  <c r="C252" i="2"/>
  <c r="C315" i="2"/>
  <c r="I315" i="2" s="1"/>
  <c r="Q182" i="16"/>
  <c r="C254" i="2"/>
  <c r="T182" i="16"/>
  <c r="R181" i="16"/>
  <c r="C260" i="2"/>
  <c r="M260" i="2" s="1"/>
  <c r="AA151" i="32"/>
  <c r="AA145" i="32"/>
  <c r="C344" i="2"/>
  <c r="H344" i="2" s="1"/>
  <c r="C300" i="2"/>
  <c r="G300" i="2" s="1"/>
  <c r="S340" i="16"/>
  <c r="AA137" i="32"/>
  <c r="AA165" i="32"/>
  <c r="AA152" i="32"/>
  <c r="Q37" i="16"/>
  <c r="Q205" i="16"/>
  <c r="C323" i="2"/>
  <c r="J323" i="2" s="1"/>
  <c r="C261" i="2"/>
  <c r="K261" i="2" s="1"/>
  <c r="S32" i="16"/>
  <c r="C360" i="2"/>
  <c r="K360" i="2" s="1"/>
  <c r="AA141" i="32"/>
  <c r="C280" i="2"/>
  <c r="F280" i="2" s="1"/>
  <c r="AA140" i="32"/>
  <c r="C342" i="2"/>
  <c r="K342" i="2" s="1"/>
  <c r="AA160" i="32"/>
  <c r="C366" i="2"/>
  <c r="E366" i="2" s="1"/>
  <c r="AA155" i="32"/>
  <c r="T179" i="16"/>
  <c r="C354" i="2"/>
  <c r="J354" i="2" s="1"/>
  <c r="T56" i="16"/>
  <c r="T53" i="16"/>
  <c r="C308" i="2"/>
  <c r="C294" i="2"/>
  <c r="J294" i="2" s="1"/>
  <c r="R359" i="16"/>
  <c r="S357" i="16"/>
  <c r="T340" i="16"/>
  <c r="S187" i="16"/>
  <c r="T178" i="16"/>
  <c r="R36" i="16"/>
  <c r="C263" i="2"/>
  <c r="M263" i="2" s="1"/>
  <c r="C266" i="2"/>
  <c r="H266" i="2" s="1"/>
  <c r="S325" i="16"/>
  <c r="T42" i="16"/>
  <c r="Q185" i="16"/>
  <c r="S20" i="16"/>
  <c r="S210" i="16"/>
  <c r="T190" i="16"/>
  <c r="S328" i="16"/>
  <c r="T23" i="16"/>
  <c r="Q359" i="16"/>
  <c r="T351" i="16"/>
  <c r="Q36" i="16"/>
  <c r="S54" i="16"/>
  <c r="R331" i="16"/>
  <c r="T30" i="16"/>
  <c r="S199" i="16"/>
  <c r="R351" i="16"/>
  <c r="R57" i="16"/>
  <c r="S214" i="16"/>
  <c r="R338" i="16"/>
  <c r="Q202" i="16"/>
  <c r="S329" i="16"/>
  <c r="T337" i="16"/>
  <c r="R327" i="16"/>
  <c r="Q11" i="16"/>
  <c r="Q177" i="16"/>
  <c r="T338" i="16"/>
  <c r="C331" i="2"/>
  <c r="E331" i="2" s="1"/>
  <c r="C283" i="2"/>
  <c r="L283" i="2" s="1"/>
  <c r="C305" i="2"/>
  <c r="M305" i="2" s="1"/>
  <c r="C328" i="2"/>
  <c r="D328" i="2" s="1"/>
  <c r="C257" i="2"/>
  <c r="AA167" i="32"/>
  <c r="AA142" i="32"/>
  <c r="C319" i="2"/>
  <c r="K319" i="2" s="1"/>
  <c r="V357" i="16"/>
  <c r="R325" i="16"/>
  <c r="Q54" i="16"/>
  <c r="S345" i="16"/>
  <c r="T207" i="16"/>
  <c r="V38" i="16"/>
  <c r="R199" i="16"/>
  <c r="Q327" i="16"/>
  <c r="Q17" i="16"/>
  <c r="R326" i="16"/>
  <c r="T48" i="16"/>
  <c r="T11" i="16"/>
  <c r="S335" i="16"/>
  <c r="Q337" i="16"/>
  <c r="Q184" i="16"/>
  <c r="T19" i="16"/>
  <c r="V329" i="16"/>
  <c r="S9" i="16"/>
  <c r="Q338" i="16"/>
  <c r="R353" i="16"/>
  <c r="S188" i="16"/>
  <c r="Q212" i="16"/>
  <c r="R191" i="16"/>
  <c r="Q18" i="16"/>
  <c r="T327" i="16"/>
  <c r="S56" i="16"/>
  <c r="R358" i="16"/>
  <c r="S331" i="16"/>
  <c r="Q49" i="16"/>
  <c r="T192" i="16"/>
  <c r="T17" i="16"/>
  <c r="Q216" i="16"/>
  <c r="Q34" i="16"/>
  <c r="S42" i="16"/>
  <c r="S213" i="16"/>
  <c r="S36" i="16"/>
  <c r="R196" i="16"/>
  <c r="S25" i="16"/>
  <c r="Q210" i="16"/>
  <c r="T210" i="16"/>
  <c r="S211" i="16"/>
  <c r="R46" i="16"/>
  <c r="S351" i="16"/>
  <c r="S205" i="16"/>
  <c r="V208" i="16"/>
  <c r="R54" i="16"/>
  <c r="S19" i="16"/>
  <c r="T50" i="16"/>
  <c r="R354" i="16"/>
  <c r="S203" i="16"/>
  <c r="T211" i="16"/>
  <c r="T22" i="16"/>
  <c r="R41" i="16"/>
  <c r="Q12" i="16"/>
  <c r="T212" i="16"/>
  <c r="Q58" i="16"/>
  <c r="R340" i="16"/>
  <c r="T196" i="16"/>
  <c r="R37" i="16"/>
  <c r="S52" i="16"/>
  <c r="S348" i="16"/>
  <c r="R193" i="16"/>
  <c r="Q21" i="16"/>
  <c r="T219" i="16"/>
  <c r="S186" i="16"/>
  <c r="T355" i="16"/>
  <c r="Q56" i="16"/>
  <c r="C290" i="2"/>
  <c r="C265" i="2"/>
  <c r="G265" i="2" s="1"/>
  <c r="Q190" i="16"/>
  <c r="T344" i="16"/>
  <c r="C298" i="2"/>
  <c r="H298" i="2" s="1"/>
  <c r="AA166" i="32"/>
  <c r="Q356" i="16"/>
  <c r="R192" i="16"/>
  <c r="S15" i="16"/>
  <c r="R332" i="16"/>
  <c r="S28" i="16"/>
  <c r="S330" i="16"/>
  <c r="T354" i="16"/>
  <c r="T205" i="16"/>
  <c r="S46" i="16"/>
  <c r="R345" i="16"/>
  <c r="Q198" i="16"/>
  <c r="Q339" i="16"/>
  <c r="S201" i="16"/>
  <c r="R210" i="16"/>
  <c r="T40" i="16"/>
  <c r="S14" i="16"/>
  <c r="V214" i="16"/>
  <c r="T38" i="16"/>
  <c r="R346" i="16"/>
  <c r="R205" i="16"/>
  <c r="T213" i="16"/>
  <c r="S217" i="16"/>
  <c r="T54" i="16"/>
  <c r="Q346" i="16"/>
  <c r="T200" i="16"/>
  <c r="S48" i="16"/>
  <c r="T345" i="16"/>
  <c r="R18" i="16"/>
  <c r="Q42" i="16"/>
  <c r="T352" i="16"/>
  <c r="V192" i="16"/>
  <c r="T195" i="16"/>
  <c r="T24" i="16"/>
  <c r="S202" i="16"/>
  <c r="S27" i="16"/>
  <c r="C349" i="2"/>
  <c r="L349" i="2" s="1"/>
  <c r="AA153" i="32"/>
  <c r="C255" i="2"/>
  <c r="C262" i="2"/>
  <c r="M262" i="2" s="1"/>
  <c r="C258" i="2"/>
  <c r="V191" i="16"/>
  <c r="S11" i="16"/>
  <c r="T331" i="16"/>
  <c r="T26" i="16"/>
  <c r="T336" i="16"/>
  <c r="S58" i="16"/>
  <c r="Q20" i="16"/>
  <c r="S193" i="16"/>
  <c r="T33" i="16"/>
  <c r="R355" i="16"/>
  <c r="V199" i="16"/>
  <c r="S35" i="16"/>
  <c r="S350" i="16"/>
  <c r="R188" i="16"/>
  <c r="Q213" i="16"/>
  <c r="T353" i="16"/>
  <c r="T203" i="16"/>
  <c r="R38" i="16"/>
  <c r="T339" i="16"/>
  <c r="S191" i="16"/>
  <c r="T216" i="16"/>
  <c r="Q51" i="16"/>
  <c r="R11" i="16"/>
  <c r="T217" i="16"/>
  <c r="R58" i="16"/>
  <c r="T356" i="16"/>
  <c r="R195" i="16"/>
  <c r="T36" i="16"/>
  <c r="S336" i="16"/>
  <c r="R32" i="16"/>
  <c r="S47" i="16"/>
  <c r="Q178" i="16"/>
  <c r="V195" i="16"/>
  <c r="R12" i="16"/>
  <c r="S196" i="16"/>
  <c r="R47" i="16"/>
  <c r="Q217" i="16"/>
  <c r="R29" i="16"/>
  <c r="C346" i="2"/>
  <c r="H346" i="2" s="1"/>
  <c r="AA150" i="32"/>
  <c r="R20" i="16"/>
  <c r="R335" i="16"/>
  <c r="R183" i="16"/>
  <c r="T14" i="16"/>
  <c r="S337" i="16"/>
  <c r="R45" i="16"/>
  <c r="T214" i="16"/>
  <c r="S334" i="16"/>
  <c r="Q197" i="16"/>
  <c r="T34" i="16"/>
  <c r="T346" i="16"/>
  <c r="T193" i="16"/>
  <c r="S23" i="16"/>
  <c r="T329" i="16"/>
  <c r="T359" i="16"/>
  <c r="Q214" i="16"/>
  <c r="T41" i="16"/>
  <c r="Q340" i="16"/>
  <c r="Q196" i="16"/>
  <c r="Q26" i="16"/>
  <c r="Q333" i="16"/>
  <c r="R357" i="16"/>
  <c r="T335" i="16"/>
  <c r="T45" i="16"/>
  <c r="T358" i="16"/>
  <c r="T198" i="16"/>
  <c r="T47" i="16"/>
  <c r="R347" i="16"/>
  <c r="Q186" i="16"/>
  <c r="S29" i="16"/>
  <c r="R328" i="16"/>
  <c r="S12" i="16"/>
  <c r="Q39" i="16"/>
  <c r="Q53" i="16"/>
  <c r="Q180" i="16"/>
  <c r="Q357" i="16"/>
  <c r="T183" i="16"/>
  <c r="R39" i="16"/>
  <c r="C259" i="2"/>
  <c r="I259" i="2" s="1"/>
  <c r="R177" i="16"/>
  <c r="R209" i="16"/>
  <c r="V333" i="16"/>
  <c r="Q45" i="16"/>
  <c r="S185" i="16"/>
  <c r="R56" i="16"/>
  <c r="Q193" i="16"/>
  <c r="Q336" i="16"/>
  <c r="Q344" i="16"/>
  <c r="Q32" i="16"/>
  <c r="T9" i="16"/>
  <c r="S53" i="16"/>
  <c r="S190" i="16"/>
  <c r="S333" i="16"/>
  <c r="S341" i="16"/>
  <c r="S21" i="16"/>
  <c r="T46" i="16"/>
  <c r="V18" i="16"/>
  <c r="R44" i="16"/>
  <c r="R184" i="16"/>
  <c r="T209" i="16"/>
  <c r="V346" i="16"/>
  <c r="T35" i="16"/>
  <c r="T180" i="16"/>
  <c r="R211" i="16"/>
  <c r="R344" i="16"/>
  <c r="V30" i="16"/>
  <c r="T184" i="16"/>
  <c r="S332" i="16"/>
  <c r="S51" i="16"/>
  <c r="Q191" i="16"/>
  <c r="Q334" i="16"/>
  <c r="Q342" i="16"/>
  <c r="T208" i="16"/>
  <c r="S344" i="16"/>
  <c r="Q15" i="16"/>
  <c r="S44" i="16"/>
  <c r="Q211" i="16"/>
  <c r="Q348" i="16"/>
  <c r="Q38" i="16"/>
  <c r="R178" i="16"/>
  <c r="Q332" i="16"/>
  <c r="R349" i="16"/>
  <c r="S200" i="16"/>
  <c r="T12" i="16"/>
  <c r="Q35" i="16"/>
  <c r="S179" i="16"/>
  <c r="Q330" i="16"/>
  <c r="T343" i="16"/>
  <c r="Q30" i="16"/>
  <c r="T57" i="16"/>
  <c r="R197" i="16"/>
  <c r="R342" i="16"/>
  <c r="T202" i="16"/>
  <c r="S338" i="16"/>
  <c r="Q14" i="16"/>
  <c r="S38" i="16"/>
  <c r="Q195" i="16"/>
  <c r="Q325" i="16"/>
  <c r="S352" i="16"/>
  <c r="S22" i="16"/>
  <c r="S43" i="16"/>
  <c r="Q203" i="16"/>
  <c r="R214" i="16"/>
  <c r="S13" i="16"/>
  <c r="R26" i="16"/>
  <c r="R21" i="16"/>
  <c r="T187" i="16"/>
  <c r="Q355" i="16"/>
  <c r="R187" i="16"/>
  <c r="T328" i="16"/>
  <c r="Q345" i="16"/>
  <c r="Q9" i="16"/>
  <c r="Q41" i="16"/>
  <c r="T52" i="16"/>
  <c r="T191" i="16"/>
  <c r="R339" i="16"/>
  <c r="Q55" i="16"/>
  <c r="R48" i="16"/>
  <c r="R212" i="16"/>
  <c r="S33" i="16"/>
  <c r="S16" i="16"/>
  <c r="R40" i="16"/>
  <c r="Q209" i="16"/>
  <c r="T341" i="16"/>
  <c r="T15" i="16"/>
  <c r="R55" i="16"/>
  <c r="R25" i="16"/>
  <c r="S45" i="16"/>
  <c r="R189" i="16"/>
  <c r="T334" i="16"/>
  <c r="Q352" i="16"/>
  <c r="Q24" i="16"/>
  <c r="R49" i="16"/>
  <c r="T18" i="16"/>
  <c r="Q200" i="16"/>
  <c r="Q331" i="16"/>
  <c r="S349" i="16"/>
  <c r="S39" i="16"/>
  <c r="S177" i="16"/>
  <c r="Q27" i="16"/>
  <c r="S50" i="16"/>
  <c r="R201" i="16"/>
  <c r="V207" i="16"/>
  <c r="S31" i="16"/>
  <c r="T43" i="16"/>
  <c r="T189" i="16"/>
  <c r="R208" i="16"/>
  <c r="R350" i="16"/>
  <c r="T16" i="16"/>
  <c r="T55" i="16"/>
  <c r="T199" i="16"/>
  <c r="Q341" i="16"/>
  <c r="R19" i="16"/>
  <c r="Q40" i="16"/>
  <c r="T186" i="16"/>
  <c r="Q350" i="16"/>
  <c r="S208" i="16"/>
  <c r="Q353" i="16"/>
  <c r="Q23" i="16"/>
  <c r="Q44" i="16"/>
  <c r="T194" i="16"/>
  <c r="S209" i="16"/>
  <c r="T13" i="16"/>
  <c r="Q188" i="16"/>
  <c r="T330" i="16"/>
  <c r="S339" i="16"/>
  <c r="R218" i="16"/>
  <c r="V354" i="16"/>
  <c r="R23" i="16"/>
  <c r="Q52" i="16"/>
  <c r="R194" i="16"/>
  <c r="R207" i="16"/>
  <c r="T349" i="16"/>
  <c r="S17" i="16"/>
  <c r="Q46" i="16"/>
  <c r="S195" i="16"/>
  <c r="S206" i="16"/>
  <c r="R348" i="16"/>
  <c r="T333" i="16"/>
  <c r="R16" i="16"/>
  <c r="R42" i="16"/>
  <c r="S189" i="16"/>
  <c r="R217" i="16"/>
  <c r="R341" i="16"/>
  <c r="R28" i="16"/>
  <c r="S178" i="16"/>
  <c r="Q343" i="16"/>
  <c r="S24" i="16"/>
  <c r="Q48" i="16"/>
  <c r="V194" i="16"/>
  <c r="T347" i="16"/>
  <c r="Q16" i="16"/>
  <c r="T58" i="16"/>
  <c r="T27" i="16"/>
  <c r="R50" i="16"/>
  <c r="Q201" i="16"/>
  <c r="R330" i="16"/>
  <c r="Q13" i="16"/>
  <c r="Q183" i="16"/>
  <c r="Q22" i="16"/>
  <c r="Q47" i="16"/>
  <c r="R203" i="16"/>
  <c r="S327" i="16"/>
  <c r="R9" i="16"/>
  <c r="V52" i="16"/>
  <c r="S192" i="16"/>
  <c r="R30" i="16"/>
  <c r="Q57" i="16"/>
  <c r="R213" i="16"/>
  <c r="T348" i="16"/>
  <c r="Q19" i="16"/>
  <c r="S49" i="16"/>
  <c r="T197" i="16"/>
  <c r="Q208" i="16"/>
  <c r="T357" i="16"/>
  <c r="R34" i="16"/>
  <c r="S183" i="16"/>
  <c r="R336" i="16"/>
  <c r="S356" i="16"/>
  <c r="R24" i="16"/>
  <c r="T44" i="16"/>
  <c r="Q204" i="16"/>
  <c r="Q328" i="16"/>
  <c r="Q194" i="16"/>
  <c r="T218" i="16"/>
  <c r="T342" i="16"/>
  <c r="T29" i="16"/>
  <c r="T51" i="16"/>
  <c r="T201" i="16"/>
  <c r="T350" i="16"/>
  <c r="V37" i="16"/>
  <c r="V56" i="16"/>
  <c r="S197" i="16"/>
  <c r="Q329" i="16"/>
  <c r="S347" i="16"/>
  <c r="Q218" i="16"/>
  <c r="S343" i="16"/>
  <c r="R31" i="16"/>
  <c r="S41" i="16"/>
  <c r="V190" i="16"/>
  <c r="Q207" i="16"/>
  <c r="Q358" i="16"/>
  <c r="Q28" i="16"/>
  <c r="Q199" i="16"/>
  <c r="R206" i="16"/>
  <c r="R356" i="16"/>
  <c r="T332" i="16"/>
  <c r="S354" i="16"/>
  <c r="T21" i="16"/>
  <c r="V51" i="16"/>
  <c r="T204" i="16"/>
  <c r="T215" i="16"/>
  <c r="S358" i="16"/>
  <c r="S37" i="16"/>
  <c r="S194" i="16"/>
  <c r="T206" i="16"/>
  <c r="Q31" i="16"/>
  <c r="Q192" i="16"/>
  <c r="R219" i="16"/>
  <c r="R343" i="16"/>
  <c r="S30" i="16"/>
  <c r="R52" i="16"/>
  <c r="S180" i="16"/>
  <c r="Q206" i="16"/>
  <c r="S342" i="16"/>
  <c r="R33" i="16"/>
  <c r="T177" i="16"/>
  <c r="R204" i="16"/>
  <c r="R53" i="16"/>
  <c r="C367" i="2"/>
  <c r="J367" i="2" s="1"/>
  <c r="S216" i="16"/>
  <c r="R14" i="16"/>
  <c r="S207" i="16"/>
  <c r="S57" i="16"/>
  <c r="S359" i="16"/>
  <c r="S215" i="16"/>
  <c r="V217" i="16"/>
  <c r="S184" i="16"/>
  <c r="T32" i="16"/>
  <c r="Q335" i="16"/>
  <c r="T185" i="16"/>
  <c r="T25" i="16"/>
  <c r="R333" i="16"/>
  <c r="R352" i="16"/>
  <c r="R200" i="16"/>
  <c r="T37" i="16"/>
  <c r="Q347" i="16"/>
  <c r="Q187" i="16"/>
  <c r="R15" i="16"/>
  <c r="R216" i="16"/>
  <c r="V355" i="16"/>
  <c r="S40" i="16"/>
  <c r="V350" i="16"/>
  <c r="R185" i="16"/>
  <c r="R35" i="16"/>
  <c r="V335" i="16"/>
  <c r="Q189" i="16"/>
  <c r="R17" i="16"/>
  <c r="R329" i="16"/>
  <c r="R43" i="16"/>
  <c r="R13" i="16"/>
  <c r="R22" i="16"/>
  <c r="R215" i="16"/>
  <c r="R51" i="16"/>
  <c r="Q351" i="16"/>
  <c r="T39" i="16"/>
  <c r="S326" i="16"/>
  <c r="AA157" i="32"/>
  <c r="C287" i="2"/>
  <c r="I287" i="2" s="1"/>
  <c r="S219" i="16"/>
  <c r="T49" i="16"/>
  <c r="S353" i="16"/>
  <c r="T326" i="16"/>
  <c r="Q50" i="16"/>
  <c r="V348" i="16"/>
  <c r="S204" i="16"/>
  <c r="T325" i="16"/>
  <c r="Q25" i="16"/>
  <c r="S218" i="16"/>
  <c r="Q179" i="16"/>
  <c r="T20" i="16"/>
  <c r="Q215" i="16"/>
  <c r="S346" i="16"/>
  <c r="R202" i="16"/>
  <c r="T31" i="16"/>
  <c r="Q326" i="16"/>
  <c r="R179" i="16"/>
  <c r="R27" i="16"/>
  <c r="R337" i="16"/>
  <c r="Q349" i="16"/>
  <c r="R198" i="16"/>
  <c r="S34" i="16"/>
  <c r="Q354" i="16"/>
  <c r="T188" i="16"/>
  <c r="S18" i="16"/>
  <c r="Q219" i="16"/>
  <c r="R180" i="16"/>
  <c r="S26" i="16"/>
  <c r="S212" i="16"/>
  <c r="R190" i="16"/>
  <c r="Q29" i="16"/>
  <c r="R334" i="16"/>
  <c r="Q33" i="16"/>
  <c r="S55" i="16"/>
  <c r="S355" i="16"/>
  <c r="Q43" i="16"/>
  <c r="T28" i="16"/>
  <c r="S198" i="16"/>
  <c r="H541" i="14"/>
  <c r="H545" i="14" s="1"/>
  <c r="H556" i="14" s="1"/>
  <c r="G544" i="14"/>
  <c r="F558" i="14"/>
  <c r="G183" i="16" s="1"/>
  <c r="F549" i="14"/>
  <c r="F550" i="14" s="1"/>
  <c r="E550" i="14" s="1"/>
  <c r="E551" i="14" s="1"/>
  <c r="E186" i="14" s="1"/>
  <c r="H509" i="14"/>
  <c r="H514" i="14" s="1"/>
  <c r="G514" i="14"/>
  <c r="F639" i="14"/>
  <c r="F640" i="14" s="1"/>
  <c r="F643" i="14" s="1"/>
  <c r="G546" i="14"/>
  <c r="G557" i="14" s="1"/>
  <c r="H508" i="14"/>
  <c r="H513" i="14" s="1"/>
  <c r="G513" i="14"/>
  <c r="G512" i="14"/>
  <c r="G516" i="14"/>
  <c r="G511" i="14"/>
  <c r="G517" i="14"/>
  <c r="F631" i="14"/>
  <c r="F633" i="14" s="1"/>
  <c r="G327" i="2"/>
  <c r="L327" i="2"/>
  <c r="H359" i="2"/>
  <c r="J327" i="2"/>
  <c r="E359" i="2"/>
  <c r="E327" i="2"/>
  <c r="K359" i="2"/>
  <c r="H327" i="2"/>
  <c r="J359" i="2"/>
  <c r="G359" i="2"/>
  <c r="D353" i="2"/>
  <c r="M277" i="2"/>
  <c r="E277" i="2"/>
  <c r="K327" i="2"/>
  <c r="M327" i="2"/>
  <c r="D327" i="2"/>
  <c r="I359" i="2"/>
  <c r="M359" i="2"/>
  <c r="I327" i="2"/>
  <c r="F359" i="2"/>
  <c r="L359" i="2"/>
  <c r="E337" i="2"/>
  <c r="F337" i="2"/>
  <c r="H277" i="2"/>
  <c r="E303" i="2"/>
  <c r="G277" i="2"/>
  <c r="D277" i="2"/>
  <c r="I355" i="2"/>
  <c r="M303" i="2"/>
  <c r="J340" i="2"/>
  <c r="G347" i="2"/>
  <c r="I306" i="2"/>
  <c r="G303" i="2"/>
  <c r="J278" i="2"/>
  <c r="G324" i="2"/>
  <c r="J337" i="2"/>
  <c r="K337" i="2"/>
  <c r="L306" i="2"/>
  <c r="L337" i="2"/>
  <c r="G337" i="2"/>
  <c r="M337" i="2"/>
  <c r="L277" i="2"/>
  <c r="F277" i="2"/>
  <c r="K277" i="2"/>
  <c r="F355" i="2"/>
  <c r="K278" i="2"/>
  <c r="J324" i="2"/>
  <c r="D306" i="2"/>
  <c r="H337" i="2"/>
  <c r="D337" i="2"/>
  <c r="I277" i="2"/>
  <c r="M306" i="2"/>
  <c r="M340" i="2"/>
  <c r="L347" i="2"/>
  <c r="J306" i="2"/>
  <c r="D347" i="2"/>
  <c r="G306" i="2"/>
  <c r="H306" i="2"/>
  <c r="K306" i="2"/>
  <c r="E306" i="2"/>
  <c r="D340" i="2"/>
  <c r="F347" i="2"/>
  <c r="H347" i="2"/>
  <c r="J291" i="2"/>
  <c r="D303" i="2"/>
  <c r="F303" i="2"/>
  <c r="I340" i="2"/>
  <c r="J347" i="2"/>
  <c r="M347" i="2"/>
  <c r="L324" i="2"/>
  <c r="I324" i="2"/>
  <c r="K291" i="2"/>
  <c r="L303" i="2"/>
  <c r="I303" i="2"/>
  <c r="H355" i="2"/>
  <c r="E355" i="2"/>
  <c r="L340" i="2"/>
  <c r="G340" i="2"/>
  <c r="E274" i="2"/>
  <c r="K347" i="2"/>
  <c r="J303" i="2"/>
  <c r="H340" i="2"/>
  <c r="K274" i="2"/>
  <c r="I347" i="2"/>
  <c r="D324" i="2"/>
  <c r="K303" i="2"/>
  <c r="J355" i="2"/>
  <c r="E340" i="2"/>
  <c r="K340" i="2"/>
  <c r="H324" i="2"/>
  <c r="F324" i="2"/>
  <c r="K324" i="2"/>
  <c r="G355" i="2"/>
  <c r="L355" i="2"/>
  <c r="D355" i="2"/>
  <c r="E324" i="2"/>
  <c r="K355" i="2"/>
  <c r="H281" i="2"/>
  <c r="E278" i="2"/>
  <c r="M278" i="2"/>
  <c r="G278" i="2"/>
  <c r="H278" i="2"/>
  <c r="I278" i="2"/>
  <c r="D278" i="2"/>
  <c r="F278" i="2"/>
  <c r="D281" i="2"/>
  <c r="I281" i="2"/>
  <c r="E356" i="2"/>
  <c r="M281" i="2"/>
  <c r="L356" i="2"/>
  <c r="H356" i="2"/>
  <c r="I356" i="2"/>
  <c r="G356" i="2"/>
  <c r="M356" i="2"/>
  <c r="K356" i="2"/>
  <c r="F356" i="2"/>
  <c r="F281" i="2"/>
  <c r="K281" i="2"/>
  <c r="D356" i="2"/>
  <c r="F97" i="29"/>
  <c r="G320" i="29"/>
  <c r="G271" i="29"/>
  <c r="F895" i="16" s="1"/>
  <c r="G264" i="29"/>
  <c r="G255" i="29"/>
  <c r="G205" i="29"/>
  <c r="G185" i="29"/>
  <c r="G163" i="29"/>
  <c r="G151" i="29"/>
  <c r="G140" i="29"/>
  <c r="G214" i="29"/>
  <c r="G194" i="29"/>
  <c r="G172" i="29"/>
  <c r="G247" i="29"/>
  <c r="G235" i="29"/>
  <c r="G227" i="29"/>
  <c r="G127" i="29"/>
  <c r="G118" i="29"/>
  <c r="G106" i="29"/>
  <c r="R678" i="16" s="1"/>
  <c r="F274" i="2"/>
  <c r="G274" i="2"/>
  <c r="H274" i="2"/>
  <c r="J274" i="2"/>
  <c r="L274" i="2"/>
  <c r="I274" i="2"/>
  <c r="M274" i="2"/>
  <c r="M326" i="2"/>
  <c r="G275" i="2"/>
  <c r="G281" i="2"/>
  <c r="E281" i="2"/>
  <c r="J281" i="2"/>
  <c r="G326" i="2"/>
  <c r="M352" i="2"/>
  <c r="E352" i="2"/>
  <c r="J352" i="2"/>
  <c r="L352" i="2"/>
  <c r="F352" i="2"/>
  <c r="G352" i="2"/>
  <c r="H352" i="2"/>
  <c r="I352" i="2"/>
  <c r="D352" i="2"/>
  <c r="K352" i="2"/>
  <c r="G330" i="2"/>
  <c r="E330" i="2"/>
  <c r="L330" i="2"/>
  <c r="D330" i="2"/>
  <c r="J330" i="2"/>
  <c r="F330" i="2"/>
  <c r="I330" i="2"/>
  <c r="H330" i="2"/>
  <c r="M330" i="2"/>
  <c r="K330" i="2"/>
  <c r="K282" i="2"/>
  <c r="E282" i="2"/>
  <c r="F282" i="2"/>
  <c r="I282" i="2"/>
  <c r="J282" i="2"/>
  <c r="M282" i="2"/>
  <c r="L282" i="2"/>
  <c r="D282" i="2"/>
  <c r="H282" i="2"/>
  <c r="G282" i="2"/>
  <c r="D270" i="2"/>
  <c r="K270" i="2"/>
  <c r="F270" i="2"/>
  <c r="G270" i="2"/>
  <c r="J270" i="2"/>
  <c r="M270" i="2"/>
  <c r="H270" i="2"/>
  <c r="L270" i="2"/>
  <c r="E270" i="2"/>
  <c r="I270" i="2"/>
  <c r="H316" i="2"/>
  <c r="F316" i="2"/>
  <c r="M316" i="2"/>
  <c r="L316" i="2"/>
  <c r="G316" i="2"/>
  <c r="I316" i="2"/>
  <c r="E316" i="2"/>
  <c r="J316" i="2"/>
  <c r="K316" i="2"/>
  <c r="D316" i="2"/>
  <c r="E273" i="2"/>
  <c r="K273" i="2"/>
  <c r="D273" i="2"/>
  <c r="L326" i="2"/>
  <c r="H326" i="2"/>
  <c r="I326" i="2"/>
  <c r="H314" i="2"/>
  <c r="I314" i="2"/>
  <c r="L362" i="2"/>
  <c r="H362" i="2"/>
  <c r="F361" i="2"/>
  <c r="L361" i="2"/>
  <c r="D320" i="2"/>
  <c r="J320" i="2"/>
  <c r="K325" i="2"/>
  <c r="H325" i="2"/>
  <c r="F341" i="2"/>
  <c r="L341" i="2"/>
  <c r="H341" i="2"/>
  <c r="J279" i="2"/>
  <c r="D279" i="2"/>
  <c r="H279" i="2"/>
  <c r="M363" i="2"/>
  <c r="I363" i="2"/>
  <c r="E363" i="2"/>
  <c r="G363" i="2"/>
  <c r="F363" i="2"/>
  <c r="L363" i="2"/>
  <c r="J363" i="2"/>
  <c r="H363" i="2"/>
  <c r="D363" i="2"/>
  <c r="K363" i="2"/>
  <c r="H351" i="2"/>
  <c r="J351" i="2"/>
  <c r="L351" i="2"/>
  <c r="M351" i="2"/>
  <c r="D351" i="2"/>
  <c r="F351" i="2"/>
  <c r="I351" i="2"/>
  <c r="E351" i="2"/>
  <c r="K351" i="2"/>
  <c r="G351" i="2"/>
  <c r="M333" i="2"/>
  <c r="I333" i="2"/>
  <c r="H333" i="2"/>
  <c r="J333" i="2"/>
  <c r="D333" i="2"/>
  <c r="F333" i="2"/>
  <c r="L333" i="2"/>
  <c r="E333" i="2"/>
  <c r="G333" i="2"/>
  <c r="K333" i="2"/>
  <c r="G271" i="2"/>
  <c r="E271" i="2"/>
  <c r="F271" i="2"/>
  <c r="I271" i="2"/>
  <c r="K271" i="2"/>
  <c r="J271" i="2"/>
  <c r="L271" i="2"/>
  <c r="H271" i="2"/>
  <c r="M271" i="2"/>
  <c r="D271" i="2"/>
  <c r="M275" i="2"/>
  <c r="I275" i="2"/>
  <c r="H275" i="2"/>
  <c r="L275" i="2"/>
  <c r="J275" i="2"/>
  <c r="K275" i="2"/>
  <c r="E275" i="2"/>
  <c r="D275" i="2"/>
  <c r="G358" i="2"/>
  <c r="M358" i="2"/>
  <c r="I358" i="2"/>
  <c r="L358" i="2"/>
  <c r="J358" i="2"/>
  <c r="E358" i="2"/>
  <c r="D358" i="2"/>
  <c r="K358" i="2"/>
  <c r="F358" i="2"/>
  <c r="H358" i="2"/>
  <c r="M291" i="2"/>
  <c r="G291" i="2"/>
  <c r="E291" i="2"/>
  <c r="H291" i="2"/>
  <c r="I291" i="2"/>
  <c r="F291" i="2"/>
  <c r="D291" i="2"/>
  <c r="F312" i="2"/>
  <c r="J312" i="2"/>
  <c r="H312" i="2"/>
  <c r="D312" i="2"/>
  <c r="E312" i="2"/>
  <c r="K312" i="2"/>
  <c r="M312" i="2"/>
  <c r="L312" i="2"/>
  <c r="I312" i="2"/>
  <c r="G312" i="2"/>
  <c r="F299" i="2"/>
  <c r="D299" i="2"/>
  <c r="M299" i="2"/>
  <c r="H299" i="2"/>
  <c r="L299" i="2"/>
  <c r="I299" i="2"/>
  <c r="E299" i="2"/>
  <c r="K299" i="2"/>
  <c r="G299" i="2"/>
  <c r="J299" i="2"/>
  <c r="G301" i="2"/>
  <c r="J301" i="2"/>
  <c r="I301" i="2"/>
  <c r="F301" i="2"/>
  <c r="K301" i="2"/>
  <c r="L301" i="2"/>
  <c r="M301" i="2"/>
  <c r="H301" i="2"/>
  <c r="E301" i="2"/>
  <c r="D301" i="2"/>
  <c r="G334" i="2"/>
  <c r="F334" i="2"/>
  <c r="K334" i="2"/>
  <c r="M334" i="2"/>
  <c r="L334" i="2"/>
  <c r="D334" i="2"/>
  <c r="H334" i="2"/>
  <c r="E334" i="2"/>
  <c r="I334" i="2"/>
  <c r="J334" i="2"/>
  <c r="D288" i="2"/>
  <c r="K288" i="2"/>
  <c r="G288" i="2"/>
  <c r="E288" i="2"/>
  <c r="L288" i="2"/>
  <c r="H288" i="2"/>
  <c r="I288" i="2"/>
  <c r="M288" i="2"/>
  <c r="J288" i="2"/>
  <c r="F288" i="2"/>
  <c r="J273" i="2"/>
  <c r="M273" i="2"/>
  <c r="K326" i="2"/>
  <c r="D326" i="2"/>
  <c r="E326" i="2"/>
  <c r="M314" i="2"/>
  <c r="J314" i="2"/>
  <c r="M362" i="2"/>
  <c r="I362" i="2"/>
  <c r="G361" i="2"/>
  <c r="I361" i="2"/>
  <c r="E320" i="2"/>
  <c r="K320" i="2"/>
  <c r="L320" i="2"/>
  <c r="L325" i="2"/>
  <c r="M325" i="2"/>
  <c r="H276" i="2"/>
  <c r="I341" i="2"/>
  <c r="D341" i="2"/>
  <c r="K279" i="2"/>
  <c r="I279" i="2"/>
  <c r="G279" i="2"/>
  <c r="J321" i="2"/>
  <c r="I321" i="2"/>
  <c r="F321" i="2"/>
  <c r="E321" i="2"/>
  <c r="L321" i="2"/>
  <c r="G321" i="2"/>
  <c r="H321" i="2"/>
  <c r="M321" i="2"/>
  <c r="D321" i="2"/>
  <c r="K321" i="2"/>
  <c r="F272" i="2"/>
  <c r="K272" i="2"/>
  <c r="J272" i="2"/>
  <c r="M272" i="2"/>
  <c r="D272" i="2"/>
  <c r="E272" i="2"/>
  <c r="H272" i="2"/>
  <c r="I272" i="2"/>
  <c r="G272" i="2"/>
  <c r="L272" i="2"/>
  <c r="E313" i="2"/>
  <c r="M313" i="2"/>
  <c r="J313" i="2"/>
  <c r="G313" i="2"/>
  <c r="F313" i="2"/>
  <c r="H313" i="2"/>
  <c r="L313" i="2"/>
  <c r="D313" i="2"/>
  <c r="I313" i="2"/>
  <c r="K313" i="2"/>
  <c r="L332" i="2"/>
  <c r="F332" i="2"/>
  <c r="G332" i="2"/>
  <c r="J332" i="2"/>
  <c r="D332" i="2"/>
  <c r="K332" i="2"/>
  <c r="E332" i="2"/>
  <c r="M332" i="2"/>
  <c r="I332" i="2"/>
  <c r="H332" i="2"/>
  <c r="E353" i="2"/>
  <c r="M353" i="2"/>
  <c r="J353" i="2"/>
  <c r="K353" i="2"/>
  <c r="L353" i="2"/>
  <c r="G353" i="2"/>
  <c r="F353" i="2"/>
  <c r="I353" i="2"/>
  <c r="L336" i="2"/>
  <c r="E336" i="2"/>
  <c r="J336" i="2"/>
  <c r="F336" i="2"/>
  <c r="M336" i="2"/>
  <c r="K336" i="2"/>
  <c r="G336" i="2"/>
  <c r="H336" i="2"/>
  <c r="D336" i="2"/>
  <c r="I336" i="2"/>
  <c r="I273" i="2"/>
  <c r="L273" i="2"/>
  <c r="J326" i="2"/>
  <c r="D314" i="2"/>
  <c r="F314" i="2"/>
  <c r="K314" i="2"/>
  <c r="D362" i="2"/>
  <c r="J362" i="2"/>
  <c r="F362" i="2"/>
  <c r="H361" i="2"/>
  <c r="J361" i="2"/>
  <c r="E361" i="2"/>
  <c r="F320" i="2"/>
  <c r="M320" i="2"/>
  <c r="H320" i="2"/>
  <c r="D325" i="2"/>
  <c r="I325" i="2"/>
  <c r="F325" i="2"/>
  <c r="M341" i="2"/>
  <c r="E341" i="2"/>
  <c r="L279" i="2"/>
  <c r="E279" i="2"/>
  <c r="H267" i="2"/>
  <c r="D267" i="2"/>
  <c r="M267" i="2"/>
  <c r="K267" i="2"/>
  <c r="L267" i="2"/>
  <c r="I267" i="2"/>
  <c r="G267" i="2"/>
  <c r="F267" i="2"/>
  <c r="J267" i="2"/>
  <c r="E267" i="2"/>
  <c r="M338" i="2"/>
  <c r="D338" i="2"/>
  <c r="I338" i="2"/>
  <c r="H338" i="2"/>
  <c r="E338" i="2"/>
  <c r="K338" i="2"/>
  <c r="J338" i="2"/>
  <c r="F338" i="2"/>
  <c r="L338" i="2"/>
  <c r="G338" i="2"/>
  <c r="M348" i="2"/>
  <c r="L348" i="2"/>
  <c r="G348" i="2"/>
  <c r="I348" i="2"/>
  <c r="E348" i="2"/>
  <c r="J348" i="2"/>
  <c r="F348" i="2"/>
  <c r="D348" i="2"/>
  <c r="K348" i="2"/>
  <c r="H348" i="2"/>
  <c r="J276" i="2"/>
  <c r="F276" i="2"/>
  <c r="K276" i="2"/>
  <c r="I276" i="2"/>
  <c r="D276" i="2"/>
  <c r="G276" i="2"/>
  <c r="L276" i="2"/>
  <c r="F273" i="2"/>
  <c r="G273" i="2"/>
  <c r="E314" i="2"/>
  <c r="G314" i="2"/>
  <c r="E362" i="2"/>
  <c r="K362" i="2"/>
  <c r="D361" i="2"/>
  <c r="M361" i="2"/>
  <c r="G320" i="2"/>
  <c r="E325" i="2"/>
  <c r="J325" i="2"/>
  <c r="E276" i="2"/>
  <c r="J341" i="2"/>
  <c r="K341" i="2"/>
  <c r="F279" i="2"/>
  <c r="G535" i="14" l="1"/>
  <c r="E40" i="29"/>
  <c r="E59" i="29" s="1"/>
  <c r="E79" i="29"/>
  <c r="E121" i="5"/>
  <c r="E179" i="5"/>
  <c r="E136" i="5"/>
  <c r="E151" i="5"/>
  <c r="E217" i="5"/>
  <c r="E110" i="5"/>
  <c r="E234" i="5"/>
  <c r="E198" i="5"/>
  <c r="E160" i="5"/>
  <c r="E227" i="5"/>
  <c r="E129" i="5"/>
  <c r="E141" i="5"/>
  <c r="E209" i="5"/>
  <c r="E171" i="5"/>
  <c r="E189" i="5"/>
  <c r="E244" i="5"/>
  <c r="E252" i="5"/>
  <c r="G534" i="14"/>
  <c r="G639" i="14"/>
  <c r="G640" i="14" s="1"/>
  <c r="G643" i="14" s="1"/>
  <c r="G555" i="14"/>
  <c r="G558" i="14" s="1"/>
  <c r="H183" i="16" s="1"/>
  <c r="E258" i="2" s="1"/>
  <c r="G536" i="14"/>
  <c r="H535" i="14"/>
  <c r="G54" i="4"/>
  <c r="F54" i="4"/>
  <c r="M304" i="2"/>
  <c r="I304" i="2"/>
  <c r="D350" i="2"/>
  <c r="F304" i="2"/>
  <c r="E304" i="2"/>
  <c r="G304" i="2"/>
  <c r="L350" i="2"/>
  <c r="H304" i="2"/>
  <c r="L304" i="2"/>
  <c r="E350" i="2"/>
  <c r="K304" i="2"/>
  <c r="J304" i="2"/>
  <c r="L289" i="2"/>
  <c r="J289" i="2"/>
  <c r="I289" i="2"/>
  <c r="F289" i="2"/>
  <c r="K289" i="2"/>
  <c r="E289" i="2"/>
  <c r="H289" i="2"/>
  <c r="D289" i="2"/>
  <c r="M289" i="2"/>
  <c r="H264" i="2"/>
  <c r="H345" i="2"/>
  <c r="J345" i="2"/>
  <c r="K345" i="2"/>
  <c r="F345" i="2"/>
  <c r="M345" i="2"/>
  <c r="I345" i="2"/>
  <c r="L345" i="2"/>
  <c r="E345" i="2"/>
  <c r="D345" i="2"/>
  <c r="J264" i="2"/>
  <c r="D264" i="2"/>
  <c r="G264" i="2"/>
  <c r="E264" i="2"/>
  <c r="M264" i="2"/>
  <c r="K264" i="2"/>
  <c r="I264" i="2"/>
  <c r="L264" i="2"/>
  <c r="G335" i="2"/>
  <c r="J335" i="2"/>
  <c r="L335" i="2"/>
  <c r="H335" i="2"/>
  <c r="F335" i="2"/>
  <c r="E335" i="2"/>
  <c r="M335" i="2"/>
  <c r="K335" i="2"/>
  <c r="D335" i="2"/>
  <c r="D258" i="2"/>
  <c r="F350" i="2"/>
  <c r="H350" i="2"/>
  <c r="G318" i="2"/>
  <c r="I318" i="2"/>
  <c r="G350" i="2"/>
  <c r="I364" i="2"/>
  <c r="K318" i="2"/>
  <c r="M350" i="2"/>
  <c r="I350" i="2"/>
  <c r="J318" i="2"/>
  <c r="M318" i="2"/>
  <c r="K350" i="2"/>
  <c r="D297" i="2"/>
  <c r="J297" i="2"/>
  <c r="L297" i="2"/>
  <c r="K297" i="2"/>
  <c r="I297" i="2"/>
  <c r="G297" i="2"/>
  <c r="E297" i="2"/>
  <c r="H297" i="2"/>
  <c r="F297" i="2"/>
  <c r="D318" i="2"/>
  <c r="E318" i="2"/>
  <c r="L318" i="2"/>
  <c r="F318" i="2"/>
  <c r="K364" i="2"/>
  <c r="G302" i="2"/>
  <c r="E317" i="2"/>
  <c r="L317" i="2"/>
  <c r="D315" i="2"/>
  <c r="M317" i="2"/>
  <c r="I317" i="2"/>
  <c r="D317" i="2"/>
  <c r="K311" i="2"/>
  <c r="K317" i="2"/>
  <c r="J317" i="2"/>
  <c r="M302" i="2"/>
  <c r="F317" i="2"/>
  <c r="H317" i="2"/>
  <c r="K315" i="2"/>
  <c r="D357" i="2"/>
  <c r="L364" i="2"/>
  <c r="H364" i="2"/>
  <c r="D260" i="2"/>
  <c r="L365" i="2"/>
  <c r="F364" i="2"/>
  <c r="J364" i="2"/>
  <c r="G364" i="2"/>
  <c r="M364" i="2"/>
  <c r="E364" i="2"/>
  <c r="K328" i="2"/>
  <c r="D309" i="2"/>
  <c r="M357" i="2"/>
  <c r="H357" i="2"/>
  <c r="F357" i="2"/>
  <c r="L357" i="2"/>
  <c r="I357" i="2"/>
  <c r="L360" i="2"/>
  <c r="K357" i="2"/>
  <c r="E357" i="2"/>
  <c r="D360" i="2"/>
  <c r="J357" i="2"/>
  <c r="G309" i="2"/>
  <c r="F309" i="2"/>
  <c r="H309" i="2"/>
  <c r="E354" i="2"/>
  <c r="M309" i="2"/>
  <c r="J309" i="2"/>
  <c r="I309" i="2"/>
  <c r="E309" i="2"/>
  <c r="L309" i="2"/>
  <c r="H329" i="2"/>
  <c r="E322" i="2"/>
  <c r="G329" i="2"/>
  <c r="L322" i="2"/>
  <c r="G322" i="2"/>
  <c r="M322" i="2"/>
  <c r="M343" i="2"/>
  <c r="D322" i="2"/>
  <c r="K343" i="2"/>
  <c r="F343" i="2"/>
  <c r="H322" i="2"/>
  <c r="J343" i="2"/>
  <c r="I343" i="2"/>
  <c r="G343" i="2"/>
  <c r="D343" i="2"/>
  <c r="K322" i="2"/>
  <c r="E343" i="2"/>
  <c r="L343" i="2"/>
  <c r="F322" i="2"/>
  <c r="J322" i="2"/>
  <c r="I307" i="2"/>
  <c r="G307" i="2"/>
  <c r="K285" i="2"/>
  <c r="D285" i="2"/>
  <c r="E307" i="2"/>
  <c r="F307" i="2"/>
  <c r="E285" i="2"/>
  <c r="J285" i="2"/>
  <c r="H307" i="2"/>
  <c r="K307" i="2"/>
  <c r="H339" i="2"/>
  <c r="G285" i="2"/>
  <c r="M285" i="2"/>
  <c r="J339" i="2"/>
  <c r="L307" i="2"/>
  <c r="F285" i="2"/>
  <c r="J307" i="2"/>
  <c r="H285" i="2"/>
  <c r="I285" i="2"/>
  <c r="D307" i="2"/>
  <c r="H342" i="2"/>
  <c r="E260" i="2"/>
  <c r="I260" i="2"/>
  <c r="K365" i="2"/>
  <c r="J342" i="2"/>
  <c r="G342" i="2"/>
  <c r="J260" i="2"/>
  <c r="L260" i="2"/>
  <c r="I365" i="2"/>
  <c r="G260" i="2"/>
  <c r="I342" i="2"/>
  <c r="F260" i="2"/>
  <c r="M342" i="2"/>
  <c r="H260" i="2"/>
  <c r="G365" i="2"/>
  <c r="E342" i="2"/>
  <c r="M365" i="2"/>
  <c r="K260" i="2"/>
  <c r="D365" i="2"/>
  <c r="F342" i="2"/>
  <c r="H365" i="2"/>
  <c r="F365" i="2"/>
  <c r="D342" i="2"/>
  <c r="L342" i="2"/>
  <c r="E365" i="2"/>
  <c r="M315" i="2"/>
  <c r="J302" i="2"/>
  <c r="D311" i="2"/>
  <c r="F315" i="2"/>
  <c r="J315" i="2"/>
  <c r="L315" i="2"/>
  <c r="M311" i="2"/>
  <c r="F302" i="2"/>
  <c r="H315" i="2"/>
  <c r="F311" i="2"/>
  <c r="E311" i="2"/>
  <c r="E302" i="2"/>
  <c r="E315" i="2"/>
  <c r="J311" i="2"/>
  <c r="I311" i="2"/>
  <c r="H311" i="2"/>
  <c r="H302" i="2"/>
  <c r="K302" i="2"/>
  <c r="G315" i="2"/>
  <c r="D302" i="2"/>
  <c r="G311" i="2"/>
  <c r="L302" i="2"/>
  <c r="J344" i="2"/>
  <c r="K329" i="2"/>
  <c r="E344" i="2"/>
  <c r="E329" i="2"/>
  <c r="L344" i="2"/>
  <c r="J280" i="2"/>
  <c r="M344" i="2"/>
  <c r="J329" i="2"/>
  <c r="I344" i="2"/>
  <c r="G344" i="2"/>
  <c r="E280" i="2"/>
  <c r="K344" i="2"/>
  <c r="F329" i="2"/>
  <c r="D329" i="2"/>
  <c r="D344" i="2"/>
  <c r="D280" i="2"/>
  <c r="F344" i="2"/>
  <c r="I329" i="2"/>
  <c r="M329" i="2"/>
  <c r="L339" i="2"/>
  <c r="I339" i="2"/>
  <c r="G339" i="2"/>
  <c r="K339" i="2"/>
  <c r="M339" i="2"/>
  <c r="E339" i="2"/>
  <c r="K265" i="2"/>
  <c r="F339" i="2"/>
  <c r="H331" i="2"/>
  <c r="H259" i="2"/>
  <c r="I323" i="2"/>
  <c r="M323" i="2"/>
  <c r="F259" i="2"/>
  <c r="F300" i="2"/>
  <c r="I541" i="14"/>
  <c r="I319" i="2"/>
  <c r="J305" i="2"/>
  <c r="F319" i="2"/>
  <c r="M366" i="2"/>
  <c r="L287" i="2"/>
  <c r="E263" i="2"/>
  <c r="F294" i="2"/>
  <c r="G261" i="2"/>
  <c r="I294" i="2"/>
  <c r="L263" i="2"/>
  <c r="L261" i="2"/>
  <c r="J261" i="2"/>
  <c r="M261" i="2"/>
  <c r="I261" i="2"/>
  <c r="H294" i="2"/>
  <c r="H261" i="2"/>
  <c r="J283" i="2"/>
  <c r="G294" i="2"/>
  <c r="E261" i="2"/>
  <c r="E294" i="2"/>
  <c r="D294" i="2"/>
  <c r="K294" i="2"/>
  <c r="L294" i="2"/>
  <c r="M294" i="2"/>
  <c r="H263" i="2"/>
  <c r="F261" i="2"/>
  <c r="D261" i="2"/>
  <c r="D287" i="2"/>
  <c r="M319" i="2"/>
  <c r="G319" i="2"/>
  <c r="I305" i="2"/>
  <c r="H287" i="2"/>
  <c r="H319" i="2"/>
  <c r="G366" i="2"/>
  <c r="F298" i="2"/>
  <c r="H305" i="2"/>
  <c r="E319" i="2"/>
  <c r="D319" i="2"/>
  <c r="K298" i="2"/>
  <c r="K287" i="2"/>
  <c r="D366" i="2"/>
  <c r="K366" i="2"/>
  <c r="D298" i="2"/>
  <c r="D305" i="2"/>
  <c r="F366" i="2"/>
  <c r="F287" i="2"/>
  <c r="G298" i="2"/>
  <c r="I298" i="2"/>
  <c r="L305" i="2"/>
  <c r="J366" i="2"/>
  <c r="M298" i="2"/>
  <c r="I366" i="2"/>
  <c r="J287" i="2"/>
  <c r="M287" i="2"/>
  <c r="L366" i="2"/>
  <c r="E298" i="2"/>
  <c r="G305" i="2"/>
  <c r="L298" i="2"/>
  <c r="E287" i="2"/>
  <c r="J298" i="2"/>
  <c r="F305" i="2"/>
  <c r="K305" i="2"/>
  <c r="J319" i="2"/>
  <c r="G287" i="2"/>
  <c r="H366" i="2"/>
  <c r="L319" i="2"/>
  <c r="E305" i="2"/>
  <c r="F266" i="2"/>
  <c r="J349" i="2"/>
  <c r="L300" i="2"/>
  <c r="H265" i="2"/>
  <c r="L259" i="2"/>
  <c r="K300" i="2"/>
  <c r="D265" i="2"/>
  <c r="L331" i="2"/>
  <c r="L323" i="2"/>
  <c r="K323" i="2"/>
  <c r="K331" i="2"/>
  <c r="I300" i="2"/>
  <c r="J265" i="2"/>
  <c r="F331" i="2"/>
  <c r="E300" i="2"/>
  <c r="M265" i="2"/>
  <c r="L265" i="2"/>
  <c r="I331" i="2"/>
  <c r="G323" i="2"/>
  <c r="F323" i="2"/>
  <c r="H323" i="2"/>
  <c r="M259" i="2"/>
  <c r="M331" i="2"/>
  <c r="J300" i="2"/>
  <c r="H300" i="2"/>
  <c r="I265" i="2"/>
  <c r="F265" i="2"/>
  <c r="D331" i="2"/>
  <c r="E323" i="2"/>
  <c r="D323" i="2"/>
  <c r="J259" i="2"/>
  <c r="G259" i="2"/>
  <c r="K259" i="2"/>
  <c r="D300" i="2"/>
  <c r="M300" i="2"/>
  <c r="E265" i="2"/>
  <c r="G331" i="2"/>
  <c r="D259" i="2"/>
  <c r="E259" i="2"/>
  <c r="J331" i="2"/>
  <c r="M354" i="2"/>
  <c r="M328" i="2"/>
  <c r="K354" i="2"/>
  <c r="H328" i="2"/>
  <c r="I328" i="2"/>
  <c r="G328" i="2"/>
  <c r="H354" i="2"/>
  <c r="E328" i="2"/>
  <c r="L328" i="2"/>
  <c r="F354" i="2"/>
  <c r="D354" i="2"/>
  <c r="J328" i="2"/>
  <c r="F328" i="2"/>
  <c r="L354" i="2"/>
  <c r="I354" i="2"/>
  <c r="G354" i="2"/>
  <c r="D266" i="2"/>
  <c r="F349" i="2"/>
  <c r="I266" i="2"/>
  <c r="I349" i="2"/>
  <c r="E266" i="2"/>
  <c r="M266" i="2"/>
  <c r="E349" i="2"/>
  <c r="G266" i="2"/>
  <c r="L266" i="2"/>
  <c r="D349" i="2"/>
  <c r="J266" i="2"/>
  <c r="H349" i="2"/>
  <c r="K266" i="2"/>
  <c r="G349" i="2"/>
  <c r="K349" i="2"/>
  <c r="M349" i="2"/>
  <c r="H360" i="2"/>
  <c r="G360" i="2"/>
  <c r="J360" i="2"/>
  <c r="F360" i="2"/>
  <c r="E360" i="2"/>
  <c r="I360" i="2"/>
  <c r="M360" i="2"/>
  <c r="M280" i="2"/>
  <c r="I280" i="2"/>
  <c r="H280" i="2"/>
  <c r="L280" i="2"/>
  <c r="K280" i="2"/>
  <c r="L367" i="2"/>
  <c r="G280" i="2"/>
  <c r="K262" i="2"/>
  <c r="K263" i="2"/>
  <c r="D263" i="2"/>
  <c r="M283" i="2"/>
  <c r="J263" i="2"/>
  <c r="I263" i="2"/>
  <c r="G263" i="2"/>
  <c r="F263" i="2"/>
  <c r="G346" i="2"/>
  <c r="D283" i="2"/>
  <c r="G283" i="2"/>
  <c r="K283" i="2"/>
  <c r="B65" i="49"/>
  <c r="F283" i="2"/>
  <c r="I283" i="2"/>
  <c r="B69" i="49"/>
  <c r="B75" i="49"/>
  <c r="B67" i="49"/>
  <c r="H283" i="2"/>
  <c r="E283" i="2"/>
  <c r="I367" i="2"/>
  <c r="H262" i="2"/>
  <c r="F262" i="2"/>
  <c r="J262" i="2"/>
  <c r="K367" i="2"/>
  <c r="F367" i="2"/>
  <c r="I262" i="2"/>
  <c r="H367" i="2"/>
  <c r="E367" i="2"/>
  <c r="D262" i="2"/>
  <c r="G367" i="2"/>
  <c r="M367" i="2"/>
  <c r="G262" i="2"/>
  <c r="L262" i="2"/>
  <c r="D367" i="2"/>
  <c r="E262" i="2"/>
  <c r="I346" i="2"/>
  <c r="E346" i="2"/>
  <c r="L346" i="2"/>
  <c r="M346" i="2"/>
  <c r="D346" i="2"/>
  <c r="J346" i="2"/>
  <c r="K346" i="2"/>
  <c r="F346" i="2"/>
  <c r="H544" i="14"/>
  <c r="H555" i="14" s="1"/>
  <c r="H512" i="14"/>
  <c r="H516" i="14"/>
  <c r="I509" i="14"/>
  <c r="G631" i="14"/>
  <c r="G633" i="14" s="1"/>
  <c r="F537" i="14"/>
  <c r="G182" i="16" s="1"/>
  <c r="H517" i="14"/>
  <c r="H546" i="14"/>
  <c r="H557" i="14" s="1"/>
  <c r="F641" i="14"/>
  <c r="F642" i="14" s="1"/>
  <c r="I508" i="14"/>
  <c r="G549" i="14"/>
  <c r="G550" i="14" s="1"/>
  <c r="H511" i="14"/>
  <c r="F227" i="29"/>
  <c r="E97" i="29"/>
  <c r="F320" i="29"/>
  <c r="F255" i="29"/>
  <c r="F271" i="29"/>
  <c r="E895" i="16" s="1"/>
  <c r="F264" i="29"/>
  <c r="F214" i="29"/>
  <c r="F194" i="29"/>
  <c r="F172" i="29"/>
  <c r="F247" i="29"/>
  <c r="F235" i="29"/>
  <c r="F205" i="29"/>
  <c r="F185" i="29"/>
  <c r="F163" i="29"/>
  <c r="F151" i="29"/>
  <c r="F140" i="29"/>
  <c r="F127" i="29"/>
  <c r="F118" i="29"/>
  <c r="F106" i="29"/>
  <c r="Q678" i="16" s="1"/>
  <c r="D296" i="2" l="1"/>
  <c r="D293" i="2"/>
  <c r="H534" i="14"/>
  <c r="I514" i="14"/>
  <c r="I519" i="14"/>
  <c r="G641" i="14"/>
  <c r="G642" i="14" s="1"/>
  <c r="H536" i="14"/>
  <c r="I545" i="14"/>
  <c r="I556" i="14" s="1"/>
  <c r="I547" i="14"/>
  <c r="I513" i="14"/>
  <c r="I518" i="14"/>
  <c r="I544" i="14"/>
  <c r="I555" i="14" s="1"/>
  <c r="J541" i="14"/>
  <c r="H631" i="14"/>
  <c r="H633" i="14" s="1"/>
  <c r="H558" i="14"/>
  <c r="I183" i="16" s="1"/>
  <c r="H639" i="14"/>
  <c r="H640" i="14" s="1"/>
  <c r="H643" i="14" s="1"/>
  <c r="H549" i="14"/>
  <c r="H550" i="14" s="1"/>
  <c r="I546" i="14"/>
  <c r="G537" i="14"/>
  <c r="H182" i="16" s="1"/>
  <c r="I511" i="14"/>
  <c r="J509" i="14"/>
  <c r="I512" i="14"/>
  <c r="I517" i="14"/>
  <c r="I516" i="14"/>
  <c r="J508" i="14"/>
  <c r="F258" i="2"/>
  <c r="E320" i="29"/>
  <c r="E255" i="29"/>
  <c r="E271" i="29"/>
  <c r="D895" i="16" s="1"/>
  <c r="E264" i="29"/>
  <c r="E214" i="29"/>
  <c r="E194" i="29"/>
  <c r="E172" i="29"/>
  <c r="E247" i="29"/>
  <c r="E235" i="29"/>
  <c r="E227" i="29"/>
  <c r="E205" i="29"/>
  <c r="E185" i="29"/>
  <c r="E163" i="29"/>
  <c r="T276" i="29" s="1"/>
  <c r="E151" i="29"/>
  <c r="E140" i="29"/>
  <c r="E118" i="29"/>
  <c r="E127" i="29"/>
  <c r="E106" i="29"/>
  <c r="P678" i="16" s="1"/>
  <c r="E296" i="2" l="1"/>
  <c r="E293" i="2"/>
  <c r="I535" i="14"/>
  <c r="I534" i="14"/>
  <c r="I557" i="14"/>
  <c r="I558" i="14" s="1"/>
  <c r="J183" i="16" s="1"/>
  <c r="J513" i="14"/>
  <c r="J518" i="14"/>
  <c r="J514" i="14"/>
  <c r="J519" i="14"/>
  <c r="J545" i="14"/>
  <c r="J556" i="14" s="1"/>
  <c r="J547" i="14"/>
  <c r="I536" i="14"/>
  <c r="I639" i="14"/>
  <c r="I640" i="14" s="1"/>
  <c r="J544" i="14"/>
  <c r="J555" i="14" s="1"/>
  <c r="K541" i="14"/>
  <c r="K509" i="14"/>
  <c r="H641" i="14"/>
  <c r="H642" i="14" s="1"/>
  <c r="I549" i="14"/>
  <c r="I550" i="14" s="1"/>
  <c r="J546" i="14"/>
  <c r="H537" i="14"/>
  <c r="I182" i="16" s="1"/>
  <c r="J517" i="14"/>
  <c r="J512" i="14"/>
  <c r="J511" i="14"/>
  <c r="I631" i="14"/>
  <c r="I633" i="14" s="1"/>
  <c r="J516" i="14"/>
  <c r="K508" i="14"/>
  <c r="G258" i="2"/>
  <c r="S276" i="29"/>
  <c r="O922" i="14"/>
  <c r="Y264" i="2"/>
  <c r="Y271" i="2" s="1"/>
  <c r="F296" i="2" l="1"/>
  <c r="F293" i="2"/>
  <c r="J535" i="14"/>
  <c r="J557" i="14"/>
  <c r="J558" i="14" s="1"/>
  <c r="K183" i="16" s="1"/>
  <c r="K513" i="14"/>
  <c r="K518" i="14"/>
  <c r="K545" i="14"/>
  <c r="K556" i="14" s="1"/>
  <c r="K547" i="14"/>
  <c r="J536" i="14"/>
  <c r="J534" i="14"/>
  <c r="K514" i="14"/>
  <c r="K519" i="14"/>
  <c r="K544" i="14"/>
  <c r="K555" i="14" s="1"/>
  <c r="I641" i="14"/>
  <c r="I642" i="14" s="1"/>
  <c r="L541" i="14"/>
  <c r="J639" i="14"/>
  <c r="J640" i="14" s="1"/>
  <c r="K512" i="14"/>
  <c r="L509" i="14"/>
  <c r="K517" i="14"/>
  <c r="J549" i="14"/>
  <c r="J550" i="14" s="1"/>
  <c r="K546" i="14"/>
  <c r="J631" i="14"/>
  <c r="J633" i="14" s="1"/>
  <c r="I537" i="14"/>
  <c r="J182" i="16" s="1"/>
  <c r="K516" i="14"/>
  <c r="K511" i="14"/>
  <c r="L508" i="14"/>
  <c r="R276" i="29"/>
  <c r="N922" i="14"/>
  <c r="X264" i="2"/>
  <c r="X271" i="2" s="1"/>
  <c r="N1106" i="14"/>
  <c r="G296" i="2" l="1"/>
  <c r="G293" i="2"/>
  <c r="K535" i="14"/>
  <c r="K534" i="14"/>
  <c r="K536" i="14"/>
  <c r="L545" i="14"/>
  <c r="L556" i="14" s="1"/>
  <c r="L547" i="14"/>
  <c r="L513" i="14"/>
  <c r="L518" i="14"/>
  <c r="L514" i="14"/>
  <c r="L519" i="14"/>
  <c r="K557" i="14"/>
  <c r="K558" i="14" s="1"/>
  <c r="L183" i="16" s="1"/>
  <c r="K639" i="14"/>
  <c r="K640" i="14" s="1"/>
  <c r="K643" i="14" s="1"/>
  <c r="J643" i="14" s="1"/>
  <c r="I643" i="14" s="1"/>
  <c r="J641" i="14"/>
  <c r="J642" i="14" s="1"/>
  <c r="L544" i="14"/>
  <c r="M541" i="14"/>
  <c r="L517" i="14"/>
  <c r="M509" i="14"/>
  <c r="K631" i="14"/>
  <c r="K633" i="14" s="1"/>
  <c r="L512" i="14"/>
  <c r="J537" i="14"/>
  <c r="K182" i="16" s="1"/>
  <c r="K549" i="14"/>
  <c r="K550" i="14" s="1"/>
  <c r="L546" i="14"/>
  <c r="L511" i="14"/>
  <c r="M508" i="14"/>
  <c r="L516" i="14"/>
  <c r="H258" i="2"/>
  <c r="Q276" i="29"/>
  <c r="W264" i="2"/>
  <c r="W271" i="2" s="1"/>
  <c r="M922" i="14"/>
  <c r="M1106" i="14"/>
  <c r="H296" i="2" l="1"/>
  <c r="H293" i="2"/>
  <c r="M513" i="14"/>
  <c r="M518" i="14"/>
  <c r="M514" i="14"/>
  <c r="M519" i="14"/>
  <c r="L534" i="14"/>
  <c r="L536" i="14"/>
  <c r="M545" i="14"/>
  <c r="M556" i="14" s="1"/>
  <c r="M547" i="14"/>
  <c r="L535" i="14"/>
  <c r="L639" i="14"/>
  <c r="L641" i="14" s="1"/>
  <c r="L555" i="14"/>
  <c r="L557" i="14"/>
  <c r="K641" i="14"/>
  <c r="K642" i="14" s="1"/>
  <c r="K537" i="14"/>
  <c r="L182" i="16" s="1"/>
  <c r="N541" i="14"/>
  <c r="M544" i="14"/>
  <c r="M555" i="14" s="1"/>
  <c r="M517" i="14"/>
  <c r="N509" i="14"/>
  <c r="N514" i="14" s="1"/>
  <c r="M546" i="14"/>
  <c r="L631" i="14"/>
  <c r="L633" i="14" s="1"/>
  <c r="L549" i="14"/>
  <c r="L550" i="14" s="1"/>
  <c r="M516" i="14"/>
  <c r="M511" i="14"/>
  <c r="N508" i="14"/>
  <c r="I258" i="2"/>
  <c r="L640" i="14"/>
  <c r="L643" i="14" s="1"/>
  <c r="P276" i="29"/>
  <c r="L922" i="14"/>
  <c r="V264" i="2"/>
  <c r="V271" i="2" s="1"/>
  <c r="L1106" i="14"/>
  <c r="I296" i="2" l="1"/>
  <c r="I293" i="2"/>
  <c r="M535" i="14"/>
  <c r="L558" i="14"/>
  <c r="M183" i="16" s="1"/>
  <c r="M536" i="14"/>
  <c r="N545" i="14"/>
  <c r="N556" i="14" s="1"/>
  <c r="N547" i="14"/>
  <c r="N513" i="14"/>
  <c r="N535" i="14" s="1"/>
  <c r="N518" i="14"/>
  <c r="M557" i="14"/>
  <c r="M558" i="14" s="1"/>
  <c r="N183" i="16" s="1"/>
  <c r="O541" i="14"/>
  <c r="N517" i="14"/>
  <c r="O509" i="14"/>
  <c r="L537" i="14"/>
  <c r="M182" i="16" s="1"/>
  <c r="M639" i="14"/>
  <c r="M640" i="14" s="1"/>
  <c r="N544" i="14"/>
  <c r="M549" i="14"/>
  <c r="M550" i="14" s="1"/>
  <c r="N546" i="14"/>
  <c r="N511" i="14"/>
  <c r="N516" i="14"/>
  <c r="O508" i="14"/>
  <c r="J258" i="2"/>
  <c r="L642" i="14"/>
  <c r="O276" i="29"/>
  <c r="K922" i="14"/>
  <c r="U264" i="2"/>
  <c r="K1106" i="14"/>
  <c r="J296" i="2" l="1"/>
  <c r="J293" i="2"/>
  <c r="N639" i="14"/>
  <c r="N641" i="14" s="1"/>
  <c r="N555" i="14"/>
  <c r="O545" i="14"/>
  <c r="O556" i="14" s="1"/>
  <c r="O547" i="14"/>
  <c r="O513" i="14"/>
  <c r="O518" i="14"/>
  <c r="O514" i="14"/>
  <c r="O519" i="14"/>
  <c r="N519" i="14" s="1"/>
  <c r="N536" i="14" s="1"/>
  <c r="N557" i="14"/>
  <c r="O544" i="14"/>
  <c r="M641" i="14"/>
  <c r="M642" i="14" s="1"/>
  <c r="O517" i="14"/>
  <c r="N549" i="14"/>
  <c r="N550" i="14" s="1"/>
  <c r="O546" i="14"/>
  <c r="O516" i="14"/>
  <c r="O511" i="14"/>
  <c r="N276" i="29"/>
  <c r="J922" i="14"/>
  <c r="J1106" i="14"/>
  <c r="T264" i="2"/>
  <c r="U271" i="2"/>
  <c r="N558" i="14" l="1"/>
  <c r="O183" i="16" s="1"/>
  <c r="O535" i="14"/>
  <c r="O557" i="14"/>
  <c r="N640" i="14"/>
  <c r="N643" i="14" s="1"/>
  <c r="M643" i="14" s="1"/>
  <c r="O639" i="14"/>
  <c r="O641" i="14" s="1"/>
  <c r="O555" i="14"/>
  <c r="O536" i="14"/>
  <c r="O549" i="14"/>
  <c r="O550" i="14" s="1"/>
  <c r="M276" i="29"/>
  <c r="I922" i="14"/>
  <c r="S264" i="2"/>
  <c r="I1106" i="14"/>
  <c r="T271" i="2"/>
  <c r="O558" i="14" l="1"/>
  <c r="P183" i="16" s="1"/>
  <c r="E183" i="16" s="1"/>
  <c r="S508" i="16" s="1"/>
  <c r="O640" i="14"/>
  <c r="O643" i="14" s="1"/>
  <c r="N642" i="14"/>
  <c r="S271" i="2"/>
  <c r="L276" i="29"/>
  <c r="H922" i="14"/>
  <c r="R264" i="2"/>
  <c r="H1106" i="14"/>
  <c r="O642" i="14" l="1"/>
  <c r="K276" i="29"/>
  <c r="G922" i="14"/>
  <c r="G1106" i="14"/>
  <c r="Q264" i="2"/>
  <c r="R271" i="2"/>
  <c r="F922" i="14" l="1"/>
  <c r="P264" i="2"/>
  <c r="F1106" i="14"/>
  <c r="Q271" i="2"/>
  <c r="P271" i="2" l="1"/>
  <c r="Z271" i="2" s="1"/>
  <c r="E1106" i="14"/>
  <c r="Z264" i="2"/>
  <c r="D154" i="4"/>
  <c r="D190" i="4"/>
  <c r="D191" i="4"/>
  <c r="D192" i="4"/>
  <c r="D193" i="4"/>
  <c r="E179" i="4"/>
  <c r="E176" i="4" s="1"/>
  <c r="F119" i="4"/>
  <c r="F116" i="4" s="1"/>
  <c r="D195" i="4"/>
  <c r="D196" i="4"/>
  <c r="D197" i="4"/>
  <c r="D198" i="4"/>
  <c r="D200" i="4"/>
  <c r="D201" i="4"/>
  <c r="D202" i="4"/>
  <c r="E651" i="4"/>
  <c r="D217" i="48" s="1"/>
  <c r="G165" i="2" s="1"/>
  <c r="E658" i="4"/>
  <c r="E659" i="4"/>
  <c r="E656" i="4"/>
  <c r="F656" i="4" s="1"/>
  <c r="G656" i="4" s="1"/>
  <c r="H656" i="4" s="1"/>
  <c r="I656" i="4" s="1"/>
  <c r="J656" i="4" s="1"/>
  <c r="D682" i="4"/>
  <c r="D683" i="4"/>
  <c r="D684" i="4"/>
  <c r="D685" i="4"/>
  <c r="D687" i="4"/>
  <c r="D714" i="4"/>
  <c r="D688" i="4" s="1"/>
  <c r="D715" i="4"/>
  <c r="D689" i="4" s="1"/>
  <c r="D716" i="4"/>
  <c r="D690" i="4" s="1"/>
  <c r="D692" i="4"/>
  <c r="D719" i="4"/>
  <c r="D693" i="4" s="1"/>
  <c r="D720" i="4"/>
  <c r="D694" i="4" s="1"/>
  <c r="D721" i="4"/>
  <c r="D695" i="4" s="1"/>
  <c r="D723" i="4"/>
  <c r="D697" i="4" s="1"/>
  <c r="D724" i="4"/>
  <c r="D698" i="4" s="1"/>
  <c r="D725" i="4"/>
  <c r="D699" i="4" s="1"/>
  <c r="D726" i="4"/>
  <c r="D700" i="4" s="1"/>
  <c r="D728" i="4"/>
  <c r="D702" i="4" s="1"/>
  <c r="D729" i="4"/>
  <c r="D703" i="4" s="1"/>
  <c r="D730" i="4"/>
  <c r="D704" i="4" s="1"/>
  <c r="F406" i="4"/>
  <c r="E222" i="4"/>
  <c r="G857" i="4" s="1"/>
  <c r="G856" i="4" s="1"/>
  <c r="E164" i="4"/>
  <c r="E165" i="4"/>
  <c r="D416" i="4"/>
  <c r="D417" i="4"/>
  <c r="D418" i="4"/>
  <c r="G559" i="4"/>
  <c r="H559" i="4" s="1"/>
  <c r="F561" i="4"/>
  <c r="F562" i="4"/>
  <c r="G562" i="4" s="1"/>
  <c r="H562" i="4" s="1"/>
  <c r="G563" i="4"/>
  <c r="H563" i="4" s="1"/>
  <c r="D530" i="4"/>
  <c r="E527" i="4"/>
  <c r="E528" i="4" s="1"/>
  <c r="E529" i="4" s="1"/>
  <c r="F47" i="2"/>
  <c r="F49" i="2" s="1"/>
  <c r="E643" i="4"/>
  <c r="F643" i="4" s="1"/>
  <c r="D645" i="4"/>
  <c r="E403" i="14"/>
  <c r="E414" i="14" s="1"/>
  <c r="D65" i="14"/>
  <c r="E404" i="14"/>
  <c r="E415" i="14" s="1"/>
  <c r="D66" i="14"/>
  <c r="P54" i="14" s="1"/>
  <c r="D34" i="14"/>
  <c r="D35" i="14" s="1"/>
  <c r="D986" i="14" s="1"/>
  <c r="E489" i="14"/>
  <c r="E484" i="14" s="1"/>
  <c r="F865" i="14"/>
  <c r="F854" i="14" s="1"/>
  <c r="E452" i="14"/>
  <c r="F452" i="14" s="1"/>
  <c r="G452" i="14" s="1"/>
  <c r="H452" i="14" s="1"/>
  <c r="I452" i="14" s="1"/>
  <c r="J452" i="14" s="1"/>
  <c r="K452" i="14" s="1"/>
  <c r="L452" i="14" s="1"/>
  <c r="M452" i="14" s="1"/>
  <c r="N452" i="14" s="1"/>
  <c r="O452" i="14" s="1"/>
  <c r="F446" i="14"/>
  <c r="D474" i="14"/>
  <c r="F474" i="14" s="1"/>
  <c r="E453" i="14"/>
  <c r="F453" i="14" s="1"/>
  <c r="G453" i="14" s="1"/>
  <c r="F447" i="14"/>
  <c r="D475" i="14"/>
  <c r="F475" i="14" s="1"/>
  <c r="F341" i="14"/>
  <c r="E344" i="14"/>
  <c r="E346" i="14" s="1"/>
  <c r="E353" i="14" s="1"/>
  <c r="E366" i="14"/>
  <c r="E347" i="14"/>
  <c r="E354" i="14" s="1"/>
  <c r="E362" i="14" s="1"/>
  <c r="E367" i="14"/>
  <c r="E363" i="14"/>
  <c r="C871" i="14"/>
  <c r="D872" i="14" s="1"/>
  <c r="E34" i="14"/>
  <c r="E35" i="14" s="1"/>
  <c r="E49" i="14" s="1"/>
  <c r="E446" i="14"/>
  <c r="E305" i="14"/>
  <c r="E447" i="14"/>
  <c r="E878" i="14"/>
  <c r="E246" i="14"/>
  <c r="E247" i="14"/>
  <c r="E22" i="14" s="1"/>
  <c r="E294" i="14"/>
  <c r="E295" i="14"/>
  <c r="E297" i="14" s="1"/>
  <c r="E109" i="14"/>
  <c r="E178" i="14" s="1"/>
  <c r="E110" i="14"/>
  <c r="E182" i="14" s="1"/>
  <c r="F644" i="14"/>
  <c r="F645" i="14" s="1"/>
  <c r="F646" i="14" s="1"/>
  <c r="F670" i="14"/>
  <c r="E316" i="14"/>
  <c r="E644" i="14"/>
  <c r="E645" i="14" s="1"/>
  <c r="E646" i="14" s="1"/>
  <c r="E670" i="14"/>
  <c r="E756" i="14"/>
  <c r="F756" i="14" s="1"/>
  <c r="F755" i="14" s="1"/>
  <c r="F789" i="14" s="1"/>
  <c r="F689" i="14"/>
  <c r="E586" i="14"/>
  <c r="F586" i="14" s="1"/>
  <c r="G586" i="14" s="1"/>
  <c r="H586" i="14" s="1"/>
  <c r="I586" i="14" s="1"/>
  <c r="J586" i="14" s="1"/>
  <c r="K586" i="14" s="1"/>
  <c r="L586" i="14" s="1"/>
  <c r="M586" i="14" s="1"/>
  <c r="N586" i="14" s="1"/>
  <c r="O586" i="14" s="1"/>
  <c r="E318" i="14"/>
  <c r="F732" i="14"/>
  <c r="F731" i="14" s="1"/>
  <c r="F788" i="14" s="1"/>
  <c r="F693" i="14"/>
  <c r="G693" i="14" s="1"/>
  <c r="H693" i="14" s="1"/>
  <c r="I693" i="14" s="1"/>
  <c r="J693" i="14" s="1"/>
  <c r="K693" i="14" s="1"/>
  <c r="L693" i="14" s="1"/>
  <c r="M693" i="14" s="1"/>
  <c r="N693" i="14" s="1"/>
  <c r="O693" i="14" s="1"/>
  <c r="F180" i="15"/>
  <c r="G20" i="15"/>
  <c r="G185" i="15"/>
  <c r="G179" i="15" s="1"/>
  <c r="F36" i="15"/>
  <c r="F44" i="15" s="1"/>
  <c r="F57" i="15" s="1"/>
  <c r="F58" i="15" s="1"/>
  <c r="F63" i="15" s="1"/>
  <c r="F197" i="15"/>
  <c r="G40" i="15"/>
  <c r="G38" i="15" s="1"/>
  <c r="F195" i="15"/>
  <c r="G195" i="15" s="1"/>
  <c r="G169" i="15"/>
  <c r="G427" i="16" s="1"/>
  <c r="G442" i="16" s="1"/>
  <c r="F98" i="15"/>
  <c r="G98" i="15" s="1"/>
  <c r="H98" i="15" s="1"/>
  <c r="F99" i="15"/>
  <c r="G99" i="15" s="1"/>
  <c r="H99" i="15" s="1"/>
  <c r="I99" i="15" s="1"/>
  <c r="F100" i="15"/>
  <c r="G100" i="15" s="1"/>
  <c r="H100" i="15" s="1"/>
  <c r="I100" i="15" s="1"/>
  <c r="F101" i="15"/>
  <c r="G101" i="15" s="1"/>
  <c r="H101" i="15" s="1"/>
  <c r="I101" i="15" s="1"/>
  <c r="J101" i="15" s="1"/>
  <c r="K101" i="15" s="1"/>
  <c r="L101" i="15" s="1"/>
  <c r="M101" i="15" s="1"/>
  <c r="N101" i="15" s="1"/>
  <c r="O101" i="15" s="1"/>
  <c r="P101" i="15" s="1"/>
  <c r="F102" i="15"/>
  <c r="G102" i="15" s="1"/>
  <c r="H102" i="15" s="1"/>
  <c r="I102" i="15" s="1"/>
  <c r="J102" i="15" s="1"/>
  <c r="K102" i="15" s="1"/>
  <c r="L102" i="15" s="1"/>
  <c r="M102" i="15" s="1"/>
  <c r="N102" i="15" s="1"/>
  <c r="O102" i="15" s="1"/>
  <c r="P102" i="15" s="1"/>
  <c r="G178" i="4"/>
  <c r="G500" i="4"/>
  <c r="G520" i="4" s="1"/>
  <c r="G446" i="14"/>
  <c r="G447" i="14"/>
  <c r="G644" i="14"/>
  <c r="G645" i="14" s="1"/>
  <c r="G646" i="14" s="1"/>
  <c r="G670" i="14"/>
  <c r="H40" i="15"/>
  <c r="H38" i="15" s="1"/>
  <c r="H41" i="15" s="1"/>
  <c r="H169" i="15"/>
  <c r="H427" i="16" s="1"/>
  <c r="H442" i="16" s="1"/>
  <c r="D242" i="14"/>
  <c r="D243" i="14" s="1"/>
  <c r="D267" i="14" s="1"/>
  <c r="H267" i="14" s="1"/>
  <c r="D268" i="14"/>
  <c r="H178" i="4"/>
  <c r="H444" i="14"/>
  <c r="H446" i="14" s="1"/>
  <c r="H447" i="14"/>
  <c r="H655" i="14"/>
  <c r="H667" i="14" s="1"/>
  <c r="H669" i="14" s="1"/>
  <c r="H670" i="14" s="1"/>
  <c r="H644" i="14"/>
  <c r="H645" i="14" s="1"/>
  <c r="H646" i="14" s="1"/>
  <c r="H757" i="14"/>
  <c r="I757" i="14" s="1"/>
  <c r="I40" i="15"/>
  <c r="I38" i="15" s="1"/>
  <c r="I41" i="15" s="1"/>
  <c r="I154" i="15"/>
  <c r="I157" i="15" s="1"/>
  <c r="G312" i="4"/>
  <c r="I178" i="4"/>
  <c r="I644" i="14"/>
  <c r="I645" i="14" s="1"/>
  <c r="I646" i="14" s="1"/>
  <c r="J40" i="15"/>
  <c r="J38" i="15" s="1"/>
  <c r="J41" i="15" s="1"/>
  <c r="J178" i="4"/>
  <c r="J644" i="14"/>
  <c r="J645" i="14" s="1"/>
  <c r="J646" i="14" s="1"/>
  <c r="K40" i="15"/>
  <c r="K38" i="15" s="1"/>
  <c r="K41" i="15" s="1"/>
  <c r="K178" i="4"/>
  <c r="K25" i="4"/>
  <c r="J60" i="48" s="1"/>
  <c r="K644" i="14"/>
  <c r="K645" i="14" s="1"/>
  <c r="K646" i="14" s="1"/>
  <c r="L40" i="15"/>
  <c r="L38" i="15" s="1"/>
  <c r="L41" i="15" s="1"/>
  <c r="L113" i="16"/>
  <c r="L178" i="4"/>
  <c r="L25" i="4"/>
  <c r="K60" i="48" s="1"/>
  <c r="L644" i="14"/>
  <c r="L645" i="14" s="1"/>
  <c r="L646" i="14" s="1"/>
  <c r="M40" i="15"/>
  <c r="M38" i="15" s="1"/>
  <c r="M41" i="15" s="1"/>
  <c r="M113" i="16"/>
  <c r="M178" i="4"/>
  <c r="M25" i="4"/>
  <c r="L60" i="48" s="1"/>
  <c r="M512" i="14"/>
  <c r="M644" i="14"/>
  <c r="M645" i="14" s="1"/>
  <c r="M646" i="14" s="1"/>
  <c r="N40" i="15"/>
  <c r="N38" i="15" s="1"/>
  <c r="N41" i="15" s="1"/>
  <c r="N113" i="16"/>
  <c r="N178" i="4"/>
  <c r="N25" i="4"/>
  <c r="M60" i="48" s="1"/>
  <c r="N644" i="14"/>
  <c r="N645" i="14" s="1"/>
  <c r="N646" i="14" s="1"/>
  <c r="O40" i="15"/>
  <c r="O38" i="15" s="1"/>
  <c r="O41" i="15" s="1"/>
  <c r="O113" i="16"/>
  <c r="O178" i="4"/>
  <c r="O25" i="4"/>
  <c r="N60" i="48" s="1"/>
  <c r="O644" i="14"/>
  <c r="O645" i="14" s="1"/>
  <c r="O646" i="14" s="1"/>
  <c r="P40" i="15"/>
  <c r="P38" i="15" s="1"/>
  <c r="P41" i="15" s="1"/>
  <c r="J272" i="29"/>
  <c r="K272" i="29" s="1"/>
  <c r="D800" i="16" s="1"/>
  <c r="E506" i="4"/>
  <c r="E508" i="4" s="1"/>
  <c r="F511" i="4"/>
  <c r="G511" i="4" s="1"/>
  <c r="H511" i="4" s="1"/>
  <c r="I511" i="4" s="1"/>
  <c r="J511" i="4" s="1"/>
  <c r="K511" i="4" s="1"/>
  <c r="L511" i="4" s="1"/>
  <c r="M511" i="4" s="1"/>
  <c r="N511" i="4" s="1"/>
  <c r="O511" i="4" s="1"/>
  <c r="D491" i="4"/>
  <c r="E495" i="4"/>
  <c r="D802" i="16"/>
  <c r="D820" i="16" s="1"/>
  <c r="X84" i="21" s="1"/>
  <c r="D841" i="16"/>
  <c r="D842" i="16"/>
  <c r="G504" i="4"/>
  <c r="H504" i="4" s="1"/>
  <c r="I504" i="4" s="1"/>
  <c r="J504" i="4" s="1"/>
  <c r="K504" i="4" s="1"/>
  <c r="L504" i="4" s="1"/>
  <c r="M504" i="4" s="1"/>
  <c r="N504" i="4" s="1"/>
  <c r="O504" i="4" s="1"/>
  <c r="E802" i="16"/>
  <c r="E841" i="16"/>
  <c r="E842" i="16"/>
  <c r="E853" i="16" s="1"/>
  <c r="E885" i="16" s="1"/>
  <c r="D867" i="16"/>
  <c r="X109" i="21" s="1"/>
  <c r="F802" i="16"/>
  <c r="F820" i="16" s="1"/>
  <c r="F841" i="16"/>
  <c r="F842" i="16"/>
  <c r="F853" i="16" s="1"/>
  <c r="F885" i="16" s="1"/>
  <c r="E867" i="16"/>
  <c r="Y109" i="21" s="1"/>
  <c r="G802" i="16"/>
  <c r="G820" i="16" s="1"/>
  <c r="G841" i="16"/>
  <c r="G842" i="16"/>
  <c r="G853" i="16" s="1"/>
  <c r="G885" i="16" s="1"/>
  <c r="F867" i="16"/>
  <c r="Z109" i="21" s="1"/>
  <c r="H802" i="16"/>
  <c r="H820" i="16" s="1"/>
  <c r="H841" i="16"/>
  <c r="H842" i="16"/>
  <c r="H853" i="16" s="1"/>
  <c r="G867" i="16"/>
  <c r="AA109" i="21" s="1"/>
  <c r="I802" i="16"/>
  <c r="I820" i="16" s="1"/>
  <c r="I841" i="16"/>
  <c r="I842" i="16"/>
  <c r="I853" i="16" s="1"/>
  <c r="I885" i="16" s="1"/>
  <c r="H867" i="16"/>
  <c r="AB109" i="21" s="1"/>
  <c r="J802" i="16"/>
  <c r="J820" i="16" s="1"/>
  <c r="J841" i="16"/>
  <c r="J842" i="16"/>
  <c r="J853" i="16" s="1"/>
  <c r="I867" i="16"/>
  <c r="AC109" i="21" s="1"/>
  <c r="K802" i="16"/>
  <c r="K820" i="16" s="1"/>
  <c r="K841" i="16"/>
  <c r="K842" i="16"/>
  <c r="K853" i="16" s="1"/>
  <c r="K885" i="16" s="1"/>
  <c r="J867" i="16"/>
  <c r="AD109" i="21" s="1"/>
  <c r="L802" i="16"/>
  <c r="L820" i="16" s="1"/>
  <c r="L841" i="16"/>
  <c r="L842" i="16"/>
  <c r="L853" i="16" s="1"/>
  <c r="L885" i="16" s="1"/>
  <c r="K867" i="16"/>
  <c r="AE109" i="21" s="1"/>
  <c r="M841" i="16"/>
  <c r="M842" i="16"/>
  <c r="M853" i="16" s="1"/>
  <c r="L867" i="16"/>
  <c r="AF109" i="21" s="1"/>
  <c r="P113" i="16"/>
  <c r="M802" i="16"/>
  <c r="M867" i="16"/>
  <c r="AG109" i="21" s="1"/>
  <c r="C461" i="16"/>
  <c r="C462" i="16"/>
  <c r="C472" i="16"/>
  <c r="N456" i="16"/>
  <c r="O456" i="16" s="1"/>
  <c r="K460" i="16"/>
  <c r="L460" i="16"/>
  <c r="M460" i="16"/>
  <c r="N460" i="16"/>
  <c r="E461" i="16"/>
  <c r="F461" i="16"/>
  <c r="G461" i="16"/>
  <c r="H461" i="16"/>
  <c r="I461" i="16"/>
  <c r="J461" i="16"/>
  <c r="K461" i="16"/>
  <c r="L461" i="16"/>
  <c r="M461" i="16"/>
  <c r="N461" i="16"/>
  <c r="E462" i="16"/>
  <c r="F462" i="16"/>
  <c r="G462" i="16"/>
  <c r="H462" i="16"/>
  <c r="I462" i="16"/>
  <c r="J462" i="16"/>
  <c r="K462" i="16"/>
  <c r="L462" i="16"/>
  <c r="M462" i="16"/>
  <c r="N462" i="16"/>
  <c r="J465" i="16"/>
  <c r="K465" i="16"/>
  <c r="L465" i="16"/>
  <c r="M465" i="16"/>
  <c r="N465" i="16"/>
  <c r="N466" i="16"/>
  <c r="O466" i="16" s="1"/>
  <c r="E472" i="16"/>
  <c r="F472" i="16"/>
  <c r="G472" i="16"/>
  <c r="H472" i="16"/>
  <c r="I472" i="16"/>
  <c r="J472" i="16"/>
  <c r="K472" i="16"/>
  <c r="L472" i="16"/>
  <c r="M472" i="16"/>
  <c r="N472" i="16"/>
  <c r="F474" i="16"/>
  <c r="G474" i="16"/>
  <c r="H474" i="16"/>
  <c r="I474" i="16"/>
  <c r="J474" i="16"/>
  <c r="K474" i="16"/>
  <c r="L474" i="16"/>
  <c r="M474" i="16"/>
  <c r="N474" i="16"/>
  <c r="C475" i="16"/>
  <c r="E475" i="16"/>
  <c r="F475" i="16"/>
  <c r="G475" i="16"/>
  <c r="H475" i="16"/>
  <c r="I475" i="16"/>
  <c r="J475" i="16"/>
  <c r="K475" i="16"/>
  <c r="L475" i="16"/>
  <c r="M475" i="16"/>
  <c r="N475" i="16"/>
  <c r="C476" i="16"/>
  <c r="E476" i="16"/>
  <c r="F476" i="16"/>
  <c r="G476" i="16"/>
  <c r="H476" i="16"/>
  <c r="I476" i="16"/>
  <c r="J476" i="16"/>
  <c r="K476" i="16"/>
  <c r="L476" i="16"/>
  <c r="M476" i="16"/>
  <c r="N476" i="16"/>
  <c r="K480" i="16"/>
  <c r="L480" i="16"/>
  <c r="M480" i="16"/>
  <c r="N480" i="16"/>
  <c r="K481" i="16"/>
  <c r="L481" i="16"/>
  <c r="M481" i="16"/>
  <c r="N481" i="16"/>
  <c r="C482" i="16"/>
  <c r="E482" i="16"/>
  <c r="F482" i="16"/>
  <c r="G482" i="16"/>
  <c r="H482" i="16"/>
  <c r="I482" i="16"/>
  <c r="J482" i="16"/>
  <c r="K482" i="16"/>
  <c r="L482" i="16"/>
  <c r="M482" i="16"/>
  <c r="N482" i="16"/>
  <c r="C485" i="16"/>
  <c r="E485" i="16"/>
  <c r="F485" i="16"/>
  <c r="G485" i="16"/>
  <c r="H485" i="16"/>
  <c r="I485" i="16"/>
  <c r="J485" i="16"/>
  <c r="K485" i="16"/>
  <c r="L485" i="16"/>
  <c r="M485" i="16"/>
  <c r="N485" i="16"/>
  <c r="J488" i="16"/>
  <c r="K488" i="16"/>
  <c r="L488" i="16"/>
  <c r="M488" i="16"/>
  <c r="N488" i="16"/>
  <c r="C489" i="16"/>
  <c r="E489" i="16"/>
  <c r="F489" i="16"/>
  <c r="G489" i="16"/>
  <c r="H489" i="16"/>
  <c r="I489" i="16"/>
  <c r="J489" i="16"/>
  <c r="K489" i="16"/>
  <c r="L489" i="16"/>
  <c r="M489" i="16"/>
  <c r="N489" i="16"/>
  <c r="C494" i="16"/>
  <c r="E494" i="16"/>
  <c r="F494" i="16"/>
  <c r="G494" i="16"/>
  <c r="H494" i="16"/>
  <c r="I494" i="16"/>
  <c r="J494" i="16"/>
  <c r="K494" i="16"/>
  <c r="L494" i="16"/>
  <c r="M494" i="16"/>
  <c r="N494" i="16"/>
  <c r="C495" i="16"/>
  <c r="E495" i="16"/>
  <c r="F495" i="16"/>
  <c r="G495" i="16"/>
  <c r="H495" i="16"/>
  <c r="I495" i="16"/>
  <c r="J495" i="16"/>
  <c r="K495" i="16"/>
  <c r="L495" i="16"/>
  <c r="M495" i="16"/>
  <c r="N495" i="16"/>
  <c r="E503" i="16"/>
  <c r="F503" i="16"/>
  <c r="G503" i="16"/>
  <c r="H503" i="16"/>
  <c r="I503" i="16"/>
  <c r="J503" i="16"/>
  <c r="K503" i="16"/>
  <c r="L503" i="16"/>
  <c r="M503" i="16"/>
  <c r="N503" i="16"/>
  <c r="C504" i="16"/>
  <c r="E504" i="16"/>
  <c r="F504" i="16"/>
  <c r="G504" i="16"/>
  <c r="H504" i="16"/>
  <c r="I504" i="16"/>
  <c r="J504" i="16"/>
  <c r="K504" i="16"/>
  <c r="L504" i="16"/>
  <c r="M504" i="16"/>
  <c r="N504" i="16"/>
  <c r="C506" i="16"/>
  <c r="C507" i="16"/>
  <c r="E507" i="16"/>
  <c r="F507" i="16"/>
  <c r="G507" i="16"/>
  <c r="H507" i="16"/>
  <c r="I507" i="16"/>
  <c r="J507" i="16"/>
  <c r="K507" i="16"/>
  <c r="E508" i="16"/>
  <c r="F508" i="16"/>
  <c r="G508" i="16"/>
  <c r="H508" i="16"/>
  <c r="I508" i="16"/>
  <c r="J508" i="16"/>
  <c r="K508" i="16"/>
  <c r="L508" i="16"/>
  <c r="M508" i="16"/>
  <c r="N508" i="16"/>
  <c r="E509" i="16"/>
  <c r="F509" i="16"/>
  <c r="G509" i="16"/>
  <c r="H509" i="16"/>
  <c r="I509" i="16"/>
  <c r="J509" i="16"/>
  <c r="K509" i="16"/>
  <c r="L509" i="16"/>
  <c r="M509" i="16"/>
  <c r="N509" i="16"/>
  <c r="S509" i="16"/>
  <c r="C510" i="16"/>
  <c r="E510" i="16"/>
  <c r="F510" i="16"/>
  <c r="G510" i="16"/>
  <c r="H510" i="16"/>
  <c r="I510" i="16"/>
  <c r="J510" i="16"/>
  <c r="K510" i="16"/>
  <c r="L510" i="16"/>
  <c r="M510" i="16"/>
  <c r="N510" i="16"/>
  <c r="E511" i="16"/>
  <c r="F511" i="16"/>
  <c r="G511" i="16"/>
  <c r="H511" i="16"/>
  <c r="I511" i="16"/>
  <c r="J511" i="16"/>
  <c r="K511" i="16"/>
  <c r="L511" i="16"/>
  <c r="M511" i="16"/>
  <c r="N511" i="16"/>
  <c r="S512" i="16"/>
  <c r="C513" i="16"/>
  <c r="E513" i="16"/>
  <c r="F513" i="16"/>
  <c r="G513" i="16"/>
  <c r="H513" i="16"/>
  <c r="I513" i="16"/>
  <c r="J513" i="16"/>
  <c r="K513" i="16"/>
  <c r="L513" i="16"/>
  <c r="M513" i="16"/>
  <c r="N513" i="16"/>
  <c r="E514" i="16"/>
  <c r="F514" i="16"/>
  <c r="G514" i="16"/>
  <c r="H514" i="16"/>
  <c r="I514" i="16"/>
  <c r="J514" i="16"/>
  <c r="K514" i="16"/>
  <c r="L514" i="16"/>
  <c r="M514" i="16"/>
  <c r="N514" i="16"/>
  <c r="L520" i="16"/>
  <c r="M520" i="16"/>
  <c r="N520" i="16"/>
  <c r="E521" i="16"/>
  <c r="F521" i="16"/>
  <c r="G521" i="16"/>
  <c r="H521" i="16"/>
  <c r="I521" i="16"/>
  <c r="J521" i="16"/>
  <c r="K521" i="16"/>
  <c r="L521" i="16"/>
  <c r="M521" i="16"/>
  <c r="N521" i="16"/>
  <c r="J522" i="16"/>
  <c r="K522" i="16"/>
  <c r="L522" i="16"/>
  <c r="M522" i="16"/>
  <c r="N522" i="16"/>
  <c r="H523" i="16"/>
  <c r="I523" i="16"/>
  <c r="J523" i="16"/>
  <c r="K523" i="16"/>
  <c r="L523" i="16"/>
  <c r="M523" i="16"/>
  <c r="N523" i="16"/>
  <c r="C524" i="16"/>
  <c r="E524" i="16"/>
  <c r="F524" i="16"/>
  <c r="G524" i="16"/>
  <c r="H524" i="16"/>
  <c r="I524" i="16"/>
  <c r="J524" i="16"/>
  <c r="K524" i="16"/>
  <c r="L524" i="16"/>
  <c r="M524" i="16"/>
  <c r="N524" i="16"/>
  <c r="C526" i="16"/>
  <c r="E526" i="16"/>
  <c r="F526" i="16"/>
  <c r="G526" i="16"/>
  <c r="H526" i="16"/>
  <c r="I526" i="16"/>
  <c r="J526" i="16"/>
  <c r="K526" i="16"/>
  <c r="L526" i="16"/>
  <c r="M526" i="16"/>
  <c r="N526" i="16"/>
  <c r="E527" i="16"/>
  <c r="F527" i="16"/>
  <c r="G527" i="16"/>
  <c r="H527" i="16"/>
  <c r="I527" i="16"/>
  <c r="J527" i="16"/>
  <c r="K527" i="16"/>
  <c r="L527" i="16"/>
  <c r="M527" i="16"/>
  <c r="N527" i="16"/>
  <c r="H528" i="16"/>
  <c r="I528" i="16"/>
  <c r="J528" i="16"/>
  <c r="K528" i="16"/>
  <c r="L528" i="16"/>
  <c r="M528" i="16"/>
  <c r="N528" i="16"/>
  <c r="I529" i="16"/>
  <c r="J529" i="16"/>
  <c r="K529" i="16"/>
  <c r="L529" i="16"/>
  <c r="M529" i="16"/>
  <c r="N529" i="16"/>
  <c r="E530" i="16"/>
  <c r="F530" i="16"/>
  <c r="G530" i="16"/>
  <c r="H530" i="16"/>
  <c r="I530" i="16"/>
  <c r="J530" i="16"/>
  <c r="K530" i="16"/>
  <c r="L530" i="16"/>
  <c r="M530" i="16"/>
  <c r="N530" i="16"/>
  <c r="H531" i="16"/>
  <c r="I531" i="16"/>
  <c r="J531" i="16"/>
  <c r="K531" i="16"/>
  <c r="L531" i="16"/>
  <c r="M531" i="16"/>
  <c r="N531" i="16"/>
  <c r="L532" i="16"/>
  <c r="M532" i="16"/>
  <c r="N532" i="16"/>
  <c r="E536" i="16"/>
  <c r="F536" i="16"/>
  <c r="G536" i="16"/>
  <c r="H536" i="16"/>
  <c r="I536" i="16"/>
  <c r="J536" i="16"/>
  <c r="K536" i="16"/>
  <c r="L536" i="16"/>
  <c r="M536" i="16"/>
  <c r="N536" i="16"/>
  <c r="E538" i="16"/>
  <c r="F538" i="16"/>
  <c r="G538" i="16"/>
  <c r="H538" i="16"/>
  <c r="I538" i="16"/>
  <c r="J538" i="16"/>
  <c r="K538" i="16"/>
  <c r="L538" i="16"/>
  <c r="M538" i="16"/>
  <c r="N538" i="16"/>
  <c r="L541" i="16"/>
  <c r="M541" i="16"/>
  <c r="N541" i="16"/>
  <c r="H543" i="16"/>
  <c r="I543" i="16"/>
  <c r="J543" i="16"/>
  <c r="K543" i="16"/>
  <c r="L543" i="16"/>
  <c r="M543" i="16"/>
  <c r="N543" i="16"/>
  <c r="L544" i="16"/>
  <c r="M544" i="16"/>
  <c r="N544" i="16"/>
  <c r="F549" i="16"/>
  <c r="G549" i="16"/>
  <c r="H549" i="16"/>
  <c r="I549" i="16"/>
  <c r="J549" i="16"/>
  <c r="K549" i="16"/>
  <c r="L549" i="16"/>
  <c r="M549" i="16"/>
  <c r="N549" i="16"/>
  <c r="E552" i="16"/>
  <c r="F552" i="16"/>
  <c r="G552" i="16"/>
  <c r="H552" i="16"/>
  <c r="I552" i="16"/>
  <c r="J552" i="16"/>
  <c r="K552" i="16"/>
  <c r="L552" i="16"/>
  <c r="M552" i="16"/>
  <c r="N552" i="16"/>
  <c r="E553" i="16"/>
  <c r="F553" i="16"/>
  <c r="G553" i="16"/>
  <c r="H553" i="16"/>
  <c r="I553" i="16"/>
  <c r="J553" i="16"/>
  <c r="K553" i="16"/>
  <c r="L553" i="16"/>
  <c r="M553" i="16"/>
  <c r="N553" i="16"/>
  <c r="E576" i="16"/>
  <c r="F576" i="16"/>
  <c r="G576" i="16"/>
  <c r="H576" i="16"/>
  <c r="I576" i="16"/>
  <c r="J576" i="16"/>
  <c r="K576" i="16"/>
  <c r="L576" i="16"/>
  <c r="M576" i="16"/>
  <c r="N576" i="16"/>
  <c r="N581" i="16"/>
  <c r="O581" i="16" s="1"/>
  <c r="D938" i="14"/>
  <c r="D939" i="14"/>
  <c r="D940" i="14"/>
  <c r="D941" i="14"/>
  <c r="D942" i="14"/>
  <c r="D943" i="14"/>
  <c r="D381" i="4"/>
  <c r="D382" i="4"/>
  <c r="D383" i="4"/>
  <c r="D384" i="4"/>
  <c r="D386" i="4"/>
  <c r="D387" i="4"/>
  <c r="D388" i="4"/>
  <c r="D389" i="4"/>
  <c r="D391" i="4"/>
  <c r="D392" i="4"/>
  <c r="D393" i="4"/>
  <c r="D394" i="4"/>
  <c r="D396" i="4"/>
  <c r="D397" i="4"/>
  <c r="D398" i="4"/>
  <c r="D399" i="4"/>
  <c r="D401" i="4"/>
  <c r="D616" i="4"/>
  <c r="F623" i="4"/>
  <c r="G207" i="15"/>
  <c r="H207" i="15" s="1"/>
  <c r="I207" i="15" s="1"/>
  <c r="J207" i="15" s="1"/>
  <c r="K207" i="15" s="1"/>
  <c r="L207" i="15" s="1"/>
  <c r="M207" i="15" s="1"/>
  <c r="N207" i="15" s="1"/>
  <c r="O207" i="15" s="1"/>
  <c r="P207" i="15" s="1"/>
  <c r="D762" i="16"/>
  <c r="F738" i="16"/>
  <c r="G738" i="16"/>
  <c r="H738" i="16"/>
  <c r="E841" i="14"/>
  <c r="F841" i="14" s="1"/>
  <c r="D768" i="16"/>
  <c r="W56" i="21" s="1"/>
  <c r="W59" i="21" s="1"/>
  <c r="H245" i="2"/>
  <c r="J245" i="2" s="1"/>
  <c r="E758" i="16"/>
  <c r="X55" i="21" s="1"/>
  <c r="K38" i="41"/>
  <c r="E198" i="41" s="1"/>
  <c r="H589" i="16"/>
  <c r="G589" i="16"/>
  <c r="D589" i="16"/>
  <c r="D773" i="16"/>
  <c r="N38" i="41" s="1"/>
  <c r="E201" i="41" s="1"/>
  <c r="E589" i="16"/>
  <c r="F589" i="16"/>
  <c r="E265" i="4"/>
  <c r="F265" i="4" s="1"/>
  <c r="G265" i="4" s="1"/>
  <c r="H265" i="4" s="1"/>
  <c r="I265" i="4" s="1"/>
  <c r="J265" i="4" s="1"/>
  <c r="K265" i="4" s="1"/>
  <c r="L265" i="4" s="1"/>
  <c r="M265" i="4" s="1"/>
  <c r="N265" i="4" s="1"/>
  <c r="O265" i="4" s="1"/>
  <c r="E266" i="4"/>
  <c r="F266" i="4" s="1"/>
  <c r="G266" i="4" s="1"/>
  <c r="F268" i="4"/>
  <c r="G268" i="4" s="1"/>
  <c r="H268" i="4" s="1"/>
  <c r="I268" i="4" s="1"/>
  <c r="J268" i="4" s="1"/>
  <c r="K268" i="4" s="1"/>
  <c r="L268" i="4" s="1"/>
  <c r="M268" i="4" s="1"/>
  <c r="N268" i="4" s="1"/>
  <c r="O268" i="4" s="1"/>
  <c r="N39" i="48" s="1"/>
  <c r="I214" i="2" s="1"/>
  <c r="K214" i="2" s="1"/>
  <c r="B214" i="2" s="1"/>
  <c r="I215" i="2"/>
  <c r="K215" i="2" s="1"/>
  <c r="B215" i="2" s="1"/>
  <c r="P120" i="15"/>
  <c r="F70" i="15"/>
  <c r="G70" i="15" s="1"/>
  <c r="H70" i="15" s="1"/>
  <c r="I70" i="15" s="1"/>
  <c r="J70" i="15" s="1"/>
  <c r="K70" i="15" s="1"/>
  <c r="L70" i="15" s="1"/>
  <c r="M70" i="15" s="1"/>
  <c r="N70" i="15" s="1"/>
  <c r="O70" i="15" s="1"/>
  <c r="P70" i="15" s="1"/>
  <c r="N176" i="48" s="1"/>
  <c r="I243" i="2" s="1"/>
  <c r="K243" i="2" s="1"/>
  <c r="B243" i="2" s="1"/>
  <c r="O120" i="15"/>
  <c r="N120" i="15"/>
  <c r="M120" i="15"/>
  <c r="L120" i="15"/>
  <c r="K120" i="15"/>
  <c r="J120" i="15"/>
  <c r="I120" i="15"/>
  <c r="H120" i="15"/>
  <c r="G120" i="15"/>
  <c r="G129" i="15" s="1"/>
  <c r="G155" i="15" s="1"/>
  <c r="F173" i="4"/>
  <c r="E30" i="48" s="1"/>
  <c r="H173" i="4"/>
  <c r="G30" i="48" s="1"/>
  <c r="G173" i="4"/>
  <c r="F30" i="48" s="1"/>
  <c r="L173" i="4"/>
  <c r="K30" i="48" s="1"/>
  <c r="K173" i="4"/>
  <c r="J30" i="48" s="1"/>
  <c r="J173" i="4"/>
  <c r="I30" i="48" s="1"/>
  <c r="I173" i="4"/>
  <c r="H30" i="48" s="1"/>
  <c r="N173" i="4"/>
  <c r="M30" i="48" s="1"/>
  <c r="M173" i="4"/>
  <c r="L30" i="48" s="1"/>
  <c r="O173" i="4"/>
  <c r="N30" i="48" s="1"/>
  <c r="E280" i="4"/>
  <c r="F280" i="4" s="1"/>
  <c r="I60" i="48"/>
  <c r="H60" i="48"/>
  <c r="G60" i="48"/>
  <c r="F60" i="48"/>
  <c r="E60" i="48"/>
  <c r="D60" i="48"/>
  <c r="N58" i="48"/>
  <c r="M58" i="48"/>
  <c r="L58" i="48"/>
  <c r="K58" i="48"/>
  <c r="J58" i="48"/>
  <c r="I58" i="48"/>
  <c r="H58" i="48"/>
  <c r="G58" i="48"/>
  <c r="F58" i="48"/>
  <c r="E58" i="48"/>
  <c r="D58" i="48"/>
  <c r="N56" i="48"/>
  <c r="M56" i="48"/>
  <c r="L56" i="48"/>
  <c r="K56" i="48"/>
  <c r="J56" i="48"/>
  <c r="E524" i="14"/>
  <c r="K524" i="14" s="1"/>
  <c r="K522" i="14" s="1"/>
  <c r="K526" i="14" s="1"/>
  <c r="E525" i="14"/>
  <c r="E523" i="14" s="1"/>
  <c r="E528" i="14" s="1"/>
  <c r="P90" i="15"/>
  <c r="P92" i="15" s="1"/>
  <c r="O90" i="15"/>
  <c r="O92" i="15" s="1"/>
  <c r="N90" i="15"/>
  <c r="N92" i="15" s="1"/>
  <c r="M90" i="15"/>
  <c r="M92" i="15" s="1"/>
  <c r="L90" i="15"/>
  <c r="L92" i="15" s="1"/>
  <c r="K90" i="15"/>
  <c r="K92" i="15" s="1"/>
  <c r="J90" i="15"/>
  <c r="J92" i="15" s="1"/>
  <c r="I90" i="15"/>
  <c r="I92" i="15" s="1"/>
  <c r="H90" i="15"/>
  <c r="H92" i="15" s="1"/>
  <c r="G90" i="15"/>
  <c r="G92" i="15" s="1"/>
  <c r="F92" i="15"/>
  <c r="R203" i="48"/>
  <c r="T203" i="48" s="1"/>
  <c r="O840" i="14"/>
  <c r="N229" i="48" s="1"/>
  <c r="M229" i="48"/>
  <c r="L229" i="48"/>
  <c r="K229" i="48"/>
  <c r="J229" i="48"/>
  <c r="I229" i="48"/>
  <c r="H229" i="48"/>
  <c r="G229" i="48"/>
  <c r="F229" i="48"/>
  <c r="E229" i="48"/>
  <c r="N830" i="14"/>
  <c r="N831" i="14" s="1"/>
  <c r="M243" i="48" s="1"/>
  <c r="J16" i="32"/>
  <c r="Q55" i="32" s="1"/>
  <c r="I16" i="32"/>
  <c r="P55" i="32" s="1"/>
  <c r="G16" i="32"/>
  <c r="U16" i="32" s="1"/>
  <c r="F16" i="32"/>
  <c r="T16" i="32" s="1"/>
  <c r="K16" i="32"/>
  <c r="E16" i="32"/>
  <c r="S16" i="32" s="1"/>
  <c r="D16" i="32"/>
  <c r="R16" i="32" s="1"/>
  <c r="M16" i="32"/>
  <c r="AA16" i="32" s="1"/>
  <c r="H16" i="32"/>
  <c r="V16" i="32" s="1"/>
  <c r="L16" i="32"/>
  <c r="Z16" i="32" s="1"/>
  <c r="J333" i="29"/>
  <c r="I333" i="29"/>
  <c r="H333" i="29"/>
  <c r="G333" i="29"/>
  <c r="F333" i="29"/>
  <c r="E333" i="29"/>
  <c r="AR85" i="21"/>
  <c r="AQ85" i="21" s="1"/>
  <c r="AP85" i="21" s="1"/>
  <c r="AO85" i="21" s="1"/>
  <c r="AN85" i="21" s="1"/>
  <c r="AM85" i="21" s="1"/>
  <c r="F272" i="29"/>
  <c r="F298" i="29" s="1"/>
  <c r="E272" i="29"/>
  <c r="E298" i="29" s="1"/>
  <c r="I272" i="29"/>
  <c r="I298" i="29" s="1"/>
  <c r="H272" i="29"/>
  <c r="H298" i="29" s="1"/>
  <c r="G272" i="29"/>
  <c r="G298" i="29" s="1"/>
  <c r="K151" i="21"/>
  <c r="L151" i="21" s="1"/>
  <c r="K24" i="41"/>
  <c r="J214" i="2"/>
  <c r="H215" i="2"/>
  <c r="J215" i="2" s="1"/>
  <c r="D191" i="14"/>
  <c r="D192" i="14" s="1"/>
  <c r="O551" i="14"/>
  <c r="O552" i="14" s="1"/>
  <c r="N551" i="14"/>
  <c r="N552" i="14" s="1"/>
  <c r="F273" i="15"/>
  <c r="E1127" i="14"/>
  <c r="D1127" i="14"/>
  <c r="F61" i="15"/>
  <c r="E300" i="15" s="1"/>
  <c r="N32" i="48"/>
  <c r="M32" i="48"/>
  <c r="D861" i="4"/>
  <c r="E861" i="4"/>
  <c r="F803" i="4"/>
  <c r="G803" i="4" s="1"/>
  <c r="H803" i="4" s="1"/>
  <c r="I803" i="4" s="1"/>
  <c r="J803" i="4" s="1"/>
  <c r="K803" i="4" s="1"/>
  <c r="L803" i="4" s="1"/>
  <c r="M803" i="4" s="1"/>
  <c r="N803" i="4" s="1"/>
  <c r="O803" i="4" s="1"/>
  <c r="E47" i="4"/>
  <c r="E63" i="4"/>
  <c r="E792" i="4"/>
  <c r="E791" i="4"/>
  <c r="E790" i="4"/>
  <c r="E72" i="4"/>
  <c r="D403" i="4"/>
  <c r="E71" i="4"/>
  <c r="N760" i="16"/>
  <c r="M760" i="16"/>
  <c r="L760" i="16"/>
  <c r="K760" i="16"/>
  <c r="J760" i="16"/>
  <c r="I760" i="16"/>
  <c r="H760" i="16"/>
  <c r="G760" i="16"/>
  <c r="F760" i="16"/>
  <c r="E760" i="16"/>
  <c r="D376" i="4"/>
  <c r="E562" i="4"/>
  <c r="E777" i="4"/>
  <c r="E778" i="4" s="1"/>
  <c r="O801" i="4"/>
  <c r="O843" i="4" s="1"/>
  <c r="N801" i="4"/>
  <c r="N843" i="4" s="1"/>
  <c r="M801" i="4"/>
  <c r="M843" i="4" s="1"/>
  <c r="L801" i="4"/>
  <c r="L843" i="4" s="1"/>
  <c r="K801" i="4"/>
  <c r="K843" i="4" s="1"/>
  <c r="J801" i="4"/>
  <c r="J843" i="4" s="1"/>
  <c r="I801" i="4"/>
  <c r="I843" i="4" s="1"/>
  <c r="H801" i="4"/>
  <c r="H843" i="4" s="1"/>
  <c r="G801" i="4"/>
  <c r="G843" i="4" s="1"/>
  <c r="F801" i="4"/>
  <c r="F843" i="4" s="1"/>
  <c r="E801" i="4"/>
  <c r="E843" i="4" s="1"/>
  <c r="M551" i="14"/>
  <c r="M552" i="14" s="1"/>
  <c r="L551" i="14"/>
  <c r="L552" i="14" s="1"/>
  <c r="K551" i="14"/>
  <c r="K552" i="14" s="1"/>
  <c r="J551" i="14"/>
  <c r="J552" i="14" s="1"/>
  <c r="I551" i="14"/>
  <c r="I552" i="14" s="1"/>
  <c r="H551" i="14"/>
  <c r="H552" i="14" s="1"/>
  <c r="G551" i="14"/>
  <c r="G552" i="14" s="1"/>
  <c r="F551" i="14"/>
  <c r="F552" i="14" s="1"/>
  <c r="H242" i="14"/>
  <c r="H243" i="14" s="1"/>
  <c r="D272" i="14" s="1"/>
  <c r="D414" i="14"/>
  <c r="D415" i="14"/>
  <c r="E564" i="14"/>
  <c r="F564" i="14" s="1"/>
  <c r="G564" i="14" s="1"/>
  <c r="H564" i="14" s="1"/>
  <c r="I564" i="14" s="1"/>
  <c r="J564" i="14" s="1"/>
  <c r="K564" i="14" s="1"/>
  <c r="L564" i="14" s="1"/>
  <c r="M564" i="14" s="1"/>
  <c r="N564" i="14" s="1"/>
  <c r="O564" i="14" s="1"/>
  <c r="O830" i="4"/>
  <c r="N830" i="4"/>
  <c r="M830" i="4"/>
  <c r="L830" i="4"/>
  <c r="K830" i="4"/>
  <c r="J830" i="4"/>
  <c r="I830" i="4"/>
  <c r="H830" i="4"/>
  <c r="G830" i="4"/>
  <c r="F830" i="4"/>
  <c r="O829" i="4"/>
  <c r="N829" i="4"/>
  <c r="M829" i="4"/>
  <c r="L829" i="4"/>
  <c r="K829" i="4"/>
  <c r="J829" i="4"/>
  <c r="I829" i="4"/>
  <c r="H829" i="4"/>
  <c r="G829" i="4"/>
  <c r="F829" i="4"/>
  <c r="E936" i="14"/>
  <c r="K1010" i="14"/>
  <c r="J1010" i="14"/>
  <c r="N1010" i="14"/>
  <c r="D1010" i="14"/>
  <c r="H1010" i="14"/>
  <c r="L1010" i="14"/>
  <c r="G1010" i="14"/>
  <c r="M1010" i="14"/>
  <c r="F1010" i="14"/>
  <c r="E1010" i="14"/>
  <c r="I1010" i="14"/>
  <c r="N1034" i="14"/>
  <c r="E51" i="15"/>
  <c r="F255" i="15"/>
  <c r="F251" i="15"/>
  <c r="F250" i="15"/>
  <c r="E197" i="15"/>
  <c r="P125" i="15"/>
  <c r="O125" i="15"/>
  <c r="N125" i="15"/>
  <c r="M125" i="15"/>
  <c r="L125" i="15"/>
  <c r="K125" i="15"/>
  <c r="J125" i="15"/>
  <c r="I125" i="15"/>
  <c r="H125" i="15"/>
  <c r="G125" i="15"/>
  <c r="F169" i="15"/>
  <c r="T509" i="16"/>
  <c r="T512" i="16"/>
  <c r="Y708" i="16"/>
  <c r="Y709" i="16" s="1"/>
  <c r="X709" i="16"/>
  <c r="W709" i="16"/>
  <c r="V709" i="16"/>
  <c r="U709" i="16"/>
  <c r="T709" i="16"/>
  <c r="S709" i="16"/>
  <c r="R709" i="16"/>
  <c r="Q709" i="16"/>
  <c r="P709" i="16"/>
  <c r="Y693" i="16"/>
  <c r="X693" i="16"/>
  <c r="W693" i="16"/>
  <c r="V693" i="16"/>
  <c r="U693" i="16"/>
  <c r="T693" i="16"/>
  <c r="S693" i="16"/>
  <c r="R693" i="16"/>
  <c r="Q693" i="16"/>
  <c r="P693" i="16"/>
  <c r="Y714" i="16"/>
  <c r="Y735" i="16" s="1"/>
  <c r="X714" i="16"/>
  <c r="X735" i="16" s="1"/>
  <c r="W714" i="16"/>
  <c r="W735" i="16" s="1"/>
  <c r="V714" i="16"/>
  <c r="V735" i="16" s="1"/>
  <c r="U714" i="16"/>
  <c r="U735" i="16" s="1"/>
  <c r="T714" i="16"/>
  <c r="T735" i="16" s="1"/>
  <c r="S714" i="16"/>
  <c r="S735" i="16" s="1"/>
  <c r="R714" i="16"/>
  <c r="R735" i="16" s="1"/>
  <c r="Q714" i="16"/>
  <c r="Q735" i="16" s="1"/>
  <c r="P714" i="16"/>
  <c r="P735" i="16" s="1"/>
  <c r="I897" i="16"/>
  <c r="H897" i="16"/>
  <c r="I901" i="16"/>
  <c r="H901" i="16"/>
  <c r="G901" i="16"/>
  <c r="F901" i="16"/>
  <c r="E901" i="16"/>
  <c r="E1156" i="14" l="1"/>
  <c r="E1188" i="14" s="1"/>
  <c r="E1228" i="14" s="1"/>
  <c r="E879" i="14"/>
  <c r="E534" i="4" s="1"/>
  <c r="E535" i="4" s="1"/>
  <c r="E1202" i="14"/>
  <c r="E1259" i="14"/>
  <c r="F305" i="14"/>
  <c r="F1158" i="14" s="1"/>
  <c r="F1173" i="14" s="1"/>
  <c r="E1158" i="14"/>
  <c r="E1173" i="14" s="1"/>
  <c r="E872" i="14"/>
  <c r="F872" i="14"/>
  <c r="Z101" i="21"/>
  <c r="F505" i="4"/>
  <c r="F502" i="4"/>
  <c r="G191" i="15"/>
  <c r="D402" i="4"/>
  <c r="E403" i="4"/>
  <c r="J704" i="4"/>
  <c r="N704" i="4"/>
  <c r="G704" i="4"/>
  <c r="K704" i="4"/>
  <c r="O704" i="4"/>
  <c r="H704" i="4"/>
  <c r="L704" i="4"/>
  <c r="F704" i="4"/>
  <c r="I704" i="4"/>
  <c r="M704" i="4"/>
  <c r="M631" i="14"/>
  <c r="M633" i="14" s="1"/>
  <c r="M534" i="14"/>
  <c r="M537" i="14" s="1"/>
  <c r="N182" i="16" s="1"/>
  <c r="E530" i="4"/>
  <c r="E641" i="4" s="1"/>
  <c r="G491" i="4"/>
  <c r="G493" i="4" s="1"/>
  <c r="K491" i="4"/>
  <c r="K493" i="4" s="1"/>
  <c r="O491" i="4"/>
  <c r="O493" i="4" s="1"/>
  <c r="J491" i="4"/>
  <c r="J493" i="4" s="1"/>
  <c r="H491" i="4"/>
  <c r="H493" i="4" s="1"/>
  <c r="L491" i="4"/>
  <c r="L493" i="4" s="1"/>
  <c r="E491" i="4"/>
  <c r="E493" i="4" s="1"/>
  <c r="E496" i="4" s="1"/>
  <c r="I491" i="4"/>
  <c r="I493" i="4" s="1"/>
  <c r="M491" i="4"/>
  <c r="M493" i="4" s="1"/>
  <c r="F491" i="4"/>
  <c r="F493" i="4" s="1"/>
  <c r="N491" i="4"/>
  <c r="N493" i="4" s="1"/>
  <c r="M820" i="16"/>
  <c r="AG84" i="21" s="1"/>
  <c r="Y738" i="16" s="1"/>
  <c r="E820" i="16"/>
  <c r="Y84" i="21" s="1"/>
  <c r="Q738" i="16" s="1"/>
  <c r="E296" i="14"/>
  <c r="E14" i="14"/>
  <c r="E10" i="14" s="1"/>
  <c r="E31" i="14" s="1"/>
  <c r="P13" i="14"/>
  <c r="P738" i="16"/>
  <c r="E21" i="14"/>
  <c r="D987" i="14"/>
  <c r="E1113" i="14" s="1"/>
  <c r="E61" i="15"/>
  <c r="E60" i="15"/>
  <c r="F45" i="15"/>
  <c r="E62" i="15"/>
  <c r="P114" i="16"/>
  <c r="T28" i="29" s="1"/>
  <c r="N498" i="16"/>
  <c r="T95" i="32" s="1"/>
  <c r="L114" i="16"/>
  <c r="P28" i="29" s="1"/>
  <c r="P29" i="29" s="1"/>
  <c r="J498" i="16"/>
  <c r="P95" i="32" s="1"/>
  <c r="U203" i="48"/>
  <c r="N114" i="16"/>
  <c r="R28" i="29" s="1"/>
  <c r="L498" i="16"/>
  <c r="R95" i="32" s="1"/>
  <c r="M114" i="16"/>
  <c r="Q28" i="29" s="1"/>
  <c r="K498" i="16"/>
  <c r="Q95" i="32" s="1"/>
  <c r="O114" i="16"/>
  <c r="S28" i="29" s="1"/>
  <c r="S29" i="29" s="1"/>
  <c r="M498" i="16"/>
  <c r="S95" i="32" s="1"/>
  <c r="I272" i="14"/>
  <c r="J272" i="14"/>
  <c r="K272" i="14"/>
  <c r="L272" i="14"/>
  <c r="M272" i="14"/>
  <c r="N272" i="14"/>
  <c r="O272" i="14"/>
  <c r="AJ73" i="32"/>
  <c r="H475" i="14"/>
  <c r="O80" i="32"/>
  <c r="F787" i="14"/>
  <c r="E299" i="14"/>
  <c r="G689" i="14"/>
  <c r="D1008" i="14"/>
  <c r="D1112" i="14" s="1"/>
  <c r="D1007" i="14"/>
  <c r="D1111" i="14" s="1"/>
  <c r="O14" i="14"/>
  <c r="O11" i="14" s="1"/>
  <c r="M474" i="14"/>
  <c r="O474" i="14"/>
  <c r="K474" i="14"/>
  <c r="I474" i="14"/>
  <c r="J474" i="14"/>
  <c r="G14" i="14"/>
  <c r="G12" i="14" s="1"/>
  <c r="F407" i="4"/>
  <c r="E762" i="16" s="1"/>
  <c r="D65" i="48"/>
  <c r="D31" i="33" s="1"/>
  <c r="D233" i="48"/>
  <c r="G175" i="2" s="1"/>
  <c r="F191" i="14"/>
  <c r="F192" i="14" s="1"/>
  <c r="E1036" i="14" s="1"/>
  <c r="J191" i="14"/>
  <c r="J192" i="14" s="1"/>
  <c r="I1036" i="14" s="1"/>
  <c r="E768" i="16"/>
  <c r="X56" i="21" s="1"/>
  <c r="X59" i="21" s="1"/>
  <c r="AC101" i="21"/>
  <c r="H656" i="14"/>
  <c r="H665" i="14" s="1"/>
  <c r="S126" i="32"/>
  <c r="I78" i="32"/>
  <c r="Y25" i="36" s="1"/>
  <c r="Z121" i="32"/>
  <c r="AA121" i="32" s="1"/>
  <c r="E298" i="14"/>
  <c r="F651" i="4"/>
  <c r="E65" i="48" s="1"/>
  <c r="K82" i="32"/>
  <c r="N92" i="32"/>
  <c r="R151" i="32"/>
  <c r="M14" i="14"/>
  <c r="M11" i="14" s="1"/>
  <c r="G406" i="4"/>
  <c r="G19" i="14"/>
  <c r="G17" i="14" s="1"/>
  <c r="G643" i="4"/>
  <c r="D67" i="14"/>
  <c r="D985" i="14" s="1"/>
  <c r="D992" i="14" s="1"/>
  <c r="D993" i="14" s="1"/>
  <c r="AE101" i="21"/>
  <c r="S55" i="32"/>
  <c r="Z131" i="32"/>
  <c r="AA131" i="32" s="1"/>
  <c r="M92" i="32"/>
  <c r="K110" i="32"/>
  <c r="E530" i="14"/>
  <c r="I39" i="48"/>
  <c r="AJ99" i="32"/>
  <c r="Z159" i="32"/>
  <c r="Q169" i="32"/>
  <c r="AJ148" i="32"/>
  <c r="K66" i="32"/>
  <c r="E191" i="14"/>
  <c r="E192" i="14" s="1"/>
  <c r="D1036" i="14" s="1"/>
  <c r="E1122" i="14" s="1"/>
  <c r="M191" i="14"/>
  <c r="M192" i="14" s="1"/>
  <c r="L1036" i="14" s="1"/>
  <c r="D1009" i="14"/>
  <c r="D1113" i="14" s="1"/>
  <c r="O163" i="32"/>
  <c r="L140" i="32"/>
  <c r="Q103" i="32"/>
  <c r="Z126" i="32"/>
  <c r="AA126" i="32" s="1"/>
  <c r="S157" i="32"/>
  <c r="I99" i="32"/>
  <c r="Y46" i="36" s="1"/>
  <c r="L475" i="14"/>
  <c r="E455" i="14"/>
  <c r="E250" i="14" s="1"/>
  <c r="E46" i="14"/>
  <c r="Z92" i="32"/>
  <c r="AA92" i="32" s="1"/>
  <c r="P145" i="32"/>
  <c r="I121" i="32"/>
  <c r="Y68" i="36" s="1"/>
  <c r="T141" i="32"/>
  <c r="H20" i="15"/>
  <c r="I20" i="15" s="1"/>
  <c r="O524" i="14"/>
  <c r="O530" i="14" s="1"/>
  <c r="O55" i="32"/>
  <c r="AJ69" i="32"/>
  <c r="R121" i="32"/>
  <c r="O151" i="32"/>
  <c r="Q109" i="32"/>
  <c r="T80" i="32"/>
  <c r="N107" i="32"/>
  <c r="N105" i="32"/>
  <c r="G501" i="4"/>
  <c r="K61" i="32"/>
  <c r="G272" i="14"/>
  <c r="H272" i="14"/>
  <c r="F272" i="14"/>
  <c r="E242" i="14"/>
  <c r="E243" i="14" s="1"/>
  <c r="D271" i="14" s="1"/>
  <c r="N267" i="14"/>
  <c r="L267" i="14"/>
  <c r="H312" i="4"/>
  <c r="Y101" i="21"/>
  <c r="F104" i="15"/>
  <c r="F112" i="15" s="1"/>
  <c r="O106" i="32"/>
  <c r="R70" i="32"/>
  <c r="K257" i="48"/>
  <c r="R150" i="32"/>
  <c r="Z64" i="32"/>
  <c r="AA64" i="32" s="1"/>
  <c r="P164" i="32"/>
  <c r="AJ144" i="32"/>
  <c r="I106" i="32"/>
  <c r="Y53" i="36" s="1"/>
  <c r="L129" i="32"/>
  <c r="L76" i="32"/>
  <c r="N158" i="32"/>
  <c r="I63" i="32"/>
  <c r="Y10" i="36" s="1"/>
  <c r="T128" i="32"/>
  <c r="S81" i="32"/>
  <c r="S84" i="32"/>
  <c r="N144" i="32"/>
  <c r="O61" i="32"/>
  <c r="R119" i="32"/>
  <c r="AI87" i="32"/>
  <c r="T106" i="32"/>
  <c r="Q70" i="32"/>
  <c r="S107" i="32"/>
  <c r="AI158" i="32"/>
  <c r="S127" i="32"/>
  <c r="P61" i="32"/>
  <c r="N128" i="32"/>
  <c r="K169" i="32"/>
  <c r="AJ135" i="32"/>
  <c r="K84" i="32"/>
  <c r="N140" i="32"/>
  <c r="N132" i="32"/>
  <c r="Q63" i="32"/>
  <c r="I65" i="32"/>
  <c r="Y12" i="36" s="1"/>
  <c r="I176" i="48"/>
  <c r="L14" i="14"/>
  <c r="L11" i="14" s="1"/>
  <c r="J14" i="14"/>
  <c r="J10" i="14" s="1"/>
  <c r="M475" i="14"/>
  <c r="I475" i="14"/>
  <c r="F14" i="14"/>
  <c r="F12" i="14" s="1"/>
  <c r="N475" i="14"/>
  <c r="K14" i="14"/>
  <c r="K12" i="14" s="1"/>
  <c r="N474" i="14"/>
  <c r="I14" i="14"/>
  <c r="I12" i="14" s="1"/>
  <c r="H14" i="14"/>
  <c r="H12" i="14" s="1"/>
  <c r="E475" i="14"/>
  <c r="J475" i="14"/>
  <c r="G475" i="14"/>
  <c r="E474" i="14"/>
  <c r="G756" i="14"/>
  <c r="G755" i="14" s="1"/>
  <c r="G789" i="14" s="1"/>
  <c r="S106" i="32"/>
  <c r="L474" i="14"/>
  <c r="H474" i="14"/>
  <c r="G474" i="14"/>
  <c r="M145" i="32"/>
  <c r="O158" i="32"/>
  <c r="O475" i="14"/>
  <c r="N14" i="14"/>
  <c r="N12" i="14" s="1"/>
  <c r="M267" i="14"/>
  <c r="K475" i="14"/>
  <c r="I655" i="14"/>
  <c r="J655" i="14" s="1"/>
  <c r="K78" i="32"/>
  <c r="I267" i="14"/>
  <c r="AJ82" i="32"/>
  <c r="M74" i="32"/>
  <c r="Z104" i="32"/>
  <c r="AA104" i="32" s="1"/>
  <c r="Z148" i="32"/>
  <c r="S138" i="32"/>
  <c r="P109" i="32"/>
  <c r="Q69" i="32"/>
  <c r="L113" i="32"/>
  <c r="J280" i="4"/>
  <c r="K164" i="32"/>
  <c r="K191" i="14"/>
  <c r="J1035" i="14" s="1"/>
  <c r="L524" i="14"/>
  <c r="L522" i="14" s="1"/>
  <c r="L526" i="14" s="1"/>
  <c r="L280" i="4"/>
  <c r="E313" i="14"/>
  <c r="E319" i="14" s="1"/>
  <c r="E601" i="14" s="1"/>
  <c r="N280" i="4"/>
  <c r="G732" i="14"/>
  <c r="H280" i="4"/>
  <c r="M165" i="32"/>
  <c r="G191" i="14"/>
  <c r="F1035" i="14" s="1"/>
  <c r="K55" i="32"/>
  <c r="K39" i="48"/>
  <c r="I280" i="4"/>
  <c r="P53" i="14"/>
  <c r="O280" i="4"/>
  <c r="I191" i="14"/>
  <c r="I192" i="14" s="1"/>
  <c r="H1036" i="14" s="1"/>
  <c r="K280" i="4"/>
  <c r="E456" i="14"/>
  <c r="E458" i="14" s="1"/>
  <c r="E467" i="14" s="1"/>
  <c r="E62" i="14" s="1"/>
  <c r="L525" i="14"/>
  <c r="L523" i="14" s="1"/>
  <c r="L528" i="14" s="1"/>
  <c r="L529" i="14" s="1"/>
  <c r="M280" i="4"/>
  <c r="N133" i="32"/>
  <c r="M211" i="48"/>
  <c r="L39" i="48"/>
  <c r="E39" i="48"/>
  <c r="H39" i="48"/>
  <c r="J39" i="48"/>
  <c r="G39" i="48"/>
  <c r="F39" i="48"/>
  <c r="P68" i="32"/>
  <c r="AJ119" i="32"/>
  <c r="R69" i="32"/>
  <c r="O144" i="32"/>
  <c r="Z112" i="32"/>
  <c r="AA112" i="32" s="1"/>
  <c r="T87" i="32"/>
  <c r="AI105" i="32"/>
  <c r="M80" i="32"/>
  <c r="N159" i="32"/>
  <c r="Z127" i="32"/>
  <c r="AA127" i="32" s="1"/>
  <c r="Z78" i="32"/>
  <c r="AA78" i="32" s="1"/>
  <c r="L100" i="32"/>
  <c r="I145" i="32"/>
  <c r="Y92" i="36" s="1"/>
  <c r="R110" i="32"/>
  <c r="R136" i="32"/>
  <c r="L154" i="32"/>
  <c r="K104" i="32"/>
  <c r="L163" i="32"/>
  <c r="I131" i="32"/>
  <c r="Y78" i="36" s="1"/>
  <c r="O153" i="32"/>
  <c r="Z140" i="32"/>
  <c r="M151" i="32"/>
  <c r="T145" i="32"/>
  <c r="Q84" i="32"/>
  <c r="Q110" i="32"/>
  <c r="AI63" i="32"/>
  <c r="I144" i="32"/>
  <c r="Y91" i="36" s="1"/>
  <c r="AJ92" i="32"/>
  <c r="Q64" i="32"/>
  <c r="Q89" i="32"/>
  <c r="T85" i="32"/>
  <c r="R115" i="32"/>
  <c r="M105" i="32"/>
  <c r="P64" i="32"/>
  <c r="S164" i="32"/>
  <c r="K152" i="32"/>
  <c r="Z71" i="32"/>
  <c r="AA71" i="32" s="1"/>
  <c r="P119" i="32"/>
  <c r="AI163" i="32"/>
  <c r="T144" i="32"/>
  <c r="I128" i="32"/>
  <c r="Y75" i="36" s="1"/>
  <c r="L153" i="32"/>
  <c r="K87" i="32"/>
  <c r="AJ138" i="32"/>
  <c r="AI121" i="32"/>
  <c r="M140" i="32"/>
  <c r="Q65" i="32"/>
  <c r="N80" i="32"/>
  <c r="N150" i="32"/>
  <c r="AI106" i="32"/>
  <c r="K81" i="32"/>
  <c r="S151" i="32"/>
  <c r="N127" i="32"/>
  <c r="S148" i="32"/>
  <c r="I132" i="32"/>
  <c r="Y79" i="36" s="1"/>
  <c r="Z157" i="32"/>
  <c r="M129" i="32"/>
  <c r="O89" i="32"/>
  <c r="AJ162" i="32"/>
  <c r="K141" i="32"/>
  <c r="M85" i="32"/>
  <c r="L136" i="32"/>
  <c r="Q91" i="32"/>
  <c r="P154" i="32"/>
  <c r="P115" i="32"/>
  <c r="AI119" i="32"/>
  <c r="K69" i="32"/>
  <c r="S163" i="32"/>
  <c r="P131" i="32"/>
  <c r="M153" i="32"/>
  <c r="N138" i="32"/>
  <c r="AJ105" i="32"/>
  <c r="AJ65" i="32"/>
  <c r="Q150" i="32"/>
  <c r="R159" i="32"/>
  <c r="Q135" i="32"/>
  <c r="AI103" i="32"/>
  <c r="T78" i="32"/>
  <c r="S64" i="32"/>
  <c r="Z95" i="32"/>
  <c r="AA95" i="32" s="1"/>
  <c r="Z145" i="32"/>
  <c r="N109" i="32"/>
  <c r="AJ58" i="32"/>
  <c r="R162" i="32"/>
  <c r="AI110" i="32"/>
  <c r="Q164" i="32"/>
  <c r="S136" i="32"/>
  <c r="Z69" i="32"/>
  <c r="AA69" i="32" s="1"/>
  <c r="M163" i="32"/>
  <c r="S131" i="32"/>
  <c r="AI112" i="32"/>
  <c r="N153" i="32"/>
  <c r="I138" i="32"/>
  <c r="Y85" i="36" s="1"/>
  <c r="AJ140" i="32"/>
  <c r="P150" i="32"/>
  <c r="I122" i="32"/>
  <c r="Y69" i="36" s="1"/>
  <c r="Q81" i="32"/>
  <c r="O127" i="32"/>
  <c r="AI60" i="32"/>
  <c r="K132" i="32"/>
  <c r="M157" i="32"/>
  <c r="AI84" i="32"/>
  <c r="N126" i="32"/>
  <c r="R63" i="32"/>
  <c r="P82" i="32"/>
  <c r="S119" i="32"/>
  <c r="K144" i="32"/>
  <c r="AJ153" i="32"/>
  <c r="T65" i="32"/>
  <c r="AJ127" i="32"/>
  <c r="K100" i="32"/>
  <c r="Z84" i="32"/>
  <c r="AA84" i="32" s="1"/>
  <c r="K136" i="32"/>
  <c r="T62" i="32"/>
  <c r="M166" i="32"/>
  <c r="O146" i="32"/>
  <c r="AI114" i="32"/>
  <c r="AI156" i="32"/>
  <c r="Z86" i="32"/>
  <c r="AA86" i="32" s="1"/>
  <c r="I124" i="32"/>
  <c r="Y71" i="36" s="1"/>
  <c r="T161" i="32"/>
  <c r="I165" i="32"/>
  <c r="Y112" i="36" s="1"/>
  <c r="P139" i="32"/>
  <c r="L75" i="32"/>
  <c r="AJ59" i="32"/>
  <c r="I102" i="32"/>
  <c r="Y49" i="36" s="1"/>
  <c r="L134" i="32"/>
  <c r="K133" i="32"/>
  <c r="N66" i="32"/>
  <c r="Z168" i="32"/>
  <c r="T130" i="32"/>
  <c r="Z67" i="32"/>
  <c r="AA67" i="32" s="1"/>
  <c r="Z149" i="32"/>
  <c r="R149" i="32"/>
  <c r="Q104" i="32"/>
  <c r="Z154" i="32"/>
  <c r="O91" i="32"/>
  <c r="O107" i="32"/>
  <c r="Z63" i="32"/>
  <c r="AA63" i="32" s="1"/>
  <c r="R141" i="32"/>
  <c r="R126" i="32"/>
  <c r="M89" i="32"/>
  <c r="S129" i="32"/>
  <c r="R157" i="32"/>
  <c r="O70" i="32"/>
  <c r="N148" i="32"/>
  <c r="AJ60" i="32"/>
  <c r="O103" i="32"/>
  <c r="P135" i="32"/>
  <c r="S159" i="32"/>
  <c r="K150" i="32"/>
  <c r="P140" i="32"/>
  <c r="M121" i="32"/>
  <c r="I92" i="32"/>
  <c r="Y39" i="36" s="1"/>
  <c r="K153" i="32"/>
  <c r="P158" i="32"/>
  <c r="K128" i="32"/>
  <c r="AI131" i="32"/>
  <c r="R163" i="32"/>
  <c r="S69" i="32"/>
  <c r="L119" i="32"/>
  <c r="P79" i="32"/>
  <c r="AJ74" i="32"/>
  <c r="I74" i="32"/>
  <c r="Y21" i="36" s="1"/>
  <c r="T104" i="32"/>
  <c r="AJ120" i="32"/>
  <c r="AI115" i="32"/>
  <c r="AJ169" i="32"/>
  <c r="O82" i="32"/>
  <c r="L91" i="32"/>
  <c r="R107" i="32"/>
  <c r="L63" i="32"/>
  <c r="N85" i="32"/>
  <c r="Z164" i="32"/>
  <c r="Q141" i="32"/>
  <c r="T110" i="32"/>
  <c r="T126" i="32"/>
  <c r="Q61" i="32"/>
  <c r="I61" i="32"/>
  <c r="Y8" i="36" s="1"/>
  <c r="R84" i="32"/>
  <c r="K89" i="32"/>
  <c r="Z109" i="32"/>
  <c r="AA109" i="32" s="1"/>
  <c r="O129" i="32"/>
  <c r="T157" i="32"/>
  <c r="P70" i="32"/>
  <c r="Q100" i="32"/>
  <c r="AI64" i="32"/>
  <c r="L148" i="32"/>
  <c r="AI78" i="32"/>
  <c r="AJ103" i="32"/>
  <c r="R127" i="32"/>
  <c r="L135" i="32"/>
  <c r="P151" i="32"/>
  <c r="M159" i="32"/>
  <c r="U109" i="32"/>
  <c r="R147" i="32"/>
  <c r="K98" i="32"/>
  <c r="Z77" i="32"/>
  <c r="AA77" i="32" s="1"/>
  <c r="N125" i="32"/>
  <c r="I155" i="32"/>
  <c r="Y102" i="36" s="1"/>
  <c r="AJ137" i="32"/>
  <c r="I111" i="32"/>
  <c r="Y58" i="36" s="1"/>
  <c r="R166" i="32"/>
  <c r="K171" i="32"/>
  <c r="AI79" i="32"/>
  <c r="T147" i="32"/>
  <c r="P125" i="32"/>
  <c r="AI101" i="32"/>
  <c r="O86" i="32"/>
  <c r="R165" i="32"/>
  <c r="Z142" i="32"/>
  <c r="T152" i="32"/>
  <c r="K74" i="32"/>
  <c r="S79" i="32"/>
  <c r="L115" i="32"/>
  <c r="N82" i="32"/>
  <c r="Z107" i="32"/>
  <c r="AA107" i="32" s="1"/>
  <c r="L85" i="32"/>
  <c r="AI141" i="32"/>
  <c r="T162" i="32"/>
  <c r="S89" i="32"/>
  <c r="S145" i="32"/>
  <c r="AI95" i="32"/>
  <c r="N100" i="32"/>
  <c r="L132" i="32"/>
  <c r="P148" i="32"/>
  <c r="Z103" i="32"/>
  <c r="AA103" i="32" s="1"/>
  <c r="T151" i="32"/>
  <c r="P159" i="32"/>
  <c r="K80" i="32"/>
  <c r="T105" i="32"/>
  <c r="Q138" i="32"/>
  <c r="N87" i="32"/>
  <c r="R153" i="32"/>
  <c r="S158" i="32"/>
  <c r="I112" i="32"/>
  <c r="Y59" i="36" s="1"/>
  <c r="R128" i="32"/>
  <c r="P144" i="32"/>
  <c r="I163" i="32"/>
  <c r="Y110" i="36" s="1"/>
  <c r="N69" i="32"/>
  <c r="I119" i="32"/>
  <c r="Y66" i="36" s="1"/>
  <c r="S62" i="32"/>
  <c r="S74" i="32"/>
  <c r="AJ104" i="32"/>
  <c r="AI120" i="32"/>
  <c r="I120" i="32"/>
  <c r="Y67" i="36" s="1"/>
  <c r="L169" i="32"/>
  <c r="AJ154" i="32"/>
  <c r="Z82" i="32"/>
  <c r="AA82" i="32" s="1"/>
  <c r="K91" i="32"/>
  <c r="Q136" i="32"/>
  <c r="K63" i="32"/>
  <c r="Q85" i="32"/>
  <c r="AI164" i="32"/>
  <c r="I141" i="32"/>
  <c r="Y88" i="36" s="1"/>
  <c r="AI126" i="32"/>
  <c r="I162" i="32"/>
  <c r="Y109" i="36" s="1"/>
  <c r="P84" i="32"/>
  <c r="P89" i="32"/>
  <c r="T109" i="32"/>
  <c r="R129" i="32"/>
  <c r="N157" i="32"/>
  <c r="K70" i="32"/>
  <c r="R132" i="32"/>
  <c r="N64" i="32"/>
  <c r="K148" i="32"/>
  <c r="N78" i="32"/>
  <c r="Z66" i="32"/>
  <c r="AA66" i="32" s="1"/>
  <c r="R137" i="32"/>
  <c r="Q108" i="32"/>
  <c r="L93" i="32"/>
  <c r="L97" i="32"/>
  <c r="S155" i="32"/>
  <c r="L143" i="32"/>
  <c r="L82" i="32"/>
  <c r="M169" i="32"/>
  <c r="L164" i="32"/>
  <c r="M109" i="32"/>
  <c r="T70" i="32"/>
  <c r="R64" i="32"/>
  <c r="AI81" i="32"/>
  <c r="AI96" i="32"/>
  <c r="Q121" i="32"/>
  <c r="P87" i="32"/>
  <c r="L158" i="32"/>
  <c r="AJ131" i="32"/>
  <c r="P62" i="32"/>
  <c r="M104" i="32"/>
  <c r="AJ115" i="32"/>
  <c r="R154" i="32"/>
  <c r="AI56" i="32"/>
  <c r="AJ136" i="32"/>
  <c r="S85" i="32"/>
  <c r="P110" i="32"/>
  <c r="K162" i="32"/>
  <c r="R89" i="32"/>
  <c r="AJ145" i="32"/>
  <c r="I95" i="32"/>
  <c r="Y42" i="36" s="1"/>
  <c r="AI116" i="32"/>
  <c r="AJ64" i="32"/>
  <c r="AJ78" i="32"/>
  <c r="I73" i="32"/>
  <c r="Y20" i="36" s="1"/>
  <c r="P127" i="32"/>
  <c r="R135" i="32"/>
  <c r="N81" i="32"/>
  <c r="K159" i="32"/>
  <c r="Z122" i="32"/>
  <c r="AA122" i="32" s="1"/>
  <c r="AJ150" i="32"/>
  <c r="AI80" i="32"/>
  <c r="Q140" i="32"/>
  <c r="L105" i="32"/>
  <c r="P138" i="32"/>
  <c r="AI92" i="32"/>
  <c r="O87" i="32"/>
  <c r="S153" i="32"/>
  <c r="AJ112" i="32"/>
  <c r="AI128" i="32"/>
  <c r="T131" i="32"/>
  <c r="AI144" i="32"/>
  <c r="N163" i="32"/>
  <c r="AI94" i="32"/>
  <c r="O69" i="32"/>
  <c r="O119" i="32"/>
  <c r="AI107" i="32"/>
  <c r="P136" i="32"/>
  <c r="N63" i="32"/>
  <c r="P85" i="32"/>
  <c r="M164" i="32"/>
  <c r="P141" i="32"/>
  <c r="M110" i="32"/>
  <c r="O126" i="32"/>
  <c r="M61" i="32"/>
  <c r="T84" i="32"/>
  <c r="I89" i="32"/>
  <c r="Y36" i="36" s="1"/>
  <c r="L109" i="32"/>
  <c r="AI129" i="32"/>
  <c r="AI145" i="32"/>
  <c r="O95" i="32"/>
  <c r="N70" i="32"/>
  <c r="P100" i="32"/>
  <c r="O132" i="32"/>
  <c r="I64" i="32"/>
  <c r="Y11" i="36" s="1"/>
  <c r="M78" i="32"/>
  <c r="T103" i="32"/>
  <c r="K127" i="32"/>
  <c r="N135" i="32"/>
  <c r="L151" i="32"/>
  <c r="O81" i="32"/>
  <c r="Z106" i="32"/>
  <c r="AA106" i="32" s="1"/>
  <c r="AI150" i="32"/>
  <c r="Q80" i="32"/>
  <c r="R65" i="32"/>
  <c r="R140" i="32"/>
  <c r="R105" i="32"/>
  <c r="AJ121" i="32"/>
  <c r="K138" i="32"/>
  <c r="S92" i="32"/>
  <c r="AJ87" i="32"/>
  <c r="Z153" i="32"/>
  <c r="Q128" i="32"/>
  <c r="M131" i="32"/>
  <c r="Q144" i="32"/>
  <c r="P163" i="32"/>
  <c r="L69" i="32"/>
  <c r="T119" i="32"/>
  <c r="R104" i="32"/>
  <c r="M115" i="32"/>
  <c r="S169" i="32"/>
  <c r="M154" i="32"/>
  <c r="M82" i="32"/>
  <c r="AI82" i="32"/>
  <c r="T107" i="32"/>
  <c r="Z136" i="32"/>
  <c r="I136" i="32"/>
  <c r="Y83" i="36" s="1"/>
  <c r="AI85" i="32"/>
  <c r="I164" i="32"/>
  <c r="Y111" i="36" s="1"/>
  <c r="L141" i="32"/>
  <c r="N110" i="32"/>
  <c r="I126" i="32"/>
  <c r="Y73" i="36" s="1"/>
  <c r="M162" i="32"/>
  <c r="L84" i="32"/>
  <c r="AJ89" i="32"/>
  <c r="I109" i="32"/>
  <c r="Y56" i="36" s="1"/>
  <c r="AJ129" i="32"/>
  <c r="L145" i="32"/>
  <c r="O157" i="32"/>
  <c r="M70" i="32"/>
  <c r="O100" i="32"/>
  <c r="Q132" i="32"/>
  <c r="O64" i="32"/>
  <c r="T148" i="32"/>
  <c r="P78" i="32"/>
  <c r="M103" i="32"/>
  <c r="I127" i="32"/>
  <c r="Y74" i="36" s="1"/>
  <c r="M135" i="32"/>
  <c r="Q147" i="32"/>
  <c r="S113" i="32"/>
  <c r="AJ134" i="32"/>
  <c r="S86" i="32"/>
  <c r="AI130" i="32"/>
  <c r="Z79" i="32"/>
  <c r="AA79" i="32" s="1"/>
  <c r="O76" i="32"/>
  <c r="R123" i="32"/>
  <c r="R75" i="32"/>
  <c r="Q74" i="32"/>
  <c r="M91" i="32"/>
  <c r="P63" i="32"/>
  <c r="Z110" i="32"/>
  <c r="AA110" i="32" s="1"/>
  <c r="O84" i="32"/>
  <c r="AI157" i="32"/>
  <c r="L78" i="32"/>
  <c r="K135" i="32"/>
  <c r="M106" i="32"/>
  <c r="Z65" i="32"/>
  <c r="AA65" i="32" s="1"/>
  <c r="K92" i="32"/>
  <c r="AI153" i="32"/>
  <c r="L128" i="32"/>
  <c r="R144" i="32"/>
  <c r="T69" i="32"/>
  <c r="I79" i="32"/>
  <c r="Y26" i="36" s="1"/>
  <c r="T74" i="32"/>
  <c r="R169" i="32"/>
  <c r="Z91" i="32"/>
  <c r="AA91" i="32" s="1"/>
  <c r="K107" i="32"/>
  <c r="AJ63" i="32"/>
  <c r="R164" i="32"/>
  <c r="Q126" i="32"/>
  <c r="N61" i="32"/>
  <c r="I84" i="32"/>
  <c r="Y31" i="36" s="1"/>
  <c r="P129" i="32"/>
  <c r="P157" i="32"/>
  <c r="I100" i="32"/>
  <c r="Y47" i="36" s="1"/>
  <c r="T132" i="32"/>
  <c r="I148" i="32"/>
  <c r="Y95" i="36" s="1"/>
  <c r="L103" i="32"/>
  <c r="AI127" i="32"/>
  <c r="I151" i="32"/>
  <c r="Y98" i="36" s="1"/>
  <c r="T81" i="32"/>
  <c r="L106" i="32"/>
  <c r="Z80" i="32"/>
  <c r="AA80" i="32" s="1"/>
  <c r="P65" i="32"/>
  <c r="O105" i="32"/>
  <c r="N121" i="32"/>
  <c r="O138" i="32"/>
  <c r="S87" i="32"/>
  <c r="Q153" i="32"/>
  <c r="Z158" i="32"/>
  <c r="N131" i="32"/>
  <c r="L144" i="32"/>
  <c r="Q163" i="32"/>
  <c r="M69" i="32"/>
  <c r="AI99" i="32"/>
  <c r="N119" i="32"/>
  <c r="Q107" i="32"/>
  <c r="AI136" i="32"/>
  <c r="R85" i="32"/>
  <c r="T164" i="32"/>
  <c r="S141" i="32"/>
  <c r="L110" i="32"/>
  <c r="M126" i="32"/>
  <c r="O162" i="32"/>
  <c r="AI58" i="32"/>
  <c r="N84" i="32"/>
  <c r="AJ109" i="32"/>
  <c r="I129" i="32"/>
  <c r="Y76" i="36" s="1"/>
  <c r="Q145" i="32"/>
  <c r="I157" i="32"/>
  <c r="Y104" i="36" s="1"/>
  <c r="L70" i="32"/>
  <c r="AI100" i="32"/>
  <c r="AJ116" i="32"/>
  <c r="P132" i="32"/>
  <c r="M64" i="32"/>
  <c r="AI148" i="32"/>
  <c r="AI73" i="32"/>
  <c r="N103" i="32"/>
  <c r="Q127" i="32"/>
  <c r="N151" i="32"/>
  <c r="M81" i="32"/>
  <c r="AJ159" i="32"/>
  <c r="AJ106" i="32"/>
  <c r="AJ96" i="32"/>
  <c r="T150" i="32"/>
  <c r="R80" i="32"/>
  <c r="S80" i="32"/>
  <c r="L65" i="32"/>
  <c r="AI140" i="32"/>
  <c r="P121" i="32"/>
  <c r="R138" i="32"/>
  <c r="Q92" i="32"/>
  <c r="Z87" i="32"/>
  <c r="AA87" i="32" s="1"/>
  <c r="P153" i="32"/>
  <c r="K158" i="32"/>
  <c r="S128" i="32"/>
  <c r="O131" i="32"/>
  <c r="S144" i="32"/>
  <c r="AJ163" i="32"/>
  <c r="I69" i="32"/>
  <c r="Y16" i="36" s="1"/>
  <c r="K119" i="32"/>
  <c r="Z120" i="32"/>
  <c r="AA120" i="32" s="1"/>
  <c r="O115" i="32"/>
  <c r="P169" i="32"/>
  <c r="O154" i="32"/>
  <c r="R82" i="32"/>
  <c r="T91" i="32"/>
  <c r="M107" i="32"/>
  <c r="O136" i="32"/>
  <c r="S63" i="32"/>
  <c r="O85" i="32"/>
  <c r="O141" i="32"/>
  <c r="AJ110" i="32"/>
  <c r="L126" i="32"/>
  <c r="Z162" i="32"/>
  <c r="L61" i="32"/>
  <c r="N89" i="32"/>
  <c r="O109" i="32"/>
  <c r="N129" i="32"/>
  <c r="R145" i="32"/>
  <c r="AJ157" i="32"/>
  <c r="K95" i="32"/>
  <c r="AJ70" i="32"/>
  <c r="M132" i="32"/>
  <c r="R148" i="32"/>
  <c r="O78" i="32"/>
  <c r="I60" i="32"/>
  <c r="Y7" i="36" s="1"/>
  <c r="P103" i="32"/>
  <c r="M127" i="32"/>
  <c r="O135" i="32"/>
  <c r="AJ151" i="32"/>
  <c r="L81" i="32"/>
  <c r="I159" i="32"/>
  <c r="Y106" i="36" s="1"/>
  <c r="Q106" i="32"/>
  <c r="Z150" i="32"/>
  <c r="P80" i="32"/>
  <c r="AI65" i="32"/>
  <c r="O140" i="32"/>
  <c r="Q105" i="32"/>
  <c r="T121" i="32"/>
  <c r="P92" i="32"/>
  <c r="R87" i="32"/>
  <c r="I87" i="32"/>
  <c r="Y34" i="36" s="1"/>
  <c r="T158" i="32"/>
  <c r="O128" i="32"/>
  <c r="L131" i="32"/>
  <c r="Z144" i="32"/>
  <c r="K163" i="32"/>
  <c r="Z128" i="32"/>
  <c r="AA128" i="32" s="1"/>
  <c r="Q158" i="32"/>
  <c r="O92" i="32"/>
  <c r="K121" i="32"/>
  <c r="S65" i="32"/>
  <c r="L150" i="32"/>
  <c r="R106" i="32"/>
  <c r="AI151" i="32"/>
  <c r="S132" i="32"/>
  <c r="R109" i="32"/>
  <c r="AI162" i="32"/>
  <c r="I85" i="32"/>
  <c r="Y32" i="36" s="1"/>
  <c r="Z115" i="32"/>
  <c r="AA115" i="32" s="1"/>
  <c r="T92" i="32"/>
  <c r="S121" i="32"/>
  <c r="I80" i="32"/>
  <c r="Y27" i="36" s="1"/>
  <c r="AI159" i="32"/>
  <c r="L127" i="32"/>
  <c r="T64" i="32"/>
  <c r="AI70" i="32"/>
  <c r="AI109" i="32"/>
  <c r="S162" i="32"/>
  <c r="N164" i="32"/>
  <c r="AJ107" i="32"/>
  <c r="AJ94" i="32"/>
  <c r="AJ128" i="32"/>
  <c r="T153" i="32"/>
  <c r="Z105" i="32"/>
  <c r="AA105" i="32" s="1"/>
  <c r="AJ80" i="32"/>
  <c r="AJ122" i="32"/>
  <c r="L159" i="32"/>
  <c r="AI135" i="32"/>
  <c r="M95" i="32"/>
  <c r="P162" i="32"/>
  <c r="R91" i="32"/>
  <c r="M62" i="32"/>
  <c r="AJ158" i="32"/>
  <c r="R81" i="32"/>
  <c r="K109" i="32"/>
  <c r="I115" i="32"/>
  <c r="Y62" i="36" s="1"/>
  <c r="N117" i="32"/>
  <c r="L133" i="32"/>
  <c r="H77" i="48"/>
  <c r="D47" i="48"/>
  <c r="M119" i="32"/>
  <c r="AI69" i="32"/>
  <c r="I94" i="32"/>
  <c r="Y41" i="36" s="1"/>
  <c r="Z163" i="32"/>
  <c r="K131" i="32"/>
  <c r="P128" i="32"/>
  <c r="M158" i="32"/>
  <c r="I153" i="32"/>
  <c r="Y100" i="36" s="1"/>
  <c r="L92" i="32"/>
  <c r="Z138" i="32"/>
  <c r="I105" i="32"/>
  <c r="Y52" i="36" s="1"/>
  <c r="S140" i="32"/>
  <c r="N65" i="32"/>
  <c r="I150" i="32"/>
  <c r="Y97" i="36" s="1"/>
  <c r="I96" i="32"/>
  <c r="Y43" i="36" s="1"/>
  <c r="AI122" i="32"/>
  <c r="T159" i="32"/>
  <c r="Z81" i="32"/>
  <c r="AA81" i="32" s="1"/>
  <c r="I135" i="32"/>
  <c r="Y82" i="36" s="1"/>
  <c r="S103" i="32"/>
  <c r="Q148" i="32"/>
  <c r="Z116" i="32"/>
  <c r="AA116" i="32" s="1"/>
  <c r="S70" i="32"/>
  <c r="L157" i="32"/>
  <c r="Q129" i="32"/>
  <c r="L89" i="32"/>
  <c r="AI61" i="32"/>
  <c r="K126" i="32"/>
  <c r="Z141" i="32"/>
  <c r="M63" i="32"/>
  <c r="P107" i="32"/>
  <c r="I82" i="32"/>
  <c r="Y29" i="36" s="1"/>
  <c r="I169" i="32"/>
  <c r="Y116" i="36" s="1"/>
  <c r="Q119" i="32"/>
  <c r="Z94" i="32"/>
  <c r="AA94" i="32" s="1"/>
  <c r="M144" i="32"/>
  <c r="M128" i="32"/>
  <c r="R158" i="32"/>
  <c r="Q87" i="32"/>
  <c r="L138" i="32"/>
  <c r="K105" i="32"/>
  <c r="K65" i="32"/>
  <c r="S150" i="32"/>
  <c r="P81" i="32"/>
  <c r="S135" i="32"/>
  <c r="S78" i="32"/>
  <c r="AI132" i="32"/>
  <c r="M100" i="32"/>
  <c r="L95" i="32"/>
  <c r="K129" i="32"/>
  <c r="AI89" i="32"/>
  <c r="P126" i="32"/>
  <c r="M141" i="32"/>
  <c r="AJ85" i="32"/>
  <c r="M136" i="32"/>
  <c r="Z119" i="32"/>
  <c r="AA119" i="32" s="1"/>
  <c r="P69" i="32"/>
  <c r="T163" i="32"/>
  <c r="Q131" i="32"/>
  <c r="I158" i="32"/>
  <c r="Y105" i="36" s="1"/>
  <c r="M87" i="32"/>
  <c r="M138" i="32"/>
  <c r="K140" i="32"/>
  <c r="O150" i="32"/>
  <c r="K106" i="32"/>
  <c r="Q151" i="32"/>
  <c r="R103" i="32"/>
  <c r="Q78" i="32"/>
  <c r="O145" i="32"/>
  <c r="S110" i="32"/>
  <c r="T136" i="32"/>
  <c r="AI154" i="32"/>
  <c r="S104" i="32"/>
  <c r="R131" i="32"/>
  <c r="L87" i="32"/>
  <c r="N162" i="32"/>
  <c r="AI169" i="32"/>
  <c r="AI161" i="32"/>
  <c r="M77" i="32"/>
  <c r="P168" i="32"/>
  <c r="AI117" i="32"/>
  <c r="L67" i="32"/>
  <c r="T171" i="32"/>
  <c r="AJ93" i="32"/>
  <c r="L108" i="32"/>
  <c r="Z113" i="32"/>
  <c r="AA113" i="32" s="1"/>
  <c r="K76" i="32"/>
  <c r="N108" i="32"/>
  <c r="Q143" i="32"/>
  <c r="Z166" i="32"/>
  <c r="I139" i="32"/>
  <c r="Y86" i="36" s="1"/>
  <c r="I97" i="32"/>
  <c r="Y44" i="36" s="1"/>
  <c r="AJ79" i="32"/>
  <c r="M147" i="32"/>
  <c r="N134" i="32"/>
  <c r="AJ123" i="32"/>
  <c r="AI170" i="32"/>
  <c r="I118" i="32"/>
  <c r="Y65" i="36" s="1"/>
  <c r="O156" i="32"/>
  <c r="P76" i="32"/>
  <c r="K117" i="32"/>
  <c r="AJ155" i="32"/>
  <c r="Z133" i="32"/>
  <c r="AA133" i="32" s="1"/>
  <c r="AJ88" i="32"/>
  <c r="Z123" i="32"/>
  <c r="AA123" i="32" s="1"/>
  <c r="L66" i="32"/>
  <c r="Q86" i="32"/>
  <c r="I161" i="32"/>
  <c r="Y108" i="36" s="1"/>
  <c r="Q111" i="32"/>
  <c r="Z143" i="32"/>
  <c r="O93" i="32"/>
  <c r="AI165" i="32"/>
  <c r="AI166" i="32"/>
  <c r="AJ98" i="32"/>
  <c r="AJ130" i="32"/>
  <c r="AI142" i="32"/>
  <c r="O67" i="32"/>
  <c r="O97" i="32"/>
  <c r="AJ113" i="32"/>
  <c r="AJ149" i="32"/>
  <c r="O74" i="32"/>
  <c r="S82" i="32"/>
  <c r="AJ91" i="32"/>
  <c r="P147" i="32"/>
  <c r="AI77" i="32"/>
  <c r="N102" i="32"/>
  <c r="N118" i="32"/>
  <c r="S146" i="32"/>
  <c r="T156" i="32"/>
  <c r="AI134" i="32"/>
  <c r="Q71" i="32"/>
  <c r="I101" i="32"/>
  <c r="Y48" i="36" s="1"/>
  <c r="N167" i="32"/>
  <c r="AI83" i="32"/>
  <c r="AI88" i="32"/>
  <c r="I108" i="32"/>
  <c r="Y55" i="36" s="1"/>
  <c r="O123" i="32"/>
  <c r="M137" i="32"/>
  <c r="I86" i="32"/>
  <c r="Y33" i="36" s="1"/>
  <c r="AJ161" i="32"/>
  <c r="O111" i="32"/>
  <c r="O168" i="32"/>
  <c r="K165" i="32"/>
  <c r="T166" i="32"/>
  <c r="I98" i="32"/>
  <c r="Y45" i="36" s="1"/>
  <c r="Q130" i="32"/>
  <c r="O142" i="32"/>
  <c r="R139" i="32"/>
  <c r="I90" i="32"/>
  <c r="Y37" i="36" s="1"/>
  <c r="Q171" i="32"/>
  <c r="Q152" i="32"/>
  <c r="AJ97" i="32"/>
  <c r="AI75" i="32"/>
  <c r="Q149" i="32"/>
  <c r="AI62" i="32"/>
  <c r="N154" i="32"/>
  <c r="S149" i="32"/>
  <c r="I149" i="32"/>
  <c r="Y96" i="36" s="1"/>
  <c r="Q62" i="32"/>
  <c r="N74" i="32"/>
  <c r="N104" i="32"/>
  <c r="U145" i="32"/>
  <c r="AB145" i="32" s="1"/>
  <c r="S102" i="32"/>
  <c r="Q165" i="32"/>
  <c r="I57" i="32"/>
  <c r="Y4" i="36" s="1"/>
  <c r="Z167" i="32"/>
  <c r="T160" i="32"/>
  <c r="N93" i="32"/>
  <c r="K130" i="32"/>
  <c r="Q67" i="32"/>
  <c r="O75" i="32"/>
  <c r="T154" i="32"/>
  <c r="S118" i="32"/>
  <c r="K155" i="32"/>
  <c r="AI72" i="32"/>
  <c r="R146" i="32"/>
  <c r="T76" i="32"/>
  <c r="L71" i="32"/>
  <c r="I117" i="32"/>
  <c r="Y64" i="36" s="1"/>
  <c r="L83" i="32"/>
  <c r="I88" i="32"/>
  <c r="Y35" i="36" s="1"/>
  <c r="S108" i="32"/>
  <c r="L123" i="32"/>
  <c r="AI137" i="32"/>
  <c r="AJ66" i="32"/>
  <c r="S160" i="32"/>
  <c r="K111" i="32"/>
  <c r="P143" i="32"/>
  <c r="S168" i="32"/>
  <c r="K93" i="32"/>
  <c r="K68" i="32"/>
  <c r="Q166" i="32"/>
  <c r="R142" i="32"/>
  <c r="O139" i="32"/>
  <c r="N171" i="32"/>
  <c r="AJ152" i="32"/>
  <c r="K97" i="32"/>
  <c r="K75" i="32"/>
  <c r="AJ62" i="32"/>
  <c r="P104" i="32"/>
  <c r="I59" i="32"/>
  <c r="Y6" i="36" s="1"/>
  <c r="P170" i="32"/>
  <c r="P77" i="32"/>
  <c r="T102" i="32"/>
  <c r="O125" i="32"/>
  <c r="R156" i="32"/>
  <c r="AJ76" i="32"/>
  <c r="AJ71" i="32"/>
  <c r="Q101" i="32"/>
  <c r="R167" i="32"/>
  <c r="Q155" i="32"/>
  <c r="AJ133" i="32"/>
  <c r="AI108" i="32"/>
  <c r="T137" i="32"/>
  <c r="Q66" i="32"/>
  <c r="L160" i="32"/>
  <c r="S161" i="32"/>
  <c r="K143" i="32"/>
  <c r="AI168" i="32"/>
  <c r="AI68" i="32"/>
  <c r="P166" i="32"/>
  <c r="N130" i="32"/>
  <c r="Z139" i="32"/>
  <c r="I171" i="32"/>
  <c r="Y118" i="36" s="1"/>
  <c r="K67" i="32"/>
  <c r="S152" i="32"/>
  <c r="K113" i="32"/>
  <c r="T75" i="32"/>
  <c r="N79" i="32"/>
  <c r="R74" i="32"/>
  <c r="Z169" i="32"/>
  <c r="AI91" i="32"/>
  <c r="L149" i="32"/>
  <c r="M79" i="32"/>
  <c r="I62" i="32"/>
  <c r="Y9" i="36" s="1"/>
  <c r="L104" i="32"/>
  <c r="M149" i="32"/>
  <c r="P130" i="32"/>
  <c r="P83" i="32"/>
  <c r="AJ165" i="32"/>
  <c r="I67" i="32"/>
  <c r="Y14" i="36" s="1"/>
  <c r="P74" i="32"/>
  <c r="AJ102" i="32"/>
  <c r="I76" i="32"/>
  <c r="Y23" i="36" s="1"/>
  <c r="K167" i="32"/>
  <c r="T123" i="32"/>
  <c r="N86" i="32"/>
  <c r="AI111" i="32"/>
  <c r="AJ168" i="32"/>
  <c r="Z68" i="32"/>
  <c r="AA68" i="32" s="1"/>
  <c r="I114" i="32"/>
  <c r="Y61" i="36" s="1"/>
  <c r="AJ90" i="32"/>
  <c r="AI152" i="32"/>
  <c r="AJ75" i="32"/>
  <c r="T115" i="32"/>
  <c r="AJ147" i="32"/>
  <c r="T118" i="32"/>
  <c r="Q156" i="32"/>
  <c r="N71" i="32"/>
  <c r="Q167" i="32"/>
  <c r="AI133" i="32"/>
  <c r="P123" i="32"/>
  <c r="M86" i="32"/>
  <c r="R111" i="32"/>
  <c r="I93" i="32"/>
  <c r="Y40" i="36" s="1"/>
  <c r="M98" i="32"/>
  <c r="S142" i="32"/>
  <c r="N152" i="32"/>
  <c r="O113" i="32"/>
  <c r="O62" i="32"/>
  <c r="Q154" i="32"/>
  <c r="O149" i="32"/>
  <c r="AI74" i="32"/>
  <c r="O169" i="32"/>
  <c r="I154" i="32"/>
  <c r="Y101" i="36" s="1"/>
  <c r="S91" i="32"/>
  <c r="I107" i="32"/>
  <c r="Y54" i="36" s="1"/>
  <c r="N136" i="32"/>
  <c r="Z85" i="32"/>
  <c r="AA85" i="32" s="1"/>
  <c r="AJ164" i="32"/>
  <c r="AJ141" i="32"/>
  <c r="O110" i="32"/>
  <c r="AJ126" i="32"/>
  <c r="L162" i="32"/>
  <c r="M84" i="32"/>
  <c r="T89" i="32"/>
  <c r="S109" i="32"/>
  <c r="Z129" i="32"/>
  <c r="AA129" i="32" s="1"/>
  <c r="K145" i="32"/>
  <c r="Q157" i="32"/>
  <c r="AJ95" i="32"/>
  <c r="Z70" i="32"/>
  <c r="AA70" i="32" s="1"/>
  <c r="AJ100" i="32"/>
  <c r="Z132" i="32"/>
  <c r="AA132" i="32" s="1"/>
  <c r="K64" i="32"/>
  <c r="M148" i="32"/>
  <c r="R78" i="32"/>
  <c r="Z73" i="32"/>
  <c r="AA73" i="32" s="1"/>
  <c r="I103" i="32"/>
  <c r="Y50" i="36" s="1"/>
  <c r="T135" i="32"/>
  <c r="Z151" i="32"/>
  <c r="AJ81" i="32"/>
  <c r="Q159" i="32"/>
  <c r="N106" i="32"/>
  <c r="L80" i="32"/>
  <c r="O65" i="32"/>
  <c r="I140" i="32"/>
  <c r="Y87" i="36" s="1"/>
  <c r="P105" i="32"/>
  <c r="L121" i="32"/>
  <c r="AI138" i="32"/>
  <c r="L130" i="32"/>
  <c r="AI155" i="32"/>
  <c r="R125" i="32"/>
  <c r="K161" i="32"/>
  <c r="M142" i="32"/>
  <c r="N149" i="32"/>
  <c r="K146" i="32"/>
  <c r="N147" i="32"/>
  <c r="P146" i="32"/>
  <c r="R101" i="32"/>
  <c r="P133" i="32"/>
  <c r="N137" i="32"/>
  <c r="AJ160" i="32"/>
  <c r="O143" i="32"/>
  <c r="Z165" i="32"/>
  <c r="N98" i="32"/>
  <c r="N142" i="32"/>
  <c r="P67" i="32"/>
  <c r="T113" i="32"/>
  <c r="L62" i="32"/>
  <c r="S154" i="32"/>
  <c r="Z170" i="32"/>
  <c r="K125" i="32"/>
  <c r="P134" i="32"/>
  <c r="AJ101" i="32"/>
  <c r="AJ83" i="32"/>
  <c r="M108" i="32"/>
  <c r="S137" i="32"/>
  <c r="Z160" i="32"/>
  <c r="R143" i="32"/>
  <c r="R68" i="32"/>
  <c r="L139" i="32"/>
  <c r="M171" i="32"/>
  <c r="AI149" i="32"/>
  <c r="I104" i="32"/>
  <c r="Y51" i="36" s="1"/>
  <c r="I91" i="32"/>
  <c r="Y38" i="36" s="1"/>
  <c r="K79" i="32"/>
  <c r="AI104" i="32"/>
  <c r="K115" i="32"/>
  <c r="K154" i="32"/>
  <c r="Q82" i="32"/>
  <c r="P91" i="32"/>
  <c r="AJ56" i="32"/>
  <c r="I56" i="32"/>
  <c r="Y3" i="36" s="1"/>
  <c r="L107" i="32"/>
  <c r="O63" i="32"/>
  <c r="K85" i="32"/>
  <c r="O164" i="32"/>
  <c r="N141" i="32"/>
  <c r="I110" i="32"/>
  <c r="Y57" i="36" s="1"/>
  <c r="Q162" i="32"/>
  <c r="AJ61" i="32"/>
  <c r="I58" i="32"/>
  <c r="Y5" i="36" s="1"/>
  <c r="AJ84" i="32"/>
  <c r="Z89" i="32"/>
  <c r="AA89" i="32" s="1"/>
  <c r="T129" i="32"/>
  <c r="N145" i="32"/>
  <c r="K157" i="32"/>
  <c r="N95" i="32"/>
  <c r="I70" i="32"/>
  <c r="Y17" i="36" s="1"/>
  <c r="Z100" i="32"/>
  <c r="AA100" i="32" s="1"/>
  <c r="I116" i="32"/>
  <c r="Y63" i="36" s="1"/>
  <c r="AJ132" i="32"/>
  <c r="L64" i="32"/>
  <c r="O148" i="32"/>
  <c r="K103" i="32"/>
  <c r="T127" i="32"/>
  <c r="Z135" i="32"/>
  <c r="AA135" i="32" s="1"/>
  <c r="K151" i="32"/>
  <c r="I81" i="32"/>
  <c r="Y28" i="36" s="1"/>
  <c r="O159" i="32"/>
  <c r="P106" i="32"/>
  <c r="Z96" i="32"/>
  <c r="AA96" i="32" s="1"/>
  <c r="M150" i="32"/>
  <c r="M65" i="32"/>
  <c r="T140" i="32"/>
  <c r="S105" i="32"/>
  <c r="O121" i="32"/>
  <c r="T138" i="32"/>
  <c r="R92" i="32"/>
  <c r="AJ117" i="32"/>
  <c r="O104" i="32"/>
  <c r="T168" i="32"/>
  <c r="R71" i="32"/>
  <c r="M39" i="48"/>
  <c r="L211" i="48"/>
  <c r="G211" i="48"/>
  <c r="E211" i="48"/>
  <c r="F211" i="48"/>
  <c r="H211" i="48"/>
  <c r="I211" i="48"/>
  <c r="J211" i="48"/>
  <c r="K211" i="48"/>
  <c r="N211" i="48"/>
  <c r="T63" i="32"/>
  <c r="F109" i="4"/>
  <c r="E113" i="16"/>
  <c r="E114" i="16" s="1"/>
  <c r="D77" i="48"/>
  <c r="D763" i="16"/>
  <c r="E77" i="48"/>
  <c r="E176" i="48"/>
  <c r="G104" i="15"/>
  <c r="G112" i="15" s="1"/>
  <c r="H257" i="48"/>
  <c r="G77" i="48"/>
  <c r="I444" i="14"/>
  <c r="J444" i="14" s="1"/>
  <c r="K444" i="14" s="1"/>
  <c r="L444" i="14" s="1"/>
  <c r="M444" i="14" s="1"/>
  <c r="N444" i="14" s="1"/>
  <c r="O444" i="14" s="1"/>
  <c r="G870" i="14"/>
  <c r="G871" i="14" s="1"/>
  <c r="AA15" i="2"/>
  <c r="AA18" i="2"/>
  <c r="Y14" i="2"/>
  <c r="X14" i="2"/>
  <c r="X13" i="2"/>
  <c r="E143" i="14"/>
  <c r="E126" i="14"/>
  <c r="G281" i="15"/>
  <c r="H290" i="15"/>
  <c r="H281" i="15"/>
  <c r="M525" i="14"/>
  <c r="F176" i="48"/>
  <c r="J176" i="48"/>
  <c r="E257" i="48"/>
  <c r="G257" i="48"/>
  <c r="H191" i="14"/>
  <c r="L191" i="14"/>
  <c r="L192" i="14" s="1"/>
  <c r="K1036" i="14" s="1"/>
  <c r="F77" i="48"/>
  <c r="O830" i="14"/>
  <c r="O831" i="14" s="1"/>
  <c r="N243" i="48" s="1"/>
  <c r="AF101" i="21"/>
  <c r="AA101" i="21"/>
  <c r="N55" i="32"/>
  <c r="F525" i="14"/>
  <c r="U153" i="32"/>
  <c r="AB153" i="32" s="1"/>
  <c r="U170" i="32"/>
  <c r="AB170" i="32" s="1"/>
  <c r="U68" i="32"/>
  <c r="U122" i="32"/>
  <c r="U66" i="32"/>
  <c r="U139" i="32"/>
  <c r="AB139" i="32" s="1"/>
  <c r="U106" i="32"/>
  <c r="U93" i="32"/>
  <c r="U146" i="32"/>
  <c r="AB146" i="32" s="1"/>
  <c r="U107" i="32"/>
  <c r="U123" i="32"/>
  <c r="T83" i="32"/>
  <c r="R170" i="32"/>
  <c r="L155" i="32"/>
  <c r="S171" i="32"/>
  <c r="Q168" i="32"/>
  <c r="P156" i="32"/>
  <c r="S111" i="32"/>
  <c r="AJ166" i="32"/>
  <c r="AJ142" i="32"/>
  <c r="I113" i="32"/>
  <c r="Y60" i="36" s="1"/>
  <c r="Q170" i="32"/>
  <c r="N83" i="32"/>
  <c r="AI143" i="32"/>
  <c r="T77" i="32"/>
  <c r="O102" i="32"/>
  <c r="AJ156" i="32"/>
  <c r="I71" i="32"/>
  <c r="Y18" i="36" s="1"/>
  <c r="I133" i="32"/>
  <c r="Y80" i="36" s="1"/>
  <c r="P66" i="32"/>
  <c r="AJ111" i="32"/>
  <c r="O166" i="32"/>
  <c r="AJ139" i="32"/>
  <c r="N97" i="32"/>
  <c r="T170" i="32"/>
  <c r="R118" i="32"/>
  <c r="I156" i="32"/>
  <c r="Y103" i="36" s="1"/>
  <c r="I134" i="32"/>
  <c r="Y81" i="36" s="1"/>
  <c r="O101" i="32"/>
  <c r="L167" i="32"/>
  <c r="M83" i="32"/>
  <c r="S133" i="32"/>
  <c r="AJ108" i="32"/>
  <c r="O66" i="32"/>
  <c r="L86" i="32"/>
  <c r="M160" i="32"/>
  <c r="N161" i="32"/>
  <c r="Z111" i="32"/>
  <c r="AA111" i="32" s="1"/>
  <c r="U147" i="32"/>
  <c r="AB147" i="32" s="1"/>
  <c r="U81" i="32"/>
  <c r="U108" i="32"/>
  <c r="U129" i="32"/>
  <c r="S166" i="32"/>
  <c r="M71" i="32"/>
  <c r="AI97" i="32"/>
  <c r="K147" i="32"/>
  <c r="T66" i="32"/>
  <c r="Z98" i="32"/>
  <c r="AA98" i="32" s="1"/>
  <c r="AJ67" i="32"/>
  <c r="R79" i="32"/>
  <c r="Q68" i="32"/>
  <c r="S170" i="32"/>
  <c r="Z125" i="32"/>
  <c r="AA125" i="32" s="1"/>
  <c r="Z134" i="32"/>
  <c r="AA134" i="32" s="1"/>
  <c r="S83" i="32"/>
  <c r="K123" i="32"/>
  <c r="L161" i="32"/>
  <c r="T68" i="32"/>
  <c r="Q139" i="32"/>
  <c r="N75" i="32"/>
  <c r="O170" i="32"/>
  <c r="AJ72" i="32"/>
  <c r="Q125" i="32"/>
  <c r="K134" i="32"/>
  <c r="Z101" i="32"/>
  <c r="AA101" i="32" s="1"/>
  <c r="T155" i="32"/>
  <c r="Q133" i="32"/>
  <c r="AI124" i="32"/>
  <c r="I66" i="32"/>
  <c r="Y13" i="36" s="1"/>
  <c r="N160" i="32"/>
  <c r="M161" i="32"/>
  <c r="T143" i="32"/>
  <c r="N168" i="32"/>
  <c r="M93" i="32"/>
  <c r="L165" i="32"/>
  <c r="O68" i="32"/>
  <c r="O98" i="32"/>
  <c r="Z130" i="32"/>
  <c r="AA130" i="32" s="1"/>
  <c r="L142" i="32"/>
  <c r="O171" i="32"/>
  <c r="T67" i="32"/>
  <c r="I152" i="32"/>
  <c r="Y99" i="36" s="1"/>
  <c r="M97" i="32"/>
  <c r="Q113" i="32"/>
  <c r="I75" i="32"/>
  <c r="Y22" i="36" s="1"/>
  <c r="P149" i="32"/>
  <c r="Z62" i="32"/>
  <c r="AA62" i="32" s="1"/>
  <c r="V197" i="16" s="1"/>
  <c r="N115" i="32"/>
  <c r="T82" i="32"/>
  <c r="N170" i="32"/>
  <c r="AI125" i="32"/>
  <c r="L156" i="32"/>
  <c r="O71" i="32"/>
  <c r="O167" i="32"/>
  <c r="O83" i="32"/>
  <c r="Z108" i="32"/>
  <c r="AA108" i="32" s="1"/>
  <c r="I123" i="32"/>
  <c r="Y70" i="36" s="1"/>
  <c r="Z59" i="32"/>
  <c r="AA59" i="32" s="1"/>
  <c r="S147" i="32"/>
  <c r="K170" i="32"/>
  <c r="K77" i="32"/>
  <c r="AI102" i="32"/>
  <c r="M118" i="32"/>
  <c r="M125" i="32"/>
  <c r="T146" i="32"/>
  <c r="K156" i="32"/>
  <c r="M76" i="32"/>
  <c r="M134" i="32"/>
  <c r="K101" i="32"/>
  <c r="R117" i="32"/>
  <c r="AI167" i="32"/>
  <c r="P155" i="32"/>
  <c r="K83" i="32"/>
  <c r="U70" i="32"/>
  <c r="U85" i="32"/>
  <c r="U74" i="32"/>
  <c r="U71" i="32"/>
  <c r="P113" i="32"/>
  <c r="S66" i="32"/>
  <c r="T149" i="32"/>
  <c r="I72" i="32"/>
  <c r="Y19" i="36" s="1"/>
  <c r="I168" i="32"/>
  <c r="Y115" i="36" s="1"/>
  <c r="AJ114" i="32"/>
  <c r="M152" i="32"/>
  <c r="AI118" i="32"/>
  <c r="Z114" i="32"/>
  <c r="AA114" i="32" s="1"/>
  <c r="L146" i="32"/>
  <c r="T71" i="32"/>
  <c r="Q123" i="32"/>
  <c r="R161" i="32"/>
  <c r="AI98" i="32"/>
  <c r="P171" i="32"/>
  <c r="R62" i="32"/>
  <c r="S77" i="32"/>
  <c r="Z102" i="32"/>
  <c r="AA102" i="32" s="1"/>
  <c r="M146" i="32"/>
  <c r="Q134" i="32"/>
  <c r="L117" i="32"/>
  <c r="O155" i="32"/>
  <c r="R86" i="32"/>
  <c r="P160" i="32"/>
  <c r="P111" i="32"/>
  <c r="S143" i="32"/>
  <c r="P165" i="32"/>
  <c r="N68" i="32"/>
  <c r="I68" i="32"/>
  <c r="Y15" i="36" s="1"/>
  <c r="R98" i="32"/>
  <c r="I130" i="32"/>
  <c r="Y77" i="36" s="1"/>
  <c r="T139" i="32"/>
  <c r="AI90" i="32"/>
  <c r="R171" i="32"/>
  <c r="S67" i="32"/>
  <c r="L152" i="32"/>
  <c r="P97" i="32"/>
  <c r="N113" i="32"/>
  <c r="M75" i="32"/>
  <c r="O79" i="32"/>
  <c r="N62" i="32"/>
  <c r="S115" i="32"/>
  <c r="N91" i="32"/>
  <c r="M170" i="32"/>
  <c r="L102" i="32"/>
  <c r="I125" i="32"/>
  <c r="Y72" i="36" s="1"/>
  <c r="S76" i="32"/>
  <c r="P101" i="32"/>
  <c r="I167" i="32"/>
  <c r="Y114" i="36" s="1"/>
  <c r="T133" i="32"/>
  <c r="AJ124" i="32"/>
  <c r="AI123" i="32"/>
  <c r="AI147" i="32"/>
  <c r="I170" i="32"/>
  <c r="Y117" i="36" s="1"/>
  <c r="I77" i="32"/>
  <c r="Y24" i="36" s="1"/>
  <c r="AJ118" i="32"/>
  <c r="T125" i="32"/>
  <c r="U101" i="32"/>
  <c r="U149" i="32"/>
  <c r="AB149" i="32" s="1"/>
  <c r="U124" i="32"/>
  <c r="U132" i="32"/>
  <c r="U133" i="32"/>
  <c r="S68" i="32"/>
  <c r="T101" i="32"/>
  <c r="M167" i="32"/>
  <c r="O130" i="32"/>
  <c r="AI113" i="32"/>
  <c r="N146" i="32"/>
  <c r="Z161" i="32"/>
  <c r="M156" i="32"/>
  <c r="P117" i="32"/>
  <c r="L137" i="32"/>
  <c r="AI93" i="32"/>
  <c r="O152" i="32"/>
  <c r="AI57" i="32"/>
  <c r="K102" i="32"/>
  <c r="Q76" i="32"/>
  <c r="P71" i="32"/>
  <c r="M117" i="32"/>
  <c r="I83" i="32"/>
  <c r="Y30" i="36" s="1"/>
  <c r="N123" i="32"/>
  <c r="AI86" i="32"/>
  <c r="Q161" i="32"/>
  <c r="T111" i="32"/>
  <c r="I143" i="32"/>
  <c r="Y90" i="36" s="1"/>
  <c r="S165" i="32"/>
  <c r="M68" i="32"/>
  <c r="I166" i="32"/>
  <c r="Y113" i="36" s="1"/>
  <c r="L98" i="32"/>
  <c r="Q142" i="32"/>
  <c r="S139" i="32"/>
  <c r="Z171" i="32"/>
  <c r="M67" i="32"/>
  <c r="M113" i="32"/>
  <c r="P75" i="32"/>
  <c r="K149" i="32"/>
  <c r="Q79" i="32"/>
  <c r="L74" i="32"/>
  <c r="N169" i="32"/>
  <c r="K62" i="32"/>
  <c r="L147" i="32"/>
  <c r="Q77" i="32"/>
  <c r="L118" i="32"/>
  <c r="Q146" i="32"/>
  <c r="Z76" i="32"/>
  <c r="AA76" i="32" s="1"/>
  <c r="O117" i="32"/>
  <c r="N155" i="32"/>
  <c r="M133" i="32"/>
  <c r="K137" i="32"/>
  <c r="Z147" i="32"/>
  <c r="AJ170" i="32"/>
  <c r="R77" i="32"/>
  <c r="R102" i="32"/>
  <c r="O118" i="32"/>
  <c r="S125" i="32"/>
  <c r="Z146" i="32"/>
  <c r="Z156" i="32"/>
  <c r="N76" i="32"/>
  <c r="T134" i="32"/>
  <c r="K71" i="32"/>
  <c r="L101" i="32"/>
  <c r="Z117" i="32"/>
  <c r="AA117" i="32" s="1"/>
  <c r="M155" i="32"/>
  <c r="Z83" i="32"/>
  <c r="AA83" i="32" s="1"/>
  <c r="O133" i="32"/>
  <c r="T108" i="32"/>
  <c r="S123" i="32"/>
  <c r="I137" i="32"/>
  <c r="Y84" i="36" s="1"/>
  <c r="R66" i="32"/>
  <c r="AJ86" i="32"/>
  <c r="I160" i="32"/>
  <c r="Y107" i="36" s="1"/>
  <c r="N111" i="32"/>
  <c r="M143" i="32"/>
  <c r="M168" i="32"/>
  <c r="P93" i="32"/>
  <c r="O165" i="32"/>
  <c r="L68" i="32"/>
  <c r="K166" i="32"/>
  <c r="Q98" i="32"/>
  <c r="R130" i="32"/>
  <c r="M139" i="32"/>
  <c r="L171" i="32"/>
  <c r="R152" i="32"/>
  <c r="Z97" i="32"/>
  <c r="AA97" i="32" s="1"/>
  <c r="R113" i="32"/>
  <c r="Z75" i="32"/>
  <c r="AA75" i="32" s="1"/>
  <c r="L79" i="32"/>
  <c r="Z74" i="32"/>
  <c r="AA74" i="32" s="1"/>
  <c r="T169" i="32"/>
  <c r="Q115" i="32"/>
  <c r="AI59" i="32"/>
  <c r="O147" i="32"/>
  <c r="AJ77" i="32"/>
  <c r="Q102" i="32"/>
  <c r="K118" i="32"/>
  <c r="L125" i="32"/>
  <c r="AJ146" i="32"/>
  <c r="N156" i="32"/>
  <c r="S134" i="32"/>
  <c r="AI71" i="32"/>
  <c r="N101" i="32"/>
  <c r="T117" i="32"/>
  <c r="T167" i="32"/>
  <c r="R83" i="32"/>
  <c r="R133" i="32"/>
  <c r="P108" i="32"/>
  <c r="Z124" i="32"/>
  <c r="AA124" i="32" s="1"/>
  <c r="Q137" i="32"/>
  <c r="AI66" i="32"/>
  <c r="T86" i="32"/>
  <c r="O160" i="32"/>
  <c r="P161" i="32"/>
  <c r="M111" i="32"/>
  <c r="L168" i="32"/>
  <c r="Z93" i="32"/>
  <c r="AA93" i="32" s="1"/>
  <c r="AJ68" i="32"/>
  <c r="N166" i="32"/>
  <c r="T98" i="32"/>
  <c r="S130" i="32"/>
  <c r="I142" i="32"/>
  <c r="Y89" i="36" s="1"/>
  <c r="K139" i="32"/>
  <c r="G176" i="48"/>
  <c r="K176" i="48"/>
  <c r="J257" i="48"/>
  <c r="I257" i="48"/>
  <c r="T55" i="32"/>
  <c r="K525" i="14"/>
  <c r="H525" i="14"/>
  <c r="H523" i="14" s="1"/>
  <c r="H528" i="14" s="1"/>
  <c r="H529" i="14" s="1"/>
  <c r="AI146" i="32"/>
  <c r="U128" i="32"/>
  <c r="L257" i="48"/>
  <c r="H176" i="48"/>
  <c r="L176" i="48"/>
  <c r="M257" i="48"/>
  <c r="F257" i="48"/>
  <c r="E531" i="14"/>
  <c r="D257" i="48"/>
  <c r="G195" i="2" s="1"/>
  <c r="J525" i="14"/>
  <c r="J531" i="14" s="1"/>
  <c r="Q117" i="32"/>
  <c r="K86" i="32"/>
  <c r="G196" i="15"/>
  <c r="F539" i="4" s="1"/>
  <c r="H195" i="15"/>
  <c r="I195" i="15" s="1"/>
  <c r="J195" i="15" s="1"/>
  <c r="G341" i="14"/>
  <c r="H341" i="14" s="1"/>
  <c r="F267" i="14"/>
  <c r="J267" i="14"/>
  <c r="G267" i="14"/>
  <c r="K267" i="14"/>
  <c r="O267" i="14"/>
  <c r="J154" i="15"/>
  <c r="J157" i="15" s="1"/>
  <c r="D843" i="16"/>
  <c r="D874" i="14"/>
  <c r="U144" i="32"/>
  <c r="AB144" i="32" s="1"/>
  <c r="K19" i="14"/>
  <c r="K17" i="14" s="1"/>
  <c r="D876" i="14"/>
  <c r="D875" i="14"/>
  <c r="G532" i="4"/>
  <c r="G537" i="4"/>
  <c r="F758" i="16"/>
  <c r="Y55" i="21" s="1"/>
  <c r="G524" i="4"/>
  <c r="H500" i="4"/>
  <c r="M885" i="16"/>
  <c r="AG101" i="21"/>
  <c r="J885" i="16"/>
  <c r="AD101" i="21"/>
  <c r="H885" i="16"/>
  <c r="AB101" i="21"/>
  <c r="D853" i="16"/>
  <c r="N257" i="48"/>
  <c r="M176" i="48"/>
  <c r="H103" i="15"/>
  <c r="I98" i="15"/>
  <c r="J98" i="15" s="1"/>
  <c r="K98" i="15" s="1"/>
  <c r="L98" i="15" s="1"/>
  <c r="M98" i="15" s="1"/>
  <c r="N98" i="15" s="1"/>
  <c r="O98" i="15" s="1"/>
  <c r="P98" i="15" s="1"/>
  <c r="H104" i="15"/>
  <c r="H112" i="15" s="1"/>
  <c r="G163" i="15"/>
  <c r="E44" i="14"/>
  <c r="E48" i="14" s="1"/>
  <c r="E66" i="14" s="1"/>
  <c r="E371" i="14"/>
  <c r="D1065" i="14" s="1"/>
  <c r="E360" i="14"/>
  <c r="E369" i="14" s="1"/>
  <c r="E361" i="14"/>
  <c r="E359" i="14" s="1"/>
  <c r="E368" i="14" s="1"/>
  <c r="E45" i="14"/>
  <c r="G456" i="14"/>
  <c r="G458" i="14" s="1"/>
  <c r="H453" i="14"/>
  <c r="I453" i="14" s="1"/>
  <c r="J453" i="14" s="1"/>
  <c r="K453" i="14" s="1"/>
  <c r="L453" i="14" s="1"/>
  <c r="M453" i="14" s="1"/>
  <c r="N453" i="14" s="1"/>
  <c r="O453" i="14" s="1"/>
  <c r="K530" i="14"/>
  <c r="T165" i="32"/>
  <c r="N143" i="32"/>
  <c r="P86" i="32"/>
  <c r="S167" i="32"/>
  <c r="AI76" i="32"/>
  <c r="M102" i="32"/>
  <c r="O77" i="32"/>
  <c r="N67" i="32"/>
  <c r="N165" i="32"/>
  <c r="R155" i="32"/>
  <c r="Q97" i="32"/>
  <c r="AI67" i="32"/>
  <c r="K142" i="32"/>
  <c r="L166" i="32"/>
  <c r="Q160" i="32"/>
  <c r="O108" i="32"/>
  <c r="M101" i="32"/>
  <c r="S156" i="32"/>
  <c r="P102" i="32"/>
  <c r="N77" i="32"/>
  <c r="T79" i="32"/>
  <c r="P142" i="32"/>
  <c r="L111" i="32"/>
  <c r="R108" i="32"/>
  <c r="AJ57" i="32"/>
  <c r="U125" i="32"/>
  <c r="U118" i="32"/>
  <c r="U87" i="32"/>
  <c r="U63" i="32"/>
  <c r="U154" i="32"/>
  <c r="AB154" i="32" s="1"/>
  <c r="U86" i="32"/>
  <c r="U134" i="32"/>
  <c r="U77" i="32"/>
  <c r="U91" i="32"/>
  <c r="U103" i="32"/>
  <c r="U148" i="32"/>
  <c r="AB148" i="32" s="1"/>
  <c r="U65" i="32"/>
  <c r="U167" i="32"/>
  <c r="AB167" i="32" s="1"/>
  <c r="U136" i="32"/>
  <c r="AB136" i="32" s="1"/>
  <c r="U111" i="32"/>
  <c r="U69" i="32"/>
  <c r="U119" i="32"/>
  <c r="U151" i="32"/>
  <c r="AB151" i="32" s="1"/>
  <c r="U130" i="32"/>
  <c r="U80" i="32"/>
  <c r="U83" i="32"/>
  <c r="U92" i="32"/>
  <c r="U113" i="32"/>
  <c r="N19" i="14"/>
  <c r="N17" i="14" s="1"/>
  <c r="L19" i="14"/>
  <c r="L16" i="14" s="1"/>
  <c r="H19" i="14"/>
  <c r="H15" i="14" s="1"/>
  <c r="R168" i="32"/>
  <c r="AI160" i="32"/>
  <c r="K108" i="32"/>
  <c r="Z155" i="32"/>
  <c r="S71" i="32"/>
  <c r="P118" i="32"/>
  <c r="L77" i="32"/>
  <c r="S98" i="32"/>
  <c r="M123" i="32"/>
  <c r="Z72" i="32"/>
  <c r="AA72" i="32" s="1"/>
  <c r="S75" i="32"/>
  <c r="P152" i="32"/>
  <c r="T142" i="32"/>
  <c r="P98" i="32"/>
  <c r="O161" i="32"/>
  <c r="S117" i="32"/>
  <c r="R76" i="32"/>
  <c r="Q118" i="32"/>
  <c r="I147" i="32"/>
  <c r="Y94" i="36" s="1"/>
  <c r="K168" i="32"/>
  <c r="P137" i="32"/>
  <c r="R134" i="32"/>
  <c r="U82" i="32"/>
  <c r="U127" i="32"/>
  <c r="U150" i="32"/>
  <c r="AB150" i="32" s="1"/>
  <c r="U67" i="32"/>
  <c r="U142" i="32"/>
  <c r="AB142" i="32" s="1"/>
  <c r="U121" i="32"/>
  <c r="U98" i="32"/>
  <c r="U78" i="32"/>
  <c r="U168" i="32"/>
  <c r="AB168" i="32" s="1"/>
  <c r="U158" i="32"/>
  <c r="AB158" i="32" s="1"/>
  <c r="U115" i="32"/>
  <c r="U89" i="32"/>
  <c r="U138" i="32"/>
  <c r="AB138" i="32" s="1"/>
  <c r="U152" i="32"/>
  <c r="AB152" i="32" s="1"/>
  <c r="U79" i="32"/>
  <c r="U102" i="32"/>
  <c r="U163" i="32"/>
  <c r="AB163" i="32" s="1"/>
  <c r="U131" i="32"/>
  <c r="U171" i="32"/>
  <c r="AB171" i="32" s="1"/>
  <c r="U135" i="32"/>
  <c r="U76" i="32"/>
  <c r="U159" i="32"/>
  <c r="AB159" i="32" s="1"/>
  <c r="U110" i="32"/>
  <c r="U156" i="32"/>
  <c r="AB156" i="32" s="1"/>
  <c r="U64" i="32"/>
  <c r="U165" i="32"/>
  <c r="AB165" i="32" s="1"/>
  <c r="J19" i="14"/>
  <c r="J17" i="14" s="1"/>
  <c r="I19" i="14"/>
  <c r="I16" i="14" s="1"/>
  <c r="F19" i="14"/>
  <c r="F15" i="14" s="1"/>
  <c r="F567" i="14"/>
  <c r="G567" i="14" s="1"/>
  <c r="H567" i="14" s="1"/>
  <c r="I567" i="14" s="1"/>
  <c r="J567" i="14" s="1"/>
  <c r="K567" i="14" s="1"/>
  <c r="L567" i="14" s="1"/>
  <c r="M567" i="14" s="1"/>
  <c r="N567" i="14" s="1"/>
  <c r="O567" i="14" s="1"/>
  <c r="R160" i="32"/>
  <c r="O137" i="32"/>
  <c r="Q83" i="32"/>
  <c r="S101" i="32"/>
  <c r="I146" i="32"/>
  <c r="Y93" i="36" s="1"/>
  <c r="N139" i="32"/>
  <c r="K160" i="32"/>
  <c r="AJ125" i="32"/>
  <c r="Q75" i="32"/>
  <c r="Z152" i="32"/>
  <c r="AI139" i="32"/>
  <c r="M130" i="32"/>
  <c r="AJ143" i="32"/>
  <c r="Z137" i="32"/>
  <c r="AJ167" i="32"/>
  <c r="O134" i="32"/>
  <c r="Z118" i="32"/>
  <c r="AA118" i="32" s="1"/>
  <c r="L170" i="32"/>
  <c r="R67" i="32"/>
  <c r="M66" i="32"/>
  <c r="P167" i="32"/>
  <c r="U137" i="32"/>
  <c r="AB137" i="32" s="1"/>
  <c r="U169" i="32"/>
  <c r="AB169" i="32" s="1"/>
  <c r="U166" i="32"/>
  <c r="AB166" i="32" s="1"/>
  <c r="U161" i="32"/>
  <c r="AB161" i="32" s="1"/>
  <c r="U155" i="32"/>
  <c r="AB155" i="32" s="1"/>
  <c r="U160" i="32"/>
  <c r="AB160" i="32" s="1"/>
  <c r="U140" i="32"/>
  <c r="AB140" i="32" s="1"/>
  <c r="U120" i="32"/>
  <c r="U141" i="32"/>
  <c r="AB141" i="32" s="1"/>
  <c r="U162" i="32"/>
  <c r="AB162" i="32" s="1"/>
  <c r="U126" i="32"/>
  <c r="U117" i="32"/>
  <c r="U95" i="32"/>
  <c r="U164" i="32"/>
  <c r="AB164" i="32" s="1"/>
  <c r="U105" i="32"/>
  <c r="U104" i="32"/>
  <c r="U143" i="32"/>
  <c r="AB143" i="32" s="1"/>
  <c r="U84" i="32"/>
  <c r="U157" i="32"/>
  <c r="AB157" i="32" s="1"/>
  <c r="U75" i="32"/>
  <c r="O19" i="14"/>
  <c r="O15" i="14" s="1"/>
  <c r="N512" i="14"/>
  <c r="M19" i="14"/>
  <c r="M17" i="14" s="1"/>
  <c r="O576" i="16"/>
  <c r="O532" i="16"/>
  <c r="F510" i="4"/>
  <c r="F512" i="4" s="1"/>
  <c r="E516" i="4"/>
  <c r="O538" i="16"/>
  <c r="O529" i="16"/>
  <c r="O495" i="16"/>
  <c r="O481" i="16"/>
  <c r="I165" i="15"/>
  <c r="O528" i="16"/>
  <c r="O494" i="16"/>
  <c r="O472" i="16"/>
  <c r="O544" i="16"/>
  <c r="O520" i="16"/>
  <c r="O485" i="16"/>
  <c r="O482" i="16"/>
  <c r="E880" i="14"/>
  <c r="D770" i="16"/>
  <c r="M38" i="41" s="1"/>
  <c r="E200" i="41" s="1"/>
  <c r="F878" i="14"/>
  <c r="E779" i="4"/>
  <c r="G841" i="14"/>
  <c r="E233" i="48"/>
  <c r="E125" i="48"/>
  <c r="H849" i="14"/>
  <c r="G849" i="14"/>
  <c r="I849" i="14"/>
  <c r="J849" i="14"/>
  <c r="L849" i="14"/>
  <c r="F849" i="14"/>
  <c r="K849" i="14"/>
  <c r="M849" i="14"/>
  <c r="N849" i="14"/>
  <c r="O849" i="14"/>
  <c r="G455" i="14"/>
  <c r="G457" i="14" s="1"/>
  <c r="O191" i="14"/>
  <c r="I525" i="14"/>
  <c r="I523" i="14" s="1"/>
  <c r="I528" i="14" s="1"/>
  <c r="I529" i="14" s="1"/>
  <c r="E267" i="4"/>
  <c r="D125" i="48"/>
  <c r="O521" i="16"/>
  <c r="N191" i="14"/>
  <c r="N192" i="14" s="1"/>
  <c r="M1036" i="14" s="1"/>
  <c r="G280" i="4"/>
  <c r="E755" i="14"/>
  <c r="E789" i="14" s="1"/>
  <c r="D873" i="14"/>
  <c r="E19" i="14"/>
  <c r="G525" i="14"/>
  <c r="G16" i="15"/>
  <c r="E174" i="14"/>
  <c r="E632" i="14" s="1"/>
  <c r="F456" i="14"/>
  <c r="F458" i="14" s="1"/>
  <c r="F527" i="4"/>
  <c r="J99" i="15"/>
  <c r="K99" i="15" s="1"/>
  <c r="L99" i="15" s="1"/>
  <c r="M99" i="15" s="1"/>
  <c r="N99" i="15" s="1"/>
  <c r="O99" i="15" s="1"/>
  <c r="P99" i="15" s="1"/>
  <c r="Y16" i="32"/>
  <c r="R55" i="32"/>
  <c r="J757" i="14"/>
  <c r="K757" i="14" s="1"/>
  <c r="L757" i="14" s="1"/>
  <c r="M757" i="14" s="1"/>
  <c r="N757" i="14" s="1"/>
  <c r="O757" i="14" s="1"/>
  <c r="G41" i="15"/>
  <c r="M55" i="32"/>
  <c r="H266" i="4"/>
  <c r="F47" i="48"/>
  <c r="G267" i="4"/>
  <c r="K656" i="4"/>
  <c r="I77" i="48"/>
  <c r="F106" i="4"/>
  <c r="F147" i="4" s="1"/>
  <c r="F164" i="4" s="1"/>
  <c r="W16" i="32"/>
  <c r="G159" i="15"/>
  <c r="E47" i="48"/>
  <c r="O536" i="16"/>
  <c r="O530" i="16"/>
  <c r="O527" i="16"/>
  <c r="O511" i="16"/>
  <c r="O476" i="16"/>
  <c r="G119" i="4"/>
  <c r="O526" i="16"/>
  <c r="O522" i="16"/>
  <c r="O510" i="16"/>
  <c r="O489" i="16"/>
  <c r="O475" i="16"/>
  <c r="O462" i="16"/>
  <c r="O553" i="16"/>
  <c r="O549" i="16"/>
  <c r="O543" i="16"/>
  <c r="O531" i="16"/>
  <c r="O524" i="16"/>
  <c r="O514" i="16"/>
  <c r="O509" i="16"/>
  <c r="O504" i="16"/>
  <c r="O488" i="16"/>
  <c r="O474" i="16"/>
  <c r="O465" i="16"/>
  <c r="O461" i="16"/>
  <c r="G103" i="15"/>
  <c r="G381" i="16" s="1"/>
  <c r="F69" i="4"/>
  <c r="F70" i="4" s="1"/>
  <c r="F267" i="4"/>
  <c r="O552" i="16"/>
  <c r="O541" i="16"/>
  <c r="O523" i="16"/>
  <c r="O513" i="16"/>
  <c r="O508" i="16"/>
  <c r="O503" i="16"/>
  <c r="O480" i="16"/>
  <c r="O460" i="16"/>
  <c r="G47" i="2"/>
  <c r="E43" i="14"/>
  <c r="E47" i="14" s="1"/>
  <c r="E65" i="14" s="1"/>
  <c r="E1112" i="14"/>
  <c r="D135" i="14"/>
  <c r="D139" i="14" s="1"/>
  <c r="X16" i="32"/>
  <c r="V203" i="48"/>
  <c r="E522" i="14"/>
  <c r="E526" i="14" s="1"/>
  <c r="J524" i="14"/>
  <c r="I524" i="14"/>
  <c r="H524" i="14"/>
  <c r="G524" i="14"/>
  <c r="F524" i="14"/>
  <c r="N524" i="14"/>
  <c r="M524" i="14"/>
  <c r="L55" i="32"/>
  <c r="D176" i="48"/>
  <c r="D818" i="16"/>
  <c r="J100" i="15"/>
  <c r="I161" i="15"/>
  <c r="F62" i="15"/>
  <c r="F209" i="15"/>
  <c r="F235" i="15" s="1"/>
  <c r="H455" i="14"/>
  <c r="H457" i="14" s="1"/>
  <c r="E372" i="14"/>
  <c r="F455" i="14"/>
  <c r="F457" i="14" s="1"/>
  <c r="G561" i="4"/>
  <c r="H561" i="4" s="1"/>
  <c r="E644" i="4"/>
  <c r="F644" i="4" s="1"/>
  <c r="AC234" i="16" l="1"/>
  <c r="T234" i="16"/>
  <c r="U234" i="16"/>
  <c r="AA234" i="16"/>
  <c r="V234" i="16"/>
  <c r="Y234" i="16"/>
  <c r="F268" i="14"/>
  <c r="F266" i="14" s="1"/>
  <c r="G305" i="14"/>
  <c r="G1158" i="14" s="1"/>
  <c r="G1173" i="14" s="1"/>
  <c r="F275" i="14"/>
  <c r="F274" i="14"/>
  <c r="E1176" i="14"/>
  <c r="X234" i="16"/>
  <c r="AB234" i="16"/>
  <c r="V200" i="16"/>
  <c r="W234" i="16"/>
  <c r="Z234" i="16"/>
  <c r="Q29" i="29"/>
  <c r="V262" i="2" s="1"/>
  <c r="V269" i="2" s="1"/>
  <c r="R29" i="29"/>
  <c r="W262" i="2" s="1"/>
  <c r="W269" i="2" s="1"/>
  <c r="T29" i="29"/>
  <c r="Y262" i="2" s="1"/>
  <c r="Y269" i="2" s="1"/>
  <c r="F506" i="4"/>
  <c r="F508" i="4" s="1"/>
  <c r="F516" i="4" s="1"/>
  <c r="Q93" i="32"/>
  <c r="S93" i="32"/>
  <c r="R93" i="32"/>
  <c r="T93" i="32"/>
  <c r="K296" i="2"/>
  <c r="K293" i="2"/>
  <c r="V40" i="16"/>
  <c r="V24" i="16"/>
  <c r="V58" i="16"/>
  <c r="V47" i="16"/>
  <c r="V31" i="16"/>
  <c r="V48" i="16"/>
  <c r="V45" i="16"/>
  <c r="V46" i="16"/>
  <c r="V55" i="16"/>
  <c r="V33" i="16"/>
  <c r="V57" i="16"/>
  <c r="V35" i="16"/>
  <c r="V32" i="16"/>
  <c r="V41" i="16"/>
  <c r="V42" i="16"/>
  <c r="V34" i="16"/>
  <c r="V23" i="16"/>
  <c r="V44" i="16"/>
  <c r="V345" i="16"/>
  <c r="V344" i="16"/>
  <c r="F192" i="15"/>
  <c r="F193" i="15" s="1"/>
  <c r="F198" i="15" s="1"/>
  <c r="F184" i="15"/>
  <c r="F186" i="15" s="1"/>
  <c r="V338" i="16"/>
  <c r="V340" i="16"/>
  <c r="V343" i="16"/>
  <c r="V359" i="16"/>
  <c r="V356" i="16"/>
  <c r="V339" i="16"/>
  <c r="F265" i="14"/>
  <c r="O512" i="14"/>
  <c r="O631" i="14" s="1"/>
  <c r="O633" i="14" s="1"/>
  <c r="N534" i="14"/>
  <c r="N537" i="14" s="1"/>
  <c r="O182" i="16" s="1"/>
  <c r="G275" i="14"/>
  <c r="E764" i="16"/>
  <c r="G533" i="4"/>
  <c r="G865" i="14" s="1"/>
  <c r="G854" i="14" s="1"/>
  <c r="E773" i="16"/>
  <c r="F540" i="4"/>
  <c r="G197" i="15" s="1"/>
  <c r="G538" i="4"/>
  <c r="H185" i="15" s="1"/>
  <c r="H179" i="15" s="1"/>
  <c r="G525" i="4"/>
  <c r="G623" i="4" s="1"/>
  <c r="AB130" i="32"/>
  <c r="AB132" i="32"/>
  <c r="AB131" i="32"/>
  <c r="AB133" i="32"/>
  <c r="AB134" i="32"/>
  <c r="AB135" i="32"/>
  <c r="AB111" i="32"/>
  <c r="AB127" i="32"/>
  <c r="AB128" i="32"/>
  <c r="AB129" i="32"/>
  <c r="AB125" i="32"/>
  <c r="AB126" i="32"/>
  <c r="AB124" i="32"/>
  <c r="AB117" i="32"/>
  <c r="AB121" i="32"/>
  <c r="AB115" i="32"/>
  <c r="AB122" i="32"/>
  <c r="AB123" i="32"/>
  <c r="AB120" i="32"/>
  <c r="AB119" i="32"/>
  <c r="AB118" i="32"/>
  <c r="X236" i="16"/>
  <c r="AB113" i="32"/>
  <c r="W236" i="16"/>
  <c r="AB236" i="16"/>
  <c r="Z236" i="16"/>
  <c r="AB110" i="32"/>
  <c r="U236" i="16"/>
  <c r="Y236" i="16"/>
  <c r="AB108" i="32"/>
  <c r="T236" i="16"/>
  <c r="V236" i="16"/>
  <c r="AA236" i="16"/>
  <c r="AC236" i="16"/>
  <c r="AB105" i="32"/>
  <c r="AB104" i="32"/>
  <c r="AB102" i="32"/>
  <c r="AB95" i="32"/>
  <c r="AB92" i="32"/>
  <c r="AB83" i="32"/>
  <c r="AB84" i="32"/>
  <c r="AB89" i="32"/>
  <c r="AB86" i="32"/>
  <c r="AB85" i="32"/>
  <c r="AB87" i="32"/>
  <c r="V215" i="16"/>
  <c r="V36" i="16"/>
  <c r="E11" i="14"/>
  <c r="E41" i="14" s="1"/>
  <c r="E12" i="14"/>
  <c r="E55" i="14" s="1"/>
  <c r="E407" i="14" s="1"/>
  <c r="E409" i="14" s="1"/>
  <c r="E416" i="14" s="1"/>
  <c r="E422" i="14" s="1"/>
  <c r="L717" i="16"/>
  <c r="L738" i="16" s="1"/>
  <c r="M717" i="16"/>
  <c r="M738" i="16" s="1"/>
  <c r="M589" i="16"/>
  <c r="I717" i="16"/>
  <c r="I738" i="16" s="1"/>
  <c r="U262" i="2"/>
  <c r="U269" i="2" s="1"/>
  <c r="K567" i="4"/>
  <c r="I589" i="16"/>
  <c r="L589" i="16"/>
  <c r="K589" i="16"/>
  <c r="K717" i="16"/>
  <c r="K738" i="16" s="1"/>
  <c r="J717" i="16"/>
  <c r="J738" i="16" s="1"/>
  <c r="J589" i="16"/>
  <c r="O498" i="16"/>
  <c r="V28" i="16"/>
  <c r="V209" i="16"/>
  <c r="V211" i="16"/>
  <c r="V212" i="16"/>
  <c r="I271" i="14"/>
  <c r="J271" i="14"/>
  <c r="K271" i="14"/>
  <c r="L271" i="14"/>
  <c r="M271" i="14"/>
  <c r="N271" i="14"/>
  <c r="O271" i="14"/>
  <c r="V29" i="16"/>
  <c r="V347" i="16"/>
  <c r="V39" i="16"/>
  <c r="V210" i="16"/>
  <c r="V213" i="16"/>
  <c r="V49" i="16"/>
  <c r="V351" i="16"/>
  <c r="V21" i="16"/>
  <c r="O10" i="14"/>
  <c r="O13" i="14"/>
  <c r="G787" i="14"/>
  <c r="D1017" i="14"/>
  <c r="D1016" i="14" s="1"/>
  <c r="D1018" i="14"/>
  <c r="H689" i="14"/>
  <c r="O12" i="14"/>
  <c r="D1035" i="14"/>
  <c r="E1121" i="14" s="1"/>
  <c r="D1048" i="14"/>
  <c r="E1126" i="14" s="1"/>
  <c r="G13" i="14"/>
  <c r="D1066" i="14"/>
  <c r="D1126" i="14" s="1"/>
  <c r="E311" i="14"/>
  <c r="E317" i="14" s="1"/>
  <c r="E626" i="14" s="1"/>
  <c r="E627" i="14" s="1"/>
  <c r="G10" i="14"/>
  <c r="G11" i="14"/>
  <c r="H643" i="4"/>
  <c r="I643" i="4" s="1"/>
  <c r="G644" i="4"/>
  <c r="H216" i="2"/>
  <c r="J216" i="2" s="1"/>
  <c r="M13" i="14"/>
  <c r="F408" i="4"/>
  <c r="G407" i="4"/>
  <c r="E1035" i="14"/>
  <c r="V202" i="16"/>
  <c r="E1111" i="14"/>
  <c r="I1035" i="14"/>
  <c r="H1035" i="14"/>
  <c r="N10" i="14"/>
  <c r="I13" i="14"/>
  <c r="L13" i="14"/>
  <c r="M10" i="14"/>
  <c r="M12" i="14"/>
  <c r="H406" i="4"/>
  <c r="E457" i="14"/>
  <c r="E466" i="14" s="1"/>
  <c r="E468" i="14" s="1"/>
  <c r="E476" i="14" s="1"/>
  <c r="G16" i="14"/>
  <c r="I11" i="14"/>
  <c r="N13" i="14"/>
  <c r="G15" i="14"/>
  <c r="G18" i="14"/>
  <c r="F11" i="14"/>
  <c r="AB101" i="32"/>
  <c r="AB98" i="32"/>
  <c r="AB109" i="32"/>
  <c r="AB91" i="32"/>
  <c r="AB93" i="32"/>
  <c r="AB107" i="32"/>
  <c r="AB103" i="32"/>
  <c r="AB106" i="32"/>
  <c r="G268" i="14"/>
  <c r="K192" i="14"/>
  <c r="J1036" i="14" s="1"/>
  <c r="H13" i="14"/>
  <c r="H11" i="14"/>
  <c r="E217" i="48"/>
  <c r="K13" i="14"/>
  <c r="G651" i="4"/>
  <c r="F217" i="48" s="1"/>
  <c r="H16" i="15"/>
  <c r="J11" i="14"/>
  <c r="K1035" i="14"/>
  <c r="I667" i="14"/>
  <c r="I669" i="14" s="1"/>
  <c r="I670" i="14" s="1"/>
  <c r="J13" i="14"/>
  <c r="L1035" i="14"/>
  <c r="N15" i="14"/>
  <c r="H10" i="14"/>
  <c r="L530" i="14"/>
  <c r="F494" i="4"/>
  <c r="F495" i="4" s="1"/>
  <c r="G494" i="4" s="1"/>
  <c r="G495" i="4" s="1"/>
  <c r="G496" i="4" s="1"/>
  <c r="L80" i="29" s="1"/>
  <c r="Q736" i="16" s="1"/>
  <c r="M258" i="2"/>
  <c r="E64" i="14"/>
  <c r="J12" i="14"/>
  <c r="K258" i="2"/>
  <c r="L507" i="16"/>
  <c r="E517" i="4"/>
  <c r="O522" i="14"/>
  <c r="O526" i="14" s="1"/>
  <c r="O527" i="14" s="1"/>
  <c r="G192" i="14"/>
  <c r="F1036" i="14" s="1"/>
  <c r="AB82" i="32"/>
  <c r="E251" i="14"/>
  <c r="E212" i="14" s="1"/>
  <c r="E469" i="14"/>
  <c r="E477" i="14" s="1"/>
  <c r="E370" i="14"/>
  <c r="E600" i="14" s="1"/>
  <c r="E794" i="14" s="1"/>
  <c r="I10" i="14"/>
  <c r="L12" i="14"/>
  <c r="L10" i="14"/>
  <c r="N11" i="14"/>
  <c r="J523" i="14"/>
  <c r="J528" i="14" s="1"/>
  <c r="J529" i="14" s="1"/>
  <c r="J139" i="14" s="1"/>
  <c r="AB81" i="32"/>
  <c r="V25" i="16"/>
  <c r="V218" i="16"/>
  <c r="AB80" i="32"/>
  <c r="AB79" i="32"/>
  <c r="AB78" i="32"/>
  <c r="I656" i="14"/>
  <c r="I665" i="14" s="1"/>
  <c r="AB77" i="32"/>
  <c r="AB76" i="32"/>
  <c r="T232" i="16"/>
  <c r="AA232" i="16"/>
  <c r="Z232" i="16"/>
  <c r="Y232" i="16"/>
  <c r="W232" i="16"/>
  <c r="U232" i="16"/>
  <c r="X232" i="16"/>
  <c r="V232" i="16"/>
  <c r="AB232" i="16"/>
  <c r="AC232" i="16"/>
  <c r="V341" i="16"/>
  <c r="G271" i="14"/>
  <c r="H271" i="14"/>
  <c r="F271" i="14"/>
  <c r="AB64" i="32"/>
  <c r="V358" i="16"/>
  <c r="V20" i="16"/>
  <c r="V19" i="16"/>
  <c r="AB68" i="32"/>
  <c r="I312" i="4"/>
  <c r="V43" i="16"/>
  <c r="I103" i="15"/>
  <c r="I381" i="16" s="1"/>
  <c r="F13" i="14"/>
  <c r="O18" i="14"/>
  <c r="F10" i="14"/>
  <c r="V328" i="16"/>
  <c r="AF24" i="36"/>
  <c r="G31" i="41" s="1"/>
  <c r="AF26" i="36"/>
  <c r="G33" i="41" s="1"/>
  <c r="AF27" i="36"/>
  <c r="G34" i="41" s="1"/>
  <c r="AF25" i="36"/>
  <c r="G32" i="41" s="1"/>
  <c r="H756" i="14"/>
  <c r="I756" i="14" s="1"/>
  <c r="J756" i="14" s="1"/>
  <c r="K756" i="14" s="1"/>
  <c r="K755" i="14" s="1"/>
  <c r="K789" i="14" s="1"/>
  <c r="K11" i="14"/>
  <c r="K10" i="14"/>
  <c r="H456" i="14"/>
  <c r="H458" i="14" s="1"/>
  <c r="L531" i="14"/>
  <c r="I18" i="14"/>
  <c r="AB70" i="32"/>
  <c r="AE24" i="36"/>
  <c r="F31" i="41" s="1"/>
  <c r="AE25" i="36"/>
  <c r="F32" i="41" s="1"/>
  <c r="AE26" i="36"/>
  <c r="F33" i="41" s="1"/>
  <c r="AE27" i="36"/>
  <c r="F34" i="41" s="1"/>
  <c r="G731" i="14"/>
  <c r="G788" i="14" s="1"/>
  <c r="H732" i="14"/>
  <c r="G44" i="15"/>
  <c r="AB75" i="32"/>
  <c r="AB67" i="32"/>
  <c r="AB66" i="32"/>
  <c r="AB71" i="32"/>
  <c r="AB69" i="32"/>
  <c r="AB65" i="32"/>
  <c r="AB63" i="32"/>
  <c r="AB74" i="32"/>
  <c r="V27" i="16"/>
  <c r="V26" i="16"/>
  <c r="AD24" i="36"/>
  <c r="E31" i="41" s="1"/>
  <c r="AD27" i="36"/>
  <c r="E34" i="41" s="1"/>
  <c r="AD26" i="36"/>
  <c r="E33" i="41" s="1"/>
  <c r="AD25" i="36"/>
  <c r="E32" i="41" s="1"/>
  <c r="F208" i="4"/>
  <c r="F148" i="4"/>
  <c r="F165" i="4" s="1"/>
  <c r="J103" i="15"/>
  <c r="K15" i="14"/>
  <c r="K18" i="14"/>
  <c r="H870" i="14"/>
  <c r="H871" i="14" s="1"/>
  <c r="I104" i="15"/>
  <c r="I112" i="15" s="1"/>
  <c r="K16" i="14"/>
  <c r="N16" i="14"/>
  <c r="Y13" i="2"/>
  <c r="Y16" i="2" s="1"/>
  <c r="AB15" i="2"/>
  <c r="AB18" i="2"/>
  <c r="Z14" i="2"/>
  <c r="X17" i="2"/>
  <c r="X16" i="2"/>
  <c r="G167" i="15"/>
  <c r="I169" i="15"/>
  <c r="I427" i="16" s="1"/>
  <c r="I281" i="15" s="1"/>
  <c r="I341" i="14"/>
  <c r="H531" i="14"/>
  <c r="F523" i="14"/>
  <c r="F528" i="14" s="1"/>
  <c r="F529" i="14" s="1"/>
  <c r="F139" i="14" s="1"/>
  <c r="F531" i="14"/>
  <c r="H192" i="14"/>
  <c r="G1036" i="14" s="1"/>
  <c r="G1035" i="14"/>
  <c r="M523" i="14"/>
  <c r="M528" i="14" s="1"/>
  <c r="M529" i="14" s="1"/>
  <c r="M139" i="14" s="1"/>
  <c r="M531" i="14"/>
  <c r="J165" i="15"/>
  <c r="K154" i="15"/>
  <c r="K157" i="15" s="1"/>
  <c r="K523" i="14"/>
  <c r="K528" i="14" s="1"/>
  <c r="K529" i="14" s="1"/>
  <c r="K139" i="14" s="1"/>
  <c r="K531" i="14"/>
  <c r="J667" i="14"/>
  <c r="J669" i="14" s="1"/>
  <c r="J670" i="14" s="1"/>
  <c r="J656" i="14"/>
  <c r="J665" i="14" s="1"/>
  <c r="K655" i="14"/>
  <c r="F16" i="14"/>
  <c r="H196" i="15"/>
  <c r="G539" i="4" s="1"/>
  <c r="L17" i="14"/>
  <c r="D848" i="16"/>
  <c r="E103" i="21" s="1"/>
  <c r="E105" i="21" s="1"/>
  <c r="E67" i="14"/>
  <c r="L15" i="14"/>
  <c r="N18" i="14"/>
  <c r="L18" i="14"/>
  <c r="J161" i="15"/>
  <c r="I16" i="15"/>
  <c r="J20" i="15"/>
  <c r="I500" i="4"/>
  <c r="H520" i="4"/>
  <c r="H501" i="4"/>
  <c r="D885" i="16"/>
  <c r="X101" i="21"/>
  <c r="M16" i="14"/>
  <c r="M18" i="14"/>
  <c r="I17" i="14"/>
  <c r="I15" i="14"/>
  <c r="M15" i="14"/>
  <c r="O17" i="14"/>
  <c r="O16" i="14"/>
  <c r="H17" i="14"/>
  <c r="H18" i="14"/>
  <c r="H16" i="14"/>
  <c r="N631" i="14"/>
  <c r="N633" i="14" s="1"/>
  <c r="N525" i="14"/>
  <c r="F17" i="14"/>
  <c r="F18" i="14"/>
  <c r="J15" i="14"/>
  <c r="J18" i="14"/>
  <c r="J16" i="14"/>
  <c r="X262" i="2"/>
  <c r="N567" i="4"/>
  <c r="F879" i="14"/>
  <c r="F534" i="4" s="1"/>
  <c r="F535" i="4" s="1"/>
  <c r="G878" i="14"/>
  <c r="H841" i="14"/>
  <c r="F233" i="48"/>
  <c r="F125" i="48"/>
  <c r="G255" i="14"/>
  <c r="F255" i="14"/>
  <c r="O192" i="14"/>
  <c r="N1036" i="14" s="1"/>
  <c r="N1035" i="14"/>
  <c r="G523" i="14"/>
  <c r="G528" i="14" s="1"/>
  <c r="G529" i="14" s="1"/>
  <c r="G139" i="14" s="1"/>
  <c r="G531" i="14"/>
  <c r="F528" i="4"/>
  <c r="F529" i="4" s="1"/>
  <c r="F530" i="4" s="1"/>
  <c r="G527" i="4"/>
  <c r="G36" i="15"/>
  <c r="G28" i="15"/>
  <c r="D37" i="48"/>
  <c r="D209" i="48"/>
  <c r="G160" i="2" s="1"/>
  <c r="AA14" i="2"/>
  <c r="Z13" i="2"/>
  <c r="I531" i="14"/>
  <c r="E635" i="14"/>
  <c r="E634" i="14"/>
  <c r="E17" i="14"/>
  <c r="E56" i="14" s="1"/>
  <c r="E15" i="14"/>
  <c r="E32" i="14" s="1"/>
  <c r="H230" i="2"/>
  <c r="J230" i="2" s="1"/>
  <c r="D119" i="33"/>
  <c r="E780" i="4"/>
  <c r="E781" i="4" s="1"/>
  <c r="M1035" i="14"/>
  <c r="G49" i="2"/>
  <c r="G872" i="14" s="1"/>
  <c r="H47" i="2"/>
  <c r="K195" i="15"/>
  <c r="G69" i="4"/>
  <c r="G70" i="4" s="1"/>
  <c r="G109" i="4"/>
  <c r="H119" i="4"/>
  <c r="J77" i="48"/>
  <c r="L656" i="4"/>
  <c r="I266" i="4"/>
  <c r="G47" i="48"/>
  <c r="H267" i="4"/>
  <c r="H381" i="16"/>
  <c r="F37" i="48"/>
  <c r="F209" i="48"/>
  <c r="G116" i="4"/>
  <c r="E37" i="48"/>
  <c r="E209" i="48"/>
  <c r="G401" i="16"/>
  <c r="G280" i="15"/>
  <c r="X81" i="21"/>
  <c r="M522" i="14"/>
  <c r="M526" i="14" s="1"/>
  <c r="M527" i="14" s="1"/>
  <c r="M530" i="14"/>
  <c r="H522" i="14"/>
  <c r="H526" i="14" s="1"/>
  <c r="H527" i="14" s="1"/>
  <c r="H530" i="14"/>
  <c r="D994" i="14"/>
  <c r="D764" i="16"/>
  <c r="D199" i="33"/>
  <c r="H243" i="2"/>
  <c r="J243" i="2" s="1"/>
  <c r="G522" i="14"/>
  <c r="G526" i="14" s="1"/>
  <c r="G527" i="14" s="1"/>
  <c r="G530" i="14"/>
  <c r="D118" i="14"/>
  <c r="D122" i="14" s="1"/>
  <c r="K527" i="14"/>
  <c r="L527" i="14"/>
  <c r="F254" i="14"/>
  <c r="G254" i="14"/>
  <c r="H254" i="14"/>
  <c r="K100" i="15"/>
  <c r="J104" i="15"/>
  <c r="J112" i="15" s="1"/>
  <c r="F522" i="14"/>
  <c r="F526" i="14" s="1"/>
  <c r="F527" i="14" s="1"/>
  <c r="F530" i="14"/>
  <c r="J522" i="14"/>
  <c r="J526" i="14" s="1"/>
  <c r="J527" i="14" s="1"/>
  <c r="J530" i="14"/>
  <c r="G215" i="15"/>
  <c r="E849" i="14"/>
  <c r="N522" i="14"/>
  <c r="N526" i="14" s="1"/>
  <c r="N527" i="14" s="1"/>
  <c r="N530" i="14"/>
  <c r="I522" i="14"/>
  <c r="I526" i="14" s="1"/>
  <c r="I527" i="14" s="1"/>
  <c r="I530" i="14"/>
  <c r="I139" i="14"/>
  <c r="H139" i="14"/>
  <c r="E139" i="14"/>
  <c r="L139" i="14"/>
  <c r="D140" i="14"/>
  <c r="G265" i="14" l="1"/>
  <c r="M567" i="4"/>
  <c r="H305" i="14"/>
  <c r="H1158" i="14" s="1"/>
  <c r="H1173" i="14" s="1"/>
  <c r="H878" i="14"/>
  <c r="G274" i="14"/>
  <c r="E1201" i="14"/>
  <c r="E1203" i="14" s="1"/>
  <c r="U1199" i="14" s="1"/>
  <c r="E1227" i="14"/>
  <c r="E1229" i="14" s="1"/>
  <c r="U1208" i="14"/>
  <c r="U1206" i="14"/>
  <c r="U1204" i="14"/>
  <c r="U1205" i="14"/>
  <c r="U1202" i="14"/>
  <c r="U1201" i="14"/>
  <c r="U1207" i="14"/>
  <c r="U1203" i="14"/>
  <c r="G510" i="4"/>
  <c r="G512" i="4" s="1"/>
  <c r="O567" i="4"/>
  <c r="O670" i="4" s="1"/>
  <c r="O846" i="4" s="1"/>
  <c r="L567" i="4"/>
  <c r="L670" i="4" s="1"/>
  <c r="L846" i="4" s="1"/>
  <c r="R100" i="32"/>
  <c r="R97" i="32"/>
  <c r="L296" i="2"/>
  <c r="L293" i="2"/>
  <c r="G505" i="4"/>
  <c r="H191" i="15"/>
  <c r="F759" i="4"/>
  <c r="F730" i="4" s="1"/>
  <c r="F403" i="4"/>
  <c r="G502" i="4"/>
  <c r="O525" i="14"/>
  <c r="O531" i="14" s="1"/>
  <c r="N270" i="14"/>
  <c r="N269" i="14"/>
  <c r="J270" i="14"/>
  <c r="J269" i="14"/>
  <c r="G266" i="14"/>
  <c r="F269" i="14"/>
  <c r="F270" i="14"/>
  <c r="M270" i="14"/>
  <c r="M269" i="14"/>
  <c r="I270" i="14"/>
  <c r="I269" i="14"/>
  <c r="H270" i="14"/>
  <c r="H269" i="14"/>
  <c r="L270" i="14"/>
  <c r="L269" i="14"/>
  <c r="O534" i="14"/>
  <c r="O537" i="14" s="1"/>
  <c r="P182" i="16" s="1"/>
  <c r="M293" i="2" s="1"/>
  <c r="G269" i="14"/>
  <c r="G270" i="14"/>
  <c r="H268" i="14"/>
  <c r="H275" i="14"/>
  <c r="O269" i="14"/>
  <c r="O270" i="14"/>
  <c r="K270" i="14"/>
  <c r="K269" i="14"/>
  <c r="F764" i="16"/>
  <c r="N670" i="4"/>
  <c r="N846" i="4" s="1"/>
  <c r="M670" i="4"/>
  <c r="K670" i="4"/>
  <c r="F773" i="16"/>
  <c r="G540" i="4"/>
  <c r="H197" i="15" s="1"/>
  <c r="T61" i="32"/>
  <c r="E59" i="14"/>
  <c r="N589" i="16"/>
  <c r="E38" i="41" s="1"/>
  <c r="H28" i="15"/>
  <c r="I28" i="15" s="1"/>
  <c r="H44" i="15"/>
  <c r="I44" i="15" s="1"/>
  <c r="H36" i="15"/>
  <c r="I36" i="15" s="1"/>
  <c r="H787" i="14"/>
  <c r="I689" i="14"/>
  <c r="H644" i="4"/>
  <c r="G408" i="4"/>
  <c r="H407" i="4"/>
  <c r="G762" i="16" s="1"/>
  <c r="F762" i="16"/>
  <c r="I305" i="14"/>
  <c r="I1158" i="14" s="1"/>
  <c r="I1173" i="14" s="1"/>
  <c r="I406" i="4"/>
  <c r="L756" i="14"/>
  <c r="M756" i="14" s="1"/>
  <c r="E211" i="14"/>
  <c r="E221" i="14" s="1"/>
  <c r="D1047" i="14"/>
  <c r="H651" i="4"/>
  <c r="G65" i="48" s="1"/>
  <c r="F65" i="48"/>
  <c r="J381" i="16"/>
  <c r="J280" i="15" s="1"/>
  <c r="R61" i="32"/>
  <c r="E217" i="14"/>
  <c r="E222" i="14"/>
  <c r="L258" i="2"/>
  <c r="M507" i="16"/>
  <c r="S97" i="32" s="1"/>
  <c r="F496" i="4"/>
  <c r="E682" i="14"/>
  <c r="E820" i="14"/>
  <c r="H255" i="14"/>
  <c r="J312" i="4"/>
  <c r="J755" i="14"/>
  <c r="J789" i="14" s="1"/>
  <c r="I755" i="14"/>
  <c r="I789" i="14" s="1"/>
  <c r="H755" i="14"/>
  <c r="H789" i="14" s="1"/>
  <c r="I196" i="15"/>
  <c r="J196" i="15" s="1"/>
  <c r="H731" i="14"/>
  <c r="H788" i="14" s="1"/>
  <c r="I732" i="14"/>
  <c r="Y17" i="2"/>
  <c r="F220" i="4"/>
  <c r="G169" i="16"/>
  <c r="F768" i="16"/>
  <c r="Y56" i="21" s="1"/>
  <c r="Y59" i="21" s="1"/>
  <c r="I870" i="14"/>
  <c r="I871" i="14" s="1"/>
  <c r="AC15" i="2"/>
  <c r="AC18" i="2"/>
  <c r="Z16" i="2"/>
  <c r="Z17" i="2"/>
  <c r="J169" i="15"/>
  <c r="J427" i="16" s="1"/>
  <c r="J290" i="15" s="1"/>
  <c r="I290" i="15"/>
  <c r="I442" i="16"/>
  <c r="J341" i="14"/>
  <c r="K165" i="15"/>
  <c r="L154" i="15"/>
  <c r="L157" i="15" s="1"/>
  <c r="K161" i="15"/>
  <c r="J643" i="4"/>
  <c r="K667" i="14"/>
  <c r="K669" i="14" s="1"/>
  <c r="K670" i="14" s="1"/>
  <c r="K656" i="14"/>
  <c r="K665" i="14" s="1"/>
  <c r="L655" i="14"/>
  <c r="J16" i="15"/>
  <c r="K20" i="15"/>
  <c r="I520" i="4"/>
  <c r="J500" i="4"/>
  <c r="I501" i="4"/>
  <c r="H532" i="4"/>
  <c r="G758" i="16"/>
  <c r="Z55" i="21" s="1"/>
  <c r="H524" i="4"/>
  <c r="H537" i="4"/>
  <c r="N523" i="14"/>
  <c r="N528" i="14" s="1"/>
  <c r="N529" i="14" s="1"/>
  <c r="N139" i="14" s="1"/>
  <c r="N140" i="14" s="1"/>
  <c r="N531" i="14"/>
  <c r="D1015" i="14"/>
  <c r="X269" i="2"/>
  <c r="Z269" i="2" s="1"/>
  <c r="Z262" i="2"/>
  <c r="E770" i="16"/>
  <c r="F880" i="14"/>
  <c r="G879" i="14"/>
  <c r="G534" i="4" s="1"/>
  <c r="D26" i="33"/>
  <c r="H211" i="2"/>
  <c r="J211" i="2" s="1"/>
  <c r="E763" i="16"/>
  <c r="F641" i="4"/>
  <c r="E408" i="14"/>
  <c r="G528" i="4"/>
  <c r="G529" i="4" s="1"/>
  <c r="H527" i="4"/>
  <c r="I841" i="14"/>
  <c r="G125" i="48"/>
  <c r="G233" i="48"/>
  <c r="AB14" i="2"/>
  <c r="AA13" i="2"/>
  <c r="E63" i="14"/>
  <c r="E61" i="14"/>
  <c r="G37" i="48"/>
  <c r="G209" i="48"/>
  <c r="G208" i="4"/>
  <c r="G148" i="4"/>
  <c r="G165" i="4" s="1"/>
  <c r="H401" i="16"/>
  <c r="H280" i="15"/>
  <c r="M656" i="4"/>
  <c r="K77" i="48"/>
  <c r="H69" i="4"/>
  <c r="H70" i="4" s="1"/>
  <c r="I119" i="4"/>
  <c r="H109" i="4"/>
  <c r="J266" i="4"/>
  <c r="I267" i="4"/>
  <c r="H47" i="48"/>
  <c r="L195" i="15"/>
  <c r="K66" i="29"/>
  <c r="K67" i="29" s="1"/>
  <c r="D725" i="16"/>
  <c r="D597" i="16"/>
  <c r="D601" i="16" s="1"/>
  <c r="Q594" i="16" s="1"/>
  <c r="D19" i="32" s="1"/>
  <c r="G106" i="4"/>
  <c r="G147" i="4" s="1"/>
  <c r="G164" i="4" s="1"/>
  <c r="H116" i="4"/>
  <c r="H49" i="2"/>
  <c r="H872" i="14" s="1"/>
  <c r="I47" i="2"/>
  <c r="E140" i="14"/>
  <c r="E145" i="14" s="1"/>
  <c r="D1011" i="14" s="1"/>
  <c r="K140" i="14"/>
  <c r="H140" i="14"/>
  <c r="G216" i="15"/>
  <c r="J122" i="14"/>
  <c r="I122" i="14"/>
  <c r="H122" i="14"/>
  <c r="G122" i="14"/>
  <c r="F122" i="14"/>
  <c r="E122" i="14"/>
  <c r="N122" i="14"/>
  <c r="M122" i="14"/>
  <c r="K122" i="14"/>
  <c r="D123" i="14"/>
  <c r="L122" i="14"/>
  <c r="O122" i="14"/>
  <c r="L135" i="14"/>
  <c r="I135" i="14"/>
  <c r="H135" i="14"/>
  <c r="M140" i="14"/>
  <c r="G140" i="14"/>
  <c r="I401" i="16"/>
  <c r="I280" i="15"/>
  <c r="L140" i="14"/>
  <c r="F140" i="14"/>
  <c r="J140" i="14"/>
  <c r="E426" i="14"/>
  <c r="E441" i="14"/>
  <c r="E448" i="14" s="1"/>
  <c r="E459" i="14" s="1"/>
  <c r="E470" i="14" s="1"/>
  <c r="E478" i="14" s="1"/>
  <c r="D995" i="14"/>
  <c r="F211" i="15"/>
  <c r="G221" i="15" s="1"/>
  <c r="F223" i="15"/>
  <c r="D191" i="48" s="1"/>
  <c r="H494" i="4"/>
  <c r="G135" i="14"/>
  <c r="E135" i="14"/>
  <c r="F135" i="14"/>
  <c r="I140" i="14"/>
  <c r="K103" i="15"/>
  <c r="L100" i="15"/>
  <c r="K104" i="15"/>
  <c r="K112" i="15" s="1"/>
  <c r="F210" i="15"/>
  <c r="F236" i="15" s="1"/>
  <c r="F238" i="15" s="1"/>
  <c r="J135" i="14"/>
  <c r="K135" i="14"/>
  <c r="M135" i="14"/>
  <c r="H274" i="14" l="1"/>
  <c r="U1210" i="14"/>
  <c r="F517" i="4"/>
  <c r="K83" i="29" s="1"/>
  <c r="K80" i="29"/>
  <c r="P736" i="16" s="1"/>
  <c r="O523" i="14"/>
  <c r="O528" i="14" s="1"/>
  <c r="O529" i="14" s="1"/>
  <c r="O139" i="14" s="1"/>
  <c r="O140" i="14" s="1"/>
  <c r="H505" i="4"/>
  <c r="I191" i="15"/>
  <c r="G759" i="4"/>
  <c r="G730" i="4" s="1"/>
  <c r="G403" i="4"/>
  <c r="H502" i="4"/>
  <c r="M296" i="2"/>
  <c r="N507" i="16"/>
  <c r="O507" i="16" s="1"/>
  <c r="E182" i="16"/>
  <c r="S507" i="16" s="1"/>
  <c r="H265" i="14"/>
  <c r="H266" i="14"/>
  <c r="I274" i="14"/>
  <c r="I275" i="14"/>
  <c r="K846" i="4"/>
  <c r="M846" i="4"/>
  <c r="H533" i="4"/>
  <c r="H865" i="14" s="1"/>
  <c r="H854" i="14" s="1"/>
  <c r="H538" i="4"/>
  <c r="I185" i="15" s="1"/>
  <c r="I179" i="15" s="1"/>
  <c r="H525" i="4"/>
  <c r="H623" i="4" s="1"/>
  <c r="F763" i="16"/>
  <c r="G530" i="4"/>
  <c r="G641" i="4" s="1"/>
  <c r="F770" i="16"/>
  <c r="G535" i="4"/>
  <c r="G880" i="14" s="1"/>
  <c r="S61" i="32"/>
  <c r="S100" i="32"/>
  <c r="J28" i="15"/>
  <c r="I787" i="14"/>
  <c r="J689" i="14"/>
  <c r="I644" i="4"/>
  <c r="G764" i="16"/>
  <c r="I407" i="4"/>
  <c r="H762" i="16" s="1"/>
  <c r="H408" i="4"/>
  <c r="L755" i="14"/>
  <c r="L789" i="14" s="1"/>
  <c r="J305" i="14"/>
  <c r="J1158" i="14" s="1"/>
  <c r="J1173" i="14" s="1"/>
  <c r="J44" i="15"/>
  <c r="J406" i="4"/>
  <c r="E216" i="14"/>
  <c r="I268" i="14"/>
  <c r="G217" i="48"/>
  <c r="I651" i="4"/>
  <c r="H65" i="48" s="1"/>
  <c r="J401" i="16"/>
  <c r="G725" i="16" s="1"/>
  <c r="J118" i="14"/>
  <c r="H539" i="4"/>
  <c r="I539" i="4"/>
  <c r="J442" i="16"/>
  <c r="M118" i="14"/>
  <c r="U62" i="32"/>
  <c r="L118" i="14"/>
  <c r="E257" i="2"/>
  <c r="J36" i="15"/>
  <c r="G118" i="14"/>
  <c r="I118" i="14"/>
  <c r="K312" i="4"/>
  <c r="K196" i="15"/>
  <c r="L196" i="15" s="1"/>
  <c r="O118" i="14"/>
  <c r="N135" i="14"/>
  <c r="H118" i="14"/>
  <c r="N118" i="14"/>
  <c r="E118" i="14"/>
  <c r="K118" i="14"/>
  <c r="I731" i="14"/>
  <c r="I788" i="14" s="1"/>
  <c r="J732" i="14"/>
  <c r="F118" i="14"/>
  <c r="J870" i="14"/>
  <c r="J871" i="14" s="1"/>
  <c r="G768" i="16"/>
  <c r="Z56" i="21" s="1"/>
  <c r="Z59" i="21" s="1"/>
  <c r="J281" i="15"/>
  <c r="AD15" i="2"/>
  <c r="AD18" i="2"/>
  <c r="AA16" i="2"/>
  <c r="AA17" i="2"/>
  <c r="K643" i="4"/>
  <c r="K169" i="15"/>
  <c r="K427" i="16" s="1"/>
  <c r="K16" i="15"/>
  <c r="L20" i="15"/>
  <c r="M655" i="14"/>
  <c r="L667" i="14"/>
  <c r="L669" i="14" s="1"/>
  <c r="L670" i="14" s="1"/>
  <c r="L656" i="14"/>
  <c r="L665" i="14" s="1"/>
  <c r="K341" i="14"/>
  <c r="L341" i="14" s="1"/>
  <c r="M341" i="14" s="1"/>
  <c r="N341" i="14" s="1"/>
  <c r="O341" i="14" s="1"/>
  <c r="L161" i="15"/>
  <c r="M154" i="15"/>
  <c r="M157" i="15" s="1"/>
  <c r="L165" i="15"/>
  <c r="H758" i="16"/>
  <c r="AA55" i="21" s="1"/>
  <c r="I524" i="4"/>
  <c r="I532" i="4"/>
  <c r="I537" i="4"/>
  <c r="J520" i="4"/>
  <c r="K500" i="4"/>
  <c r="J501" i="4"/>
  <c r="H879" i="14"/>
  <c r="H534" i="4" s="1"/>
  <c r="I878" i="14"/>
  <c r="E144" i="14"/>
  <c r="D1012" i="14" s="1"/>
  <c r="D1115" i="14" s="1"/>
  <c r="I527" i="4"/>
  <c r="G506" i="4"/>
  <c r="AB13" i="2"/>
  <c r="AC14" i="2"/>
  <c r="H528" i="4"/>
  <c r="H529" i="4" s="1"/>
  <c r="J841" i="14"/>
  <c r="H125" i="48"/>
  <c r="H233" i="48"/>
  <c r="E410" i="14"/>
  <c r="E417" i="14" s="1"/>
  <c r="E423" i="14" s="1"/>
  <c r="E60" i="14"/>
  <c r="I49" i="2"/>
  <c r="I872" i="14" s="1"/>
  <c r="J47" i="2"/>
  <c r="I116" i="4"/>
  <c r="H106" i="4"/>
  <c r="H147" i="4" s="1"/>
  <c r="H164" i="4" s="1"/>
  <c r="K335" i="29"/>
  <c r="P266" i="2"/>
  <c r="P273" i="2" s="1"/>
  <c r="G226" i="15"/>
  <c r="J119" i="4"/>
  <c r="I109" i="4"/>
  <c r="N656" i="4"/>
  <c r="L77" i="48"/>
  <c r="G220" i="4"/>
  <c r="D746" i="16"/>
  <c r="D750" i="16" s="1"/>
  <c r="D729" i="16"/>
  <c r="M755" i="14"/>
  <c r="M789" i="14" s="1"/>
  <c r="N756" i="14"/>
  <c r="K266" i="4"/>
  <c r="J267" i="4"/>
  <c r="I47" i="48"/>
  <c r="H208" i="4"/>
  <c r="H148" i="4"/>
  <c r="H165" i="4" s="1"/>
  <c r="H37" i="48"/>
  <c r="H209" i="48"/>
  <c r="M195" i="15"/>
  <c r="L66" i="29"/>
  <c r="L67" i="29" s="1"/>
  <c r="E725" i="16"/>
  <c r="E597" i="16"/>
  <c r="E601" i="16" s="1"/>
  <c r="R594" i="16" s="1"/>
  <c r="E19" i="32" s="1"/>
  <c r="I69" i="4"/>
  <c r="I70" i="4" s="1"/>
  <c r="K381" i="16"/>
  <c r="I563" i="16" s="1"/>
  <c r="G222" i="15"/>
  <c r="M100" i="15"/>
  <c r="L104" i="15"/>
  <c r="L112" i="15" s="1"/>
  <c r="L103" i="15"/>
  <c r="H495" i="4"/>
  <c r="H496" i="4" s="1"/>
  <c r="M80" i="29" s="1"/>
  <c r="R736" i="16" s="1"/>
  <c r="F208" i="15"/>
  <c r="D261" i="48" s="1"/>
  <c r="G197" i="2" s="1"/>
  <c r="F237" i="15"/>
  <c r="F239" i="15" s="1"/>
  <c r="K123" i="14"/>
  <c r="K1164" i="14" s="1"/>
  <c r="J1030" i="14"/>
  <c r="F123" i="14"/>
  <c r="F1164" i="14" s="1"/>
  <c r="E1030" i="14"/>
  <c r="J123" i="14"/>
  <c r="J1164" i="14" s="1"/>
  <c r="I1030" i="14"/>
  <c r="E123" i="14"/>
  <c r="E1164" i="14" s="1"/>
  <c r="E1172" i="14" s="1"/>
  <c r="E1175" i="14" s="1"/>
  <c r="D1030" i="14"/>
  <c r="I123" i="14"/>
  <c r="I1164" i="14" s="1"/>
  <c r="H1030" i="14"/>
  <c r="M66" i="29"/>
  <c r="M67" i="29" s="1"/>
  <c r="F725" i="16"/>
  <c r="F597" i="16"/>
  <c r="K1030" i="14"/>
  <c r="L123" i="14"/>
  <c r="L1164" i="14" s="1"/>
  <c r="N123" i="14"/>
  <c r="N1164" i="14" s="1"/>
  <c r="M1030" i="14"/>
  <c r="H123" i="14"/>
  <c r="H1164" i="14" s="1"/>
  <c r="G1030" i="14"/>
  <c r="D1114" i="14"/>
  <c r="D1014" i="14"/>
  <c r="G218" i="15"/>
  <c r="E487" i="14"/>
  <c r="O123" i="14"/>
  <c r="M123" i="14"/>
  <c r="M1164" i="14" s="1"/>
  <c r="L1030" i="14"/>
  <c r="G123" i="14"/>
  <c r="G1164" i="14" s="1"/>
  <c r="F1030" i="14"/>
  <c r="O1164" i="14" l="1"/>
  <c r="E861" i="14"/>
  <c r="E873" i="14"/>
  <c r="E79" i="21"/>
  <c r="O135" i="14"/>
  <c r="N1030" i="14"/>
  <c r="U100" i="32"/>
  <c r="AB100" i="32" s="1"/>
  <c r="U97" i="32"/>
  <c r="AB97" i="32" s="1"/>
  <c r="T100" i="32"/>
  <c r="T97" i="32"/>
  <c r="O122" i="32"/>
  <c r="O120" i="32"/>
  <c r="H759" i="4"/>
  <c r="H730" i="4" s="1"/>
  <c r="H403" i="4"/>
  <c r="I505" i="4"/>
  <c r="J191" i="15"/>
  <c r="I502" i="4"/>
  <c r="I266" i="14"/>
  <c r="I265" i="14"/>
  <c r="J274" i="14"/>
  <c r="J275" i="14"/>
  <c r="G770" i="16"/>
  <c r="H535" i="4"/>
  <c r="H880" i="14" s="1"/>
  <c r="I525" i="4"/>
  <c r="I623" i="4" s="1"/>
  <c r="G763" i="16"/>
  <c r="H530" i="4"/>
  <c r="H641" i="4" s="1"/>
  <c r="H773" i="16"/>
  <c r="I540" i="4"/>
  <c r="J197" i="15" s="1"/>
  <c r="I538" i="4"/>
  <c r="J185" i="15" s="1"/>
  <c r="J179" i="15" s="1"/>
  <c r="G773" i="16"/>
  <c r="H540" i="4"/>
  <c r="I197" i="15" s="1"/>
  <c r="I533" i="4"/>
  <c r="I865" i="14" s="1"/>
  <c r="I854" i="14" s="1"/>
  <c r="H563" i="16"/>
  <c r="O124" i="32"/>
  <c r="J787" i="14"/>
  <c r="K689" i="14"/>
  <c r="J644" i="4"/>
  <c r="H764" i="16"/>
  <c r="K44" i="15"/>
  <c r="I408" i="4"/>
  <c r="K305" i="14"/>
  <c r="K1158" i="14" s="1"/>
  <c r="K1173" i="14" s="1"/>
  <c r="J268" i="14"/>
  <c r="J407" i="4"/>
  <c r="K406" i="4"/>
  <c r="L406" i="4" s="1"/>
  <c r="J651" i="4"/>
  <c r="I217" i="48" s="1"/>
  <c r="H217" i="48"/>
  <c r="AB62" i="32"/>
  <c r="G597" i="16"/>
  <c r="G601" i="16" s="1"/>
  <c r="T594" i="16" s="1"/>
  <c r="G19" i="32" s="1"/>
  <c r="N66" i="29"/>
  <c r="J539" i="4"/>
  <c r="D257" i="2"/>
  <c r="K36" i="15"/>
  <c r="L312" i="4"/>
  <c r="J731" i="14"/>
  <c r="J788" i="14" s="1"/>
  <c r="K732" i="14"/>
  <c r="K870" i="14"/>
  <c r="K871" i="14" s="1"/>
  <c r="H768" i="16"/>
  <c r="AA56" i="21" s="1"/>
  <c r="AA59" i="21" s="1"/>
  <c r="AE15" i="2"/>
  <c r="AE18" i="2"/>
  <c r="AB17" i="2"/>
  <c r="AB16" i="2"/>
  <c r="M20" i="15"/>
  <c r="L16" i="15"/>
  <c r="K290" i="15"/>
  <c r="K281" i="15"/>
  <c r="K442" i="16"/>
  <c r="H506" i="4"/>
  <c r="H508" i="4" s="1"/>
  <c r="L169" i="15"/>
  <c r="L427" i="16" s="1"/>
  <c r="L643" i="4"/>
  <c r="K28" i="15"/>
  <c r="M667" i="14"/>
  <c r="M669" i="14" s="1"/>
  <c r="M670" i="14" s="1"/>
  <c r="M656" i="14"/>
  <c r="M665" i="14" s="1"/>
  <c r="N655" i="14"/>
  <c r="M165" i="15"/>
  <c r="N154" i="15"/>
  <c r="N157" i="15" s="1"/>
  <c r="M161" i="15"/>
  <c r="J532" i="4"/>
  <c r="J537" i="4"/>
  <c r="I758" i="16"/>
  <c r="AB55" i="21" s="1"/>
  <c r="J524" i="4"/>
  <c r="K520" i="4"/>
  <c r="L500" i="4"/>
  <c r="K501" i="4"/>
  <c r="I879" i="14"/>
  <c r="I534" i="4" s="1"/>
  <c r="J878" i="14"/>
  <c r="I528" i="4"/>
  <c r="I529" i="4" s="1"/>
  <c r="D1045" i="14"/>
  <c r="D1063" i="14"/>
  <c r="E427" i="14"/>
  <c r="E442" i="14"/>
  <c r="E449" i="14" s="1"/>
  <c r="E460" i="14" s="1"/>
  <c r="E471" i="14" s="1"/>
  <c r="E479" i="14" s="1"/>
  <c r="G508" i="4"/>
  <c r="G516" i="4" s="1"/>
  <c r="G517" i="4" s="1"/>
  <c r="K841" i="14"/>
  <c r="I233" i="48"/>
  <c r="I125" i="48"/>
  <c r="AC13" i="2"/>
  <c r="AD14" i="2"/>
  <c r="J527" i="4"/>
  <c r="M196" i="15"/>
  <c r="N195" i="15"/>
  <c r="N755" i="14"/>
  <c r="N789" i="14" s="1"/>
  <c r="O756" i="14"/>
  <c r="O755" i="14" s="1"/>
  <c r="O789" i="14" s="1"/>
  <c r="O656" i="4"/>
  <c r="N77" i="48" s="1"/>
  <c r="M77" i="48"/>
  <c r="I106" i="4"/>
  <c r="I147" i="4" s="1"/>
  <c r="I164" i="4" s="1"/>
  <c r="J116" i="4"/>
  <c r="L266" i="4"/>
  <c r="J47" i="48"/>
  <c r="K267" i="4"/>
  <c r="J109" i="4"/>
  <c r="K119" i="4"/>
  <c r="G294" i="15"/>
  <c r="J49" i="2"/>
  <c r="J872" i="14" s="1"/>
  <c r="K47" i="2"/>
  <c r="L335" i="29"/>
  <c r="Q266" i="2"/>
  <c r="Q273" i="2" s="1"/>
  <c r="H226" i="15"/>
  <c r="H220" i="4"/>
  <c r="I37" i="48"/>
  <c r="I209" i="48"/>
  <c r="I208" i="4"/>
  <c r="I148" i="4"/>
  <c r="I165" i="4" s="1"/>
  <c r="D783" i="16"/>
  <c r="D791" i="16" s="1"/>
  <c r="J902" i="16"/>
  <c r="K334" i="29"/>
  <c r="J904" i="16"/>
  <c r="E746" i="16"/>
  <c r="E750" i="16" s="1"/>
  <c r="E729" i="16"/>
  <c r="J69" i="4"/>
  <c r="J70" i="4" s="1"/>
  <c r="L1031" i="14"/>
  <c r="L1028" i="14" s="1"/>
  <c r="L95" i="48" s="1"/>
  <c r="G219" i="15"/>
  <c r="K1031" i="14"/>
  <c r="K1028" i="14" s="1"/>
  <c r="K95" i="48" s="1"/>
  <c r="F746" i="16"/>
  <c r="F750" i="16" s="1"/>
  <c r="F729" i="16"/>
  <c r="E128" i="14"/>
  <c r="D989" i="14" s="1"/>
  <c r="D1031" i="14"/>
  <c r="D1122" i="14" s="1"/>
  <c r="D181" i="48"/>
  <c r="G196" i="2" s="1"/>
  <c r="N100" i="15"/>
  <c r="M104" i="15"/>
  <c r="M112" i="15" s="1"/>
  <c r="M103" i="15"/>
  <c r="M381" i="16" s="1"/>
  <c r="K563" i="16" s="1"/>
  <c r="Q120" i="32" s="1"/>
  <c r="I494" i="4"/>
  <c r="L381" i="16"/>
  <c r="J563" i="16" s="1"/>
  <c r="P120" i="32" s="1"/>
  <c r="D1121" i="14"/>
  <c r="I1031" i="14"/>
  <c r="I1028" i="14" s="1"/>
  <c r="I95" i="48" s="1"/>
  <c r="K401" i="16"/>
  <c r="K280" i="15"/>
  <c r="M1031" i="14"/>
  <c r="M1028" i="14" s="1"/>
  <c r="M95" i="48" s="1"/>
  <c r="G746" i="16"/>
  <c r="G750" i="16" s="1"/>
  <c r="G729" i="16"/>
  <c r="E1031" i="14"/>
  <c r="E1028" i="14" s="1"/>
  <c r="E95" i="48" s="1"/>
  <c r="E127" i="14"/>
  <c r="D990" i="14" s="1"/>
  <c r="N1031" i="14"/>
  <c r="N1028" i="14" s="1"/>
  <c r="N95" i="48" s="1"/>
  <c r="G1031" i="14"/>
  <c r="G1028" i="14" s="1"/>
  <c r="G95" i="48" s="1"/>
  <c r="F601" i="16"/>
  <c r="F1031" i="14"/>
  <c r="F1028" i="14" s="1"/>
  <c r="F95" i="48" s="1"/>
  <c r="E482" i="14"/>
  <c r="D1013" i="14"/>
  <c r="M335" i="29"/>
  <c r="R266" i="2"/>
  <c r="I226" i="15"/>
  <c r="H1031" i="14"/>
  <c r="H1028" i="14" s="1"/>
  <c r="H95" i="48" s="1"/>
  <c r="J1031" i="14"/>
  <c r="J1028" i="14" s="1"/>
  <c r="J95" i="48" s="1"/>
  <c r="N67" i="29" l="1"/>
  <c r="S266" i="2" s="1"/>
  <c r="S273" i="2" s="1"/>
  <c r="N122" i="32"/>
  <c r="N120" i="32"/>
  <c r="J505" i="4"/>
  <c r="K191" i="15"/>
  <c r="I759" i="4"/>
  <c r="I730" i="4" s="1"/>
  <c r="I403" i="4"/>
  <c r="J502" i="4"/>
  <c r="P124" i="32"/>
  <c r="P122" i="32"/>
  <c r="Q124" i="32"/>
  <c r="Q122" i="32"/>
  <c r="J266" i="14"/>
  <c r="J265" i="14"/>
  <c r="K275" i="14"/>
  <c r="K274" i="14"/>
  <c r="H763" i="16"/>
  <c r="I530" i="4"/>
  <c r="I641" i="4" s="1"/>
  <c r="J525" i="4"/>
  <c r="J623" i="4" s="1"/>
  <c r="I773" i="16"/>
  <c r="J540" i="4"/>
  <c r="K197" i="15" s="1"/>
  <c r="H770" i="16"/>
  <c r="I535" i="4"/>
  <c r="I880" i="14" s="1"/>
  <c r="J538" i="4"/>
  <c r="K185" i="15" s="1"/>
  <c r="K179" i="15" s="1"/>
  <c r="J533" i="4"/>
  <c r="J865" i="14" s="1"/>
  <c r="J854" i="14" s="1"/>
  <c r="G563" i="16"/>
  <c r="N124" i="32"/>
  <c r="L36" i="15"/>
  <c r="K787" i="14"/>
  <c r="L689" i="14"/>
  <c r="L305" i="14"/>
  <c r="L1158" i="14" s="1"/>
  <c r="L1173" i="14" s="1"/>
  <c r="J408" i="4"/>
  <c r="K268" i="14"/>
  <c r="K644" i="4"/>
  <c r="I764" i="16"/>
  <c r="L44" i="15"/>
  <c r="K407" i="4"/>
  <c r="L407" i="4" s="1"/>
  <c r="I762" i="16"/>
  <c r="I65" i="48"/>
  <c r="K651" i="4"/>
  <c r="J217" i="48" s="1"/>
  <c r="M406" i="4"/>
  <c r="J528" i="4"/>
  <c r="J529" i="4" s="1"/>
  <c r="L28" i="15"/>
  <c r="D1028" i="14"/>
  <c r="D95" i="48" s="1"/>
  <c r="G257" i="2"/>
  <c r="M312" i="4"/>
  <c r="K731" i="14"/>
  <c r="K788" i="14" s="1"/>
  <c r="L732" i="14"/>
  <c r="I768" i="16"/>
  <c r="AB56" i="21" s="1"/>
  <c r="AB59" i="21" s="1"/>
  <c r="L870" i="14"/>
  <c r="L871" i="14" s="1"/>
  <c r="AF15" i="2"/>
  <c r="AF18" i="2"/>
  <c r="AC16" i="2"/>
  <c r="AC17" i="2"/>
  <c r="N20" i="15"/>
  <c r="M16" i="15"/>
  <c r="N165" i="15"/>
  <c r="O154" i="15"/>
  <c r="O157" i="15" s="1"/>
  <c r="N161" i="15"/>
  <c r="N656" i="14"/>
  <c r="N665" i="14" s="1"/>
  <c r="N667" i="14"/>
  <c r="N669" i="14" s="1"/>
  <c r="N670" i="14" s="1"/>
  <c r="O655" i="14"/>
  <c r="M643" i="4"/>
  <c r="M169" i="15"/>
  <c r="M427" i="16" s="1"/>
  <c r="L442" i="16"/>
  <c r="L281" i="15"/>
  <c r="L290" i="15"/>
  <c r="K532" i="4"/>
  <c r="K537" i="4"/>
  <c r="K524" i="4"/>
  <c r="J758" i="16"/>
  <c r="AC55" i="21" s="1"/>
  <c r="L520" i="4"/>
  <c r="L539" i="4" s="1"/>
  <c r="M500" i="4"/>
  <c r="L501" i="4"/>
  <c r="H510" i="4"/>
  <c r="K539" i="4"/>
  <c r="K878" i="14"/>
  <c r="J879" i="14"/>
  <c r="J534" i="4" s="1"/>
  <c r="E488" i="14"/>
  <c r="D428" i="14"/>
  <c r="AE14" i="2"/>
  <c r="AD13" i="2"/>
  <c r="D1064" i="14"/>
  <c r="D1046" i="14"/>
  <c r="E599" i="14"/>
  <c r="E793" i="14" s="1"/>
  <c r="K527" i="4"/>
  <c r="F79" i="21"/>
  <c r="L83" i="29"/>
  <c r="L84" i="29" s="1"/>
  <c r="E1125" i="14"/>
  <c r="D1050" i="14"/>
  <c r="I506" i="4"/>
  <c r="I508" i="4" s="1"/>
  <c r="L841" i="14"/>
  <c r="J233" i="48"/>
  <c r="J125" i="48"/>
  <c r="D1068" i="14"/>
  <c r="D1125" i="14"/>
  <c r="J208" i="4"/>
  <c r="J148" i="4"/>
  <c r="J165" i="4" s="1"/>
  <c r="M266" i="4"/>
  <c r="L267" i="4"/>
  <c r="K47" i="48"/>
  <c r="J106" i="4"/>
  <c r="J147" i="4" s="1"/>
  <c r="J164" i="4" s="1"/>
  <c r="K116" i="4"/>
  <c r="H294" i="15"/>
  <c r="K109" i="4"/>
  <c r="L119" i="4"/>
  <c r="L69" i="4" s="1"/>
  <c r="L70" i="4" s="1"/>
  <c r="E783" i="16"/>
  <c r="L334" i="29"/>
  <c r="K902" i="16"/>
  <c r="K904" i="16"/>
  <c r="J209" i="48"/>
  <c r="J37" i="48"/>
  <c r="K69" i="4"/>
  <c r="K70" i="4" s="1"/>
  <c r="D876" i="16"/>
  <c r="X76" i="21"/>
  <c r="D919" i="16" s="1"/>
  <c r="I220" i="4"/>
  <c r="L47" i="2"/>
  <c r="K49" i="2"/>
  <c r="N196" i="15"/>
  <c r="O195" i="15"/>
  <c r="M401" i="16"/>
  <c r="M280" i="15"/>
  <c r="O100" i="15"/>
  <c r="N104" i="15"/>
  <c r="N112" i="15" s="1"/>
  <c r="N103" i="15"/>
  <c r="O66" i="29"/>
  <c r="O67" i="29" s="1"/>
  <c r="H725" i="16"/>
  <c r="H597" i="16"/>
  <c r="I495" i="4"/>
  <c r="I496" i="4" s="1"/>
  <c r="N80" i="29" s="1"/>
  <c r="S736" i="16" s="1"/>
  <c r="H244" i="2"/>
  <c r="J244" i="2" s="1"/>
  <c r="D200" i="33"/>
  <c r="F783" i="16"/>
  <c r="M334" i="29"/>
  <c r="L902" i="16"/>
  <c r="L904" i="16"/>
  <c r="E1115" i="14"/>
  <c r="R273" i="2"/>
  <c r="S594" i="16"/>
  <c r="F19" i="32" s="1"/>
  <c r="I294" i="15"/>
  <c r="L401" i="16"/>
  <c r="L280" i="15"/>
  <c r="E1114" i="14"/>
  <c r="D996" i="14"/>
  <c r="K502" i="4" l="1"/>
  <c r="K872" i="14"/>
  <c r="N335" i="29"/>
  <c r="J226" i="15"/>
  <c r="J294" i="15" s="1"/>
  <c r="M122" i="32"/>
  <c r="M120" i="32"/>
  <c r="J759" i="4"/>
  <c r="J730" i="4" s="1"/>
  <c r="J403" i="4"/>
  <c r="K505" i="4"/>
  <c r="L191" i="15"/>
  <c r="K265" i="14"/>
  <c r="K266" i="14"/>
  <c r="M305" i="14"/>
  <c r="L274" i="14"/>
  <c r="L275" i="14"/>
  <c r="J773" i="16"/>
  <c r="K540" i="4"/>
  <c r="L197" i="15" s="1"/>
  <c r="K773" i="16"/>
  <c r="K533" i="4"/>
  <c r="K865" i="14" s="1"/>
  <c r="K854" i="14" s="1"/>
  <c r="I763" i="16"/>
  <c r="J530" i="4"/>
  <c r="J641" i="4" s="1"/>
  <c r="I770" i="16"/>
  <c r="J535" i="4"/>
  <c r="J880" i="14" s="1"/>
  <c r="K525" i="4"/>
  <c r="K623" i="4" s="1"/>
  <c r="K538" i="4"/>
  <c r="L185" i="15" s="1"/>
  <c r="L179" i="15" s="1"/>
  <c r="F563" i="16"/>
  <c r="M124" i="32"/>
  <c r="M44" i="15"/>
  <c r="L787" i="14"/>
  <c r="L268" i="14"/>
  <c r="M689" i="14"/>
  <c r="E615" i="14"/>
  <c r="E611" i="14"/>
  <c r="L644" i="4"/>
  <c r="J764" i="16"/>
  <c r="M407" i="4"/>
  <c r="J762" i="16"/>
  <c r="K408" i="4"/>
  <c r="J65" i="48"/>
  <c r="L651" i="4"/>
  <c r="M651" i="4" s="1"/>
  <c r="M36" i="15"/>
  <c r="M902" i="16"/>
  <c r="M904" i="16"/>
  <c r="N334" i="29"/>
  <c r="G783" i="16"/>
  <c r="N406" i="4"/>
  <c r="K762" i="16"/>
  <c r="M28" i="15"/>
  <c r="F257" i="2"/>
  <c r="N312" i="4"/>
  <c r="L731" i="14"/>
  <c r="L788" i="14" s="1"/>
  <c r="M732" i="14"/>
  <c r="J768" i="16"/>
  <c r="AC56" i="21" s="1"/>
  <c r="AC59" i="21" s="1"/>
  <c r="M870" i="14"/>
  <c r="M871" i="14" s="1"/>
  <c r="AG15" i="2"/>
  <c r="AG18" i="2"/>
  <c r="AD16" i="2"/>
  <c r="AD17" i="2"/>
  <c r="N169" i="15"/>
  <c r="N427" i="16" s="1"/>
  <c r="N290" i="15" s="1"/>
  <c r="O165" i="15"/>
  <c r="O161" i="15"/>
  <c r="P154" i="15"/>
  <c r="P157" i="15" s="1"/>
  <c r="O656" i="14"/>
  <c r="O665" i="14" s="1"/>
  <c r="O667" i="14"/>
  <c r="O669" i="14" s="1"/>
  <c r="O670" i="14" s="1"/>
  <c r="M281" i="15"/>
  <c r="M442" i="16"/>
  <c r="M290" i="15"/>
  <c r="N643" i="4"/>
  <c r="N16" i="15"/>
  <c r="O20" i="15"/>
  <c r="H512" i="4"/>
  <c r="H516" i="4" s="1"/>
  <c r="H517" i="4" s="1"/>
  <c r="L532" i="4"/>
  <c r="L524" i="4"/>
  <c r="L537" i="4"/>
  <c r="K758" i="16"/>
  <c r="AD55" i="21" s="1"/>
  <c r="M520" i="4"/>
  <c r="N500" i="4"/>
  <c r="M501" i="4"/>
  <c r="J506" i="4"/>
  <c r="J508" i="4" s="1"/>
  <c r="L878" i="14"/>
  <c r="O196" i="15"/>
  <c r="K879" i="14"/>
  <c r="K534" i="4" s="1"/>
  <c r="M841" i="14"/>
  <c r="K125" i="48"/>
  <c r="K233" i="48"/>
  <c r="Q737" i="16"/>
  <c r="L279" i="29"/>
  <c r="E818" i="14"/>
  <c r="L527" i="4"/>
  <c r="AF14" i="2"/>
  <c r="AE13" i="2"/>
  <c r="D1051" i="14"/>
  <c r="E483" i="14"/>
  <c r="E492" i="14"/>
  <c r="D223" i="48" s="1"/>
  <c r="G179" i="2" s="1"/>
  <c r="E490" i="14"/>
  <c r="K528" i="4"/>
  <c r="K529" i="4" s="1"/>
  <c r="D1069" i="14"/>
  <c r="D484" i="14"/>
  <c r="L49" i="2"/>
  <c r="M47" i="2"/>
  <c r="N266" i="4"/>
  <c r="M267" i="4"/>
  <c r="L47" i="48"/>
  <c r="P195" i="15"/>
  <c r="K208" i="4"/>
  <c r="K148" i="4"/>
  <c r="K165" i="4" s="1"/>
  <c r="L116" i="4"/>
  <c r="K106" i="4"/>
  <c r="K147" i="4" s="1"/>
  <c r="K164" i="4" s="1"/>
  <c r="K209" i="48"/>
  <c r="K37" i="48"/>
  <c r="L109" i="4"/>
  <c r="M119" i="4"/>
  <c r="J220" i="4"/>
  <c r="P66" i="29"/>
  <c r="P67" i="29" s="1"/>
  <c r="I725" i="16"/>
  <c r="I597" i="16"/>
  <c r="I601" i="16" s="1"/>
  <c r="V594" i="16" s="1"/>
  <c r="I19" i="32" s="1"/>
  <c r="N381" i="16"/>
  <c r="J494" i="4"/>
  <c r="O335" i="29"/>
  <c r="K226" i="15"/>
  <c r="T266" i="2"/>
  <c r="H746" i="16"/>
  <c r="H750" i="16" s="1"/>
  <c r="H729" i="16"/>
  <c r="P100" i="15"/>
  <c r="O103" i="15"/>
  <c r="O104" i="15"/>
  <c r="O112" i="15" s="1"/>
  <c r="Q66" i="29"/>
  <c r="Q67" i="29" s="1"/>
  <c r="J725" i="16"/>
  <c r="J597" i="16"/>
  <c r="J601" i="16" s="1"/>
  <c r="W594" i="16" s="1"/>
  <c r="J19" i="32" s="1"/>
  <c r="D997" i="14"/>
  <c r="H601" i="16"/>
  <c r="M268" i="14" l="1"/>
  <c r="M265" i="14" s="1"/>
  <c r="M1158" i="14"/>
  <c r="M1173" i="14" s="1"/>
  <c r="E862" i="14"/>
  <c r="E867" i="14"/>
  <c r="E885" i="14"/>
  <c r="E874" i="14"/>
  <c r="L540" i="4"/>
  <c r="M197" i="15" s="1"/>
  <c r="L872" i="14"/>
  <c r="L122" i="32"/>
  <c r="L120" i="32"/>
  <c r="K759" i="4"/>
  <c r="K730" i="4" s="1"/>
  <c r="K403" i="4"/>
  <c r="L505" i="4"/>
  <c r="M191" i="15"/>
  <c r="L502" i="4"/>
  <c r="N305" i="14"/>
  <c r="N1158" i="14" s="1"/>
  <c r="N1173" i="14" s="1"/>
  <c r="L266" i="14"/>
  <c r="L265" i="14"/>
  <c r="M275" i="14"/>
  <c r="M274" i="14"/>
  <c r="L408" i="4"/>
  <c r="M408" i="4" s="1"/>
  <c r="J763" i="16"/>
  <c r="K530" i="4"/>
  <c r="K641" i="4" s="1"/>
  <c r="L533" i="4"/>
  <c r="L865" i="14" s="1"/>
  <c r="L854" i="14" s="1"/>
  <c r="J770" i="16"/>
  <c r="K535" i="4"/>
  <c r="K880" i="14" s="1"/>
  <c r="L538" i="4"/>
  <c r="M185" i="15" s="1"/>
  <c r="M179" i="15" s="1"/>
  <c r="L525" i="4"/>
  <c r="L623" i="4" s="1"/>
  <c r="E563" i="16"/>
  <c r="K120" i="32" s="1"/>
  <c r="L124" i="32"/>
  <c r="N44" i="15"/>
  <c r="M787" i="14"/>
  <c r="N689" i="14"/>
  <c r="N407" i="4"/>
  <c r="M644" i="4"/>
  <c r="K764" i="16"/>
  <c r="K217" i="48"/>
  <c r="K65" i="48"/>
  <c r="D845" i="16"/>
  <c r="O406" i="4"/>
  <c r="L762" i="16"/>
  <c r="N28" i="15"/>
  <c r="P196" i="15"/>
  <c r="D862" i="16"/>
  <c r="O312" i="4"/>
  <c r="L879" i="14"/>
  <c r="L534" i="4" s="1"/>
  <c r="M731" i="14"/>
  <c r="M788" i="14" s="1"/>
  <c r="N732" i="14"/>
  <c r="K768" i="16"/>
  <c r="AD56" i="21" s="1"/>
  <c r="AD59" i="21" s="1"/>
  <c r="N870" i="14"/>
  <c r="N871" i="14" s="1"/>
  <c r="AH18" i="2"/>
  <c r="AH15" i="2"/>
  <c r="AE16" i="2"/>
  <c r="AE17" i="2"/>
  <c r="N281" i="15"/>
  <c r="O169" i="15"/>
  <c r="O427" i="16" s="1"/>
  <c r="O442" i="16" s="1"/>
  <c r="N442" i="16"/>
  <c r="I510" i="4"/>
  <c r="P161" i="15"/>
  <c r="P165" i="15"/>
  <c r="N36" i="15"/>
  <c r="O643" i="4"/>
  <c r="P20" i="15"/>
  <c r="O16" i="15"/>
  <c r="M524" i="4"/>
  <c r="L758" i="16"/>
  <c r="AE55" i="21" s="1"/>
  <c r="M532" i="4"/>
  <c r="M537" i="4"/>
  <c r="G79" i="21"/>
  <c r="M83" i="29"/>
  <c r="M84" i="29" s="1"/>
  <c r="N520" i="4"/>
  <c r="N539" i="4" s="1"/>
  <c r="O500" i="4"/>
  <c r="N501" i="4"/>
  <c r="M539" i="4"/>
  <c r="M878" i="14"/>
  <c r="L281" i="29"/>
  <c r="E801" i="16"/>
  <c r="E819" i="16" s="1"/>
  <c r="Y82" i="21" s="1"/>
  <c r="N841" i="14"/>
  <c r="L125" i="48"/>
  <c r="L233" i="48"/>
  <c r="D1070" i="14"/>
  <c r="E485" i="14"/>
  <c r="D1052" i="14"/>
  <c r="AF13" i="2"/>
  <c r="AG14" i="2"/>
  <c r="M527" i="4"/>
  <c r="K506" i="4"/>
  <c r="K508" i="4" s="1"/>
  <c r="L528" i="4"/>
  <c r="L529" i="4" s="1"/>
  <c r="L530" i="4" s="1"/>
  <c r="L208" i="4"/>
  <c r="L148" i="4"/>
  <c r="L165" i="4" s="1"/>
  <c r="N651" i="4"/>
  <c r="L217" i="48"/>
  <c r="L65" i="48"/>
  <c r="M69" i="4"/>
  <c r="M70" i="4" s="1"/>
  <c r="M109" i="4"/>
  <c r="N119" i="4"/>
  <c r="O266" i="4"/>
  <c r="N267" i="4"/>
  <c r="M47" i="48"/>
  <c r="L106" i="4"/>
  <c r="L147" i="4" s="1"/>
  <c r="L164" i="4" s="1"/>
  <c r="M116" i="4"/>
  <c r="K220" i="4"/>
  <c r="L37" i="48"/>
  <c r="L209" i="48"/>
  <c r="M49" i="2"/>
  <c r="M872" i="14" s="1"/>
  <c r="N47" i="2"/>
  <c r="J746" i="16"/>
  <c r="J750" i="16" s="1"/>
  <c r="J729" i="16"/>
  <c r="K294" i="15"/>
  <c r="P335" i="29"/>
  <c r="U266" i="2"/>
  <c r="U273" i="2" s="1"/>
  <c r="L226" i="15"/>
  <c r="O381" i="16"/>
  <c r="P104" i="15"/>
  <c r="P112" i="15" s="1"/>
  <c r="P103" i="15"/>
  <c r="P381" i="16" s="1"/>
  <c r="N563" i="16" s="1"/>
  <c r="T120" i="32" s="1"/>
  <c r="T273" i="2"/>
  <c r="I746" i="16"/>
  <c r="I750" i="16" s="1"/>
  <c r="I729" i="16"/>
  <c r="U594" i="16"/>
  <c r="H19" i="32" s="1"/>
  <c r="Q335" i="29"/>
  <c r="V266" i="2"/>
  <c r="V273" i="2" s="1"/>
  <c r="M226" i="15"/>
  <c r="H783" i="16"/>
  <c r="O334" i="29"/>
  <c r="N902" i="16"/>
  <c r="N904" i="16"/>
  <c r="J495" i="4"/>
  <c r="J496" i="4" s="1"/>
  <c r="O80" i="29" s="1"/>
  <c r="T736" i="16" s="1"/>
  <c r="N401" i="16"/>
  <c r="N280" i="15"/>
  <c r="M266" i="14" l="1"/>
  <c r="L759" i="4"/>
  <c r="L730" i="4" s="1"/>
  <c r="L403" i="4"/>
  <c r="M505" i="4"/>
  <c r="N191" i="15"/>
  <c r="M502" i="4"/>
  <c r="K124" i="32"/>
  <c r="K122" i="32"/>
  <c r="N274" i="14"/>
  <c r="N275" i="14"/>
  <c r="O305" i="14"/>
  <c r="N268" i="14"/>
  <c r="E856" i="14"/>
  <c r="E851" i="14"/>
  <c r="L773" i="16"/>
  <c r="M540" i="4"/>
  <c r="N197" i="15" s="1"/>
  <c r="M525" i="4"/>
  <c r="M623" i="4" s="1"/>
  <c r="K770" i="16"/>
  <c r="L535" i="4"/>
  <c r="L880" i="14" s="1"/>
  <c r="M538" i="4"/>
  <c r="N185" i="15" s="1"/>
  <c r="N179" i="15" s="1"/>
  <c r="M773" i="16"/>
  <c r="M533" i="4"/>
  <c r="M865" i="14" s="1"/>
  <c r="M854" i="14" s="1"/>
  <c r="O44" i="15"/>
  <c r="M563" i="16"/>
  <c r="S120" i="32" s="1"/>
  <c r="N787" i="14"/>
  <c r="O689" i="14"/>
  <c r="N644" i="4"/>
  <c r="L764" i="16"/>
  <c r="O407" i="4"/>
  <c r="N762" i="16" s="1"/>
  <c r="D852" i="16"/>
  <c r="N408" i="4"/>
  <c r="M762" i="16"/>
  <c r="H257" i="2"/>
  <c r="I257" i="2"/>
  <c r="O28" i="15"/>
  <c r="D866" i="16"/>
  <c r="M879" i="14"/>
  <c r="M534" i="4" s="1"/>
  <c r="N731" i="14"/>
  <c r="N788" i="14" s="1"/>
  <c r="O732" i="14"/>
  <c r="O731" i="14" s="1"/>
  <c r="O788" i="14" s="1"/>
  <c r="L506" i="4"/>
  <c r="L508" i="4" s="1"/>
  <c r="L768" i="16"/>
  <c r="AE56" i="21" s="1"/>
  <c r="AE59" i="21" s="1"/>
  <c r="O870" i="14"/>
  <c r="O871" i="14" s="1"/>
  <c r="AI15" i="2"/>
  <c r="AI18" i="2"/>
  <c r="AF17" i="2"/>
  <c r="AF16" i="2"/>
  <c r="O281" i="15"/>
  <c r="O290" i="15"/>
  <c r="P169" i="15"/>
  <c r="P427" i="16" s="1"/>
  <c r="P281" i="15" s="1"/>
  <c r="P16" i="15"/>
  <c r="O36" i="15"/>
  <c r="I512" i="4"/>
  <c r="I516" i="4" s="1"/>
  <c r="I517" i="4" s="1"/>
  <c r="M279" i="29"/>
  <c r="R737" i="16"/>
  <c r="N532" i="4"/>
  <c r="N537" i="4"/>
  <c r="M758" i="16"/>
  <c r="AF55" i="21" s="1"/>
  <c r="N524" i="4"/>
  <c r="O520" i="4"/>
  <c r="O501" i="4"/>
  <c r="N878" i="14"/>
  <c r="AH14" i="2"/>
  <c r="AG13" i="2"/>
  <c r="L641" i="4"/>
  <c r="K763" i="16"/>
  <c r="N527" i="4"/>
  <c r="D1053" i="14"/>
  <c r="D1071" i="14"/>
  <c r="M528" i="4"/>
  <c r="M529" i="4" s="1"/>
  <c r="O841" i="14"/>
  <c r="M125" i="48"/>
  <c r="M233" i="48"/>
  <c r="N47" i="48"/>
  <c r="O267" i="4"/>
  <c r="L220" i="4"/>
  <c r="M209" i="48"/>
  <c r="M37" i="48"/>
  <c r="M208" i="4"/>
  <c r="M148" i="4"/>
  <c r="M165" i="4" s="1"/>
  <c r="O651" i="4"/>
  <c r="M217" i="48"/>
  <c r="M65" i="48"/>
  <c r="N49" i="2"/>
  <c r="N872" i="14" s="1"/>
  <c r="O47" i="2"/>
  <c r="O49" i="2" s="1"/>
  <c r="N116" i="4"/>
  <c r="M106" i="4"/>
  <c r="M147" i="4" s="1"/>
  <c r="M164" i="4" s="1"/>
  <c r="N69" i="4"/>
  <c r="N70" i="4" s="1"/>
  <c r="O119" i="4"/>
  <c r="N109" i="4"/>
  <c r="P401" i="16"/>
  <c r="P280" i="15"/>
  <c r="E381" i="16"/>
  <c r="E401" i="16" s="1"/>
  <c r="R66" i="29"/>
  <c r="R67" i="29" s="1"/>
  <c r="K597" i="16"/>
  <c r="K725" i="16"/>
  <c r="L294" i="15"/>
  <c r="K494" i="4"/>
  <c r="J783" i="16"/>
  <c r="Q334" i="29"/>
  <c r="P902" i="16"/>
  <c r="P904" i="16"/>
  <c r="I783" i="16"/>
  <c r="P334" i="29"/>
  <c r="O902" i="16"/>
  <c r="O904" i="16"/>
  <c r="M294" i="15"/>
  <c r="O401" i="16"/>
  <c r="O280" i="15"/>
  <c r="O872" i="14" l="1"/>
  <c r="O268" i="14"/>
  <c r="O266" i="14" s="1"/>
  <c r="O1158" i="14"/>
  <c r="O1173" i="14" s="1"/>
  <c r="N505" i="4"/>
  <c r="O191" i="15"/>
  <c r="N540" i="4"/>
  <c r="O197" i="15" s="1"/>
  <c r="O505" i="4"/>
  <c r="P191" i="15"/>
  <c r="M759" i="4"/>
  <c r="M730" i="4" s="1"/>
  <c r="M403" i="4"/>
  <c r="O502" i="4"/>
  <c r="N502" i="4"/>
  <c r="T122" i="32"/>
  <c r="S122" i="32"/>
  <c r="N266" i="14"/>
  <c r="N265" i="14"/>
  <c r="O275" i="14"/>
  <c r="O274" i="14"/>
  <c r="L763" i="16"/>
  <c r="M530" i="4"/>
  <c r="M641" i="4" s="1"/>
  <c r="L770" i="16"/>
  <c r="M535" i="4"/>
  <c r="M880" i="14" s="1"/>
  <c r="N525" i="4"/>
  <c r="N623" i="4" s="1"/>
  <c r="N538" i="4"/>
  <c r="O185" i="15" s="1"/>
  <c r="O179" i="15" s="1"/>
  <c r="N533" i="4"/>
  <c r="N865" i="14" s="1"/>
  <c r="N854" i="14" s="1"/>
  <c r="L563" i="16"/>
  <c r="T124" i="32"/>
  <c r="S124" i="32"/>
  <c r="P44" i="15"/>
  <c r="O787" i="14"/>
  <c r="O408" i="4"/>
  <c r="O644" i="4"/>
  <c r="M764" i="16"/>
  <c r="D918" i="16"/>
  <c r="D813" i="16"/>
  <c r="D855" i="16"/>
  <c r="X99" i="21"/>
  <c r="X103" i="21" s="1"/>
  <c r="D881" i="16"/>
  <c r="K257" i="2"/>
  <c r="D868" i="16"/>
  <c r="X108" i="21"/>
  <c r="J510" i="4"/>
  <c r="J512" i="4" s="1"/>
  <c r="J516" i="4" s="1"/>
  <c r="J517" i="4" s="1"/>
  <c r="N879" i="14"/>
  <c r="N534" i="4" s="1"/>
  <c r="P36" i="15"/>
  <c r="N768" i="16"/>
  <c r="AG56" i="21" s="1"/>
  <c r="M768" i="16"/>
  <c r="AF56" i="21" s="1"/>
  <c r="AF59" i="21" s="1"/>
  <c r="AG16" i="2"/>
  <c r="AG17" i="2"/>
  <c r="P290" i="15"/>
  <c r="E427" i="16"/>
  <c r="E442" i="16" s="1"/>
  <c r="P442" i="16"/>
  <c r="P28" i="15"/>
  <c r="N83" i="29"/>
  <c r="N84" i="29" s="1"/>
  <c r="H79" i="21"/>
  <c r="N528" i="4"/>
  <c r="N529" i="4" s="1"/>
  <c r="F801" i="16"/>
  <c r="F819" i="16" s="1"/>
  <c r="Z82" i="21" s="1"/>
  <c r="M281" i="29"/>
  <c r="O524" i="4"/>
  <c r="N758" i="16"/>
  <c r="AG55" i="21" s="1"/>
  <c r="K39" i="41" s="1"/>
  <c r="O537" i="4"/>
  <c r="O532" i="4"/>
  <c r="O539" i="4"/>
  <c r="O878" i="14"/>
  <c r="AH13" i="2"/>
  <c r="AI14" i="2"/>
  <c r="D1072" i="14"/>
  <c r="D1054" i="14"/>
  <c r="N125" i="48"/>
  <c r="I230" i="2" s="1"/>
  <c r="K230" i="2" s="1"/>
  <c r="B230" i="2" s="1"/>
  <c r="N233" i="48"/>
  <c r="O527" i="4"/>
  <c r="N65" i="48"/>
  <c r="I216" i="2" s="1"/>
  <c r="K216" i="2" s="1"/>
  <c r="B216" i="2" s="1"/>
  <c r="N217" i="48"/>
  <c r="O69" i="4"/>
  <c r="O70" i="4" s="1"/>
  <c r="O109" i="4"/>
  <c r="M506" i="4"/>
  <c r="M508" i="4" s="1"/>
  <c r="N208" i="4"/>
  <c r="N148" i="4"/>
  <c r="N165" i="4" s="1"/>
  <c r="O116" i="4"/>
  <c r="O106" i="4" s="1"/>
  <c r="O147" i="4" s="1"/>
  <c r="O164" i="4" s="1"/>
  <c r="N106" i="4"/>
  <c r="N147" i="4" s="1"/>
  <c r="N164" i="4" s="1"/>
  <c r="M220" i="4"/>
  <c r="N37" i="48"/>
  <c r="I211" i="2" s="1"/>
  <c r="K211" i="2" s="1"/>
  <c r="B211" i="2" s="1"/>
  <c r="N209" i="48"/>
  <c r="K601" i="16"/>
  <c r="T66" i="29"/>
  <c r="T67" i="29" s="1"/>
  <c r="M725" i="16"/>
  <c r="M597" i="16"/>
  <c r="M601" i="16" s="1"/>
  <c r="Z594" i="16" s="1"/>
  <c r="M19" i="32" s="1"/>
  <c r="K746" i="16"/>
  <c r="K750" i="16" s="1"/>
  <c r="K729" i="16"/>
  <c r="S66" i="29"/>
  <c r="S67" i="29" s="1"/>
  <c r="L725" i="16"/>
  <c r="L597" i="16"/>
  <c r="L601" i="16" s="1"/>
  <c r="Y594" i="16" s="1"/>
  <c r="L19" i="32" s="1"/>
  <c r="K495" i="4"/>
  <c r="K496" i="4" s="1"/>
  <c r="P80" i="29" s="1"/>
  <c r="U736" i="16" s="1"/>
  <c r="W266" i="2"/>
  <c r="N226" i="15"/>
  <c r="O265" i="14" l="1"/>
  <c r="R122" i="32"/>
  <c r="R120" i="32"/>
  <c r="N759" i="4"/>
  <c r="N730" i="4" s="1"/>
  <c r="N403" i="4"/>
  <c r="N764" i="16"/>
  <c r="M763" i="16"/>
  <c r="N530" i="4"/>
  <c r="N641" i="4" s="1"/>
  <c r="M770" i="16"/>
  <c r="N535" i="4"/>
  <c r="N880" i="14" s="1"/>
  <c r="N773" i="16"/>
  <c r="N39" i="41" s="1"/>
  <c r="O540" i="4"/>
  <c r="P197" i="15" s="1"/>
  <c r="O525" i="4"/>
  <c r="O623" i="4" s="1"/>
  <c r="O533" i="4"/>
  <c r="O865" i="14" s="1"/>
  <c r="O854" i="14" s="1"/>
  <c r="O538" i="4"/>
  <c r="P185" i="15" s="1"/>
  <c r="P179" i="15" s="1"/>
  <c r="O563" i="16"/>
  <c r="R124" i="32"/>
  <c r="AG59" i="21"/>
  <c r="E840" i="16"/>
  <c r="E843" i="16" s="1"/>
  <c r="E848" i="16" s="1"/>
  <c r="F103" i="21" s="1"/>
  <c r="F105" i="21" s="1"/>
  <c r="E851" i="16"/>
  <c r="Y98" i="21" s="1"/>
  <c r="J257" i="2"/>
  <c r="X110" i="21"/>
  <c r="E865" i="16"/>
  <c r="E858" i="16"/>
  <c r="E861" i="16" s="1"/>
  <c r="O879" i="14"/>
  <c r="O534" i="4" s="1"/>
  <c r="O528" i="4"/>
  <c r="O529" i="4" s="1"/>
  <c r="AH16" i="2"/>
  <c r="AH17" i="2"/>
  <c r="N279" i="29"/>
  <c r="S737" i="16"/>
  <c r="K510" i="4"/>
  <c r="I79" i="21"/>
  <c r="O83" i="29"/>
  <c r="O84" i="29" s="1"/>
  <c r="AI13" i="2"/>
  <c r="N506" i="4"/>
  <c r="N508" i="4" s="1"/>
  <c r="L494" i="4"/>
  <c r="L495" i="4" s="1"/>
  <c r="L496" i="4" s="1"/>
  <c r="Q80" i="29" s="1"/>
  <c r="V736" i="16" s="1"/>
  <c r="N220" i="4"/>
  <c r="O506" i="4"/>
  <c r="O508" i="4" s="1"/>
  <c r="O208" i="4"/>
  <c r="O148" i="4"/>
  <c r="O165" i="4" s="1"/>
  <c r="K783" i="16"/>
  <c r="R334" i="29"/>
  <c r="Q902" i="16"/>
  <c r="Q904" i="16"/>
  <c r="W273" i="2"/>
  <c r="X594" i="16"/>
  <c r="K19" i="32" s="1"/>
  <c r="N19" i="32" s="1"/>
  <c r="N601" i="16"/>
  <c r="T335" i="29"/>
  <c r="Y266" i="2"/>
  <c r="Y273" i="2" s="1"/>
  <c r="P226" i="15"/>
  <c r="N597" i="16"/>
  <c r="G38" i="41" s="1"/>
  <c r="C34" i="49" s="1"/>
  <c r="N294" i="15"/>
  <c r="S335" i="29"/>
  <c r="X266" i="2"/>
  <c r="X273" i="2" s="1"/>
  <c r="O226" i="15"/>
  <c r="L746" i="16"/>
  <c r="L750" i="16" s="1"/>
  <c r="L729" i="16"/>
  <c r="M746" i="16"/>
  <c r="M750" i="16" s="1"/>
  <c r="M729" i="16"/>
  <c r="R335" i="29"/>
  <c r="O759" i="4" l="1"/>
  <c r="O730" i="4" s="1"/>
  <c r="O403" i="4"/>
  <c r="N770" i="16"/>
  <c r="O535" i="4"/>
  <c r="O880" i="14" s="1"/>
  <c r="N763" i="16"/>
  <c r="O530" i="4"/>
  <c r="O641" i="4" s="1"/>
  <c r="M39" i="41"/>
  <c r="M257" i="2"/>
  <c r="Y107" i="21"/>
  <c r="P34" i="49"/>
  <c r="AI16" i="2"/>
  <c r="AI17" i="2"/>
  <c r="K512" i="4"/>
  <c r="K516" i="4" s="1"/>
  <c r="K517" i="4" s="1"/>
  <c r="O279" i="29"/>
  <c r="T737" i="16"/>
  <c r="G801" i="16"/>
  <c r="G819" i="16" s="1"/>
  <c r="AA82" i="21" s="1"/>
  <c r="N281" i="29"/>
  <c r="M494" i="4"/>
  <c r="M495" i="4" s="1"/>
  <c r="M496" i="4" s="1"/>
  <c r="R80" i="29" s="1"/>
  <c r="W736" i="16" s="1"/>
  <c r="O220" i="4"/>
  <c r="L783" i="16"/>
  <c r="R904" i="16"/>
  <c r="S334" i="29"/>
  <c r="R902" i="16"/>
  <c r="Z273" i="2"/>
  <c r="Z266" i="2"/>
  <c r="P294" i="15"/>
  <c r="O294" i="15"/>
  <c r="M783" i="16"/>
  <c r="S902" i="16"/>
  <c r="S904" i="16"/>
  <c r="T334" i="29"/>
  <c r="L257" i="2" l="1"/>
  <c r="L510" i="4"/>
  <c r="O281" i="29"/>
  <c r="H801" i="16"/>
  <c r="H819" i="16" s="1"/>
  <c r="AB82" i="21" s="1"/>
  <c r="P83" i="29"/>
  <c r="P84" i="29" s="1"/>
  <c r="J79" i="21"/>
  <c r="N494" i="4"/>
  <c r="E845" i="16" l="1"/>
  <c r="Z61" i="32"/>
  <c r="AA61" i="32" s="1"/>
  <c r="L512" i="4"/>
  <c r="L516" i="4" s="1"/>
  <c r="L517" i="4" s="1"/>
  <c r="P279" i="29"/>
  <c r="U737" i="16"/>
  <c r="N495" i="4"/>
  <c r="N496" i="4" s="1"/>
  <c r="S80" i="29" s="1"/>
  <c r="X736" i="16" s="1"/>
  <c r="V17" i="16" l="1"/>
  <c r="V188" i="16"/>
  <c r="E852" i="16"/>
  <c r="E862" i="16"/>
  <c r="E866" i="16" s="1"/>
  <c r="V183" i="16"/>
  <c r="U61" i="32"/>
  <c r="M510" i="4"/>
  <c r="Q83" i="29"/>
  <c r="Q84" i="29" s="1"/>
  <c r="K79" i="21"/>
  <c r="I801" i="16"/>
  <c r="I819" i="16" s="1"/>
  <c r="AC82" i="21" s="1"/>
  <c r="P281" i="29"/>
  <c r="O494" i="4"/>
  <c r="O495" i="4" s="1"/>
  <c r="O496" i="4" s="1"/>
  <c r="T80" i="29" s="1"/>
  <c r="Y736" i="16" s="1"/>
  <c r="E918" i="16" l="1"/>
  <c r="E813" i="16"/>
  <c r="E782" i="16" s="1"/>
  <c r="D782" i="16" s="1"/>
  <c r="AB61" i="32"/>
  <c r="E881" i="16"/>
  <c r="E855" i="16"/>
  <c r="Y99" i="21"/>
  <c r="Y103" i="21" s="1"/>
  <c r="Y108" i="21"/>
  <c r="E868" i="16"/>
  <c r="Q279" i="29"/>
  <c r="V737" i="16"/>
  <c r="M512" i="4"/>
  <c r="M516" i="4" s="1"/>
  <c r="M517" i="4" s="1"/>
  <c r="F851" i="16" l="1"/>
  <c r="F840" i="16"/>
  <c r="F843" i="16" s="1"/>
  <c r="Y110" i="21"/>
  <c r="F858" i="16"/>
  <c r="F861" i="16" s="1"/>
  <c r="F865" i="16"/>
  <c r="N510" i="4"/>
  <c r="N512" i="4" s="1"/>
  <c r="N516" i="4" s="1"/>
  <c r="N517" i="4" s="1"/>
  <c r="J801" i="16"/>
  <c r="J819" i="16" s="1"/>
  <c r="AD82" i="21" s="1"/>
  <c r="Q281" i="29"/>
  <c r="R83" i="29"/>
  <c r="R84" i="29" s="1"/>
  <c r="L79" i="21"/>
  <c r="F848" i="16" l="1"/>
  <c r="G103" i="21" s="1"/>
  <c r="G105" i="21" s="1"/>
  <c r="Z98" i="21"/>
  <c r="Z107" i="21"/>
  <c r="O510" i="4"/>
  <c r="O512" i="4" s="1"/>
  <c r="O516" i="4" s="1"/>
  <c r="O517" i="4" s="1"/>
  <c r="S83" i="29"/>
  <c r="S84" i="29" s="1"/>
  <c r="M79" i="21"/>
  <c r="R279" i="29"/>
  <c r="W737" i="16"/>
  <c r="K801" i="16" l="1"/>
  <c r="K819" i="16" s="1"/>
  <c r="AE82" i="21" s="1"/>
  <c r="R281" i="29"/>
  <c r="T83" i="29"/>
  <c r="T84" i="29" s="1"/>
  <c r="N79" i="21"/>
  <c r="O79" i="21" s="1"/>
  <c r="X737" i="16"/>
  <c r="S279" i="29"/>
  <c r="F845" i="16" l="1"/>
  <c r="S281" i="29"/>
  <c r="L801" i="16"/>
  <c r="L819" i="16" s="1"/>
  <c r="AF82" i="21" s="1"/>
  <c r="Y737" i="16"/>
  <c r="T279" i="29"/>
  <c r="F852" i="16" l="1"/>
  <c r="F862" i="16"/>
  <c r="F866" i="16" s="1"/>
  <c r="M801" i="16"/>
  <c r="M819" i="16" s="1"/>
  <c r="AG82" i="21" s="1"/>
  <c r="T281" i="29"/>
  <c r="F918" i="16" l="1"/>
  <c r="F881" i="16"/>
  <c r="Z99" i="21"/>
  <c r="Z103" i="21" s="1"/>
  <c r="F855" i="16"/>
  <c r="Z108" i="21"/>
  <c r="F868" i="16"/>
  <c r="G840" i="16" l="1"/>
  <c r="G843" i="16" s="1"/>
  <c r="G851" i="16"/>
  <c r="G865" i="16"/>
  <c r="G858" i="16"/>
  <c r="G861" i="16" s="1"/>
  <c r="Z110" i="21"/>
  <c r="AA98" i="21" l="1"/>
  <c r="G848" i="16"/>
  <c r="H103" i="21" s="1"/>
  <c r="H105" i="21" s="1"/>
  <c r="AA107" i="21"/>
  <c r="G862" i="16" l="1"/>
  <c r="G866" i="16" l="1"/>
  <c r="AA108" i="21" l="1"/>
  <c r="G868" i="16"/>
  <c r="H865" i="16" l="1"/>
  <c r="H858" i="16"/>
  <c r="H861" i="16" s="1"/>
  <c r="AA110" i="21"/>
  <c r="AB107" i="21" l="1"/>
  <c r="H862" i="16" l="1"/>
  <c r="H866" i="16" s="1"/>
  <c r="AB108" i="21" l="1"/>
  <c r="H868" i="16"/>
  <c r="I865" i="16" l="1"/>
  <c r="I858" i="16"/>
  <c r="I861" i="16" s="1"/>
  <c r="AB110" i="21"/>
  <c r="AC107" i="21" l="1"/>
  <c r="I862" i="16" l="1"/>
  <c r="I866" i="16" s="1"/>
  <c r="AC108" i="21" l="1"/>
  <c r="I868" i="16"/>
  <c r="J858" i="16" l="1"/>
  <c r="J861" i="16" s="1"/>
  <c r="J865" i="16"/>
  <c r="AC110" i="21"/>
  <c r="AD107" i="21" l="1"/>
  <c r="J862" i="16" l="1"/>
  <c r="J866" i="16" s="1"/>
  <c r="AD108" i="21" l="1"/>
  <c r="J868" i="16"/>
  <c r="F143" i="5"/>
  <c r="F144" i="5"/>
  <c r="E143" i="5"/>
  <c r="E144" i="5"/>
  <c r="J144" i="5"/>
  <c r="I144" i="5"/>
  <c r="H144" i="5"/>
  <c r="G144" i="5"/>
  <c r="J143" i="5"/>
  <c r="I143" i="5"/>
  <c r="H143" i="5"/>
  <c r="G143" i="5"/>
  <c r="G145" i="5" s="1"/>
  <c r="G3" i="2"/>
  <c r="H3" i="2" s="1"/>
  <c r="I3" i="2" s="1"/>
  <c r="J3" i="2" s="1"/>
  <c r="K3" i="2" s="1"/>
  <c r="L3" i="2" s="1"/>
  <c r="M3" i="2" s="1"/>
  <c r="N3" i="2" s="1"/>
  <c r="O3" i="2" s="1"/>
  <c r="P3" i="2" s="1"/>
  <c r="Q3" i="2" s="1"/>
  <c r="R3" i="2" s="1"/>
  <c r="S3" i="2" s="1"/>
  <c r="T3" i="2" s="1"/>
  <c r="G10" i="2"/>
  <c r="H10" i="2" s="1"/>
  <c r="I10" i="2" s="1"/>
  <c r="J10" i="2" s="1"/>
  <c r="K10" i="2" s="1"/>
  <c r="L10" i="2" s="1"/>
  <c r="M10" i="2" s="1"/>
  <c r="N10" i="2" s="1"/>
  <c r="O10" i="2" s="1"/>
  <c r="P10" i="2" s="1"/>
  <c r="Q10" i="2" s="1"/>
  <c r="R10" i="2" s="1"/>
  <c r="S10" i="2" s="1"/>
  <c r="T10" i="2" s="1"/>
  <c r="E23" i="2" l="1"/>
  <c r="F23" i="2"/>
  <c r="J145" i="5"/>
  <c r="I145" i="5"/>
  <c r="H145" i="5"/>
  <c r="AD110" i="21"/>
  <c r="K858" i="16"/>
  <c r="K861" i="16" s="1"/>
  <c r="K865" i="16"/>
  <c r="U10" i="2"/>
  <c r="V10" i="2" s="1"/>
  <c r="W10" i="2" s="1"/>
  <c r="X10" i="2" s="1"/>
  <c r="Y10" i="2" s="1"/>
  <c r="Z10" i="2" s="1"/>
  <c r="AA10" i="2" s="1"/>
  <c r="AB10" i="2" s="1"/>
  <c r="AC10" i="2" s="1"/>
  <c r="AD10" i="2" s="1"/>
  <c r="AE10" i="2" s="1"/>
  <c r="AF10" i="2" s="1"/>
  <c r="AG10" i="2" s="1"/>
  <c r="AH10" i="2" s="1"/>
  <c r="AI10" i="2" s="1"/>
  <c r="E35" i="2"/>
  <c r="E30" i="2"/>
  <c r="F35" i="2"/>
  <c r="F30" i="2"/>
  <c r="E29" i="2"/>
  <c r="E32" i="2"/>
  <c r="F29" i="2"/>
  <c r="E34" i="2"/>
  <c r="F32" i="2"/>
  <c r="F34" i="2"/>
  <c r="F666" i="14" s="1"/>
  <c r="U3" i="2"/>
  <c r="V3" i="2" s="1"/>
  <c r="W3" i="2" s="1"/>
  <c r="X3" i="2" s="1"/>
  <c r="Y3" i="2" s="1"/>
  <c r="Z3" i="2" s="1"/>
  <c r="AA3" i="2" s="1"/>
  <c r="AB3" i="2" s="1"/>
  <c r="AC3" i="2" s="1"/>
  <c r="AD3" i="2" s="1"/>
  <c r="AE3" i="2" s="1"/>
  <c r="AF3" i="2" s="1"/>
  <c r="AG3" i="2" s="1"/>
  <c r="AH3" i="2" s="1"/>
  <c r="AI3" i="2" s="1"/>
  <c r="E25" i="2"/>
  <c r="F25" i="2"/>
  <c r="E22" i="2"/>
  <c r="F22" i="2"/>
  <c r="E145" i="5"/>
  <c r="F145" i="5"/>
  <c r="H22" i="2" l="1"/>
  <c r="J23" i="2"/>
  <c r="G23" i="2"/>
  <c r="N23" i="2"/>
  <c r="L23" i="2"/>
  <c r="K23" i="2"/>
  <c r="I23" i="2"/>
  <c r="H23" i="2"/>
  <c r="O23" i="2"/>
  <c r="M23" i="2"/>
  <c r="L22" i="2"/>
  <c r="G22" i="2"/>
  <c r="G25" i="2"/>
  <c r="I32" i="2"/>
  <c r="I4" i="14" s="1"/>
  <c r="O34" i="2"/>
  <c r="O628" i="14" s="1"/>
  <c r="L32" i="2"/>
  <c r="L45" i="4" s="1"/>
  <c r="K29" i="2"/>
  <c r="G32" i="2"/>
  <c r="G45" i="4" s="1"/>
  <c r="M30" i="2"/>
  <c r="I35" i="2"/>
  <c r="O32" i="2"/>
  <c r="O45" i="4" s="1"/>
  <c r="O30" i="2"/>
  <c r="O789" i="4" s="1"/>
  <c r="N32" i="2"/>
  <c r="N45" i="4" s="1"/>
  <c r="N29" i="2"/>
  <c r="I34" i="2"/>
  <c r="I628" i="14" s="1"/>
  <c r="O33" i="2"/>
  <c r="L35" i="2"/>
  <c r="H35" i="2"/>
  <c r="H30" i="2"/>
  <c r="H789" i="4" s="1"/>
  <c r="N34" i="2"/>
  <c r="N628" i="14" s="1"/>
  <c r="L34" i="2"/>
  <c r="L666" i="14" s="1"/>
  <c r="H34" i="2"/>
  <c r="H628" i="14" s="1"/>
  <c r="O35" i="2"/>
  <c r="K30" i="2"/>
  <c r="J1019" i="14" s="1"/>
  <c r="G30" i="2"/>
  <c r="F1019" i="14" s="1"/>
  <c r="H29" i="2"/>
  <c r="M34" i="2"/>
  <c r="M628" i="14" s="1"/>
  <c r="M29" i="2"/>
  <c r="J29" i="2"/>
  <c r="G29" i="2"/>
  <c r="N35" i="2"/>
  <c r="K35" i="2"/>
  <c r="G35" i="2"/>
  <c r="M32" i="2"/>
  <c r="M4" i="14" s="1"/>
  <c r="J32" i="2"/>
  <c r="J45" i="4" s="1"/>
  <c r="H32" i="2"/>
  <c r="H45" i="4" s="1"/>
  <c r="N30" i="2"/>
  <c r="N789" i="4" s="1"/>
  <c r="J30" i="2"/>
  <c r="I1019" i="14" s="1"/>
  <c r="O29" i="2"/>
  <c r="L29" i="2"/>
  <c r="I29" i="2"/>
  <c r="N33" i="2"/>
  <c r="M33" i="2" s="1"/>
  <c r="L33" i="2" s="1"/>
  <c r="K33" i="2" s="1"/>
  <c r="J33" i="2" s="1"/>
  <c r="I33" i="2" s="1"/>
  <c r="H33" i="2" s="1"/>
  <c r="G33" i="2" s="1"/>
  <c r="F33" i="2" s="1"/>
  <c r="E33" i="2" s="1"/>
  <c r="J35" i="2"/>
  <c r="K34" i="2"/>
  <c r="K628" i="14" s="1"/>
  <c r="L30" i="2"/>
  <c r="L789" i="4" s="1"/>
  <c r="K32" i="2"/>
  <c r="L8" i="15" s="1"/>
  <c r="J34" i="2"/>
  <c r="J666" i="14" s="1"/>
  <c r="G34" i="2"/>
  <c r="G666" i="14" s="1"/>
  <c r="M35" i="2"/>
  <c r="I30" i="2"/>
  <c r="H1019" i="14" s="1"/>
  <c r="H25" i="2"/>
  <c r="F24" i="2"/>
  <c r="F926" i="14" s="1"/>
  <c r="F31" i="2"/>
  <c r="I22" i="2"/>
  <c r="O22" i="2"/>
  <c r="M25" i="2"/>
  <c r="M22" i="2"/>
  <c r="I25" i="2"/>
  <c r="AE107" i="21"/>
  <c r="E24" i="2"/>
  <c r="F8" i="15"/>
  <c r="E45" i="4"/>
  <c r="E4" i="14"/>
  <c r="K22" i="2"/>
  <c r="N22" i="2"/>
  <c r="O25" i="2"/>
  <c r="K25" i="2"/>
  <c r="E157" i="4"/>
  <c r="E31" i="2"/>
  <c r="G277" i="9"/>
  <c r="G220" i="9"/>
  <c r="G113" i="9"/>
  <c r="L25" i="2"/>
  <c r="G8" i="15"/>
  <c r="F45" i="4"/>
  <c r="F49" i="4" s="1"/>
  <c r="F4" i="14"/>
  <c r="E163" i="4"/>
  <c r="F12" i="15"/>
  <c r="F1135" i="14"/>
  <c r="E1135" i="14" s="1"/>
  <c r="D1019" i="14"/>
  <c r="I856" i="4"/>
  <c r="H856" i="4" s="1"/>
  <c r="E789" i="4"/>
  <c r="E168" i="4"/>
  <c r="H277" i="9"/>
  <c r="H220" i="9"/>
  <c r="H66" i="3"/>
  <c r="H113" i="9"/>
  <c r="E214" i="14"/>
  <c r="E219" i="14"/>
  <c r="D87" i="48" s="1"/>
  <c r="G169" i="2" s="1"/>
  <c r="E224" i="14"/>
  <c r="J22" i="2"/>
  <c r="N25" i="2"/>
  <c r="J25" i="2"/>
  <c r="E666" i="14"/>
  <c r="E636" i="14"/>
  <c r="E637" i="14" s="1"/>
  <c r="E638" i="14" s="1"/>
  <c r="E1019" i="14"/>
  <c r="G12" i="15"/>
  <c r="D1117" i="14"/>
  <c r="F789" i="4"/>
  <c r="E927" i="14" l="1"/>
  <c r="E926" i="14"/>
  <c r="E796" i="14"/>
  <c r="E864" i="14"/>
  <c r="E853" i="14" s="1"/>
  <c r="E876" i="14"/>
  <c r="F864" i="14"/>
  <c r="F876" i="14"/>
  <c r="H24" i="2"/>
  <c r="G24" i="2"/>
  <c r="O8" i="15"/>
  <c r="J8" i="15"/>
  <c r="L24" i="2"/>
  <c r="F231" i="15"/>
  <c r="D189" i="48" s="1"/>
  <c r="F230" i="15"/>
  <c r="D187" i="48" s="1"/>
  <c r="E675" i="4"/>
  <c r="D73" i="48" s="1"/>
  <c r="E674" i="4"/>
  <c r="D71" i="48" s="1"/>
  <c r="G177" i="16"/>
  <c r="D290" i="2" s="1"/>
  <c r="G9" i="16"/>
  <c r="E449" i="16" s="1"/>
  <c r="G325" i="16"/>
  <c r="G261" i="15" s="1"/>
  <c r="F674" i="4"/>
  <c r="E71" i="48" s="1"/>
  <c r="G230" i="15"/>
  <c r="E187" i="48" s="1"/>
  <c r="H4" i="14"/>
  <c r="M12" i="15"/>
  <c r="G10" i="15"/>
  <c r="J789" i="4"/>
  <c r="K666" i="14"/>
  <c r="K45" i="4"/>
  <c r="P12" i="15"/>
  <c r="P259" i="15" s="1"/>
  <c r="I8" i="15"/>
  <c r="I45" i="4"/>
  <c r="H666" i="14"/>
  <c r="L4" i="14"/>
  <c r="G628" i="14"/>
  <c r="F628" i="14" s="1"/>
  <c r="E628" i="14" s="1"/>
  <c r="E629" i="14" s="1"/>
  <c r="E630" i="14" s="1"/>
  <c r="E647" i="14" s="1"/>
  <c r="E783" i="14" s="1"/>
  <c r="M8" i="15"/>
  <c r="K12" i="15"/>
  <c r="N8" i="15"/>
  <c r="K4" i="14"/>
  <c r="O31" i="2"/>
  <c r="M45" i="4"/>
  <c r="J12" i="15"/>
  <c r="I31" i="2"/>
  <c r="M31" i="2"/>
  <c r="K31" i="2"/>
  <c r="N666" i="14"/>
  <c r="K24" i="2"/>
  <c r="K926" i="14" s="1"/>
  <c r="N1019" i="14"/>
  <c r="N1073" i="14" s="1"/>
  <c r="H8" i="15"/>
  <c r="I789" i="4"/>
  <c r="J31" i="2"/>
  <c r="J628" i="14"/>
  <c r="M789" i="4"/>
  <c r="O666" i="14"/>
  <c r="G31" i="2"/>
  <c r="G789" i="4"/>
  <c r="I666" i="14"/>
  <c r="N31" i="2"/>
  <c r="O12" i="15"/>
  <c r="O259" i="15" s="1"/>
  <c r="N4" i="14"/>
  <c r="K1019" i="14"/>
  <c r="K1073" i="14" s="1"/>
  <c r="L628" i="14"/>
  <c r="N12" i="15"/>
  <c r="H12" i="15"/>
  <c r="M1019" i="14"/>
  <c r="M1073" i="14" s="1"/>
  <c r="L1019" i="14"/>
  <c r="L1073" i="14" s="1"/>
  <c r="L31" i="2"/>
  <c r="H31" i="2"/>
  <c r="I12" i="15"/>
  <c r="K789" i="4"/>
  <c r="G1019" i="14"/>
  <c r="G1073" i="14" s="1"/>
  <c r="J4" i="14"/>
  <c r="P8" i="15"/>
  <c r="L12" i="15"/>
  <c r="M666" i="14"/>
  <c r="K8" i="15"/>
  <c r="O4" i="14"/>
  <c r="G4" i="14"/>
  <c r="M24" i="2"/>
  <c r="M926" i="14" s="1"/>
  <c r="E140" i="48"/>
  <c r="O24" i="2"/>
  <c r="O926" i="14" s="1"/>
  <c r="F833" i="14"/>
  <c r="F832" i="14" s="1"/>
  <c r="I24" i="2"/>
  <c r="I926" i="14" s="1"/>
  <c r="F853" i="14"/>
  <c r="F775" i="4"/>
  <c r="F782" i="4" s="1"/>
  <c r="E991" i="14"/>
  <c r="E1055" i="14" s="1"/>
  <c r="F230" i="14"/>
  <c r="J24" i="2"/>
  <c r="J926" i="14" s="1"/>
  <c r="G269" i="2"/>
  <c r="G268" i="2"/>
  <c r="F269" i="2"/>
  <c r="F268" i="2"/>
  <c r="N24" i="2"/>
  <c r="N926" i="14" s="1"/>
  <c r="D269" i="2"/>
  <c r="D268" i="2"/>
  <c r="L269" i="2"/>
  <c r="L268" i="2"/>
  <c r="H269" i="2"/>
  <c r="H268" i="2"/>
  <c r="M269" i="2"/>
  <c r="M268" i="2"/>
  <c r="K269" i="2"/>
  <c r="K268" i="2"/>
  <c r="J269" i="2"/>
  <c r="J268" i="2"/>
  <c r="I1073" i="14"/>
  <c r="H300" i="15"/>
  <c r="G300" i="15" s="1"/>
  <c r="F259" i="15"/>
  <c r="F66" i="15"/>
  <c r="D156" i="48" s="1"/>
  <c r="G190" i="2" s="1"/>
  <c r="J1073" i="14"/>
  <c r="H23" i="3"/>
  <c r="I857" i="4"/>
  <c r="H857" i="4" s="1"/>
  <c r="F1136" i="14"/>
  <c r="E1136" i="14" s="1"/>
  <c r="F252" i="15"/>
  <c r="E230" i="14"/>
  <c r="E231" i="14" s="1"/>
  <c r="E232" i="14" s="1"/>
  <c r="D221" i="48" s="1"/>
  <c r="G178" i="2" s="1"/>
  <c r="F76" i="15"/>
  <c r="F78" i="15" s="1"/>
  <c r="F80" i="15" s="1"/>
  <c r="E167" i="4"/>
  <c r="D991" i="14"/>
  <c r="F65" i="15"/>
  <c r="D154" i="48" s="1"/>
  <c r="G189" i="2" s="1"/>
  <c r="E775" i="4"/>
  <c r="E1117" i="14"/>
  <c r="F10" i="15"/>
  <c r="H23" i="11"/>
  <c r="H23" i="9"/>
  <c r="H58" i="3"/>
  <c r="H46" i="3"/>
  <c r="E325" i="14"/>
  <c r="D104" i="48" s="1"/>
  <c r="E597" i="14"/>
  <c r="E378" i="14"/>
  <c r="D106" i="48" s="1"/>
  <c r="E596" i="14"/>
  <c r="E213" i="14"/>
  <c r="E218" i="14"/>
  <c r="D85" i="48" s="1"/>
  <c r="G168" i="2" s="1"/>
  <c r="E223" i="14"/>
  <c r="E493" i="14"/>
  <c r="E595" i="14"/>
  <c r="E819" i="14"/>
  <c r="D113" i="33"/>
  <c r="H224" i="2"/>
  <c r="J224" i="2" s="1"/>
  <c r="E161" i="4"/>
  <c r="E192" i="4" s="1"/>
  <c r="E160" i="4"/>
  <c r="E191" i="4" s="1"/>
  <c r="E162" i="4"/>
  <c r="E193" i="4" s="1"/>
  <c r="E159" i="4"/>
  <c r="E190" i="4" s="1"/>
  <c r="E242" i="4"/>
  <c r="E171" i="4"/>
  <c r="D26" i="48" s="1"/>
  <c r="G158" i="2" s="1"/>
  <c r="E245" i="4"/>
  <c r="F385" i="14"/>
  <c r="F386" i="14"/>
  <c r="F489" i="14"/>
  <c r="F8" i="14"/>
  <c r="F363" i="14"/>
  <c r="F7" i="14"/>
  <c r="F9" i="14"/>
  <c r="F850" i="14" s="1"/>
  <c r="F482" i="14"/>
  <c r="F933" i="14" s="1"/>
  <c r="F483" i="14"/>
  <c r="F934" i="14" s="1"/>
  <c r="E156" i="4"/>
  <c r="E188" i="4" s="1"/>
  <c r="E153" i="4"/>
  <c r="E185" i="4" s="1"/>
  <c r="E241" i="4"/>
  <c r="E170" i="4"/>
  <c r="E155" i="4"/>
  <c r="E187" i="4" s="1"/>
  <c r="E172" i="4"/>
  <c r="D28" i="48" s="1"/>
  <c r="E154" i="4"/>
  <c r="E186" i="4" s="1"/>
  <c r="E244" i="4"/>
  <c r="F1073" i="14"/>
  <c r="G19" i="15"/>
  <c r="G18" i="15"/>
  <c r="G178" i="15" s="1"/>
  <c r="H1073" i="14"/>
  <c r="E833" i="14"/>
  <c r="E832" i="14" s="1"/>
  <c r="F5" i="15"/>
  <c r="D142" i="48"/>
  <c r="D140" i="48"/>
  <c r="D1116" i="14"/>
  <c r="D1128" i="14"/>
  <c r="E226" i="14"/>
  <c r="E229" i="14"/>
  <c r="E1073" i="14"/>
  <c r="D1073" i="14"/>
  <c r="D1025" i="14"/>
  <c r="D1026" i="14"/>
  <c r="D1024" i="14"/>
  <c r="D1023" i="14"/>
  <c r="D1022" i="14"/>
  <c r="D1020" i="14"/>
  <c r="D1021" i="14"/>
  <c r="D1078" i="14"/>
  <c r="D1077" i="14"/>
  <c r="D1076" i="14"/>
  <c r="D1075" i="14"/>
  <c r="D1074" i="14"/>
  <c r="F46" i="4"/>
  <c r="G49" i="4"/>
  <c r="G833" i="14"/>
  <c r="G832" i="14" s="1"/>
  <c r="H674" i="4" l="1"/>
  <c r="G71" i="48" s="1"/>
  <c r="H926" i="14"/>
  <c r="G140" i="48" s="1"/>
  <c r="L674" i="4"/>
  <c r="K71" i="48" s="1"/>
  <c r="L926" i="14"/>
  <c r="G926" i="14"/>
  <c r="F140" i="48" s="1"/>
  <c r="H864" i="14"/>
  <c r="H876" i="14"/>
  <c r="M864" i="14"/>
  <c r="M853" i="14" s="1"/>
  <c r="M876" i="14"/>
  <c r="L864" i="14"/>
  <c r="L876" i="14"/>
  <c r="K10" i="15"/>
  <c r="J864" i="14"/>
  <c r="J853" i="14" s="1"/>
  <c r="J876" i="14"/>
  <c r="H991" i="14"/>
  <c r="H1055" i="14" s="1"/>
  <c r="I864" i="14"/>
  <c r="I853" i="14" s="1"/>
  <c r="I876" i="14"/>
  <c r="N864" i="14"/>
  <c r="N876" i="14"/>
  <c r="O864" i="14"/>
  <c r="O853" i="14" s="1"/>
  <c r="O876" i="14"/>
  <c r="F963" i="14"/>
  <c r="F940" i="14"/>
  <c r="G864" i="14"/>
  <c r="G853" i="14" s="1"/>
  <c r="G876" i="14"/>
  <c r="K864" i="14"/>
  <c r="K876" i="14"/>
  <c r="H230" i="15"/>
  <c r="F187" i="48" s="1"/>
  <c r="G674" i="4"/>
  <c r="F71" i="48" s="1"/>
  <c r="H833" i="14"/>
  <c r="H832" i="14" s="1"/>
  <c r="I230" i="15"/>
  <c r="G187" i="48" s="1"/>
  <c r="K140" i="48"/>
  <c r="M230" i="15"/>
  <c r="K187" i="48" s="1"/>
  <c r="L833" i="14"/>
  <c r="L832" i="14" s="1"/>
  <c r="D310" i="2"/>
  <c r="D308" i="2"/>
  <c r="E410" i="4"/>
  <c r="E381" i="4"/>
  <c r="E416" i="4"/>
  <c r="E387" i="4"/>
  <c r="O325" i="16"/>
  <c r="O261" i="15" s="1"/>
  <c r="O9" i="16"/>
  <c r="M449" i="16" s="1"/>
  <c r="O177" i="16"/>
  <c r="E413" i="4"/>
  <c r="E384" i="4"/>
  <c r="E417" i="4"/>
  <c r="E388" i="4"/>
  <c r="J674" i="4"/>
  <c r="I71" i="48" s="1"/>
  <c r="K230" i="15"/>
  <c r="I187" i="48" s="1"/>
  <c r="K853" i="14"/>
  <c r="L325" i="16"/>
  <c r="L177" i="16"/>
  <c r="I290" i="2" s="1"/>
  <c r="L9" i="16"/>
  <c r="E415" i="4"/>
  <c r="E386" i="4"/>
  <c r="O674" i="4"/>
  <c r="N71" i="48" s="1"/>
  <c r="P230" i="15"/>
  <c r="N187" i="48" s="1"/>
  <c r="M674" i="4"/>
  <c r="L71" i="48" s="1"/>
  <c r="N230" i="15"/>
  <c r="L187" i="48" s="1"/>
  <c r="I325" i="16"/>
  <c r="G548" i="16" s="1"/>
  <c r="M112" i="32" s="1"/>
  <c r="I177" i="16"/>
  <c r="I9" i="16"/>
  <c r="G449" i="16" s="1"/>
  <c r="N10" i="15"/>
  <c r="N9" i="16"/>
  <c r="L449" i="16" s="1"/>
  <c r="N325" i="16"/>
  <c r="N360" i="16" s="1"/>
  <c r="R74" i="29" s="1"/>
  <c r="R75" i="29" s="1"/>
  <c r="N177" i="16"/>
  <c r="K290" i="2" s="1"/>
  <c r="P325" i="16"/>
  <c r="P177" i="16"/>
  <c r="P9" i="16"/>
  <c r="O797" i="4" s="1"/>
  <c r="E412" i="4"/>
  <c r="E383" i="4"/>
  <c r="E411" i="4"/>
  <c r="E382" i="4"/>
  <c r="E418" i="4"/>
  <c r="E389" i="4"/>
  <c r="N674" i="4"/>
  <c r="M71" i="48" s="1"/>
  <c r="O230" i="15"/>
  <c r="M187" i="48" s="1"/>
  <c r="I833" i="14"/>
  <c r="I832" i="14" s="1"/>
  <c r="I674" i="4"/>
  <c r="H71" i="48" s="1"/>
  <c r="J230" i="15"/>
  <c r="H187" i="48" s="1"/>
  <c r="M9" i="16"/>
  <c r="K449" i="16" s="1"/>
  <c r="M177" i="16"/>
  <c r="J290" i="2" s="1"/>
  <c r="M325" i="16"/>
  <c r="H177" i="16"/>
  <c r="E290" i="2" s="1"/>
  <c r="H9" i="16"/>
  <c r="F449" i="16" s="1"/>
  <c r="H325" i="16"/>
  <c r="K9" i="16"/>
  <c r="I449" i="16" s="1"/>
  <c r="K325" i="16"/>
  <c r="K177" i="16"/>
  <c r="H290" i="2" s="1"/>
  <c r="K833" i="14"/>
  <c r="K832" i="14" s="1"/>
  <c r="K674" i="4"/>
  <c r="J71" i="48" s="1"/>
  <c r="L230" i="15"/>
  <c r="J187" i="48" s="1"/>
  <c r="J10" i="15"/>
  <c r="J9" i="16"/>
  <c r="H449" i="16" s="1"/>
  <c r="J325" i="16"/>
  <c r="J177" i="16"/>
  <c r="G290" i="2" s="1"/>
  <c r="D255" i="2"/>
  <c r="D292" i="2"/>
  <c r="K775" i="4"/>
  <c r="K782" i="4" s="1"/>
  <c r="O775" i="4"/>
  <c r="O782" i="4" s="1"/>
  <c r="O230" i="14"/>
  <c r="P252" i="15"/>
  <c r="P10" i="15"/>
  <c r="M775" i="4"/>
  <c r="M782" i="4" s="1"/>
  <c r="N991" i="14"/>
  <c r="N1055" i="14" s="1"/>
  <c r="O252" i="15"/>
  <c r="N252" i="15" s="1"/>
  <c r="J991" i="14"/>
  <c r="J1055" i="14" s="1"/>
  <c r="K797" i="4"/>
  <c r="J230" i="14"/>
  <c r="J140" i="48"/>
  <c r="I230" i="14"/>
  <c r="L10" i="15"/>
  <c r="N775" i="4"/>
  <c r="N782" i="4" s="1"/>
  <c r="M991" i="14"/>
  <c r="M1055" i="14" s="1"/>
  <c r="L252" i="15"/>
  <c r="K252" i="15" s="1"/>
  <c r="J252" i="15" s="1"/>
  <c r="I775" i="4"/>
  <c r="I782" i="4" s="1"/>
  <c r="K230" i="14"/>
  <c r="J775" i="4"/>
  <c r="J782" i="4" s="1"/>
  <c r="M230" i="14"/>
  <c r="L991" i="14"/>
  <c r="L1055" i="14" s="1"/>
  <c r="I991" i="14"/>
  <c r="I1055" i="14" s="1"/>
  <c r="G385" i="14"/>
  <c r="H385" i="14" s="1"/>
  <c r="I385" i="14" s="1"/>
  <c r="M833" i="14"/>
  <c r="M832" i="14" s="1"/>
  <c r="G775" i="4"/>
  <c r="G782" i="4" s="1"/>
  <c r="L853" i="14"/>
  <c r="O10" i="15"/>
  <c r="N853" i="14"/>
  <c r="H10" i="15"/>
  <c r="N230" i="14"/>
  <c r="E502" i="16"/>
  <c r="K94" i="32" s="1"/>
  <c r="N259" i="15"/>
  <c r="M259" i="15" s="1"/>
  <c r="L259" i="15" s="1"/>
  <c r="K259" i="15" s="1"/>
  <c r="J259" i="15" s="1"/>
  <c r="I259" i="15" s="1"/>
  <c r="H259" i="15" s="1"/>
  <c r="G259" i="15" s="1"/>
  <c r="G230" i="14"/>
  <c r="F991" i="14"/>
  <c r="F1055" i="14" s="1"/>
  <c r="E548" i="16"/>
  <c r="K112" i="32" s="1"/>
  <c r="L230" i="14"/>
  <c r="L775" i="4"/>
  <c r="L782" i="4" s="1"/>
  <c r="M252" i="15"/>
  <c r="I252" i="15"/>
  <c r="H252" i="15" s="1"/>
  <c r="G252" i="15" s="1"/>
  <c r="K991" i="14"/>
  <c r="K1055" i="14" s="1"/>
  <c r="M10" i="15"/>
  <c r="H853" i="14"/>
  <c r="G991" i="14"/>
  <c r="G1055" i="14" s="1"/>
  <c r="H230" i="14"/>
  <c r="I10" i="15"/>
  <c r="H775" i="4"/>
  <c r="H782" i="4" s="1"/>
  <c r="D627" i="16"/>
  <c r="L140" i="48"/>
  <c r="N140" i="48"/>
  <c r="D626" i="16"/>
  <c r="O833" i="14"/>
  <c r="O832" i="14" s="1"/>
  <c r="J833" i="14"/>
  <c r="J832" i="14" s="1"/>
  <c r="G360" i="16"/>
  <c r="D596" i="16" s="1"/>
  <c r="D625" i="16"/>
  <c r="D624" i="16"/>
  <c r="D623" i="16"/>
  <c r="I140" i="48"/>
  <c r="H140" i="48"/>
  <c r="E610" i="14"/>
  <c r="E612" i="14" s="1"/>
  <c r="E614" i="14"/>
  <c r="E616" i="14" s="1"/>
  <c r="E617" i="14" s="1"/>
  <c r="E608" i="14"/>
  <c r="N833" i="14"/>
  <c r="N832" i="14" s="1"/>
  <c r="T73" i="32"/>
  <c r="T72" i="32"/>
  <c r="K73" i="32"/>
  <c r="K72" i="32"/>
  <c r="N73" i="32"/>
  <c r="N72" i="32"/>
  <c r="I269" i="2"/>
  <c r="I268" i="2"/>
  <c r="M73" i="32"/>
  <c r="M72" i="32"/>
  <c r="O73" i="32"/>
  <c r="O72" i="32"/>
  <c r="M140" i="48"/>
  <c r="E269" i="2"/>
  <c r="E268" i="2"/>
  <c r="S73" i="32"/>
  <c r="S72" i="32"/>
  <c r="R73" i="32"/>
  <c r="T59" i="32"/>
  <c r="S59" i="32"/>
  <c r="G14" i="15"/>
  <c r="H18" i="15"/>
  <c r="H178" i="15" s="1"/>
  <c r="G17" i="15"/>
  <c r="G180" i="15"/>
  <c r="E648" i="14"/>
  <c r="H325" i="9"/>
  <c r="E775" i="14"/>
  <c r="E673" i="14"/>
  <c r="D1087" i="14"/>
  <c r="H1139" i="14" s="1"/>
  <c r="E650" i="14"/>
  <c r="E184" i="4"/>
  <c r="E319" i="4" s="1"/>
  <c r="E214" i="4"/>
  <c r="E282" i="4"/>
  <c r="G489" i="14"/>
  <c r="H223" i="2"/>
  <c r="J223" i="2" s="1"/>
  <c r="D112" i="33"/>
  <c r="F67" i="15"/>
  <c r="D158" i="48" s="1"/>
  <c r="G79" i="15"/>
  <c r="F6" i="15"/>
  <c r="F77" i="15" s="1"/>
  <c r="F275" i="15" s="1"/>
  <c r="G5" i="15"/>
  <c r="F5" i="14"/>
  <c r="G7" i="14"/>
  <c r="D108" i="48"/>
  <c r="E494" i="14"/>
  <c r="D98" i="48" s="1"/>
  <c r="G170" i="2" s="1"/>
  <c r="D24" i="48"/>
  <c r="D201" i="48"/>
  <c r="G157" i="2" s="1"/>
  <c r="G483" i="14"/>
  <c r="G934" i="14" s="1"/>
  <c r="F372" i="14"/>
  <c r="G363" i="14"/>
  <c r="E215" i="4"/>
  <c r="E283" i="4"/>
  <c r="E189" i="4"/>
  <c r="E320" i="4" s="1"/>
  <c r="E1128" i="14"/>
  <c r="E1116" i="14"/>
  <c r="F57" i="4"/>
  <c r="F48" i="4"/>
  <c r="G9" i="14"/>
  <c r="G850" i="14" s="1"/>
  <c r="H209" i="2"/>
  <c r="J209" i="2" s="1"/>
  <c r="D24" i="33"/>
  <c r="H237" i="2"/>
  <c r="J237" i="2" s="1"/>
  <c r="D193" i="33"/>
  <c r="D194" i="33"/>
  <c r="H238" i="2"/>
  <c r="J238" i="2" s="1"/>
  <c r="E649" i="14"/>
  <c r="G258" i="15"/>
  <c r="F258" i="15" s="1"/>
  <c r="G15" i="15"/>
  <c r="H19" i="15"/>
  <c r="G386" i="14"/>
  <c r="E17" i="15"/>
  <c r="E18" i="15"/>
  <c r="E53" i="15" s="1"/>
  <c r="H299" i="15"/>
  <c r="G299" i="15" s="1"/>
  <c r="F68" i="15"/>
  <c r="D247" i="48" s="1"/>
  <c r="G198" i="2" s="1"/>
  <c r="D1055" i="14"/>
  <c r="D999" i="14"/>
  <c r="D1000" i="14"/>
  <c r="D1001" i="14"/>
  <c r="D1002" i="14"/>
  <c r="D1003" i="14"/>
  <c r="D1056" i="14"/>
  <c r="D1057" i="14"/>
  <c r="D1004" i="14"/>
  <c r="D998" i="14"/>
  <c r="D1058" i="14"/>
  <c r="D1059" i="14"/>
  <c r="D1060" i="14"/>
  <c r="H49" i="4"/>
  <c r="G46" i="4"/>
  <c r="G48" i="4" s="1"/>
  <c r="G47" i="4" s="1"/>
  <c r="G482" i="14"/>
  <c r="G933" i="14" s="1"/>
  <c r="F484" i="14"/>
  <c r="F935" i="14" s="1"/>
  <c r="F6" i="14"/>
  <c r="F384" i="14" s="1"/>
  <c r="F390" i="14" s="1"/>
  <c r="F392" i="14" s="1"/>
  <c r="F398" i="14" s="1"/>
  <c r="F404" i="14" s="1"/>
  <c r="G8" i="14"/>
  <c r="D93" i="48"/>
  <c r="D89" i="48"/>
  <c r="S244" i="16" s="1"/>
  <c r="E228" i="14"/>
  <c r="E225" i="14"/>
  <c r="D91" i="48" s="1"/>
  <c r="E782" i="4"/>
  <c r="E784" i="4"/>
  <c r="E785" i="4"/>
  <c r="E786" i="4"/>
  <c r="E787" i="4"/>
  <c r="AB229" i="16" l="1"/>
  <c r="AC229" i="16"/>
  <c r="F943" i="14"/>
  <c r="F966" i="14"/>
  <c r="G963" i="14"/>
  <c r="G940" i="14"/>
  <c r="E310" i="2"/>
  <c r="E308" i="2"/>
  <c r="E623" i="16"/>
  <c r="K625" i="16"/>
  <c r="K308" i="2"/>
  <c r="F292" i="2"/>
  <c r="F290" i="2"/>
  <c r="L310" i="2"/>
  <c r="L308" i="2"/>
  <c r="H310" i="2"/>
  <c r="H308" i="2"/>
  <c r="M292" i="2"/>
  <c r="M290" i="2"/>
  <c r="F310" i="2"/>
  <c r="F308" i="2"/>
  <c r="G310" i="2"/>
  <c r="G308" i="2"/>
  <c r="J310" i="2"/>
  <c r="J308" i="2"/>
  <c r="M310" i="2"/>
  <c r="M308" i="2"/>
  <c r="I310" i="2"/>
  <c r="I308" i="2"/>
  <c r="L292" i="2"/>
  <c r="L290" i="2"/>
  <c r="M627" i="16"/>
  <c r="K623" i="16"/>
  <c r="P360" i="16"/>
  <c r="M596" i="16" s="1"/>
  <c r="J625" i="16"/>
  <c r="M623" i="16"/>
  <c r="J548" i="16"/>
  <c r="H624" i="16"/>
  <c r="P116" i="32"/>
  <c r="K310" i="2"/>
  <c r="N261" i="15"/>
  <c r="K624" i="16"/>
  <c r="M116" i="32"/>
  <c r="M114" i="32"/>
  <c r="H360" i="16"/>
  <c r="E596" i="16" s="1"/>
  <c r="I624" i="16"/>
  <c r="M624" i="16"/>
  <c r="N548" i="16"/>
  <c r="T112" i="32" s="1"/>
  <c r="K626" i="16"/>
  <c r="H261" i="15"/>
  <c r="M625" i="16"/>
  <c r="L360" i="16"/>
  <c r="P74" i="29" s="1"/>
  <c r="P75" i="29" s="1"/>
  <c r="K116" i="32"/>
  <c r="K114" i="32"/>
  <c r="L548" i="16"/>
  <c r="I623" i="16"/>
  <c r="M626" i="16"/>
  <c r="P261" i="15"/>
  <c r="K627" i="16"/>
  <c r="G625" i="16"/>
  <c r="L261" i="15"/>
  <c r="F31" i="14"/>
  <c r="F55" i="14"/>
  <c r="R72" i="32"/>
  <c r="R116" i="32"/>
  <c r="J255" i="2"/>
  <c r="J292" i="2"/>
  <c r="I255" i="2"/>
  <c r="I292" i="2"/>
  <c r="E255" i="2"/>
  <c r="E292" i="2"/>
  <c r="G255" i="2"/>
  <c r="G292" i="2"/>
  <c r="K59" i="32"/>
  <c r="K96" i="32"/>
  <c r="H255" i="2"/>
  <c r="H292" i="2"/>
  <c r="K255" i="2"/>
  <c r="K292" i="2"/>
  <c r="I626" i="16"/>
  <c r="I627" i="16"/>
  <c r="I625" i="16"/>
  <c r="J623" i="16"/>
  <c r="F548" i="16"/>
  <c r="H625" i="16"/>
  <c r="J627" i="16"/>
  <c r="M548" i="16"/>
  <c r="S112" i="32" s="1"/>
  <c r="G627" i="16"/>
  <c r="E626" i="16"/>
  <c r="H626" i="16"/>
  <c r="E624" i="16"/>
  <c r="E627" i="16"/>
  <c r="H627" i="16"/>
  <c r="L624" i="16"/>
  <c r="L502" i="16"/>
  <c r="R94" i="32" s="1"/>
  <c r="E625" i="16"/>
  <c r="H623" i="16"/>
  <c r="K360" i="16"/>
  <c r="O74" i="29" s="1"/>
  <c r="O75" i="29" s="1"/>
  <c r="N449" i="16"/>
  <c r="M261" i="15"/>
  <c r="M360" i="16"/>
  <c r="Q74" i="29" s="1"/>
  <c r="J502" i="16"/>
  <c r="P94" i="32" s="1"/>
  <c r="F502" i="16"/>
  <c r="L94" i="32" s="1"/>
  <c r="K548" i="16"/>
  <c r="Q112" i="32" s="1"/>
  <c r="L627" i="16"/>
  <c r="L623" i="16"/>
  <c r="O360" i="16"/>
  <c r="S74" i="29" s="1"/>
  <c r="J626" i="16"/>
  <c r="J624" i="16"/>
  <c r="K261" i="15"/>
  <c r="I548" i="16"/>
  <c r="O112" i="32" s="1"/>
  <c r="L255" i="2"/>
  <c r="M502" i="16"/>
  <c r="G626" i="16"/>
  <c r="G623" i="16"/>
  <c r="J261" i="15"/>
  <c r="H548" i="16"/>
  <c r="N112" i="32" s="1"/>
  <c r="J360" i="16"/>
  <c r="G624" i="16"/>
  <c r="H502" i="16"/>
  <c r="N94" i="32" s="1"/>
  <c r="L625" i="16"/>
  <c r="L626" i="16"/>
  <c r="M255" i="2"/>
  <c r="N502" i="16"/>
  <c r="J449" i="16"/>
  <c r="J797" i="4"/>
  <c r="I797" i="4" s="1"/>
  <c r="E325" i="16"/>
  <c r="E360" i="16" s="1"/>
  <c r="K502" i="16"/>
  <c r="Q94" i="32" s="1"/>
  <c r="N797" i="4"/>
  <c r="M797" i="4" s="1"/>
  <c r="L797" i="4"/>
  <c r="H797" i="4"/>
  <c r="G797" i="4" s="1"/>
  <c r="F797" i="4" s="1"/>
  <c r="O795" i="4" s="1"/>
  <c r="N795" i="4" s="1"/>
  <c r="M795" i="4" s="1"/>
  <c r="L795" i="4" s="1"/>
  <c r="K795" i="4" s="1"/>
  <c r="J795" i="4" s="1"/>
  <c r="I795" i="4" s="1"/>
  <c r="H795" i="4" s="1"/>
  <c r="G795" i="4" s="1"/>
  <c r="F795" i="4" s="1"/>
  <c r="E795" i="4" s="1"/>
  <c r="E9" i="16"/>
  <c r="S449" i="16" s="1"/>
  <c r="Q7" i="16"/>
  <c r="O449" i="16" s="1"/>
  <c r="F255" i="2"/>
  <c r="G502" i="16"/>
  <c r="M94" i="32" s="1"/>
  <c r="E177" i="16"/>
  <c r="S502" i="16" s="1"/>
  <c r="U94" i="32" s="1"/>
  <c r="AB94" i="32" s="1"/>
  <c r="F624" i="16"/>
  <c r="F626" i="16"/>
  <c r="F625" i="16"/>
  <c r="F623" i="16"/>
  <c r="F627" i="16"/>
  <c r="I360" i="16"/>
  <c r="M74" i="29" s="1"/>
  <c r="M75" i="29" s="1"/>
  <c r="I261" i="15"/>
  <c r="K596" i="16"/>
  <c r="K70" i="29"/>
  <c r="K71" i="29" s="1"/>
  <c r="T74" i="29"/>
  <c r="T75" i="29" s="1"/>
  <c r="P38" i="49"/>
  <c r="D118" i="48"/>
  <c r="E799" i="14"/>
  <c r="Q73" i="32"/>
  <c r="Q72" i="32"/>
  <c r="P73" i="32"/>
  <c r="P72" i="32"/>
  <c r="G209" i="15"/>
  <c r="G235" i="15" s="1"/>
  <c r="L73" i="32"/>
  <c r="F485" i="14"/>
  <c r="K862" i="16"/>
  <c r="F415" i="14"/>
  <c r="H46" i="4"/>
  <c r="H48" i="4" s="1"/>
  <c r="H47" i="4" s="1"/>
  <c r="I49" i="4"/>
  <c r="F51" i="4"/>
  <c r="F59" i="4"/>
  <c r="E291" i="4"/>
  <c r="E834" i="4"/>
  <c r="E290" i="4"/>
  <c r="E833" i="4"/>
  <c r="F274" i="15"/>
  <c r="H482" i="14"/>
  <c r="H933" i="14" s="1"/>
  <c r="G484" i="14"/>
  <c r="G935" i="14" s="1"/>
  <c r="H9" i="14"/>
  <c r="H850" i="14" s="1"/>
  <c r="E612" i="4"/>
  <c r="D23" i="33"/>
  <c r="H208" i="2"/>
  <c r="J208" i="2" s="1"/>
  <c r="H225" i="2"/>
  <c r="J225" i="2" s="1"/>
  <c r="D114" i="33"/>
  <c r="H7" i="14"/>
  <c r="G5" i="14"/>
  <c r="I502" i="16"/>
  <c r="O94" i="32" s="1"/>
  <c r="E207" i="4"/>
  <c r="G26" i="15"/>
  <c r="G34" i="15"/>
  <c r="G42" i="15"/>
  <c r="I53" i="15"/>
  <c r="I54" i="15" s="1"/>
  <c r="M50" i="15"/>
  <c r="M51" i="15" s="1"/>
  <c r="N50" i="15"/>
  <c r="N51" i="15" s="1"/>
  <c r="P50" i="15"/>
  <c r="P51" i="15" s="1"/>
  <c r="K50" i="15"/>
  <c r="K51" i="15" s="1"/>
  <c r="H50" i="15"/>
  <c r="H51" i="15" s="1"/>
  <c r="L53" i="15"/>
  <c r="L54" i="15" s="1"/>
  <c r="O53" i="15"/>
  <c r="O54" i="15" s="1"/>
  <c r="J53" i="15"/>
  <c r="J54" i="15" s="1"/>
  <c r="K53" i="15"/>
  <c r="K54" i="15" s="1"/>
  <c r="L50" i="15"/>
  <c r="L51" i="15" s="1"/>
  <c r="O50" i="15"/>
  <c r="O51" i="15" s="1"/>
  <c r="P53" i="15"/>
  <c r="P54" i="15" s="1"/>
  <c r="G53" i="15"/>
  <c r="M53" i="15"/>
  <c r="M54" i="15" s="1"/>
  <c r="H53" i="15"/>
  <c r="H54" i="15" s="1"/>
  <c r="I50" i="15"/>
  <c r="I51" i="15" s="1"/>
  <c r="J50" i="15"/>
  <c r="J51" i="15" s="1"/>
  <c r="G50" i="15"/>
  <c r="G51" i="15" s="1"/>
  <c r="N53" i="15"/>
  <c r="N54" i="15" s="1"/>
  <c r="E50" i="15"/>
  <c r="G35" i="15"/>
  <c r="G27" i="15"/>
  <c r="G43" i="15"/>
  <c r="J385" i="14"/>
  <c r="H483" i="14"/>
  <c r="H934" i="14" s="1"/>
  <c r="G6" i="15"/>
  <c r="H5" i="15"/>
  <c r="G7" i="15"/>
  <c r="G266" i="15" s="1"/>
  <c r="G273" i="15" s="1"/>
  <c r="H489" i="14"/>
  <c r="E629" i="4"/>
  <c r="K74" i="29"/>
  <c r="F62" i="4"/>
  <c r="H123" i="16" s="1"/>
  <c r="F120" i="4"/>
  <c r="F222" i="4" s="1"/>
  <c r="G57" i="4"/>
  <c r="H363" i="14"/>
  <c r="G372" i="14"/>
  <c r="E630" i="4"/>
  <c r="H14" i="15"/>
  <c r="I18" i="15"/>
  <c r="I178" i="15" s="1"/>
  <c r="H17" i="15"/>
  <c r="H180" i="15"/>
  <c r="H209" i="15" s="1"/>
  <c r="H8" i="14"/>
  <c r="G6" i="14"/>
  <c r="F32" i="14"/>
  <c r="F42" i="14"/>
  <c r="F56" i="14"/>
  <c r="F58" i="14"/>
  <c r="F936" i="14"/>
  <c r="H386" i="14"/>
  <c r="I386" i="14" s="1"/>
  <c r="I19" i="15"/>
  <c r="H258" i="15"/>
  <c r="H15" i="15"/>
  <c r="F47" i="4"/>
  <c r="F58" i="4" s="1"/>
  <c r="G58" i="4" s="1"/>
  <c r="W725" i="16"/>
  <c r="W726" i="16" s="1"/>
  <c r="F383" i="14"/>
  <c r="F389" i="14" s="1"/>
  <c r="F391" i="14" s="1"/>
  <c r="F397" i="14" s="1"/>
  <c r="F403" i="14" s="1"/>
  <c r="F41" i="14"/>
  <c r="F57" i="14"/>
  <c r="F81" i="15"/>
  <c r="E611" i="4"/>
  <c r="E674" i="14"/>
  <c r="E675" i="14"/>
  <c r="E751" i="14"/>
  <c r="D1088" i="14"/>
  <c r="H1140" i="14" s="1"/>
  <c r="T229" i="16" l="1"/>
  <c r="U56" i="32"/>
  <c r="I596" i="16"/>
  <c r="E863" i="14"/>
  <c r="E868" i="14" s="1"/>
  <c r="E875" i="14"/>
  <c r="G943" i="14"/>
  <c r="G966" i="14"/>
  <c r="H963" i="14"/>
  <c r="H940" i="14"/>
  <c r="P725" i="16"/>
  <c r="P726" i="16" s="1"/>
  <c r="K75" i="29"/>
  <c r="V725" i="16"/>
  <c r="V726" i="16" s="1"/>
  <c r="Q75" i="29"/>
  <c r="X725" i="16"/>
  <c r="X726" i="16" s="1"/>
  <c r="S75" i="29"/>
  <c r="S96" i="32"/>
  <c r="S94" i="32"/>
  <c r="P114" i="32"/>
  <c r="P112" i="32"/>
  <c r="T96" i="32"/>
  <c r="T94" i="32"/>
  <c r="L114" i="32"/>
  <c r="L112" i="32"/>
  <c r="R114" i="32"/>
  <c r="R112" i="32"/>
  <c r="L74" i="29"/>
  <c r="L75" i="29" s="1"/>
  <c r="R70" i="29"/>
  <c r="R71" i="29" s="1"/>
  <c r="T70" i="29"/>
  <c r="T71" i="29" s="1"/>
  <c r="Q116" i="32"/>
  <c r="Q114" i="32"/>
  <c r="E432" i="4"/>
  <c r="O116" i="32"/>
  <c r="O114" i="32"/>
  <c r="S116" i="32"/>
  <c r="S114" i="32"/>
  <c r="T116" i="32"/>
  <c r="T114" i="32"/>
  <c r="N116" i="32"/>
  <c r="N114" i="32"/>
  <c r="F856" i="14"/>
  <c r="K144" i="29" s="1"/>
  <c r="F851" i="14"/>
  <c r="K60" i="29"/>
  <c r="L72" i="32"/>
  <c r="L116" i="32"/>
  <c r="U59" i="32"/>
  <c r="AB59" i="32" s="1"/>
  <c r="U96" i="32"/>
  <c r="AB96" i="32" s="1"/>
  <c r="Q59" i="32"/>
  <c r="Q96" i="32"/>
  <c r="N59" i="32"/>
  <c r="N96" i="32"/>
  <c r="O59" i="32"/>
  <c r="O96" i="32"/>
  <c r="M59" i="32"/>
  <c r="M96" i="32"/>
  <c r="L59" i="32"/>
  <c r="L96" i="32"/>
  <c r="R59" i="32"/>
  <c r="R96" i="32"/>
  <c r="P59" i="32"/>
  <c r="P96" i="32"/>
  <c r="L70" i="29"/>
  <c r="L71" i="29" s="1"/>
  <c r="P70" i="29"/>
  <c r="P71" i="29" s="1"/>
  <c r="O70" i="29"/>
  <c r="O71" i="29" s="1"/>
  <c r="J596" i="16"/>
  <c r="Q70" i="29"/>
  <c r="Q71" i="29" s="1"/>
  <c r="N627" i="16"/>
  <c r="N624" i="16"/>
  <c r="T725" i="16"/>
  <c r="T726" i="16" s="1"/>
  <c r="H596" i="16"/>
  <c r="N625" i="16"/>
  <c r="S70" i="29"/>
  <c r="S71" i="29" s="1"/>
  <c r="O548" i="16"/>
  <c r="N70" i="29"/>
  <c r="N71" i="29" s="1"/>
  <c r="G596" i="16"/>
  <c r="N74" i="29"/>
  <c r="N75" i="29" s="1"/>
  <c r="L596" i="16"/>
  <c r="S548" i="16"/>
  <c r="U112" i="32" s="1"/>
  <c r="AB112" i="32" s="1"/>
  <c r="N626" i="16"/>
  <c r="F596" i="16"/>
  <c r="M70" i="29"/>
  <c r="M71" i="29" s="1"/>
  <c r="N623" i="16"/>
  <c r="Y725" i="16"/>
  <c r="Y726" i="16" s="1"/>
  <c r="H58" i="4"/>
  <c r="H26" i="15"/>
  <c r="H27" i="15"/>
  <c r="H35" i="15"/>
  <c r="U73" i="32"/>
  <c r="AB73" i="32" s="1"/>
  <c r="U72" i="32"/>
  <c r="AB72" i="32" s="1"/>
  <c r="K866" i="16"/>
  <c r="K868" i="16" s="1"/>
  <c r="H215" i="15"/>
  <c r="G485" i="14"/>
  <c r="F28" i="14"/>
  <c r="F295" i="14"/>
  <c r="G120" i="4"/>
  <c r="G222" i="4" s="1"/>
  <c r="H57" i="4"/>
  <c r="G62" i="4"/>
  <c r="I123" i="16" s="1"/>
  <c r="I483" i="14"/>
  <c r="I934" i="14" s="1"/>
  <c r="F793" i="4"/>
  <c r="G59" i="4"/>
  <c r="F464" i="14"/>
  <c r="F467" i="14" s="1"/>
  <c r="G56" i="14"/>
  <c r="G408" i="14" s="1"/>
  <c r="G60" i="14" s="1"/>
  <c r="G42" i="14"/>
  <c r="G351" i="14" s="1"/>
  <c r="G32" i="14"/>
  <c r="G58" i="14"/>
  <c r="G464" i="14" s="1"/>
  <c r="G467" i="14" s="1"/>
  <c r="I14" i="15"/>
  <c r="J18" i="15"/>
  <c r="J178" i="15" s="1"/>
  <c r="I17" i="15"/>
  <c r="I180" i="15"/>
  <c r="I209" i="15" s="1"/>
  <c r="F50" i="4"/>
  <c r="G51" i="4"/>
  <c r="F276" i="15"/>
  <c r="F83" i="15"/>
  <c r="F229" i="15" s="1"/>
  <c r="F463" i="14"/>
  <c r="F414" i="14"/>
  <c r="J386" i="14"/>
  <c r="F351" i="14"/>
  <c r="F332" i="14"/>
  <c r="I489" i="14"/>
  <c r="G255" i="15"/>
  <c r="G56" i="15"/>
  <c r="G61" i="15" s="1"/>
  <c r="G66" i="15" s="1"/>
  <c r="E156" i="48" s="1"/>
  <c r="H43" i="15"/>
  <c r="U725" i="16"/>
  <c r="U726" i="16" s="1"/>
  <c r="H42" i="15"/>
  <c r="G250" i="15"/>
  <c r="G45" i="15"/>
  <c r="I9" i="14"/>
  <c r="I850" i="14" s="1"/>
  <c r="G936" i="14"/>
  <c r="F27" i="14"/>
  <c r="F294" i="14"/>
  <c r="F1156" i="14" s="1"/>
  <c r="F1188" i="14" s="1"/>
  <c r="H34" i="15"/>
  <c r="G249" i="15"/>
  <c r="G383" i="14"/>
  <c r="G389" i="14" s="1"/>
  <c r="G391" i="14" s="1"/>
  <c r="G397" i="14" s="1"/>
  <c r="G403" i="14" s="1"/>
  <c r="G55" i="14"/>
  <c r="G407" i="14" s="1"/>
  <c r="G59" i="14" s="1"/>
  <c r="G57" i="14"/>
  <c r="G463" i="14" s="1"/>
  <c r="G466" i="14" s="1"/>
  <c r="G31" i="14"/>
  <c r="G41" i="14"/>
  <c r="G350" i="14" s="1"/>
  <c r="F350" i="14"/>
  <c r="F331" i="14"/>
  <c r="J19" i="15"/>
  <c r="I15" i="15"/>
  <c r="I258" i="15"/>
  <c r="H7" i="15"/>
  <c r="H266" i="15" s="1"/>
  <c r="H273" i="15" s="1"/>
  <c r="I5" i="15"/>
  <c r="H6" i="15"/>
  <c r="I274" i="15" s="1"/>
  <c r="G54" i="15"/>
  <c r="G57" i="15" s="1"/>
  <c r="G145" i="15"/>
  <c r="H5" i="14"/>
  <c r="I7" i="14"/>
  <c r="G274" i="15"/>
  <c r="J49" i="4"/>
  <c r="I46" i="4"/>
  <c r="I48" i="4" s="1"/>
  <c r="I47" i="4" s="1"/>
  <c r="E677" i="14"/>
  <c r="E680" i="14" s="1"/>
  <c r="E676" i="14"/>
  <c r="E679" i="14" s="1"/>
  <c r="E678" i="14"/>
  <c r="E681" i="14" s="1"/>
  <c r="F407" i="14"/>
  <c r="F59" i="14" s="1"/>
  <c r="G384" i="14"/>
  <c r="G390" i="14" s="1"/>
  <c r="F408" i="14"/>
  <c r="H6" i="14"/>
  <c r="I8" i="14"/>
  <c r="H372" i="14"/>
  <c r="I363" i="14"/>
  <c r="F64" i="4"/>
  <c r="F65" i="4"/>
  <c r="F71" i="4"/>
  <c r="H274" i="15"/>
  <c r="K385" i="14"/>
  <c r="G55" i="15"/>
  <c r="E194" i="4"/>
  <c r="E321" i="4" s="1"/>
  <c r="E877" i="14"/>
  <c r="E886" i="14" s="1"/>
  <c r="E328" i="4"/>
  <c r="E852" i="14" s="1"/>
  <c r="E199" i="4"/>
  <c r="E322" i="4" s="1"/>
  <c r="E206" i="4"/>
  <c r="E625" i="4" s="1"/>
  <c r="E645" i="4" s="1"/>
  <c r="E205" i="4"/>
  <c r="O502" i="16"/>
  <c r="I482" i="14"/>
  <c r="I933" i="14" s="1"/>
  <c r="H484" i="14"/>
  <c r="H935" i="14" s="1"/>
  <c r="V229" i="16" l="1"/>
  <c r="U229" i="16"/>
  <c r="X229" i="16"/>
  <c r="Z229" i="16"/>
  <c r="AA229" i="16"/>
  <c r="W229" i="16"/>
  <c r="Y229" i="16"/>
  <c r="F1202" i="14"/>
  <c r="F1228" i="14"/>
  <c r="F1235" i="14" s="1"/>
  <c r="F1176" i="14"/>
  <c r="F1172" i="14"/>
  <c r="F1175" i="14" s="1"/>
  <c r="I940" i="14"/>
  <c r="I963" i="14"/>
  <c r="H943" i="14"/>
  <c r="H966" i="14"/>
  <c r="U116" i="32"/>
  <c r="AB116" i="32" s="1"/>
  <c r="U114" i="32"/>
  <c r="AB114" i="32" s="1"/>
  <c r="E832" i="4"/>
  <c r="E431" i="4"/>
  <c r="E402" i="4"/>
  <c r="E323" i="4"/>
  <c r="E430" i="4"/>
  <c r="E401" i="4"/>
  <c r="G856" i="14"/>
  <c r="L144" i="29" s="1"/>
  <c r="G851" i="14"/>
  <c r="S725" i="16"/>
  <c r="S726" i="16" s="1"/>
  <c r="N596" i="16"/>
  <c r="G37" i="41" s="1"/>
  <c r="F296" i="14"/>
  <c r="F301" i="14" s="1"/>
  <c r="F312" i="14" s="1"/>
  <c r="I58" i="4"/>
  <c r="I26" i="15"/>
  <c r="I35" i="15"/>
  <c r="I27" i="15"/>
  <c r="AE108" i="21"/>
  <c r="H216" i="15"/>
  <c r="H235" i="15" s="1"/>
  <c r="L60" i="29" s="1"/>
  <c r="H936" i="14"/>
  <c r="H485" i="14"/>
  <c r="AE110" i="21"/>
  <c r="L858" i="16"/>
  <c r="L861" i="16" s="1"/>
  <c r="L865" i="16"/>
  <c r="E683" i="14"/>
  <c r="D112" i="48" s="1"/>
  <c r="S245" i="16" s="1"/>
  <c r="E900" i="14"/>
  <c r="E973" i="14" s="1"/>
  <c r="I34" i="15"/>
  <c r="H249" i="15"/>
  <c r="G28" i="14"/>
  <c r="G295" i="14"/>
  <c r="E913" i="14"/>
  <c r="D144" i="48" s="1"/>
  <c r="E901" i="14"/>
  <c r="F63" i="4"/>
  <c r="F80" i="4"/>
  <c r="F67" i="4"/>
  <c r="F73" i="4"/>
  <c r="I6" i="14"/>
  <c r="J8" i="14"/>
  <c r="F337" i="14"/>
  <c r="G331" i="14"/>
  <c r="R725" i="16"/>
  <c r="J14" i="15"/>
  <c r="K18" i="15"/>
  <c r="K178" i="15" s="1"/>
  <c r="J180" i="15"/>
  <c r="J209" i="15" s="1"/>
  <c r="J17" i="15"/>
  <c r="E195" i="4"/>
  <c r="E198" i="4"/>
  <c r="E197" i="4"/>
  <c r="E196" i="4"/>
  <c r="J482" i="14"/>
  <c r="J933" i="14" s="1"/>
  <c r="I484" i="14"/>
  <c r="I935" i="14" s="1"/>
  <c r="D337" i="4"/>
  <c r="E857" i="14"/>
  <c r="E899" i="14" s="1"/>
  <c r="E972" i="14" s="1"/>
  <c r="D352" i="4"/>
  <c r="D330" i="4"/>
  <c r="D332" i="4"/>
  <c r="D338" i="4"/>
  <c r="D333" i="4"/>
  <c r="D335" i="4"/>
  <c r="D336" i="4"/>
  <c r="D331" i="4"/>
  <c r="G58" i="15"/>
  <c r="G63" i="15" s="1"/>
  <c r="G251" i="15"/>
  <c r="G60" i="15"/>
  <c r="H55" i="15"/>
  <c r="G71" i="4"/>
  <c r="I372" i="14"/>
  <c r="J363" i="14"/>
  <c r="F60" i="14"/>
  <c r="F410" i="14"/>
  <c r="F417" i="14" s="1"/>
  <c r="F423" i="14" s="1"/>
  <c r="G62" i="15"/>
  <c r="H57" i="15"/>
  <c r="G27" i="14"/>
  <c r="G294" i="14"/>
  <c r="H45" i="15"/>
  <c r="H250" i="15"/>
  <c r="I42" i="15"/>
  <c r="J489" i="14"/>
  <c r="F409" i="14"/>
  <c r="F416" i="14" s="1"/>
  <c r="F422" i="14" s="1"/>
  <c r="F466" i="14"/>
  <c r="G64" i="14"/>
  <c r="G469" i="14"/>
  <c r="G477" i="14" s="1"/>
  <c r="G62" i="14"/>
  <c r="F64" i="14"/>
  <c r="F62" i="14"/>
  <c r="F469" i="14"/>
  <c r="F477" i="14" s="1"/>
  <c r="J483" i="14"/>
  <c r="J934" i="14" s="1"/>
  <c r="I57" i="4"/>
  <c r="H120" i="4"/>
  <c r="H222" i="4" s="1"/>
  <c r="H62" i="4"/>
  <c r="J123" i="16" s="1"/>
  <c r="E219" i="4"/>
  <c r="D350" i="4"/>
  <c r="E286" i="4"/>
  <c r="G65" i="4"/>
  <c r="I5" i="14"/>
  <c r="J7" i="14"/>
  <c r="G63" i="14"/>
  <c r="G61" i="14"/>
  <c r="G468" i="14"/>
  <c r="G476" i="14" s="1"/>
  <c r="J9" i="14"/>
  <c r="J850" i="14" s="1"/>
  <c r="F267" i="15"/>
  <c r="E304" i="15" s="1"/>
  <c r="F304" i="15" s="1"/>
  <c r="F114" i="15"/>
  <c r="D169" i="48" s="1"/>
  <c r="F94" i="15"/>
  <c r="D167" i="48" s="1"/>
  <c r="F93" i="15"/>
  <c r="F268" i="15" s="1"/>
  <c r="F113" i="15"/>
  <c r="F148" i="15"/>
  <c r="D185" i="48"/>
  <c r="E218" i="4"/>
  <c r="D351" i="4"/>
  <c r="L385" i="14"/>
  <c r="G392" i="14"/>
  <c r="G398" i="14" s="1"/>
  <c r="G404" i="14" s="1"/>
  <c r="K49" i="4"/>
  <c r="J46" i="4"/>
  <c r="J48" i="4" s="1"/>
  <c r="J47" i="4" s="1"/>
  <c r="H41" i="14"/>
  <c r="H31" i="14"/>
  <c r="H55" i="14"/>
  <c r="H57" i="14"/>
  <c r="H383" i="14"/>
  <c r="H389" i="14" s="1"/>
  <c r="H391" i="14" s="1"/>
  <c r="H397" i="14" s="1"/>
  <c r="H403" i="14" s="1"/>
  <c r="J5" i="15"/>
  <c r="I6" i="15"/>
  <c r="J274" i="15" s="1"/>
  <c r="I7" i="15"/>
  <c r="I266" i="15" s="1"/>
  <c r="I273" i="15" s="1"/>
  <c r="K386" i="14"/>
  <c r="L386" i="14" s="1"/>
  <c r="H59" i="4"/>
  <c r="G793" i="4"/>
  <c r="F297" i="14"/>
  <c r="F302" i="14" s="1"/>
  <c r="F313" i="14" s="1"/>
  <c r="F299" i="14"/>
  <c r="E203" i="4"/>
  <c r="E200" i="4"/>
  <c r="E201" i="4"/>
  <c r="E202" i="4"/>
  <c r="H169" i="16"/>
  <c r="H384" i="14"/>
  <c r="H390" i="14" s="1"/>
  <c r="H392" i="14" s="1"/>
  <c r="H398" i="14" s="1"/>
  <c r="H404" i="14" s="1"/>
  <c r="H32" i="14"/>
  <c r="H42" i="14"/>
  <c r="H56" i="14"/>
  <c r="H58" i="14"/>
  <c r="H464" i="14" s="1"/>
  <c r="H467" i="14" s="1"/>
  <c r="H145" i="15"/>
  <c r="J258" i="15"/>
  <c r="K19" i="15"/>
  <c r="J15" i="15"/>
  <c r="G414" i="14"/>
  <c r="G409" i="14"/>
  <c r="F298" i="14"/>
  <c r="I43" i="15"/>
  <c r="H255" i="15"/>
  <c r="H56" i="15"/>
  <c r="H61" i="15" s="1"/>
  <c r="H66" i="15" s="1"/>
  <c r="F156" i="48" s="1"/>
  <c r="G332" i="14"/>
  <c r="F338" i="14"/>
  <c r="S246" i="16"/>
  <c r="H51" i="4"/>
  <c r="G50" i="4"/>
  <c r="I169" i="16"/>
  <c r="G64" i="4"/>
  <c r="G63" i="4" s="1"/>
  <c r="F911" i="14" l="1"/>
  <c r="F912" i="14" s="1"/>
  <c r="E974" i="14"/>
  <c r="G1156" i="14"/>
  <c r="G1188" i="14" s="1"/>
  <c r="G1202" i="14" s="1"/>
  <c r="F1201" i="14"/>
  <c r="F1203" i="14" s="1"/>
  <c r="F1227" i="14"/>
  <c r="F1229" i="14" s="1"/>
  <c r="I943" i="14"/>
  <c r="I966" i="14"/>
  <c r="J940" i="14"/>
  <c r="J963" i="14"/>
  <c r="E615" i="4"/>
  <c r="E633" i="4"/>
  <c r="E427" i="4"/>
  <c r="E398" i="4"/>
  <c r="E420" i="4"/>
  <c r="E391" i="4"/>
  <c r="E425" i="4"/>
  <c r="E396" i="4"/>
  <c r="E422" i="4"/>
  <c r="E393" i="4"/>
  <c r="E426" i="4"/>
  <c r="E397" i="4"/>
  <c r="E421" i="4"/>
  <c r="E392" i="4"/>
  <c r="E428" i="4"/>
  <c r="E399" i="4"/>
  <c r="G192" i="15"/>
  <c r="G193" i="15" s="1"/>
  <c r="G198" i="15" s="1"/>
  <c r="G184" i="15"/>
  <c r="G186" i="15" s="1"/>
  <c r="E423" i="4"/>
  <c r="E394" i="4"/>
  <c r="I435" i="14"/>
  <c r="H856" i="14"/>
  <c r="M144" i="29" s="1"/>
  <c r="H851" i="14"/>
  <c r="J26" i="15"/>
  <c r="H64" i="4"/>
  <c r="H63" i="4" s="1"/>
  <c r="J169" i="16"/>
  <c r="K143" i="29"/>
  <c r="L143" i="29"/>
  <c r="F1209" i="14"/>
  <c r="F908" i="14"/>
  <c r="F909" i="14" s="1"/>
  <c r="J58" i="4"/>
  <c r="P39" i="49"/>
  <c r="P40" i="49"/>
  <c r="J35" i="15"/>
  <c r="I215" i="15"/>
  <c r="I216" i="15" s="1"/>
  <c r="I235" i="15" s="1"/>
  <c r="M60" i="29" s="1"/>
  <c r="J27" i="15"/>
  <c r="G416" i="14"/>
  <c r="G422" i="14" s="1"/>
  <c r="G441" i="14" s="1"/>
  <c r="G448" i="14" s="1"/>
  <c r="G459" i="14" s="1"/>
  <c r="G470" i="14" s="1"/>
  <c r="G478" i="14" s="1"/>
  <c r="I485" i="14"/>
  <c r="AF107" i="21"/>
  <c r="H415" i="14"/>
  <c r="D348" i="4"/>
  <c r="I59" i="4"/>
  <c r="H793" i="4"/>
  <c r="M386" i="14"/>
  <c r="N386" i="14" s="1"/>
  <c r="O386" i="14" s="1"/>
  <c r="I57" i="14"/>
  <c r="I434" i="14" s="1"/>
  <c r="I55" i="14"/>
  <c r="I41" i="14"/>
  <c r="I31" i="14"/>
  <c r="I383" i="14"/>
  <c r="I389" i="14" s="1"/>
  <c r="I391" i="14" s="1"/>
  <c r="I397" i="14" s="1"/>
  <c r="I403" i="14" s="1"/>
  <c r="I120" i="4"/>
  <c r="I222" i="4" s="1"/>
  <c r="J57" i="4"/>
  <c r="I62" i="4"/>
  <c r="K123" i="16" s="1"/>
  <c r="E330" i="4"/>
  <c r="D341" i="4"/>
  <c r="I32" i="14"/>
  <c r="I42" i="14"/>
  <c r="I351" i="14" s="1"/>
  <c r="I58" i="14"/>
  <c r="I56" i="14"/>
  <c r="I384" i="14"/>
  <c r="I390" i="14" s="1"/>
  <c r="I392" i="14" s="1"/>
  <c r="I398" i="14" s="1"/>
  <c r="I404" i="14" s="1"/>
  <c r="G338" i="14"/>
  <c r="H332" i="14"/>
  <c r="I56" i="15"/>
  <c r="I61" i="15" s="1"/>
  <c r="I66" i="15" s="1"/>
  <c r="G156" i="48" s="1"/>
  <c r="J43" i="15"/>
  <c r="I255" i="15"/>
  <c r="H28" i="14"/>
  <c r="H295" i="14"/>
  <c r="F277" i="15"/>
  <c r="E305" i="15"/>
  <c r="F305" i="15" s="1"/>
  <c r="G296" i="14"/>
  <c r="G301" i="14" s="1"/>
  <c r="G312" i="14" s="1"/>
  <c r="G298" i="14"/>
  <c r="E1007" i="14"/>
  <c r="I936" i="14"/>
  <c r="F791" i="4"/>
  <c r="G73" i="4"/>
  <c r="H64" i="14"/>
  <c r="H62" i="14"/>
  <c r="H469" i="14"/>
  <c r="H477" i="14" s="1"/>
  <c r="F310" i="14"/>
  <c r="F316" i="14" s="1"/>
  <c r="F318" i="14"/>
  <c r="I145" i="15"/>
  <c r="H408" i="14"/>
  <c r="H60" i="14" s="1"/>
  <c r="D345" i="4"/>
  <c r="E217" i="4"/>
  <c r="E285" i="4"/>
  <c r="J6" i="15"/>
  <c r="K274" i="15" s="1"/>
  <c r="K5" i="15"/>
  <c r="J7" i="15"/>
  <c r="J266" i="15" s="1"/>
  <c r="J273" i="15" s="1"/>
  <c r="H27" i="14"/>
  <c r="H294" i="14"/>
  <c r="D161" i="48"/>
  <c r="D249" i="48"/>
  <c r="G191" i="2" s="1"/>
  <c r="K9" i="14"/>
  <c r="K850" i="14" s="1"/>
  <c r="K7" i="14"/>
  <c r="J5" i="14"/>
  <c r="E294" i="4"/>
  <c r="E837" i="4"/>
  <c r="F468" i="14"/>
  <c r="F476" i="14" s="1"/>
  <c r="F61" i="14"/>
  <c r="E985" i="14" s="1"/>
  <c r="E992" i="14" s="1"/>
  <c r="E999" i="14" s="1"/>
  <c r="G68" i="15"/>
  <c r="E247" i="48" s="1"/>
  <c r="G65" i="15"/>
  <c r="E154" i="48" s="1"/>
  <c r="G76" i="15"/>
  <c r="E336" i="4"/>
  <c r="E361" i="4" s="1"/>
  <c r="E332" i="4"/>
  <c r="E357" i="4" s="1"/>
  <c r="E337" i="4"/>
  <c r="E362" i="4" s="1"/>
  <c r="D340" i="4"/>
  <c r="E284" i="4"/>
  <c r="E216" i="4"/>
  <c r="K8" i="14"/>
  <c r="J6" i="14"/>
  <c r="F94" i="4"/>
  <c r="F145" i="4" s="1"/>
  <c r="F92" i="4"/>
  <c r="F143" i="4" s="1"/>
  <c r="F91" i="4"/>
  <c r="F142" i="4" s="1"/>
  <c r="F790" i="4"/>
  <c r="F93" i="4"/>
  <c r="F144" i="4" s="1"/>
  <c r="G80" i="4"/>
  <c r="F345" i="14"/>
  <c r="K15" i="15"/>
  <c r="K258" i="15"/>
  <c r="L19" i="15"/>
  <c r="H351" i="14"/>
  <c r="H414" i="14"/>
  <c r="H350" i="14"/>
  <c r="F269" i="15"/>
  <c r="E306" i="15" s="1"/>
  <c r="F306" i="15" s="1"/>
  <c r="F116" i="15"/>
  <c r="F118" i="15" s="1"/>
  <c r="E350" i="4"/>
  <c r="E375" i="4" s="1"/>
  <c r="I45" i="15"/>
  <c r="I250" i="15"/>
  <c r="J42" i="15"/>
  <c r="F427" i="14"/>
  <c r="E1063" i="14"/>
  <c r="E1068" i="14" s="1"/>
  <c r="E1078" i="14" s="1"/>
  <c r="F442" i="14"/>
  <c r="F449" i="14" s="1"/>
  <c r="F460" i="14" s="1"/>
  <c r="F471" i="14" s="1"/>
  <c r="F479" i="14" s="1"/>
  <c r="E335" i="4"/>
  <c r="E360" i="4" s="1"/>
  <c r="Q725" i="16"/>
  <c r="Q726" i="16" s="1"/>
  <c r="R726" i="16"/>
  <c r="F66" i="4"/>
  <c r="F79" i="4"/>
  <c r="G79" i="4" s="1"/>
  <c r="G299" i="14"/>
  <c r="G297" i="14"/>
  <c r="G302" i="14" s="1"/>
  <c r="G313" i="14" s="1"/>
  <c r="J34" i="15"/>
  <c r="I249" i="15"/>
  <c r="D1095" i="14"/>
  <c r="I51" i="4"/>
  <c r="J51" i="4" s="1"/>
  <c r="H50" i="4"/>
  <c r="I50" i="4" s="1"/>
  <c r="J50" i="4" s="1"/>
  <c r="D347" i="4"/>
  <c r="K46" i="4"/>
  <c r="K48" i="4" s="1"/>
  <c r="K47" i="4" s="1"/>
  <c r="L49" i="4"/>
  <c r="M385" i="14"/>
  <c r="F426" i="14"/>
  <c r="F441" i="14"/>
  <c r="F448" i="14" s="1"/>
  <c r="F459" i="14" s="1"/>
  <c r="F470" i="14" s="1"/>
  <c r="E1045" i="14"/>
  <c r="E1050" i="14" s="1"/>
  <c r="E1056" i="14" s="1"/>
  <c r="I57" i="15"/>
  <c r="H62" i="15"/>
  <c r="H71" i="4"/>
  <c r="E333" i="4"/>
  <c r="E358" i="4" s="1"/>
  <c r="D342" i="4"/>
  <c r="G337" i="14"/>
  <c r="G344" i="14" s="1"/>
  <c r="H331" i="14"/>
  <c r="H463" i="14"/>
  <c r="H466" i="14" s="1"/>
  <c r="D346" i="4"/>
  <c r="F319" i="14"/>
  <c r="E1066" i="14" s="1"/>
  <c r="F311" i="14"/>
  <c r="F317" i="14" s="1"/>
  <c r="H407" i="14"/>
  <c r="H59" i="14" s="1"/>
  <c r="G410" i="14"/>
  <c r="G415" i="14"/>
  <c r="H289" i="16" s="1"/>
  <c r="G289" i="16" s="1"/>
  <c r="E351" i="4"/>
  <c r="E376" i="4" s="1"/>
  <c r="H65" i="4"/>
  <c r="K483" i="14"/>
  <c r="K934" i="14" s="1"/>
  <c r="F63" i="14"/>
  <c r="K489" i="14"/>
  <c r="J372" i="14"/>
  <c r="K363" i="14"/>
  <c r="I55" i="15"/>
  <c r="H60" i="15"/>
  <c r="H251" i="15"/>
  <c r="H58" i="15"/>
  <c r="H63" i="15" s="1"/>
  <c r="E331" i="4"/>
  <c r="E356" i="4" s="1"/>
  <c r="E338" i="4"/>
  <c r="E363" i="4" s="1"/>
  <c r="F905" i="14"/>
  <c r="F906" i="14" s="1"/>
  <c r="K482" i="14"/>
  <c r="K933" i="14" s="1"/>
  <c r="J484" i="14"/>
  <c r="J935" i="14" s="1"/>
  <c r="D343" i="4"/>
  <c r="K14" i="15"/>
  <c r="L18" i="15"/>
  <c r="L178" i="15" s="1"/>
  <c r="K17" i="15"/>
  <c r="K180" i="15"/>
  <c r="K209" i="15" s="1"/>
  <c r="F344" i="14"/>
  <c r="F346" i="14" s="1"/>
  <c r="F792" i="4"/>
  <c r="G67" i="4"/>
  <c r="E898" i="14"/>
  <c r="D237" i="48" s="1"/>
  <c r="G177" i="2" s="1"/>
  <c r="G1228" i="14" l="1"/>
  <c r="G1235" i="14" s="1"/>
  <c r="G1176" i="14"/>
  <c r="G1201" i="14" s="1"/>
  <c r="G1203" i="14" s="1"/>
  <c r="H1156" i="14"/>
  <c r="H1188" i="14" s="1"/>
  <c r="H1228" i="14" s="1"/>
  <c r="H1235" i="14" s="1"/>
  <c r="G1172" i="14"/>
  <c r="G1175" i="14" s="1"/>
  <c r="G1227" i="14"/>
  <c r="K940" i="14"/>
  <c r="K963" i="14"/>
  <c r="J966" i="14"/>
  <c r="J943" i="14"/>
  <c r="K26" i="15"/>
  <c r="H184" i="15"/>
  <c r="H186" i="15" s="1"/>
  <c r="H192" i="15"/>
  <c r="H193" i="15" s="1"/>
  <c r="H198" i="15" s="1"/>
  <c r="E355" i="4"/>
  <c r="E433" i="4"/>
  <c r="I440" i="14"/>
  <c r="I447" i="14" s="1"/>
  <c r="I456" i="14" s="1"/>
  <c r="I856" i="14"/>
  <c r="N144" i="29" s="1"/>
  <c r="I851" i="14"/>
  <c r="I439" i="14"/>
  <c r="I446" i="14" s="1"/>
  <c r="H79" i="4"/>
  <c r="I64" i="4"/>
  <c r="I63" i="4" s="1"/>
  <c r="K169" i="16"/>
  <c r="K58" i="4"/>
  <c r="V1199" i="14"/>
  <c r="G1209" i="14"/>
  <c r="M143" i="29"/>
  <c r="K35" i="15"/>
  <c r="K27" i="15"/>
  <c r="J215" i="15"/>
  <c r="J216" i="15" s="1"/>
  <c r="J235" i="15" s="1"/>
  <c r="N60" i="29" s="1"/>
  <c r="G426" i="14"/>
  <c r="K50" i="4"/>
  <c r="F146" i="4"/>
  <c r="F163" i="4" s="1"/>
  <c r="J485" i="14"/>
  <c r="G417" i="14"/>
  <c r="G423" i="14" s="1"/>
  <c r="G427" i="14" s="1"/>
  <c r="F121" i="15"/>
  <c r="F131" i="15"/>
  <c r="F122" i="15"/>
  <c r="D171" i="48" s="1"/>
  <c r="D134" i="48"/>
  <c r="G176" i="2" s="1"/>
  <c r="H68" i="15"/>
  <c r="F247" i="48" s="1"/>
  <c r="H65" i="15"/>
  <c r="F154" i="48" s="1"/>
  <c r="H76" i="15"/>
  <c r="I62" i="15"/>
  <c r="J57" i="15"/>
  <c r="L258" i="15"/>
  <c r="L15" i="15"/>
  <c r="M19" i="15"/>
  <c r="F280" i="14"/>
  <c r="F253" i="14"/>
  <c r="F251" i="14"/>
  <c r="E614" i="4"/>
  <c r="G310" i="14"/>
  <c r="G316" i="14" s="1"/>
  <c r="G318" i="14"/>
  <c r="H299" i="14"/>
  <c r="H297" i="14"/>
  <c r="H302" i="14" s="1"/>
  <c r="H313" i="14" s="1"/>
  <c r="F250" i="14"/>
  <c r="F252" i="14"/>
  <c r="F279" i="14"/>
  <c r="M18" i="15"/>
  <c r="M178" i="15" s="1"/>
  <c r="L14" i="15"/>
  <c r="L17" i="15"/>
  <c r="L180" i="15"/>
  <c r="L209" i="15" s="1"/>
  <c r="L482" i="14"/>
  <c r="L933" i="14" s="1"/>
  <c r="K484" i="14"/>
  <c r="K935" i="14" s="1"/>
  <c r="I58" i="15"/>
  <c r="I63" i="15" s="1"/>
  <c r="I60" i="15"/>
  <c r="J55" i="15"/>
  <c r="I251" i="15"/>
  <c r="H63" i="14"/>
  <c r="H468" i="14"/>
  <c r="H476" i="14" s="1"/>
  <c r="H61" i="14"/>
  <c r="E342" i="4"/>
  <c r="E367" i="4" s="1"/>
  <c r="E347" i="4"/>
  <c r="E372" i="4" s="1"/>
  <c r="J45" i="15"/>
  <c r="J250" i="15"/>
  <c r="K42" i="15"/>
  <c r="E292" i="4"/>
  <c r="E835" i="4"/>
  <c r="K5" i="14"/>
  <c r="L7" i="14"/>
  <c r="D195" i="33"/>
  <c r="H239" i="2"/>
  <c r="J239" i="2" s="1"/>
  <c r="L5" i="15"/>
  <c r="K6" i="15"/>
  <c r="L274" i="15" s="1"/>
  <c r="K7" i="15"/>
  <c r="K266" i="15" s="1"/>
  <c r="K273" i="15" s="1"/>
  <c r="I408" i="14"/>
  <c r="I60" i="14" s="1"/>
  <c r="H338" i="14"/>
  <c r="I332" i="14"/>
  <c r="E440" i="4"/>
  <c r="J120" i="4"/>
  <c r="J222" i="4" s="1"/>
  <c r="K57" i="4"/>
  <c r="J62" i="4"/>
  <c r="L123" i="16" s="1"/>
  <c r="E348" i="4"/>
  <c r="E373" i="4" s="1"/>
  <c r="J936" i="14"/>
  <c r="L483" i="14"/>
  <c r="L934" i="14" s="1"/>
  <c r="E346" i="4"/>
  <c r="E371" i="4" s="1"/>
  <c r="I464" i="14"/>
  <c r="F428" i="14"/>
  <c r="G319" i="14"/>
  <c r="F1066" i="14" s="1"/>
  <c r="G311" i="14"/>
  <c r="G317" i="14" s="1"/>
  <c r="H409" i="14"/>
  <c r="H416" i="14" s="1"/>
  <c r="H422" i="14" s="1"/>
  <c r="F347" i="14"/>
  <c r="F354" i="14" s="1"/>
  <c r="E613" i="4"/>
  <c r="E404" i="4"/>
  <c r="G210" i="15"/>
  <c r="G236" i="15" s="1"/>
  <c r="G263" i="15"/>
  <c r="L9" i="14"/>
  <c r="L850" i="14" s="1"/>
  <c r="E287" i="4"/>
  <c r="E293" i="4"/>
  <c r="E836" i="4"/>
  <c r="E345" i="4"/>
  <c r="E370" i="4" s="1"/>
  <c r="E1048" i="14"/>
  <c r="F601" i="14"/>
  <c r="F597" i="14" s="1"/>
  <c r="F325" i="14"/>
  <c r="E104" i="48" s="1"/>
  <c r="H73" i="4"/>
  <c r="G791" i="4"/>
  <c r="J255" i="15"/>
  <c r="K43" i="15"/>
  <c r="J56" i="15"/>
  <c r="J61" i="15" s="1"/>
  <c r="J66" i="15" s="1"/>
  <c r="H156" i="48" s="1"/>
  <c r="I415" i="14"/>
  <c r="I28" i="14"/>
  <c r="I295" i="14"/>
  <c r="I414" i="14"/>
  <c r="I463" i="14"/>
  <c r="I793" i="4"/>
  <c r="J59" i="4"/>
  <c r="I350" i="14"/>
  <c r="H410" i="14"/>
  <c r="H417" i="14" s="1"/>
  <c r="H423" i="14" s="1"/>
  <c r="F353" i="14"/>
  <c r="E445" i="4"/>
  <c r="G487" i="14"/>
  <c r="F146" i="15"/>
  <c r="J56" i="14"/>
  <c r="J408" i="14" s="1"/>
  <c r="J60" i="14" s="1"/>
  <c r="J42" i="14"/>
  <c r="J58" i="14"/>
  <c r="J435" i="14" s="1"/>
  <c r="J32" i="14"/>
  <c r="J384" i="14"/>
  <c r="J390" i="14" s="1"/>
  <c r="G77" i="15"/>
  <c r="G275" i="15" s="1"/>
  <c r="G78" i="15"/>
  <c r="G80" i="15" s="1"/>
  <c r="J41" i="14"/>
  <c r="J57" i="14"/>
  <c r="J434" i="14" s="1"/>
  <c r="J31" i="14"/>
  <c r="J55" i="14"/>
  <c r="J383" i="14"/>
  <c r="J389" i="14" s="1"/>
  <c r="J391" i="14" s="1"/>
  <c r="J397" i="14" s="1"/>
  <c r="J403" i="14" s="1"/>
  <c r="I27" i="14"/>
  <c r="I294" i="14"/>
  <c r="I1156" i="14" s="1"/>
  <c r="I1188" i="14" s="1"/>
  <c r="E976" i="14"/>
  <c r="E343" i="4"/>
  <c r="E368" i="4" s="1"/>
  <c r="L489" i="14"/>
  <c r="I65" i="4"/>
  <c r="H337" i="14"/>
  <c r="H344" i="14" s="1"/>
  <c r="I331" i="14"/>
  <c r="N385" i="14"/>
  <c r="L46" i="4"/>
  <c r="L48" i="4" s="1"/>
  <c r="L47" i="4" s="1"/>
  <c r="M49" i="4"/>
  <c r="E441" i="4"/>
  <c r="E594" i="4"/>
  <c r="G94" i="4"/>
  <c r="G145" i="4" s="1"/>
  <c r="G790" i="4"/>
  <c r="G93" i="4"/>
  <c r="G144" i="4" s="1"/>
  <c r="G92" i="4"/>
  <c r="G143" i="4" s="1"/>
  <c r="H80" i="4"/>
  <c r="G91" i="4"/>
  <c r="G142" i="4" s="1"/>
  <c r="G81" i="4"/>
  <c r="K6" i="14"/>
  <c r="L8" i="14"/>
  <c r="E632" i="4"/>
  <c r="G792" i="4"/>
  <c r="H67" i="4"/>
  <c r="E975" i="14"/>
  <c r="L363" i="14"/>
  <c r="K372" i="14"/>
  <c r="G346" i="14"/>
  <c r="G279" i="14"/>
  <c r="G252" i="14"/>
  <c r="G250" i="14"/>
  <c r="I71" i="4"/>
  <c r="F478" i="14"/>
  <c r="K51" i="4"/>
  <c r="K34" i="15"/>
  <c r="J249" i="15"/>
  <c r="F72" i="4"/>
  <c r="G66" i="4"/>
  <c r="F488" i="14"/>
  <c r="E1064" i="14"/>
  <c r="E1069" i="14" s="1"/>
  <c r="E1077" i="14" s="1"/>
  <c r="E444" i="4"/>
  <c r="E597" i="4"/>
  <c r="F81" i="4"/>
  <c r="E631" i="4"/>
  <c r="E340" i="4"/>
  <c r="E365" i="4" s="1"/>
  <c r="G211" i="15"/>
  <c r="G228" i="15"/>
  <c r="G223" i="15"/>
  <c r="E191" i="48" s="1"/>
  <c r="H296" i="14"/>
  <c r="H301" i="14" s="1"/>
  <c r="H312" i="14" s="1"/>
  <c r="H298" i="14"/>
  <c r="E221" i="4"/>
  <c r="J145" i="15"/>
  <c r="E1018" i="14"/>
  <c r="E1026" i="14" s="1"/>
  <c r="F1007" i="14"/>
  <c r="F985" i="14"/>
  <c r="G345" i="14"/>
  <c r="G347" i="14" s="1"/>
  <c r="E341" i="4"/>
  <c r="E366" i="4" s="1"/>
  <c r="I407" i="14"/>
  <c r="I59" i="14" s="1"/>
  <c r="H1176" i="14" l="1"/>
  <c r="H1227" i="14" s="1"/>
  <c r="H1229" i="14" s="1"/>
  <c r="H1202" i="14"/>
  <c r="H1209" i="14" s="1"/>
  <c r="H1172" i="14"/>
  <c r="H1175" i="14" s="1"/>
  <c r="G1229" i="14"/>
  <c r="I1202" i="14"/>
  <c r="I1228" i="14"/>
  <c r="I1235" i="14" s="1"/>
  <c r="I1172" i="14"/>
  <c r="I1175" i="14" s="1"/>
  <c r="I1176" i="14"/>
  <c r="F962" i="14"/>
  <c r="F939" i="14"/>
  <c r="L940" i="14"/>
  <c r="L963" i="14"/>
  <c r="K966" i="14"/>
  <c r="K943" i="14"/>
  <c r="V1208" i="14"/>
  <c r="V1205" i="14"/>
  <c r="V1202" i="14"/>
  <c r="V1200" i="14"/>
  <c r="V1204" i="14"/>
  <c r="V1203" i="14"/>
  <c r="V1207" i="14"/>
  <c r="V1201" i="14"/>
  <c r="V1206" i="14"/>
  <c r="L58" i="4"/>
  <c r="L26" i="15"/>
  <c r="I184" i="15"/>
  <c r="I186" i="15" s="1"/>
  <c r="I192" i="15"/>
  <c r="I193" i="15" s="1"/>
  <c r="I198" i="15" s="1"/>
  <c r="E607" i="4"/>
  <c r="F284" i="15"/>
  <c r="F128" i="15"/>
  <c r="F124" i="15" s="1"/>
  <c r="F126" i="15" s="1"/>
  <c r="J440" i="14"/>
  <c r="J447" i="14" s="1"/>
  <c r="J456" i="14" s="1"/>
  <c r="J856" i="14"/>
  <c r="O144" i="29" s="1"/>
  <c r="J851" i="14"/>
  <c r="J439" i="14"/>
  <c r="J446" i="14" s="1"/>
  <c r="J455" i="14" s="1"/>
  <c r="I455" i="14"/>
  <c r="I254" i="14" s="1"/>
  <c r="I458" i="14"/>
  <c r="I467" i="14" s="1"/>
  <c r="I255" i="14"/>
  <c r="F278" i="14"/>
  <c r="F263" i="14" s="1"/>
  <c r="F277" i="14"/>
  <c r="F262" i="14" s="1"/>
  <c r="I79" i="4"/>
  <c r="J64" i="4"/>
  <c r="J63" i="4" s="1"/>
  <c r="L169" i="16"/>
  <c r="W1199" i="14"/>
  <c r="N143" i="29"/>
  <c r="F361" i="14"/>
  <c r="F359" i="14" s="1"/>
  <c r="F45" i="14"/>
  <c r="F246" i="14" s="1"/>
  <c r="L35" i="15"/>
  <c r="L50" i="4"/>
  <c r="F270" i="15"/>
  <c r="G442" i="14"/>
  <c r="G449" i="14" s="1"/>
  <c r="G460" i="14" s="1"/>
  <c r="G471" i="14" s="1"/>
  <c r="G479" i="14" s="1"/>
  <c r="G599" i="14" s="1"/>
  <c r="G428" i="14"/>
  <c r="F1063" i="14"/>
  <c r="F1068" i="14" s="1"/>
  <c r="F1078" i="14" s="1"/>
  <c r="F1045" i="14"/>
  <c r="F1050" i="14" s="1"/>
  <c r="F1056" i="14" s="1"/>
  <c r="L51" i="4"/>
  <c r="F168" i="4"/>
  <c r="E295" i="4"/>
  <c r="E296" i="4" s="1"/>
  <c r="K215" i="15"/>
  <c r="I410" i="14"/>
  <c r="I417" i="14" s="1"/>
  <c r="I423" i="14" s="1"/>
  <c r="I442" i="14" s="1"/>
  <c r="I449" i="14" s="1"/>
  <c r="I460" i="14" s="1"/>
  <c r="K485" i="14"/>
  <c r="K936" i="14"/>
  <c r="F1018" i="14"/>
  <c r="F1026" i="14" s="1"/>
  <c r="G1007" i="14"/>
  <c r="E259" i="48"/>
  <c r="E183" i="48"/>
  <c r="E595" i="4"/>
  <c r="E442" i="4"/>
  <c r="G258" i="14"/>
  <c r="G256" i="14"/>
  <c r="K384" i="14"/>
  <c r="K390" i="14" s="1"/>
  <c r="K392" i="14" s="1"/>
  <c r="K398" i="14" s="1"/>
  <c r="K404" i="14" s="1"/>
  <c r="K58" i="14"/>
  <c r="K464" i="14" s="1"/>
  <c r="K32" i="14"/>
  <c r="K56" i="14"/>
  <c r="K42" i="14"/>
  <c r="K351" i="14" s="1"/>
  <c r="J414" i="14"/>
  <c r="F356" i="14"/>
  <c r="F367" i="14" s="1"/>
  <c r="F44" i="14"/>
  <c r="E1008" i="14" s="1"/>
  <c r="F46" i="14"/>
  <c r="F247" i="14" s="1"/>
  <c r="J332" i="14"/>
  <c r="I338" i="14"/>
  <c r="I345" i="14" s="1"/>
  <c r="K250" i="15"/>
  <c r="K45" i="15"/>
  <c r="L42" i="15"/>
  <c r="F259" i="14"/>
  <c r="F257" i="14"/>
  <c r="J62" i="15"/>
  <c r="K57" i="15"/>
  <c r="G237" i="15"/>
  <c r="G208" i="15"/>
  <c r="E261" i="48" s="1"/>
  <c r="E181" i="48" s="1"/>
  <c r="G227" i="15"/>
  <c r="F487" i="14"/>
  <c r="G961" i="14" s="1"/>
  <c r="E1046" i="14"/>
  <c r="E1051" i="14" s="1"/>
  <c r="E1057" i="14" s="1"/>
  <c r="F493" i="14"/>
  <c r="F599" i="14"/>
  <c r="L27" i="15"/>
  <c r="G127" i="4"/>
  <c r="G115" i="4"/>
  <c r="G117" i="4"/>
  <c r="G107" i="4" s="1"/>
  <c r="G114" i="4"/>
  <c r="G130" i="4"/>
  <c r="G52" i="4"/>
  <c r="N49" i="4"/>
  <c r="M46" i="4"/>
  <c r="M48" i="4" s="1"/>
  <c r="M47" i="4" s="1"/>
  <c r="J407" i="14"/>
  <c r="J59" i="14" s="1"/>
  <c r="F161" i="4"/>
  <c r="F192" i="4" s="1"/>
  <c r="F160" i="4"/>
  <c r="F191" i="4" s="1"/>
  <c r="F245" i="4"/>
  <c r="F162" i="4"/>
  <c r="F193" i="4" s="1"/>
  <c r="F159" i="4"/>
  <c r="F190" i="4" s="1"/>
  <c r="F171" i="4"/>
  <c r="E26" i="48" s="1"/>
  <c r="F242" i="4"/>
  <c r="F149" i="15"/>
  <c r="E310" i="15"/>
  <c r="F310" i="15" s="1"/>
  <c r="F43" i="14"/>
  <c r="H791" i="4"/>
  <c r="I73" i="4"/>
  <c r="H426" i="14"/>
  <c r="H441" i="14"/>
  <c r="H448" i="14" s="1"/>
  <c r="H459" i="14" s="1"/>
  <c r="H470" i="14" s="1"/>
  <c r="H478" i="14" s="1"/>
  <c r="G1045" i="14"/>
  <c r="G1050" i="14" s="1"/>
  <c r="G1056" i="14" s="1"/>
  <c r="M5" i="15"/>
  <c r="L6" i="15"/>
  <c r="M274" i="15" s="1"/>
  <c r="L7" i="15"/>
  <c r="L266" i="15" s="1"/>
  <c r="L273" i="15" s="1"/>
  <c r="J58" i="15"/>
  <c r="J63" i="15" s="1"/>
  <c r="K55" i="15"/>
  <c r="J60" i="15"/>
  <c r="J251" i="15"/>
  <c r="F992" i="14"/>
  <c r="F999" i="14" s="1"/>
  <c r="G985" i="14"/>
  <c r="G992" i="14" s="1"/>
  <c r="G999" i="14" s="1"/>
  <c r="F130" i="4"/>
  <c r="F115" i="4"/>
  <c r="F114" i="4"/>
  <c r="F127" i="4"/>
  <c r="F117" i="4"/>
  <c r="F107" i="4" s="1"/>
  <c r="F52" i="4"/>
  <c r="H66" i="4"/>
  <c r="G72" i="4"/>
  <c r="J71" i="4"/>
  <c r="M363" i="14"/>
  <c r="L372" i="14"/>
  <c r="L6" i="14"/>
  <c r="M8" i="14"/>
  <c r="H92" i="4"/>
  <c r="H143" i="4" s="1"/>
  <c r="H94" i="4"/>
  <c r="H145" i="4" s="1"/>
  <c r="I80" i="4"/>
  <c r="H790" i="4"/>
  <c r="H91" i="4"/>
  <c r="H142" i="4" s="1"/>
  <c r="H93" i="4"/>
  <c r="H144" i="4" s="1"/>
  <c r="H81" i="4"/>
  <c r="M489" i="14"/>
  <c r="J463" i="14"/>
  <c r="J392" i="14"/>
  <c r="J398" i="14" s="1"/>
  <c r="J404" i="14" s="1"/>
  <c r="H442" i="14"/>
  <c r="H449" i="14" s="1"/>
  <c r="H460" i="14" s="1"/>
  <c r="H471" i="14" s="1"/>
  <c r="H479" i="14" s="1"/>
  <c r="G1063" i="14"/>
  <c r="G1068" i="14" s="1"/>
  <c r="G1078" i="14" s="1"/>
  <c r="H427" i="14"/>
  <c r="I299" i="14"/>
  <c r="I297" i="14"/>
  <c r="I302" i="14" s="1"/>
  <c r="I313" i="14" s="1"/>
  <c r="E596" i="4"/>
  <c r="E443" i="4"/>
  <c r="H218" i="15"/>
  <c r="K120" i="4"/>
  <c r="K222" i="4" s="1"/>
  <c r="K62" i="4"/>
  <c r="M123" i="16" s="1"/>
  <c r="L57" i="4"/>
  <c r="M14" i="15"/>
  <c r="N18" i="15"/>
  <c r="N178" i="15" s="1"/>
  <c r="M180" i="15"/>
  <c r="M209" i="15" s="1"/>
  <c r="M17" i="15"/>
  <c r="F258" i="14"/>
  <c r="F256" i="14"/>
  <c r="G325" i="14"/>
  <c r="F104" i="48" s="1"/>
  <c r="F1048" i="14"/>
  <c r="G601" i="14"/>
  <c r="G597" i="14" s="1"/>
  <c r="F362" i="14"/>
  <c r="M15" i="15"/>
  <c r="M258" i="15"/>
  <c r="N19" i="15"/>
  <c r="D120" i="33"/>
  <c r="H231" i="2"/>
  <c r="J231" i="2" s="1"/>
  <c r="G353" i="14"/>
  <c r="O385" i="14"/>
  <c r="J65" i="4"/>
  <c r="I298" i="14"/>
  <c r="I296" i="14"/>
  <c r="I301" i="14" s="1"/>
  <c r="I312" i="14" s="1"/>
  <c r="J350" i="14"/>
  <c r="J28" i="14"/>
  <c r="J295" i="14"/>
  <c r="L43" i="15"/>
  <c r="K56" i="15"/>
  <c r="K61" i="15" s="1"/>
  <c r="K66" i="15" s="1"/>
  <c r="I156" i="48" s="1"/>
  <c r="K255" i="15"/>
  <c r="M483" i="14"/>
  <c r="M934" i="14" s="1"/>
  <c r="M7" i="14"/>
  <c r="L5" i="14"/>
  <c r="H263" i="15"/>
  <c r="H210" i="15"/>
  <c r="G354" i="14"/>
  <c r="G362" i="14" s="1"/>
  <c r="H318" i="14"/>
  <c r="H310" i="14"/>
  <c r="H316" i="14" s="1"/>
  <c r="H792" i="4"/>
  <c r="I67" i="4"/>
  <c r="J331" i="14"/>
  <c r="I337" i="14"/>
  <c r="H79" i="15"/>
  <c r="G67" i="15"/>
  <c r="E158" i="48" s="1"/>
  <c r="G81" i="15"/>
  <c r="J464" i="14"/>
  <c r="J793" i="4"/>
  <c r="K59" i="4"/>
  <c r="G238" i="15"/>
  <c r="D598" i="16"/>
  <c r="D724" i="16"/>
  <c r="D726" i="16" s="1"/>
  <c r="H345" i="14"/>
  <c r="K31" i="14"/>
  <c r="K57" i="14"/>
  <c r="K463" i="14" s="1"/>
  <c r="K55" i="14"/>
  <c r="K41" i="14"/>
  <c r="K350" i="14" s="1"/>
  <c r="K383" i="14"/>
  <c r="K389" i="14" s="1"/>
  <c r="K391" i="14" s="1"/>
  <c r="K397" i="14" s="1"/>
  <c r="K403" i="14" s="1"/>
  <c r="H319" i="14"/>
  <c r="G1066" i="14" s="1"/>
  <c r="H311" i="14"/>
  <c r="H317" i="14" s="1"/>
  <c r="E307" i="15"/>
  <c r="F307" i="15" s="1"/>
  <c r="G253" i="14"/>
  <c r="G251" i="14"/>
  <c r="G280" i="14"/>
  <c r="K145" i="15"/>
  <c r="H221" i="15"/>
  <c r="L34" i="15"/>
  <c r="K249" i="15"/>
  <c r="G146" i="4"/>
  <c r="H346" i="14"/>
  <c r="H252" i="14"/>
  <c r="H250" i="14"/>
  <c r="H279" i="14"/>
  <c r="J27" i="14"/>
  <c r="J294" i="14"/>
  <c r="J351" i="14"/>
  <c r="F355" i="14"/>
  <c r="F366" i="14" s="1"/>
  <c r="I409" i="14"/>
  <c r="I416" i="14" s="1"/>
  <c r="I422" i="14" s="1"/>
  <c r="M9" i="14"/>
  <c r="M850" i="14" s="1"/>
  <c r="E593" i="4"/>
  <c r="I68" i="15"/>
  <c r="G247" i="48" s="1"/>
  <c r="I65" i="15"/>
  <c r="G154" i="48" s="1"/>
  <c r="I76" i="15"/>
  <c r="M482" i="14"/>
  <c r="M933" i="14" s="1"/>
  <c r="L484" i="14"/>
  <c r="L935" i="14" s="1"/>
  <c r="H77" i="15"/>
  <c r="H275" i="15" s="1"/>
  <c r="H78" i="15"/>
  <c r="H211" i="15"/>
  <c r="H228" i="15"/>
  <c r="H1201" i="14" l="1"/>
  <c r="H1203" i="14" s="1"/>
  <c r="X1199" i="14" s="1"/>
  <c r="J1156" i="14"/>
  <c r="J1188" i="14" s="1"/>
  <c r="J1202" i="14" s="1"/>
  <c r="I1201" i="14"/>
  <c r="I1227" i="14"/>
  <c r="I1229" i="14" s="1"/>
  <c r="F1259" i="14"/>
  <c r="M963" i="14"/>
  <c r="M940" i="14"/>
  <c r="G938" i="14"/>
  <c r="L966" i="14"/>
  <c r="L943" i="14"/>
  <c r="F961" i="14"/>
  <c r="F938" i="14"/>
  <c r="M26" i="15"/>
  <c r="M58" i="4"/>
  <c r="V1210" i="14"/>
  <c r="W1204" i="14"/>
  <c r="W1205" i="14"/>
  <c r="W1202" i="14"/>
  <c r="W1207" i="14"/>
  <c r="W1208" i="14"/>
  <c r="W1201" i="14"/>
  <c r="W1206" i="14"/>
  <c r="W1203" i="14"/>
  <c r="W1200" i="14"/>
  <c r="F387" i="4"/>
  <c r="F743" i="4"/>
  <c r="F714" i="4"/>
  <c r="F389" i="4"/>
  <c r="F745" i="4"/>
  <c r="F716" i="4"/>
  <c r="J184" i="15"/>
  <c r="J186" i="15" s="1"/>
  <c r="J192" i="15"/>
  <c r="J193" i="15" s="1"/>
  <c r="J198" i="15" s="1"/>
  <c r="F386" i="4"/>
  <c r="F742" i="4"/>
  <c r="F713" i="4"/>
  <c r="F388" i="4"/>
  <c r="F744" i="4"/>
  <c r="F715" i="4"/>
  <c r="I64" i="14"/>
  <c r="I62" i="14"/>
  <c r="H1007" i="14" s="1"/>
  <c r="I469" i="14"/>
  <c r="I477" i="14" s="1"/>
  <c r="I471" i="14"/>
  <c r="F499" i="14"/>
  <c r="F500" i="14"/>
  <c r="I457" i="14"/>
  <c r="I466" i="14" s="1"/>
  <c r="I63" i="14" s="1"/>
  <c r="K434" i="14"/>
  <c r="J457" i="14"/>
  <c r="J466" i="14" s="1"/>
  <c r="J254" i="14"/>
  <c r="K856" i="14"/>
  <c r="P144" i="29" s="1"/>
  <c r="K851" i="14"/>
  <c r="K435" i="14"/>
  <c r="J458" i="14"/>
  <c r="J467" i="14" s="1"/>
  <c r="J255" i="14"/>
  <c r="G278" i="14"/>
  <c r="G263" i="14" s="1"/>
  <c r="G277" i="14"/>
  <c r="G262" i="14" s="1"/>
  <c r="H181" i="16" s="1"/>
  <c r="E253" i="2" s="1"/>
  <c r="J79" i="4"/>
  <c r="I1209" i="14"/>
  <c r="O143" i="29"/>
  <c r="F370" i="14"/>
  <c r="M35" i="15"/>
  <c r="G595" i="14"/>
  <c r="G818" i="14"/>
  <c r="G819" i="14" s="1"/>
  <c r="F492" i="14"/>
  <c r="E223" i="48" s="1"/>
  <c r="H1063" i="14"/>
  <c r="H1068" i="14" s="1"/>
  <c r="H1078" i="14" s="1"/>
  <c r="G488" i="14"/>
  <c r="F1046" i="14"/>
  <c r="F1051" i="14" s="1"/>
  <c r="F1057" i="14" s="1"/>
  <c r="M50" i="4"/>
  <c r="G493" i="14"/>
  <c r="F108" i="48" s="1"/>
  <c r="E297" i="4"/>
  <c r="D62" i="48" s="1"/>
  <c r="M51" i="4"/>
  <c r="F1064" i="14"/>
  <c r="F1069" i="14" s="1"/>
  <c r="F1077" i="14" s="1"/>
  <c r="E447" i="4"/>
  <c r="E448" i="4" s="1"/>
  <c r="I427" i="14"/>
  <c r="E986" i="14"/>
  <c r="E993" i="14" s="1"/>
  <c r="E1000" i="14" s="1"/>
  <c r="G356" i="14"/>
  <c r="G367" i="14" s="1"/>
  <c r="G371" i="14" s="1"/>
  <c r="F490" i="14"/>
  <c r="H146" i="4"/>
  <c r="H168" i="4" s="1"/>
  <c r="L936" i="14"/>
  <c r="K216" i="15"/>
  <c r="K235" i="15" s="1"/>
  <c r="O60" i="29" s="1"/>
  <c r="E252" i="2"/>
  <c r="E256" i="2"/>
  <c r="H80" i="15"/>
  <c r="H81" i="15" s="1"/>
  <c r="E1049" i="14"/>
  <c r="E1067" i="14"/>
  <c r="L862" i="16"/>
  <c r="L866" i="16" s="1"/>
  <c r="E254" i="2"/>
  <c r="G360" i="14"/>
  <c r="F183" i="48"/>
  <c r="F259" i="48"/>
  <c r="K793" i="4"/>
  <c r="L59" i="4"/>
  <c r="F360" i="14"/>
  <c r="F369" i="14" s="1"/>
  <c r="F371" i="14"/>
  <c r="K64" i="4"/>
  <c r="K63" i="4" s="1"/>
  <c r="M6" i="14"/>
  <c r="N8" i="14"/>
  <c r="D52" i="48"/>
  <c r="D205" i="48"/>
  <c r="G162" i="2" s="1"/>
  <c r="F283" i="4"/>
  <c r="F300" i="4" s="1"/>
  <c r="F189" i="4"/>
  <c r="F320" i="4" s="1"/>
  <c r="F215" i="4"/>
  <c r="J338" i="14"/>
  <c r="K332" i="14"/>
  <c r="H227" i="15"/>
  <c r="H208" i="15"/>
  <c r="F261" i="48" s="1"/>
  <c r="F181" i="48" s="1"/>
  <c r="N482" i="14"/>
  <c r="N933" i="14" s="1"/>
  <c r="M484" i="14"/>
  <c r="M935" i="14" s="1"/>
  <c r="K414" i="14"/>
  <c r="K65" i="4"/>
  <c r="K415" i="14"/>
  <c r="I91" i="4"/>
  <c r="I142" i="4" s="1"/>
  <c r="J80" i="4"/>
  <c r="I94" i="4"/>
  <c r="I145" i="4" s="1"/>
  <c r="I93" i="4"/>
  <c r="I144" i="4" s="1"/>
  <c r="I92" i="4"/>
  <c r="I143" i="4" s="1"/>
  <c r="I790" i="4"/>
  <c r="I81" i="4"/>
  <c r="H72" i="4"/>
  <c r="I66" i="4"/>
  <c r="H493" i="14"/>
  <c r="H599" i="14"/>
  <c r="H487" i="14"/>
  <c r="G1046" i="14"/>
  <c r="G1051" i="14" s="1"/>
  <c r="G1057" i="14" s="1"/>
  <c r="H256" i="14"/>
  <c r="H258" i="14"/>
  <c r="H222" i="15"/>
  <c r="H237" i="15" s="1"/>
  <c r="H223" i="15"/>
  <c r="F191" i="48" s="1"/>
  <c r="K407" i="14"/>
  <c r="K59" i="14" s="1"/>
  <c r="H253" i="14"/>
  <c r="H251" i="14"/>
  <c r="H280" i="14"/>
  <c r="H278" i="14" s="1"/>
  <c r="G83" i="15"/>
  <c r="G229" i="15" s="1"/>
  <c r="G276" i="15"/>
  <c r="K331" i="14"/>
  <c r="J337" i="14"/>
  <c r="H601" i="14"/>
  <c r="H597" i="14" s="1"/>
  <c r="H325" i="14"/>
  <c r="G104" i="48" s="1"/>
  <c r="G1048" i="14"/>
  <c r="N483" i="14"/>
  <c r="N934" i="14" s="1"/>
  <c r="M43" i="15"/>
  <c r="L56" i="15"/>
  <c r="L61" i="15" s="1"/>
  <c r="L66" i="15" s="1"/>
  <c r="J156" i="48" s="1"/>
  <c r="L255" i="15"/>
  <c r="L62" i="4"/>
  <c r="N123" i="16" s="1"/>
  <c r="M57" i="4"/>
  <c r="L120" i="4"/>
  <c r="L222" i="4" s="1"/>
  <c r="H488" i="14"/>
  <c r="G1064" i="14"/>
  <c r="G1069" i="14" s="1"/>
  <c r="G1077" i="14" s="1"/>
  <c r="N489" i="14"/>
  <c r="F98" i="4"/>
  <c r="F99" i="4"/>
  <c r="F97" i="4"/>
  <c r="F96" i="4"/>
  <c r="K62" i="15"/>
  <c r="L57" i="15"/>
  <c r="I347" i="14"/>
  <c r="I354" i="14" s="1"/>
  <c r="I362" i="14" s="1"/>
  <c r="I253" i="14"/>
  <c r="I251" i="14"/>
  <c r="I280" i="14"/>
  <c r="G1018" i="14"/>
  <c r="G1026" i="14" s="1"/>
  <c r="I210" i="15"/>
  <c r="I263" i="15"/>
  <c r="H1045" i="14"/>
  <c r="H1050" i="14" s="1"/>
  <c r="H1056" i="14" s="1"/>
  <c r="I441" i="14"/>
  <c r="I448" i="14" s="1"/>
  <c r="I459" i="14" s="1"/>
  <c r="I426" i="14"/>
  <c r="J298" i="14"/>
  <c r="J296" i="14"/>
  <c r="J301" i="14" s="1"/>
  <c r="J312" i="14" s="1"/>
  <c r="G163" i="4"/>
  <c r="G168" i="4"/>
  <c r="F130" i="15"/>
  <c r="F133" i="15" s="1"/>
  <c r="F170" i="15"/>
  <c r="E313" i="15"/>
  <c r="F271" i="15"/>
  <c r="J67" i="4"/>
  <c r="I792" i="4"/>
  <c r="L31" i="14"/>
  <c r="L41" i="14"/>
  <c r="L55" i="14"/>
  <c r="L407" i="14" s="1"/>
  <c r="L59" i="14" s="1"/>
  <c r="L57" i="14"/>
  <c r="L463" i="14" s="1"/>
  <c r="L383" i="14"/>
  <c r="L389" i="14" s="1"/>
  <c r="L391" i="14" s="1"/>
  <c r="L397" i="14" s="1"/>
  <c r="L403" i="14" s="1"/>
  <c r="G43" i="14"/>
  <c r="G45" i="14"/>
  <c r="G246" i="14" s="1"/>
  <c r="G361" i="14"/>
  <c r="G359" i="14" s="1"/>
  <c r="E987" i="14"/>
  <c r="F21" i="14"/>
  <c r="F23" i="14" s="1"/>
  <c r="F104" i="4"/>
  <c r="F101" i="4"/>
  <c r="F103" i="4"/>
  <c r="F102" i="4"/>
  <c r="O49" i="4"/>
  <c r="N46" i="4"/>
  <c r="N48" i="4" s="1"/>
  <c r="N47" i="4" s="1"/>
  <c r="G102" i="4"/>
  <c r="G104" i="4"/>
  <c r="G101" i="4"/>
  <c r="G103" i="4"/>
  <c r="F818" i="14"/>
  <c r="F819" i="14" s="1"/>
  <c r="F595" i="14"/>
  <c r="L45" i="15"/>
  <c r="L250" i="15"/>
  <c r="M42" i="15"/>
  <c r="K408" i="14"/>
  <c r="K60" i="14" s="1"/>
  <c r="I211" i="15"/>
  <c r="I228" i="15"/>
  <c r="M34" i="15"/>
  <c r="L249" i="15"/>
  <c r="L145" i="15"/>
  <c r="G257" i="14"/>
  <c r="G259" i="14"/>
  <c r="E1017" i="14"/>
  <c r="K27" i="14"/>
  <c r="K294" i="14"/>
  <c r="G44" i="14"/>
  <c r="F1008" i="14" s="1"/>
  <c r="G46" i="14"/>
  <c r="G247" i="14" s="1"/>
  <c r="F368" i="14"/>
  <c r="M5" i="14"/>
  <c r="N7" i="14"/>
  <c r="G355" i="14"/>
  <c r="G366" i="14" s="1"/>
  <c r="N15" i="15"/>
  <c r="O19" i="15"/>
  <c r="N258" i="15"/>
  <c r="O18" i="15"/>
  <c r="O178" i="15" s="1"/>
  <c r="N14" i="15"/>
  <c r="N17" i="15"/>
  <c r="N180" i="15"/>
  <c r="N209" i="15" s="1"/>
  <c r="H219" i="15"/>
  <c r="H236" i="15" s="1"/>
  <c r="H114" i="4"/>
  <c r="H130" i="4"/>
  <c r="H115" i="4"/>
  <c r="H117" i="4"/>
  <c r="H107" i="4" s="1"/>
  <c r="H127" i="4"/>
  <c r="H52" i="4"/>
  <c r="L32" i="14"/>
  <c r="L42" i="14"/>
  <c r="L58" i="14"/>
  <c r="L56" i="14"/>
  <c r="L408" i="14" s="1"/>
  <c r="L60" i="14" s="1"/>
  <c r="L384" i="14"/>
  <c r="L390" i="14" s="1"/>
  <c r="J65" i="15"/>
  <c r="H154" i="48" s="1"/>
  <c r="J68" i="15"/>
  <c r="H247" i="48" s="1"/>
  <c r="J76" i="15"/>
  <c r="J73" i="4"/>
  <c r="I791" i="4"/>
  <c r="D163" i="48"/>
  <c r="D251" i="48"/>
  <c r="G192" i="2" s="1"/>
  <c r="G124" i="4"/>
  <c r="G179" i="4"/>
  <c r="G176" i="4" s="1"/>
  <c r="E108" i="48"/>
  <c r="E1009" i="14"/>
  <c r="F22" i="14"/>
  <c r="F24" i="14" s="1"/>
  <c r="F34" i="14" s="1"/>
  <c r="F48" i="14" s="1"/>
  <c r="F66" i="14" s="1"/>
  <c r="F212" i="14" s="1"/>
  <c r="K28" i="14"/>
  <c r="K295" i="14"/>
  <c r="L485" i="14"/>
  <c r="I77" i="15"/>
  <c r="I275" i="15" s="1"/>
  <c r="I78" i="15"/>
  <c r="E378" i="4"/>
  <c r="N9" i="14"/>
  <c r="N850" i="14" s="1"/>
  <c r="H353" i="14"/>
  <c r="H355" i="14" s="1"/>
  <c r="H366" i="14" s="1"/>
  <c r="H347" i="14"/>
  <c r="I344" i="14"/>
  <c r="I346" i="14" s="1"/>
  <c r="I353" i="14" s="1"/>
  <c r="J299" i="14"/>
  <c r="J297" i="14"/>
  <c r="J302" i="14" s="1"/>
  <c r="J313" i="14" s="1"/>
  <c r="I318" i="14"/>
  <c r="I310" i="14"/>
  <c r="I316" i="14" s="1"/>
  <c r="I311" i="14"/>
  <c r="I317" i="14" s="1"/>
  <c r="I319" i="14"/>
  <c r="H1066" i="14" s="1"/>
  <c r="J415" i="14"/>
  <c r="K289" i="16" s="1"/>
  <c r="J289" i="16" s="1"/>
  <c r="I289" i="16" s="1"/>
  <c r="J410" i="14"/>
  <c r="M372" i="14"/>
  <c r="N363" i="14"/>
  <c r="K71" i="4"/>
  <c r="F179" i="4"/>
  <c r="F176" i="4" s="1"/>
  <c r="F124" i="4"/>
  <c r="G181" i="16"/>
  <c r="K58" i="15"/>
  <c r="K63" i="15" s="1"/>
  <c r="K251" i="15"/>
  <c r="L55" i="15"/>
  <c r="K60" i="15"/>
  <c r="M6" i="15"/>
  <c r="N274" i="15" s="1"/>
  <c r="N5" i="15"/>
  <c r="M7" i="15"/>
  <c r="M266" i="15" s="1"/>
  <c r="M273" i="15" s="1"/>
  <c r="H428" i="14"/>
  <c r="G99" i="4"/>
  <c r="G96" i="4"/>
  <c r="G98" i="4"/>
  <c r="G97" i="4"/>
  <c r="M27" i="15"/>
  <c r="K62" i="29"/>
  <c r="K63" i="29" s="1"/>
  <c r="G239" i="15"/>
  <c r="J409" i="14"/>
  <c r="J416" i="14" s="1"/>
  <c r="J422" i="14" s="1"/>
  <c r="J1176" i="14" l="1"/>
  <c r="J1227" i="14" s="1"/>
  <c r="I1203" i="14"/>
  <c r="J1228" i="14"/>
  <c r="J1235" i="14" s="1"/>
  <c r="J1172" i="14"/>
  <c r="J1175" i="14" s="1"/>
  <c r="K1156" i="14"/>
  <c r="K1188" i="14" s="1"/>
  <c r="K1202" i="14" s="1"/>
  <c r="F1210" i="14"/>
  <c r="F1236" i="14"/>
  <c r="F1237" i="14" s="1"/>
  <c r="F1242" i="14" s="1"/>
  <c r="G1259" i="14"/>
  <c r="F942" i="14"/>
  <c r="F965" i="14"/>
  <c r="F862" i="14"/>
  <c r="F867" i="14"/>
  <c r="F885" i="14"/>
  <c r="F874" i="14"/>
  <c r="G942" i="14"/>
  <c r="G965" i="14"/>
  <c r="N963" i="14"/>
  <c r="N940" i="14"/>
  <c r="M966" i="14"/>
  <c r="M943" i="14"/>
  <c r="H962" i="14"/>
  <c r="H939" i="14"/>
  <c r="G962" i="14"/>
  <c r="G939" i="14"/>
  <c r="F964" i="14"/>
  <c r="F941" i="14"/>
  <c r="H961" i="14"/>
  <c r="H938" i="14"/>
  <c r="W1210" i="14"/>
  <c r="N26" i="15"/>
  <c r="X1204" i="14"/>
  <c r="X1202" i="14"/>
  <c r="X1203" i="14"/>
  <c r="X1207" i="14"/>
  <c r="X1208" i="14"/>
  <c r="X1205" i="14"/>
  <c r="X1201" i="14"/>
  <c r="X1206" i="14"/>
  <c r="X1200" i="14"/>
  <c r="G231" i="15"/>
  <c r="E189" i="48" s="1"/>
  <c r="K184" i="15"/>
  <c r="K186" i="15" s="1"/>
  <c r="K192" i="15"/>
  <c r="K193" i="15" s="1"/>
  <c r="K198" i="15" s="1"/>
  <c r="J469" i="14"/>
  <c r="J477" i="14" s="1"/>
  <c r="J64" i="14"/>
  <c r="J61" i="14"/>
  <c r="J63" i="14"/>
  <c r="J468" i="14"/>
  <c r="J476" i="14" s="1"/>
  <c r="I61" i="14"/>
  <c r="H985" i="14" s="1"/>
  <c r="H992" i="14" s="1"/>
  <c r="H999" i="14" s="1"/>
  <c r="I479" i="14"/>
  <c r="I488" i="14" s="1"/>
  <c r="I470" i="14"/>
  <c r="J62" i="14"/>
  <c r="I1007" i="14" s="1"/>
  <c r="L856" i="14"/>
  <c r="Q144" i="29" s="1"/>
  <c r="L851" i="14"/>
  <c r="G490" i="14"/>
  <c r="G499" i="14"/>
  <c r="I468" i="14"/>
  <c r="I476" i="14" s="1"/>
  <c r="H499" i="14"/>
  <c r="H500" i="14"/>
  <c r="F376" i="14"/>
  <c r="F377" i="14"/>
  <c r="L435" i="14"/>
  <c r="K440" i="14"/>
  <c r="K447" i="14" s="1"/>
  <c r="K456" i="14" s="1"/>
  <c r="G500" i="14"/>
  <c r="L434" i="14"/>
  <c r="K439" i="14"/>
  <c r="K446" i="14" s="1"/>
  <c r="K455" i="14" s="1"/>
  <c r="H220" i="16"/>
  <c r="L55" i="29" s="1"/>
  <c r="L56" i="29" s="1"/>
  <c r="E619" i="16"/>
  <c r="E295" i="2"/>
  <c r="Q254" i="2" s="1"/>
  <c r="Q258" i="2" s="1"/>
  <c r="F506" i="16"/>
  <c r="L99" i="32" s="1"/>
  <c r="E616" i="16"/>
  <c r="E618" i="16"/>
  <c r="F1039" i="14"/>
  <c r="H277" i="14"/>
  <c r="H262" i="14" s="1"/>
  <c r="I181" i="16" s="1"/>
  <c r="G1039" i="14" s="1"/>
  <c r="D253" i="2"/>
  <c r="D295" i="2"/>
  <c r="K79" i="4"/>
  <c r="J1209" i="14"/>
  <c r="Y1199" i="14"/>
  <c r="P143" i="29"/>
  <c r="L289" i="16"/>
  <c r="N35" i="15"/>
  <c r="G370" i="14"/>
  <c r="N50" i="4"/>
  <c r="I428" i="14"/>
  <c r="G492" i="14"/>
  <c r="F223" i="48" s="1"/>
  <c r="L60" i="32"/>
  <c r="H67" i="15"/>
  <c r="F158" i="48" s="1"/>
  <c r="I79" i="15"/>
  <c r="I80" i="15" s="1"/>
  <c r="J417" i="14"/>
  <c r="J423" i="14" s="1"/>
  <c r="I1063" i="14" s="1"/>
  <c r="I1068" i="14" s="1"/>
  <c r="I1078" i="14" s="1"/>
  <c r="F600" i="14"/>
  <c r="F611" i="14" s="1"/>
  <c r="L215" i="15"/>
  <c r="L216" i="15" s="1"/>
  <c r="L235" i="15" s="1"/>
  <c r="P60" i="29" s="1"/>
  <c r="E994" i="14"/>
  <c r="E995" i="14" s="1"/>
  <c r="E1002" i="14" s="1"/>
  <c r="F378" i="14"/>
  <c r="E106" i="48" s="1"/>
  <c r="G369" i="14"/>
  <c r="H263" i="14"/>
  <c r="M485" i="14"/>
  <c r="H163" i="4"/>
  <c r="H242" i="4" s="1"/>
  <c r="N58" i="4"/>
  <c r="F1067" i="14"/>
  <c r="D252" i="2"/>
  <c r="D256" i="2"/>
  <c r="F252" i="2"/>
  <c r="F256" i="2"/>
  <c r="I218" i="15"/>
  <c r="I219" i="15" s="1"/>
  <c r="I236" i="15" s="1"/>
  <c r="F612" i="4"/>
  <c r="E1047" i="14"/>
  <c r="E1052" i="14" s="1"/>
  <c r="E1053" i="14" s="1"/>
  <c r="F986" i="14"/>
  <c r="F993" i="14" s="1"/>
  <c r="F1000" i="14" s="1"/>
  <c r="K410" i="14"/>
  <c r="K417" i="14" s="1"/>
  <c r="K423" i="14" s="1"/>
  <c r="J1063" i="14" s="1"/>
  <c r="J1068" i="14" s="1"/>
  <c r="J1078" i="14" s="1"/>
  <c r="L58" i="32"/>
  <c r="L56" i="32"/>
  <c r="AF108" i="21"/>
  <c r="L868" i="16"/>
  <c r="F1017" i="14"/>
  <c r="I355" i="14"/>
  <c r="I366" i="14" s="1"/>
  <c r="I43" i="14"/>
  <c r="I45" i="14"/>
  <c r="G129" i="4"/>
  <c r="G777" i="4"/>
  <c r="G778" i="4"/>
  <c r="G784" i="4" s="1"/>
  <c r="G780" i="4"/>
  <c r="G786" i="4" s="1"/>
  <c r="G779" i="4"/>
  <c r="G785" i="4" s="1"/>
  <c r="G113" i="4"/>
  <c r="G781" i="4"/>
  <c r="G787" i="4" s="1"/>
  <c r="J791" i="4"/>
  <c r="K73" i="4"/>
  <c r="L28" i="14"/>
  <c r="L295" i="14"/>
  <c r="H97" i="4"/>
  <c r="H98" i="4"/>
  <c r="H96" i="4"/>
  <c r="H99" i="4"/>
  <c r="M249" i="15"/>
  <c r="N34" i="15"/>
  <c r="O46" i="4"/>
  <c r="O48" i="4" s="1"/>
  <c r="O47" i="4" s="1"/>
  <c r="F33" i="14"/>
  <c r="F25" i="14"/>
  <c r="M120" i="4"/>
  <c r="M222" i="4" s="1"/>
  <c r="N57" i="4"/>
  <c r="M62" i="4"/>
  <c r="O123" i="16" s="1"/>
  <c r="G114" i="15"/>
  <c r="E169" i="48" s="1"/>
  <c r="G94" i="15"/>
  <c r="E167" i="48" s="1"/>
  <c r="G267" i="15"/>
  <c r="G148" i="15"/>
  <c r="G113" i="15"/>
  <c r="G93" i="15"/>
  <c r="G268" i="15" s="1"/>
  <c r="G277" i="15" s="1"/>
  <c r="E185" i="48"/>
  <c r="G108" i="48"/>
  <c r="K338" i="14"/>
  <c r="L332" i="14"/>
  <c r="D28" i="33"/>
  <c r="H213" i="2"/>
  <c r="J213" i="2" s="1"/>
  <c r="M384" i="14"/>
  <c r="M390" i="14" s="1"/>
  <c r="M56" i="14"/>
  <c r="M408" i="14" s="1"/>
  <c r="M60" i="14" s="1"/>
  <c r="M58" i="14"/>
  <c r="M464" i="14" s="1"/>
  <c r="M32" i="14"/>
  <c r="M42" i="14"/>
  <c r="M351" i="14" s="1"/>
  <c r="F626" i="14"/>
  <c r="G293" i="15"/>
  <c r="D745" i="16"/>
  <c r="D747" i="16" s="1"/>
  <c r="P265" i="2"/>
  <c r="N6" i="15"/>
  <c r="O274" i="15" s="1"/>
  <c r="O5" i="15"/>
  <c r="N7" i="15"/>
  <c r="N266" i="15" s="1"/>
  <c r="N273" i="15" s="1"/>
  <c r="L71" i="4"/>
  <c r="J319" i="14"/>
  <c r="I1066" i="14" s="1"/>
  <c r="J311" i="14"/>
  <c r="J317" i="14" s="1"/>
  <c r="I252" i="14"/>
  <c r="I279" i="14"/>
  <c r="I250" i="14"/>
  <c r="I361" i="14"/>
  <c r="O9" i="14"/>
  <c r="O850" i="14" s="1"/>
  <c r="J263" i="15"/>
  <c r="J210" i="15"/>
  <c r="O14" i="15"/>
  <c r="P18" i="15"/>
  <c r="P178" i="15" s="1"/>
  <c r="O17" i="15"/>
  <c r="O180" i="15"/>
  <c r="O209" i="15" s="1"/>
  <c r="L414" i="14"/>
  <c r="L409" i="14"/>
  <c r="L27" i="14"/>
  <c r="L294" i="14"/>
  <c r="J318" i="14"/>
  <c r="J310" i="14"/>
  <c r="J316" i="14" s="1"/>
  <c r="O483" i="14"/>
  <c r="O934" i="14" s="1"/>
  <c r="L62" i="29"/>
  <c r="H239" i="15"/>
  <c r="J345" i="14"/>
  <c r="J347" i="14" s="1"/>
  <c r="L793" i="4"/>
  <c r="M59" i="4"/>
  <c r="F1065" i="14"/>
  <c r="F1070" i="14" s="1"/>
  <c r="H83" i="15"/>
  <c r="H229" i="15" s="1"/>
  <c r="H276" i="15"/>
  <c r="O363" i="14"/>
  <c r="O372" i="14" s="1"/>
  <c r="N372" i="14"/>
  <c r="H240" i="2"/>
  <c r="J240" i="2" s="1"/>
  <c r="D196" i="33"/>
  <c r="L464" i="14"/>
  <c r="H101" i="4"/>
  <c r="H102" i="4"/>
  <c r="H103" i="4"/>
  <c r="H104" i="4"/>
  <c r="N5" i="14"/>
  <c r="O7" i="14"/>
  <c r="O5" i="14" s="1"/>
  <c r="M145" i="15"/>
  <c r="G368" i="14"/>
  <c r="J792" i="4"/>
  <c r="K67" i="4"/>
  <c r="I356" i="14"/>
  <c r="I367" i="14" s="1"/>
  <c r="I371" i="14" s="1"/>
  <c r="I44" i="14"/>
  <c r="I46" i="14"/>
  <c r="I247" i="14" s="1"/>
  <c r="K337" i="14"/>
  <c r="L331" i="14"/>
  <c r="H492" i="14"/>
  <c r="G223" i="48" s="1"/>
  <c r="H490" i="14"/>
  <c r="J790" i="4"/>
  <c r="J81" i="4"/>
  <c r="J94" i="4"/>
  <c r="J145" i="4" s="1"/>
  <c r="K80" i="4"/>
  <c r="J91" i="4"/>
  <c r="J142" i="4" s="1"/>
  <c r="J92" i="4"/>
  <c r="J143" i="4" s="1"/>
  <c r="J93" i="4"/>
  <c r="J144" i="4" s="1"/>
  <c r="L65" i="4"/>
  <c r="M936" i="14"/>
  <c r="F834" i="4"/>
  <c r="F291" i="4"/>
  <c r="M169" i="16"/>
  <c r="L58" i="15"/>
  <c r="L63" i="15" s="1"/>
  <c r="L251" i="15"/>
  <c r="L60" i="15"/>
  <c r="M55" i="15"/>
  <c r="E506" i="16"/>
  <c r="D254" i="2"/>
  <c r="D618" i="16"/>
  <c r="D616" i="16"/>
  <c r="G220" i="16"/>
  <c r="K55" i="29" s="1"/>
  <c r="K56" i="29" s="1"/>
  <c r="E1039" i="14"/>
  <c r="D619" i="16"/>
  <c r="H1048" i="14"/>
  <c r="I601" i="14"/>
  <c r="I597" i="14" s="1"/>
  <c r="I325" i="14"/>
  <c r="H104" i="48" s="1"/>
  <c r="J228" i="15"/>
  <c r="J211" i="15"/>
  <c r="L392" i="14"/>
  <c r="L398" i="14" s="1"/>
  <c r="L404" i="14" s="1"/>
  <c r="H179" i="4"/>
  <c r="H176" i="4" s="1"/>
  <c r="H124" i="4"/>
  <c r="G183" i="48"/>
  <c r="G259" i="48"/>
  <c r="N42" i="15"/>
  <c r="M250" i="15"/>
  <c r="M45" i="15"/>
  <c r="L350" i="14"/>
  <c r="G160" i="4"/>
  <c r="G191" i="4" s="1"/>
  <c r="G171" i="4"/>
  <c r="F26" i="48" s="1"/>
  <c r="G245" i="4"/>
  <c r="G159" i="4"/>
  <c r="G190" i="4" s="1"/>
  <c r="G242" i="4"/>
  <c r="G161" i="4"/>
  <c r="G192" i="4" s="1"/>
  <c r="G162" i="4"/>
  <c r="G193" i="4" s="1"/>
  <c r="H1018" i="14"/>
  <c r="H1026" i="14" s="1"/>
  <c r="J426" i="14"/>
  <c r="J441" i="14"/>
  <c r="J448" i="14" s="1"/>
  <c r="J459" i="14" s="1"/>
  <c r="J470" i="14" s="1"/>
  <c r="J77" i="15"/>
  <c r="J275" i="15" s="1"/>
  <c r="J78" i="15"/>
  <c r="H238" i="15"/>
  <c r="E724" i="16"/>
  <c r="E726" i="16" s="1"/>
  <c r="E598" i="16"/>
  <c r="F1009" i="14"/>
  <c r="G22" i="14"/>
  <c r="G24" i="14" s="1"/>
  <c r="G34" i="14" s="1"/>
  <c r="G48" i="14" s="1"/>
  <c r="G66" i="14" s="1"/>
  <c r="G212" i="14" s="1"/>
  <c r="E1016" i="14"/>
  <c r="E1025" i="14"/>
  <c r="I208" i="15"/>
  <c r="G261" i="48" s="1"/>
  <c r="G181" i="48" s="1"/>
  <c r="I227" i="15"/>
  <c r="D165" i="48"/>
  <c r="D253" i="48"/>
  <c r="G193" i="2" s="1"/>
  <c r="I360" i="14"/>
  <c r="O489" i="14"/>
  <c r="N169" i="16"/>
  <c r="L64" i="4"/>
  <c r="L63" i="4" s="1"/>
  <c r="J344" i="14"/>
  <c r="J66" i="4"/>
  <c r="I72" i="4"/>
  <c r="I115" i="4"/>
  <c r="I127" i="4"/>
  <c r="I117" i="4"/>
  <c r="I107" i="4" s="1"/>
  <c r="I114" i="4"/>
  <c r="I130" i="4"/>
  <c r="I52" i="4"/>
  <c r="N27" i="15"/>
  <c r="F129" i="4"/>
  <c r="F777" i="4"/>
  <c r="F778" i="4"/>
  <c r="F784" i="4" s="1"/>
  <c r="F779" i="4"/>
  <c r="F785" i="4" s="1"/>
  <c r="F780" i="4"/>
  <c r="F786" i="4" s="1"/>
  <c r="F781" i="4"/>
  <c r="F787" i="4" s="1"/>
  <c r="F113" i="4"/>
  <c r="H354" i="14"/>
  <c r="H356" i="14" s="1"/>
  <c r="H367" i="14" s="1"/>
  <c r="K68" i="15"/>
  <c r="I247" i="48" s="1"/>
  <c r="K65" i="15"/>
  <c r="I154" i="48" s="1"/>
  <c r="K76" i="15"/>
  <c r="H43" i="14"/>
  <c r="H45" i="14"/>
  <c r="H246" i="14" s="1"/>
  <c r="H361" i="14"/>
  <c r="H359" i="14" s="1"/>
  <c r="H368" i="14" s="1"/>
  <c r="K299" i="14"/>
  <c r="K297" i="14"/>
  <c r="K302" i="14" s="1"/>
  <c r="K313" i="14" s="1"/>
  <c r="F217" i="14"/>
  <c r="F219" i="14" s="1"/>
  <c r="E87" i="48" s="1"/>
  <c r="F214" i="14"/>
  <c r="L351" i="14"/>
  <c r="O15" i="15"/>
  <c r="P19" i="15"/>
  <c r="O258" i="15"/>
  <c r="M31" i="14"/>
  <c r="M41" i="14"/>
  <c r="M350" i="14" s="1"/>
  <c r="M57" i="14"/>
  <c r="M463" i="14" s="1"/>
  <c r="M55" i="14"/>
  <c r="M383" i="14"/>
  <c r="M389" i="14" s="1"/>
  <c r="M391" i="14" s="1"/>
  <c r="M397" i="14" s="1"/>
  <c r="M403" i="14" s="1"/>
  <c r="K298" i="14"/>
  <c r="K296" i="14"/>
  <c r="K301" i="14" s="1"/>
  <c r="K312" i="14" s="1"/>
  <c r="F987" i="14"/>
  <c r="G21" i="14"/>
  <c r="G23" i="14" s="1"/>
  <c r="I259" i="14"/>
  <c r="I257" i="14"/>
  <c r="M57" i="15"/>
  <c r="L62" i="15"/>
  <c r="N51" i="4"/>
  <c r="M56" i="15"/>
  <c r="M61" i="15" s="1"/>
  <c r="M66" i="15" s="1"/>
  <c r="K156" i="48" s="1"/>
  <c r="N43" i="15"/>
  <c r="M255" i="15"/>
  <c r="H257" i="14"/>
  <c r="H259" i="14"/>
  <c r="I221" i="15"/>
  <c r="H595" i="14"/>
  <c r="H818" i="14"/>
  <c r="H819" i="14" s="1"/>
  <c r="I146" i="4"/>
  <c r="K409" i="14"/>
  <c r="K416" i="14" s="1"/>
  <c r="K422" i="14" s="1"/>
  <c r="O482" i="14"/>
  <c r="O933" i="14" s="1"/>
  <c r="N484" i="14"/>
  <c r="N935" i="14" s="1"/>
  <c r="F1049" i="14"/>
  <c r="O8" i="14"/>
  <c r="O6" i="14" s="1"/>
  <c r="N6" i="14"/>
  <c r="E1065" i="14"/>
  <c r="E1070" i="14" s="1"/>
  <c r="J1229" i="14" l="1"/>
  <c r="U231" i="16"/>
  <c r="J1201" i="14"/>
  <c r="J1203" i="14" s="1"/>
  <c r="Z1199" i="14" s="1"/>
  <c r="K1172" i="14"/>
  <c r="K1175" i="14" s="1"/>
  <c r="K1228" i="14"/>
  <c r="K1235" i="14" s="1"/>
  <c r="K1176" i="14"/>
  <c r="K1227" i="14" s="1"/>
  <c r="F254" i="2"/>
  <c r="F919" i="14"/>
  <c r="G1210" i="14"/>
  <c r="G1236" i="14"/>
  <c r="G1237" i="14" s="1"/>
  <c r="G1242" i="14" s="1"/>
  <c r="F882" i="14"/>
  <c r="F1244" i="14"/>
  <c r="F1243" i="14"/>
  <c r="K1201" i="14"/>
  <c r="L1156" i="14"/>
  <c r="L1188" i="14" s="1"/>
  <c r="N943" i="14"/>
  <c r="N966" i="14"/>
  <c r="O943" i="14"/>
  <c r="O966" i="14"/>
  <c r="G862" i="14"/>
  <c r="G885" i="14"/>
  <c r="G867" i="14"/>
  <c r="G874" i="14"/>
  <c r="O963" i="14"/>
  <c r="O940" i="14"/>
  <c r="H867" i="14"/>
  <c r="H862" i="14"/>
  <c r="H885" i="14"/>
  <c r="H874" i="14"/>
  <c r="G964" i="14"/>
  <c r="G967" i="14" s="1"/>
  <c r="G941" i="14"/>
  <c r="G944" i="14" s="1"/>
  <c r="I962" i="14"/>
  <c r="I939" i="14"/>
  <c r="O26" i="15"/>
  <c r="L57" i="32"/>
  <c r="F253" i="2"/>
  <c r="H1064" i="14"/>
  <c r="H1069" i="14" s="1"/>
  <c r="H1077" i="14" s="1"/>
  <c r="Y1207" i="14"/>
  <c r="Y1208" i="14"/>
  <c r="Y1203" i="14"/>
  <c r="Y1204" i="14"/>
  <c r="Y1205" i="14"/>
  <c r="Y1202" i="14"/>
  <c r="Y1201" i="14"/>
  <c r="Y1206" i="14"/>
  <c r="Y1200" i="14"/>
  <c r="X1210" i="14"/>
  <c r="L63" i="29"/>
  <c r="H231" i="15" s="1"/>
  <c r="F189" i="48" s="1"/>
  <c r="F967" i="14"/>
  <c r="J478" i="14"/>
  <c r="J487" i="14" s="1"/>
  <c r="L79" i="4"/>
  <c r="G386" i="4"/>
  <c r="G742" i="4"/>
  <c r="G713" i="4"/>
  <c r="G389" i="4"/>
  <c r="G745" i="4"/>
  <c r="G716" i="4"/>
  <c r="G388" i="4"/>
  <c r="G744" i="4"/>
  <c r="G715" i="4"/>
  <c r="L184" i="15"/>
  <c r="L186" i="15" s="1"/>
  <c r="L192" i="15"/>
  <c r="L193" i="15" s="1"/>
  <c r="L198" i="15" s="1"/>
  <c r="G387" i="4"/>
  <c r="G743" i="4"/>
  <c r="G714" i="4"/>
  <c r="I478" i="14"/>
  <c r="I487" i="14" s="1"/>
  <c r="I985" i="14"/>
  <c r="I992" i="14" s="1"/>
  <c r="I999" i="14" s="1"/>
  <c r="G376" i="14"/>
  <c r="G377" i="14"/>
  <c r="K457" i="14"/>
  <c r="K254" i="14"/>
  <c r="K458" i="14"/>
  <c r="K255" i="14"/>
  <c r="L439" i="14"/>
  <c r="L446" i="14" s="1"/>
  <c r="M434" i="14"/>
  <c r="L440" i="14"/>
  <c r="L447" i="14" s="1"/>
  <c r="M435" i="14"/>
  <c r="M856" i="14"/>
  <c r="R144" i="29" s="1"/>
  <c r="M851" i="14"/>
  <c r="I220" i="16"/>
  <c r="M55" i="29" s="1"/>
  <c r="M56" i="29" s="1"/>
  <c r="G506" i="16"/>
  <c r="M99" i="32" s="1"/>
  <c r="E592" i="16"/>
  <c r="F616" i="16"/>
  <c r="F295" i="2"/>
  <c r="F618" i="16"/>
  <c r="F619" i="16"/>
  <c r="I277" i="14"/>
  <c r="I262" i="14" s="1"/>
  <c r="I278" i="14"/>
  <c r="I263" i="14" s="1"/>
  <c r="F944" i="14"/>
  <c r="K57" i="32"/>
  <c r="K99" i="32"/>
  <c r="M64" i="4"/>
  <c r="M63" i="4" s="1"/>
  <c r="O169" i="16"/>
  <c r="U240" i="16"/>
  <c r="K1209" i="14"/>
  <c r="Q143" i="29"/>
  <c r="H160" i="4"/>
  <c r="H191" i="4" s="1"/>
  <c r="F1211" i="14"/>
  <c r="F1216" i="14" s="1"/>
  <c r="O35" i="15"/>
  <c r="F1047" i="14"/>
  <c r="F1052" i="14" s="1"/>
  <c r="F1058" i="14" s="1"/>
  <c r="G378" i="14"/>
  <c r="F106" i="48" s="1"/>
  <c r="G600" i="14"/>
  <c r="G611" i="14" s="1"/>
  <c r="O50" i="4"/>
  <c r="D76" i="49"/>
  <c r="D75" i="49"/>
  <c r="F596" i="14"/>
  <c r="F610" i="14" s="1"/>
  <c r="F612" i="14" s="1"/>
  <c r="F615" i="14"/>
  <c r="H162" i="4"/>
  <c r="H193" i="4" s="1"/>
  <c r="H245" i="4"/>
  <c r="H161" i="4"/>
  <c r="H192" i="4" s="1"/>
  <c r="H159" i="4"/>
  <c r="H190" i="4" s="1"/>
  <c r="H171" i="4"/>
  <c r="G26" i="48" s="1"/>
  <c r="O51" i="4"/>
  <c r="J442" i="14"/>
  <c r="J449" i="14" s="1"/>
  <c r="J460" i="14" s="1"/>
  <c r="J471" i="14" s="1"/>
  <c r="J479" i="14" s="1"/>
  <c r="J488" i="14" s="1"/>
  <c r="I1045" i="14"/>
  <c r="I1050" i="14" s="1"/>
  <c r="I1056" i="14" s="1"/>
  <c r="M60" i="32"/>
  <c r="J427" i="14"/>
  <c r="J428" i="14" s="1"/>
  <c r="D69" i="49"/>
  <c r="D62" i="49"/>
  <c r="D74" i="49"/>
  <c r="U230" i="16"/>
  <c r="D65" i="49"/>
  <c r="D66" i="49"/>
  <c r="D71" i="49"/>
  <c r="D67" i="49"/>
  <c r="D73" i="49"/>
  <c r="D72" i="49"/>
  <c r="D70" i="49"/>
  <c r="D68" i="49"/>
  <c r="U239" i="16"/>
  <c r="U238" i="16"/>
  <c r="U237" i="16"/>
  <c r="U235" i="16"/>
  <c r="U233" i="16"/>
  <c r="K442" i="14"/>
  <c r="K449" i="14" s="1"/>
  <c r="K460" i="14" s="1"/>
  <c r="K427" i="14"/>
  <c r="U228" i="16"/>
  <c r="O58" i="4"/>
  <c r="L416" i="14"/>
  <c r="L422" i="14" s="1"/>
  <c r="L441" i="14" s="1"/>
  <c r="L448" i="14" s="1"/>
  <c r="G626" i="14"/>
  <c r="E1001" i="14"/>
  <c r="F494" i="14"/>
  <c r="E98" i="48" s="1"/>
  <c r="I369" i="14"/>
  <c r="P254" i="2"/>
  <c r="P258" i="2" s="1"/>
  <c r="N485" i="14"/>
  <c r="E1058" i="14"/>
  <c r="M215" i="15"/>
  <c r="K56" i="32"/>
  <c r="K60" i="32"/>
  <c r="F994" i="14"/>
  <c r="F1001" i="14" s="1"/>
  <c r="D64" i="49"/>
  <c r="H1067" i="14"/>
  <c r="N936" i="14"/>
  <c r="G1067" i="14"/>
  <c r="H370" i="14"/>
  <c r="M58" i="32"/>
  <c r="M56" i="32"/>
  <c r="J218" i="15"/>
  <c r="J219" i="15" s="1"/>
  <c r="J236" i="15" s="1"/>
  <c r="M865" i="16"/>
  <c r="M858" i="16"/>
  <c r="M861" i="16" s="1"/>
  <c r="AF110" i="21"/>
  <c r="E1076" i="14"/>
  <c r="E1071" i="14"/>
  <c r="G33" i="14"/>
  <c r="G25" i="14"/>
  <c r="H21" i="14"/>
  <c r="H23" i="14" s="1"/>
  <c r="I179" i="4"/>
  <c r="I176" i="4" s="1"/>
  <c r="I124" i="4"/>
  <c r="G1049" i="14"/>
  <c r="L285" i="29"/>
  <c r="Q721" i="16"/>
  <c r="Q722" i="16" s="1"/>
  <c r="H129" i="4"/>
  <c r="H777" i="4"/>
  <c r="H778" i="4"/>
  <c r="H784" i="4" s="1"/>
  <c r="H780" i="4"/>
  <c r="H786" i="4" s="1"/>
  <c r="H779" i="4"/>
  <c r="H785" i="4" s="1"/>
  <c r="H113" i="4"/>
  <c r="H781" i="4"/>
  <c r="H787" i="4" s="1"/>
  <c r="J227" i="15"/>
  <c r="J208" i="15"/>
  <c r="H261" i="48" s="1"/>
  <c r="H181" i="48" s="1"/>
  <c r="M58" i="15"/>
  <c r="M63" i="15" s="1"/>
  <c r="N55" i="15"/>
  <c r="M251" i="15"/>
  <c r="M60" i="15"/>
  <c r="N31" i="14"/>
  <c r="N57" i="14"/>
  <c r="N463" i="14" s="1"/>
  <c r="N41" i="14"/>
  <c r="N350" i="14" s="1"/>
  <c r="N55" i="14"/>
  <c r="N407" i="14" s="1"/>
  <c r="N59" i="14" s="1"/>
  <c r="N383" i="14"/>
  <c r="N389" i="14" s="1"/>
  <c r="P5" i="15"/>
  <c r="O6" i="15"/>
  <c r="P274" i="15" s="1"/>
  <c r="O7" i="15"/>
  <c r="O266" i="15" s="1"/>
  <c r="O273" i="15" s="1"/>
  <c r="M414" i="14"/>
  <c r="K77" i="15"/>
  <c r="K275" i="15" s="1"/>
  <c r="K78" i="15"/>
  <c r="H1065" i="14"/>
  <c r="H241" i="2"/>
  <c r="J241" i="2" s="1"/>
  <c r="D197" i="33"/>
  <c r="E1024" i="14"/>
  <c r="E1015" i="14"/>
  <c r="N250" i="15"/>
  <c r="N45" i="15"/>
  <c r="O42" i="15"/>
  <c r="D592" i="16"/>
  <c r="L68" i="15"/>
  <c r="J247" i="48" s="1"/>
  <c r="L65" i="15"/>
  <c r="J154" i="48" s="1"/>
  <c r="L76" i="15"/>
  <c r="J114" i="4"/>
  <c r="J115" i="4"/>
  <c r="J130" i="4"/>
  <c r="J117" i="4"/>
  <c r="J107" i="4" s="1"/>
  <c r="J127" i="4"/>
  <c r="J52" i="4"/>
  <c r="I22" i="14"/>
  <c r="I24" i="14" s="1"/>
  <c r="I34" i="14" s="1"/>
  <c r="I48" i="14" s="1"/>
  <c r="I66" i="14" s="1"/>
  <c r="I212" i="14" s="1"/>
  <c r="H1009" i="14"/>
  <c r="J601" i="14"/>
  <c r="J597" i="14" s="1"/>
  <c r="I1048" i="14"/>
  <c r="J325" i="14"/>
  <c r="I104" i="48" s="1"/>
  <c r="P247" i="15"/>
  <c r="O247" i="15" s="1"/>
  <c r="N247" i="15" s="1"/>
  <c r="M247" i="15" s="1"/>
  <c r="L247" i="15" s="1"/>
  <c r="K247" i="15" s="1"/>
  <c r="J247" i="15" s="1"/>
  <c r="I247" i="15" s="1"/>
  <c r="H247" i="15" s="1"/>
  <c r="G247" i="15" s="1"/>
  <c r="P14" i="15"/>
  <c r="P26" i="15" s="1"/>
  <c r="P248" i="15" s="1"/>
  <c r="O248" i="15" s="1"/>
  <c r="N248" i="15" s="1"/>
  <c r="M248" i="15" s="1"/>
  <c r="L248" i="15" s="1"/>
  <c r="K248" i="15" s="1"/>
  <c r="J248" i="15" s="1"/>
  <c r="I248" i="15" s="1"/>
  <c r="H248" i="15" s="1"/>
  <c r="G248" i="15" s="1"/>
  <c r="P17" i="15"/>
  <c r="P180" i="15"/>
  <c r="P209" i="15" s="1"/>
  <c r="N384" i="14"/>
  <c r="N390" i="14" s="1"/>
  <c r="N56" i="14"/>
  <c r="N408" i="14" s="1"/>
  <c r="N60" i="14" s="1"/>
  <c r="N32" i="14"/>
  <c r="N28" i="14" s="1"/>
  <c r="N42" i="14"/>
  <c r="N58" i="14"/>
  <c r="N464" i="14" s="1"/>
  <c r="G214" i="14"/>
  <c r="G217" i="14"/>
  <c r="G219" i="14" s="1"/>
  <c r="F87" i="48" s="1"/>
  <c r="I1018" i="14"/>
  <c r="I1026" i="14" s="1"/>
  <c r="G189" i="4"/>
  <c r="G320" i="4" s="1"/>
  <c r="G283" i="4"/>
  <c r="G300" i="4" s="1"/>
  <c r="G215" i="4"/>
  <c r="M392" i="14"/>
  <c r="M398" i="14" s="1"/>
  <c r="M404" i="14" s="1"/>
  <c r="J146" i="4"/>
  <c r="L337" i="14"/>
  <c r="M331" i="14"/>
  <c r="N145" i="15"/>
  <c r="J253" i="14"/>
  <c r="J280" i="14"/>
  <c r="J251" i="14"/>
  <c r="L298" i="14"/>
  <c r="L296" i="14"/>
  <c r="L301" i="14" s="1"/>
  <c r="L312" i="14" s="1"/>
  <c r="I359" i="14"/>
  <c r="I368" i="14" s="1"/>
  <c r="I370" i="14"/>
  <c r="M332" i="14"/>
  <c r="L338" i="14"/>
  <c r="L345" i="14" s="1"/>
  <c r="O57" i="4"/>
  <c r="N62" i="4"/>
  <c r="P123" i="16" s="1"/>
  <c r="N120" i="4"/>
  <c r="N222" i="4" s="1"/>
  <c r="F47" i="14"/>
  <c r="F35" i="14"/>
  <c r="O34" i="15"/>
  <c r="N249" i="15"/>
  <c r="L297" i="14"/>
  <c r="L302" i="14" s="1"/>
  <c r="L313" i="14" s="1"/>
  <c r="L299" i="14"/>
  <c r="I246" i="14"/>
  <c r="I1259" i="14" s="1"/>
  <c r="F1016" i="14"/>
  <c r="F1025" i="14"/>
  <c r="K211" i="15"/>
  <c r="K228" i="15"/>
  <c r="F118" i="4"/>
  <c r="F85" i="4"/>
  <c r="F1076" i="14"/>
  <c r="F1071" i="14"/>
  <c r="M71" i="4"/>
  <c r="E249" i="48"/>
  <c r="E161" i="48"/>
  <c r="K791" i="4"/>
  <c r="L73" i="4"/>
  <c r="K441" i="14"/>
  <c r="K448" i="14" s="1"/>
  <c r="K459" i="14" s="1"/>
  <c r="K426" i="14"/>
  <c r="J1045" i="14"/>
  <c r="J1050" i="14" s="1"/>
  <c r="J1056" i="14" s="1"/>
  <c r="M27" i="14"/>
  <c r="M294" i="14"/>
  <c r="K311" i="14"/>
  <c r="K317" i="14" s="1"/>
  <c r="K319" i="14"/>
  <c r="J1066" i="14" s="1"/>
  <c r="H44" i="14"/>
  <c r="G1008" i="14" s="1"/>
  <c r="H46" i="14"/>
  <c r="H247" i="14" s="1"/>
  <c r="G987" i="14" s="1"/>
  <c r="H362" i="14"/>
  <c r="I101" i="4"/>
  <c r="I103" i="4"/>
  <c r="I104" i="4"/>
  <c r="I102" i="4"/>
  <c r="J252" i="14"/>
  <c r="J250" i="14"/>
  <c r="J279" i="14"/>
  <c r="H259" i="48"/>
  <c r="H183" i="48"/>
  <c r="J354" i="14"/>
  <c r="J362" i="14" s="1"/>
  <c r="F627" i="14"/>
  <c r="F629" i="14" s="1"/>
  <c r="F630" i="14" s="1"/>
  <c r="F820" i="14"/>
  <c r="F682" i="14"/>
  <c r="L38" i="41"/>
  <c r="E199" i="41" s="1"/>
  <c r="E202" i="41" s="1"/>
  <c r="I223" i="15"/>
  <c r="G191" i="48" s="1"/>
  <c r="I222" i="15"/>
  <c r="I237" i="15" s="1"/>
  <c r="N255" i="15"/>
  <c r="N56" i="15"/>
  <c r="N61" i="15" s="1"/>
  <c r="N66" i="15" s="1"/>
  <c r="L156" i="48" s="1"/>
  <c r="O43" i="15"/>
  <c r="M407" i="14"/>
  <c r="M59" i="14" s="1"/>
  <c r="I99" i="4"/>
  <c r="I97" i="4"/>
  <c r="I98" i="4"/>
  <c r="I96" i="4"/>
  <c r="J346" i="14"/>
  <c r="O32" i="14"/>
  <c r="O28" i="14" s="1"/>
  <c r="O56" i="14"/>
  <c r="O42" i="14"/>
  <c r="O58" i="14"/>
  <c r="O384" i="14"/>
  <c r="O484" i="14"/>
  <c r="O935" i="14" s="1"/>
  <c r="I168" i="4"/>
  <c r="I163" i="4"/>
  <c r="N57" i="15"/>
  <c r="M62" i="15"/>
  <c r="E1059" i="14"/>
  <c r="E1054" i="14"/>
  <c r="E1060" i="14" s="1"/>
  <c r="K310" i="14"/>
  <c r="K316" i="14" s="1"/>
  <c r="K318" i="14"/>
  <c r="P15" i="15"/>
  <c r="P258" i="15"/>
  <c r="K210" i="15"/>
  <c r="K263" i="15"/>
  <c r="O27" i="15"/>
  <c r="K66" i="4"/>
  <c r="J72" i="4"/>
  <c r="I238" i="15"/>
  <c r="F598" i="16"/>
  <c r="F724" i="16"/>
  <c r="F726" i="16" s="1"/>
  <c r="L415" i="14"/>
  <c r="M289" i="16" s="1"/>
  <c r="L410" i="14"/>
  <c r="K58" i="32"/>
  <c r="M65" i="4"/>
  <c r="K93" i="4"/>
  <c r="K144" i="4" s="1"/>
  <c r="K81" i="4"/>
  <c r="K94" i="4"/>
  <c r="K145" i="4" s="1"/>
  <c r="K91" i="4"/>
  <c r="K142" i="4" s="1"/>
  <c r="K92" i="4"/>
  <c r="K143" i="4" s="1"/>
  <c r="L80" i="4"/>
  <c r="K790" i="4"/>
  <c r="K344" i="14"/>
  <c r="K346" i="14" s="1"/>
  <c r="K792" i="4"/>
  <c r="L67" i="4"/>
  <c r="O31" i="14"/>
  <c r="O27" i="14" s="1"/>
  <c r="O41" i="14"/>
  <c r="O55" i="14"/>
  <c r="O57" i="14"/>
  <c r="O383" i="14"/>
  <c r="H148" i="15"/>
  <c r="H114" i="15"/>
  <c r="F169" i="48" s="1"/>
  <c r="H267" i="15"/>
  <c r="H94" i="15"/>
  <c r="F167" i="48" s="1"/>
  <c r="H93" i="15"/>
  <c r="H268" i="15" s="1"/>
  <c r="H277" i="15" s="1"/>
  <c r="F185" i="48"/>
  <c r="H113" i="15"/>
  <c r="N59" i="4"/>
  <c r="M793" i="4"/>
  <c r="I256" i="14"/>
  <c r="I258" i="14"/>
  <c r="P272" i="2"/>
  <c r="J79" i="15"/>
  <c r="J80" i="15" s="1"/>
  <c r="I81" i="15"/>
  <c r="I67" i="15"/>
  <c r="G158" i="48" s="1"/>
  <c r="M28" i="14"/>
  <c r="M295" i="14"/>
  <c r="K345" i="14"/>
  <c r="K347" i="14" s="1"/>
  <c r="K354" i="14" s="1"/>
  <c r="G269" i="15"/>
  <c r="G116" i="15"/>
  <c r="G118" i="4"/>
  <c r="G85" i="4"/>
  <c r="V231" i="16" l="1"/>
  <c r="T231" i="16"/>
  <c r="U227" i="16"/>
  <c r="K1203" i="14"/>
  <c r="AA1199" i="14" s="1"/>
  <c r="K1229" i="14"/>
  <c r="F866" i="14"/>
  <c r="F918" i="14"/>
  <c r="G919" i="14"/>
  <c r="H1210" i="14"/>
  <c r="H1236" i="14"/>
  <c r="H1237" i="14" s="1"/>
  <c r="H1242" i="14" s="1"/>
  <c r="L1202" i="14"/>
  <c r="L1209" i="14" s="1"/>
  <c r="L1228" i="14"/>
  <c r="L1235" i="14" s="1"/>
  <c r="G882" i="14"/>
  <c r="G1244" i="14"/>
  <c r="G1243" i="14"/>
  <c r="F1217" i="14"/>
  <c r="F1218" i="14"/>
  <c r="H1259" i="14"/>
  <c r="F657" i="14"/>
  <c r="F658" i="14" s="1"/>
  <c r="M1156" i="14"/>
  <c r="M1188" i="14" s="1"/>
  <c r="L1176" i="14"/>
  <c r="L1172" i="14"/>
  <c r="L1175" i="14" s="1"/>
  <c r="H941" i="14"/>
  <c r="H964" i="14"/>
  <c r="I961" i="14"/>
  <c r="I938" i="14"/>
  <c r="J961" i="14"/>
  <c r="J938" i="14"/>
  <c r="J939" i="14"/>
  <c r="J962" i="14"/>
  <c r="I941" i="14"/>
  <c r="I964" i="14"/>
  <c r="R254" i="2"/>
  <c r="R258" i="2" s="1"/>
  <c r="H293" i="15"/>
  <c r="D63" i="49"/>
  <c r="H1070" i="14"/>
  <c r="H1076" i="14" s="1"/>
  <c r="M57" i="32"/>
  <c r="E745" i="16"/>
  <c r="E747" i="16" s="1"/>
  <c r="Q265" i="2"/>
  <c r="Q272" i="2" s="1"/>
  <c r="Z1207" i="14"/>
  <c r="Z1208" i="14"/>
  <c r="Z1203" i="14"/>
  <c r="Z1204" i="14"/>
  <c r="Z1201" i="14"/>
  <c r="Z1205" i="14"/>
  <c r="Z1202" i="14"/>
  <c r="Z1206" i="14"/>
  <c r="Z1200" i="14"/>
  <c r="Y1210" i="14"/>
  <c r="E703" i="16"/>
  <c r="E705" i="16" s="1"/>
  <c r="M79" i="4"/>
  <c r="I599" i="14"/>
  <c r="I595" i="14" s="1"/>
  <c r="H1046" i="14"/>
  <c r="H1051" i="14" s="1"/>
  <c r="H1057" i="14" s="1"/>
  <c r="I493" i="14"/>
  <c r="H108" i="48" s="1"/>
  <c r="H389" i="4"/>
  <c r="H745" i="4"/>
  <c r="H716" i="4"/>
  <c r="H386" i="4"/>
  <c r="H742" i="4"/>
  <c r="H713" i="4"/>
  <c r="M184" i="15"/>
  <c r="M186" i="15" s="1"/>
  <c r="M192" i="15"/>
  <c r="M193" i="15" s="1"/>
  <c r="M198" i="15" s="1"/>
  <c r="H388" i="4"/>
  <c r="H744" i="4"/>
  <c r="H715" i="4"/>
  <c r="H387" i="4"/>
  <c r="H743" i="4"/>
  <c r="H714" i="4"/>
  <c r="L456" i="14"/>
  <c r="L255" i="14" s="1"/>
  <c r="K467" i="14"/>
  <c r="K469" i="14" s="1"/>
  <c r="K477" i="14" s="1"/>
  <c r="N434" i="14"/>
  <c r="M439" i="14"/>
  <c r="M446" i="14" s="1"/>
  <c r="I499" i="14"/>
  <c r="I500" i="14"/>
  <c r="N856" i="14"/>
  <c r="S144" i="29" s="1"/>
  <c r="N851" i="14"/>
  <c r="L455" i="14"/>
  <c r="L254" i="14" s="1"/>
  <c r="K466" i="14"/>
  <c r="K470" i="14" s="1"/>
  <c r="J499" i="14"/>
  <c r="J500" i="14"/>
  <c r="M440" i="14"/>
  <c r="M447" i="14" s="1"/>
  <c r="N435" i="14"/>
  <c r="F592" i="16"/>
  <c r="J278" i="14"/>
  <c r="J263" i="14" s="1"/>
  <c r="J277" i="14"/>
  <c r="J262" i="14" s="1"/>
  <c r="K181" i="16" s="1"/>
  <c r="N64" i="4"/>
  <c r="N63" i="4" s="1"/>
  <c r="V240" i="16"/>
  <c r="T240" i="16"/>
  <c r="G627" i="14"/>
  <c r="G629" i="14" s="1"/>
  <c r="G630" i="14" s="1"/>
  <c r="M104" i="14"/>
  <c r="M110" i="14" s="1"/>
  <c r="O104" i="14"/>
  <c r="O110" i="14" s="1"/>
  <c r="F104" i="14"/>
  <c r="F110" i="14" s="1"/>
  <c r="H104" i="14"/>
  <c r="H110" i="14" s="1"/>
  <c r="G104" i="14"/>
  <c r="G110" i="14" s="1"/>
  <c r="N104" i="14"/>
  <c r="N110" i="14" s="1"/>
  <c r="K104" i="14"/>
  <c r="K110" i="14" s="1"/>
  <c r="J104" i="14"/>
  <c r="J110" i="14" s="1"/>
  <c r="I104" i="14"/>
  <c r="I110" i="14" s="1"/>
  <c r="L104" i="14"/>
  <c r="L110" i="14" s="1"/>
  <c r="P35" i="15"/>
  <c r="P256" i="15" s="1"/>
  <c r="O256" i="15" s="1"/>
  <c r="N256" i="15" s="1"/>
  <c r="M256" i="15" s="1"/>
  <c r="L256" i="15" s="1"/>
  <c r="K256" i="15" s="1"/>
  <c r="J256" i="15" s="1"/>
  <c r="I256" i="15" s="1"/>
  <c r="H256" i="15" s="1"/>
  <c r="G256" i="15" s="1"/>
  <c r="F1053" i="14"/>
  <c r="F1059" i="14" s="1"/>
  <c r="G494" i="14"/>
  <c r="F98" i="48" s="1"/>
  <c r="G615" i="14"/>
  <c r="G596" i="14"/>
  <c r="G608" i="14" s="1"/>
  <c r="C75" i="49"/>
  <c r="C76" i="49"/>
  <c r="E75" i="49"/>
  <c r="E76" i="49"/>
  <c r="F614" i="14"/>
  <c r="F616" i="14" s="1"/>
  <c r="F617" i="14" s="1"/>
  <c r="F608" i="14"/>
  <c r="H215" i="4"/>
  <c r="H189" i="4"/>
  <c r="H320" i="4" s="1"/>
  <c r="H283" i="4"/>
  <c r="I1046" i="14"/>
  <c r="I1051" i="14" s="1"/>
  <c r="I1057" i="14" s="1"/>
  <c r="K428" i="14"/>
  <c r="J493" i="14"/>
  <c r="I108" i="48" s="1"/>
  <c r="I1064" i="14"/>
  <c r="I1069" i="14" s="1"/>
  <c r="I1077" i="14" s="1"/>
  <c r="J599" i="14"/>
  <c r="P27" i="15"/>
  <c r="P257" i="15" s="1"/>
  <c r="O257" i="15" s="1"/>
  <c r="N257" i="15" s="1"/>
  <c r="M257" i="15" s="1"/>
  <c r="L257" i="15" s="1"/>
  <c r="K257" i="15" s="1"/>
  <c r="J257" i="15" s="1"/>
  <c r="I257" i="15" s="1"/>
  <c r="H257" i="15" s="1"/>
  <c r="G257" i="15" s="1"/>
  <c r="E68" i="49"/>
  <c r="E62" i="49"/>
  <c r="C62" i="49"/>
  <c r="C63" i="49"/>
  <c r="E67" i="49"/>
  <c r="E72" i="49"/>
  <c r="E70" i="49"/>
  <c r="E66" i="49"/>
  <c r="V228" i="16"/>
  <c r="E65" i="49"/>
  <c r="E73" i="49"/>
  <c r="E71" i="49"/>
  <c r="T228" i="16"/>
  <c r="C65" i="49"/>
  <c r="E69" i="49"/>
  <c r="E74" i="49"/>
  <c r="C74" i="49"/>
  <c r="C68" i="49"/>
  <c r="C71" i="49"/>
  <c r="C73" i="49"/>
  <c r="C69" i="49"/>
  <c r="C72" i="49"/>
  <c r="C67" i="49"/>
  <c r="C70" i="49"/>
  <c r="V239" i="16"/>
  <c r="T239" i="16"/>
  <c r="V237" i="16"/>
  <c r="V238" i="16"/>
  <c r="T237" i="16"/>
  <c r="T238" i="16"/>
  <c r="V235" i="16"/>
  <c r="T233" i="16"/>
  <c r="T235" i="16"/>
  <c r="V233" i="16"/>
  <c r="L426" i="14"/>
  <c r="V230" i="16"/>
  <c r="O485" i="14"/>
  <c r="G820" i="14"/>
  <c r="G682" i="14"/>
  <c r="C66" i="49"/>
  <c r="T230" i="16"/>
  <c r="L417" i="14"/>
  <c r="L423" i="14" s="1"/>
  <c r="K1045" i="14" s="1"/>
  <c r="K1050" i="14" s="1"/>
  <c r="K1056" i="14" s="1"/>
  <c r="O464" i="14"/>
  <c r="O407" i="14"/>
  <c r="O59" i="14" s="1"/>
  <c r="O350" i="14"/>
  <c r="P57" i="49"/>
  <c r="S907" i="16"/>
  <c r="F995" i="14"/>
  <c r="F1002" i="14" s="1"/>
  <c r="M216" i="15"/>
  <c r="M235" i="15" s="1"/>
  <c r="Q60" i="29" s="1"/>
  <c r="H1049" i="14"/>
  <c r="O936" i="14"/>
  <c r="E64" i="49"/>
  <c r="AG107" i="21"/>
  <c r="G87" i="4"/>
  <c r="G137" i="4" s="1"/>
  <c r="G89" i="4"/>
  <c r="G139" i="4" s="1"/>
  <c r="G88" i="4"/>
  <c r="G138" i="4" s="1"/>
  <c r="G86" i="4"/>
  <c r="K117" i="4"/>
  <c r="K107" i="4" s="1"/>
  <c r="K130" i="4"/>
  <c r="K127" i="4"/>
  <c r="K115" i="4"/>
  <c r="K114" i="4"/>
  <c r="K52" i="4"/>
  <c r="I492" i="14"/>
  <c r="H223" i="48" s="1"/>
  <c r="I490" i="14"/>
  <c r="N62" i="15"/>
  <c r="O57" i="15"/>
  <c r="J181" i="16"/>
  <c r="F1072" i="14"/>
  <c r="F1074" i="14" s="1"/>
  <c r="F1075" i="14"/>
  <c r="F86" i="4"/>
  <c r="F88" i="4"/>
  <c r="F138" i="4" s="1"/>
  <c r="F87" i="4"/>
  <c r="F137" i="4" s="1"/>
  <c r="F89" i="4"/>
  <c r="F139" i="4" s="1"/>
  <c r="O249" i="15"/>
  <c r="P34" i="15"/>
  <c r="P249" i="15" s="1"/>
  <c r="J238" i="15"/>
  <c r="G724" i="16"/>
  <c r="G726" i="16" s="1"/>
  <c r="G598" i="16"/>
  <c r="L211" i="15"/>
  <c r="L228" i="15"/>
  <c r="I129" i="4"/>
  <c r="I777" i="4"/>
  <c r="I778" i="4"/>
  <c r="I784" i="4" s="1"/>
  <c r="I780" i="4"/>
  <c r="I786" i="4" s="1"/>
  <c r="I779" i="4"/>
  <c r="I785" i="4" s="1"/>
  <c r="I781" i="4"/>
  <c r="I787" i="4" s="1"/>
  <c r="I113" i="4"/>
  <c r="E1075" i="14"/>
  <c r="E1072" i="14"/>
  <c r="E1074" i="14" s="1"/>
  <c r="K356" i="14"/>
  <c r="K367" i="14" s="1"/>
  <c r="K44" i="14"/>
  <c r="K46" i="14"/>
  <c r="N793" i="4"/>
  <c r="O59" i="4"/>
  <c r="O793" i="4" s="1"/>
  <c r="K353" i="14"/>
  <c r="K361" i="14" s="1"/>
  <c r="L66" i="4"/>
  <c r="K72" i="4"/>
  <c r="J44" i="14"/>
  <c r="J46" i="14"/>
  <c r="J247" i="14" s="1"/>
  <c r="H22" i="14"/>
  <c r="H24" i="14" s="1"/>
  <c r="H34" i="14" s="1"/>
  <c r="H48" i="14" s="1"/>
  <c r="H66" i="14" s="1"/>
  <c r="H212" i="14" s="1"/>
  <c r="G1009" i="14"/>
  <c r="M296" i="14"/>
  <c r="M301" i="14" s="1"/>
  <c r="M312" i="14" s="1"/>
  <c r="M298" i="14"/>
  <c r="I626" i="14"/>
  <c r="J257" i="14"/>
  <c r="J259" i="14"/>
  <c r="G612" i="4"/>
  <c r="N391" i="14"/>
  <c r="N397" i="14" s="1"/>
  <c r="N403" i="14" s="1"/>
  <c r="O389" i="14"/>
  <c r="O391" i="14" s="1"/>
  <c r="O397" i="14" s="1"/>
  <c r="O403" i="14" s="1"/>
  <c r="N58" i="15"/>
  <c r="N63" i="15" s="1"/>
  <c r="N251" i="15"/>
  <c r="N60" i="15"/>
  <c r="O55" i="15"/>
  <c r="K280" i="14"/>
  <c r="K253" i="14"/>
  <c r="K251" i="14"/>
  <c r="K362" i="14"/>
  <c r="I276" i="15"/>
  <c r="I83" i="15"/>
  <c r="I229" i="15" s="1"/>
  <c r="G118" i="15"/>
  <c r="G146" i="15"/>
  <c r="G149" i="15" s="1"/>
  <c r="N295" i="14"/>
  <c r="M297" i="14"/>
  <c r="M302" i="14" s="1"/>
  <c r="M313" i="14" s="1"/>
  <c r="M299" i="14"/>
  <c r="J67" i="15"/>
  <c r="H158" i="48" s="1"/>
  <c r="J81" i="15"/>
  <c r="K79" i="15"/>
  <c r="K80" i="15" s="1"/>
  <c r="O463" i="14"/>
  <c r="L792" i="4"/>
  <c r="M67" i="4"/>
  <c r="N65" i="4"/>
  <c r="K601" i="14"/>
  <c r="K597" i="14" s="1"/>
  <c r="J1048" i="14"/>
  <c r="K325" i="14"/>
  <c r="J104" i="48" s="1"/>
  <c r="I242" i="4"/>
  <c r="I171" i="4"/>
  <c r="H26" i="48" s="1"/>
  <c r="I245" i="4"/>
  <c r="I162" i="4"/>
  <c r="I193" i="4" s="1"/>
  <c r="I160" i="4"/>
  <c r="I191" i="4" s="1"/>
  <c r="I161" i="4"/>
  <c r="I192" i="4" s="1"/>
  <c r="I159" i="4"/>
  <c r="I190" i="4" s="1"/>
  <c r="O408" i="14"/>
  <c r="O60" i="14" s="1"/>
  <c r="J221" i="15"/>
  <c r="J492" i="14"/>
  <c r="I223" i="48" s="1"/>
  <c r="J490" i="14"/>
  <c r="K227" i="15"/>
  <c r="K208" i="15"/>
  <c r="I261" i="48" s="1"/>
  <c r="I181" i="48" s="1"/>
  <c r="H987" i="14"/>
  <c r="I21" i="14"/>
  <c r="I23" i="14" s="1"/>
  <c r="L347" i="14"/>
  <c r="L253" i="14"/>
  <c r="O145" i="15"/>
  <c r="L344" i="14"/>
  <c r="K218" i="15"/>
  <c r="G834" i="4"/>
  <c r="G291" i="4"/>
  <c r="O45" i="15"/>
  <c r="P42" i="15"/>
  <c r="O250" i="15"/>
  <c r="E1023" i="14"/>
  <c r="P6" i="15"/>
  <c r="P7" i="15"/>
  <c r="P266" i="15" s="1"/>
  <c r="P273" i="15" s="1"/>
  <c r="M68" i="15"/>
  <c r="K247" i="48" s="1"/>
  <c r="M65" i="15"/>
  <c r="K154" i="48" s="1"/>
  <c r="M76" i="15"/>
  <c r="G35" i="14"/>
  <c r="G47" i="14"/>
  <c r="F249" i="48"/>
  <c r="F161" i="48"/>
  <c r="L790" i="4"/>
  <c r="M80" i="4"/>
  <c r="L91" i="4"/>
  <c r="L142" i="4" s="1"/>
  <c r="L92" i="4"/>
  <c r="L143" i="4" s="1"/>
  <c r="L81" i="4"/>
  <c r="L93" i="4"/>
  <c r="L144" i="4" s="1"/>
  <c r="L94" i="4"/>
  <c r="L145" i="4" s="1"/>
  <c r="O56" i="15"/>
  <c r="O61" i="15" s="1"/>
  <c r="O66" i="15" s="1"/>
  <c r="M156" i="48" s="1"/>
  <c r="O255" i="15"/>
  <c r="P43" i="15"/>
  <c r="M62" i="29"/>
  <c r="I239" i="15"/>
  <c r="H371" i="14"/>
  <c r="H360" i="14"/>
  <c r="H369" i="14" s="1"/>
  <c r="H626" i="14" s="1"/>
  <c r="N332" i="14"/>
  <c r="M338" i="14"/>
  <c r="I600" i="14"/>
  <c r="I596" i="14" s="1"/>
  <c r="H1047" i="14"/>
  <c r="I378" i="14"/>
  <c r="H106" i="48" s="1"/>
  <c r="J360" i="14"/>
  <c r="J168" i="4"/>
  <c r="J163" i="4"/>
  <c r="I214" i="14"/>
  <c r="I217" i="14"/>
  <c r="I219" i="14" s="1"/>
  <c r="H87" i="48" s="1"/>
  <c r="L77" i="15"/>
  <c r="L275" i="15" s="1"/>
  <c r="L78" i="15"/>
  <c r="T227" i="16"/>
  <c r="C64" i="49"/>
  <c r="J353" i="14"/>
  <c r="J355" i="14" s="1"/>
  <c r="J366" i="14" s="1"/>
  <c r="J256" i="14"/>
  <c r="J258" i="14"/>
  <c r="O390" i="14"/>
  <c r="O392" i="14" s="1"/>
  <c r="O398" i="14" s="1"/>
  <c r="O404" i="14" s="1"/>
  <c r="N392" i="14"/>
  <c r="N398" i="14" s="1"/>
  <c r="N404" i="14" s="1"/>
  <c r="J102" i="4"/>
  <c r="J103" i="4"/>
  <c r="J101" i="4"/>
  <c r="J104" i="4"/>
  <c r="P721" i="16"/>
  <c r="P722" i="16" s="1"/>
  <c r="K285" i="29"/>
  <c r="N27" i="14"/>
  <c r="H103" i="14" s="1"/>
  <c r="H109" i="14" s="1"/>
  <c r="N294" i="14"/>
  <c r="N1156" i="14" s="1"/>
  <c r="N1188" i="14" s="1"/>
  <c r="H33" i="14"/>
  <c r="H116" i="15"/>
  <c r="H269" i="15"/>
  <c r="K252" i="14"/>
  <c r="K250" i="14"/>
  <c r="K279" i="14"/>
  <c r="K146" i="4"/>
  <c r="J356" i="14"/>
  <c r="J367" i="14" s="1"/>
  <c r="J371" i="14" s="1"/>
  <c r="H1008" i="14"/>
  <c r="G1017" i="14"/>
  <c r="L791" i="4"/>
  <c r="M73" i="4"/>
  <c r="N71" i="4"/>
  <c r="I183" i="48"/>
  <c r="I259" i="48"/>
  <c r="F1024" i="14"/>
  <c r="F1015" i="14"/>
  <c r="L311" i="14"/>
  <c r="L317" i="14" s="1"/>
  <c r="L319" i="14"/>
  <c r="K1066" i="14" s="1"/>
  <c r="F65" i="14"/>
  <c r="F67" i="14" s="1"/>
  <c r="F211" i="14" s="1"/>
  <c r="F49" i="14"/>
  <c r="O120" i="4"/>
  <c r="O222" i="4" s="1"/>
  <c r="O62" i="4"/>
  <c r="O64" i="4" s="1"/>
  <c r="O63" i="4" s="1"/>
  <c r="L310" i="14"/>
  <c r="L316" i="14" s="1"/>
  <c r="L318" i="14"/>
  <c r="N331" i="14"/>
  <c r="M337" i="14"/>
  <c r="M415" i="14"/>
  <c r="M410" i="14"/>
  <c r="N351" i="14"/>
  <c r="O351" i="14"/>
  <c r="M285" i="29"/>
  <c r="R721" i="16"/>
  <c r="R722" i="16" s="1"/>
  <c r="J124" i="4"/>
  <c r="J179" i="4"/>
  <c r="J176" i="4" s="1"/>
  <c r="J96" i="4"/>
  <c r="J97" i="4"/>
  <c r="J98" i="4"/>
  <c r="J99" i="4"/>
  <c r="L210" i="15"/>
  <c r="L263" i="15"/>
  <c r="M409" i="14"/>
  <c r="M416" i="14" s="1"/>
  <c r="M422" i="14" s="1"/>
  <c r="H118" i="4"/>
  <c r="H85" i="4"/>
  <c r="G986" i="14"/>
  <c r="E63" i="49" l="1"/>
  <c r="H919" i="14"/>
  <c r="H1052" i="14"/>
  <c r="H1071" i="14"/>
  <c r="H1075" i="14" s="1"/>
  <c r="F659" i="14"/>
  <c r="L1201" i="14"/>
  <c r="L1203" i="14" s="1"/>
  <c r="AB1199" i="14" s="1"/>
  <c r="L1227" i="14"/>
  <c r="L1229" i="14" s="1"/>
  <c r="M1202" i="14"/>
  <c r="M1209" i="14" s="1"/>
  <c r="M1228" i="14"/>
  <c r="M1235" i="14" s="1"/>
  <c r="N1202" i="14"/>
  <c r="N1228" i="14"/>
  <c r="N1235" i="14" s="1"/>
  <c r="H882" i="14"/>
  <c r="H1244" i="14"/>
  <c r="H1243" i="14"/>
  <c r="I1210" i="14"/>
  <c r="I1236" i="14"/>
  <c r="I1237" i="14" s="1"/>
  <c r="I1242" i="14" s="1"/>
  <c r="N1176" i="14"/>
  <c r="N1172" i="14"/>
  <c r="N1175" i="14" s="1"/>
  <c r="M1176" i="14"/>
  <c r="M1172" i="14"/>
  <c r="M1175" i="14" s="1"/>
  <c r="J862" i="14"/>
  <c r="J885" i="14"/>
  <c r="J867" i="14"/>
  <c r="J874" i="14"/>
  <c r="I376" i="14"/>
  <c r="H942" i="14"/>
  <c r="H944" i="14" s="1"/>
  <c r="H965" i="14"/>
  <c r="H967" i="14" s="1"/>
  <c r="I942" i="14"/>
  <c r="I944" i="14" s="1"/>
  <c r="I965" i="14"/>
  <c r="I967" i="14" s="1"/>
  <c r="J942" i="14"/>
  <c r="J965" i="14"/>
  <c r="I862" i="14"/>
  <c r="I867" i="14"/>
  <c r="I885" i="14"/>
  <c r="I874" i="14"/>
  <c r="V227" i="16"/>
  <c r="Z1210" i="14"/>
  <c r="I818" i="14"/>
  <c r="I819" i="14" s="1"/>
  <c r="K471" i="14"/>
  <c r="K479" i="14" s="1"/>
  <c r="AA1206" i="14"/>
  <c r="AA1203" i="14"/>
  <c r="AA1204" i="14"/>
  <c r="AA1205" i="14"/>
  <c r="AA1202" i="14"/>
  <c r="AA1207" i="14"/>
  <c r="AA1208" i="14"/>
  <c r="AA1201" i="14"/>
  <c r="AA1200" i="14"/>
  <c r="N79" i="4"/>
  <c r="O79" i="4" s="1"/>
  <c r="M63" i="29"/>
  <c r="I231" i="15" s="1"/>
  <c r="G189" i="48" s="1"/>
  <c r="I386" i="4"/>
  <c r="I742" i="4"/>
  <c r="I713" i="4"/>
  <c r="H834" i="4"/>
  <c r="H300" i="4"/>
  <c r="I388" i="4"/>
  <c r="I744" i="4"/>
  <c r="I715" i="4"/>
  <c r="N184" i="15"/>
  <c r="N186" i="15" s="1"/>
  <c r="N192" i="15"/>
  <c r="N193" i="15" s="1"/>
  <c r="N198" i="15" s="1"/>
  <c r="I387" i="4"/>
  <c r="I743" i="4"/>
  <c r="I714" i="4"/>
  <c r="I389" i="4"/>
  <c r="I745" i="4"/>
  <c r="I716" i="4"/>
  <c r="K468" i="14"/>
  <c r="K476" i="14" s="1"/>
  <c r="K478" i="14" s="1"/>
  <c r="L457" i="14"/>
  <c r="L466" i="14" s="1"/>
  <c r="L280" i="14"/>
  <c r="M456" i="14"/>
  <c r="M255" i="14" s="1"/>
  <c r="N439" i="14"/>
  <c r="N446" i="14" s="1"/>
  <c r="O434" i="14"/>
  <c r="O439" i="14" s="1"/>
  <c r="O446" i="14" s="1"/>
  <c r="O856" i="14"/>
  <c r="T144" i="29" s="1"/>
  <c r="O851" i="14"/>
  <c r="K63" i="14"/>
  <c r="K61" i="14"/>
  <c r="L459" i="14"/>
  <c r="K64" i="14"/>
  <c r="K247" i="14" s="1"/>
  <c r="K62" i="14"/>
  <c r="J1007" i="14" s="1"/>
  <c r="H377" i="14"/>
  <c r="I377" i="14"/>
  <c r="H376" i="14"/>
  <c r="L251" i="14"/>
  <c r="L257" i="14" s="1"/>
  <c r="N440" i="14"/>
  <c r="N447" i="14" s="1"/>
  <c r="O435" i="14"/>
  <c r="O440" i="14" s="1"/>
  <c r="O447" i="14" s="1"/>
  <c r="M455" i="14"/>
  <c r="M254" i="14" s="1"/>
  <c r="L458" i="14"/>
  <c r="K277" i="14"/>
  <c r="K262" i="14" s="1"/>
  <c r="L181" i="16" s="1"/>
  <c r="K278" i="14"/>
  <c r="K263" i="14" s="1"/>
  <c r="G253" i="2"/>
  <c r="G295" i="2"/>
  <c r="H253" i="2"/>
  <c r="H295" i="2"/>
  <c r="P169" i="16"/>
  <c r="E123" i="16"/>
  <c r="E169" i="16" s="1"/>
  <c r="S143" i="29"/>
  <c r="R143" i="29"/>
  <c r="O143" i="14"/>
  <c r="O144" i="14" s="1"/>
  <c r="N1012" i="14" s="1"/>
  <c r="M143" i="14"/>
  <c r="M144" i="14" s="1"/>
  <c r="L1012" i="14" s="1"/>
  <c r="J182" i="14"/>
  <c r="H182" i="14"/>
  <c r="H222" i="14" s="1"/>
  <c r="H224" i="14" s="1"/>
  <c r="F1054" i="14"/>
  <c r="F1060" i="14" s="1"/>
  <c r="N182" i="14"/>
  <c r="L182" i="14"/>
  <c r="G182" i="14"/>
  <c r="G222" i="14" s="1"/>
  <c r="G224" i="14" s="1"/>
  <c r="F182" i="14"/>
  <c r="F222" i="14" s="1"/>
  <c r="F224" i="14" s="1"/>
  <c r="F143" i="14"/>
  <c r="G143" i="14"/>
  <c r="H143" i="14"/>
  <c r="I143" i="14"/>
  <c r="I182" i="14"/>
  <c r="I222" i="14" s="1"/>
  <c r="I224" i="14" s="1"/>
  <c r="I226" i="14" s="1"/>
  <c r="J143" i="14"/>
  <c r="K143" i="14"/>
  <c r="K182" i="14"/>
  <c r="L143" i="14"/>
  <c r="O182" i="14"/>
  <c r="N143" i="14"/>
  <c r="N144" i="14" s="1"/>
  <c r="M1012" i="14" s="1"/>
  <c r="M182" i="14"/>
  <c r="G614" i="14"/>
  <c r="G616" i="14" s="1"/>
  <c r="G617" i="14" s="1"/>
  <c r="G610" i="14"/>
  <c r="G612" i="14" s="1"/>
  <c r="I613" i="14"/>
  <c r="I611" i="14"/>
  <c r="I610" i="14"/>
  <c r="I615" i="14"/>
  <c r="I614" i="14"/>
  <c r="J818" i="14"/>
  <c r="J819" i="14" s="1"/>
  <c r="H612" i="4"/>
  <c r="H291" i="4"/>
  <c r="J595" i="14"/>
  <c r="L427" i="14"/>
  <c r="L428" i="14" s="1"/>
  <c r="K1063" i="14"/>
  <c r="K1068" i="14" s="1"/>
  <c r="K1078" i="14" s="1"/>
  <c r="L442" i="14"/>
  <c r="L449" i="14" s="1"/>
  <c r="L460" i="14" s="1"/>
  <c r="N215" i="15"/>
  <c r="N216" i="15" s="1"/>
  <c r="F103" i="14"/>
  <c r="F109" i="14" s="1"/>
  <c r="F126" i="14" s="1"/>
  <c r="H25" i="14"/>
  <c r="H252" i="2"/>
  <c r="H256" i="2"/>
  <c r="G252" i="2"/>
  <c r="G256" i="2"/>
  <c r="K103" i="14"/>
  <c r="K109" i="14" s="1"/>
  <c r="I608" i="14"/>
  <c r="G993" i="14"/>
  <c r="H986" i="14"/>
  <c r="M791" i="4"/>
  <c r="N73" i="4"/>
  <c r="H1017" i="14"/>
  <c r="I1008" i="14"/>
  <c r="K359" i="14"/>
  <c r="I1065" i="14"/>
  <c r="I1070" i="14" s="1"/>
  <c r="L146" i="4"/>
  <c r="L250" i="14"/>
  <c r="L279" i="14"/>
  <c r="L252" i="14"/>
  <c r="E163" i="48"/>
  <c r="E251" i="48"/>
  <c r="M318" i="14"/>
  <c r="M310" i="14"/>
  <c r="M316" i="14" s="1"/>
  <c r="J259" i="48"/>
  <c r="J183" i="48"/>
  <c r="M441" i="14"/>
  <c r="M448" i="14" s="1"/>
  <c r="M426" i="14"/>
  <c r="M344" i="14"/>
  <c r="G103" i="14"/>
  <c r="G109" i="14" s="1"/>
  <c r="I1049" i="14"/>
  <c r="M345" i="14"/>
  <c r="M347" i="14" s="1"/>
  <c r="M354" i="14" s="1"/>
  <c r="M81" i="4"/>
  <c r="M94" i="4"/>
  <c r="M145" i="4" s="1"/>
  <c r="M91" i="4"/>
  <c r="M142" i="4" s="1"/>
  <c r="M790" i="4"/>
  <c r="N80" i="4"/>
  <c r="M93" i="4"/>
  <c r="M144" i="4" s="1"/>
  <c r="M92" i="4"/>
  <c r="M143" i="4" s="1"/>
  <c r="G65" i="14"/>
  <c r="G67" i="14" s="1"/>
  <c r="G211" i="14" s="1"/>
  <c r="G49" i="14"/>
  <c r="K219" i="15"/>
  <c r="K236" i="15" s="1"/>
  <c r="L354" i="14"/>
  <c r="L356" i="14" s="1"/>
  <c r="L367" i="14" s="1"/>
  <c r="I283" i="4"/>
  <c r="I300" i="4" s="1"/>
  <c r="I215" i="4"/>
  <c r="I189" i="4"/>
  <c r="I320" i="4" s="1"/>
  <c r="I1009" i="14"/>
  <c r="J22" i="14"/>
  <c r="J24" i="14" s="1"/>
  <c r="J34" i="14" s="1"/>
  <c r="J48" i="14" s="1"/>
  <c r="J66" i="14" s="1"/>
  <c r="J212" i="14" s="1"/>
  <c r="H88" i="4"/>
  <c r="H138" i="4" s="1"/>
  <c r="H89" i="4"/>
  <c r="H139" i="4" s="1"/>
  <c r="H87" i="4"/>
  <c r="H137" i="4" s="1"/>
  <c r="H86" i="4"/>
  <c r="M103" i="14"/>
  <c r="M109" i="14" s="1"/>
  <c r="I494" i="14"/>
  <c r="H98" i="48" s="1"/>
  <c r="M417" i="14"/>
  <c r="M423" i="14" s="1"/>
  <c r="L1045" i="14" s="1"/>
  <c r="L1050" i="14" s="1"/>
  <c r="L1056" i="14" s="1"/>
  <c r="L601" i="14"/>
  <c r="L597" i="14" s="1"/>
  <c r="L325" i="14"/>
  <c r="K104" i="48" s="1"/>
  <c r="K1048" i="14"/>
  <c r="O71" i="4"/>
  <c r="G1025" i="14"/>
  <c r="G1016" i="14"/>
  <c r="K163" i="4"/>
  <c r="K168" i="4"/>
  <c r="O294" i="14"/>
  <c r="N296" i="14"/>
  <c r="N301" i="14" s="1"/>
  <c r="N312" i="14" s="1"/>
  <c r="N298" i="14"/>
  <c r="O415" i="14"/>
  <c r="O410" i="14"/>
  <c r="J43" i="14"/>
  <c r="J45" i="14"/>
  <c r="J246" i="14" s="1"/>
  <c r="J1259" i="14" s="1"/>
  <c r="J361" i="14"/>
  <c r="J359" i="14" s="1"/>
  <c r="J368" i="14" s="1"/>
  <c r="J159" i="4"/>
  <c r="J190" i="4" s="1"/>
  <c r="J171" i="4"/>
  <c r="I26" i="48" s="1"/>
  <c r="J160" i="4"/>
  <c r="J191" i="4" s="1"/>
  <c r="J242" i="4"/>
  <c r="J161" i="4"/>
  <c r="J192" i="4" s="1"/>
  <c r="J245" i="4"/>
  <c r="J162" i="4"/>
  <c r="J193" i="4" s="1"/>
  <c r="J369" i="14"/>
  <c r="H820" i="14"/>
  <c r="H682" i="14"/>
  <c r="H627" i="14"/>
  <c r="H629" i="14" s="1"/>
  <c r="H630" i="14" s="1"/>
  <c r="M77" i="15"/>
  <c r="M275" i="15" s="1"/>
  <c r="M78" i="15"/>
  <c r="P250" i="15"/>
  <c r="P45" i="15"/>
  <c r="L346" i="14"/>
  <c r="J222" i="15"/>
  <c r="J237" i="15" s="1"/>
  <c r="J223" i="15"/>
  <c r="H191" i="48" s="1"/>
  <c r="J83" i="15"/>
  <c r="J229" i="15" s="1"/>
  <c r="J276" i="15"/>
  <c r="O295" i="14"/>
  <c r="N299" i="14"/>
  <c r="N297" i="14"/>
  <c r="N302" i="14" s="1"/>
  <c r="N313" i="14" s="1"/>
  <c r="G131" i="15"/>
  <c r="G121" i="15"/>
  <c r="G122" i="15"/>
  <c r="E171" i="48" s="1"/>
  <c r="K259" i="14"/>
  <c r="K257" i="14"/>
  <c r="N68" i="15"/>
  <c r="L247" i="48" s="1"/>
  <c r="N65" i="15"/>
  <c r="L154" i="48" s="1"/>
  <c r="N76" i="15"/>
  <c r="N414" i="14"/>
  <c r="N409" i="14"/>
  <c r="I820" i="14"/>
  <c r="I627" i="14"/>
  <c r="I629" i="14" s="1"/>
  <c r="I630" i="14" s="1"/>
  <c r="I682" i="14"/>
  <c r="F136" i="4"/>
  <c r="F140" i="4" s="1"/>
  <c r="F108" i="4"/>
  <c r="H506" i="16"/>
  <c r="G254" i="2"/>
  <c r="G619" i="16"/>
  <c r="G618" i="16"/>
  <c r="J220" i="16"/>
  <c r="N55" i="29" s="1"/>
  <c r="N56" i="29" s="1"/>
  <c r="H1039" i="14"/>
  <c r="G616" i="16"/>
  <c r="F1023" i="14"/>
  <c r="H118" i="15"/>
  <c r="H146" i="15"/>
  <c r="H149" i="15" s="1"/>
  <c r="N103" i="14"/>
  <c r="N109" i="14" s="1"/>
  <c r="L103" i="14"/>
  <c r="L109" i="14" s="1"/>
  <c r="G1065" i="14"/>
  <c r="G1070" i="14" s="1"/>
  <c r="H378" i="14"/>
  <c r="G1047" i="14"/>
  <c r="G1052" i="14" s="1"/>
  <c r="H600" i="14"/>
  <c r="H611" i="14" s="1"/>
  <c r="I148" i="15"/>
  <c r="I267" i="15"/>
  <c r="I113" i="15"/>
  <c r="I114" i="15"/>
  <c r="G169" i="48" s="1"/>
  <c r="G185" i="48"/>
  <c r="I94" i="15"/>
  <c r="G167" i="48" s="1"/>
  <c r="I93" i="15"/>
  <c r="I268" i="15" s="1"/>
  <c r="I277" i="15" s="1"/>
  <c r="I118" i="4"/>
  <c r="I85" i="4"/>
  <c r="K97" i="4"/>
  <c r="K98" i="4"/>
  <c r="K96" i="4"/>
  <c r="K99" i="4"/>
  <c r="J129" i="4"/>
  <c r="J777" i="4"/>
  <c r="J778" i="4"/>
  <c r="J784" i="4" s="1"/>
  <c r="J779" i="4"/>
  <c r="J785" i="4" s="1"/>
  <c r="J780" i="4"/>
  <c r="J786" i="4" s="1"/>
  <c r="J113" i="4"/>
  <c r="J781" i="4"/>
  <c r="J787" i="4" s="1"/>
  <c r="F216" i="14"/>
  <c r="F213" i="14"/>
  <c r="F231" i="14"/>
  <c r="J103" i="14"/>
  <c r="J109" i="14" s="1"/>
  <c r="H47" i="14"/>
  <c r="H35" i="14"/>
  <c r="P255" i="15"/>
  <c r="P56" i="15"/>
  <c r="P61" i="15" s="1"/>
  <c r="P66" i="15" s="1"/>
  <c r="N156" i="48" s="1"/>
  <c r="I238" i="2" s="1"/>
  <c r="K238" i="2" s="1"/>
  <c r="B238" i="2" s="1"/>
  <c r="M228" i="15"/>
  <c r="M211" i="15"/>
  <c r="O65" i="4"/>
  <c r="K43" i="14"/>
  <c r="K45" i="14"/>
  <c r="L208" i="15"/>
  <c r="J261" i="48" s="1"/>
  <c r="J181" i="48" s="1"/>
  <c r="L227" i="15"/>
  <c r="P57" i="15"/>
  <c r="P62" i="15" s="1"/>
  <c r="O62" i="15"/>
  <c r="K102" i="4"/>
  <c r="K104" i="4"/>
  <c r="K103" i="4"/>
  <c r="K101" i="4"/>
  <c r="G108" i="4"/>
  <c r="G136" i="4"/>
  <c r="G140" i="4" s="1"/>
  <c r="N337" i="14"/>
  <c r="N344" i="14" s="1"/>
  <c r="O331" i="14"/>
  <c r="O337" i="14" s="1"/>
  <c r="O344" i="14" s="1"/>
  <c r="I103" i="14"/>
  <c r="I109" i="14" s="1"/>
  <c r="K256" i="14"/>
  <c r="K258" i="14"/>
  <c r="O103" i="14"/>
  <c r="O109" i="14" s="1"/>
  <c r="N415" i="14"/>
  <c r="N410" i="14"/>
  <c r="H1053" i="14"/>
  <c r="H1058" i="14"/>
  <c r="O332" i="14"/>
  <c r="O338" i="14" s="1"/>
  <c r="O345" i="14" s="1"/>
  <c r="N338" i="14"/>
  <c r="I506" i="16"/>
  <c r="O99" i="32" s="1"/>
  <c r="H254" i="2"/>
  <c r="H618" i="16"/>
  <c r="I1039" i="14"/>
  <c r="H616" i="16"/>
  <c r="K220" i="16"/>
  <c r="O55" i="29" s="1"/>
  <c r="O56" i="29" s="1"/>
  <c r="H619" i="16"/>
  <c r="L130" i="4"/>
  <c r="L115" i="4"/>
  <c r="L117" i="4"/>
  <c r="L107" i="4" s="1"/>
  <c r="L114" i="4"/>
  <c r="L127" i="4"/>
  <c r="L52" i="4"/>
  <c r="M210" i="15"/>
  <c r="M263" i="15"/>
  <c r="P145" i="15"/>
  <c r="I25" i="14"/>
  <c r="I33" i="14"/>
  <c r="M792" i="4"/>
  <c r="N67" i="4"/>
  <c r="K81" i="15"/>
  <c r="K67" i="15"/>
  <c r="I158" i="48" s="1"/>
  <c r="L79" i="15"/>
  <c r="L80" i="15" s="1"/>
  <c r="M311" i="14"/>
  <c r="M317" i="14" s="1"/>
  <c r="M319" i="14"/>
  <c r="L1066" i="14" s="1"/>
  <c r="K360" i="14"/>
  <c r="K369" i="14" s="1"/>
  <c r="K371" i="14"/>
  <c r="O58" i="15"/>
  <c r="O63" i="15" s="1"/>
  <c r="O60" i="15"/>
  <c r="O251" i="15"/>
  <c r="P55" i="15"/>
  <c r="O409" i="14"/>
  <c r="O414" i="14"/>
  <c r="P289" i="16" s="1"/>
  <c r="I1067" i="14"/>
  <c r="H214" i="14"/>
  <c r="H217" i="14"/>
  <c r="H219" i="14" s="1"/>
  <c r="G87" i="48" s="1"/>
  <c r="M66" i="4"/>
  <c r="L72" i="4"/>
  <c r="K355" i="14"/>
  <c r="K366" i="14" s="1"/>
  <c r="K370" i="14" s="1"/>
  <c r="K179" i="4"/>
  <c r="K176" i="4" s="1"/>
  <c r="K124" i="4"/>
  <c r="H1072" i="14" l="1"/>
  <c r="H1074" i="14" s="1"/>
  <c r="I919" i="14"/>
  <c r="M1201" i="14"/>
  <c r="M1203" i="14" s="1"/>
  <c r="M1227" i="14"/>
  <c r="M1229" i="14" s="1"/>
  <c r="N1201" i="14"/>
  <c r="N1227" i="14"/>
  <c r="I882" i="14"/>
  <c r="I1244" i="14"/>
  <c r="I1243" i="14"/>
  <c r="J1210" i="14"/>
  <c r="J1236" i="14"/>
  <c r="J1237" i="14" s="1"/>
  <c r="J1242" i="14" s="1"/>
  <c r="O1156" i="14"/>
  <c r="O1188" i="14" s="1"/>
  <c r="F861" i="14"/>
  <c r="F873" i="14"/>
  <c r="K965" i="14"/>
  <c r="K942" i="14"/>
  <c r="AA1210" i="14"/>
  <c r="AB1206" i="14"/>
  <c r="AB1202" i="14"/>
  <c r="AB1203" i="14"/>
  <c r="AB1205" i="14"/>
  <c r="AB1207" i="14"/>
  <c r="AB1208" i="14"/>
  <c r="AB1204" i="14"/>
  <c r="AB1201" i="14"/>
  <c r="AB1200" i="14"/>
  <c r="R265" i="2"/>
  <c r="R272" i="2" s="1"/>
  <c r="I293" i="15"/>
  <c r="F703" i="16"/>
  <c r="F705" i="16" s="1"/>
  <c r="F745" i="16"/>
  <c r="F747" i="16" s="1"/>
  <c r="J386" i="4"/>
  <c r="J742" i="4"/>
  <c r="J713" i="4"/>
  <c r="J388" i="4"/>
  <c r="J744" i="4"/>
  <c r="J715" i="4"/>
  <c r="O184" i="15"/>
  <c r="O186" i="15" s="1"/>
  <c r="O192" i="15"/>
  <c r="O193" i="15" s="1"/>
  <c r="O198" i="15" s="1"/>
  <c r="J389" i="4"/>
  <c r="J745" i="4"/>
  <c r="J716" i="4"/>
  <c r="J387" i="4"/>
  <c r="J743" i="4"/>
  <c r="J714" i="4"/>
  <c r="K487" i="14"/>
  <c r="K493" i="14"/>
  <c r="J108" i="48" s="1"/>
  <c r="J985" i="14"/>
  <c r="J992" i="14" s="1"/>
  <c r="J999" i="14" s="1"/>
  <c r="K246" i="14"/>
  <c r="K1259" i="14" s="1"/>
  <c r="L259" i="14"/>
  <c r="K1067" i="14" s="1"/>
  <c r="M459" i="14"/>
  <c r="M457" i="14"/>
  <c r="M466" i="14" s="1"/>
  <c r="J1064" i="14"/>
  <c r="J1069" i="14" s="1"/>
  <c r="J1077" i="14" s="1"/>
  <c r="K488" i="14"/>
  <c r="J1046" i="14"/>
  <c r="J1051" i="14" s="1"/>
  <c r="J1057" i="14" s="1"/>
  <c r="K599" i="14"/>
  <c r="M458" i="14"/>
  <c r="M467" i="14" s="1"/>
  <c r="M469" i="14" s="1"/>
  <c r="M477" i="14" s="1"/>
  <c r="L63" i="14"/>
  <c r="L61" i="14"/>
  <c r="L468" i="14"/>
  <c r="L476" i="14" s="1"/>
  <c r="J1018" i="14"/>
  <c r="J1026" i="14" s="1"/>
  <c r="O456" i="14"/>
  <c r="O251" i="14" s="1"/>
  <c r="O455" i="14"/>
  <c r="O457" i="14" s="1"/>
  <c r="L467" i="14"/>
  <c r="L471" i="14" s="1"/>
  <c r="N456" i="14"/>
  <c r="N255" i="14" s="1"/>
  <c r="L470" i="14"/>
  <c r="N455" i="14"/>
  <c r="N254" i="14" s="1"/>
  <c r="L277" i="14"/>
  <c r="L262" i="14" s="1"/>
  <c r="M181" i="16" s="1"/>
  <c r="L278" i="14"/>
  <c r="L263" i="14" s="1"/>
  <c r="I253" i="2"/>
  <c r="I295" i="2"/>
  <c r="N57" i="32"/>
  <c r="N99" i="32"/>
  <c r="N1209" i="14"/>
  <c r="T143" i="29"/>
  <c r="AC1199" i="14"/>
  <c r="G1211" i="14"/>
  <c r="G1216" i="14" s="1"/>
  <c r="I1211" i="14"/>
  <c r="I1216" i="14" s="1"/>
  <c r="H1211" i="14"/>
  <c r="H1216" i="14" s="1"/>
  <c r="O145" i="14"/>
  <c r="N1011" i="14" s="1"/>
  <c r="I229" i="14"/>
  <c r="M145" i="14"/>
  <c r="L1011" i="14" s="1"/>
  <c r="K144" i="14"/>
  <c r="J1012" i="14" s="1"/>
  <c r="K145" i="14"/>
  <c r="J1011" i="14" s="1"/>
  <c r="H144" i="14"/>
  <c r="G1012" i="14" s="1"/>
  <c r="H145" i="14"/>
  <c r="G1011" i="14" s="1"/>
  <c r="J145" i="14"/>
  <c r="I1011" i="14" s="1"/>
  <c r="J144" i="14"/>
  <c r="I1012" i="14" s="1"/>
  <c r="N145" i="14"/>
  <c r="M1011" i="14" s="1"/>
  <c r="I144" i="14"/>
  <c r="H1012" i="14" s="1"/>
  <c r="I145" i="14"/>
  <c r="H1011" i="14" s="1"/>
  <c r="F226" i="14"/>
  <c r="F229" i="14"/>
  <c r="G229" i="14"/>
  <c r="G226" i="14"/>
  <c r="G145" i="14"/>
  <c r="F1011" i="14" s="1"/>
  <c r="F1014" i="14" s="1"/>
  <c r="F1022" i="14" s="1"/>
  <c r="G144" i="14"/>
  <c r="F1012" i="14" s="1"/>
  <c r="L144" i="14"/>
  <c r="K1012" i="14" s="1"/>
  <c r="L145" i="14"/>
  <c r="K1011" i="14" s="1"/>
  <c r="F145" i="14"/>
  <c r="E1011" i="14" s="1"/>
  <c r="E1014" i="14" s="1"/>
  <c r="F144" i="14"/>
  <c r="E1012" i="14" s="1"/>
  <c r="O289" i="16"/>
  <c r="N289" i="16" s="1"/>
  <c r="E289" i="16" s="1"/>
  <c r="I612" i="14"/>
  <c r="I616" i="14"/>
  <c r="I617" i="14" s="1"/>
  <c r="H596" i="14"/>
  <c r="H608" i="14" s="1"/>
  <c r="H615" i="14"/>
  <c r="H178" i="14"/>
  <c r="H174" i="14" s="1"/>
  <c r="H632" i="14" s="1"/>
  <c r="H635" i="14" s="1"/>
  <c r="H636" i="14" s="1"/>
  <c r="H637" i="14" s="1"/>
  <c r="H638" i="14" s="1"/>
  <c r="H647" i="14" s="1"/>
  <c r="F178" i="14"/>
  <c r="F174" i="14" s="1"/>
  <c r="F221" i="14" s="1"/>
  <c r="F223" i="14" s="1"/>
  <c r="E93" i="48" s="1"/>
  <c r="O60" i="32"/>
  <c r="O57" i="32"/>
  <c r="N235" i="15"/>
  <c r="R60" i="29" s="1"/>
  <c r="O215" i="15"/>
  <c r="O216" i="15" s="1"/>
  <c r="O235" i="15" s="1"/>
  <c r="S60" i="29" s="1"/>
  <c r="I126" i="14"/>
  <c r="I128" i="14" s="1"/>
  <c r="S254" i="2"/>
  <c r="S258" i="2" s="1"/>
  <c r="T254" i="2"/>
  <c r="T258" i="2" s="1"/>
  <c r="I252" i="2"/>
  <c r="I256" i="2"/>
  <c r="N56" i="32"/>
  <c r="N60" i="32"/>
  <c r="J1049" i="14"/>
  <c r="K178" i="14"/>
  <c r="K174" i="14" s="1"/>
  <c r="K632" i="14" s="1"/>
  <c r="K635" i="14" s="1"/>
  <c r="K636" i="14" s="1"/>
  <c r="K637" i="14" s="1"/>
  <c r="K638" i="14" s="1"/>
  <c r="M126" i="14"/>
  <c r="M127" i="14" s="1"/>
  <c r="L990" i="14" s="1"/>
  <c r="J178" i="14"/>
  <c r="J174" i="14" s="1"/>
  <c r="J632" i="14" s="1"/>
  <c r="J635" i="14" s="1"/>
  <c r="J636" i="14" s="1"/>
  <c r="J637" i="14" s="1"/>
  <c r="J638" i="14" s="1"/>
  <c r="O178" i="14"/>
  <c r="O174" i="14" s="1"/>
  <c r="O632" i="14" s="1"/>
  <c r="O634" i="14" s="1"/>
  <c r="K368" i="14"/>
  <c r="K626" i="14" s="1"/>
  <c r="L218" i="15"/>
  <c r="L219" i="15" s="1"/>
  <c r="L236" i="15" s="1"/>
  <c r="O58" i="32"/>
  <c r="O56" i="32"/>
  <c r="K378" i="14"/>
  <c r="K600" i="14"/>
  <c r="J1047" i="14"/>
  <c r="K129" i="4"/>
  <c r="K777" i="4"/>
  <c r="K778" i="4"/>
  <c r="K784" i="4" s="1"/>
  <c r="K780" i="4"/>
  <c r="K786" i="4" s="1"/>
  <c r="K779" i="4"/>
  <c r="K785" i="4" s="1"/>
  <c r="K113" i="4"/>
  <c r="K781" i="4"/>
  <c r="K787" i="4" s="1"/>
  <c r="P58" i="15"/>
  <c r="P63" i="15" s="1"/>
  <c r="P251" i="15"/>
  <c r="P60" i="15"/>
  <c r="J1065" i="14"/>
  <c r="G249" i="48"/>
  <c r="G161" i="48"/>
  <c r="M72" i="4"/>
  <c r="N66" i="4"/>
  <c r="N346" i="14"/>
  <c r="N252" i="14"/>
  <c r="I89" i="4"/>
  <c r="I139" i="4" s="1"/>
  <c r="I86" i="4"/>
  <c r="I88" i="4"/>
  <c r="I138" i="4" s="1"/>
  <c r="I87" i="4"/>
  <c r="I137" i="4" s="1"/>
  <c r="G1058" i="14"/>
  <c r="G1053" i="14"/>
  <c r="G106" i="48"/>
  <c r="H494" i="14"/>
  <c r="G98" i="48" s="1"/>
  <c r="G1076" i="14"/>
  <c r="G1071" i="14"/>
  <c r="I178" i="14"/>
  <c r="I174" i="14" s="1"/>
  <c r="I632" i="14" s="1"/>
  <c r="K126" i="14"/>
  <c r="H126" i="14"/>
  <c r="L126" i="14"/>
  <c r="O126" i="14"/>
  <c r="G592" i="16"/>
  <c r="N77" i="15"/>
  <c r="N275" i="15" s="1"/>
  <c r="N78" i="15"/>
  <c r="G284" i="15"/>
  <c r="G128" i="15"/>
  <c r="G124" i="15" s="1"/>
  <c r="G126" i="15" s="1"/>
  <c r="G270" i="15"/>
  <c r="N62" i="29"/>
  <c r="J239" i="15"/>
  <c r="O416" i="14"/>
  <c r="O422" i="14" s="1"/>
  <c r="O67" i="4"/>
  <c r="O792" i="4" s="1"/>
  <c r="N792" i="4"/>
  <c r="L124" i="4"/>
  <c r="L179" i="4"/>
  <c r="L176" i="4" s="1"/>
  <c r="O347" i="14"/>
  <c r="N417" i="14"/>
  <c r="N423" i="14" s="1"/>
  <c r="J85" i="4"/>
  <c r="J118" i="4"/>
  <c r="F251" i="48"/>
  <c r="F163" i="48"/>
  <c r="M178" i="14"/>
  <c r="M174" i="14" s="1"/>
  <c r="M632" i="14" s="1"/>
  <c r="N178" i="14"/>
  <c r="N174" i="14" s="1"/>
  <c r="N632" i="14" s="1"/>
  <c r="L178" i="14"/>
  <c r="L174" i="14" s="1"/>
  <c r="L632" i="14" s="1"/>
  <c r="N126" i="14"/>
  <c r="G126" i="14"/>
  <c r="N416" i="14"/>
  <c r="N422" i="14" s="1"/>
  <c r="N211" i="15"/>
  <c r="N228" i="15"/>
  <c r="N319" i="14"/>
  <c r="M1066" i="14" s="1"/>
  <c r="N311" i="14"/>
  <c r="N317" i="14" s="1"/>
  <c r="J113" i="15"/>
  <c r="J148" i="15"/>
  <c r="H185" i="48"/>
  <c r="J94" i="15"/>
  <c r="H167" i="48" s="1"/>
  <c r="J267" i="15"/>
  <c r="J114" i="15"/>
  <c r="H169" i="48" s="1"/>
  <c r="J93" i="15"/>
  <c r="J268" i="15" s="1"/>
  <c r="J277" i="15" s="1"/>
  <c r="K221" i="15"/>
  <c r="I987" i="14"/>
  <c r="J21" i="14"/>
  <c r="J23" i="14" s="1"/>
  <c r="O417" i="14"/>
  <c r="O423" i="14" s="1"/>
  <c r="N318" i="14"/>
  <c r="N310" i="14"/>
  <c r="N316" i="14" s="1"/>
  <c r="G1015" i="14"/>
  <c r="G1024" i="14"/>
  <c r="M442" i="14"/>
  <c r="M449" i="14" s="1"/>
  <c r="M460" i="14" s="1"/>
  <c r="L1063" i="14"/>
  <c r="L1068" i="14" s="1"/>
  <c r="L1078" i="14" s="1"/>
  <c r="M427" i="14"/>
  <c r="M428" i="14" s="1"/>
  <c r="H108" i="4"/>
  <c r="H136" i="4"/>
  <c r="H140" i="4" s="1"/>
  <c r="I834" i="4"/>
  <c r="I291" i="4"/>
  <c r="G213" i="14"/>
  <c r="G216" i="14"/>
  <c r="G231" i="14"/>
  <c r="M601" i="14"/>
  <c r="M597" i="14" s="1"/>
  <c r="M325" i="14"/>
  <c r="L104" i="48" s="1"/>
  <c r="L1048" i="14"/>
  <c r="J370" i="14"/>
  <c r="O73" i="4"/>
  <c r="O791" i="4" s="1"/>
  <c r="N791" i="4"/>
  <c r="H229" i="14"/>
  <c r="H226" i="14"/>
  <c r="L81" i="15"/>
  <c r="L67" i="15"/>
  <c r="J158" i="48" s="1"/>
  <c r="M79" i="15"/>
  <c r="M80" i="15" s="1"/>
  <c r="L99" i="4"/>
  <c r="L97" i="4"/>
  <c r="L98" i="4"/>
  <c r="L96" i="4"/>
  <c r="O346" i="14"/>
  <c r="O252" i="14"/>
  <c r="J506" i="16"/>
  <c r="P99" i="32" s="1"/>
  <c r="I254" i="2"/>
  <c r="I618" i="16"/>
  <c r="I616" i="16"/>
  <c r="J1039" i="14"/>
  <c r="I619" i="16"/>
  <c r="L220" i="16"/>
  <c r="P55" i="29" s="1"/>
  <c r="P56" i="29" s="1"/>
  <c r="F157" i="4"/>
  <c r="F167" i="4"/>
  <c r="N210" i="15"/>
  <c r="N263" i="15"/>
  <c r="J189" i="4"/>
  <c r="J320" i="4" s="1"/>
  <c r="J215" i="4"/>
  <c r="J283" i="4"/>
  <c r="J300" i="4" s="1"/>
  <c r="O298" i="14"/>
  <c r="O296" i="14"/>
  <c r="O301" i="14" s="1"/>
  <c r="O312" i="14" s="1"/>
  <c r="N91" i="4"/>
  <c r="N142" i="4" s="1"/>
  <c r="N92" i="4"/>
  <c r="N143" i="4" s="1"/>
  <c r="N93" i="4"/>
  <c r="N144" i="4" s="1"/>
  <c r="N81" i="4"/>
  <c r="N790" i="4"/>
  <c r="N94" i="4"/>
  <c r="N145" i="4" s="1"/>
  <c r="O80" i="4"/>
  <c r="M114" i="4"/>
  <c r="M127" i="4"/>
  <c r="M115" i="4"/>
  <c r="M117" i="4"/>
  <c r="M107" i="4" s="1"/>
  <c r="M130" i="4"/>
  <c r="M52" i="4"/>
  <c r="I1076" i="14"/>
  <c r="I1071" i="14"/>
  <c r="H592" i="16"/>
  <c r="M208" i="15"/>
  <c r="K261" i="48" s="1"/>
  <c r="K181" i="48" s="1"/>
  <c r="M227" i="15"/>
  <c r="F218" i="14"/>
  <c r="E85" i="48" s="1"/>
  <c r="O297" i="14"/>
  <c r="O302" i="14" s="1"/>
  <c r="O313" i="14" s="1"/>
  <c r="O299" i="14"/>
  <c r="L353" i="14"/>
  <c r="L355" i="14" s="1"/>
  <c r="L366" i="14" s="1"/>
  <c r="J217" i="14"/>
  <c r="J219" i="14" s="1"/>
  <c r="I87" i="48" s="1"/>
  <c r="J214" i="14"/>
  <c r="J222" i="14"/>
  <c r="J224" i="14" s="1"/>
  <c r="H598" i="16"/>
  <c r="H724" i="16"/>
  <c r="H726" i="16" s="1"/>
  <c r="K238" i="15"/>
  <c r="M356" i="14"/>
  <c r="M367" i="14" s="1"/>
  <c r="M44" i="14"/>
  <c r="M46" i="14"/>
  <c r="M250" i="14"/>
  <c r="M252" i="14"/>
  <c r="M279" i="14"/>
  <c r="L258" i="14"/>
  <c r="L256" i="14"/>
  <c r="J1008" i="14"/>
  <c r="I1017" i="14"/>
  <c r="H993" i="14"/>
  <c r="I986" i="14"/>
  <c r="O68" i="15"/>
  <c r="M247" i="48" s="1"/>
  <c r="O65" i="15"/>
  <c r="M154" i="48" s="1"/>
  <c r="O76" i="15"/>
  <c r="K276" i="15"/>
  <c r="K83" i="15"/>
  <c r="K229" i="15" s="1"/>
  <c r="I47" i="14"/>
  <c r="I35" i="14"/>
  <c r="L101" i="4"/>
  <c r="L102" i="4"/>
  <c r="L104" i="4"/>
  <c r="L103" i="4"/>
  <c r="N345" i="14"/>
  <c r="H1059" i="14"/>
  <c r="H1054" i="14"/>
  <c r="H1060" i="14" s="1"/>
  <c r="G157" i="4"/>
  <c r="G167" i="4"/>
  <c r="K183" i="48"/>
  <c r="K259" i="48"/>
  <c r="H49" i="14"/>
  <c r="H65" i="14"/>
  <c r="H67" i="14" s="1"/>
  <c r="H211" i="14" s="1"/>
  <c r="I116" i="15"/>
  <c r="I269" i="15"/>
  <c r="H122" i="15"/>
  <c r="F171" i="48" s="1"/>
  <c r="H131" i="15"/>
  <c r="H121" i="15"/>
  <c r="G178" i="14"/>
  <c r="G174" i="14" s="1"/>
  <c r="G221" i="14" s="1"/>
  <c r="G223" i="14" s="1"/>
  <c r="F128" i="14"/>
  <c r="F127" i="14"/>
  <c r="J126" i="14"/>
  <c r="N58" i="32"/>
  <c r="K22" i="14"/>
  <c r="K24" i="14" s="1"/>
  <c r="K34" i="14" s="1"/>
  <c r="K48" i="14" s="1"/>
  <c r="K66" i="14" s="1"/>
  <c r="K212" i="14" s="1"/>
  <c r="J1009" i="14"/>
  <c r="J1067" i="14"/>
  <c r="J626" i="14"/>
  <c r="K161" i="4"/>
  <c r="K192" i="4" s="1"/>
  <c r="K160" i="4"/>
  <c r="K191" i="4" s="1"/>
  <c r="K242" i="4"/>
  <c r="K159" i="4"/>
  <c r="K190" i="4" s="1"/>
  <c r="K245" i="4"/>
  <c r="K171" i="4"/>
  <c r="J26" i="48" s="1"/>
  <c r="K162" i="4"/>
  <c r="K193" i="4" s="1"/>
  <c r="I612" i="4"/>
  <c r="L44" i="14"/>
  <c r="L46" i="14"/>
  <c r="L362" i="14"/>
  <c r="M146" i="4"/>
  <c r="M253" i="14"/>
  <c r="M362" i="14"/>
  <c r="M280" i="14"/>
  <c r="M251" i="14"/>
  <c r="M346" i="14"/>
  <c r="L163" i="4"/>
  <c r="L168" i="4"/>
  <c r="H1016" i="14"/>
  <c r="H1025" i="14"/>
  <c r="G1000" i="14"/>
  <c r="G994" i="14"/>
  <c r="W231" i="16" l="1"/>
  <c r="G866" i="14"/>
  <c r="G918" i="14"/>
  <c r="J919" i="14"/>
  <c r="H866" i="14"/>
  <c r="H918" i="14"/>
  <c r="I866" i="14"/>
  <c r="I918" i="14"/>
  <c r="N1229" i="14"/>
  <c r="O1202" i="14"/>
  <c r="O1209" i="14" s="1"/>
  <c r="O1228" i="14"/>
  <c r="O1235" i="14" s="1"/>
  <c r="J882" i="14"/>
  <c r="J1244" i="14"/>
  <c r="J1243" i="14"/>
  <c r="K1210" i="14"/>
  <c r="K1236" i="14"/>
  <c r="K1237" i="14" s="1"/>
  <c r="K1242" i="14" s="1"/>
  <c r="K919" i="14" s="1"/>
  <c r="N1203" i="14"/>
  <c r="AD1199" i="14" s="1"/>
  <c r="H1218" i="14"/>
  <c r="H1217" i="14"/>
  <c r="I1218" i="14"/>
  <c r="I1217" i="14"/>
  <c r="G1217" i="14"/>
  <c r="G1218" i="14"/>
  <c r="H657" i="14"/>
  <c r="I657" i="14"/>
  <c r="G657" i="14"/>
  <c r="O1176" i="14"/>
  <c r="O1172" i="14"/>
  <c r="O1175" i="14" s="1"/>
  <c r="K376" i="14"/>
  <c r="J941" i="14"/>
  <c r="J944" i="14" s="1"/>
  <c r="J964" i="14"/>
  <c r="J967" i="14" s="1"/>
  <c r="K939" i="14"/>
  <c r="K962" i="14"/>
  <c r="K938" i="14"/>
  <c r="K961" i="14"/>
  <c r="K964" i="14"/>
  <c r="G861" i="14"/>
  <c r="G873" i="14"/>
  <c r="K941" i="14"/>
  <c r="AC1205" i="14"/>
  <c r="AC1202" i="14"/>
  <c r="AC1208" i="14"/>
  <c r="AC1206" i="14"/>
  <c r="AC1207" i="14"/>
  <c r="AC1203" i="14"/>
  <c r="AC1204" i="14"/>
  <c r="AC1201" i="14"/>
  <c r="AC1200" i="14"/>
  <c r="AB1210" i="14"/>
  <c r="N63" i="29"/>
  <c r="J231" i="15" s="1"/>
  <c r="H189" i="48" s="1"/>
  <c r="K21" i="14"/>
  <c r="K23" i="14" s="1"/>
  <c r="K25" i="14" s="1"/>
  <c r="J987" i="14"/>
  <c r="K386" i="4"/>
  <c r="K742" i="4"/>
  <c r="K713" i="4"/>
  <c r="K387" i="4"/>
  <c r="K743" i="4"/>
  <c r="K714" i="4"/>
  <c r="K389" i="4"/>
  <c r="K745" i="4"/>
  <c r="K716" i="4"/>
  <c r="K388" i="4"/>
  <c r="K744" i="4"/>
  <c r="K715" i="4"/>
  <c r="P184" i="15"/>
  <c r="P186" i="15" s="1"/>
  <c r="P192" i="15"/>
  <c r="P193" i="15" s="1"/>
  <c r="P198" i="15" s="1"/>
  <c r="L469" i="14"/>
  <c r="L477" i="14" s="1"/>
  <c r="L479" i="14" s="1"/>
  <c r="O458" i="14"/>
  <c r="O467" i="14" s="1"/>
  <c r="O469" i="14" s="1"/>
  <c r="O477" i="14" s="1"/>
  <c r="O250" i="14"/>
  <c r="O258" i="14" s="1"/>
  <c r="J1070" i="14"/>
  <c r="J1076" i="14" s="1"/>
  <c r="N458" i="14"/>
  <c r="N467" i="14" s="1"/>
  <c r="N250" i="14"/>
  <c r="N256" i="14" s="1"/>
  <c r="J1052" i="14"/>
  <c r="J1053" i="14" s="1"/>
  <c r="K595" i="14"/>
  <c r="K818" i="14"/>
  <c r="K819" i="14" s="1"/>
  <c r="O279" i="14"/>
  <c r="K611" i="14"/>
  <c r="K499" i="14"/>
  <c r="K500" i="14"/>
  <c r="K490" i="14"/>
  <c r="K492" i="14"/>
  <c r="J223" i="48" s="1"/>
  <c r="O466" i="14"/>
  <c r="M63" i="14"/>
  <c r="M61" i="14"/>
  <c r="N457" i="14"/>
  <c r="O254" i="14"/>
  <c r="M64" i="14"/>
  <c r="M247" i="14" s="1"/>
  <c r="M62" i="14"/>
  <c r="M470" i="14"/>
  <c r="J376" i="14"/>
  <c r="J377" i="14"/>
  <c r="M471" i="14"/>
  <c r="M479" i="14" s="1"/>
  <c r="L1064" i="14" s="1"/>
  <c r="L1069" i="14" s="1"/>
  <c r="L1077" i="14" s="1"/>
  <c r="N279" i="14"/>
  <c r="L478" i="14"/>
  <c r="L64" i="14"/>
  <c r="L247" i="14" s="1"/>
  <c r="L62" i="14"/>
  <c r="K1007" i="14" s="1"/>
  <c r="O255" i="14"/>
  <c r="M468" i="14"/>
  <c r="M476" i="14" s="1"/>
  <c r="K377" i="14"/>
  <c r="M277" i="14"/>
  <c r="M262" i="14" s="1"/>
  <c r="N181" i="16" s="1"/>
  <c r="M278" i="14"/>
  <c r="M263" i="14" s="1"/>
  <c r="J253" i="2"/>
  <c r="J295" i="2"/>
  <c r="W240" i="16"/>
  <c r="X240" i="16"/>
  <c r="X231" i="16"/>
  <c r="H989" i="14"/>
  <c r="F1013" i="14"/>
  <c r="F1020" i="14" s="1"/>
  <c r="E989" i="14"/>
  <c r="E996" i="14" s="1"/>
  <c r="E1003" i="14" s="1"/>
  <c r="E1022" i="14"/>
  <c r="E1013" i="14"/>
  <c r="E990" i="14"/>
  <c r="F75" i="49"/>
  <c r="F76" i="49"/>
  <c r="G76" i="49"/>
  <c r="G75" i="49"/>
  <c r="H648" i="14"/>
  <c r="H783" i="14"/>
  <c r="H614" i="14"/>
  <c r="H616" i="14" s="1"/>
  <c r="H617" i="14" s="1"/>
  <c r="H610" i="14"/>
  <c r="H612" i="14" s="1"/>
  <c r="H634" i="14"/>
  <c r="K596" i="14"/>
  <c r="K615" i="14"/>
  <c r="F225" i="14"/>
  <c r="E91" i="48" s="1"/>
  <c r="F232" i="14"/>
  <c r="E221" i="48" s="1"/>
  <c r="E89" i="48"/>
  <c r="T244" i="16" s="1"/>
  <c r="F632" i="14"/>
  <c r="F634" i="14" s="1"/>
  <c r="P60" i="32"/>
  <c r="P57" i="32"/>
  <c r="F65" i="49"/>
  <c r="G62" i="49"/>
  <c r="G63" i="49"/>
  <c r="G65" i="49"/>
  <c r="F62" i="49"/>
  <c r="F63" i="49"/>
  <c r="G68" i="49"/>
  <c r="G66" i="49"/>
  <c r="G67" i="49"/>
  <c r="G69" i="49"/>
  <c r="G73" i="49"/>
  <c r="G74" i="49"/>
  <c r="G70" i="49"/>
  <c r="G72" i="49"/>
  <c r="G71" i="49"/>
  <c r="F67" i="49"/>
  <c r="F70" i="49"/>
  <c r="F72" i="49"/>
  <c r="F74" i="49"/>
  <c r="F68" i="49"/>
  <c r="F71" i="49"/>
  <c r="F73" i="49"/>
  <c r="F69" i="49"/>
  <c r="W239" i="16"/>
  <c r="X237" i="16"/>
  <c r="X239" i="16"/>
  <c r="X235" i="16"/>
  <c r="X238" i="16"/>
  <c r="W237" i="16"/>
  <c r="W238" i="16"/>
  <c r="X230" i="16"/>
  <c r="W233" i="16"/>
  <c r="W235" i="16"/>
  <c r="X233" i="16"/>
  <c r="K634" i="14"/>
  <c r="X228" i="16"/>
  <c r="M128" i="14"/>
  <c r="L989" i="14" s="1"/>
  <c r="F66" i="49"/>
  <c r="W230" i="16"/>
  <c r="I127" i="14"/>
  <c r="H990" i="14" s="1"/>
  <c r="W228" i="16"/>
  <c r="U254" i="2"/>
  <c r="U258" i="2" s="1"/>
  <c r="P215" i="15"/>
  <c r="P216" i="15" s="1"/>
  <c r="P235" i="15" s="1"/>
  <c r="T60" i="29" s="1"/>
  <c r="O635" i="14"/>
  <c r="O636" i="14" s="1"/>
  <c r="O637" i="14" s="1"/>
  <c r="O638" i="14" s="1"/>
  <c r="J634" i="14"/>
  <c r="J252" i="2"/>
  <c r="J256" i="2"/>
  <c r="K1049" i="14"/>
  <c r="M862" i="16"/>
  <c r="G64" i="49"/>
  <c r="X227" i="16"/>
  <c r="P58" i="32"/>
  <c r="P56" i="32"/>
  <c r="G225" i="14"/>
  <c r="F91" i="48" s="1"/>
  <c r="F93" i="48"/>
  <c r="F89" i="48"/>
  <c r="U244" i="16" s="1"/>
  <c r="J627" i="14"/>
  <c r="J629" i="14" s="1"/>
  <c r="J630" i="14" s="1"/>
  <c r="J820" i="14"/>
  <c r="J682" i="14"/>
  <c r="H221" i="14"/>
  <c r="H223" i="14" s="1"/>
  <c r="H213" i="14"/>
  <c r="H216" i="14"/>
  <c r="H231" i="14"/>
  <c r="H232" i="14" s="1"/>
  <c r="G221" i="48" s="1"/>
  <c r="N251" i="14"/>
  <c r="N253" i="14"/>
  <c r="N280" i="14"/>
  <c r="H1000" i="14"/>
  <c r="H994" i="14"/>
  <c r="K506" i="16"/>
  <c r="J254" i="2"/>
  <c r="K1039" i="14"/>
  <c r="J616" i="16"/>
  <c r="J619" i="16"/>
  <c r="J618" i="16"/>
  <c r="M220" i="16"/>
  <c r="Q55" i="29" s="1"/>
  <c r="Q56" i="29" s="1"/>
  <c r="I598" i="16"/>
  <c r="I724" i="16"/>
  <c r="I726" i="16" s="1"/>
  <c r="L238" i="15"/>
  <c r="F155" i="4"/>
  <c r="F187" i="4" s="1"/>
  <c r="F170" i="4"/>
  <c r="F244" i="4"/>
  <c r="F154" i="4"/>
  <c r="F186" i="4" s="1"/>
  <c r="F172" i="4"/>
  <c r="E28" i="48" s="1"/>
  <c r="F156" i="4"/>
  <c r="F188" i="4" s="1"/>
  <c r="F153" i="4"/>
  <c r="F185" i="4" s="1"/>
  <c r="F241" i="4"/>
  <c r="H157" i="4"/>
  <c r="H167" i="4"/>
  <c r="G128" i="14"/>
  <c r="F989" i="14" s="1"/>
  <c r="F996" i="14" s="1"/>
  <c r="F1003" i="14" s="1"/>
  <c r="G127" i="14"/>
  <c r="F990" i="14" s="1"/>
  <c r="N442" i="14"/>
  <c r="N449" i="14" s="1"/>
  <c r="N460" i="14" s="1"/>
  <c r="N427" i="14"/>
  <c r="M1063" i="14"/>
  <c r="M1068" i="14" s="1"/>
  <c r="M1078" i="14" s="1"/>
  <c r="O128" i="14"/>
  <c r="N989" i="14" s="1"/>
  <c r="O127" i="14"/>
  <c r="N990" i="14" s="1"/>
  <c r="H1024" i="14"/>
  <c r="H1015" i="14"/>
  <c r="M353" i="14"/>
  <c r="M355" i="14" s="1"/>
  <c r="M366" i="14" s="1"/>
  <c r="M168" i="4"/>
  <c r="M163" i="4"/>
  <c r="H270" i="15"/>
  <c r="H128" i="15"/>
  <c r="H284" i="15"/>
  <c r="O77" i="15"/>
  <c r="O275" i="15" s="1"/>
  <c r="O78" i="15"/>
  <c r="K682" i="14"/>
  <c r="K627" i="14"/>
  <c r="K629" i="14" s="1"/>
  <c r="K630" i="14" s="1"/>
  <c r="K820" i="14"/>
  <c r="O354" i="14"/>
  <c r="O356" i="14" s="1"/>
  <c r="O367" i="14" s="1"/>
  <c r="L127" i="14"/>
  <c r="K990" i="14" s="1"/>
  <c r="L128" i="14"/>
  <c r="K989" i="14" s="1"/>
  <c r="G1054" i="14"/>
  <c r="G1060" i="14" s="1"/>
  <c r="G1059" i="14"/>
  <c r="N353" i="14"/>
  <c r="N355" i="14" s="1"/>
  <c r="N366" i="14" s="1"/>
  <c r="G995" i="14"/>
  <c r="G1002" i="14" s="1"/>
  <c r="G1001" i="14"/>
  <c r="L371" i="14"/>
  <c r="L360" i="14"/>
  <c r="L369" i="14" s="1"/>
  <c r="K222" i="14"/>
  <c r="K224" i="14" s="1"/>
  <c r="K214" i="14"/>
  <c r="K217" i="14"/>
  <c r="K219" i="14" s="1"/>
  <c r="J87" i="48" s="1"/>
  <c r="I49" i="14"/>
  <c r="I65" i="14"/>
  <c r="I67" i="14" s="1"/>
  <c r="I211" i="14" s="1"/>
  <c r="O211" i="15"/>
  <c r="O228" i="15"/>
  <c r="I1016" i="14"/>
  <c r="I1025" i="14"/>
  <c r="M256" i="14"/>
  <c r="M258" i="14"/>
  <c r="J226" i="14"/>
  <c r="J229" i="14"/>
  <c r="O319" i="14"/>
  <c r="N1066" i="14" s="1"/>
  <c r="O311" i="14"/>
  <c r="O317" i="14" s="1"/>
  <c r="I1075" i="14"/>
  <c r="I1072" i="14"/>
  <c r="I1074" i="14" s="1"/>
  <c r="M124" i="4"/>
  <c r="M179" i="4"/>
  <c r="M176" i="4" s="1"/>
  <c r="N146" i="4"/>
  <c r="O310" i="14"/>
  <c r="O316" i="14" s="1"/>
  <c r="O318" i="14"/>
  <c r="G1023" i="14"/>
  <c r="G1014" i="14"/>
  <c r="J33" i="14"/>
  <c r="J25" i="14"/>
  <c r="J269" i="15"/>
  <c r="J116" i="15"/>
  <c r="J118" i="15" s="1"/>
  <c r="N227" i="15"/>
  <c r="N208" i="15"/>
  <c r="L261" i="48" s="1"/>
  <c r="L181" i="48" s="1"/>
  <c r="L635" i="14"/>
  <c r="L636" i="14" s="1"/>
  <c r="L637" i="14" s="1"/>
  <c r="L638" i="14" s="1"/>
  <c r="L634" i="14"/>
  <c r="O257" i="14"/>
  <c r="O259" i="14"/>
  <c r="H127" i="14"/>
  <c r="G990" i="14" s="1"/>
  <c r="H128" i="14"/>
  <c r="G989" i="14" s="1"/>
  <c r="P68" i="15"/>
  <c r="N247" i="48" s="1"/>
  <c r="P65" i="15"/>
  <c r="N154" i="48" s="1"/>
  <c r="I237" i="2" s="1"/>
  <c r="K237" i="2" s="1"/>
  <c r="P76" i="15"/>
  <c r="K118" i="4"/>
  <c r="K85" i="4"/>
  <c r="J106" i="48"/>
  <c r="K494" i="14"/>
  <c r="J98" i="48" s="1"/>
  <c r="K189" i="4"/>
  <c r="K320" i="4" s="1"/>
  <c r="K215" i="4"/>
  <c r="K283" i="4"/>
  <c r="K300" i="4" s="1"/>
  <c r="F64" i="49"/>
  <c r="W227" i="16"/>
  <c r="G632" i="14"/>
  <c r="G232" i="14"/>
  <c r="F221" i="48" s="1"/>
  <c r="G153" i="4"/>
  <c r="G185" i="4" s="1"/>
  <c r="G172" i="4"/>
  <c r="F28" i="48" s="1"/>
  <c r="G154" i="4"/>
  <c r="G186" i="4" s="1"/>
  <c r="G155" i="4"/>
  <c r="G187" i="4" s="1"/>
  <c r="G170" i="4"/>
  <c r="G244" i="4"/>
  <c r="G156" i="4"/>
  <c r="G188" i="4" s="1"/>
  <c r="G241" i="4"/>
  <c r="T721" i="16"/>
  <c r="T722" i="16" s="1"/>
  <c r="O285" i="29"/>
  <c r="O93" i="4"/>
  <c r="O144" i="4" s="1"/>
  <c r="O92" i="4"/>
  <c r="O143" i="4" s="1"/>
  <c r="O94" i="4"/>
  <c r="O145" i="4" s="1"/>
  <c r="O81" i="4"/>
  <c r="O790" i="4"/>
  <c r="O91" i="4"/>
  <c r="O142" i="4" s="1"/>
  <c r="O353" i="14"/>
  <c r="O355" i="14" s="1"/>
  <c r="O366" i="14" s="1"/>
  <c r="J600" i="14"/>
  <c r="J611" i="14" s="1"/>
  <c r="J378" i="14"/>
  <c r="I1047" i="14"/>
  <c r="I1052" i="14" s="1"/>
  <c r="N601" i="14"/>
  <c r="N597" i="14" s="1"/>
  <c r="N325" i="14"/>
  <c r="M104" i="48" s="1"/>
  <c r="M1048" i="14"/>
  <c r="M634" i="14"/>
  <c r="M635" i="14"/>
  <c r="M636" i="14" s="1"/>
  <c r="M637" i="14" s="1"/>
  <c r="M638" i="14" s="1"/>
  <c r="O280" i="14"/>
  <c r="G130" i="15"/>
  <c r="G133" i="15" s="1"/>
  <c r="G170" i="15"/>
  <c r="G271" i="15"/>
  <c r="I635" i="14"/>
  <c r="I636" i="14" s="1"/>
  <c r="I637" i="14" s="1"/>
  <c r="I638" i="14" s="1"/>
  <c r="I634" i="14"/>
  <c r="M257" i="14"/>
  <c r="M259" i="14"/>
  <c r="O210" i="15"/>
  <c r="O263" i="15"/>
  <c r="M104" i="4"/>
  <c r="M102" i="4"/>
  <c r="M103" i="4"/>
  <c r="M101" i="4"/>
  <c r="J291" i="4"/>
  <c r="J834" i="4"/>
  <c r="J612" i="4"/>
  <c r="I592" i="16"/>
  <c r="N79" i="15"/>
  <c r="N80" i="15" s="1"/>
  <c r="M81" i="15"/>
  <c r="M67" i="15"/>
  <c r="K158" i="48" s="1"/>
  <c r="O442" i="14"/>
  <c r="O449" i="14" s="1"/>
  <c r="O460" i="14" s="1"/>
  <c r="O427" i="14"/>
  <c r="N1063" i="14"/>
  <c r="N1068" i="14" s="1"/>
  <c r="N1078" i="14" s="1"/>
  <c r="H249" i="48"/>
  <c r="H161" i="48"/>
  <c r="L183" i="48"/>
  <c r="L259" i="48"/>
  <c r="N127" i="14"/>
  <c r="M990" i="14" s="1"/>
  <c r="N128" i="14"/>
  <c r="M989" i="14" s="1"/>
  <c r="J87" i="4"/>
  <c r="J137" i="4" s="1"/>
  <c r="J86" i="4"/>
  <c r="J88" i="4"/>
  <c r="J138" i="4" s="1"/>
  <c r="J89" i="4"/>
  <c r="J139" i="4" s="1"/>
  <c r="O253" i="14"/>
  <c r="G1075" i="14"/>
  <c r="G1072" i="14"/>
  <c r="G1074" i="14" s="1"/>
  <c r="L171" i="4"/>
  <c r="K26" i="48" s="1"/>
  <c r="L245" i="4"/>
  <c r="L162" i="4"/>
  <c r="L193" i="4" s="1"/>
  <c r="L159" i="4"/>
  <c r="L190" i="4" s="1"/>
  <c r="L242" i="4"/>
  <c r="L160" i="4"/>
  <c r="L191" i="4" s="1"/>
  <c r="L161" i="4"/>
  <c r="L192" i="4" s="1"/>
  <c r="M371" i="14"/>
  <c r="M360" i="14"/>
  <c r="M369" i="14" s="1"/>
  <c r="H649" i="14"/>
  <c r="G1087" i="14"/>
  <c r="H673" i="14"/>
  <c r="H775" i="14"/>
  <c r="G118" i="48" s="1"/>
  <c r="H650" i="14"/>
  <c r="J127" i="14"/>
  <c r="I990" i="14" s="1"/>
  <c r="J128" i="14"/>
  <c r="I989" i="14" s="1"/>
  <c r="I118" i="15"/>
  <c r="I146" i="15"/>
  <c r="I149" i="15" s="1"/>
  <c r="N347" i="14"/>
  <c r="K267" i="15"/>
  <c r="K113" i="15"/>
  <c r="K94" i="15"/>
  <c r="I167" i="48" s="1"/>
  <c r="I185" i="48"/>
  <c r="K148" i="15"/>
  <c r="K93" i="15"/>
  <c r="K268" i="15" s="1"/>
  <c r="K277" i="15" s="1"/>
  <c r="K114" i="15"/>
  <c r="I169" i="48" s="1"/>
  <c r="I993" i="14"/>
  <c r="I1000" i="14" s="1"/>
  <c r="J986" i="14"/>
  <c r="J993" i="14" s="1"/>
  <c r="J1000" i="14" s="1"/>
  <c r="J1017" i="14"/>
  <c r="K1008" i="14"/>
  <c r="L43" i="14"/>
  <c r="L45" i="14"/>
  <c r="L246" i="14" s="1"/>
  <c r="L361" i="14"/>
  <c r="M99" i="4"/>
  <c r="M98" i="4"/>
  <c r="M97" i="4"/>
  <c r="M96" i="4"/>
  <c r="N127" i="4"/>
  <c r="N130" i="4"/>
  <c r="N114" i="4"/>
  <c r="N115" i="4"/>
  <c r="N117" i="4"/>
  <c r="N107" i="4" s="1"/>
  <c r="N52" i="4"/>
  <c r="M218" i="15"/>
  <c r="L276" i="15"/>
  <c r="L83" i="15"/>
  <c r="L229" i="15" s="1"/>
  <c r="G218" i="14"/>
  <c r="F85" i="48" s="1"/>
  <c r="K223" i="15"/>
  <c r="I191" i="48" s="1"/>
  <c r="K222" i="15"/>
  <c r="K237" i="15" s="1"/>
  <c r="N426" i="14"/>
  <c r="M1045" i="14"/>
  <c r="M1050" i="14" s="1"/>
  <c r="M1056" i="14" s="1"/>
  <c r="N441" i="14"/>
  <c r="N448" i="14" s="1"/>
  <c r="N459" i="14" s="1"/>
  <c r="N634" i="14"/>
  <c r="N635" i="14"/>
  <c r="N636" i="14" s="1"/>
  <c r="N637" i="14" s="1"/>
  <c r="N638" i="14" s="1"/>
  <c r="F228" i="14"/>
  <c r="L129" i="4"/>
  <c r="L777" i="4"/>
  <c r="L778" i="4"/>
  <c r="L784" i="4" s="1"/>
  <c r="L779" i="4"/>
  <c r="L785" i="4" s="1"/>
  <c r="L780" i="4"/>
  <c r="L786" i="4" s="1"/>
  <c r="L781" i="4"/>
  <c r="L787" i="4" s="1"/>
  <c r="L113" i="4"/>
  <c r="O441" i="14"/>
  <c r="O448" i="14" s="1"/>
  <c r="O459" i="14" s="1"/>
  <c r="O426" i="14"/>
  <c r="N1045" i="14"/>
  <c r="N1050" i="14" s="1"/>
  <c r="N1056" i="14" s="1"/>
  <c r="N285" i="29"/>
  <c r="S721" i="16"/>
  <c r="S722" i="16" s="1"/>
  <c r="K128" i="14"/>
  <c r="J989" i="14" s="1"/>
  <c r="K127" i="14"/>
  <c r="J990" i="14" s="1"/>
  <c r="I136" i="4"/>
  <c r="I140" i="4" s="1"/>
  <c r="I108" i="4"/>
  <c r="O66" i="4"/>
  <c r="O72" i="4" s="1"/>
  <c r="N72" i="4"/>
  <c r="Y240" i="16" l="1"/>
  <c r="L1259" i="14"/>
  <c r="K882" i="14"/>
  <c r="K1244" i="14"/>
  <c r="K1243" i="14"/>
  <c r="O1201" i="14"/>
  <c r="O1203" i="14" s="1"/>
  <c r="O1238" i="14" s="1"/>
  <c r="O1227" i="14"/>
  <c r="O1229" i="14" s="1"/>
  <c r="L1210" i="14"/>
  <c r="L1236" i="14"/>
  <c r="L1237" i="14" s="1"/>
  <c r="L1242" i="14" s="1"/>
  <c r="K885" i="14"/>
  <c r="K867" i="14"/>
  <c r="K862" i="14"/>
  <c r="K874" i="14"/>
  <c r="H861" i="14"/>
  <c r="H873" i="14"/>
  <c r="L965" i="14"/>
  <c r="L942" i="14"/>
  <c r="M965" i="14"/>
  <c r="M942" i="14"/>
  <c r="K33" i="14"/>
  <c r="K35" i="14" s="1"/>
  <c r="J293" i="15"/>
  <c r="G745" i="16"/>
  <c r="G747" i="16" s="1"/>
  <c r="S265" i="2"/>
  <c r="S272" i="2" s="1"/>
  <c r="AD1205" i="14"/>
  <c r="AD1207" i="14"/>
  <c r="AD1208" i="14"/>
  <c r="AD1204" i="14"/>
  <c r="AD1206" i="14"/>
  <c r="AD1203" i="14"/>
  <c r="AD1202" i="14"/>
  <c r="AD1201" i="14"/>
  <c r="AD1200" i="14"/>
  <c r="AC1210" i="14"/>
  <c r="G703" i="16"/>
  <c r="G705" i="16" s="1"/>
  <c r="J1058" i="14"/>
  <c r="L388" i="4"/>
  <c r="L744" i="4"/>
  <c r="L715" i="4"/>
  <c r="G382" i="4"/>
  <c r="G738" i="4"/>
  <c r="G709" i="4" s="1"/>
  <c r="G411" i="4"/>
  <c r="F381" i="4"/>
  <c r="F737" i="4"/>
  <c r="F410" i="4"/>
  <c r="G381" i="4"/>
  <c r="G737" i="4"/>
  <c r="G410" i="4"/>
  <c r="F384" i="4"/>
  <c r="F740" i="4"/>
  <c r="F711" i="4" s="1"/>
  <c r="F413" i="4"/>
  <c r="L389" i="4"/>
  <c r="L745" i="4"/>
  <c r="L716" i="4"/>
  <c r="G384" i="4"/>
  <c r="G740" i="4"/>
  <c r="G711" i="4" s="1"/>
  <c r="G413" i="4"/>
  <c r="F382" i="4"/>
  <c r="F738" i="4"/>
  <c r="F709" i="4" s="1"/>
  <c r="F411" i="4"/>
  <c r="L387" i="4"/>
  <c r="L743" i="4"/>
  <c r="L714" i="4"/>
  <c r="L386" i="4"/>
  <c r="L742" i="4"/>
  <c r="L713" i="4"/>
  <c r="G383" i="4"/>
  <c r="G739" i="4"/>
  <c r="G710" i="4" s="1"/>
  <c r="G412" i="4"/>
  <c r="F383" i="4"/>
  <c r="F739" i="4"/>
  <c r="F710" i="4" s="1"/>
  <c r="F412" i="4"/>
  <c r="O256" i="14"/>
  <c r="N1049" i="14" s="1"/>
  <c r="K985" i="14"/>
  <c r="L985" i="14" s="1"/>
  <c r="J1071" i="14"/>
  <c r="J1075" i="14" s="1"/>
  <c r="N258" i="14"/>
  <c r="O471" i="14"/>
  <c r="O479" i="14" s="1"/>
  <c r="N1064" i="14" s="1"/>
  <c r="N1069" i="14" s="1"/>
  <c r="N1077" i="14" s="1"/>
  <c r="K944" i="14"/>
  <c r="N471" i="14"/>
  <c r="K967" i="14"/>
  <c r="N277" i="14"/>
  <c r="N262" i="14" s="1"/>
  <c r="O181" i="16" s="1"/>
  <c r="K610" i="14"/>
  <c r="K612" i="14" s="1"/>
  <c r="K1009" i="14"/>
  <c r="L22" i="14"/>
  <c r="L24" i="14" s="1"/>
  <c r="L34" i="14" s="1"/>
  <c r="L48" i="14" s="1"/>
  <c r="L66" i="14" s="1"/>
  <c r="L212" i="14" s="1"/>
  <c r="L222" i="14" s="1"/>
  <c r="L224" i="14" s="1"/>
  <c r="L487" i="14"/>
  <c r="L599" i="14"/>
  <c r="K1046" i="14"/>
  <c r="K1051" i="14" s="1"/>
  <c r="K1057" i="14" s="1"/>
  <c r="N466" i="14"/>
  <c r="N468" i="14" s="1"/>
  <c r="N476" i="14" s="1"/>
  <c r="O61" i="14"/>
  <c r="O63" i="14"/>
  <c r="O470" i="14"/>
  <c r="M478" i="14"/>
  <c r="O64" i="14"/>
  <c r="O62" i="14"/>
  <c r="O468" i="14"/>
  <c r="O476" i="14" s="1"/>
  <c r="L1007" i="14"/>
  <c r="K1018" i="14"/>
  <c r="K1026" i="14" s="1"/>
  <c r="L493" i="14"/>
  <c r="K108" i="48" s="1"/>
  <c r="K1064" i="14"/>
  <c r="K1069" i="14" s="1"/>
  <c r="K1077" i="14" s="1"/>
  <c r="L488" i="14"/>
  <c r="N64" i="14"/>
  <c r="N62" i="14"/>
  <c r="M488" i="14"/>
  <c r="N469" i="14"/>
  <c r="N477" i="14" s="1"/>
  <c r="H124" i="15"/>
  <c r="H126" i="15" s="1"/>
  <c r="H129" i="15"/>
  <c r="N278" i="14"/>
  <c r="N263" i="14" s="1"/>
  <c r="O277" i="14"/>
  <c r="O262" i="14" s="1"/>
  <c r="P181" i="16" s="1"/>
  <c r="O278" i="14"/>
  <c r="O263" i="14" s="1"/>
  <c r="Q57" i="32"/>
  <c r="Q99" i="32"/>
  <c r="K253" i="2"/>
  <c r="K295" i="2"/>
  <c r="Y231" i="16"/>
  <c r="F1021" i="14"/>
  <c r="I658" i="14"/>
  <c r="I659" i="14"/>
  <c r="G659" i="14"/>
  <c r="G658" i="14"/>
  <c r="J1211" i="14"/>
  <c r="J1216" i="14" s="1"/>
  <c r="K1211" i="14"/>
  <c r="K1216" i="14" s="1"/>
  <c r="H659" i="14"/>
  <c r="H658" i="14"/>
  <c r="E997" i="14"/>
  <c r="E998" i="14" s="1"/>
  <c r="E1021" i="14"/>
  <c r="E1020" i="14"/>
  <c r="H76" i="49"/>
  <c r="H75" i="49"/>
  <c r="Q38" i="49"/>
  <c r="R38" i="49"/>
  <c r="J596" i="14"/>
  <c r="J615" i="14"/>
  <c r="K614" i="14"/>
  <c r="K616" i="14" s="1"/>
  <c r="K617" i="14" s="1"/>
  <c r="K608" i="14"/>
  <c r="F635" i="14"/>
  <c r="F636" i="14" s="1"/>
  <c r="F637" i="14" s="1"/>
  <c r="F638" i="14" s="1"/>
  <c r="F647" i="14" s="1"/>
  <c r="H62" i="49"/>
  <c r="H63" i="49"/>
  <c r="Y230" i="16"/>
  <c r="H65" i="49"/>
  <c r="H67" i="49"/>
  <c r="H66" i="49"/>
  <c r="H74" i="49"/>
  <c r="H70" i="49"/>
  <c r="H71" i="49"/>
  <c r="H73" i="49"/>
  <c r="H72" i="49"/>
  <c r="H69" i="49"/>
  <c r="H68" i="49"/>
  <c r="Y238" i="16"/>
  <c r="Y239" i="16"/>
  <c r="Y237" i="16"/>
  <c r="Y235" i="16"/>
  <c r="Y233" i="16"/>
  <c r="Y228" i="16"/>
  <c r="M866" i="16"/>
  <c r="AG108" i="21" s="1"/>
  <c r="K986" i="14"/>
  <c r="V254" i="2"/>
  <c r="V258" i="2" s="1"/>
  <c r="K252" i="2"/>
  <c r="K256" i="2"/>
  <c r="Q56" i="32"/>
  <c r="Q60" i="32"/>
  <c r="I994" i="14"/>
  <c r="I1001" i="14" s="1"/>
  <c r="J994" i="14"/>
  <c r="J995" i="14" s="1"/>
  <c r="J1002" i="14" s="1"/>
  <c r="N1067" i="14"/>
  <c r="L1049" i="14"/>
  <c r="L221" i="15"/>
  <c r="L222" i="15" s="1"/>
  <c r="L237" i="15" s="1"/>
  <c r="H64" i="49"/>
  <c r="Y227" i="16"/>
  <c r="K1017" i="14"/>
  <c r="L1008" i="14"/>
  <c r="N67" i="15"/>
  <c r="L158" i="48" s="1"/>
  <c r="O79" i="15"/>
  <c r="O80" i="15" s="1"/>
  <c r="N81" i="15"/>
  <c r="F201" i="48"/>
  <c r="F24" i="48"/>
  <c r="G282" i="4"/>
  <c r="G214" i="4"/>
  <c r="G184" i="4"/>
  <c r="P263" i="15"/>
  <c r="P210" i="15"/>
  <c r="J35" i="14"/>
  <c r="J47" i="14"/>
  <c r="O601" i="14"/>
  <c r="O597" i="14" s="1"/>
  <c r="O325" i="14"/>
  <c r="N104" i="48" s="1"/>
  <c r="N1048" i="14"/>
  <c r="M129" i="4"/>
  <c r="M777" i="4"/>
  <c r="M778" i="4"/>
  <c r="M784" i="4" s="1"/>
  <c r="M780" i="4"/>
  <c r="M786" i="4" s="1"/>
  <c r="M779" i="4"/>
  <c r="M785" i="4" s="1"/>
  <c r="M781" i="4"/>
  <c r="M787" i="4" s="1"/>
  <c r="M113" i="4"/>
  <c r="O227" i="15"/>
  <c r="O208" i="15"/>
  <c r="M261" i="48" s="1"/>
  <c r="M181" i="48" s="1"/>
  <c r="Q58" i="32"/>
  <c r="N257" i="14"/>
  <c r="N259" i="14"/>
  <c r="H225" i="14"/>
  <c r="G91" i="48" s="1"/>
  <c r="G89" i="48"/>
  <c r="V244" i="16" s="1"/>
  <c r="G93" i="48"/>
  <c r="K239" i="15"/>
  <c r="O62" i="29"/>
  <c r="J1016" i="14"/>
  <c r="J1025" i="14"/>
  <c r="L1065" i="14"/>
  <c r="L1070" i="14" s="1"/>
  <c r="L215" i="4"/>
  <c r="L283" i="4"/>
  <c r="L300" i="4" s="1"/>
  <c r="L189" i="4"/>
  <c r="L320" i="4" s="1"/>
  <c r="U721" i="16"/>
  <c r="U722" i="16" s="1"/>
  <c r="P285" i="29"/>
  <c r="O114" i="4"/>
  <c r="O117" i="4"/>
  <c r="O107" i="4" s="1"/>
  <c r="O130" i="4"/>
  <c r="O115" i="4"/>
  <c r="O127" i="4"/>
  <c r="O52" i="4"/>
  <c r="J146" i="15"/>
  <c r="J149" i="15" s="1"/>
  <c r="G1022" i="14"/>
  <c r="G1013" i="14"/>
  <c r="I213" i="14"/>
  <c r="I221" i="14"/>
  <c r="I223" i="14" s="1"/>
  <c r="I216" i="14"/>
  <c r="I231" i="14"/>
  <c r="I232" i="14" s="1"/>
  <c r="H221" i="48" s="1"/>
  <c r="L506" i="16"/>
  <c r="R99" i="32" s="1"/>
  <c r="K254" i="2"/>
  <c r="L1039" i="14"/>
  <c r="K616" i="16"/>
  <c r="K618" i="16"/>
  <c r="K619" i="16"/>
  <c r="N220" i="16"/>
  <c r="R55" i="29" s="1"/>
  <c r="R56" i="29" s="1"/>
  <c r="J647" i="14"/>
  <c r="M219" i="15"/>
  <c r="M236" i="15" s="1"/>
  <c r="N179" i="4"/>
  <c r="N176" i="4" s="1"/>
  <c r="N124" i="4"/>
  <c r="I249" i="48"/>
  <c r="I161" i="48"/>
  <c r="L1067" i="14"/>
  <c r="I647" i="14"/>
  <c r="O43" i="14"/>
  <c r="O45" i="14"/>
  <c r="O361" i="14"/>
  <c r="G634" i="14"/>
  <c r="G635" i="14"/>
  <c r="G636" i="14" s="1"/>
  <c r="G637" i="14" s="1"/>
  <c r="G638" i="14" s="1"/>
  <c r="G647" i="14" s="1"/>
  <c r="K612" i="4"/>
  <c r="K89" i="4"/>
  <c r="K139" i="4" s="1"/>
  <c r="K87" i="4"/>
  <c r="K137" i="4" s="1"/>
  <c r="K88" i="4"/>
  <c r="K138" i="4" s="1"/>
  <c r="K86" i="4"/>
  <c r="B237" i="2"/>
  <c r="N168" i="4"/>
  <c r="N163" i="4"/>
  <c r="I1015" i="14"/>
  <c r="I1024" i="14"/>
  <c r="K1065" i="14"/>
  <c r="J1054" i="14"/>
  <c r="J1060" i="14" s="1"/>
  <c r="J1059" i="14"/>
  <c r="H244" i="4"/>
  <c r="H241" i="4"/>
  <c r="H153" i="4"/>
  <c r="H185" i="4" s="1"/>
  <c r="H170" i="4"/>
  <c r="H154" i="4"/>
  <c r="H186" i="4" s="1"/>
  <c r="H155" i="4"/>
  <c r="H187" i="4" s="1"/>
  <c r="H172" i="4"/>
  <c r="G28" i="48" s="1"/>
  <c r="H156" i="4"/>
  <c r="H188" i="4" s="1"/>
  <c r="E24" i="48"/>
  <c r="E201" i="48"/>
  <c r="H218" i="14"/>
  <c r="G85" i="48" s="1"/>
  <c r="L94" i="15"/>
  <c r="J167" i="48" s="1"/>
  <c r="L113" i="15"/>
  <c r="L267" i="15"/>
  <c r="L148" i="15"/>
  <c r="L93" i="15"/>
  <c r="L268" i="15" s="1"/>
  <c r="L277" i="15" s="1"/>
  <c r="L114" i="15"/>
  <c r="J169" i="48" s="1"/>
  <c r="J185" i="48"/>
  <c r="N99" i="4"/>
  <c r="N97" i="4"/>
  <c r="N98" i="4"/>
  <c r="N96" i="4"/>
  <c r="L359" i="14"/>
  <c r="L368" i="14" s="1"/>
  <c r="L626" i="14" s="1"/>
  <c r="L370" i="14"/>
  <c r="G163" i="48"/>
  <c r="G251" i="48"/>
  <c r="H675" i="14"/>
  <c r="G1088" i="14"/>
  <c r="H674" i="14"/>
  <c r="E165" i="48"/>
  <c r="E253" i="48"/>
  <c r="I106" i="48"/>
  <c r="J494" i="14"/>
  <c r="I98" i="48" s="1"/>
  <c r="P77" i="15"/>
  <c r="P275" i="15" s="1"/>
  <c r="P78" i="15"/>
  <c r="J131" i="15"/>
  <c r="J122" i="15"/>
  <c r="H171" i="48" s="1"/>
  <c r="J121" i="15"/>
  <c r="J128" i="15" s="1"/>
  <c r="O428" i="14"/>
  <c r="L21" i="14"/>
  <c r="L23" i="14" s="1"/>
  <c r="K987" i="14"/>
  <c r="K116" i="15"/>
  <c r="K269" i="15"/>
  <c r="P211" i="15"/>
  <c r="P228" i="15"/>
  <c r="K226" i="14"/>
  <c r="K229" i="14"/>
  <c r="K647" i="14"/>
  <c r="K783" i="14" s="1"/>
  <c r="M43" i="14"/>
  <c r="M45" i="14"/>
  <c r="M246" i="14" s="1"/>
  <c r="M1259" i="14" s="1"/>
  <c r="M361" i="14"/>
  <c r="F214" i="4"/>
  <c r="F282" i="4"/>
  <c r="F184" i="4"/>
  <c r="I157" i="4"/>
  <c r="I167" i="4"/>
  <c r="L85" i="4"/>
  <c r="L118" i="4"/>
  <c r="N428" i="14"/>
  <c r="N103" i="4"/>
  <c r="N104" i="4"/>
  <c r="N102" i="4"/>
  <c r="N101" i="4"/>
  <c r="L1009" i="14"/>
  <c r="M22" i="14"/>
  <c r="M24" i="14" s="1"/>
  <c r="M34" i="14" s="1"/>
  <c r="M48" i="14" s="1"/>
  <c r="M66" i="14" s="1"/>
  <c r="M212" i="14" s="1"/>
  <c r="N354" i="14"/>
  <c r="N356" i="14" s="1"/>
  <c r="N367" i="14" s="1"/>
  <c r="I121" i="15"/>
  <c r="I131" i="15"/>
  <c r="I122" i="15"/>
  <c r="G171" i="48" s="1"/>
  <c r="J136" i="4"/>
  <c r="J140" i="4" s="1"/>
  <c r="J108" i="4"/>
  <c r="M276" i="15"/>
  <c r="M83" i="15"/>
  <c r="M229" i="15" s="1"/>
  <c r="I1058" i="14"/>
  <c r="I1053" i="14"/>
  <c r="O146" i="4"/>
  <c r="K834" i="4"/>
  <c r="K291" i="4"/>
  <c r="G996" i="14"/>
  <c r="G1003" i="14" s="1"/>
  <c r="M183" i="48"/>
  <c r="M259" i="48"/>
  <c r="N43" i="14"/>
  <c r="N45" i="14"/>
  <c r="N361" i="14"/>
  <c r="N359" i="14" s="1"/>
  <c r="N368" i="14" s="1"/>
  <c r="O44" i="14"/>
  <c r="O46" i="14"/>
  <c r="O362" i="14"/>
  <c r="O360" i="14" s="1"/>
  <c r="O369" i="14" s="1"/>
  <c r="M171" i="4"/>
  <c r="L26" i="48" s="1"/>
  <c r="M160" i="4"/>
  <c r="M191" i="4" s="1"/>
  <c r="M162" i="4"/>
  <c r="M193" i="4" s="1"/>
  <c r="M159" i="4"/>
  <c r="M190" i="4" s="1"/>
  <c r="M161" i="4"/>
  <c r="M192" i="4" s="1"/>
  <c r="M242" i="4"/>
  <c r="M245" i="4"/>
  <c r="H1014" i="14"/>
  <c r="H1023" i="14"/>
  <c r="F997" i="14"/>
  <c r="J592" i="16"/>
  <c r="H995" i="14"/>
  <c r="H1001" i="14"/>
  <c r="G228" i="14"/>
  <c r="Z231" i="16" l="1"/>
  <c r="AD1210" i="14"/>
  <c r="K866" i="14"/>
  <c r="K918" i="14"/>
  <c r="J866" i="14"/>
  <c r="J918" i="14"/>
  <c r="L919" i="14"/>
  <c r="L882" i="14"/>
  <c r="L1244" i="14"/>
  <c r="L1243" i="14"/>
  <c r="M1210" i="14"/>
  <c r="M1236" i="14"/>
  <c r="M1237" i="14" s="1"/>
  <c r="M1242" i="14" s="1"/>
  <c r="K1218" i="14"/>
  <c r="K1217" i="14"/>
  <c r="J1217" i="14"/>
  <c r="J1218" i="14"/>
  <c r="J657" i="14"/>
  <c r="K657" i="14"/>
  <c r="L964" i="14"/>
  <c r="L941" i="14"/>
  <c r="L939" i="14"/>
  <c r="L962" i="14"/>
  <c r="L938" i="14"/>
  <c r="L961" i="14"/>
  <c r="I861" i="14"/>
  <c r="I873" i="14"/>
  <c r="M939" i="14"/>
  <c r="M962" i="14"/>
  <c r="K47" i="14"/>
  <c r="K49" i="14" s="1"/>
  <c r="O63" i="29"/>
  <c r="K231" i="15" s="1"/>
  <c r="I189" i="48" s="1"/>
  <c r="H130" i="15"/>
  <c r="H133" i="15" s="1"/>
  <c r="H135" i="15" s="1"/>
  <c r="H285" i="15" s="1"/>
  <c r="M387" i="4"/>
  <c r="M743" i="4"/>
  <c r="M714" i="4"/>
  <c r="M388" i="4"/>
  <c r="M744" i="4"/>
  <c r="M715" i="4"/>
  <c r="H381" i="4"/>
  <c r="H737" i="4"/>
  <c r="H410" i="4"/>
  <c r="M389" i="4"/>
  <c r="M745" i="4"/>
  <c r="M716" i="4"/>
  <c r="H382" i="4"/>
  <c r="H738" i="4"/>
  <c r="H709" i="4" s="1"/>
  <c r="H411" i="4"/>
  <c r="H384" i="4"/>
  <c r="H740" i="4"/>
  <c r="H711" i="4" s="1"/>
  <c r="H413" i="4"/>
  <c r="G299" i="4"/>
  <c r="M386" i="4"/>
  <c r="M742" i="4"/>
  <c r="M713" i="4"/>
  <c r="F299" i="4"/>
  <c r="H383" i="4"/>
  <c r="H739" i="4"/>
  <c r="H710" i="4" s="1"/>
  <c r="H412" i="4"/>
  <c r="K992" i="14"/>
  <c r="K999" i="14" s="1"/>
  <c r="J1072" i="14"/>
  <c r="J1074" i="14" s="1"/>
  <c r="N479" i="14"/>
  <c r="M1064" i="14" s="1"/>
  <c r="M1069" i="14" s="1"/>
  <c r="M1077" i="14" s="1"/>
  <c r="O246" i="14"/>
  <c r="K1070" i="14"/>
  <c r="K1076" i="14" s="1"/>
  <c r="O247" i="14"/>
  <c r="O22" i="14" s="1"/>
  <c r="O24" i="14" s="1"/>
  <c r="O34" i="14" s="1"/>
  <c r="O48" i="14" s="1"/>
  <c r="O66" i="14" s="1"/>
  <c r="O212" i="14" s="1"/>
  <c r="O488" i="14"/>
  <c r="E1004" i="14"/>
  <c r="L992" i="14"/>
  <c r="L999" i="14" s="1"/>
  <c r="L1018" i="14"/>
  <c r="L1026" i="14" s="1"/>
  <c r="M1007" i="14"/>
  <c r="M487" i="14"/>
  <c r="M493" i="14"/>
  <c r="L108" i="48" s="1"/>
  <c r="L1046" i="14"/>
  <c r="L1051" i="14" s="1"/>
  <c r="L1057" i="14" s="1"/>
  <c r="L595" i="14"/>
  <c r="L818" i="14"/>
  <c r="L819" i="14" s="1"/>
  <c r="L214" i="14"/>
  <c r="O478" i="14"/>
  <c r="N63" i="14"/>
  <c r="N246" i="14" s="1"/>
  <c r="N61" i="14"/>
  <c r="M985" i="14" s="1"/>
  <c r="L217" i="14"/>
  <c r="L219" i="14" s="1"/>
  <c r="K87" i="48" s="1"/>
  <c r="M599" i="14"/>
  <c r="L499" i="14"/>
  <c r="L500" i="14"/>
  <c r="L376" i="14"/>
  <c r="L377" i="14"/>
  <c r="L490" i="14"/>
  <c r="L492" i="14"/>
  <c r="K223" i="48" s="1"/>
  <c r="N470" i="14"/>
  <c r="N478" i="14" s="1"/>
  <c r="H271" i="15"/>
  <c r="H170" i="15"/>
  <c r="F165" i="48" s="1"/>
  <c r="H155" i="15"/>
  <c r="H159" i="15"/>
  <c r="H163" i="15"/>
  <c r="J124" i="15"/>
  <c r="J126" i="15" s="1"/>
  <c r="J129" i="15"/>
  <c r="P263" i="14"/>
  <c r="M253" i="2"/>
  <c r="M295" i="2"/>
  <c r="L252" i="2"/>
  <c r="L295" i="2"/>
  <c r="Z240" i="16"/>
  <c r="O1212" i="14"/>
  <c r="AE1199" i="14"/>
  <c r="I75" i="49"/>
  <c r="I76" i="49"/>
  <c r="S38" i="49"/>
  <c r="G783" i="14"/>
  <c r="I783" i="14"/>
  <c r="J648" i="14"/>
  <c r="J783" i="14"/>
  <c r="F783" i="14"/>
  <c r="F673" i="14"/>
  <c r="E1088" i="14" s="1"/>
  <c r="J610" i="14"/>
  <c r="J612" i="14" s="1"/>
  <c r="J613" i="14"/>
  <c r="I649" i="14"/>
  <c r="J608" i="14"/>
  <c r="J614" i="14"/>
  <c r="J616" i="14" s="1"/>
  <c r="J617" i="14" s="1"/>
  <c r="F650" i="14"/>
  <c r="F649" i="14"/>
  <c r="E1087" i="14"/>
  <c r="F775" i="14"/>
  <c r="E118" i="48" s="1"/>
  <c r="F648" i="14"/>
  <c r="F207" i="4"/>
  <c r="F319" i="4"/>
  <c r="F629" i="4" s="1"/>
  <c r="R60" i="32"/>
  <c r="R57" i="32"/>
  <c r="L256" i="2"/>
  <c r="L253" i="2"/>
  <c r="I65" i="49"/>
  <c r="I62" i="49"/>
  <c r="I63" i="49"/>
  <c r="I72" i="49"/>
  <c r="I69" i="49"/>
  <c r="I68" i="49"/>
  <c r="I71" i="49"/>
  <c r="I70" i="49"/>
  <c r="I74" i="49"/>
  <c r="I73" i="49"/>
  <c r="I67" i="49"/>
  <c r="Z239" i="16"/>
  <c r="Z237" i="16"/>
  <c r="Z238" i="16"/>
  <c r="Z233" i="16"/>
  <c r="Z235" i="16"/>
  <c r="I66" i="49"/>
  <c r="Z230" i="16"/>
  <c r="M868" i="16"/>
  <c r="AG110" i="21" s="1"/>
  <c r="J1001" i="14"/>
  <c r="L254" i="2"/>
  <c r="L223" i="15"/>
  <c r="J191" i="48" s="1"/>
  <c r="W254" i="2"/>
  <c r="W258" i="2" s="1"/>
  <c r="L986" i="14"/>
  <c r="M506" i="16"/>
  <c r="I995" i="14"/>
  <c r="I1002" i="14" s="1"/>
  <c r="L619" i="16"/>
  <c r="Z228" i="16"/>
  <c r="P262" i="14"/>
  <c r="M1039" i="14"/>
  <c r="O220" i="16"/>
  <c r="L616" i="16"/>
  <c r="L618" i="16"/>
  <c r="M1067" i="14"/>
  <c r="M252" i="2"/>
  <c r="M256" i="2"/>
  <c r="J284" i="15"/>
  <c r="M221" i="15"/>
  <c r="M222" i="15" s="1"/>
  <c r="M237" i="15" s="1"/>
  <c r="N370" i="14"/>
  <c r="G997" i="14"/>
  <c r="G998" i="14" s="1"/>
  <c r="N218" i="15"/>
  <c r="N219" i="15" s="1"/>
  <c r="N236" i="15" s="1"/>
  <c r="R58" i="32"/>
  <c r="R56" i="32"/>
  <c r="H1022" i="14"/>
  <c r="H1013" i="14"/>
  <c r="L226" i="14"/>
  <c r="K650" i="14"/>
  <c r="J1087" i="14"/>
  <c r="K775" i="14"/>
  <c r="J118" i="48" s="1"/>
  <c r="K673" i="14"/>
  <c r="K649" i="14"/>
  <c r="N259" i="48"/>
  <c r="N183" i="48"/>
  <c r="I245" i="2" s="1"/>
  <c r="K245" i="2" s="1"/>
  <c r="B245" i="2" s="1"/>
  <c r="K118" i="15"/>
  <c r="K146" i="15"/>
  <c r="K149" i="15" s="1"/>
  <c r="L378" i="14"/>
  <c r="K1047" i="14"/>
  <c r="K1052" i="14" s="1"/>
  <c r="L600" i="14"/>
  <c r="L611" i="14" s="1"/>
  <c r="I218" i="14"/>
  <c r="H85" i="48" s="1"/>
  <c r="L612" i="4"/>
  <c r="M85" i="4"/>
  <c r="M118" i="4"/>
  <c r="N276" i="15"/>
  <c r="N83" i="15"/>
  <c r="N229" i="15" s="1"/>
  <c r="F1004" i="14"/>
  <c r="F998" i="14"/>
  <c r="M21" i="14"/>
  <c r="M23" i="14" s="1"/>
  <c r="L987" i="14"/>
  <c r="L682" i="14"/>
  <c r="L627" i="14"/>
  <c r="L629" i="14" s="1"/>
  <c r="L630" i="14" s="1"/>
  <c r="L820" i="14"/>
  <c r="N162" i="4"/>
  <c r="N193" i="4" s="1"/>
  <c r="N245" i="4"/>
  <c r="N171" i="4"/>
  <c r="M26" i="48" s="1"/>
  <c r="N161" i="4"/>
  <c r="N192" i="4" s="1"/>
  <c r="N159" i="4"/>
  <c r="N190" i="4" s="1"/>
  <c r="N160" i="4"/>
  <c r="N191" i="4" s="1"/>
  <c r="N242" i="4"/>
  <c r="H93" i="48"/>
  <c r="I225" i="14"/>
  <c r="H91" i="48" s="1"/>
  <c r="H89" i="48"/>
  <c r="W244" i="16" s="1"/>
  <c r="H251" i="48"/>
  <c r="H163" i="48"/>
  <c r="M1049" i="14"/>
  <c r="G708" i="4"/>
  <c r="O81" i="15"/>
  <c r="P79" i="15"/>
  <c r="P80" i="15" s="1"/>
  <c r="O67" i="15"/>
  <c r="M158" i="48" s="1"/>
  <c r="O168" i="4"/>
  <c r="O163" i="4"/>
  <c r="J157" i="4"/>
  <c r="J167" i="4"/>
  <c r="M217" i="14"/>
  <c r="M219" i="14" s="1"/>
  <c r="L87" i="48" s="1"/>
  <c r="M214" i="14"/>
  <c r="M222" i="14"/>
  <c r="M224" i="14" s="1"/>
  <c r="L33" i="14"/>
  <c r="L25" i="14"/>
  <c r="L239" i="15"/>
  <c r="P62" i="29"/>
  <c r="G201" i="48"/>
  <c r="G24" i="48"/>
  <c r="G649" i="14"/>
  <c r="G650" i="14"/>
  <c r="F1087" i="14"/>
  <c r="G775" i="14"/>
  <c r="F118" i="48" s="1"/>
  <c r="G673" i="14"/>
  <c r="G648" i="14"/>
  <c r="O370" i="14"/>
  <c r="O359" i="14"/>
  <c r="O368" i="14" s="1"/>
  <c r="O626" i="14" s="1"/>
  <c r="I775" i="14"/>
  <c r="H118" i="48" s="1"/>
  <c r="H1087" i="14"/>
  <c r="I650" i="14"/>
  <c r="I673" i="14"/>
  <c r="I648" i="14"/>
  <c r="N129" i="4"/>
  <c r="N777" i="4"/>
  <c r="N778" i="4"/>
  <c r="N784" i="4" s="1"/>
  <c r="N780" i="4"/>
  <c r="N786" i="4" s="1"/>
  <c r="N779" i="4"/>
  <c r="N785" i="4" s="1"/>
  <c r="N781" i="4"/>
  <c r="N787" i="4" s="1"/>
  <c r="N113" i="4"/>
  <c r="J775" i="14"/>
  <c r="I118" i="48" s="1"/>
  <c r="J650" i="14"/>
  <c r="I1087" i="14"/>
  <c r="J673" i="14"/>
  <c r="J649" i="14"/>
  <c r="K592" i="16"/>
  <c r="O179" i="4"/>
  <c r="O176" i="4" s="1"/>
  <c r="O124" i="4"/>
  <c r="O98" i="4"/>
  <c r="O97" i="4"/>
  <c r="O96" i="4"/>
  <c r="O99" i="4"/>
  <c r="L834" i="4"/>
  <c r="L291" i="4"/>
  <c r="L1076" i="14"/>
  <c r="L1071" i="14"/>
  <c r="J996" i="14"/>
  <c r="Z227" i="16"/>
  <c r="I64" i="49"/>
  <c r="J65" i="14"/>
  <c r="J67" i="14" s="1"/>
  <c r="J211" i="14" s="1"/>
  <c r="J49" i="14"/>
  <c r="G319" i="4"/>
  <c r="G207" i="4"/>
  <c r="L1017" i="14"/>
  <c r="M189" i="4"/>
  <c r="M320" i="4" s="1"/>
  <c r="M215" i="4"/>
  <c r="M283" i="4"/>
  <c r="M300" i="4" s="1"/>
  <c r="N44" i="14"/>
  <c r="M1008" i="14" s="1"/>
  <c r="N46" i="14"/>
  <c r="N247" i="14" s="1"/>
  <c r="N362" i="14"/>
  <c r="M370" i="14"/>
  <c r="M359" i="14"/>
  <c r="M368" i="14" s="1"/>
  <c r="M626" i="14" s="1"/>
  <c r="K136" i="4"/>
  <c r="K140" i="4" s="1"/>
  <c r="K108" i="4"/>
  <c r="O371" i="14"/>
  <c r="I244" i="4"/>
  <c r="I241" i="4"/>
  <c r="I170" i="4"/>
  <c r="I155" i="4"/>
  <c r="I187" i="4" s="1"/>
  <c r="I154" i="4"/>
  <c r="I186" i="4" s="1"/>
  <c r="I153" i="4"/>
  <c r="I185" i="4" s="1"/>
  <c r="I172" i="4"/>
  <c r="H28" i="48" s="1"/>
  <c r="I156" i="4"/>
  <c r="I188" i="4" s="1"/>
  <c r="F833" i="4"/>
  <c r="F290" i="4"/>
  <c r="P227" i="15"/>
  <c r="P208" i="15"/>
  <c r="N261" i="48" s="1"/>
  <c r="N181" i="48" s="1"/>
  <c r="I244" i="2" s="1"/>
  <c r="K244" i="2" s="1"/>
  <c r="B244" i="2" s="1"/>
  <c r="H678" i="14"/>
  <c r="H681" i="14" s="1"/>
  <c r="H677" i="14"/>
  <c r="H680" i="14" s="1"/>
  <c r="H676" i="14"/>
  <c r="H679" i="14" s="1"/>
  <c r="J161" i="48"/>
  <c r="J249" i="48"/>
  <c r="J598" i="16"/>
  <c r="M238" i="15"/>
  <c r="J724" i="16"/>
  <c r="J726" i="16" s="1"/>
  <c r="H1002" i="14"/>
  <c r="H996" i="14"/>
  <c r="V721" i="16"/>
  <c r="V722" i="16" s="1"/>
  <c r="Q285" i="29"/>
  <c r="I1054" i="14"/>
  <c r="I1060" i="14" s="1"/>
  <c r="I1059" i="14"/>
  <c r="M93" i="15"/>
  <c r="M268" i="15" s="1"/>
  <c r="M277" i="15" s="1"/>
  <c r="M114" i="15"/>
  <c r="K169" i="48" s="1"/>
  <c r="K185" i="48"/>
  <c r="M267" i="15"/>
  <c r="M148" i="15"/>
  <c r="M94" i="15"/>
  <c r="K167" i="48" s="1"/>
  <c r="M113" i="15"/>
  <c r="I284" i="15"/>
  <c r="I128" i="15"/>
  <c r="I270" i="15"/>
  <c r="L86" i="4"/>
  <c r="L87" i="4"/>
  <c r="L137" i="4" s="1"/>
  <c r="L89" i="4"/>
  <c r="L139" i="4" s="1"/>
  <c r="L88" i="4"/>
  <c r="L138" i="4" s="1"/>
  <c r="F708" i="4"/>
  <c r="K648" i="14"/>
  <c r="L269" i="15"/>
  <c r="L116" i="15"/>
  <c r="L118" i="15" s="1"/>
  <c r="H184" i="4"/>
  <c r="H282" i="4"/>
  <c r="H214" i="4"/>
  <c r="I1023" i="14"/>
  <c r="I1014" i="14"/>
  <c r="N506" i="16"/>
  <c r="T99" i="32" s="1"/>
  <c r="M254" i="2"/>
  <c r="M616" i="16"/>
  <c r="N1039" i="14"/>
  <c r="M619" i="16"/>
  <c r="M618" i="16"/>
  <c r="P220" i="16"/>
  <c r="T55" i="29" s="1"/>
  <c r="T56" i="29" s="1"/>
  <c r="E181" i="16"/>
  <c r="G1021" i="14"/>
  <c r="G1020" i="14"/>
  <c r="J270" i="15"/>
  <c r="O101" i="4"/>
  <c r="O102" i="4"/>
  <c r="O103" i="4"/>
  <c r="O104" i="4"/>
  <c r="J1024" i="14"/>
  <c r="J1015" i="14"/>
  <c r="H228" i="14"/>
  <c r="G833" i="4"/>
  <c r="G290" i="4"/>
  <c r="K1016" i="14"/>
  <c r="K1025" i="14"/>
  <c r="AA231" i="16" l="1"/>
  <c r="M919" i="14"/>
  <c r="K993" i="14"/>
  <c r="K1000" i="14" s="1"/>
  <c r="N1210" i="14"/>
  <c r="N1236" i="14"/>
  <c r="N1237" i="14" s="1"/>
  <c r="N1242" i="14" s="1"/>
  <c r="O1233" i="14"/>
  <c r="M882" i="14"/>
  <c r="M1243" i="14"/>
  <c r="M1244" i="14"/>
  <c r="N1259" i="14"/>
  <c r="O21" i="14"/>
  <c r="O23" i="14" s="1"/>
  <c r="O1259" i="14"/>
  <c r="K65" i="14"/>
  <c r="K67" i="14" s="1"/>
  <c r="K211" i="14" s="1"/>
  <c r="K221" i="14" s="1"/>
  <c r="K223" i="14" s="1"/>
  <c r="O964" i="14"/>
  <c r="O941" i="14"/>
  <c r="M938" i="14"/>
  <c r="M961" i="14"/>
  <c r="M964" i="14"/>
  <c r="M941" i="14"/>
  <c r="G863" i="14"/>
  <c r="G868" i="14" s="1"/>
  <c r="G875" i="14"/>
  <c r="G877" i="14" s="1"/>
  <c r="G886" i="14" s="1"/>
  <c r="N964" i="14"/>
  <c r="N941" i="14"/>
  <c r="L867" i="14"/>
  <c r="L885" i="14"/>
  <c r="L862" i="14"/>
  <c r="L874" i="14"/>
  <c r="F863" i="14"/>
  <c r="F868" i="14" s="1"/>
  <c r="F875" i="14"/>
  <c r="F877" i="14" s="1"/>
  <c r="F886" i="14" s="1"/>
  <c r="K293" i="15"/>
  <c r="H136" i="15"/>
  <c r="AE1205" i="14"/>
  <c r="AE1203" i="14"/>
  <c r="AE1204" i="14"/>
  <c r="AE1208" i="14"/>
  <c r="AE1206" i="14"/>
  <c r="AE1207" i="14"/>
  <c r="AE1202" i="14"/>
  <c r="AE1201" i="14"/>
  <c r="AE1200" i="14"/>
  <c r="H703" i="16"/>
  <c r="H705" i="16" s="1"/>
  <c r="T265" i="2"/>
  <c r="T272" i="2" s="1"/>
  <c r="H745" i="16"/>
  <c r="H747" i="16" s="1"/>
  <c r="P63" i="29"/>
  <c r="L231" i="15" s="1"/>
  <c r="J189" i="48" s="1"/>
  <c r="K1071" i="14"/>
  <c r="K1072" i="14" s="1"/>
  <c r="K1074" i="14" s="1"/>
  <c r="N386" i="4"/>
  <c r="N742" i="4"/>
  <c r="N713" i="4"/>
  <c r="F328" i="4"/>
  <c r="F852" i="14" s="1"/>
  <c r="F857" i="14" s="1"/>
  <c r="I382" i="4"/>
  <c r="I738" i="4"/>
  <c r="I709" i="4" s="1"/>
  <c r="I411" i="4"/>
  <c r="N388" i="4"/>
  <c r="N744" i="4"/>
  <c r="N715" i="4"/>
  <c r="H299" i="4"/>
  <c r="N387" i="4"/>
  <c r="N743" i="4"/>
  <c r="N714" i="4"/>
  <c r="I381" i="4"/>
  <c r="I737" i="4"/>
  <c r="I410" i="4"/>
  <c r="N389" i="4"/>
  <c r="N745" i="4"/>
  <c r="N716" i="4"/>
  <c r="I384" i="4"/>
  <c r="I740" i="4"/>
  <c r="I711" i="4" s="1"/>
  <c r="I413" i="4"/>
  <c r="I383" i="4"/>
  <c r="I739" i="4"/>
  <c r="I412" i="4"/>
  <c r="N987" i="14"/>
  <c r="N488" i="14"/>
  <c r="O962" i="14" s="1"/>
  <c r="N1009" i="14"/>
  <c r="L967" i="14"/>
  <c r="L229" i="14"/>
  <c r="L993" i="14"/>
  <c r="L1000" i="14" s="1"/>
  <c r="N985" i="14"/>
  <c r="N992" i="14" s="1"/>
  <c r="N999" i="14" s="1"/>
  <c r="M992" i="14"/>
  <c r="M999" i="14" s="1"/>
  <c r="M376" i="14"/>
  <c r="M377" i="14"/>
  <c r="N21" i="14"/>
  <c r="N23" i="14" s="1"/>
  <c r="N33" i="14" s="1"/>
  <c r="L944" i="14"/>
  <c r="N493" i="14"/>
  <c r="M108" i="48" s="1"/>
  <c r="N599" i="14"/>
  <c r="M1046" i="14"/>
  <c r="M1051" i="14" s="1"/>
  <c r="M1057" i="14" s="1"/>
  <c r="N487" i="14"/>
  <c r="M818" i="14"/>
  <c r="M819" i="14" s="1"/>
  <c r="M595" i="14"/>
  <c r="O599" i="14"/>
  <c r="O493" i="14"/>
  <c r="N108" i="48" s="1"/>
  <c r="O487" i="14"/>
  <c r="N1046" i="14"/>
  <c r="N1051" i="14" s="1"/>
  <c r="N1057" i="14" s="1"/>
  <c r="M499" i="14"/>
  <c r="M500" i="14"/>
  <c r="M490" i="14"/>
  <c r="M492" i="14"/>
  <c r="L223" i="48" s="1"/>
  <c r="M1018" i="14"/>
  <c r="M1026" i="14" s="1"/>
  <c r="N1007" i="14"/>
  <c r="N1018" i="14" s="1"/>
  <c r="N1026" i="14" s="1"/>
  <c r="U181" i="16"/>
  <c r="L620" i="16" s="1"/>
  <c r="J271" i="15"/>
  <c r="F253" i="48"/>
  <c r="J170" i="15"/>
  <c r="H165" i="48" s="1"/>
  <c r="I124" i="15"/>
  <c r="I126" i="15" s="1"/>
  <c r="I129" i="15"/>
  <c r="J130" i="15"/>
  <c r="J133" i="15" s="1"/>
  <c r="J163" i="15"/>
  <c r="J155" i="15"/>
  <c r="J159" i="15"/>
  <c r="H167" i="15"/>
  <c r="S60" i="32"/>
  <c r="S99" i="32"/>
  <c r="AA240" i="16"/>
  <c r="L1211" i="14"/>
  <c r="L1216" i="14" s="1"/>
  <c r="J658" i="14"/>
  <c r="J659" i="14"/>
  <c r="K658" i="14"/>
  <c r="K659" i="14"/>
  <c r="M1211" i="14"/>
  <c r="M1216" i="14" s="1"/>
  <c r="S56" i="32"/>
  <c r="L592" i="16"/>
  <c r="S55" i="29"/>
  <c r="J75" i="49"/>
  <c r="J76" i="49"/>
  <c r="T38" i="49"/>
  <c r="F199" i="4"/>
  <c r="F322" i="4" s="1"/>
  <c r="F194" i="4"/>
  <c r="F321" i="4" s="1"/>
  <c r="F751" i="14"/>
  <c r="F674" i="14"/>
  <c r="F675" i="14"/>
  <c r="F676" i="14" s="1"/>
  <c r="F679" i="14" s="1"/>
  <c r="L596" i="14"/>
  <c r="L615" i="14"/>
  <c r="F206" i="4"/>
  <c r="F205" i="4"/>
  <c r="F611" i="4"/>
  <c r="X254" i="2"/>
  <c r="X258" i="2" s="1"/>
  <c r="S58" i="32"/>
  <c r="T57" i="32"/>
  <c r="S57" i="32"/>
  <c r="J65" i="49"/>
  <c r="J62" i="49"/>
  <c r="J63" i="49"/>
  <c r="J68" i="49"/>
  <c r="J67" i="49"/>
  <c r="J74" i="49"/>
  <c r="J70" i="49"/>
  <c r="J71" i="49"/>
  <c r="J66" i="49"/>
  <c r="J72" i="49"/>
  <c r="J69" i="49"/>
  <c r="J73" i="49"/>
  <c r="AA237" i="16"/>
  <c r="AB239" i="16"/>
  <c r="AA239" i="16"/>
  <c r="AA238" i="16"/>
  <c r="AA233" i="16"/>
  <c r="AB238" i="16"/>
  <c r="AA235" i="16"/>
  <c r="AB235" i="16"/>
  <c r="AA228" i="16"/>
  <c r="AA230" i="16"/>
  <c r="L559" i="4"/>
  <c r="G1004" i="14"/>
  <c r="I996" i="14"/>
  <c r="I997" i="14" s="1"/>
  <c r="T58" i="32"/>
  <c r="M223" i="15"/>
  <c r="K191" i="48" s="1"/>
  <c r="Y254" i="2"/>
  <c r="N616" i="16"/>
  <c r="N619" i="16"/>
  <c r="N618" i="16"/>
  <c r="T56" i="32"/>
  <c r="T60" i="32"/>
  <c r="M986" i="14"/>
  <c r="N986" i="14" s="1"/>
  <c r="AA227" i="16"/>
  <c r="J64" i="49"/>
  <c r="O506" i="16"/>
  <c r="N221" i="15"/>
  <c r="N222" i="15" s="1"/>
  <c r="N237" i="15" s="1"/>
  <c r="O218" i="15"/>
  <c r="O219" i="15" s="1"/>
  <c r="O236" i="15" s="1"/>
  <c r="N1008" i="14"/>
  <c r="M1017" i="14"/>
  <c r="N1065" i="14"/>
  <c r="N1070" i="14" s="1"/>
  <c r="O159" i="4"/>
  <c r="O190" i="4" s="1"/>
  <c r="O161" i="4"/>
  <c r="O192" i="4" s="1"/>
  <c r="O245" i="4"/>
  <c r="O162" i="4"/>
  <c r="O193" i="4" s="1"/>
  <c r="O171" i="4"/>
  <c r="N26" i="48" s="1"/>
  <c r="I209" i="2" s="1"/>
  <c r="K209" i="2" s="1"/>
  <c r="B209" i="2" s="1"/>
  <c r="O160" i="4"/>
  <c r="O191" i="4" s="1"/>
  <c r="O242" i="4"/>
  <c r="K1058" i="14"/>
  <c r="K1053" i="14"/>
  <c r="S506" i="16"/>
  <c r="U99" i="32" s="1"/>
  <c r="E220" i="16"/>
  <c r="L136" i="4"/>
  <c r="L140" i="4" s="1"/>
  <c r="L108" i="4"/>
  <c r="K157" i="4"/>
  <c r="K167" i="4"/>
  <c r="M627" i="14"/>
  <c r="M629" i="14" s="1"/>
  <c r="M630" i="14" s="1"/>
  <c r="M682" i="14"/>
  <c r="M820" i="14"/>
  <c r="M612" i="4"/>
  <c r="J1003" i="14"/>
  <c r="J997" i="14"/>
  <c r="O276" i="15"/>
  <c r="O83" i="15"/>
  <c r="O229" i="15" s="1"/>
  <c r="I228" i="14"/>
  <c r="L647" i="14"/>
  <c r="L783" i="14" s="1"/>
  <c r="I163" i="48"/>
  <c r="I251" i="48"/>
  <c r="K675" i="14"/>
  <c r="J1088" i="14"/>
  <c r="K674" i="14"/>
  <c r="H1021" i="14"/>
  <c r="H1020" i="14"/>
  <c r="M592" i="16"/>
  <c r="H708" i="4"/>
  <c r="K161" i="48"/>
  <c r="K249" i="48"/>
  <c r="L560" i="4"/>
  <c r="L563" i="4" s="1"/>
  <c r="L561" i="4"/>
  <c r="L562" i="4"/>
  <c r="I282" i="4"/>
  <c r="I184" i="4"/>
  <c r="I214" i="4"/>
  <c r="K598" i="16"/>
  <c r="N238" i="15"/>
  <c r="K724" i="16"/>
  <c r="K726" i="16" s="1"/>
  <c r="N360" i="14"/>
  <c r="N369" i="14" s="1"/>
  <c r="N626" i="14" s="1"/>
  <c r="N371" i="14"/>
  <c r="M291" i="4"/>
  <c r="M834" i="4"/>
  <c r="G328" i="4"/>
  <c r="G852" i="14" s="1"/>
  <c r="G194" i="4"/>
  <c r="G206" i="4"/>
  <c r="G199" i="4"/>
  <c r="G205" i="4"/>
  <c r="O129" i="4"/>
  <c r="O777" i="4"/>
  <c r="O778" i="4"/>
  <c r="O784" i="4" s="1"/>
  <c r="O779" i="4"/>
  <c r="O785" i="4" s="1"/>
  <c r="O780" i="4"/>
  <c r="O786" i="4" s="1"/>
  <c r="O113" i="4"/>
  <c r="O781" i="4"/>
  <c r="O787" i="4" s="1"/>
  <c r="W721" i="16"/>
  <c r="W722" i="16" s="1"/>
  <c r="R285" i="29"/>
  <c r="N85" i="4"/>
  <c r="N118" i="4"/>
  <c r="N1047" i="14"/>
  <c r="O600" i="14"/>
  <c r="O378" i="14"/>
  <c r="L47" i="14"/>
  <c r="L35" i="14"/>
  <c r="M226" i="14"/>
  <c r="M229" i="14"/>
  <c r="J155" i="4"/>
  <c r="J187" i="4" s="1"/>
  <c r="J241" i="4"/>
  <c r="J154" i="4"/>
  <c r="J186" i="4" s="1"/>
  <c r="J153" i="4"/>
  <c r="J185" i="4" s="1"/>
  <c r="J172" i="4"/>
  <c r="I28" i="48" s="1"/>
  <c r="J244" i="4"/>
  <c r="J170" i="4"/>
  <c r="J156" i="4"/>
  <c r="J188" i="4" s="1"/>
  <c r="N283" i="4"/>
  <c r="N300" i="4" s="1"/>
  <c r="N215" i="4"/>
  <c r="N189" i="4"/>
  <c r="N320" i="4" s="1"/>
  <c r="M25" i="14"/>
  <c r="M33" i="14"/>
  <c r="M87" i="4"/>
  <c r="M137" i="4" s="1"/>
  <c r="M88" i="4"/>
  <c r="M138" i="4" s="1"/>
  <c r="M89" i="4"/>
  <c r="M139" i="4" s="1"/>
  <c r="M86" i="4"/>
  <c r="O33" i="14"/>
  <c r="O25" i="14"/>
  <c r="M1009" i="14"/>
  <c r="N22" i="14"/>
  <c r="N24" i="14" s="1"/>
  <c r="N34" i="14" s="1"/>
  <c r="N48" i="14" s="1"/>
  <c r="N66" i="14" s="1"/>
  <c r="N212" i="14" s="1"/>
  <c r="G611" i="4"/>
  <c r="G629" i="4"/>
  <c r="P81" i="15"/>
  <c r="P67" i="15"/>
  <c r="N158" i="48" s="1"/>
  <c r="K1024" i="14"/>
  <c r="K1015" i="14"/>
  <c r="J1023" i="14"/>
  <c r="J1014" i="14"/>
  <c r="H290" i="4"/>
  <c r="H833" i="4"/>
  <c r="L122" i="15"/>
  <c r="J171" i="48" s="1"/>
  <c r="L121" i="15"/>
  <c r="L284" i="15" s="1"/>
  <c r="L131" i="15"/>
  <c r="M116" i="15"/>
  <c r="M269" i="15"/>
  <c r="I710" i="4"/>
  <c r="K106" i="48"/>
  <c r="L494" i="14"/>
  <c r="K98" i="48" s="1"/>
  <c r="K131" i="15"/>
  <c r="K121" i="15"/>
  <c r="K122" i="15"/>
  <c r="I171" i="48" s="1"/>
  <c r="I1013" i="14"/>
  <c r="I1022" i="14"/>
  <c r="H319" i="4"/>
  <c r="H207" i="4"/>
  <c r="L146" i="15"/>
  <c r="L149" i="15" s="1"/>
  <c r="H1003" i="14"/>
  <c r="H997" i="14"/>
  <c r="H683" i="14"/>
  <c r="G112" i="48" s="1"/>
  <c r="V245" i="16" s="1"/>
  <c r="S39" i="49" s="1"/>
  <c r="H201" i="48"/>
  <c r="H24" i="48"/>
  <c r="O217" i="14"/>
  <c r="O219" i="14" s="1"/>
  <c r="N87" i="48" s="1"/>
  <c r="I224" i="2" s="1"/>
  <c r="K224" i="2" s="1"/>
  <c r="B224" i="2" s="1"/>
  <c r="O222" i="14"/>
  <c r="O224" i="14" s="1"/>
  <c r="O214" i="14"/>
  <c r="M600" i="14"/>
  <c r="M611" i="14" s="1"/>
  <c r="M378" i="14"/>
  <c r="L1047" i="14"/>
  <c r="L1052" i="14" s="1"/>
  <c r="M987" i="14"/>
  <c r="L1025" i="14"/>
  <c r="L1016" i="14"/>
  <c r="J221" i="14"/>
  <c r="J223" i="14" s="1"/>
  <c r="J216" i="14"/>
  <c r="J213" i="14"/>
  <c r="J231" i="14"/>
  <c r="J232" i="14" s="1"/>
  <c r="I221" i="48" s="1"/>
  <c r="L1075" i="14"/>
  <c r="L1072" i="14"/>
  <c r="L1074" i="14" s="1"/>
  <c r="J674" i="14"/>
  <c r="J675" i="14"/>
  <c r="I1088" i="14"/>
  <c r="H1088" i="14"/>
  <c r="I675" i="14"/>
  <c r="I674" i="14"/>
  <c r="O682" i="14"/>
  <c r="O627" i="14"/>
  <c r="O629" i="14" s="1"/>
  <c r="O630" i="14" s="1"/>
  <c r="O820" i="14"/>
  <c r="F1088" i="14"/>
  <c r="G675" i="14"/>
  <c r="G674" i="14"/>
  <c r="M239" i="15"/>
  <c r="Q62" i="29"/>
  <c r="N148" i="15"/>
  <c r="N113" i="15"/>
  <c r="N94" i="15"/>
  <c r="L167" i="48" s="1"/>
  <c r="L185" i="48"/>
  <c r="N114" i="15"/>
  <c r="L169" i="48" s="1"/>
  <c r="N267" i="15"/>
  <c r="N93" i="15"/>
  <c r="N268" i="15" s="1"/>
  <c r="N277" i="15" s="1"/>
  <c r="AC231" i="16" l="1"/>
  <c r="K62" i="49"/>
  <c r="K231" i="14"/>
  <c r="K232" i="14" s="1"/>
  <c r="J221" i="48" s="1"/>
  <c r="K216" i="14"/>
  <c r="K861" i="14" s="1"/>
  <c r="K1075" i="14"/>
  <c r="K213" i="14"/>
  <c r="J93" i="48" s="1"/>
  <c r="N919" i="14"/>
  <c r="M866" i="14"/>
  <c r="M918" i="14"/>
  <c r="L866" i="14"/>
  <c r="L918" i="14"/>
  <c r="K994" i="14"/>
  <c r="K1001" i="14" s="1"/>
  <c r="N882" i="14"/>
  <c r="N1244" i="14"/>
  <c r="N1243" i="14"/>
  <c r="M1217" i="14"/>
  <c r="M1218" i="14"/>
  <c r="L1218" i="14"/>
  <c r="L1217" i="14"/>
  <c r="M657" i="14"/>
  <c r="L657" i="14"/>
  <c r="I745" i="16"/>
  <c r="I747" i="16" s="1"/>
  <c r="N965" i="14"/>
  <c r="N942" i="14"/>
  <c r="O961" i="14"/>
  <c r="O938" i="14"/>
  <c r="N938" i="14"/>
  <c r="N961" i="14"/>
  <c r="H863" i="14"/>
  <c r="H868" i="14" s="1"/>
  <c r="H875" i="14"/>
  <c r="H877" i="14" s="1"/>
  <c r="H886" i="14" s="1"/>
  <c r="O939" i="14"/>
  <c r="M862" i="14"/>
  <c r="M867" i="14"/>
  <c r="M885" i="14"/>
  <c r="M874" i="14"/>
  <c r="O965" i="14"/>
  <c r="J861" i="14"/>
  <c r="J873" i="14"/>
  <c r="N962" i="14"/>
  <c r="N939" i="14"/>
  <c r="O942" i="14"/>
  <c r="H253" i="48"/>
  <c r="AE1210" i="14"/>
  <c r="L293" i="15"/>
  <c r="U265" i="2"/>
  <c r="U272" i="2" s="1"/>
  <c r="I703" i="16"/>
  <c r="I705" i="16" s="1"/>
  <c r="Q63" i="29"/>
  <c r="M231" i="15" s="1"/>
  <c r="K189" i="48" s="1"/>
  <c r="S56" i="29"/>
  <c r="S285" i="29" s="1"/>
  <c r="F340" i="4"/>
  <c r="F365" i="4" s="1"/>
  <c r="F337" i="4"/>
  <c r="F362" i="4" s="1"/>
  <c r="F347" i="4"/>
  <c r="F372" i="4" s="1"/>
  <c r="F333" i="4"/>
  <c r="F358" i="4" s="1"/>
  <c r="F342" i="4"/>
  <c r="F694" i="4" s="1"/>
  <c r="F350" i="4"/>
  <c r="F702" i="4" s="1"/>
  <c r="F343" i="4"/>
  <c r="F368" i="4" s="1"/>
  <c r="F331" i="4"/>
  <c r="F330" i="4"/>
  <c r="F682" i="4" s="1"/>
  <c r="F346" i="4"/>
  <c r="F371" i="4" s="1"/>
  <c r="F341" i="4"/>
  <c r="F366" i="4" s="1"/>
  <c r="F335" i="4"/>
  <c r="F687" i="4" s="1"/>
  <c r="F351" i="4"/>
  <c r="F703" i="4" s="1"/>
  <c r="F336" i="4"/>
  <c r="F688" i="4" s="1"/>
  <c r="F348" i="4"/>
  <c r="F373" i="4" s="1"/>
  <c r="F345" i="4"/>
  <c r="F370" i="4" s="1"/>
  <c r="F338" i="4"/>
  <c r="F690" i="4" s="1"/>
  <c r="F332" i="4"/>
  <c r="F684" i="4" s="1"/>
  <c r="J383" i="4"/>
  <c r="J739" i="4"/>
  <c r="J710" i="4" s="1"/>
  <c r="J412" i="4"/>
  <c r="J384" i="4"/>
  <c r="J740" i="4"/>
  <c r="J711" i="4" s="1"/>
  <c r="J413" i="4"/>
  <c r="J381" i="4"/>
  <c r="J737" i="4"/>
  <c r="J410" i="4"/>
  <c r="G401" i="4"/>
  <c r="G757" i="4"/>
  <c r="G728" i="4"/>
  <c r="G832" i="4"/>
  <c r="G758" i="4"/>
  <c r="G729" i="4" s="1"/>
  <c r="G402" i="4"/>
  <c r="I299" i="4"/>
  <c r="O387" i="4"/>
  <c r="O743" i="4"/>
  <c r="O714" i="4"/>
  <c r="O388" i="4"/>
  <c r="O744" i="4"/>
  <c r="O715" i="4"/>
  <c r="F401" i="4"/>
  <c r="F757" i="4"/>
  <c r="F728" i="4"/>
  <c r="O389" i="4"/>
  <c r="O745" i="4"/>
  <c r="O716" i="4"/>
  <c r="F367" i="4"/>
  <c r="J382" i="4"/>
  <c r="J738" i="4"/>
  <c r="J709" i="4" s="1"/>
  <c r="J411" i="4"/>
  <c r="F692" i="4"/>
  <c r="O386" i="4"/>
  <c r="O742" i="4"/>
  <c r="O713" i="4"/>
  <c r="F832" i="4"/>
  <c r="F758" i="4"/>
  <c r="F729" i="4" s="1"/>
  <c r="F402" i="4"/>
  <c r="F625" i="4"/>
  <c r="F645" i="4" s="1"/>
  <c r="G625" i="4"/>
  <c r="G645" i="4" s="1"/>
  <c r="L994" i="14"/>
  <c r="L1001" i="14" s="1"/>
  <c r="O376" i="14"/>
  <c r="O611" i="14"/>
  <c r="M967" i="14"/>
  <c r="N993" i="14"/>
  <c r="N1000" i="14" s="1"/>
  <c r="N1017" i="14"/>
  <c r="N1025" i="14" s="1"/>
  <c r="O818" i="14"/>
  <c r="O819" i="14" s="1"/>
  <c r="O595" i="14"/>
  <c r="O499" i="14"/>
  <c r="O500" i="14"/>
  <c r="O490" i="14"/>
  <c r="O492" i="14"/>
  <c r="N223" i="48" s="1"/>
  <c r="N595" i="14"/>
  <c r="N818" i="14"/>
  <c r="N819" i="14" s="1"/>
  <c r="N377" i="14"/>
  <c r="N499" i="14"/>
  <c r="N500" i="14"/>
  <c r="N490" i="14"/>
  <c r="N376" i="14"/>
  <c r="M944" i="14"/>
  <c r="N1052" i="14"/>
  <c r="N1058" i="14" s="1"/>
  <c r="O377" i="14"/>
  <c r="N492" i="14"/>
  <c r="M223" i="48" s="1"/>
  <c r="G620" i="16"/>
  <c r="I620" i="16"/>
  <c r="D620" i="16"/>
  <c r="F620" i="16"/>
  <c r="K620" i="16"/>
  <c r="H620" i="16"/>
  <c r="M620" i="16"/>
  <c r="E620" i="16"/>
  <c r="J620" i="16"/>
  <c r="T506" i="16"/>
  <c r="I170" i="15"/>
  <c r="G165" i="48" s="1"/>
  <c r="J135" i="15"/>
  <c r="I130" i="15"/>
  <c r="I133" i="15" s="1"/>
  <c r="I135" i="15" s="1"/>
  <c r="I271" i="15"/>
  <c r="I155" i="15"/>
  <c r="I163" i="15"/>
  <c r="I159" i="15"/>
  <c r="J167" i="15"/>
  <c r="Z56" i="32"/>
  <c r="AA56" i="32" s="1"/>
  <c r="AB240" i="16"/>
  <c r="AC240" i="16"/>
  <c r="AB228" i="16"/>
  <c r="AB231" i="16"/>
  <c r="F913" i="14"/>
  <c r="E144" i="48" s="1"/>
  <c r="N1211" i="14"/>
  <c r="N1216" i="14" s="1"/>
  <c r="AB233" i="16"/>
  <c r="AB230" i="16"/>
  <c r="AB237" i="16"/>
  <c r="K76" i="49"/>
  <c r="N592" i="16"/>
  <c r="F37" i="41" s="1"/>
  <c r="F195" i="4"/>
  <c r="F198" i="4"/>
  <c r="F197" i="4"/>
  <c r="F196" i="4"/>
  <c r="F202" i="4"/>
  <c r="F201" i="4"/>
  <c r="F200" i="4"/>
  <c r="F203" i="4"/>
  <c r="K75" i="49"/>
  <c r="V179" i="16"/>
  <c r="L76" i="49"/>
  <c r="L75" i="49"/>
  <c r="G751" i="14"/>
  <c r="F678" i="14"/>
  <c r="F681" i="14" s="1"/>
  <c r="F677" i="14"/>
  <c r="F680" i="14" s="1"/>
  <c r="L610" i="14"/>
  <c r="L612" i="14" s="1"/>
  <c r="O596" i="14"/>
  <c r="O615" i="14"/>
  <c r="M596" i="14"/>
  <c r="M615" i="14"/>
  <c r="L608" i="14"/>
  <c r="L614" i="14"/>
  <c r="L616" i="14" s="1"/>
  <c r="L617" i="14" s="1"/>
  <c r="F323" i="4"/>
  <c r="F218" i="4"/>
  <c r="F286" i="4"/>
  <c r="F303" i="4" s="1"/>
  <c r="F219" i="4"/>
  <c r="J561" i="4"/>
  <c r="K561" i="4" s="1"/>
  <c r="D419" i="4" s="1"/>
  <c r="AA258" i="2"/>
  <c r="AB227" i="16"/>
  <c r="K64" i="49"/>
  <c r="K69" i="49"/>
  <c r="K73" i="49"/>
  <c r="K71" i="49"/>
  <c r="K66" i="49"/>
  <c r="K68" i="49"/>
  <c r="K65" i="49"/>
  <c r="K70" i="49"/>
  <c r="K74" i="49"/>
  <c r="K72" i="49"/>
  <c r="K67" i="49"/>
  <c r="K63" i="49"/>
  <c r="Z60" i="32"/>
  <c r="AA60" i="32" s="1"/>
  <c r="V334" i="16" s="1"/>
  <c r="U60" i="32"/>
  <c r="U57" i="32"/>
  <c r="L62" i="49"/>
  <c r="L63" i="49"/>
  <c r="L64" i="49"/>
  <c r="L65" i="49"/>
  <c r="L68" i="49"/>
  <c r="L67" i="49"/>
  <c r="L72" i="49"/>
  <c r="L69" i="49"/>
  <c r="L70" i="49"/>
  <c r="L74" i="49"/>
  <c r="L71" i="49"/>
  <c r="L73" i="49"/>
  <c r="AC239" i="16"/>
  <c r="V205" i="16"/>
  <c r="V219" i="16"/>
  <c r="AC237" i="16"/>
  <c r="AC238" i="16"/>
  <c r="V198" i="16"/>
  <c r="V201" i="16"/>
  <c r="AC233" i="16"/>
  <c r="AC235" i="16"/>
  <c r="J562" i="4"/>
  <c r="K562" i="4" s="1"/>
  <c r="D424" i="4" s="1"/>
  <c r="J563" i="4"/>
  <c r="K563" i="4" s="1"/>
  <c r="D429" i="4" s="1"/>
  <c r="L66" i="49"/>
  <c r="AC230" i="16"/>
  <c r="I1003" i="14"/>
  <c r="M993" i="14"/>
  <c r="M1000" i="14" s="1"/>
  <c r="N223" i="15"/>
  <c r="L191" i="48" s="1"/>
  <c r="X721" i="16"/>
  <c r="X722" i="16" s="1"/>
  <c r="Y258" i="2"/>
  <c r="Z258" i="2" s="1"/>
  <c r="X278" i="2" s="1"/>
  <c r="Z254" i="2"/>
  <c r="AC228" i="16"/>
  <c r="AC227" i="16"/>
  <c r="L270" i="15"/>
  <c r="U58" i="32"/>
  <c r="G678" i="14"/>
  <c r="G681" i="14" s="1"/>
  <c r="G676" i="14"/>
  <c r="G679" i="14" s="1"/>
  <c r="G677" i="14"/>
  <c r="G680" i="14" s="1"/>
  <c r="I299" i="16"/>
  <c r="I292" i="16"/>
  <c r="K1023" i="14"/>
  <c r="K1014" i="14"/>
  <c r="N291" i="4"/>
  <c r="N834" i="4"/>
  <c r="G321" i="4"/>
  <c r="G197" i="4"/>
  <c r="G198" i="4"/>
  <c r="G196" i="4"/>
  <c r="G195" i="4"/>
  <c r="N820" i="14"/>
  <c r="N627" i="14"/>
  <c r="N629" i="14" s="1"/>
  <c r="N630" i="14" s="1"/>
  <c r="N682" i="14"/>
  <c r="I290" i="4"/>
  <c r="I833" i="4"/>
  <c r="L673" i="14"/>
  <c r="L650" i="14"/>
  <c r="L775" i="14"/>
  <c r="K118" i="48" s="1"/>
  <c r="K1087" i="14"/>
  <c r="L649" i="14"/>
  <c r="K154" i="4"/>
  <c r="K186" i="4" s="1"/>
  <c r="K172" i="4"/>
  <c r="J28" i="48" s="1"/>
  <c r="K153" i="4"/>
  <c r="K185" i="4" s="1"/>
  <c r="K156" i="4"/>
  <c r="K188" i="4" s="1"/>
  <c r="K244" i="4"/>
  <c r="K170" i="4"/>
  <c r="K241" i="4"/>
  <c r="K155" i="4"/>
  <c r="K187" i="4" s="1"/>
  <c r="K1059" i="14"/>
  <c r="K1054" i="14"/>
  <c r="K1060" i="14" s="1"/>
  <c r="L1015" i="14"/>
  <c r="L1024" i="14"/>
  <c r="N239" i="15"/>
  <c r="R62" i="29"/>
  <c r="J184" i="4"/>
  <c r="J282" i="4"/>
  <c r="J214" i="4"/>
  <c r="N106" i="48"/>
  <c r="O494" i="14"/>
  <c r="N98" i="48" s="1"/>
  <c r="I225" i="2" s="1"/>
  <c r="K225" i="2" s="1"/>
  <c r="B225" i="2" s="1"/>
  <c r="G857" i="14"/>
  <c r="G899" i="14" s="1"/>
  <c r="G332" i="4"/>
  <c r="G333" i="4"/>
  <c r="G351" i="4"/>
  <c r="G330" i="4"/>
  <c r="G337" i="4"/>
  <c r="G335" i="4"/>
  <c r="G331" i="4"/>
  <c r="G336" i="4"/>
  <c r="G350" i="4"/>
  <c r="G338" i="4"/>
  <c r="G348" i="4"/>
  <c r="G340" i="4"/>
  <c r="G345" i="4"/>
  <c r="G347" i="4"/>
  <c r="G343" i="4"/>
  <c r="G341" i="4"/>
  <c r="G342" i="4"/>
  <c r="G346" i="4"/>
  <c r="L157" i="4"/>
  <c r="L167" i="4"/>
  <c r="N116" i="15"/>
  <c r="N269" i="15"/>
  <c r="O229" i="14"/>
  <c r="O226" i="14"/>
  <c r="I1021" i="14"/>
  <c r="I1020" i="14"/>
  <c r="L128" i="15"/>
  <c r="J1013" i="14"/>
  <c r="J1022" i="14"/>
  <c r="P83" i="15"/>
  <c r="P229" i="15" s="1"/>
  <c r="P276" i="15"/>
  <c r="N217" i="14"/>
  <c r="N219" i="14" s="1"/>
  <c r="M87" i="48" s="1"/>
  <c r="N222" i="14"/>
  <c r="N224" i="14" s="1"/>
  <c r="N214" i="14"/>
  <c r="M108" i="4"/>
  <c r="M136" i="4"/>
  <c r="M140" i="4" s="1"/>
  <c r="M47" i="14"/>
  <c r="M35" i="14"/>
  <c r="I201" i="48"/>
  <c r="I24" i="48"/>
  <c r="L49" i="14"/>
  <c r="L65" i="14"/>
  <c r="L67" i="14" s="1"/>
  <c r="L211" i="14" s="1"/>
  <c r="G323" i="4"/>
  <c r="G219" i="4"/>
  <c r="G286" i="4"/>
  <c r="G322" i="4"/>
  <c r="G203" i="4"/>
  <c r="G200" i="4"/>
  <c r="G202" i="4"/>
  <c r="G201" i="4"/>
  <c r="N25" i="14"/>
  <c r="I319" i="4"/>
  <c r="I207" i="4"/>
  <c r="O267" i="15"/>
  <c r="O113" i="15"/>
  <c r="M185" i="48"/>
  <c r="O114" i="15"/>
  <c r="M169" i="48" s="1"/>
  <c r="O93" i="15"/>
  <c r="O268" i="15" s="1"/>
  <c r="O277" i="15" s="1"/>
  <c r="O94" i="15"/>
  <c r="M167" i="48" s="1"/>
  <c r="O148" i="15"/>
  <c r="F899" i="14"/>
  <c r="F972" i="14" s="1"/>
  <c r="M647" i="14"/>
  <c r="O215" i="4"/>
  <c r="O283" i="4"/>
  <c r="O300" i="4" s="1"/>
  <c r="O189" i="4"/>
  <c r="O320" i="4" s="1"/>
  <c r="M1016" i="14"/>
  <c r="M1025" i="14"/>
  <c r="J225" i="14"/>
  <c r="I91" i="48" s="1"/>
  <c r="I93" i="48"/>
  <c r="I89" i="48"/>
  <c r="X244" i="16" s="1"/>
  <c r="L1053" i="14"/>
  <c r="L1058" i="14"/>
  <c r="O238" i="15"/>
  <c r="L598" i="16"/>
  <c r="L724" i="16"/>
  <c r="L726" i="16" s="1"/>
  <c r="H629" i="4"/>
  <c r="H611" i="4"/>
  <c r="M118" i="15"/>
  <c r="M146" i="15"/>
  <c r="M149" i="15" s="1"/>
  <c r="H1004" i="14"/>
  <c r="H998" i="14"/>
  <c r="N612" i="4"/>
  <c r="K225" i="14"/>
  <c r="J91" i="48" s="1"/>
  <c r="J89" i="48"/>
  <c r="Y244" i="16" s="1"/>
  <c r="N88" i="4"/>
  <c r="N138" i="4" s="1"/>
  <c r="N89" i="4"/>
  <c r="N139" i="4" s="1"/>
  <c r="N86" i="4"/>
  <c r="N87" i="4"/>
  <c r="N137" i="4" s="1"/>
  <c r="N47" i="14"/>
  <c r="N35" i="14"/>
  <c r="L161" i="48"/>
  <c r="L249" i="48"/>
  <c r="I1004" i="14"/>
  <c r="I998" i="14"/>
  <c r="O647" i="14"/>
  <c r="I676" i="14"/>
  <c r="I679" i="14" s="1"/>
  <c r="I678" i="14"/>
  <c r="I681" i="14" s="1"/>
  <c r="I677" i="14"/>
  <c r="I680" i="14" s="1"/>
  <c r="J678" i="14"/>
  <c r="J681" i="14" s="1"/>
  <c r="J676" i="14"/>
  <c r="J679" i="14" s="1"/>
  <c r="J677" i="14"/>
  <c r="J680" i="14" s="1"/>
  <c r="J218" i="14"/>
  <c r="I85" i="48" s="1"/>
  <c r="L106" i="48"/>
  <c r="M494" i="14"/>
  <c r="L98" i="48" s="1"/>
  <c r="P218" i="15"/>
  <c r="P219" i="15" s="1"/>
  <c r="P236" i="15" s="1"/>
  <c r="J251" i="48"/>
  <c r="J163" i="48"/>
  <c r="H206" i="4"/>
  <c r="H205" i="4"/>
  <c r="H328" i="4"/>
  <c r="H852" i="14" s="1"/>
  <c r="H199" i="4"/>
  <c r="H194" i="4"/>
  <c r="K128" i="15"/>
  <c r="K284" i="15"/>
  <c r="K270" i="15"/>
  <c r="O221" i="15"/>
  <c r="J560" i="4"/>
  <c r="K560" i="4" s="1"/>
  <c r="D414" i="4" s="1"/>
  <c r="O47" i="14"/>
  <c r="O35" i="14"/>
  <c r="O85" i="4"/>
  <c r="O118" i="4"/>
  <c r="G218" i="4"/>
  <c r="M1065" i="14"/>
  <c r="M1070" i="14" s="1"/>
  <c r="M1047" i="14"/>
  <c r="M1052" i="14" s="1"/>
  <c r="N600" i="14"/>
  <c r="N611" i="14" s="1"/>
  <c r="N378" i="14"/>
  <c r="I708" i="4"/>
  <c r="Y721" i="16"/>
  <c r="Y722" i="16" s="1"/>
  <c r="T285" i="29"/>
  <c r="K678" i="14"/>
  <c r="K681" i="14" s="1"/>
  <c r="K677" i="14"/>
  <c r="K680" i="14" s="1"/>
  <c r="K676" i="14"/>
  <c r="K679" i="14" s="1"/>
  <c r="L648" i="14"/>
  <c r="J1004" i="14"/>
  <c r="J998" i="14"/>
  <c r="N1071" i="14"/>
  <c r="N1076" i="14"/>
  <c r="K218" i="14" l="1"/>
  <c r="J85" i="48" s="1"/>
  <c r="K873" i="14"/>
  <c r="Z99" i="32"/>
  <c r="AA99" i="32" s="1"/>
  <c r="AB99" i="32" s="1"/>
  <c r="Z58" i="32"/>
  <c r="AA58" i="32" s="1"/>
  <c r="V331" i="16" s="1"/>
  <c r="K995" i="14"/>
  <c r="K996" i="14" s="1"/>
  <c r="K1003" i="14" s="1"/>
  <c r="F695" i="4"/>
  <c r="N866" i="14"/>
  <c r="N918" i="14"/>
  <c r="F700" i="4"/>
  <c r="O1210" i="14"/>
  <c r="O1211" i="14" s="1"/>
  <c r="O1216" i="14" s="1"/>
  <c r="O1236" i="14"/>
  <c r="O1237" i="14" s="1"/>
  <c r="O1242" i="14" s="1"/>
  <c r="N1218" i="14"/>
  <c r="N1217" i="14"/>
  <c r="N657" i="14"/>
  <c r="O944" i="14"/>
  <c r="I863" i="14"/>
  <c r="I868" i="14" s="1"/>
  <c r="I875" i="14"/>
  <c r="I877" i="14" s="1"/>
  <c r="I886" i="14" s="1"/>
  <c r="O862" i="14"/>
  <c r="O867" i="14"/>
  <c r="O885" i="14"/>
  <c r="O874" i="14"/>
  <c r="N862" i="14"/>
  <c r="N867" i="14"/>
  <c r="N885" i="14"/>
  <c r="N874" i="14"/>
  <c r="Z57" i="32"/>
  <c r="V15" i="16"/>
  <c r="V265" i="2"/>
  <c r="V272" i="2" s="1"/>
  <c r="J703" i="16"/>
  <c r="J705" i="16" s="1"/>
  <c r="J745" i="16"/>
  <c r="J747" i="16" s="1"/>
  <c r="M293" i="15"/>
  <c r="R63" i="29"/>
  <c r="N231" i="15" s="1"/>
  <c r="L189" i="48" s="1"/>
  <c r="V193" i="16"/>
  <c r="V325" i="16"/>
  <c r="V177" i="16"/>
  <c r="N1053" i="14"/>
  <c r="N1054" i="14" s="1"/>
  <c r="N1060" i="14" s="1"/>
  <c r="F355" i="4"/>
  <c r="G253" i="48"/>
  <c r="F689" i="4"/>
  <c r="V185" i="16"/>
  <c r="V14" i="16"/>
  <c r="V16" i="16"/>
  <c r="F685" i="4"/>
  <c r="F444" i="4"/>
  <c r="F699" i="4"/>
  <c r="F445" i="4"/>
  <c r="F363" i="4"/>
  <c r="F440" i="4"/>
  <c r="F376" i="4"/>
  <c r="F607" i="4"/>
  <c r="F357" i="4"/>
  <c r="F361" i="4"/>
  <c r="F375" i="4"/>
  <c r="F597" i="4" s="1"/>
  <c r="F683" i="4"/>
  <c r="F697" i="4"/>
  <c r="F698" i="4"/>
  <c r="F356" i="4"/>
  <c r="F360" i="4"/>
  <c r="F443" i="4"/>
  <c r="F442" i="4"/>
  <c r="G303" i="4"/>
  <c r="F693" i="4"/>
  <c r="F441" i="4"/>
  <c r="H401" i="4"/>
  <c r="H757" i="4"/>
  <c r="H728" i="4"/>
  <c r="G399" i="4"/>
  <c r="G755" i="4"/>
  <c r="G726" i="4" s="1"/>
  <c r="G695" i="4"/>
  <c r="G368" i="4"/>
  <c r="G700" i="4"/>
  <c r="G373" i="4"/>
  <c r="G683" i="4"/>
  <c r="G356" i="4"/>
  <c r="G703" i="4"/>
  <c r="G376" i="4"/>
  <c r="K381" i="4"/>
  <c r="K737" i="4"/>
  <c r="K410" i="4"/>
  <c r="G391" i="4"/>
  <c r="G747" i="4"/>
  <c r="F396" i="4"/>
  <c r="F752" i="4"/>
  <c r="F723" i="4" s="1"/>
  <c r="F393" i="4"/>
  <c r="F749" i="4"/>
  <c r="F720" i="4" s="1"/>
  <c r="H758" i="4"/>
  <c r="H729" i="4" s="1"/>
  <c r="H402" i="4"/>
  <c r="G397" i="4"/>
  <c r="G753" i="4"/>
  <c r="G724" i="4" s="1"/>
  <c r="G698" i="4"/>
  <c r="G371" i="4"/>
  <c r="G699" i="4"/>
  <c r="G372" i="4"/>
  <c r="G690" i="4"/>
  <c r="G363" i="4"/>
  <c r="G687" i="4"/>
  <c r="G360" i="4"/>
  <c r="G685" i="4"/>
  <c r="G358" i="4"/>
  <c r="G392" i="4"/>
  <c r="G748" i="4"/>
  <c r="G719" i="4" s="1"/>
  <c r="F397" i="4"/>
  <c r="F753" i="4"/>
  <c r="F724" i="4" s="1"/>
  <c r="F394" i="4"/>
  <c r="F750" i="4"/>
  <c r="F721" i="4" s="1"/>
  <c r="O967" i="14"/>
  <c r="G398" i="4"/>
  <c r="G754" i="4"/>
  <c r="G725" i="4" s="1"/>
  <c r="G694" i="4"/>
  <c r="G367" i="4"/>
  <c r="G697" i="4"/>
  <c r="G370" i="4"/>
  <c r="G702" i="4"/>
  <c r="G375" i="4"/>
  <c r="G597" i="4" s="1"/>
  <c r="G689" i="4"/>
  <c r="G362" i="4"/>
  <c r="G684" i="4"/>
  <c r="G357" i="4"/>
  <c r="K382" i="4"/>
  <c r="K738" i="4"/>
  <c r="K709" i="4" s="1"/>
  <c r="K411" i="4"/>
  <c r="G394" i="4"/>
  <c r="G750" i="4"/>
  <c r="G721" i="4" s="1"/>
  <c r="F398" i="4"/>
  <c r="F754" i="4"/>
  <c r="F725" i="4" s="1"/>
  <c r="F391" i="4"/>
  <c r="F747" i="4"/>
  <c r="F718" i="4" s="1"/>
  <c r="G396" i="4"/>
  <c r="G752" i="4"/>
  <c r="G723" i="4" s="1"/>
  <c r="G693" i="4"/>
  <c r="G366" i="4"/>
  <c r="G692" i="4"/>
  <c r="G365" i="4"/>
  <c r="G688" i="4"/>
  <c r="G361" i="4"/>
  <c r="G682" i="4"/>
  <c r="G355" i="4"/>
  <c r="G607" i="4"/>
  <c r="J299" i="4"/>
  <c r="K383" i="4"/>
  <c r="K739" i="4"/>
  <c r="K710" i="4" s="1"/>
  <c r="K412" i="4"/>
  <c r="K384" i="4"/>
  <c r="K740" i="4"/>
  <c r="K711" i="4" s="1"/>
  <c r="K413" i="4"/>
  <c r="G393" i="4"/>
  <c r="G749" i="4"/>
  <c r="G720" i="4" s="1"/>
  <c r="F399" i="4"/>
  <c r="F755" i="4"/>
  <c r="F726" i="4" s="1"/>
  <c r="F392" i="4"/>
  <c r="F748" i="4"/>
  <c r="F719" i="4" s="1"/>
  <c r="H625" i="4"/>
  <c r="H645" i="4" s="1"/>
  <c r="L995" i="14"/>
  <c r="L1002" i="14" s="1"/>
  <c r="V182" i="16"/>
  <c r="N1016" i="14"/>
  <c r="N1015" i="14" s="1"/>
  <c r="N994" i="14"/>
  <c r="N1001" i="14" s="1"/>
  <c r="N967" i="14"/>
  <c r="O610" i="14"/>
  <c r="O612" i="14" s="1"/>
  <c r="N944" i="14"/>
  <c r="N620" i="16"/>
  <c r="J415" i="4"/>
  <c r="N415" i="4"/>
  <c r="I416" i="4"/>
  <c r="M416" i="4"/>
  <c r="H417" i="4"/>
  <c r="L417" i="4"/>
  <c r="G418" i="4"/>
  <c r="K418" i="4"/>
  <c r="O418" i="4"/>
  <c r="F415" i="4"/>
  <c r="G415" i="4"/>
  <c r="L415" i="4"/>
  <c r="H416" i="4"/>
  <c r="N416" i="4"/>
  <c r="J417" i="4"/>
  <c r="O417" i="4"/>
  <c r="L418" i="4"/>
  <c r="F417" i="4"/>
  <c r="G416" i="4"/>
  <c r="I417" i="4"/>
  <c r="J418" i="4"/>
  <c r="H415" i="4"/>
  <c r="M415" i="4"/>
  <c r="J416" i="4"/>
  <c r="O416" i="4"/>
  <c r="K417" i="4"/>
  <c r="H418" i="4"/>
  <c r="M418" i="4"/>
  <c r="F416" i="4"/>
  <c r="I415" i="4"/>
  <c r="O415" i="4"/>
  <c r="K416" i="4"/>
  <c r="G417" i="4"/>
  <c r="M417" i="4"/>
  <c r="I418" i="4"/>
  <c r="N418" i="4"/>
  <c r="K415" i="4"/>
  <c r="L416" i="4"/>
  <c r="N417" i="4"/>
  <c r="F418" i="4"/>
  <c r="H430" i="4"/>
  <c r="G431" i="4"/>
  <c r="J432" i="4"/>
  <c r="N432" i="4"/>
  <c r="F430" i="4"/>
  <c r="F633" i="4" s="1"/>
  <c r="G430" i="4"/>
  <c r="G633" i="4" s="1"/>
  <c r="K432" i="4"/>
  <c r="F432" i="4"/>
  <c r="O432" i="4"/>
  <c r="G432" i="4"/>
  <c r="L432" i="4"/>
  <c r="F431" i="4"/>
  <c r="H432" i="4"/>
  <c r="M432" i="4"/>
  <c r="H431" i="4"/>
  <c r="I432" i="4"/>
  <c r="F422" i="4"/>
  <c r="F420" i="4"/>
  <c r="F421" i="4"/>
  <c r="F423" i="4"/>
  <c r="G422" i="4"/>
  <c r="G421" i="4"/>
  <c r="G420" i="4"/>
  <c r="G423" i="4"/>
  <c r="F426" i="4"/>
  <c r="F427" i="4"/>
  <c r="F425" i="4"/>
  <c r="F428" i="4"/>
  <c r="G425" i="4"/>
  <c r="G427" i="4"/>
  <c r="G428" i="4"/>
  <c r="G426" i="4"/>
  <c r="K41" i="29"/>
  <c r="V9" i="16"/>
  <c r="I285" i="15"/>
  <c r="I136" i="15"/>
  <c r="I137" i="15" s="1"/>
  <c r="H137" i="15" s="1"/>
  <c r="G137" i="15" s="1"/>
  <c r="F137" i="15" s="1"/>
  <c r="J285" i="15"/>
  <c r="J136" i="15"/>
  <c r="L124" i="15"/>
  <c r="L126" i="15" s="1"/>
  <c r="L129" i="15"/>
  <c r="K124" i="15"/>
  <c r="K126" i="15" s="1"/>
  <c r="K129" i="15"/>
  <c r="I167" i="15"/>
  <c r="V13" i="16"/>
  <c r="F294" i="4"/>
  <c r="F837" i="4"/>
  <c r="R186" i="16"/>
  <c r="V189" i="16"/>
  <c r="V216" i="16"/>
  <c r="L658" i="14"/>
  <c r="L659" i="14"/>
  <c r="M659" i="14"/>
  <c r="M658" i="14"/>
  <c r="F216" i="4"/>
  <c r="F284" i="4"/>
  <c r="F217" i="4"/>
  <c r="F285" i="4"/>
  <c r="F302" i="4" s="1"/>
  <c r="V184" i="16"/>
  <c r="V332" i="16"/>
  <c r="V336" i="16"/>
  <c r="F615" i="4"/>
  <c r="F683" i="14"/>
  <c r="E112" i="48" s="1"/>
  <c r="T245" i="16" s="1"/>
  <c r="Q39" i="49" s="1"/>
  <c r="H751" i="14"/>
  <c r="I751" i="14" s="1"/>
  <c r="V38" i="49"/>
  <c r="U38" i="49"/>
  <c r="O648" i="14"/>
  <c r="O783" i="14"/>
  <c r="M648" i="14"/>
  <c r="M783" i="14"/>
  <c r="M610" i="14"/>
  <c r="M612" i="14" s="1"/>
  <c r="O614" i="14"/>
  <c r="O616" i="14" s="1"/>
  <c r="O617" i="14" s="1"/>
  <c r="O608" i="14"/>
  <c r="N596" i="14"/>
  <c r="N615" i="14"/>
  <c r="M608" i="14"/>
  <c r="M614" i="14"/>
  <c r="M616" i="14" s="1"/>
  <c r="M617" i="14" s="1"/>
  <c r="V327" i="16"/>
  <c r="V330" i="16"/>
  <c r="V337" i="16"/>
  <c r="V349" i="16"/>
  <c r="V342" i="16"/>
  <c r="V352" i="16"/>
  <c r="AB60" i="32"/>
  <c r="M994" i="14"/>
  <c r="M1001" i="14" s="1"/>
  <c r="AB56" i="32"/>
  <c r="K228" i="14"/>
  <c r="F595" i="4"/>
  <c r="F596" i="4"/>
  <c r="G615" i="4"/>
  <c r="G905" i="14"/>
  <c r="G906" i="14" s="1"/>
  <c r="G972" i="14" s="1"/>
  <c r="M106" i="48"/>
  <c r="N494" i="14"/>
  <c r="M98" i="48" s="1"/>
  <c r="H323" i="4"/>
  <c r="H219" i="4"/>
  <c r="H286" i="4"/>
  <c r="H303" i="4" s="1"/>
  <c r="I683" i="14"/>
  <c r="H112" i="48" s="1"/>
  <c r="W245" i="16" s="1"/>
  <c r="T39" i="49" s="1"/>
  <c r="N65" i="14"/>
  <c r="N67" i="14" s="1"/>
  <c r="N211" i="14" s="1"/>
  <c r="N49" i="14"/>
  <c r="K163" i="48"/>
  <c r="K251" i="48"/>
  <c r="L1054" i="14"/>
  <c r="L1060" i="14" s="1"/>
  <c r="L1059" i="14"/>
  <c r="O612" i="4"/>
  <c r="O269" i="15"/>
  <c r="O116" i="15"/>
  <c r="G442" i="4"/>
  <c r="J201" i="48"/>
  <c r="J24" i="48"/>
  <c r="K683" i="14"/>
  <c r="J112" i="48" s="1"/>
  <c r="Y245" i="16" s="1"/>
  <c r="V39" i="49" s="1"/>
  <c r="O49" i="14"/>
  <c r="O65" i="14"/>
  <c r="O67" i="14" s="1"/>
  <c r="O211" i="14" s="1"/>
  <c r="O223" i="15"/>
  <c r="M191" i="48" s="1"/>
  <c r="O222" i="15"/>
  <c r="O237" i="15" s="1"/>
  <c r="H322" i="4"/>
  <c r="H201" i="4"/>
  <c r="H202" i="4"/>
  <c r="H427" i="4" s="1"/>
  <c r="H200" i="4"/>
  <c r="H425" i="4" s="1"/>
  <c r="H203" i="4"/>
  <c r="H218" i="4"/>
  <c r="G285" i="4"/>
  <c r="G217" i="4"/>
  <c r="L216" i="14"/>
  <c r="L213" i="14"/>
  <c r="L221" i="14"/>
  <c r="L223" i="14" s="1"/>
  <c r="L231" i="14"/>
  <c r="L232" i="14" s="1"/>
  <c r="K221" i="48" s="1"/>
  <c r="N229" i="14"/>
  <c r="N226" i="14"/>
  <c r="P148" i="15"/>
  <c r="N185" i="48"/>
  <c r="P113" i="15"/>
  <c r="P114" i="15"/>
  <c r="N169" i="48" s="1"/>
  <c r="P267" i="15"/>
  <c r="P94" i="15"/>
  <c r="N167" i="48" s="1"/>
  <c r="P93" i="15"/>
  <c r="P268" i="15" s="1"/>
  <c r="P277" i="15" s="1"/>
  <c r="N118" i="15"/>
  <c r="N146" i="15"/>
  <c r="N149" i="15" s="1"/>
  <c r="J207" i="4"/>
  <c r="J319" i="4"/>
  <c r="L1014" i="14"/>
  <c r="L1023" i="14"/>
  <c r="H832" i="4"/>
  <c r="O673" i="14"/>
  <c r="O650" i="14"/>
  <c r="O775" i="14"/>
  <c r="N118" i="48" s="1"/>
  <c r="N1087" i="14"/>
  <c r="O649" i="14"/>
  <c r="M1015" i="14"/>
  <c r="M1024" i="14"/>
  <c r="O291" i="4"/>
  <c r="O834" i="4"/>
  <c r="G294" i="4"/>
  <c r="G837" i="4"/>
  <c r="M157" i="4"/>
  <c r="M167" i="4"/>
  <c r="G441" i="4"/>
  <c r="G292" i="16"/>
  <c r="G299" i="16"/>
  <c r="N647" i="14"/>
  <c r="P238" i="15"/>
  <c r="M598" i="16"/>
  <c r="N598" i="16" s="1"/>
  <c r="G39" i="41" s="1"/>
  <c r="M724" i="16"/>
  <c r="M726" i="16" s="1"/>
  <c r="J683" i="14"/>
  <c r="I112" i="48" s="1"/>
  <c r="X245" i="16" s="1"/>
  <c r="U39" i="49" s="1"/>
  <c r="I205" i="4"/>
  <c r="I430" i="4" s="1"/>
  <c r="I199" i="4"/>
  <c r="I328" i="4"/>
  <c r="I852" i="14" s="1"/>
  <c r="I206" i="4"/>
  <c r="I625" i="4" s="1"/>
  <c r="I645" i="4" s="1"/>
  <c r="I194" i="4"/>
  <c r="G440" i="4"/>
  <c r="J290" i="4"/>
  <c r="J833" i="4"/>
  <c r="G216" i="4"/>
  <c r="G284" i="4"/>
  <c r="M1076" i="14"/>
  <c r="M1071" i="14"/>
  <c r="N136" i="4"/>
  <c r="N140" i="4" s="1"/>
  <c r="N108" i="4"/>
  <c r="J228" i="14"/>
  <c r="I629" i="4"/>
  <c r="I611" i="4"/>
  <c r="M49" i="14"/>
  <c r="M65" i="14"/>
  <c r="M67" i="14" s="1"/>
  <c r="M211" i="14" s="1"/>
  <c r="G445" i="4"/>
  <c r="J708" i="4"/>
  <c r="O87" i="4"/>
  <c r="O137" i="4" s="1"/>
  <c r="O89" i="4"/>
  <c r="O139" i="4" s="1"/>
  <c r="O88" i="4"/>
  <c r="O138" i="4" s="1"/>
  <c r="O86" i="4"/>
  <c r="H857" i="14"/>
  <c r="H899" i="14" s="1"/>
  <c r="H330" i="4"/>
  <c r="H337" i="4"/>
  <c r="H335" i="4"/>
  <c r="H331" i="4"/>
  <c r="H332" i="4"/>
  <c r="H333" i="4"/>
  <c r="H351" i="4"/>
  <c r="H336" i="4"/>
  <c r="H350" i="4"/>
  <c r="H338" i="4"/>
  <c r="H342" i="4"/>
  <c r="H345" i="4"/>
  <c r="H347" i="4"/>
  <c r="H346" i="4"/>
  <c r="H343" i="4"/>
  <c r="H341" i="4"/>
  <c r="H348" i="4"/>
  <c r="H340" i="4"/>
  <c r="N1072" i="14"/>
  <c r="N1074" i="14" s="1"/>
  <c r="N1075" i="14"/>
  <c r="M1053" i="14"/>
  <c r="M1058" i="14"/>
  <c r="H321" i="4"/>
  <c r="H196" i="4"/>
  <c r="H195" i="4"/>
  <c r="H197" i="4"/>
  <c r="H422" i="4" s="1"/>
  <c r="H198" i="4"/>
  <c r="H423" i="4" s="1"/>
  <c r="M121" i="15"/>
  <c r="M131" i="15"/>
  <c r="M122" i="15"/>
  <c r="K171" i="48" s="1"/>
  <c r="M775" i="14"/>
  <c r="L118" i="48" s="1"/>
  <c r="M673" i="14"/>
  <c r="L1087" i="14"/>
  <c r="M650" i="14"/>
  <c r="M649" i="14"/>
  <c r="M249" i="48"/>
  <c r="M161" i="48"/>
  <c r="J1021" i="14"/>
  <c r="J1020" i="14"/>
  <c r="L170" i="4"/>
  <c r="L172" i="4"/>
  <c r="K28" i="48" s="1"/>
  <c r="L154" i="4"/>
  <c r="L186" i="4" s="1"/>
  <c r="L241" i="4"/>
  <c r="L156" i="4"/>
  <c r="L188" i="4" s="1"/>
  <c r="L153" i="4"/>
  <c r="L185" i="4" s="1"/>
  <c r="L155" i="4"/>
  <c r="L187" i="4" s="1"/>
  <c r="L244" i="4"/>
  <c r="G443" i="4"/>
  <c r="G444" i="4"/>
  <c r="K214" i="4"/>
  <c r="K282" i="4"/>
  <c r="K184" i="4"/>
  <c r="L675" i="14"/>
  <c r="K1088" i="14"/>
  <c r="L674" i="14"/>
  <c r="K1022" i="14"/>
  <c r="K1013" i="14"/>
  <c r="G683" i="14"/>
  <c r="F112" i="48" s="1"/>
  <c r="U245" i="16" s="1"/>
  <c r="R39" i="49" s="1"/>
  <c r="AB58" i="32" l="1"/>
  <c r="K1002" i="14"/>
  <c r="K997" i="14"/>
  <c r="K1004" i="14" s="1"/>
  <c r="O919" i="14"/>
  <c r="O866" i="14"/>
  <c r="O918" i="14"/>
  <c r="O882" i="14"/>
  <c r="O1243" i="14"/>
  <c r="O1244" i="14"/>
  <c r="O1217" i="14"/>
  <c r="O1218" i="14"/>
  <c r="O657" i="14"/>
  <c r="N1059" i="14"/>
  <c r="J863" i="14"/>
  <c r="J868" i="14" s="1"/>
  <c r="J875" i="14"/>
  <c r="J877" i="14" s="1"/>
  <c r="J886" i="14" s="1"/>
  <c r="L861" i="14"/>
  <c r="L873" i="14"/>
  <c r="W265" i="2"/>
  <c r="W272" i="2" s="1"/>
  <c r="N293" i="15"/>
  <c r="K745" i="16"/>
  <c r="K747" i="16" s="1"/>
  <c r="K703" i="16"/>
  <c r="K705" i="16" s="1"/>
  <c r="L996" i="14"/>
  <c r="L1003" i="14" s="1"/>
  <c r="F593" i="4"/>
  <c r="N995" i="14"/>
  <c r="N1002" i="14" s="1"/>
  <c r="F594" i="4"/>
  <c r="F378" i="4"/>
  <c r="G302" i="4"/>
  <c r="F447" i="4"/>
  <c r="F448" i="4" s="1"/>
  <c r="F705" i="4"/>
  <c r="I431" i="4"/>
  <c r="L381" i="4"/>
  <c r="L737" i="4"/>
  <c r="L410" i="4"/>
  <c r="H392" i="4"/>
  <c r="H748" i="4"/>
  <c r="H719" i="4" s="1"/>
  <c r="H692" i="4"/>
  <c r="H365" i="4"/>
  <c r="H698" i="4"/>
  <c r="H371" i="4"/>
  <c r="H690" i="4"/>
  <c r="H363" i="4"/>
  <c r="H685" i="4"/>
  <c r="H358" i="4"/>
  <c r="H689" i="4"/>
  <c r="H362" i="4"/>
  <c r="H397" i="4"/>
  <c r="H753" i="4"/>
  <c r="H724" i="4" s="1"/>
  <c r="F835" i="4"/>
  <c r="F301" i="4"/>
  <c r="F304" i="4" s="1"/>
  <c r="F305" i="4"/>
  <c r="G50" i="16" s="1"/>
  <c r="H421" i="4"/>
  <c r="L383" i="4"/>
  <c r="L739" i="4"/>
  <c r="L710" i="4" s="1"/>
  <c r="L412" i="4"/>
  <c r="L382" i="4"/>
  <c r="L738" i="4"/>
  <c r="L709" i="4" s="1"/>
  <c r="L411" i="4"/>
  <c r="H394" i="4"/>
  <c r="H750" i="4"/>
  <c r="H721" i="4" s="1"/>
  <c r="H700" i="4"/>
  <c r="H373" i="4"/>
  <c r="H699" i="4"/>
  <c r="H372" i="4"/>
  <c r="H702" i="4"/>
  <c r="H375" i="4"/>
  <c r="H597" i="4" s="1"/>
  <c r="H684" i="4"/>
  <c r="H357" i="4"/>
  <c r="H682" i="4"/>
  <c r="H355" i="4"/>
  <c r="H607" i="4"/>
  <c r="H399" i="4"/>
  <c r="H755" i="4"/>
  <c r="H726" i="4" s="1"/>
  <c r="L170" i="15"/>
  <c r="J165" i="48" s="1"/>
  <c r="H428" i="4"/>
  <c r="H393" i="4"/>
  <c r="H749" i="4"/>
  <c r="H720" i="4" s="1"/>
  <c r="H693" i="4"/>
  <c r="H366" i="4"/>
  <c r="H697" i="4"/>
  <c r="H370" i="4"/>
  <c r="H688" i="4"/>
  <c r="H361" i="4"/>
  <c r="H683" i="4"/>
  <c r="H356" i="4"/>
  <c r="H396" i="4"/>
  <c r="H752" i="4"/>
  <c r="H723" i="4" s="1"/>
  <c r="K299" i="4"/>
  <c r="L384" i="4"/>
  <c r="L740" i="4"/>
  <c r="L711" i="4" s="1"/>
  <c r="L413" i="4"/>
  <c r="H391" i="4"/>
  <c r="H747" i="4"/>
  <c r="H695" i="4"/>
  <c r="H368" i="4"/>
  <c r="H694" i="4"/>
  <c r="H367" i="4"/>
  <c r="H703" i="4"/>
  <c r="H376" i="4"/>
  <c r="H687" i="4"/>
  <c r="H360" i="4"/>
  <c r="G301" i="4"/>
  <c r="G305" i="4"/>
  <c r="H50" i="16" s="1"/>
  <c r="I758" i="4"/>
  <c r="I729" i="4" s="1"/>
  <c r="I402" i="4"/>
  <c r="I401" i="4"/>
  <c r="I757" i="4"/>
  <c r="I728" i="4"/>
  <c r="H398" i="4"/>
  <c r="H754" i="4"/>
  <c r="H725" i="4" s="1"/>
  <c r="H426" i="4"/>
  <c r="H420" i="4"/>
  <c r="N1024" i="14"/>
  <c r="K130" i="15"/>
  <c r="K133" i="15" s="1"/>
  <c r="K135" i="15" s="1"/>
  <c r="K285" i="15" s="1"/>
  <c r="L271" i="15"/>
  <c r="K271" i="15"/>
  <c r="L163" i="15"/>
  <c r="L155" i="15"/>
  <c r="L159" i="15"/>
  <c r="K155" i="15"/>
  <c r="K159" i="15"/>
  <c r="K163" i="15"/>
  <c r="K170" i="15"/>
  <c r="I165" i="48" s="1"/>
  <c r="L130" i="15"/>
  <c r="L133" i="15" s="1"/>
  <c r="L135" i="15" s="1"/>
  <c r="F614" i="4"/>
  <c r="E617" i="16"/>
  <c r="L51" i="29" s="1"/>
  <c r="D617" i="16"/>
  <c r="K51" i="29" s="1"/>
  <c r="F617" i="16"/>
  <c r="M51" i="29" s="1"/>
  <c r="G617" i="16"/>
  <c r="N51" i="29" s="1"/>
  <c r="H617" i="16"/>
  <c r="O51" i="29" s="1"/>
  <c r="I617" i="16"/>
  <c r="P51" i="29" s="1"/>
  <c r="J617" i="16"/>
  <c r="Q51" i="29" s="1"/>
  <c r="K617" i="16"/>
  <c r="R51" i="29" s="1"/>
  <c r="L617" i="16"/>
  <c r="S51" i="29" s="1"/>
  <c r="M617" i="16"/>
  <c r="T51" i="29" s="1"/>
  <c r="AA57" i="32"/>
  <c r="N658" i="14"/>
  <c r="N659" i="14"/>
  <c r="F292" i="4"/>
  <c r="F404" i="4"/>
  <c r="F221" i="4"/>
  <c r="F613" i="4"/>
  <c r="F287" i="4"/>
  <c r="F288" i="4" s="1"/>
  <c r="F293" i="4"/>
  <c r="F731" i="4"/>
  <c r="F760" i="4"/>
  <c r="F836" i="4"/>
  <c r="N648" i="14"/>
  <c r="N783" i="14"/>
  <c r="N610" i="14"/>
  <c r="N612" i="14" s="1"/>
  <c r="N608" i="14"/>
  <c r="N614" i="14"/>
  <c r="N616" i="14" s="1"/>
  <c r="N617" i="14" s="1"/>
  <c r="F631" i="4"/>
  <c r="F632" i="4"/>
  <c r="M995" i="14"/>
  <c r="M996" i="14" s="1"/>
  <c r="G614" i="4"/>
  <c r="G594" i="4"/>
  <c r="H615" i="4"/>
  <c r="O630" i="4"/>
  <c r="M630" i="4"/>
  <c r="G631" i="4"/>
  <c r="J630" i="4"/>
  <c r="G632" i="4"/>
  <c r="H905" i="14"/>
  <c r="H906" i="14" s="1"/>
  <c r="H972" i="14" s="1"/>
  <c r="P221" i="15"/>
  <c r="P222" i="15" s="1"/>
  <c r="P237" i="15" s="1"/>
  <c r="L1088" i="14"/>
  <c r="M674" i="14"/>
  <c r="M675" i="14"/>
  <c r="H630" i="4"/>
  <c r="H443" i="4"/>
  <c r="G718" i="4"/>
  <c r="G731" i="4" s="1"/>
  <c r="G760" i="4"/>
  <c r="G705" i="4"/>
  <c r="I321" i="4"/>
  <c r="I198" i="4"/>
  <c r="I195" i="4"/>
  <c r="I196" i="4"/>
  <c r="I197" i="4"/>
  <c r="M241" i="4"/>
  <c r="M155" i="4"/>
  <c r="M187" i="4" s="1"/>
  <c r="M154" i="4"/>
  <c r="M186" i="4" s="1"/>
  <c r="M153" i="4"/>
  <c r="M185" i="4" s="1"/>
  <c r="M244" i="4"/>
  <c r="M170" i="4"/>
  <c r="M172" i="4"/>
  <c r="L28" i="48" s="1"/>
  <c r="M156" i="4"/>
  <c r="M188" i="4" s="1"/>
  <c r="N122" i="15"/>
  <c r="L171" i="48" s="1"/>
  <c r="N131" i="15"/>
  <c r="N121" i="15"/>
  <c r="N161" i="48"/>
  <c r="I239" i="2" s="1"/>
  <c r="K239" i="2" s="1"/>
  <c r="N249" i="48"/>
  <c r="K207" i="4"/>
  <c r="K319" i="4"/>
  <c r="M270" i="15"/>
  <c r="M128" i="15"/>
  <c r="M284" i="15"/>
  <c r="I630" i="4"/>
  <c r="N1014" i="14"/>
  <c r="N1023" i="14"/>
  <c r="I218" i="4"/>
  <c r="N775" i="14"/>
  <c r="M118" i="48" s="1"/>
  <c r="M1087" i="14"/>
  <c r="N673" i="14"/>
  <c r="N650" i="14"/>
  <c r="N649" i="14"/>
  <c r="M1014" i="14"/>
  <c r="M1023" i="14"/>
  <c r="O674" i="14"/>
  <c r="N1088" i="14"/>
  <c r="O675" i="14"/>
  <c r="H217" i="4"/>
  <c r="H285" i="4"/>
  <c r="H302" i="4" s="1"/>
  <c r="L299" i="16"/>
  <c r="L292" i="16"/>
  <c r="L676" i="14"/>
  <c r="L679" i="14" s="1"/>
  <c r="L677" i="14"/>
  <c r="L680" i="14" s="1"/>
  <c r="L678" i="14"/>
  <c r="L681" i="14" s="1"/>
  <c r="K708" i="4"/>
  <c r="L282" i="4"/>
  <c r="L214" i="4"/>
  <c r="L184" i="4"/>
  <c r="K290" i="4"/>
  <c r="K833" i="4"/>
  <c r="K201" i="48"/>
  <c r="K24" i="48"/>
  <c r="F630" i="4"/>
  <c r="F433" i="4"/>
  <c r="H444" i="4"/>
  <c r="H440" i="4"/>
  <c r="M221" i="14"/>
  <c r="M223" i="14" s="1"/>
  <c r="M216" i="14"/>
  <c r="M213" i="14"/>
  <c r="M231" i="14"/>
  <c r="M232" i="14" s="1"/>
  <c r="L221" i="48" s="1"/>
  <c r="N167" i="4"/>
  <c r="N157" i="4"/>
  <c r="M1072" i="14"/>
  <c r="M1074" i="14" s="1"/>
  <c r="M1075" i="14"/>
  <c r="G221" i="4"/>
  <c r="G378" i="4"/>
  <c r="G593" i="4"/>
  <c r="I322" i="4"/>
  <c r="I201" i="4"/>
  <c r="I202" i="4"/>
  <c r="I203" i="4"/>
  <c r="I200" i="4"/>
  <c r="J611" i="4"/>
  <c r="J629" i="4"/>
  <c r="O118" i="15"/>
  <c r="O146" i="15"/>
  <c r="O149" i="15" s="1"/>
  <c r="H294" i="4"/>
  <c r="H837" i="4"/>
  <c r="H633" i="4"/>
  <c r="H292" i="16"/>
  <c r="H299" i="16"/>
  <c r="J206" i="4"/>
  <c r="J328" i="4"/>
  <c r="J852" i="14" s="1"/>
  <c r="J199" i="4"/>
  <c r="J205" i="4"/>
  <c r="J194" i="4"/>
  <c r="K93" i="48"/>
  <c r="K89" i="48"/>
  <c r="Z244" i="16" s="1"/>
  <c r="L225" i="14"/>
  <c r="K91" i="48" s="1"/>
  <c r="O213" i="14"/>
  <c r="O216" i="14"/>
  <c r="O221" i="14"/>
  <c r="O223" i="14" s="1"/>
  <c r="O231" i="14"/>
  <c r="O232" i="14" s="1"/>
  <c r="N221" i="48" s="1"/>
  <c r="N221" i="14"/>
  <c r="N223" i="14" s="1"/>
  <c r="N216" i="14"/>
  <c r="N213" i="14"/>
  <c r="N231" i="14"/>
  <c r="N232" i="14" s="1"/>
  <c r="M221" i="48" s="1"/>
  <c r="K1021" i="14"/>
  <c r="K1020" i="14"/>
  <c r="G596" i="4"/>
  <c r="L630" i="4"/>
  <c r="M1054" i="14"/>
  <c r="M1060" i="14" s="1"/>
  <c r="M1059" i="14"/>
  <c r="H445" i="4"/>
  <c r="H441" i="4"/>
  <c r="O136" i="4"/>
  <c r="O140" i="4" s="1"/>
  <c r="O108" i="4"/>
  <c r="G404" i="4"/>
  <c r="G447" i="4"/>
  <c r="I323" i="4"/>
  <c r="I286" i="4"/>
  <c r="I303" i="4" s="1"/>
  <c r="I219" i="4"/>
  <c r="K299" i="16"/>
  <c r="K292" i="16"/>
  <c r="L251" i="48"/>
  <c r="L163" i="48"/>
  <c r="H284" i="4"/>
  <c r="H216" i="4"/>
  <c r="K630" i="4"/>
  <c r="N630" i="4"/>
  <c r="G630" i="4"/>
  <c r="G433" i="4"/>
  <c r="H442" i="4"/>
  <c r="G613" i="4"/>
  <c r="G292" i="4"/>
  <c r="G835" i="4"/>
  <c r="G287" i="4"/>
  <c r="I832" i="4"/>
  <c r="I857" i="14"/>
  <c r="I899" i="14" s="1"/>
  <c r="I350" i="4"/>
  <c r="I338" i="4"/>
  <c r="I335" i="4"/>
  <c r="I336" i="4"/>
  <c r="I330" i="4"/>
  <c r="I337" i="4"/>
  <c r="I331" i="4"/>
  <c r="I332" i="4"/>
  <c r="I333" i="4"/>
  <c r="I351" i="4"/>
  <c r="I347" i="4"/>
  <c r="I346" i="4"/>
  <c r="I343" i="4"/>
  <c r="I341" i="4"/>
  <c r="I342" i="4"/>
  <c r="I348" i="4"/>
  <c r="I340" i="4"/>
  <c r="I345" i="4"/>
  <c r="L1013" i="14"/>
  <c r="L1022" i="14"/>
  <c r="P269" i="15"/>
  <c r="P116" i="15"/>
  <c r="P118" i="15" s="1"/>
  <c r="L218" i="14"/>
  <c r="K85" i="48" s="1"/>
  <c r="G293" i="4"/>
  <c r="G836" i="4"/>
  <c r="J751" i="14"/>
  <c r="S62" i="29"/>
  <c r="O239" i="15"/>
  <c r="G595" i="4"/>
  <c r="J299" i="16"/>
  <c r="J292" i="16"/>
  <c r="K998" i="14" l="1"/>
  <c r="V22" i="16"/>
  <c r="V180" i="16"/>
  <c r="M41" i="29"/>
  <c r="K863" i="14"/>
  <c r="K868" i="14" s="1"/>
  <c r="K875" i="14"/>
  <c r="K877" i="14" s="1"/>
  <c r="K886" i="14" s="1"/>
  <c r="N861" i="14"/>
  <c r="N873" i="14"/>
  <c r="M861" i="14"/>
  <c r="M873" i="14"/>
  <c r="O861" i="14"/>
  <c r="O873" i="14"/>
  <c r="L997" i="14"/>
  <c r="L998" i="14" s="1"/>
  <c r="S63" i="29"/>
  <c r="O231" i="15" s="1"/>
  <c r="M189" i="48" s="1"/>
  <c r="N52" i="29"/>
  <c r="N284" i="29" s="1"/>
  <c r="N286" i="29" s="1"/>
  <c r="Q52" i="29"/>
  <c r="Q284" i="29" s="1"/>
  <c r="Q286" i="29" s="1"/>
  <c r="M52" i="29"/>
  <c r="M284" i="29" s="1"/>
  <c r="M286" i="29" s="1"/>
  <c r="R52" i="29"/>
  <c r="R284" i="29" s="1"/>
  <c r="R286" i="29" s="1"/>
  <c r="T52" i="29"/>
  <c r="T284" i="29" s="1"/>
  <c r="T286" i="29" s="1"/>
  <c r="P52" i="29"/>
  <c r="P284" i="29" s="1"/>
  <c r="P286" i="29" s="1"/>
  <c r="S52" i="29"/>
  <c r="S284" i="29" s="1"/>
  <c r="S286" i="29" s="1"/>
  <c r="O52" i="29"/>
  <c r="O284" i="29" s="1"/>
  <c r="O286" i="29" s="1"/>
  <c r="L52" i="29"/>
  <c r="L284" i="29" s="1"/>
  <c r="L286" i="29" s="1"/>
  <c r="K52" i="29"/>
  <c r="K284" i="29" s="1"/>
  <c r="K286" i="29" s="1"/>
  <c r="V12" i="16"/>
  <c r="V326" i="16"/>
  <c r="N996" i="14"/>
  <c r="N997" i="14" s="1"/>
  <c r="N998" i="14" s="1"/>
  <c r="J253" i="48"/>
  <c r="D286" i="2"/>
  <c r="D284" i="2"/>
  <c r="P255" i="2" s="1"/>
  <c r="E286" i="2"/>
  <c r="E284" i="2"/>
  <c r="I253" i="48"/>
  <c r="V10" i="16"/>
  <c r="V11" i="16"/>
  <c r="G304" i="4"/>
  <c r="I694" i="4"/>
  <c r="I367" i="4"/>
  <c r="I699" i="4"/>
  <c r="I372" i="4"/>
  <c r="I687" i="4"/>
  <c r="I360" i="4"/>
  <c r="J401" i="4"/>
  <c r="J757" i="4"/>
  <c r="J728" i="4"/>
  <c r="J430" i="4"/>
  <c r="J832" i="4"/>
  <c r="J758" i="4"/>
  <c r="J729" i="4" s="1"/>
  <c r="J402" i="4"/>
  <c r="J431" i="4"/>
  <c r="I399" i="4"/>
  <c r="I755" i="4"/>
  <c r="I726" i="4" s="1"/>
  <c r="I428" i="4"/>
  <c r="I391" i="4"/>
  <c r="I747" i="4"/>
  <c r="I420" i="4"/>
  <c r="J625" i="4"/>
  <c r="J645" i="4" s="1"/>
  <c r="I697" i="4"/>
  <c r="I370" i="4"/>
  <c r="I693" i="4"/>
  <c r="I366" i="4"/>
  <c r="I703" i="4"/>
  <c r="I376" i="4"/>
  <c r="I689" i="4"/>
  <c r="I362" i="4"/>
  <c r="I690" i="4"/>
  <c r="I363" i="4"/>
  <c r="I398" i="4"/>
  <c r="I754" i="4"/>
  <c r="I725" i="4" s="1"/>
  <c r="I427" i="4"/>
  <c r="L299" i="4"/>
  <c r="M384" i="4"/>
  <c r="M740" i="4"/>
  <c r="M711" i="4" s="1"/>
  <c r="M413" i="4"/>
  <c r="M381" i="4"/>
  <c r="M737" i="4"/>
  <c r="M410" i="4"/>
  <c r="I394" i="4"/>
  <c r="I750" i="4"/>
  <c r="I721" i="4" s="1"/>
  <c r="I423" i="4"/>
  <c r="I683" i="4"/>
  <c r="I356" i="4"/>
  <c r="I692" i="4"/>
  <c r="I365" i="4"/>
  <c r="I695" i="4"/>
  <c r="I368" i="4"/>
  <c r="I685" i="4"/>
  <c r="I358" i="4"/>
  <c r="I682" i="4"/>
  <c r="I355" i="4"/>
  <c r="I607" i="4"/>
  <c r="I702" i="4"/>
  <c r="I375" i="4"/>
  <c r="I597" i="4" s="1"/>
  <c r="H301" i="4"/>
  <c r="H304" i="4" s="1"/>
  <c r="H305" i="4"/>
  <c r="I50" i="16" s="1"/>
  <c r="I397" i="4"/>
  <c r="I753" i="4"/>
  <c r="I724" i="4" s="1"/>
  <c r="I426" i="4"/>
  <c r="M382" i="4"/>
  <c r="M738" i="4"/>
  <c r="M709" i="4" s="1"/>
  <c r="M411" i="4"/>
  <c r="I393" i="4"/>
  <c r="I749" i="4"/>
  <c r="I720" i="4" s="1"/>
  <c r="I422" i="4"/>
  <c r="I700" i="4"/>
  <c r="I373" i="4"/>
  <c r="I698" i="4"/>
  <c r="I371" i="4"/>
  <c r="I684" i="4"/>
  <c r="I357" i="4"/>
  <c r="I688" i="4"/>
  <c r="I361" i="4"/>
  <c r="I396" i="4"/>
  <c r="I752" i="4"/>
  <c r="I723" i="4" s="1"/>
  <c r="I425" i="4"/>
  <c r="M383" i="4"/>
  <c r="M739" i="4"/>
  <c r="M710" i="4" s="1"/>
  <c r="M412" i="4"/>
  <c r="I392" i="4"/>
  <c r="I748" i="4"/>
  <c r="I719" i="4" s="1"/>
  <c r="I421" i="4"/>
  <c r="K136" i="15"/>
  <c r="K137" i="15" s="1"/>
  <c r="J137" i="15" s="1"/>
  <c r="J138" i="15" s="1"/>
  <c r="J139" i="15" s="1"/>
  <c r="I138" i="15"/>
  <c r="L285" i="15"/>
  <c r="L136" i="15"/>
  <c r="K167" i="15"/>
  <c r="M124" i="15"/>
  <c r="M126" i="15" s="1"/>
  <c r="M129" i="15"/>
  <c r="L167" i="15"/>
  <c r="V204" i="16"/>
  <c r="V206" i="16"/>
  <c r="V196" i="16"/>
  <c r="V203" i="16"/>
  <c r="V181" i="16"/>
  <c r="V187" i="16"/>
  <c r="V178" i="16"/>
  <c r="V186" i="16"/>
  <c r="AB57" i="32"/>
  <c r="O658" i="14"/>
  <c r="O659" i="14"/>
  <c r="L41" i="29"/>
  <c r="F295" i="4"/>
  <c r="F296" i="4" s="1"/>
  <c r="G288" i="4"/>
  <c r="W38" i="49"/>
  <c r="M1002" i="14"/>
  <c r="H221" i="4"/>
  <c r="I615" i="4"/>
  <c r="H614" i="4"/>
  <c r="G295" i="4"/>
  <c r="G296" i="4" s="1"/>
  <c r="H613" i="4"/>
  <c r="L228" i="14"/>
  <c r="I905" i="14"/>
  <c r="I906" i="14" s="1"/>
  <c r="I972" i="14" s="1"/>
  <c r="P223" i="15"/>
  <c r="N191" i="48" s="1"/>
  <c r="H632" i="4"/>
  <c r="H433" i="4"/>
  <c r="N218" i="14"/>
  <c r="M85" i="48" s="1"/>
  <c r="O218" i="14"/>
  <c r="N85" i="48" s="1"/>
  <c r="I223" i="2" s="1"/>
  <c r="K223" i="2" s="1"/>
  <c r="H447" i="4"/>
  <c r="H448" i="4" s="1"/>
  <c r="H836" i="4"/>
  <c r="H293" i="4"/>
  <c r="O677" i="14"/>
  <c r="O680" i="14" s="1"/>
  <c r="O676" i="14"/>
  <c r="O679" i="14" s="1"/>
  <c r="O678" i="14"/>
  <c r="O681" i="14" s="1"/>
  <c r="N284" i="15"/>
  <c r="N128" i="15"/>
  <c r="N270" i="15"/>
  <c r="K751" i="14"/>
  <c r="P146" i="15"/>
  <c r="P149" i="15" s="1"/>
  <c r="I441" i="4"/>
  <c r="H718" i="4"/>
  <c r="H731" i="4" s="1"/>
  <c r="H760" i="4"/>
  <c r="G448" i="4"/>
  <c r="H594" i="4"/>
  <c r="M93" i="48"/>
  <c r="M89" i="48"/>
  <c r="AB244" i="16" s="1"/>
  <c r="N225" i="14"/>
  <c r="M91" i="48" s="1"/>
  <c r="J323" i="4"/>
  <c r="J219" i="4"/>
  <c r="J286" i="4"/>
  <c r="J303" i="4" s="1"/>
  <c r="J218" i="4"/>
  <c r="O122" i="15"/>
  <c r="M171" i="48" s="1"/>
  <c r="O121" i="15"/>
  <c r="O131" i="15"/>
  <c r="L93" i="48"/>
  <c r="L89" i="48"/>
  <c r="AA244" i="16" s="1"/>
  <c r="M225" i="14"/>
  <c r="L91" i="48" s="1"/>
  <c r="L319" i="4"/>
  <c r="L207" i="4"/>
  <c r="I442" i="4"/>
  <c r="I440" i="4"/>
  <c r="I444" i="4"/>
  <c r="H595" i="4"/>
  <c r="H292" i="4"/>
  <c r="H835" i="4"/>
  <c r="H287" i="4"/>
  <c r="H288" i="4" s="1"/>
  <c r="N93" i="48"/>
  <c r="N89" i="48"/>
  <c r="AC244" i="16" s="1"/>
  <c r="O225" i="14"/>
  <c r="N91" i="48" s="1"/>
  <c r="J321" i="4"/>
  <c r="J195" i="4"/>
  <c r="J197" i="4"/>
  <c r="J196" i="4"/>
  <c r="J198" i="4"/>
  <c r="J857" i="14"/>
  <c r="J899" i="14" s="1"/>
  <c r="J336" i="4"/>
  <c r="J330" i="4"/>
  <c r="J335" i="4"/>
  <c r="J332" i="4"/>
  <c r="J333" i="4"/>
  <c r="J351" i="4"/>
  <c r="J350" i="4"/>
  <c r="J338" i="4"/>
  <c r="J337" i="4"/>
  <c r="J331" i="4"/>
  <c r="J345" i="4"/>
  <c r="J347" i="4"/>
  <c r="J342" i="4"/>
  <c r="J348" i="4"/>
  <c r="J340" i="4"/>
  <c r="J346" i="4"/>
  <c r="J343" i="4"/>
  <c r="J341" i="4"/>
  <c r="L708" i="4"/>
  <c r="L683" i="14"/>
  <c r="K112" i="48" s="1"/>
  <c r="Z245" i="16" s="1"/>
  <c r="W39" i="49" s="1"/>
  <c r="M1088" i="14"/>
  <c r="N675" i="14"/>
  <c r="N674" i="14"/>
  <c r="N1022" i="14"/>
  <c r="N1013" i="14"/>
  <c r="B239" i="2"/>
  <c r="L201" i="48"/>
  <c r="L24" i="48"/>
  <c r="P121" i="15"/>
  <c r="P284" i="15" s="1"/>
  <c r="P122" i="15"/>
  <c r="N171" i="48" s="1"/>
  <c r="P131" i="15"/>
  <c r="L1021" i="14"/>
  <c r="L1020" i="14"/>
  <c r="I837" i="4"/>
  <c r="I294" i="4"/>
  <c r="I217" i="4"/>
  <c r="I285" i="4"/>
  <c r="I302" i="4" s="1"/>
  <c r="N153" i="4"/>
  <c r="N185" i="4" s="1"/>
  <c r="N154" i="4"/>
  <c r="N186" i="4" s="1"/>
  <c r="N155" i="4"/>
  <c r="N187" i="4" s="1"/>
  <c r="N156" i="4"/>
  <c r="N188" i="4" s="1"/>
  <c r="N170" i="4"/>
  <c r="N241" i="4"/>
  <c r="N172" i="4"/>
  <c r="M28" i="48" s="1"/>
  <c r="N244" i="4"/>
  <c r="M218" i="14"/>
  <c r="L85" i="48" s="1"/>
  <c r="E490" i="16"/>
  <c r="F839" i="4"/>
  <c r="F828" i="4" s="1"/>
  <c r="D612" i="16"/>
  <c r="D611" i="16"/>
  <c r="D609" i="16"/>
  <c r="D610" i="16"/>
  <c r="G59" i="16"/>
  <c r="F490" i="16"/>
  <c r="G839" i="4"/>
  <c r="G828" i="4" s="1"/>
  <c r="H59" i="16"/>
  <c r="E611" i="16"/>
  <c r="E632" i="16" s="1"/>
  <c r="E609" i="16"/>
  <c r="E610" i="16"/>
  <c r="E631" i="16" s="1"/>
  <c r="E612" i="16"/>
  <c r="E633" i="16" s="1"/>
  <c r="H378" i="4"/>
  <c r="H593" i="4"/>
  <c r="K611" i="4"/>
  <c r="K629" i="4"/>
  <c r="M214" i="4"/>
  <c r="M282" i="4"/>
  <c r="M184" i="4"/>
  <c r="I284" i="4"/>
  <c r="I216" i="4"/>
  <c r="H596" i="4"/>
  <c r="H631" i="4"/>
  <c r="I443" i="4"/>
  <c r="I445" i="4"/>
  <c r="H404" i="4"/>
  <c r="T62" i="29"/>
  <c r="P239" i="15"/>
  <c r="I633" i="4"/>
  <c r="O167" i="4"/>
  <c r="O157" i="4"/>
  <c r="J322" i="4"/>
  <c r="J201" i="4"/>
  <c r="J203" i="4"/>
  <c r="J200" i="4"/>
  <c r="J202" i="4"/>
  <c r="M1003" i="14"/>
  <c r="M997" i="14"/>
  <c r="M163" i="48"/>
  <c r="M251" i="48"/>
  <c r="H705" i="4"/>
  <c r="L833" i="4"/>
  <c r="L290" i="4"/>
  <c r="M1013" i="14"/>
  <c r="M1022" i="14"/>
  <c r="K205" i="4"/>
  <c r="K199" i="4"/>
  <c r="K194" i="4"/>
  <c r="K328" i="4"/>
  <c r="K852" i="14" s="1"/>
  <c r="K206" i="4"/>
  <c r="M677" i="14"/>
  <c r="M680" i="14" s="1"/>
  <c r="M676" i="14"/>
  <c r="M679" i="14" s="1"/>
  <c r="M678" i="14"/>
  <c r="M681" i="14" s="1"/>
  <c r="L1004" i="14" l="1"/>
  <c r="N41" i="29"/>
  <c r="L863" i="14"/>
  <c r="L868" i="14" s="1"/>
  <c r="L875" i="14"/>
  <c r="L877" i="14" s="1"/>
  <c r="L886" i="14" s="1"/>
  <c r="X265" i="2"/>
  <c r="X272" i="2" s="1"/>
  <c r="N1004" i="14"/>
  <c r="N1003" i="14"/>
  <c r="L745" i="16"/>
  <c r="L747" i="16" s="1"/>
  <c r="L703" i="16"/>
  <c r="L705" i="16" s="1"/>
  <c r="O293" i="15"/>
  <c r="T63" i="29"/>
  <c r="P231" i="15" s="1"/>
  <c r="N189" i="48" s="1"/>
  <c r="Q255" i="2"/>
  <c r="Q259" i="2" s="1"/>
  <c r="P259" i="2"/>
  <c r="M271" i="15"/>
  <c r="F286" i="2"/>
  <c r="F284" i="2"/>
  <c r="Q253" i="2"/>
  <c r="Q257" i="2" s="1"/>
  <c r="K90" i="32"/>
  <c r="K88" i="32"/>
  <c r="L90" i="32"/>
  <c r="L88" i="32"/>
  <c r="P253" i="2"/>
  <c r="P257" i="2" s="1"/>
  <c r="K758" i="4"/>
  <c r="K729" i="4" s="1"/>
  <c r="K402" i="4"/>
  <c r="K431" i="4"/>
  <c r="J399" i="4"/>
  <c r="J755" i="4"/>
  <c r="J726" i="4" s="1"/>
  <c r="J428" i="4"/>
  <c r="N382" i="4"/>
  <c r="N738" i="4"/>
  <c r="N709" i="4" s="1"/>
  <c r="N411" i="4"/>
  <c r="J695" i="4"/>
  <c r="J368" i="4"/>
  <c r="J694" i="4"/>
  <c r="J367" i="4"/>
  <c r="J689" i="4"/>
  <c r="J362" i="4"/>
  <c r="J685" i="4"/>
  <c r="J358" i="4"/>
  <c r="J688" i="4"/>
  <c r="J361" i="4"/>
  <c r="J393" i="4"/>
  <c r="J749" i="4"/>
  <c r="J720" i="4" s="1"/>
  <c r="J422" i="4"/>
  <c r="K401" i="4"/>
  <c r="K757" i="4"/>
  <c r="K728" i="4"/>
  <c r="K430" i="4"/>
  <c r="J398" i="4"/>
  <c r="J754" i="4"/>
  <c r="J725" i="4" s="1"/>
  <c r="J427" i="4"/>
  <c r="I301" i="4"/>
  <c r="I304" i="4" s="1"/>
  <c r="I305" i="4"/>
  <c r="M299" i="4"/>
  <c r="N384" i="4"/>
  <c r="N740" i="4"/>
  <c r="N711" i="4" s="1"/>
  <c r="N413" i="4"/>
  <c r="J692" i="4"/>
  <c r="J365" i="4"/>
  <c r="J697" i="4"/>
  <c r="J370" i="4"/>
  <c r="J702" i="4"/>
  <c r="J375" i="4"/>
  <c r="J597" i="4" s="1"/>
  <c r="J687" i="4"/>
  <c r="J360" i="4"/>
  <c r="J394" i="4"/>
  <c r="J750" i="4"/>
  <c r="J721" i="4" s="1"/>
  <c r="J423" i="4"/>
  <c r="J396" i="4"/>
  <c r="J752" i="4"/>
  <c r="J723" i="4" s="1"/>
  <c r="J425" i="4"/>
  <c r="N383" i="4"/>
  <c r="N739" i="4"/>
  <c r="N710" i="4" s="1"/>
  <c r="N412" i="4"/>
  <c r="J693" i="4"/>
  <c r="J366" i="4"/>
  <c r="J700" i="4"/>
  <c r="J373" i="4"/>
  <c r="J683" i="4"/>
  <c r="J356" i="4"/>
  <c r="J376" i="4"/>
  <c r="J703" i="4"/>
  <c r="J682" i="4"/>
  <c r="J355" i="4"/>
  <c r="J607" i="4"/>
  <c r="J392" i="4"/>
  <c r="J748" i="4"/>
  <c r="J719" i="4" s="1"/>
  <c r="J421" i="4"/>
  <c r="J397" i="4"/>
  <c r="J753" i="4"/>
  <c r="J724" i="4" s="1"/>
  <c r="J426" i="4"/>
  <c r="N381" i="4"/>
  <c r="N737" i="4"/>
  <c r="N410" i="4"/>
  <c r="J698" i="4"/>
  <c r="J371" i="4"/>
  <c r="J699" i="4"/>
  <c r="J372" i="4"/>
  <c r="J690" i="4"/>
  <c r="J363" i="4"/>
  <c r="J684" i="4"/>
  <c r="J357" i="4"/>
  <c r="J391" i="4"/>
  <c r="J747" i="4"/>
  <c r="J420" i="4"/>
  <c r="K625" i="4"/>
  <c r="K645" i="4" s="1"/>
  <c r="J141" i="15"/>
  <c r="J150" i="15"/>
  <c r="H138" i="15"/>
  <c r="I139" i="15"/>
  <c r="M170" i="15"/>
  <c r="K253" i="48" s="1"/>
  <c r="M130" i="15"/>
  <c r="M133" i="15" s="1"/>
  <c r="M135" i="15" s="1"/>
  <c r="M163" i="15"/>
  <c r="M155" i="15"/>
  <c r="M159" i="15"/>
  <c r="N124" i="15"/>
  <c r="N126" i="15" s="1"/>
  <c r="N129" i="15"/>
  <c r="L615" i="16"/>
  <c r="G615" i="16"/>
  <c r="M615" i="16"/>
  <c r="F615" i="16"/>
  <c r="H615" i="16"/>
  <c r="E615" i="16"/>
  <c r="J615" i="16"/>
  <c r="D615" i="16"/>
  <c r="I615" i="16"/>
  <c r="K615" i="16"/>
  <c r="F297" i="4"/>
  <c r="E62" i="48" s="1"/>
  <c r="G297" i="4"/>
  <c r="F62" i="48" s="1"/>
  <c r="Z38" i="49"/>
  <c r="X38" i="49"/>
  <c r="Y38" i="49"/>
  <c r="AC246" i="16"/>
  <c r="R618" i="16"/>
  <c r="S18" i="32" s="1"/>
  <c r="O228" i="14"/>
  <c r="H295" i="4"/>
  <c r="H297" i="4" s="1"/>
  <c r="G62" i="48" s="1"/>
  <c r="N228" i="14"/>
  <c r="I614" i="4"/>
  <c r="I594" i="4"/>
  <c r="I613" i="4"/>
  <c r="M228" i="14"/>
  <c r="I632" i="4"/>
  <c r="J615" i="4"/>
  <c r="J633" i="4"/>
  <c r="I433" i="4"/>
  <c r="J905" i="14"/>
  <c r="J906" i="14" s="1"/>
  <c r="J972" i="14" s="1"/>
  <c r="M708" i="4"/>
  <c r="F205" i="48"/>
  <c r="F52" i="48"/>
  <c r="J443" i="4"/>
  <c r="G490" i="16"/>
  <c r="H839" i="4"/>
  <c r="H828" i="4" s="1"/>
  <c r="F611" i="16"/>
  <c r="F632" i="16" s="1"/>
  <c r="I59" i="16"/>
  <c r="F610" i="16"/>
  <c r="F631" i="16" s="1"/>
  <c r="F612" i="16"/>
  <c r="F633" i="16" s="1"/>
  <c r="F609" i="16"/>
  <c r="J837" i="4"/>
  <c r="J294" i="4"/>
  <c r="K832" i="4"/>
  <c r="K218" i="4"/>
  <c r="J217" i="4"/>
  <c r="J285" i="4"/>
  <c r="J302" i="4" s="1"/>
  <c r="M833" i="4"/>
  <c r="M290" i="4"/>
  <c r="D633" i="16"/>
  <c r="J445" i="4"/>
  <c r="I447" i="4"/>
  <c r="I448" i="4" s="1"/>
  <c r="K857" i="14"/>
  <c r="K899" i="14" s="1"/>
  <c r="K332" i="4"/>
  <c r="K333" i="4"/>
  <c r="K351" i="4"/>
  <c r="K336" i="4"/>
  <c r="K350" i="4"/>
  <c r="K330" i="4"/>
  <c r="K337" i="4"/>
  <c r="K335" i="4"/>
  <c r="K331" i="4"/>
  <c r="K338" i="4"/>
  <c r="K348" i="4"/>
  <c r="K340" i="4"/>
  <c r="K345" i="4"/>
  <c r="K346" i="4"/>
  <c r="K343" i="4"/>
  <c r="K341" i="4"/>
  <c r="K342" i="4"/>
  <c r="K347" i="4"/>
  <c r="M1004" i="14"/>
  <c r="M998" i="14"/>
  <c r="O241" i="4"/>
  <c r="O172" i="4"/>
  <c r="N28" i="48" s="1"/>
  <c r="O170" i="4"/>
  <c r="O153" i="4"/>
  <c r="O185" i="4" s="1"/>
  <c r="O156" i="4"/>
  <c r="O188" i="4" s="1"/>
  <c r="O154" i="4"/>
  <c r="O186" i="4" s="1"/>
  <c r="O244" i="4"/>
  <c r="O155" i="4"/>
  <c r="O187" i="4" s="1"/>
  <c r="I596" i="4"/>
  <c r="I718" i="4"/>
  <c r="I731" i="4" s="1"/>
  <c r="I760" i="4"/>
  <c r="R620" i="16"/>
  <c r="F108" i="21"/>
  <c r="R619" i="16"/>
  <c r="P128" i="15"/>
  <c r="N1021" i="14"/>
  <c r="N1020" i="14"/>
  <c r="I595" i="4"/>
  <c r="L205" i="4"/>
  <c r="L199" i="4"/>
  <c r="L194" i="4"/>
  <c r="L206" i="4"/>
  <c r="L328" i="4"/>
  <c r="L852" i="14" s="1"/>
  <c r="O270" i="15"/>
  <c r="O128" i="15"/>
  <c r="O284" i="15"/>
  <c r="P270" i="15"/>
  <c r="B223" i="2"/>
  <c r="E630" i="16"/>
  <c r="D632" i="16"/>
  <c r="I293" i="4"/>
  <c r="I836" i="4"/>
  <c r="I631" i="4"/>
  <c r="J442" i="4"/>
  <c r="J444" i="4"/>
  <c r="J441" i="4"/>
  <c r="I378" i="4"/>
  <c r="I593" i="4"/>
  <c r="O683" i="14"/>
  <c r="N112" i="48" s="1"/>
  <c r="AC245" i="16" s="1"/>
  <c r="K322" i="4"/>
  <c r="K203" i="4"/>
  <c r="K202" i="4"/>
  <c r="K201" i="4"/>
  <c r="K200" i="4"/>
  <c r="M1021" i="14"/>
  <c r="M1020" i="14"/>
  <c r="I221" i="4"/>
  <c r="D631" i="16"/>
  <c r="M292" i="16"/>
  <c r="M299" i="16"/>
  <c r="J440" i="4"/>
  <c r="M683" i="14"/>
  <c r="L112" i="48" s="1"/>
  <c r="AA245" i="16" s="1"/>
  <c r="X39" i="49" s="1"/>
  <c r="K321" i="4"/>
  <c r="K196" i="4"/>
  <c r="K197" i="4"/>
  <c r="K198" i="4"/>
  <c r="K195" i="4"/>
  <c r="K323" i="4"/>
  <c r="K219" i="4"/>
  <c r="K286" i="4"/>
  <c r="K303" i="4" s="1"/>
  <c r="E205" i="48"/>
  <c r="E52" i="48"/>
  <c r="I404" i="4"/>
  <c r="I835" i="4"/>
  <c r="I292" i="4"/>
  <c r="I287" i="4"/>
  <c r="I288" i="4" s="1"/>
  <c r="M319" i="4"/>
  <c r="M207" i="4"/>
  <c r="E588" i="16"/>
  <c r="E600" i="16" s="1"/>
  <c r="R593" i="16" s="1"/>
  <c r="E17" i="32" s="1"/>
  <c r="L36" i="29"/>
  <c r="L37" i="29" s="1"/>
  <c r="D588" i="16"/>
  <c r="K36" i="29"/>
  <c r="K37" i="29" s="1"/>
  <c r="D630" i="16"/>
  <c r="M201" i="48"/>
  <c r="M24" i="48"/>
  <c r="N282" i="4"/>
  <c r="N184" i="4"/>
  <c r="N214" i="4"/>
  <c r="N678" i="14"/>
  <c r="N681" i="14" s="1"/>
  <c r="N676" i="14"/>
  <c r="N679" i="14" s="1"/>
  <c r="N677" i="14"/>
  <c r="N680" i="14" s="1"/>
  <c r="J284" i="4"/>
  <c r="J216" i="4"/>
  <c r="I705" i="4"/>
  <c r="L629" i="4"/>
  <c r="L611" i="4"/>
  <c r="N163" i="48"/>
  <c r="I240" i="2" s="1"/>
  <c r="K240" i="2" s="1"/>
  <c r="N251" i="48"/>
  <c r="L751" i="14"/>
  <c r="O41" i="29" l="1"/>
  <c r="M863" i="14"/>
  <c r="M868" i="14" s="1"/>
  <c r="M875" i="14"/>
  <c r="M877" i="14" s="1"/>
  <c r="M886" i="14" s="1"/>
  <c r="P293" i="15"/>
  <c r="Y265" i="2"/>
  <c r="Y272" i="2" s="1"/>
  <c r="Z272" i="2" s="1"/>
  <c r="Y279" i="2" s="1"/>
  <c r="M745" i="16"/>
  <c r="M747" i="16" s="1"/>
  <c r="M703" i="16"/>
  <c r="M705" i="16" s="1"/>
  <c r="K165" i="48"/>
  <c r="R255" i="2"/>
  <c r="R259" i="2" s="1"/>
  <c r="R253" i="2"/>
  <c r="R257" i="2" s="1"/>
  <c r="M90" i="32"/>
  <c r="M88" i="32"/>
  <c r="N271" i="15"/>
  <c r="N299" i="4"/>
  <c r="K393" i="4"/>
  <c r="K749" i="4"/>
  <c r="K720" i="4" s="1"/>
  <c r="K422" i="4"/>
  <c r="L758" i="4"/>
  <c r="L729" i="4" s="1"/>
  <c r="L402" i="4"/>
  <c r="L431" i="4"/>
  <c r="K392" i="4"/>
  <c r="K748" i="4"/>
  <c r="K719" i="4" s="1"/>
  <c r="K421" i="4"/>
  <c r="K397" i="4"/>
  <c r="K753" i="4"/>
  <c r="K724" i="4" s="1"/>
  <c r="K426" i="4"/>
  <c r="K687" i="4"/>
  <c r="K360" i="4"/>
  <c r="O382" i="4"/>
  <c r="O738" i="4"/>
  <c r="O709" i="4" s="1"/>
  <c r="O411" i="4"/>
  <c r="K695" i="4"/>
  <c r="K368" i="4"/>
  <c r="K700" i="4"/>
  <c r="K373" i="4"/>
  <c r="K689" i="4"/>
  <c r="K362" i="4"/>
  <c r="K703" i="4"/>
  <c r="K376" i="4"/>
  <c r="K396" i="4"/>
  <c r="K752" i="4"/>
  <c r="K723" i="4" s="1"/>
  <c r="K425" i="4"/>
  <c r="O383" i="4"/>
  <c r="O739" i="4"/>
  <c r="O710" i="4" s="1"/>
  <c r="O412" i="4"/>
  <c r="O381" i="4"/>
  <c r="O737" i="4"/>
  <c r="O410" i="4"/>
  <c r="K694" i="4"/>
  <c r="K367" i="4"/>
  <c r="K697" i="4"/>
  <c r="K370" i="4"/>
  <c r="K683" i="4"/>
  <c r="K356" i="4"/>
  <c r="K702" i="4"/>
  <c r="K375" i="4"/>
  <c r="K597" i="4" s="1"/>
  <c r="K684" i="4"/>
  <c r="K357" i="4"/>
  <c r="L401" i="4"/>
  <c r="L757" i="4"/>
  <c r="L728" i="4"/>
  <c r="L430" i="4"/>
  <c r="K693" i="4"/>
  <c r="K366" i="4"/>
  <c r="K692" i="4"/>
  <c r="K365" i="4"/>
  <c r="K688" i="4"/>
  <c r="K361" i="4"/>
  <c r="L625" i="4"/>
  <c r="L645" i="4" s="1"/>
  <c r="J301" i="4"/>
  <c r="J304" i="4" s="1"/>
  <c r="J305" i="4"/>
  <c r="K50" i="16" s="1"/>
  <c r="K391" i="4"/>
  <c r="K747" i="4"/>
  <c r="K420" i="4"/>
  <c r="K398" i="4"/>
  <c r="K754" i="4"/>
  <c r="K725" i="4" s="1"/>
  <c r="K427" i="4"/>
  <c r="K394" i="4"/>
  <c r="K750" i="4"/>
  <c r="K721" i="4" s="1"/>
  <c r="K423" i="4"/>
  <c r="K399" i="4"/>
  <c r="K755" i="4"/>
  <c r="K726" i="4" s="1"/>
  <c r="K428" i="4"/>
  <c r="O384" i="4"/>
  <c r="O740" i="4"/>
  <c r="O711" i="4" s="1"/>
  <c r="O413" i="4"/>
  <c r="K699" i="4"/>
  <c r="K372" i="4"/>
  <c r="K698" i="4"/>
  <c r="K371" i="4"/>
  <c r="K690" i="4"/>
  <c r="K363" i="4"/>
  <c r="K682" i="4"/>
  <c r="K355" i="4"/>
  <c r="K607" i="4"/>
  <c r="K685" i="4"/>
  <c r="K358" i="4"/>
  <c r="I150" i="15"/>
  <c r="I141" i="15"/>
  <c r="G138" i="15"/>
  <c r="H139" i="15"/>
  <c r="M285" i="15"/>
  <c r="M136" i="15"/>
  <c r="M137" i="15" s="1"/>
  <c r="L137" i="15" s="1"/>
  <c r="H255" i="48"/>
  <c r="H174" i="48"/>
  <c r="J142" i="15"/>
  <c r="H178" i="48" s="1"/>
  <c r="J286" i="15"/>
  <c r="N130" i="15"/>
  <c r="N133" i="15" s="1"/>
  <c r="N135" i="15" s="1"/>
  <c r="N285" i="15" s="1"/>
  <c r="N170" i="15"/>
  <c r="L253" i="48" s="1"/>
  <c r="M167" i="15"/>
  <c r="O124" i="15"/>
  <c r="O126" i="15" s="1"/>
  <c r="O129" i="15"/>
  <c r="P124" i="15"/>
  <c r="P126" i="15" s="1"/>
  <c r="P129" i="15"/>
  <c r="N163" i="15"/>
  <c r="N155" i="15"/>
  <c r="N159" i="15"/>
  <c r="N615" i="16"/>
  <c r="H296" i="4"/>
  <c r="G205" i="48" s="1"/>
  <c r="Z39" i="49"/>
  <c r="Z40" i="49"/>
  <c r="S618" i="16"/>
  <c r="T18" i="32" s="1"/>
  <c r="L832" i="4"/>
  <c r="J595" i="4"/>
  <c r="I295" i="4"/>
  <c r="I297" i="4" s="1"/>
  <c r="H62" i="48" s="1"/>
  <c r="J613" i="4"/>
  <c r="J614" i="4"/>
  <c r="J433" i="4"/>
  <c r="J632" i="4"/>
  <c r="K905" i="14"/>
  <c r="K906" i="14" s="1"/>
  <c r="K972" i="14" s="1"/>
  <c r="K615" i="4"/>
  <c r="O184" i="4"/>
  <c r="O282" i="4"/>
  <c r="O214" i="4"/>
  <c r="Q620" i="16"/>
  <c r="J293" i="4"/>
  <c r="J836" i="4"/>
  <c r="S620" i="16"/>
  <c r="N708" i="4"/>
  <c r="M194" i="4"/>
  <c r="M206" i="4"/>
  <c r="M199" i="4"/>
  <c r="M328" i="4"/>
  <c r="M852" i="14" s="1"/>
  <c r="M205" i="4"/>
  <c r="K216" i="4"/>
  <c r="K284" i="4"/>
  <c r="N299" i="16"/>
  <c r="N292" i="16"/>
  <c r="J447" i="4"/>
  <c r="J448" i="4" s="1"/>
  <c r="R617" i="16"/>
  <c r="F93" i="21"/>
  <c r="L321" i="4"/>
  <c r="L196" i="4"/>
  <c r="L195" i="4"/>
  <c r="L198" i="4"/>
  <c r="L197" i="4"/>
  <c r="S20" i="32"/>
  <c r="N24" i="48"/>
  <c r="I208" i="2" s="1"/>
  <c r="K208" i="2" s="1"/>
  <c r="N201" i="48"/>
  <c r="K440" i="4"/>
  <c r="J404" i="4"/>
  <c r="N207" i="4"/>
  <c r="N319" i="4"/>
  <c r="Q617" i="16"/>
  <c r="E93" i="21"/>
  <c r="M611" i="4"/>
  <c r="M629" i="4"/>
  <c r="J705" i="4"/>
  <c r="J631" i="4"/>
  <c r="L857" i="14"/>
  <c r="L899" i="14" s="1"/>
  <c r="L330" i="4"/>
  <c r="L337" i="4"/>
  <c r="L335" i="4"/>
  <c r="L331" i="4"/>
  <c r="L333" i="4"/>
  <c r="L351" i="4"/>
  <c r="L350" i="4"/>
  <c r="L338" i="4"/>
  <c r="L332" i="4"/>
  <c r="L336" i="4"/>
  <c r="L342" i="4"/>
  <c r="L348" i="4"/>
  <c r="L345" i="4"/>
  <c r="L347" i="4"/>
  <c r="L346" i="4"/>
  <c r="L343" i="4"/>
  <c r="L341" i="4"/>
  <c r="L340" i="4"/>
  <c r="L322" i="4"/>
  <c r="L200" i="4"/>
  <c r="L202" i="4"/>
  <c r="L203" i="4"/>
  <c r="L201" i="4"/>
  <c r="R625" i="16"/>
  <c r="S19" i="32"/>
  <c r="K443" i="4"/>
  <c r="K444" i="4"/>
  <c r="M751" i="14"/>
  <c r="N683" i="14"/>
  <c r="M112" i="48" s="1"/>
  <c r="AB245" i="16" s="1"/>
  <c r="Y39" i="49" s="1"/>
  <c r="N290" i="4"/>
  <c r="N833" i="4"/>
  <c r="D600" i="16"/>
  <c r="Q593" i="16" s="1"/>
  <c r="L323" i="4"/>
  <c r="L286" i="4"/>
  <c r="L303" i="4" s="1"/>
  <c r="L219" i="4"/>
  <c r="K445" i="4"/>
  <c r="J221" i="4"/>
  <c r="Q717" i="16"/>
  <c r="K837" i="4"/>
  <c r="K294" i="4"/>
  <c r="S619" i="16"/>
  <c r="G108" i="21"/>
  <c r="J596" i="4"/>
  <c r="B240" i="2"/>
  <c r="J718" i="4"/>
  <c r="J731" i="4" s="1"/>
  <c r="J760" i="4"/>
  <c r="J292" i="4"/>
  <c r="J835" i="4"/>
  <c r="J287" i="4"/>
  <c r="J288" i="4" s="1"/>
  <c r="P717" i="16"/>
  <c r="J50" i="16"/>
  <c r="K633" i="4"/>
  <c r="J593" i="4"/>
  <c r="J378" i="4"/>
  <c r="Q618" i="16"/>
  <c r="R18" i="32" s="1"/>
  <c r="K285" i="4"/>
  <c r="K302" i="4" s="1"/>
  <c r="K217" i="4"/>
  <c r="P299" i="16"/>
  <c r="P292" i="16"/>
  <c r="J594" i="4"/>
  <c r="Q619" i="16"/>
  <c r="E108" i="21"/>
  <c r="L218" i="4"/>
  <c r="F59" i="21"/>
  <c r="E643" i="16"/>
  <c r="E648" i="16" s="1"/>
  <c r="E831" i="16"/>
  <c r="E912" i="16"/>
  <c r="K442" i="4"/>
  <c r="K441" i="4"/>
  <c r="Y60" i="21"/>
  <c r="F630" i="16"/>
  <c r="F588" i="16"/>
  <c r="F600" i="16" s="1"/>
  <c r="S593" i="16" s="1"/>
  <c r="F17" i="32" s="1"/>
  <c r="M36" i="29"/>
  <c r="M37" i="29" s="1"/>
  <c r="P41" i="29" l="1"/>
  <c r="N863" i="14"/>
  <c r="N868" i="14" s="1"/>
  <c r="N875" i="14"/>
  <c r="N877" i="14" s="1"/>
  <c r="N886" i="14" s="1"/>
  <c r="AA270" i="2"/>
  <c r="Z265" i="2"/>
  <c r="G286" i="2"/>
  <c r="G284" i="2"/>
  <c r="H286" i="2"/>
  <c r="H284" i="2"/>
  <c r="L397" i="4"/>
  <c r="L753" i="4"/>
  <c r="L724" i="4" s="1"/>
  <c r="L426" i="4"/>
  <c r="L698" i="4"/>
  <c r="L371" i="4"/>
  <c r="L694" i="4"/>
  <c r="L367" i="4"/>
  <c r="L702" i="4"/>
  <c r="L375" i="4"/>
  <c r="L597" i="4" s="1"/>
  <c r="L687" i="4"/>
  <c r="L360" i="4"/>
  <c r="L391" i="4"/>
  <c r="L747" i="4"/>
  <c r="L420" i="4"/>
  <c r="K301" i="4"/>
  <c r="K304" i="4" s="1"/>
  <c r="K305" i="4"/>
  <c r="L399" i="4"/>
  <c r="L755" i="4"/>
  <c r="L726" i="4" s="1"/>
  <c r="L428" i="4"/>
  <c r="L692" i="4"/>
  <c r="L365" i="4"/>
  <c r="L699" i="4"/>
  <c r="L372" i="4"/>
  <c r="L688" i="4"/>
  <c r="L361" i="4"/>
  <c r="L703" i="4"/>
  <c r="L376" i="4"/>
  <c r="L689" i="4"/>
  <c r="L362" i="4"/>
  <c r="L392" i="4"/>
  <c r="L748" i="4"/>
  <c r="L719" i="4" s="1"/>
  <c r="L421" i="4"/>
  <c r="M832" i="4"/>
  <c r="M758" i="4"/>
  <c r="M729" i="4" s="1"/>
  <c r="M402" i="4"/>
  <c r="M431" i="4"/>
  <c r="O299" i="4"/>
  <c r="M625" i="4"/>
  <c r="M645" i="4" s="1"/>
  <c r="L398" i="4"/>
  <c r="L754" i="4"/>
  <c r="L725" i="4" s="1"/>
  <c r="L427" i="4"/>
  <c r="L693" i="4"/>
  <c r="L366" i="4"/>
  <c r="L697" i="4"/>
  <c r="L370" i="4"/>
  <c r="L684" i="4"/>
  <c r="L357" i="4"/>
  <c r="L685" i="4"/>
  <c r="L358" i="4"/>
  <c r="L682" i="4"/>
  <c r="L355" i="4"/>
  <c r="L607" i="4"/>
  <c r="L393" i="4"/>
  <c r="L749" i="4"/>
  <c r="L720" i="4" s="1"/>
  <c r="L422" i="4"/>
  <c r="M401" i="4"/>
  <c r="M757" i="4"/>
  <c r="M728" i="4"/>
  <c r="M430" i="4"/>
  <c r="L396" i="4"/>
  <c r="L752" i="4"/>
  <c r="L723" i="4" s="1"/>
  <c r="L425" i="4"/>
  <c r="L695" i="4"/>
  <c r="L368" i="4"/>
  <c r="L700" i="4"/>
  <c r="L373" i="4"/>
  <c r="L690" i="4"/>
  <c r="L363" i="4"/>
  <c r="L683" i="4"/>
  <c r="L356" i="4"/>
  <c r="L394" i="4"/>
  <c r="L750" i="4"/>
  <c r="L721" i="4" s="1"/>
  <c r="L423" i="4"/>
  <c r="L650" i="16"/>
  <c r="M650" i="16"/>
  <c r="K650" i="16"/>
  <c r="L649" i="16"/>
  <c r="M649" i="16"/>
  <c r="K649" i="16"/>
  <c r="F650" i="16"/>
  <c r="H650" i="16"/>
  <c r="I650" i="16"/>
  <c r="J650" i="16"/>
  <c r="G650" i="16"/>
  <c r="F649" i="16"/>
  <c r="J649" i="16"/>
  <c r="G649" i="16"/>
  <c r="H649" i="16"/>
  <c r="I649" i="16"/>
  <c r="F138" i="15"/>
  <c r="F139" i="15" s="1"/>
  <c r="G139" i="15"/>
  <c r="I142" i="15"/>
  <c r="G178" i="48" s="1"/>
  <c r="I286" i="15"/>
  <c r="H150" i="15"/>
  <c r="H141" i="15"/>
  <c r="P170" i="15"/>
  <c r="N165" i="48" s="1"/>
  <c r="I241" i="2" s="1"/>
  <c r="K241" i="2" s="1"/>
  <c r="G174" i="48"/>
  <c r="G255" i="48"/>
  <c r="L165" i="48"/>
  <c r="O130" i="15"/>
  <c r="O133" i="15" s="1"/>
  <c r="O135" i="15" s="1"/>
  <c r="O285" i="15" s="1"/>
  <c r="P271" i="15"/>
  <c r="N167" i="15"/>
  <c r="P130" i="15"/>
  <c r="P133" i="15" s="1"/>
  <c r="P135" i="15" s="1"/>
  <c r="P285" i="15" s="1"/>
  <c r="O159" i="15"/>
  <c r="O163" i="15"/>
  <c r="O155" i="15"/>
  <c r="O271" i="15"/>
  <c r="O170" i="15"/>
  <c r="M165" i="48" s="1"/>
  <c r="P159" i="15"/>
  <c r="P163" i="15"/>
  <c r="P155" i="15"/>
  <c r="G52" i="48"/>
  <c r="I296" i="4"/>
  <c r="H205" i="48" s="1"/>
  <c r="L905" i="14"/>
  <c r="L906" i="14" s="1"/>
  <c r="L972" i="14" s="1"/>
  <c r="J295" i="4"/>
  <c r="J297" i="4" s="1"/>
  <c r="I62" i="48" s="1"/>
  <c r="K596" i="4"/>
  <c r="K614" i="4"/>
  <c r="L615" i="4"/>
  <c r="L633" i="4"/>
  <c r="K595" i="4"/>
  <c r="K613" i="4"/>
  <c r="K632" i="4"/>
  <c r="K631" i="4"/>
  <c r="S617" i="16"/>
  <c r="G93" i="21"/>
  <c r="L336" i="29"/>
  <c r="L294" i="4"/>
  <c r="L837" i="4"/>
  <c r="N751" i="14"/>
  <c r="L444" i="4"/>
  <c r="L441" i="4"/>
  <c r="D910" i="16"/>
  <c r="E57" i="21"/>
  <c r="K292" i="4"/>
  <c r="K835" i="4"/>
  <c r="K287" i="4"/>
  <c r="K288" i="4" s="1"/>
  <c r="R20" i="32"/>
  <c r="R717" i="16"/>
  <c r="H490" i="16"/>
  <c r="I839" i="4"/>
  <c r="I828" i="4" s="1"/>
  <c r="J59" i="16"/>
  <c r="G612" i="16"/>
  <c r="G611" i="16"/>
  <c r="G609" i="16"/>
  <c r="G610" i="16"/>
  <c r="S625" i="16"/>
  <c r="T19" i="32"/>
  <c r="L442" i="4"/>
  <c r="L445" i="4"/>
  <c r="Q624" i="16"/>
  <c r="R17" i="32"/>
  <c r="M323" i="4"/>
  <c r="M219" i="4"/>
  <c r="M286" i="4"/>
  <c r="M303" i="4" s="1"/>
  <c r="R19" i="32"/>
  <c r="Q625" i="16"/>
  <c r="K293" i="4"/>
  <c r="K836" i="4"/>
  <c r="K336" i="29"/>
  <c r="Q718" i="16"/>
  <c r="Q729" i="16"/>
  <c r="Q730" i="16" s="1"/>
  <c r="L217" i="4"/>
  <c r="L285" i="4"/>
  <c r="L302" i="4" s="1"/>
  <c r="N199" i="4"/>
  <c r="N194" i="4"/>
  <c r="N206" i="4"/>
  <c r="N205" i="4"/>
  <c r="N328" i="4"/>
  <c r="N852" i="14" s="1"/>
  <c r="K447" i="4"/>
  <c r="K448" i="4" s="1"/>
  <c r="R624" i="16"/>
  <c r="S17" i="32"/>
  <c r="K718" i="4"/>
  <c r="K731" i="4" s="1"/>
  <c r="K760" i="4"/>
  <c r="M322" i="4"/>
  <c r="M202" i="4"/>
  <c r="M200" i="4"/>
  <c r="M201" i="4"/>
  <c r="M203" i="4"/>
  <c r="O207" i="4"/>
  <c r="O319" i="4"/>
  <c r="F831" i="16"/>
  <c r="F643" i="16"/>
  <c r="F652" i="16" s="1"/>
  <c r="G59" i="21"/>
  <c r="F912" i="16"/>
  <c r="M218" i="4"/>
  <c r="K594" i="4"/>
  <c r="K705" i="4"/>
  <c r="K221" i="4"/>
  <c r="M321" i="4"/>
  <c r="M195" i="4"/>
  <c r="M196" i="4"/>
  <c r="M198" i="4"/>
  <c r="M197" i="4"/>
  <c r="O708" i="4"/>
  <c r="E59" i="21"/>
  <c r="D831" i="16"/>
  <c r="D912" i="16"/>
  <c r="D643" i="16"/>
  <c r="D644" i="16" s="1"/>
  <c r="P718" i="16"/>
  <c r="P729" i="16"/>
  <c r="P730" i="16" s="1"/>
  <c r="I490" i="16"/>
  <c r="J839" i="4"/>
  <c r="J828" i="4" s="1"/>
  <c r="H612" i="16"/>
  <c r="H633" i="16" s="1"/>
  <c r="H610" i="16"/>
  <c r="H631" i="16" s="1"/>
  <c r="H611" i="16"/>
  <c r="H632" i="16" s="1"/>
  <c r="H609" i="16"/>
  <c r="K59" i="16"/>
  <c r="D17" i="32"/>
  <c r="O299" i="16"/>
  <c r="E299" i="16" s="1"/>
  <c r="O292" i="16"/>
  <c r="L443" i="4"/>
  <c r="L440" i="4"/>
  <c r="N629" i="4"/>
  <c r="N611" i="4"/>
  <c r="K593" i="4"/>
  <c r="K378" i="4"/>
  <c r="B208" i="2"/>
  <c r="L216" i="4"/>
  <c r="L284" i="4"/>
  <c r="E910" i="16"/>
  <c r="F57" i="21"/>
  <c r="K433" i="4"/>
  <c r="K404" i="4"/>
  <c r="M857" i="14"/>
  <c r="M899" i="14" s="1"/>
  <c r="M350" i="4"/>
  <c r="M338" i="4"/>
  <c r="M330" i="4"/>
  <c r="M336" i="4"/>
  <c r="M337" i="4"/>
  <c r="M335" i="4"/>
  <c r="M331" i="4"/>
  <c r="M332" i="4"/>
  <c r="M333" i="4"/>
  <c r="M351" i="4"/>
  <c r="M347" i="4"/>
  <c r="M346" i="4"/>
  <c r="M343" i="4"/>
  <c r="M341" i="4"/>
  <c r="M342" i="4"/>
  <c r="M348" i="4"/>
  <c r="M340" i="4"/>
  <c r="M345" i="4"/>
  <c r="T20" i="32"/>
  <c r="O290" i="4"/>
  <c r="O833" i="4"/>
  <c r="Q41" i="29" l="1"/>
  <c r="O863" i="14"/>
  <c r="O868" i="14" s="1"/>
  <c r="O875" i="14"/>
  <c r="O877" i="14" s="1"/>
  <c r="O886" i="14" s="1"/>
  <c r="T255" i="2"/>
  <c r="T259" i="2" s="1"/>
  <c r="S255" i="2"/>
  <c r="S253" i="2"/>
  <c r="S257" i="2" s="1"/>
  <c r="O90" i="32"/>
  <c r="O88" i="32"/>
  <c r="T253" i="2"/>
  <c r="T257" i="2" s="1"/>
  <c r="N90" i="32"/>
  <c r="N88" i="32"/>
  <c r="M692" i="4"/>
  <c r="M365" i="4"/>
  <c r="M685" i="4"/>
  <c r="M358" i="4"/>
  <c r="M702" i="4"/>
  <c r="M375" i="4"/>
  <c r="M597" i="4" s="1"/>
  <c r="M398" i="4"/>
  <c r="M754" i="4"/>
  <c r="M725" i="4" s="1"/>
  <c r="M427" i="4"/>
  <c r="N758" i="4"/>
  <c r="N729" i="4" s="1"/>
  <c r="N402" i="4"/>
  <c r="N431" i="4"/>
  <c r="M700" i="4"/>
  <c r="M373" i="4"/>
  <c r="M698" i="4"/>
  <c r="M371" i="4"/>
  <c r="M684" i="4"/>
  <c r="M357" i="4"/>
  <c r="M688" i="4"/>
  <c r="M361" i="4"/>
  <c r="M392" i="4"/>
  <c r="M748" i="4"/>
  <c r="M719" i="4" s="1"/>
  <c r="M421" i="4"/>
  <c r="M399" i="4"/>
  <c r="M755" i="4"/>
  <c r="M726" i="4" s="1"/>
  <c r="M428" i="4"/>
  <c r="M695" i="4"/>
  <c r="M368" i="4"/>
  <c r="M689" i="4"/>
  <c r="M362" i="4"/>
  <c r="M394" i="4"/>
  <c r="M750" i="4"/>
  <c r="M721" i="4" s="1"/>
  <c r="M423" i="4"/>
  <c r="M694" i="4"/>
  <c r="M367" i="4"/>
  <c r="M699" i="4"/>
  <c r="M372" i="4"/>
  <c r="M683" i="4"/>
  <c r="M356" i="4"/>
  <c r="M682" i="4"/>
  <c r="M355" i="4"/>
  <c r="M607" i="4"/>
  <c r="L301" i="4"/>
  <c r="L304" i="4" s="1"/>
  <c r="L305" i="4"/>
  <c r="M50" i="16" s="1"/>
  <c r="M391" i="4"/>
  <c r="M747" i="4"/>
  <c r="M420" i="4"/>
  <c r="M397" i="4"/>
  <c r="M753" i="4"/>
  <c r="M724" i="4" s="1"/>
  <c r="M426" i="4"/>
  <c r="N625" i="4"/>
  <c r="N645" i="4" s="1"/>
  <c r="M697" i="4"/>
  <c r="M370" i="4"/>
  <c r="M693" i="4"/>
  <c r="M366" i="4"/>
  <c r="M376" i="4"/>
  <c r="M703" i="4"/>
  <c r="M687" i="4"/>
  <c r="M360" i="4"/>
  <c r="M690" i="4"/>
  <c r="M363" i="4"/>
  <c r="M393" i="4"/>
  <c r="M749" i="4"/>
  <c r="M720" i="4" s="1"/>
  <c r="M422" i="4"/>
  <c r="N253" i="48"/>
  <c r="M396" i="4"/>
  <c r="M752" i="4"/>
  <c r="M723" i="4" s="1"/>
  <c r="M425" i="4"/>
  <c r="N401" i="4"/>
  <c r="N757" i="4"/>
  <c r="N728" i="4"/>
  <c r="N430" i="4"/>
  <c r="G654" i="16"/>
  <c r="I654" i="16"/>
  <c r="M654" i="16"/>
  <c r="J654" i="16"/>
  <c r="K654" i="16"/>
  <c r="H654" i="16"/>
  <c r="L654" i="16"/>
  <c r="G653" i="16"/>
  <c r="I653" i="16"/>
  <c r="M653" i="16"/>
  <c r="J653" i="16"/>
  <c r="K653" i="16"/>
  <c r="H653" i="16"/>
  <c r="L653" i="16"/>
  <c r="E646" i="16"/>
  <c r="G646" i="16"/>
  <c r="K646" i="16"/>
  <c r="H646" i="16"/>
  <c r="L646" i="16"/>
  <c r="I646" i="16"/>
  <c r="M646" i="16"/>
  <c r="F646" i="16"/>
  <c r="J646" i="16"/>
  <c r="H142" i="15"/>
  <c r="F178" i="48" s="1"/>
  <c r="H286" i="15"/>
  <c r="G141" i="15"/>
  <c r="G150" i="15"/>
  <c r="F255" i="48"/>
  <c r="F174" i="48"/>
  <c r="F150" i="15"/>
  <c r="F141" i="15"/>
  <c r="O136" i="15"/>
  <c r="N136" i="15" s="1"/>
  <c r="P167" i="15"/>
  <c r="M253" i="48"/>
  <c r="P136" i="15"/>
  <c r="P137" i="15" s="1"/>
  <c r="O167" i="15"/>
  <c r="H52" i="48"/>
  <c r="N832" i="4"/>
  <c r="J296" i="4"/>
  <c r="I205" i="48" s="1"/>
  <c r="M138" i="15"/>
  <c r="U618" i="16"/>
  <c r="V18" i="32" s="1"/>
  <c r="M905" i="14"/>
  <c r="M906" i="14" s="1"/>
  <c r="M972" i="14" s="1"/>
  <c r="L613" i="4"/>
  <c r="L614" i="4"/>
  <c r="K295" i="4"/>
  <c r="K297" i="4" s="1"/>
  <c r="J62" i="48" s="1"/>
  <c r="L594" i="4"/>
  <c r="L632" i="4"/>
  <c r="G632" i="16"/>
  <c r="G588" i="16"/>
  <c r="N36" i="29"/>
  <c r="N37" i="29" s="1"/>
  <c r="M442" i="4"/>
  <c r="M444" i="4"/>
  <c r="L718" i="4"/>
  <c r="L731" i="4" s="1"/>
  <c r="L760" i="4"/>
  <c r="L705" i="4"/>
  <c r="N323" i="4"/>
  <c r="N219" i="4"/>
  <c r="N286" i="4"/>
  <c r="N303" i="4" s="1"/>
  <c r="N322" i="4"/>
  <c r="N203" i="4"/>
  <c r="N202" i="4"/>
  <c r="N201" i="4"/>
  <c r="N200" i="4"/>
  <c r="R729" i="16"/>
  <c r="R730" i="16" s="1"/>
  <c r="R718" i="16"/>
  <c r="G57" i="21"/>
  <c r="F910" i="16"/>
  <c r="M440" i="4"/>
  <c r="L404" i="4"/>
  <c r="L221" i="4"/>
  <c r="L447" i="4"/>
  <c r="L596" i="4"/>
  <c r="U619" i="16"/>
  <c r="I108" i="21"/>
  <c r="B241" i="2"/>
  <c r="O194" i="4"/>
  <c r="O328" i="4"/>
  <c r="O852" i="14" s="1"/>
  <c r="O206" i="4"/>
  <c r="O205" i="4"/>
  <c r="O199" i="4"/>
  <c r="M285" i="4"/>
  <c r="M302" i="4" s="1"/>
  <c r="M217" i="4"/>
  <c r="N321" i="4"/>
  <c r="N196" i="4"/>
  <c r="N197" i="4"/>
  <c r="N198" i="4"/>
  <c r="N195" i="4"/>
  <c r="E292" i="16"/>
  <c r="M615" i="4"/>
  <c r="G630" i="16"/>
  <c r="G633" i="16"/>
  <c r="M443" i="4"/>
  <c r="M445" i="4"/>
  <c r="M441" i="4"/>
  <c r="L292" i="4"/>
  <c r="L835" i="4"/>
  <c r="L287" i="4"/>
  <c r="L288" i="4" s="1"/>
  <c r="O36" i="29"/>
  <c r="O37" i="29" s="1"/>
  <c r="H588" i="16"/>
  <c r="H600" i="16" s="1"/>
  <c r="U593" i="16" s="1"/>
  <c r="H17" i="32" s="1"/>
  <c r="N857" i="14"/>
  <c r="N899" i="14" s="1"/>
  <c r="N336" i="4"/>
  <c r="N338" i="4"/>
  <c r="N330" i="4"/>
  <c r="N337" i="4"/>
  <c r="N332" i="4"/>
  <c r="N333" i="4"/>
  <c r="N351" i="4"/>
  <c r="N350" i="4"/>
  <c r="N335" i="4"/>
  <c r="N331" i="4"/>
  <c r="N345" i="4"/>
  <c r="N341" i="4"/>
  <c r="N348" i="4"/>
  <c r="N340" i="4"/>
  <c r="N347" i="4"/>
  <c r="N346" i="4"/>
  <c r="N343" i="4"/>
  <c r="N342" i="4"/>
  <c r="K297" i="29"/>
  <c r="K333" i="29" s="1"/>
  <c r="J897" i="16"/>
  <c r="D832" i="16"/>
  <c r="D836" i="16" s="1"/>
  <c r="J899" i="16"/>
  <c r="H630" i="16"/>
  <c r="L50" i="16"/>
  <c r="O751" i="14"/>
  <c r="L433" i="4"/>
  <c r="L593" i="4"/>
  <c r="L378" i="4"/>
  <c r="U620" i="16"/>
  <c r="M216" i="4"/>
  <c r="M284" i="4"/>
  <c r="L631" i="4"/>
  <c r="O629" i="4"/>
  <c r="O611" i="4"/>
  <c r="N218" i="4"/>
  <c r="L293" i="4"/>
  <c r="L836" i="4"/>
  <c r="M294" i="4"/>
  <c r="M837" i="4"/>
  <c r="M633" i="4"/>
  <c r="L595" i="4"/>
  <c r="G631" i="16"/>
  <c r="K899" i="16"/>
  <c r="K897" i="16"/>
  <c r="L297" i="29"/>
  <c r="L333" i="29" s="1"/>
  <c r="E832" i="16"/>
  <c r="E836" i="16" s="1"/>
  <c r="T17" i="32"/>
  <c r="S624" i="16"/>
  <c r="R41" i="29" l="1"/>
  <c r="S259" i="2"/>
  <c r="I286" i="2"/>
  <c r="I284" i="2"/>
  <c r="J286" i="2"/>
  <c r="J284" i="2"/>
  <c r="N699" i="4"/>
  <c r="N372" i="4"/>
  <c r="N392" i="4"/>
  <c r="N748" i="4"/>
  <c r="N719" i="4" s="1"/>
  <c r="N421" i="4"/>
  <c r="O758" i="4"/>
  <c r="O729" i="4" s="1"/>
  <c r="O402" i="4"/>
  <c r="O431" i="4"/>
  <c r="N695" i="4"/>
  <c r="N368" i="4"/>
  <c r="N700" i="4"/>
  <c r="N373" i="4"/>
  <c r="N687" i="4"/>
  <c r="N360" i="4"/>
  <c r="N684" i="4"/>
  <c r="N357" i="4"/>
  <c r="N688" i="4"/>
  <c r="N361" i="4"/>
  <c r="N394" i="4"/>
  <c r="N750" i="4"/>
  <c r="N721" i="4" s="1"/>
  <c r="N423" i="4"/>
  <c r="N397" i="4"/>
  <c r="N753" i="4"/>
  <c r="N724" i="4" s="1"/>
  <c r="N426" i="4"/>
  <c r="N698" i="4"/>
  <c r="N371" i="4"/>
  <c r="N693" i="4"/>
  <c r="N366" i="4"/>
  <c r="N702" i="4"/>
  <c r="N375" i="4"/>
  <c r="N597" i="4" s="1"/>
  <c r="N689" i="4"/>
  <c r="N362" i="4"/>
  <c r="N393" i="4"/>
  <c r="N749" i="4"/>
  <c r="N720" i="4" s="1"/>
  <c r="N422" i="4"/>
  <c r="O401" i="4"/>
  <c r="O757" i="4"/>
  <c r="O728" i="4"/>
  <c r="O430" i="4"/>
  <c r="N398" i="4"/>
  <c r="N754" i="4"/>
  <c r="N725" i="4" s="1"/>
  <c r="N427" i="4"/>
  <c r="N697" i="4"/>
  <c r="N370" i="4"/>
  <c r="N376" i="4"/>
  <c r="N703" i="4"/>
  <c r="N682" i="4"/>
  <c r="N355" i="4"/>
  <c r="N607" i="4"/>
  <c r="N399" i="4"/>
  <c r="N755" i="4"/>
  <c r="N726" i="4" s="1"/>
  <c r="N428" i="4"/>
  <c r="M301" i="4"/>
  <c r="M304" i="4" s="1"/>
  <c r="M305" i="4"/>
  <c r="N694" i="4"/>
  <c r="N367" i="4"/>
  <c r="N692" i="4"/>
  <c r="N365" i="4"/>
  <c r="N683" i="4"/>
  <c r="N356" i="4"/>
  <c r="N685" i="4"/>
  <c r="N358" i="4"/>
  <c r="N690" i="4"/>
  <c r="N363" i="4"/>
  <c r="N391" i="4"/>
  <c r="N747" i="4"/>
  <c r="N420" i="4"/>
  <c r="N396" i="4"/>
  <c r="N752" i="4"/>
  <c r="N723" i="4" s="1"/>
  <c r="N425" i="4"/>
  <c r="O137" i="15"/>
  <c r="O625" i="4"/>
  <c r="O645" i="4" s="1"/>
  <c r="G651" i="16"/>
  <c r="E645" i="16"/>
  <c r="F651" i="16"/>
  <c r="J645" i="16"/>
  <c r="K645" i="16"/>
  <c r="L645" i="16"/>
  <c r="I645" i="16"/>
  <c r="M645" i="16"/>
  <c r="G645" i="16"/>
  <c r="G684" i="16" s="1"/>
  <c r="H645" i="16"/>
  <c r="F645" i="16"/>
  <c r="F684" i="16" s="1"/>
  <c r="D174" i="48"/>
  <c r="D255" i="48"/>
  <c r="G194" i="2" s="1"/>
  <c r="F286" i="15"/>
  <c r="F142" i="15"/>
  <c r="D178" i="48" s="1"/>
  <c r="G313" i="15"/>
  <c r="E255" i="48"/>
  <c r="E174" i="48"/>
  <c r="G286" i="15"/>
  <c r="G142" i="15"/>
  <c r="E178" i="48" s="1"/>
  <c r="K296" i="4"/>
  <c r="J205" i="48" s="1"/>
  <c r="M221" i="4"/>
  <c r="I52" i="48"/>
  <c r="N615" i="4"/>
  <c r="N137" i="15"/>
  <c r="L138" i="15"/>
  <c r="M139" i="15"/>
  <c r="N905" i="14"/>
  <c r="N906" i="14" s="1"/>
  <c r="N972" i="14" s="1"/>
  <c r="M614" i="4"/>
  <c r="N633" i="4"/>
  <c r="L295" i="4"/>
  <c r="L296" i="4" s="1"/>
  <c r="M632" i="4"/>
  <c r="M631" i="4"/>
  <c r="K655" i="16"/>
  <c r="L655" i="16"/>
  <c r="I59" i="21"/>
  <c r="H831" i="16"/>
  <c r="H912" i="16"/>
  <c r="H643" i="16"/>
  <c r="H660" i="16" s="1"/>
  <c r="N285" i="4"/>
  <c r="N302" i="4" s="1"/>
  <c r="N217" i="4"/>
  <c r="M595" i="4"/>
  <c r="L897" i="16"/>
  <c r="M297" i="29"/>
  <c r="M333" i="29" s="1"/>
  <c r="F832" i="16"/>
  <c r="F836" i="16" s="1"/>
  <c r="L899" i="16"/>
  <c r="H108" i="21"/>
  <c r="T619" i="16"/>
  <c r="V20" i="32"/>
  <c r="N443" i="4"/>
  <c r="N445" i="4"/>
  <c r="M596" i="4"/>
  <c r="O857" i="14"/>
  <c r="O899" i="14" s="1"/>
  <c r="O332" i="4"/>
  <c r="O333" i="4"/>
  <c r="O351" i="4"/>
  <c r="O330" i="4"/>
  <c r="O337" i="4"/>
  <c r="O335" i="4"/>
  <c r="O331" i="4"/>
  <c r="O336" i="4"/>
  <c r="O350" i="4"/>
  <c r="O338" i="4"/>
  <c r="O348" i="4"/>
  <c r="O340" i="4"/>
  <c r="O347" i="4"/>
  <c r="O346" i="4"/>
  <c r="O343" i="4"/>
  <c r="O342" i="4"/>
  <c r="O345" i="4"/>
  <c r="O341" i="4"/>
  <c r="I655" i="16"/>
  <c r="V19" i="32"/>
  <c r="U625" i="16"/>
  <c r="L448" i="4"/>
  <c r="N294" i="4"/>
  <c r="N837" i="4"/>
  <c r="I93" i="21"/>
  <c r="U617" i="16"/>
  <c r="N442" i="4"/>
  <c r="T717" i="16"/>
  <c r="K490" i="16"/>
  <c r="L839" i="4"/>
  <c r="L828" i="4" s="1"/>
  <c r="J611" i="16"/>
  <c r="J632" i="16" s="1"/>
  <c r="J609" i="16"/>
  <c r="J610" i="16"/>
  <c r="J631" i="16" s="1"/>
  <c r="M59" i="16"/>
  <c r="J612" i="16"/>
  <c r="J633" i="16" s="1"/>
  <c r="M293" i="4"/>
  <c r="M836" i="4"/>
  <c r="J655" i="16"/>
  <c r="G600" i="16"/>
  <c r="N444" i="4"/>
  <c r="M594" i="4"/>
  <c r="T617" i="16"/>
  <c r="H93" i="21"/>
  <c r="O218" i="4"/>
  <c r="G655" i="16"/>
  <c r="M705" i="4"/>
  <c r="M835" i="4"/>
  <c r="M292" i="4"/>
  <c r="M287" i="4"/>
  <c r="M288" i="4" s="1"/>
  <c r="M404" i="4"/>
  <c r="N440" i="4"/>
  <c r="T620" i="16"/>
  <c r="O322" i="4"/>
  <c r="O202" i="4"/>
  <c r="O203" i="4"/>
  <c r="O200" i="4"/>
  <c r="O201" i="4"/>
  <c r="H655" i="16"/>
  <c r="M613" i="4"/>
  <c r="M447" i="4"/>
  <c r="M448" i="4" s="1"/>
  <c r="S717" i="16"/>
  <c r="T618" i="16"/>
  <c r="U18" i="32" s="1"/>
  <c r="M718" i="4"/>
  <c r="M731" i="4" s="1"/>
  <c r="M760" i="4"/>
  <c r="Y94" i="21"/>
  <c r="E913" i="16" s="1"/>
  <c r="E884" i="16"/>
  <c r="E886" i="16" s="1"/>
  <c r="M433" i="4"/>
  <c r="J490" i="16"/>
  <c r="K839" i="4"/>
  <c r="K828" i="4" s="1"/>
  <c r="I610" i="16"/>
  <c r="I612" i="16"/>
  <c r="L59" i="16"/>
  <c r="I611" i="16"/>
  <c r="I609" i="16"/>
  <c r="D884" i="16"/>
  <c r="D886" i="16" s="1"/>
  <c r="X94" i="21"/>
  <c r="D913" i="16" s="1"/>
  <c r="N441" i="4"/>
  <c r="N284" i="4"/>
  <c r="N216" i="4"/>
  <c r="O832" i="4"/>
  <c r="O323" i="4"/>
  <c r="O286" i="4"/>
  <c r="O303" i="4" s="1"/>
  <c r="O219" i="4"/>
  <c r="O321" i="4"/>
  <c r="O195" i="4"/>
  <c r="O197" i="4"/>
  <c r="O196" i="4"/>
  <c r="O198" i="4"/>
  <c r="M655" i="16"/>
  <c r="M593" i="4"/>
  <c r="M378" i="4"/>
  <c r="M336" i="29"/>
  <c r="S41" i="29" l="1"/>
  <c r="V255" i="2"/>
  <c r="V259" i="2" s="1"/>
  <c r="U255" i="2"/>
  <c r="V253" i="2"/>
  <c r="V257" i="2" s="1"/>
  <c r="Q90" i="32"/>
  <c r="Q88" i="32"/>
  <c r="P90" i="32"/>
  <c r="P88" i="32"/>
  <c r="U253" i="2"/>
  <c r="U257" i="2" s="1"/>
  <c r="O392" i="4"/>
  <c r="O748" i="4"/>
  <c r="O719" i="4" s="1"/>
  <c r="O421" i="4"/>
  <c r="O391" i="4"/>
  <c r="O747" i="4"/>
  <c r="O420" i="4"/>
  <c r="O399" i="4"/>
  <c r="O755" i="4"/>
  <c r="O726" i="4" s="1"/>
  <c r="O428" i="4"/>
  <c r="O697" i="4"/>
  <c r="O370" i="4"/>
  <c r="O699" i="4"/>
  <c r="O372" i="4"/>
  <c r="O702" i="4"/>
  <c r="O375" i="4"/>
  <c r="O597" i="4" s="1"/>
  <c r="O689" i="4"/>
  <c r="O362" i="4"/>
  <c r="O684" i="4"/>
  <c r="O357" i="4"/>
  <c r="O138" i="15"/>
  <c r="O139" i="15" s="1"/>
  <c r="O141" i="15" s="1"/>
  <c r="O394" i="4"/>
  <c r="O750" i="4"/>
  <c r="O721" i="4" s="1"/>
  <c r="O423" i="4"/>
  <c r="O398" i="4"/>
  <c r="O754" i="4"/>
  <c r="O725" i="4" s="1"/>
  <c r="O427" i="4"/>
  <c r="O694" i="4"/>
  <c r="O367" i="4"/>
  <c r="O692" i="4"/>
  <c r="O365" i="4"/>
  <c r="O688" i="4"/>
  <c r="O361" i="4"/>
  <c r="O682" i="4"/>
  <c r="O355" i="4"/>
  <c r="O607" i="4"/>
  <c r="O397" i="4"/>
  <c r="O753" i="4"/>
  <c r="O724" i="4" s="1"/>
  <c r="O426" i="4"/>
  <c r="O695" i="4"/>
  <c r="O368" i="4"/>
  <c r="O700" i="4"/>
  <c r="O373" i="4"/>
  <c r="O683" i="4"/>
  <c r="O356" i="4"/>
  <c r="O376" i="4"/>
  <c r="O703" i="4"/>
  <c r="O393" i="4"/>
  <c r="O749" i="4"/>
  <c r="O720" i="4" s="1"/>
  <c r="O422" i="4"/>
  <c r="N301" i="4"/>
  <c r="N304" i="4" s="1"/>
  <c r="N305" i="4"/>
  <c r="O50" i="16" s="1"/>
  <c r="O396" i="4"/>
  <c r="O752" i="4"/>
  <c r="O723" i="4" s="1"/>
  <c r="O425" i="4"/>
  <c r="O693" i="4"/>
  <c r="O366" i="4"/>
  <c r="O698" i="4"/>
  <c r="O371" i="4"/>
  <c r="O690" i="4"/>
  <c r="O363" i="4"/>
  <c r="O687" i="4"/>
  <c r="O360" i="4"/>
  <c r="O685" i="4"/>
  <c r="O358" i="4"/>
  <c r="I662" i="16"/>
  <c r="K661" i="16"/>
  <c r="K662" i="16"/>
  <c r="L661" i="16"/>
  <c r="L662" i="16"/>
  <c r="M661" i="16"/>
  <c r="M662" i="16"/>
  <c r="J661" i="16"/>
  <c r="J662" i="16"/>
  <c r="I661" i="16"/>
  <c r="K651" i="16"/>
  <c r="I651" i="16"/>
  <c r="L651" i="16"/>
  <c r="M651" i="16"/>
  <c r="H651" i="16"/>
  <c r="J651" i="16"/>
  <c r="H647" i="16"/>
  <c r="J647" i="16"/>
  <c r="G685" i="16"/>
  <c r="F685" i="16"/>
  <c r="K647" i="16"/>
  <c r="I647" i="16"/>
  <c r="E684" i="16"/>
  <c r="L647" i="16"/>
  <c r="E685" i="16"/>
  <c r="H242" i="2"/>
  <c r="J242" i="2" s="1"/>
  <c r="J246" i="2" s="1"/>
  <c r="G24" i="41" s="1"/>
  <c r="E180" i="41" s="1"/>
  <c r="D198" i="33"/>
  <c r="J52" i="48"/>
  <c r="L297" i="4"/>
  <c r="K62" i="48" s="1"/>
  <c r="N138" i="15"/>
  <c r="N139" i="15" s="1"/>
  <c r="P138" i="15"/>
  <c r="P139" i="15" s="1"/>
  <c r="M150" i="15"/>
  <c r="M141" i="15"/>
  <c r="K138" i="15"/>
  <c r="K139" i="15" s="1"/>
  <c r="L139" i="15"/>
  <c r="W618" i="16"/>
  <c r="X18" i="32" s="1"/>
  <c r="N613" i="4"/>
  <c r="N614" i="4"/>
  <c r="N705" i="4"/>
  <c r="N595" i="4"/>
  <c r="O615" i="4"/>
  <c r="O633" i="4"/>
  <c r="N433" i="4"/>
  <c r="N632" i="4"/>
  <c r="O905" i="14"/>
  <c r="O906" i="14" s="1"/>
  <c r="O972" i="14" s="1"/>
  <c r="S729" i="16"/>
  <c r="S730" i="16" s="1"/>
  <c r="S718" i="16"/>
  <c r="H910" i="16"/>
  <c r="I57" i="21"/>
  <c r="O441" i="4"/>
  <c r="G912" i="16"/>
  <c r="G643" i="16"/>
  <c r="G656" i="16" s="1"/>
  <c r="G831" i="16"/>
  <c r="H59" i="21"/>
  <c r="N221" i="4"/>
  <c r="I588" i="16"/>
  <c r="P36" i="29"/>
  <c r="P37" i="29" s="1"/>
  <c r="N336" i="29"/>
  <c r="N297" i="29"/>
  <c r="N333" i="29" s="1"/>
  <c r="M899" i="16"/>
  <c r="G832" i="16"/>
  <c r="G836" i="16" s="1"/>
  <c r="M897" i="16"/>
  <c r="U20" i="32"/>
  <c r="N593" i="4"/>
  <c r="N378" i="4"/>
  <c r="K108" i="21"/>
  <c r="W619" i="16"/>
  <c r="N836" i="4"/>
  <c r="N293" i="4"/>
  <c r="O216" i="4"/>
  <c r="O284" i="4"/>
  <c r="O294" i="4"/>
  <c r="O837" i="4"/>
  <c r="N718" i="4"/>
  <c r="N731" i="4" s="1"/>
  <c r="N760" i="4"/>
  <c r="N292" i="4"/>
  <c r="N835" i="4"/>
  <c r="N287" i="4"/>
  <c r="N288" i="4" s="1"/>
  <c r="I630" i="16"/>
  <c r="I633" i="16"/>
  <c r="N447" i="4"/>
  <c r="N448" i="4" s="1"/>
  <c r="T624" i="16"/>
  <c r="U17" i="32"/>
  <c r="T593" i="16"/>
  <c r="G17" i="32" s="1"/>
  <c r="W620" i="16"/>
  <c r="O336" i="29"/>
  <c r="N897" i="16"/>
  <c r="O297" i="29"/>
  <c r="O333" i="29" s="1"/>
  <c r="N899" i="16"/>
  <c r="H832" i="16"/>
  <c r="H836" i="16" s="1"/>
  <c r="U624" i="16"/>
  <c r="V17" i="32"/>
  <c r="O445" i="4"/>
  <c r="K52" i="48"/>
  <c r="K205" i="48"/>
  <c r="T625" i="16"/>
  <c r="U19" i="32"/>
  <c r="I632" i="16"/>
  <c r="N50" i="16"/>
  <c r="J630" i="16"/>
  <c r="N596" i="4"/>
  <c r="Z94" i="21"/>
  <c r="F913" i="16" s="1"/>
  <c r="F884" i="16"/>
  <c r="F886" i="16" s="1"/>
  <c r="N631" i="4"/>
  <c r="I631" i="16"/>
  <c r="M647" i="16"/>
  <c r="Q36" i="29"/>
  <c r="Q37" i="29" s="1"/>
  <c r="J588" i="16"/>
  <c r="J600" i="16" s="1"/>
  <c r="W593" i="16" s="1"/>
  <c r="J17" i="32" s="1"/>
  <c r="O443" i="4"/>
  <c r="O444" i="4"/>
  <c r="N404" i="4"/>
  <c r="N594" i="4"/>
  <c r="O217" i="4"/>
  <c r="O285" i="4"/>
  <c r="O302" i="4" s="1"/>
  <c r="M295" i="4"/>
  <c r="G910" i="16"/>
  <c r="H57" i="21"/>
  <c r="T718" i="16"/>
  <c r="T729" i="16"/>
  <c r="T730" i="16" s="1"/>
  <c r="O442" i="4"/>
  <c r="O440" i="4"/>
  <c r="T41" i="29" l="1"/>
  <c r="U259" i="2"/>
  <c r="L286" i="2"/>
  <c r="L284" i="2"/>
  <c r="K286" i="2"/>
  <c r="K284" i="2"/>
  <c r="O150" i="15"/>
  <c r="M255" i="48" s="1"/>
  <c r="O301" i="4"/>
  <c r="O304" i="4" s="1"/>
  <c r="O305" i="4"/>
  <c r="I663" i="16"/>
  <c r="H658" i="16"/>
  <c r="J657" i="16"/>
  <c r="I658" i="16"/>
  <c r="M658" i="16"/>
  <c r="K657" i="16"/>
  <c r="J658" i="16"/>
  <c r="L657" i="16"/>
  <c r="K658" i="16"/>
  <c r="I657" i="16"/>
  <c r="M657" i="16"/>
  <c r="L658" i="16"/>
  <c r="H657" i="16"/>
  <c r="H684" i="16" s="1"/>
  <c r="E647" i="16"/>
  <c r="E686" i="16" s="1"/>
  <c r="E784" i="16" s="1"/>
  <c r="E791" i="16" s="1"/>
  <c r="F647" i="16"/>
  <c r="F686" i="16" s="1"/>
  <c r="G113" i="21" s="1"/>
  <c r="G60" i="21" s="1"/>
  <c r="G647" i="16"/>
  <c r="G686" i="16" s="1"/>
  <c r="H113" i="21" s="1"/>
  <c r="H60" i="21" s="1"/>
  <c r="P141" i="15"/>
  <c r="P150" i="15"/>
  <c r="N150" i="15"/>
  <c r="N141" i="15"/>
  <c r="O286" i="15"/>
  <c r="O142" i="15"/>
  <c r="M178" i="48" s="1"/>
  <c r="K150" i="15"/>
  <c r="K141" i="15"/>
  <c r="K174" i="48"/>
  <c r="K255" i="48"/>
  <c r="L141" i="15"/>
  <c r="L150" i="15"/>
  <c r="M142" i="15"/>
  <c r="K178" i="48" s="1"/>
  <c r="M286" i="15"/>
  <c r="O614" i="4"/>
  <c r="O221" i="4"/>
  <c r="O613" i="4"/>
  <c r="O631" i="4"/>
  <c r="O632" i="4"/>
  <c r="J663" i="16"/>
  <c r="L663" i="16"/>
  <c r="O433" i="4"/>
  <c r="O378" i="4"/>
  <c r="O593" i="4"/>
  <c r="V717" i="16"/>
  <c r="L490" i="16"/>
  <c r="M839" i="4"/>
  <c r="M828" i="4" s="1"/>
  <c r="K612" i="16"/>
  <c r="N59" i="16"/>
  <c r="K610" i="16"/>
  <c r="K609" i="16"/>
  <c r="K611" i="16"/>
  <c r="X20" i="32"/>
  <c r="AA94" i="21"/>
  <c r="G913" i="16" s="1"/>
  <c r="G884" i="16"/>
  <c r="G886" i="16" s="1"/>
  <c r="O594" i="4"/>
  <c r="K663" i="16"/>
  <c r="O705" i="4"/>
  <c r="M663" i="16"/>
  <c r="O447" i="4"/>
  <c r="M297" i="4"/>
  <c r="L62" i="48" s="1"/>
  <c r="M296" i="4"/>
  <c r="O596" i="4"/>
  <c r="H884" i="16"/>
  <c r="H886" i="16" s="1"/>
  <c r="AB94" i="21"/>
  <c r="H913" i="16" s="1"/>
  <c r="V617" i="16"/>
  <c r="J93" i="21"/>
  <c r="M490" i="16"/>
  <c r="N839" i="4"/>
  <c r="N828" i="4" s="1"/>
  <c r="L612" i="16"/>
  <c r="L633" i="16" s="1"/>
  <c r="O59" i="16"/>
  <c r="L609" i="16"/>
  <c r="L611" i="16"/>
  <c r="L632" i="16" s="1"/>
  <c r="L610" i="16"/>
  <c r="L631" i="16" s="1"/>
  <c r="O718" i="4"/>
  <c r="O731" i="4" s="1"/>
  <c r="O760" i="4"/>
  <c r="J831" i="16"/>
  <c r="K59" i="21"/>
  <c r="J912" i="16"/>
  <c r="J643" i="16"/>
  <c r="J668" i="16" s="1"/>
  <c r="V618" i="16"/>
  <c r="W18" i="32" s="1"/>
  <c r="W617" i="16"/>
  <c r="K93" i="21"/>
  <c r="V620" i="16"/>
  <c r="O595" i="4"/>
  <c r="O293" i="4"/>
  <c r="O836" i="4"/>
  <c r="O404" i="4"/>
  <c r="U717" i="16"/>
  <c r="J108" i="21"/>
  <c r="V619" i="16"/>
  <c r="N295" i="4"/>
  <c r="O292" i="4"/>
  <c r="O835" i="4"/>
  <c r="O287" i="4"/>
  <c r="O288" i="4" s="1"/>
  <c r="X19" i="32"/>
  <c r="W625" i="16"/>
  <c r="I600" i="16"/>
  <c r="M174" i="48" l="1"/>
  <c r="W255" i="2"/>
  <c r="X255" i="2"/>
  <c r="X259" i="2" s="1"/>
  <c r="X253" i="2"/>
  <c r="X257" i="2" s="1"/>
  <c r="R90" i="32"/>
  <c r="R88" i="32"/>
  <c r="W253" i="2"/>
  <c r="W257" i="2" s="1"/>
  <c r="S90" i="32"/>
  <c r="S88" i="32"/>
  <c r="K670" i="16"/>
  <c r="L669" i="16"/>
  <c r="M669" i="16"/>
  <c r="L670" i="16"/>
  <c r="M670" i="16"/>
  <c r="K669" i="16"/>
  <c r="F113" i="21"/>
  <c r="F60" i="21" s="1"/>
  <c r="F784" i="16"/>
  <c r="F791" i="16" s="1"/>
  <c r="G784" i="16"/>
  <c r="G791" i="16" s="1"/>
  <c r="AA76" i="21" s="1"/>
  <c r="G919" i="16" s="1"/>
  <c r="N142" i="15"/>
  <c r="L178" i="48" s="1"/>
  <c r="N286" i="15"/>
  <c r="L174" i="48"/>
  <c r="L255" i="48"/>
  <c r="N255" i="48"/>
  <c r="N174" i="48"/>
  <c r="I242" i="2" s="1"/>
  <c r="K242" i="2" s="1"/>
  <c r="P286" i="15"/>
  <c r="P142" i="15"/>
  <c r="N178" i="48" s="1"/>
  <c r="L286" i="15"/>
  <c r="L142" i="15"/>
  <c r="J178" i="48" s="1"/>
  <c r="I174" i="48"/>
  <c r="I255" i="48"/>
  <c r="J174" i="48"/>
  <c r="J255" i="48"/>
  <c r="K286" i="15"/>
  <c r="K142" i="15"/>
  <c r="I178" i="48" s="1"/>
  <c r="Y618" i="16"/>
  <c r="Z18" i="32" s="1"/>
  <c r="AE60" i="21"/>
  <c r="I685" i="16"/>
  <c r="J659" i="16"/>
  <c r="W19" i="32"/>
  <c r="V625" i="16"/>
  <c r="Y619" i="16"/>
  <c r="M108" i="21"/>
  <c r="V593" i="16"/>
  <c r="I17" i="32" s="1"/>
  <c r="O295" i="4"/>
  <c r="I912" i="16"/>
  <c r="J59" i="21"/>
  <c r="I831" i="16"/>
  <c r="I643" i="16"/>
  <c r="I664" i="16" s="1"/>
  <c r="I684" i="16"/>
  <c r="L630" i="16"/>
  <c r="L205" i="48"/>
  <c r="L52" i="48"/>
  <c r="O448" i="4"/>
  <c r="K630" i="16"/>
  <c r="U729" i="16"/>
  <c r="U730" i="16" s="1"/>
  <c r="U718" i="16"/>
  <c r="J910" i="16"/>
  <c r="K57" i="21"/>
  <c r="L588" i="16"/>
  <c r="L600" i="16" s="1"/>
  <c r="Y593" i="16" s="1"/>
  <c r="L17" i="32" s="1"/>
  <c r="S36" i="29"/>
  <c r="S37" i="29" s="1"/>
  <c r="W17" i="32"/>
  <c r="V624" i="16"/>
  <c r="K631" i="16"/>
  <c r="V718" i="16"/>
  <c r="V729" i="16"/>
  <c r="V730" i="16" s="1"/>
  <c r="K632" i="16"/>
  <c r="Y76" i="21"/>
  <c r="E919" i="16" s="1"/>
  <c r="E876" i="16"/>
  <c r="J57" i="21"/>
  <c r="I910" i="16"/>
  <c r="K633" i="16"/>
  <c r="P50" i="16"/>
  <c r="P305" i="4"/>
  <c r="N296" i="4"/>
  <c r="N297" i="4"/>
  <c r="M62" i="48" s="1"/>
  <c r="K659" i="16"/>
  <c r="P336" i="29"/>
  <c r="O897" i="16"/>
  <c r="O899" i="16"/>
  <c r="I832" i="16"/>
  <c r="I836" i="16" s="1"/>
  <c r="P297" i="29"/>
  <c r="P333" i="29" s="1"/>
  <c r="W20" i="32"/>
  <c r="W624" i="16"/>
  <c r="X17" i="32"/>
  <c r="Y620" i="16"/>
  <c r="R36" i="29"/>
  <c r="R37" i="29" s="1"/>
  <c r="K588" i="16"/>
  <c r="Q336" i="29"/>
  <c r="W259" i="2" l="1"/>
  <c r="M286" i="2"/>
  <c r="M284" i="2"/>
  <c r="L665" i="16"/>
  <c r="M666" i="16"/>
  <c r="M665" i="16"/>
  <c r="K666" i="16"/>
  <c r="K665" i="16"/>
  <c r="K684" i="16" s="1"/>
  <c r="L666" i="16"/>
  <c r="J665" i="16"/>
  <c r="J666" i="16"/>
  <c r="G876" i="16"/>
  <c r="B242" i="2"/>
  <c r="K246" i="2"/>
  <c r="G25" i="41" s="1"/>
  <c r="I659" i="16"/>
  <c r="I686" i="16" s="1"/>
  <c r="M671" i="16"/>
  <c r="AC94" i="21"/>
  <c r="I913" i="16" s="1"/>
  <c r="I884" i="16"/>
  <c r="I886" i="16" s="1"/>
  <c r="P304" i="4"/>
  <c r="U50" i="16" s="1"/>
  <c r="M613" i="16" s="1"/>
  <c r="M634" i="16" s="1"/>
  <c r="Z621" i="16" s="1"/>
  <c r="AA21" i="32" s="1"/>
  <c r="D50" i="16"/>
  <c r="X617" i="16"/>
  <c r="L93" i="21"/>
  <c r="Y617" i="16"/>
  <c r="M93" i="21"/>
  <c r="K600" i="16"/>
  <c r="Z20" i="32"/>
  <c r="X620" i="16"/>
  <c r="L659" i="16"/>
  <c r="L671" i="16"/>
  <c r="Y625" i="16"/>
  <c r="Z19" i="32"/>
  <c r="P899" i="16"/>
  <c r="Q297" i="29"/>
  <c r="Q333" i="29" s="1"/>
  <c r="J832" i="16"/>
  <c r="J836" i="16" s="1"/>
  <c r="P897" i="16"/>
  <c r="H659" i="16"/>
  <c r="H686" i="16" s="1"/>
  <c r="H685" i="16"/>
  <c r="N490" i="16"/>
  <c r="T88" i="32" s="1"/>
  <c r="O839" i="4"/>
  <c r="O828" i="4" s="1"/>
  <c r="M612" i="16"/>
  <c r="M610" i="16"/>
  <c r="M609" i="16"/>
  <c r="M611" i="16"/>
  <c r="P59" i="16"/>
  <c r="E50" i="16"/>
  <c r="F876" i="16"/>
  <c r="Z76" i="21"/>
  <c r="F919" i="16" s="1"/>
  <c r="W717" i="16"/>
  <c r="M205" i="48"/>
  <c r="M52" i="48"/>
  <c r="X619" i="16"/>
  <c r="L108" i="21"/>
  <c r="X618" i="16"/>
  <c r="Y18" i="32" s="1"/>
  <c r="X717" i="16"/>
  <c r="M659" i="16"/>
  <c r="O296" i="4"/>
  <c r="O297" i="4"/>
  <c r="N62" i="48" s="1"/>
  <c r="L643" i="16"/>
  <c r="L831" i="16"/>
  <c r="L912" i="16"/>
  <c r="M59" i="21"/>
  <c r="Y255" i="2" l="1"/>
  <c r="Y253" i="2"/>
  <c r="L676" i="16"/>
  <c r="O490" i="16"/>
  <c r="T90" i="32"/>
  <c r="I784" i="16"/>
  <c r="I791" i="16" s="1"/>
  <c r="J113" i="21"/>
  <c r="J60" i="21" s="1"/>
  <c r="L667" i="16"/>
  <c r="K667" i="16"/>
  <c r="M632" i="16"/>
  <c r="N611" i="16"/>
  <c r="Y17" i="32"/>
  <c r="X624" i="16"/>
  <c r="S336" i="29"/>
  <c r="R899" i="16"/>
  <c r="R897" i="16"/>
  <c r="S297" i="29"/>
  <c r="S333" i="29" s="1"/>
  <c r="L832" i="16"/>
  <c r="L836" i="16" s="1"/>
  <c r="Y19" i="32"/>
  <c r="X625" i="16"/>
  <c r="M630" i="16"/>
  <c r="T32" i="29"/>
  <c r="T33" i="29" s="1"/>
  <c r="N609" i="16"/>
  <c r="X593" i="16"/>
  <c r="K17" i="32" s="1"/>
  <c r="M631" i="16"/>
  <c r="N610" i="16"/>
  <c r="Y20" i="32"/>
  <c r="K671" i="16"/>
  <c r="L910" i="16"/>
  <c r="M57" i="21"/>
  <c r="K910" i="16"/>
  <c r="L57" i="21"/>
  <c r="T490" i="16"/>
  <c r="E613" i="16"/>
  <c r="D613" i="16"/>
  <c r="F613" i="16"/>
  <c r="G613" i="16"/>
  <c r="H613" i="16"/>
  <c r="J613" i="16"/>
  <c r="I613" i="16"/>
  <c r="L613" i="16"/>
  <c r="K613" i="16"/>
  <c r="N205" i="48"/>
  <c r="N52" i="48"/>
  <c r="I213" i="2" s="1"/>
  <c r="K213" i="2" s="1"/>
  <c r="B213" i="2" s="1"/>
  <c r="K831" i="16"/>
  <c r="K643" i="16"/>
  <c r="K672" i="16" s="1"/>
  <c r="K912" i="16"/>
  <c r="L59" i="21"/>
  <c r="M633" i="16"/>
  <c r="N612" i="16"/>
  <c r="Z17" i="32"/>
  <c r="Y624" i="16"/>
  <c r="R336" i="29"/>
  <c r="Q897" i="16"/>
  <c r="Q899" i="16"/>
  <c r="R297" i="29"/>
  <c r="R333" i="29" s="1"/>
  <c r="K832" i="16"/>
  <c r="K836" i="16" s="1"/>
  <c r="J684" i="16"/>
  <c r="S490" i="16"/>
  <c r="E59" i="16"/>
  <c r="X718" i="16"/>
  <c r="X729" i="16"/>
  <c r="X730" i="16" s="1"/>
  <c r="W729" i="16"/>
  <c r="W730" i="16" s="1"/>
  <c r="W718" i="16"/>
  <c r="J685" i="16"/>
  <c r="T36" i="29"/>
  <c r="T37" i="29" s="1"/>
  <c r="M588" i="16"/>
  <c r="I113" i="21"/>
  <c r="H784" i="16"/>
  <c r="J884" i="16"/>
  <c r="J886" i="16" s="1"/>
  <c r="AD94" i="21"/>
  <c r="J913" i="16" s="1"/>
  <c r="L39" i="41"/>
  <c r="Y259" i="2" l="1"/>
  <c r="Z259" i="2" s="1"/>
  <c r="X279" i="2" s="1"/>
  <c r="Z255" i="2"/>
  <c r="AA259" i="2"/>
  <c r="AA257" i="2"/>
  <c r="Y257" i="2"/>
  <c r="Z257" i="2" s="1"/>
  <c r="X277" i="2" s="1"/>
  <c r="Z253" i="2"/>
  <c r="Z90" i="32"/>
  <c r="AA90" i="32" s="1"/>
  <c r="V353" i="16" s="1"/>
  <c r="Z88" i="32"/>
  <c r="AA88" i="32" s="1"/>
  <c r="V50" i="16" s="1"/>
  <c r="U90" i="32"/>
  <c r="U88" i="32"/>
  <c r="V53" i="16"/>
  <c r="M677" i="16"/>
  <c r="M678" i="16"/>
  <c r="M674" i="16"/>
  <c r="M673" i="16"/>
  <c r="L673" i="16"/>
  <c r="L674" i="16"/>
  <c r="L685" i="16" s="1"/>
  <c r="S909" i="16"/>
  <c r="S908" i="16" s="1"/>
  <c r="K685" i="16"/>
  <c r="K686" i="16"/>
  <c r="J667" i="16"/>
  <c r="J686" i="16" s="1"/>
  <c r="AE94" i="21"/>
  <c r="K913" i="16" s="1"/>
  <c r="K884" i="16"/>
  <c r="K886" i="16" s="1"/>
  <c r="N94" i="21"/>
  <c r="Z620" i="16"/>
  <c r="N633" i="16"/>
  <c r="K634" i="16"/>
  <c r="R32" i="29"/>
  <c r="R33" i="29" s="1"/>
  <c r="H634" i="16"/>
  <c r="O32" i="29"/>
  <c r="O33" i="29" s="1"/>
  <c r="E634" i="16"/>
  <c r="L32" i="29"/>
  <c r="L33" i="29" s="1"/>
  <c r="Z618" i="16"/>
  <c r="AA18" i="32" s="1"/>
  <c r="AB18" i="32" s="1"/>
  <c r="N631" i="16"/>
  <c r="G634" i="16"/>
  <c r="N32" i="29"/>
  <c r="N33" i="29" s="1"/>
  <c r="Z617" i="16"/>
  <c r="N93" i="21"/>
  <c r="M830" i="16"/>
  <c r="N630" i="16"/>
  <c r="P58" i="49"/>
  <c r="AG60" i="21"/>
  <c r="I60" i="21"/>
  <c r="Y717" i="16"/>
  <c r="I876" i="16"/>
  <c r="AC76" i="21"/>
  <c r="I919" i="16" s="1"/>
  <c r="I634" i="16"/>
  <c r="P32" i="29"/>
  <c r="P33" i="29" s="1"/>
  <c r="F634" i="16"/>
  <c r="M32" i="29"/>
  <c r="M33" i="29" s="1"/>
  <c r="M667" i="16"/>
  <c r="N108" i="21"/>
  <c r="O108" i="21" s="1"/>
  <c r="Z619" i="16"/>
  <c r="N632" i="16"/>
  <c r="H791" i="16"/>
  <c r="M600" i="16"/>
  <c r="N588" i="16"/>
  <c r="E37" i="41" s="1"/>
  <c r="C33" i="49" s="1"/>
  <c r="L634" i="16"/>
  <c r="S32" i="29"/>
  <c r="S33" i="29" s="1"/>
  <c r="J634" i="16"/>
  <c r="Q32" i="29"/>
  <c r="Q33" i="29" s="1"/>
  <c r="D634" i="16"/>
  <c r="N613" i="16"/>
  <c r="K32" i="29"/>
  <c r="K33" i="29" s="1"/>
  <c r="L884" i="16"/>
  <c r="L886" i="16" s="1"/>
  <c r="AF94" i="21"/>
  <c r="L913" i="16" s="1"/>
  <c r="D622" i="16" l="1"/>
  <c r="F622" i="16"/>
  <c r="G622" i="16"/>
  <c r="M622" i="16"/>
  <c r="I622" i="16"/>
  <c r="L622" i="16"/>
  <c r="H622" i="16"/>
  <c r="K622" i="16"/>
  <c r="J622" i="16"/>
  <c r="E622" i="16"/>
  <c r="AB88" i="32"/>
  <c r="AB90" i="32"/>
  <c r="V54" i="16"/>
  <c r="F608" i="16" s="1"/>
  <c r="M679" i="16"/>
  <c r="J784" i="16"/>
  <c r="J791" i="16" s="1"/>
  <c r="K784" i="16"/>
  <c r="K791" i="16" s="1"/>
  <c r="K113" i="21"/>
  <c r="K60" i="21" s="1"/>
  <c r="L113" i="21"/>
  <c r="L60" i="21" s="1"/>
  <c r="M675" i="16"/>
  <c r="P33" i="49"/>
  <c r="Y718" i="16"/>
  <c r="Y729" i="16"/>
  <c r="Y730" i="16" s="1"/>
  <c r="S898" i="16"/>
  <c r="S896" i="16"/>
  <c r="Q621" i="16"/>
  <c r="N634" i="16"/>
  <c r="E94" i="21"/>
  <c r="D830" i="16"/>
  <c r="D835" i="16" s="1"/>
  <c r="Z593" i="16"/>
  <c r="M17" i="32" s="1"/>
  <c r="N17" i="32" s="1"/>
  <c r="N600" i="16"/>
  <c r="W621" i="16"/>
  <c r="K94" i="21"/>
  <c r="J830" i="16"/>
  <c r="J835" i="16" s="1"/>
  <c r="Y621" i="16"/>
  <c r="M94" i="21"/>
  <c r="L830" i="16"/>
  <c r="L835" i="16" s="1"/>
  <c r="M643" i="16"/>
  <c r="M831" i="16"/>
  <c r="M835" i="16" s="1"/>
  <c r="N59" i="21"/>
  <c r="O59" i="21" s="1"/>
  <c r="M912" i="16"/>
  <c r="Q912" i="16" s="1"/>
  <c r="AA17" i="32"/>
  <c r="AB17" i="32" s="1"/>
  <c r="Z624" i="16"/>
  <c r="T331" i="29"/>
  <c r="L331" i="29"/>
  <c r="R331" i="29"/>
  <c r="N58" i="21"/>
  <c r="M911" i="16"/>
  <c r="S621" i="16"/>
  <c r="G94" i="21"/>
  <c r="F830" i="16"/>
  <c r="F835" i="16" s="1"/>
  <c r="N331" i="29"/>
  <c r="R621" i="16"/>
  <c r="F94" i="21"/>
  <c r="E830" i="16"/>
  <c r="E835" i="16" s="1"/>
  <c r="X621" i="16"/>
  <c r="K830" i="16"/>
  <c r="K835" i="16" s="1"/>
  <c r="L94" i="21"/>
  <c r="T621" i="16"/>
  <c r="G830" i="16"/>
  <c r="G835" i="16" s="1"/>
  <c r="H94" i="21"/>
  <c r="S331" i="29"/>
  <c r="R898" i="16"/>
  <c r="R896" i="16"/>
  <c r="S325" i="29"/>
  <c r="S324" i="29"/>
  <c r="H876" i="16"/>
  <c r="AB76" i="21"/>
  <c r="H919" i="16" s="1"/>
  <c r="AA19" i="32"/>
  <c r="AB19" i="32" s="1"/>
  <c r="Z625" i="16"/>
  <c r="V621" i="16"/>
  <c r="I830" i="16"/>
  <c r="I835" i="16" s="1"/>
  <c r="J94" i="21"/>
  <c r="L675" i="16"/>
  <c r="M910" i="16"/>
  <c r="Q910" i="16" s="1"/>
  <c r="N57" i="21"/>
  <c r="O57" i="21" s="1"/>
  <c r="O93" i="21"/>
  <c r="U621" i="16"/>
  <c r="I94" i="21"/>
  <c r="H830" i="16"/>
  <c r="H835" i="16" s="1"/>
  <c r="AA20" i="32"/>
  <c r="AB20" i="32" s="1"/>
  <c r="Z626" i="16"/>
  <c r="P52" i="49" l="1"/>
  <c r="P54" i="49"/>
  <c r="M331" i="29"/>
  <c r="F629" i="16"/>
  <c r="N622" i="16"/>
  <c r="K608" i="16"/>
  <c r="K629" i="16" s="1"/>
  <c r="I608" i="16"/>
  <c r="I629" i="16" s="1"/>
  <c r="E608" i="16"/>
  <c r="E629" i="16" s="1"/>
  <c r="M608" i="16"/>
  <c r="M629" i="16" s="1"/>
  <c r="H608" i="16"/>
  <c r="H629" i="16" s="1"/>
  <c r="L608" i="16"/>
  <c r="L629" i="16" s="1"/>
  <c r="D608" i="16"/>
  <c r="G608" i="16"/>
  <c r="G629" i="16" s="1"/>
  <c r="J608" i="16"/>
  <c r="J629" i="16" s="1"/>
  <c r="M686" i="16"/>
  <c r="M784" i="16" s="1"/>
  <c r="M684" i="16"/>
  <c r="M680" i="16"/>
  <c r="AF93" i="21"/>
  <c r="AB93" i="21"/>
  <c r="AC93" i="21"/>
  <c r="AE93" i="21"/>
  <c r="Y93" i="21"/>
  <c r="Z93" i="21"/>
  <c r="AA93" i="21"/>
  <c r="AG93" i="21"/>
  <c r="AD93" i="21"/>
  <c r="K25" i="41"/>
  <c r="K27" i="41"/>
  <c r="P331" i="29"/>
  <c r="M685" i="16"/>
  <c r="T336" i="29"/>
  <c r="W21" i="32"/>
  <c r="V626" i="16"/>
  <c r="N896" i="16"/>
  <c r="N898" i="16"/>
  <c r="O325" i="29"/>
  <c r="O324" i="29"/>
  <c r="G58" i="21"/>
  <c r="F911" i="16"/>
  <c r="J898" i="16"/>
  <c r="J896" i="16"/>
  <c r="K324" i="29"/>
  <c r="K325" i="29"/>
  <c r="O94" i="21"/>
  <c r="E58" i="21"/>
  <c r="D911" i="16"/>
  <c r="O898" i="16"/>
  <c r="O896" i="16"/>
  <c r="P324" i="29"/>
  <c r="P325" i="29"/>
  <c r="Y21" i="32"/>
  <c r="X626" i="16"/>
  <c r="T21" i="32"/>
  <c r="S626" i="16"/>
  <c r="J911" i="16"/>
  <c r="K58" i="21"/>
  <c r="K876" i="16"/>
  <c r="AE76" i="21"/>
  <c r="K919" i="16" s="1"/>
  <c r="M898" i="16"/>
  <c r="M896" i="16"/>
  <c r="N325" i="29"/>
  <c r="N324" i="29"/>
  <c r="J876" i="16"/>
  <c r="AD76" i="21"/>
  <c r="J919" i="16" s="1"/>
  <c r="M58" i="21"/>
  <c r="L911" i="16"/>
  <c r="X21" i="32"/>
  <c r="W626" i="16"/>
  <c r="R21" i="32"/>
  <c r="Q626" i="16"/>
  <c r="H911" i="16"/>
  <c r="I58" i="21"/>
  <c r="P896" i="16"/>
  <c r="P898" i="16"/>
  <c r="Q325" i="29"/>
  <c r="Q324" i="29"/>
  <c r="S21" i="32"/>
  <c r="R626" i="16"/>
  <c r="V21" i="32"/>
  <c r="U626" i="16"/>
  <c r="L686" i="16"/>
  <c r="L684" i="16"/>
  <c r="U21" i="32"/>
  <c r="T626" i="16"/>
  <c r="K896" i="16"/>
  <c r="K898" i="16"/>
  <c r="L325" i="29"/>
  <c r="L324" i="29"/>
  <c r="L898" i="16"/>
  <c r="L896" i="16"/>
  <c r="M325" i="29"/>
  <c r="M324" i="29"/>
  <c r="I911" i="16"/>
  <c r="J58" i="21"/>
  <c r="Q331" i="29"/>
  <c r="O331" i="29"/>
  <c r="H58" i="21"/>
  <c r="G911" i="16"/>
  <c r="T297" i="29"/>
  <c r="T333" i="29" s="1"/>
  <c r="M832" i="16"/>
  <c r="M836" i="16" s="1"/>
  <c r="S897" i="16"/>
  <c r="S899" i="16"/>
  <c r="T324" i="29"/>
  <c r="T325" i="29"/>
  <c r="K911" i="16"/>
  <c r="L58" i="21"/>
  <c r="E911" i="16"/>
  <c r="F58" i="21"/>
  <c r="Q896" i="16"/>
  <c r="Q898" i="16"/>
  <c r="R324" i="29"/>
  <c r="R325" i="29"/>
  <c r="Z21" i="32"/>
  <c r="Y626" i="16"/>
  <c r="K331" i="29"/>
  <c r="D837" i="16"/>
  <c r="E834" i="16" s="1"/>
  <c r="D880" i="16"/>
  <c r="D882" i="16" s="1"/>
  <c r="X93" i="21"/>
  <c r="X95" i="21" s="1"/>
  <c r="X616" i="16" l="1"/>
  <c r="X627" i="16" s="1"/>
  <c r="W616" i="16"/>
  <c r="X22" i="32" s="1"/>
  <c r="U616" i="16"/>
  <c r="V22" i="32" s="1"/>
  <c r="T616" i="16"/>
  <c r="U22" i="32" s="1"/>
  <c r="Z616" i="16"/>
  <c r="AA22" i="32" s="1"/>
  <c r="R616" i="16"/>
  <c r="S22" i="32" s="1"/>
  <c r="S616" i="16"/>
  <c r="S627" i="16" s="1"/>
  <c r="Y616" i="16"/>
  <c r="Y627" i="16" s="1"/>
  <c r="V616" i="16"/>
  <c r="W22" i="32" s="1"/>
  <c r="N608" i="16"/>
  <c r="D629" i="16"/>
  <c r="N113" i="21"/>
  <c r="N60" i="21" s="1"/>
  <c r="AB21" i="32"/>
  <c r="E837" i="16"/>
  <c r="F834" i="16" s="1"/>
  <c r="E880" i="16"/>
  <c r="E882" i="16" s="1"/>
  <c r="Y92" i="21"/>
  <c r="Y95" i="21" s="1"/>
  <c r="O58" i="21"/>
  <c r="M884" i="16"/>
  <c r="M886" i="16" s="1"/>
  <c r="AG94" i="21"/>
  <c r="M913" i="16" s="1"/>
  <c r="M113" i="21"/>
  <c r="L784" i="16"/>
  <c r="M791" i="16"/>
  <c r="Q911" i="16"/>
  <c r="P53" i="49" l="1"/>
  <c r="Z627" i="16"/>
  <c r="V627" i="16"/>
  <c r="Y22" i="32"/>
  <c r="U627" i="16"/>
  <c r="T22" i="32"/>
  <c r="T627" i="16"/>
  <c r="R627" i="16"/>
  <c r="Q616" i="16"/>
  <c r="Q627" i="16" s="1"/>
  <c r="W627" i="16"/>
  <c r="Z22" i="32"/>
  <c r="N629" i="16"/>
  <c r="K26" i="41"/>
  <c r="M60" i="21"/>
  <c r="O60" i="21" s="1"/>
  <c r="O113" i="21"/>
  <c r="Z92" i="21"/>
  <c r="Z95" i="21" s="1"/>
  <c r="F880" i="16"/>
  <c r="F882" i="16" s="1"/>
  <c r="F837" i="16"/>
  <c r="G834" i="16" s="1"/>
  <c r="M876" i="16"/>
  <c r="AG76" i="21"/>
  <c r="M919" i="16" s="1"/>
  <c r="L791" i="16"/>
  <c r="R22" i="32" l="1"/>
  <c r="AB22" i="32" s="1"/>
  <c r="AF76" i="21"/>
  <c r="L919" i="16" s="1"/>
  <c r="L876" i="16"/>
  <c r="AA92" i="21"/>
  <c r="AA95" i="21" s="1"/>
  <c r="G880" i="16"/>
  <c r="G837" i="16"/>
  <c r="H834" i="16" s="1"/>
  <c r="H837" i="16" l="1"/>
  <c r="I834" i="16" s="1"/>
  <c r="AB92" i="21"/>
  <c r="AB95" i="21" s="1"/>
  <c r="H880" i="16"/>
  <c r="AC92" i="21" l="1"/>
  <c r="AC95" i="21" s="1"/>
  <c r="I880" i="16"/>
  <c r="I837" i="16"/>
  <c r="J834" i="16" s="1"/>
  <c r="J880" i="16" l="1"/>
  <c r="J837" i="16"/>
  <c r="K834" i="16" s="1"/>
  <c r="AD92" i="21"/>
  <c r="AD95" i="21" s="1"/>
  <c r="AE92" i="21" l="1"/>
  <c r="AE95" i="21" s="1"/>
  <c r="K880" i="16"/>
  <c r="K837" i="16"/>
  <c r="L834" i="16" s="1"/>
  <c r="L880" i="16" l="1"/>
  <c r="AF92" i="21"/>
  <c r="AF95" i="21" s="1"/>
  <c r="L837" i="16"/>
  <c r="M834" i="16" s="1"/>
  <c r="AG92" i="21" l="1"/>
  <c r="AG95" i="21" s="1"/>
  <c r="M880" i="16"/>
  <c r="M837" i="16"/>
  <c r="F813" i="16" l="1"/>
  <c r="F782" i="16" s="1"/>
  <c r="G813" i="16" l="1"/>
  <c r="G782" i="16" s="1"/>
  <c r="G918" i="16"/>
  <c r="AA84" i="21" l="1"/>
  <c r="S738" i="16" l="1"/>
  <c r="H918" i="16" l="1"/>
  <c r="H813" i="16"/>
  <c r="H782" i="16" s="1"/>
  <c r="AB84" i="21" l="1"/>
  <c r="T738" i="16" l="1"/>
  <c r="I918" i="16" l="1"/>
  <c r="I813" i="16"/>
  <c r="I782" i="16" l="1"/>
  <c r="J813" i="16" l="1"/>
  <c r="J918" i="16"/>
  <c r="J782" i="16" l="1"/>
  <c r="AD84" i="21" l="1"/>
  <c r="V738" i="16" l="1"/>
  <c r="K918" i="16" l="1"/>
  <c r="K813" i="16"/>
  <c r="K782" i="16" l="1"/>
  <c r="L813" i="16" l="1"/>
  <c r="L918" i="16"/>
  <c r="L782" i="16" l="1"/>
  <c r="AF84" i="21" l="1"/>
  <c r="X738" i="16" l="1"/>
  <c r="M813" i="16" l="1"/>
  <c r="M918" i="16"/>
  <c r="Q918" i="16" s="1"/>
  <c r="M27" i="41" s="1"/>
  <c r="O83" i="21"/>
  <c r="M782" i="16" l="1"/>
  <c r="F897" i="14" l="1"/>
  <c r="F901" i="14" s="1"/>
  <c r="F898" i="14" l="1"/>
  <c r="E237" i="48" s="1"/>
  <c r="E134" i="48" s="1"/>
  <c r="F900" i="14"/>
  <c r="G911" i="14"/>
  <c r="G897" i="14"/>
  <c r="G908" i="14" l="1"/>
  <c r="G909" i="14" s="1"/>
  <c r="G900" i="14"/>
  <c r="G901" i="14"/>
  <c r="H897" i="14"/>
  <c r="H901" i="14" s="1"/>
  <c r="G913" i="14"/>
  <c r="F144" i="48" s="1"/>
  <c r="G912" i="14"/>
  <c r="I897" i="14" l="1"/>
  <c r="I901" i="14" s="1"/>
  <c r="H898" i="14"/>
  <c r="G237" i="48" s="1"/>
  <c r="G134" i="48" s="1"/>
  <c r="G898" i="14"/>
  <c r="F237" i="48" s="1"/>
  <c r="F134" i="48" s="1"/>
  <c r="H908" i="14"/>
  <c r="H909" i="14" s="1"/>
  <c r="H900" i="14"/>
  <c r="H911" i="14"/>
  <c r="I898" i="14" l="1"/>
  <c r="H237" i="48" s="1"/>
  <c r="H134" i="48" s="1"/>
  <c r="I900" i="14"/>
  <c r="J897" i="14"/>
  <c r="J901" i="14" s="1"/>
  <c r="J898" i="14" s="1"/>
  <c r="I908" i="14"/>
  <c r="I909" i="14" s="1"/>
  <c r="H913" i="14"/>
  <c r="G144" i="48" s="1"/>
  <c r="H912" i="14"/>
  <c r="K897" i="14" l="1"/>
  <c r="K901" i="14" s="1"/>
  <c r="J900" i="14"/>
  <c r="I237" i="48"/>
  <c r="I134" i="48" s="1"/>
  <c r="J908" i="14"/>
  <c r="J909" i="14" s="1"/>
  <c r="I911" i="14"/>
  <c r="I912" i="14" s="1"/>
  <c r="K898" i="14" l="1"/>
  <c r="J237" i="48" s="1"/>
  <c r="J134" i="48" s="1"/>
  <c r="K908" i="14"/>
  <c r="K909" i="14" s="1"/>
  <c r="L897" i="14"/>
  <c r="L901" i="14" s="1"/>
  <c r="K900" i="14"/>
  <c r="I913" i="14"/>
  <c r="H144" i="48" s="1"/>
  <c r="J911" i="14"/>
  <c r="L898" i="14" l="1"/>
  <c r="K237" i="48" s="1"/>
  <c r="K134" i="48" s="1"/>
  <c r="L900" i="14"/>
  <c r="M897" i="14"/>
  <c r="M901" i="14" s="1"/>
  <c r="L908" i="14"/>
  <c r="L909" i="14" s="1"/>
  <c r="J913" i="14"/>
  <c r="I144" i="48" s="1"/>
  <c r="J912" i="14"/>
  <c r="E795" i="16" l="1"/>
  <c r="M898" i="14"/>
  <c r="L237" i="48" s="1"/>
  <c r="L134" i="48" s="1"/>
  <c r="M900" i="14"/>
  <c r="N897" i="14"/>
  <c r="N901" i="14" s="1"/>
  <c r="K911" i="14"/>
  <c r="M908" i="14"/>
  <c r="F115" i="21" l="1"/>
  <c r="F61" i="21" s="1"/>
  <c r="F795" i="16"/>
  <c r="N898" i="14"/>
  <c r="M237" i="48" s="1"/>
  <c r="M134" i="48" s="1"/>
  <c r="O897" i="14"/>
  <c r="O901" i="14" s="1"/>
  <c r="N900" i="14"/>
  <c r="K912" i="14"/>
  <c r="K913" i="14"/>
  <c r="J144" i="48" s="1"/>
  <c r="M909" i="14"/>
  <c r="N908" i="14" l="1"/>
  <c r="N909" i="14" s="1"/>
  <c r="G115" i="21"/>
  <c r="G61" i="21" s="1"/>
  <c r="O900" i="14"/>
  <c r="O898" i="14"/>
  <c r="N237" i="48" s="1"/>
  <c r="N134" i="48" s="1"/>
  <c r="I231" i="2" s="1"/>
  <c r="K231" i="2" s="1"/>
  <c r="B231" i="2" s="1"/>
  <c r="L911" i="14"/>
  <c r="O908" i="14" l="1"/>
  <c r="O909" i="14" s="1"/>
  <c r="G795" i="16"/>
  <c r="L913" i="14"/>
  <c r="K144" i="48" s="1"/>
  <c r="L912" i="14"/>
  <c r="H115" i="21" l="1"/>
  <c r="H61" i="21" s="1"/>
  <c r="M911" i="14"/>
  <c r="H795" i="16" l="1"/>
  <c r="M912" i="14"/>
  <c r="M913" i="14"/>
  <c r="L144" i="48" s="1"/>
  <c r="I115" i="21" l="1"/>
  <c r="I61" i="21" s="1"/>
  <c r="N911" i="14"/>
  <c r="I795" i="16" l="1"/>
  <c r="N912" i="14"/>
  <c r="N913" i="14"/>
  <c r="M144" i="48" s="1"/>
  <c r="J115" i="21" l="1"/>
  <c r="J61" i="21" s="1"/>
  <c r="O911" i="14"/>
  <c r="O912" i="14" l="1"/>
  <c r="O913" i="14"/>
  <c r="N144" i="48" s="1"/>
  <c r="K84" i="29" l="1"/>
  <c r="K279" i="29" l="1"/>
  <c r="P737" i="16"/>
  <c r="D703" i="16" l="1"/>
  <c r="D705" i="16" s="1"/>
  <c r="K281" i="29"/>
  <c r="D801" i="16"/>
  <c r="D803" i="16" l="1"/>
  <c r="D806" i="16"/>
  <c r="D809" i="16" s="1"/>
  <c r="D819" i="16"/>
  <c r="X82" i="21" l="1"/>
  <c r="X86" i="21" s="1"/>
  <c r="D873" i="16"/>
  <c r="D846" i="16"/>
  <c r="D807" i="16" s="1"/>
  <c r="D863" i="16" s="1"/>
  <c r="D810" i="16" s="1"/>
  <c r="D812" i="16" s="1"/>
  <c r="E82" i="21" s="1"/>
  <c r="E85" i="21" s="1"/>
  <c r="D814" i="16" s="1"/>
  <c r="D815" i="16" s="1"/>
  <c r="D816" i="16" s="1"/>
  <c r="D821" i="16" s="1"/>
  <c r="D877" i="16" s="1"/>
  <c r="D878" i="16" s="1"/>
  <c r="D889" i="16" s="1"/>
  <c r="X115" i="21" s="1"/>
  <c r="D822" i="16" l="1"/>
  <c r="E84" i="21"/>
  <c r="E86" i="21"/>
  <c r="E818" i="16" l="1"/>
  <c r="E800" i="16"/>
  <c r="Y81" i="21" l="1"/>
  <c r="Y86" i="21" s="1"/>
  <c r="E873" i="16"/>
  <c r="E803" i="16"/>
  <c r="E806" i="16"/>
  <c r="E809" i="16" s="1"/>
  <c r="E846" i="16" l="1"/>
  <c r="E807" i="16" s="1"/>
  <c r="E863" i="16" s="1"/>
  <c r="E810" i="16" s="1"/>
  <c r="E812" i="16" s="1"/>
  <c r="F82" i="21" s="1"/>
  <c r="F85" i="21" s="1"/>
  <c r="E814" i="16" s="1"/>
  <c r="E815" i="16" s="1"/>
  <c r="E816" i="16" s="1"/>
  <c r="E821" i="16" s="1"/>
  <c r="F86" i="21" l="1"/>
  <c r="F84" i="21"/>
  <c r="E877" i="16"/>
  <c r="E878" i="16" s="1"/>
  <c r="E889" i="16" s="1"/>
  <c r="E822" i="16"/>
  <c r="Y115" i="21" l="1"/>
  <c r="F800" i="16"/>
  <c r="F818" i="16"/>
  <c r="F873" i="16" l="1"/>
  <c r="Z81" i="21"/>
  <c r="F806" i="16"/>
  <c r="F809" i="16" s="1"/>
  <c r="F803" i="16"/>
  <c r="F846" i="16" l="1"/>
  <c r="F807" i="16" s="1"/>
  <c r="F863" i="16" s="1"/>
  <c r="F810" i="16" s="1"/>
  <c r="F812" i="16" s="1"/>
  <c r="G82" i="21" s="1"/>
  <c r="F814" i="16" l="1"/>
  <c r="G84" i="21"/>
  <c r="G86" i="21"/>
  <c r="Z84" i="21" l="1"/>
  <c r="F815" i="16"/>
  <c r="F816" i="16" s="1"/>
  <c r="F821" i="16" s="1"/>
  <c r="R738" i="16" l="1"/>
  <c r="Z86" i="21"/>
  <c r="F822" i="16"/>
  <c r="F877" i="16"/>
  <c r="F878" i="16" s="1"/>
  <c r="F889" i="16" s="1"/>
  <c r="Z115" i="21" l="1"/>
  <c r="G800" i="16"/>
  <c r="G818" i="16"/>
  <c r="G803" i="16" l="1"/>
  <c r="AA81" i="21"/>
  <c r="AA86" i="21" s="1"/>
  <c r="G873" i="16"/>
  <c r="G846" i="16" l="1"/>
  <c r="G807" i="16" l="1"/>
  <c r="G863" i="16" s="1"/>
  <c r="G810" i="16" s="1"/>
  <c r="G812" i="16" s="1"/>
  <c r="H82" i="21" s="1"/>
  <c r="H84" i="21" s="1"/>
  <c r="G845" i="16"/>
  <c r="G852" i="16" l="1"/>
  <c r="G806" i="16"/>
  <c r="G809" i="16" s="1"/>
  <c r="G814" i="16"/>
  <c r="H86" i="21"/>
  <c r="G815" i="16" l="1"/>
  <c r="G816" i="16" s="1"/>
  <c r="G821" i="16" s="1"/>
  <c r="G822" i="16" s="1"/>
  <c r="G881" i="16"/>
  <c r="G882" i="16" s="1"/>
  <c r="AA99" i="21"/>
  <c r="AA103" i="21" s="1"/>
  <c r="G855" i="16"/>
  <c r="G877" i="16" l="1"/>
  <c r="G878" i="16" s="1"/>
  <c r="G889" i="16" s="1"/>
  <c r="AA115" i="21" s="1"/>
  <c r="H851" i="16"/>
  <c r="H840" i="16"/>
  <c r="H843" i="16" s="1"/>
  <c r="H818" i="16"/>
  <c r="H800" i="16"/>
  <c r="H845" i="16" l="1"/>
  <c r="H852" i="16" s="1"/>
  <c r="AB99" i="21" s="1"/>
  <c r="H848" i="16"/>
  <c r="I103" i="21" s="1"/>
  <c r="AB98" i="21"/>
  <c r="H803" i="16"/>
  <c r="H873" i="16"/>
  <c r="AB81" i="21"/>
  <c r="AB86" i="21" s="1"/>
  <c r="AB103" i="21" l="1"/>
  <c r="H855" i="16"/>
  <c r="H881" i="16"/>
  <c r="H882" i="16" s="1"/>
  <c r="H806" i="16"/>
  <c r="H809" i="16" s="1"/>
  <c r="I105" i="21"/>
  <c r="H846" i="16"/>
  <c r="H807" i="16" s="1"/>
  <c r="H863" i="16" s="1"/>
  <c r="H810" i="16" s="1"/>
  <c r="H812" i="16" s="1"/>
  <c r="I82" i="21" s="1"/>
  <c r="I851" i="16" l="1"/>
  <c r="I840" i="16"/>
  <c r="I843" i="16" s="1"/>
  <c r="I84" i="21"/>
  <c r="I848" i="16" l="1"/>
  <c r="J103" i="21" s="1"/>
  <c r="I845" i="16"/>
  <c r="I852" i="16" s="1"/>
  <c r="AC99" i="21" s="1"/>
  <c r="AC98" i="21"/>
  <c r="H814" i="16"/>
  <c r="H815" i="16" s="1"/>
  <c r="H816" i="16" s="1"/>
  <c r="H821" i="16" s="1"/>
  <c r="I86" i="21"/>
  <c r="I855" i="16" l="1"/>
  <c r="J840" i="16" s="1"/>
  <c r="J843" i="16" s="1"/>
  <c r="AC103" i="21"/>
  <c r="I881" i="16"/>
  <c r="I882" i="16" s="1"/>
  <c r="J105" i="21"/>
  <c r="H877" i="16"/>
  <c r="H878" i="16" s="1"/>
  <c r="H889" i="16" s="1"/>
  <c r="H822" i="16"/>
  <c r="J851" i="16" l="1"/>
  <c r="AD98" i="21" s="1"/>
  <c r="J848" i="16"/>
  <c r="K103" i="21" s="1"/>
  <c r="J845" i="16"/>
  <c r="J852" i="16" s="1"/>
  <c r="AD99" i="21" s="1"/>
  <c r="I818" i="16"/>
  <c r="I800" i="16"/>
  <c r="AB115" i="21"/>
  <c r="AD103" i="21" l="1"/>
  <c r="K105" i="21"/>
  <c r="J881" i="16"/>
  <c r="J882" i="16" s="1"/>
  <c r="J855" i="16"/>
  <c r="I806" i="16"/>
  <c r="I809" i="16" s="1"/>
  <c r="I803" i="16"/>
  <c r="I873" i="16"/>
  <c r="AC81" i="21"/>
  <c r="K851" i="16" l="1"/>
  <c r="K840" i="16"/>
  <c r="K843" i="16" s="1"/>
  <c r="I846" i="16"/>
  <c r="I807" i="16" s="1"/>
  <c r="I863" i="16" s="1"/>
  <c r="I810" i="16" s="1"/>
  <c r="I812" i="16" s="1"/>
  <c r="J82" i="21" s="1"/>
  <c r="K845" i="16" l="1"/>
  <c r="K852" i="16" s="1"/>
  <c r="AE99" i="21" s="1"/>
  <c r="K848" i="16"/>
  <c r="L103" i="21" s="1"/>
  <c r="AE98" i="21"/>
  <c r="J84" i="21"/>
  <c r="K855" i="16" l="1"/>
  <c r="K881" i="16"/>
  <c r="K882" i="16" s="1"/>
  <c r="AE103" i="21"/>
  <c r="L105" i="21"/>
  <c r="I814" i="16"/>
  <c r="J86" i="21"/>
  <c r="L840" i="16" l="1"/>
  <c r="L843" i="16" s="1"/>
  <c r="L851" i="16"/>
  <c r="AC84" i="21"/>
  <c r="I815" i="16"/>
  <c r="I816" i="16" s="1"/>
  <c r="I821" i="16" s="1"/>
  <c r="AF98" i="21" l="1"/>
  <c r="L848" i="16"/>
  <c r="M103" i="21" s="1"/>
  <c r="L845" i="16"/>
  <c r="L852" i="16" s="1"/>
  <c r="AF99" i="21" s="1"/>
  <c r="U738" i="16"/>
  <c r="AC86" i="21"/>
  <c r="I877" i="16"/>
  <c r="I878" i="16" s="1"/>
  <c r="I889" i="16" s="1"/>
  <c r="I822" i="16"/>
  <c r="AF103" i="21" l="1"/>
  <c r="M105" i="21"/>
  <c r="L855" i="16"/>
  <c r="L881" i="16"/>
  <c r="L882" i="16" s="1"/>
  <c r="J818" i="16"/>
  <c r="J800" i="16"/>
  <c r="AC115" i="21"/>
  <c r="M840" i="16" l="1"/>
  <c r="M843" i="16" s="1"/>
  <c r="M851" i="16"/>
  <c r="J803" i="16"/>
  <c r="J806" i="16"/>
  <c r="J809" i="16" s="1"/>
  <c r="AD81" i="21"/>
  <c r="AD86" i="21" s="1"/>
  <c r="J873" i="16"/>
  <c r="AG98" i="21" l="1"/>
  <c r="M848" i="16"/>
  <c r="N103" i="21" s="1"/>
  <c r="M845" i="16"/>
  <c r="M852" i="16" s="1"/>
  <c r="AG99" i="21" s="1"/>
  <c r="J846" i="16"/>
  <c r="J807" i="16" s="1"/>
  <c r="J863" i="16" s="1"/>
  <c r="J810" i="16" s="1"/>
  <c r="J812" i="16" s="1"/>
  <c r="K82" i="21" s="1"/>
  <c r="M881" i="16" l="1"/>
  <c r="M882" i="16" s="1"/>
  <c r="N105" i="21"/>
  <c r="O103" i="21"/>
  <c r="O105" i="21" s="1"/>
  <c r="M855" i="16"/>
  <c r="AG103" i="21"/>
  <c r="K84" i="21"/>
  <c r="J814" i="16" l="1"/>
  <c r="J815" i="16" s="1"/>
  <c r="J816" i="16" s="1"/>
  <c r="J821" i="16" s="1"/>
  <c r="K86" i="21"/>
  <c r="J877" i="16" l="1"/>
  <c r="J878" i="16" s="1"/>
  <c r="J889" i="16" s="1"/>
  <c r="J822" i="16"/>
  <c r="K818" i="16" l="1"/>
  <c r="K800" i="16"/>
  <c r="AD115" i="21"/>
  <c r="K806" i="16" l="1"/>
  <c r="K809" i="16" s="1"/>
  <c r="K803" i="16"/>
  <c r="AE81" i="21"/>
  <c r="K873" i="16"/>
  <c r="K846" i="16" l="1"/>
  <c r="K807" i="16" s="1"/>
  <c r="K863" i="16" s="1"/>
  <c r="K810" i="16" s="1"/>
  <c r="K812" i="16" s="1"/>
  <c r="L82" i="21" s="1"/>
  <c r="L84" i="21" l="1"/>
  <c r="K814" i="16" l="1"/>
  <c r="L86" i="21"/>
  <c r="AE84" i="21" l="1"/>
  <c r="K815" i="16"/>
  <c r="K816" i="16" s="1"/>
  <c r="K821" i="16" s="1"/>
  <c r="W738" i="16" l="1"/>
  <c r="AE86" i="21"/>
  <c r="K877" i="16"/>
  <c r="K878" i="16" s="1"/>
  <c r="K889" i="16" s="1"/>
  <c r="K822" i="16"/>
  <c r="L800" i="16" l="1"/>
  <c r="L818" i="16"/>
  <c r="AE115" i="21"/>
  <c r="AF81" i="21" l="1"/>
  <c r="AF86" i="21" s="1"/>
  <c r="L873" i="16"/>
  <c r="L803" i="16"/>
  <c r="L806" i="16"/>
  <c r="L809" i="16" s="1"/>
  <c r="L846" i="16" l="1"/>
  <c r="L807" i="16" s="1"/>
  <c r="L863" i="16" s="1"/>
  <c r="L810" i="16" s="1"/>
  <c r="L812" i="16" s="1"/>
  <c r="M82" i="21" s="1"/>
  <c r="M84" i="21" l="1"/>
  <c r="L814" i="16" l="1"/>
  <c r="L815" i="16" s="1"/>
  <c r="L816" i="16" s="1"/>
  <c r="L821" i="16" s="1"/>
  <c r="M86" i="21"/>
  <c r="L877" i="16" l="1"/>
  <c r="L878" i="16" s="1"/>
  <c r="L889" i="16" s="1"/>
  <c r="L822" i="16"/>
  <c r="M800" i="16" l="1"/>
  <c r="M818" i="16"/>
  <c r="AF115" i="21"/>
  <c r="AG81" i="21" l="1"/>
  <c r="AG86" i="21" s="1"/>
  <c r="M873" i="16"/>
  <c r="M806" i="16"/>
  <c r="M809" i="16" s="1"/>
  <c r="M803" i="16"/>
  <c r="M846" i="16" l="1"/>
  <c r="M807" i="16" s="1"/>
  <c r="M863" i="16" s="1"/>
  <c r="M810" i="16" s="1"/>
  <c r="M812" i="16" s="1"/>
  <c r="N82" i="21" s="1"/>
  <c r="N84" i="21" l="1"/>
  <c r="O82" i="21"/>
  <c r="O84" i="21" s="1"/>
  <c r="M814" i="16" l="1"/>
  <c r="M815" i="16" s="1"/>
  <c r="M816" i="16" s="1"/>
  <c r="M821" i="16" s="1"/>
  <c r="O85" i="21"/>
  <c r="O86" i="21" s="1"/>
  <c r="N86" i="21"/>
  <c r="M877" i="16" l="1"/>
  <c r="M878" i="16" s="1"/>
  <c r="M889" i="16" s="1"/>
  <c r="M822" i="16"/>
  <c r="AG115" i="21" l="1"/>
  <c r="AF60" i="21"/>
  <c r="AD60" i="21"/>
  <c r="AC60" i="21"/>
  <c r="AB60" i="21"/>
  <c r="AA60" i="21"/>
  <c r="Z60" i="21"/>
  <c r="AA246" i="16"/>
  <c r="X40" i="49" s="1"/>
  <c r="X60" i="21"/>
  <c r="AB246" i="16"/>
  <c r="Y40" i="49" s="1"/>
  <c r="Z246" i="16"/>
  <c r="W40" i="49" s="1"/>
  <c r="X246" i="16"/>
  <c r="U40" i="49" s="1"/>
  <c r="Y246" i="16"/>
  <c r="V40" i="49" s="1"/>
  <c r="T246" i="16"/>
  <c r="Q40" i="49" s="1"/>
  <c r="V246" i="16"/>
  <c r="S40" i="49" s="1"/>
  <c r="W246" i="16"/>
  <c r="T40" i="49" s="1"/>
  <c r="U246" i="16"/>
  <c r="R40" i="49" s="1"/>
  <c r="E870" i="4"/>
  <c r="E4" i="4"/>
  <c r="G50" i="1"/>
  <c r="E10" i="4" l="1"/>
  <c r="E874" i="4" s="1"/>
  <c r="E8" i="4"/>
  <c r="E814" i="4" s="1"/>
  <c r="F4" i="4"/>
  <c r="F8" i="4" s="1"/>
  <c r="D860" i="4"/>
  <c r="E804" i="4"/>
  <c r="D41" i="48" s="1"/>
  <c r="G226" i="1"/>
  <c r="H102" i="3"/>
  <c r="H269" i="3"/>
  <c r="F10" i="4" l="1"/>
  <c r="F11" i="4" s="1"/>
  <c r="G4" i="4"/>
  <c r="G10" i="4" s="1"/>
  <c r="E260" i="4"/>
  <c r="D45" i="48" s="1"/>
  <c r="E673" i="4"/>
  <c r="D69" i="48" s="1"/>
  <c r="D866" i="4"/>
  <c r="E866" i="4" s="1"/>
  <c r="E14" i="4"/>
  <c r="F68" i="1" s="1"/>
  <c r="E815" i="4"/>
  <c r="E821" i="4" s="1"/>
  <c r="E11" i="4"/>
  <c r="E862" i="4"/>
  <c r="G860" i="4"/>
  <c r="D862" i="4"/>
  <c r="F815" i="4"/>
  <c r="F14" i="4"/>
  <c r="F16" i="4" s="1"/>
  <c r="F20" i="4" s="1"/>
  <c r="G8" i="4"/>
  <c r="H4" i="4"/>
  <c r="E820" i="4"/>
  <c r="F673" i="4"/>
  <c r="E69" i="48" s="1"/>
  <c r="F814" i="4"/>
  <c r="F260" i="4"/>
  <c r="E45" i="48" s="1"/>
  <c r="F804" i="4" l="1"/>
  <c r="E41" i="48" s="1"/>
  <c r="E16" i="4"/>
  <c r="E20" i="4" s="1"/>
  <c r="G861" i="4"/>
  <c r="F861" i="4" s="1"/>
  <c r="G862" i="4"/>
  <c r="F862" i="4" s="1"/>
  <c r="F820" i="4"/>
  <c r="F821" i="4"/>
  <c r="F70" i="1"/>
  <c r="G68" i="1"/>
  <c r="H10" i="4"/>
  <c r="H8" i="4"/>
  <c r="I4" i="4"/>
  <c r="G815" i="4"/>
  <c r="G14" i="4"/>
  <c r="G16" i="4" s="1"/>
  <c r="G20" i="4" s="1"/>
  <c r="G804" i="4"/>
  <c r="F41" i="48" s="1"/>
  <c r="G11" i="4"/>
  <c r="G260" i="4"/>
  <c r="F45" i="48" s="1"/>
  <c r="G814" i="4"/>
  <c r="G673" i="4"/>
  <c r="F69" i="48" s="1"/>
  <c r="F17" i="4"/>
  <c r="F21" i="4" s="1"/>
  <c r="F22" i="4" s="1"/>
  <c r="F874" i="4" l="1"/>
  <c r="F816" i="4"/>
  <c r="F822" i="4" s="1"/>
  <c r="F24" i="4"/>
  <c r="E17" i="4"/>
  <c r="E21" i="4" s="1"/>
  <c r="E22" i="4" s="1"/>
  <c r="G70" i="1"/>
  <c r="F71" i="1" s="1"/>
  <c r="H137" i="3" s="1"/>
  <c r="H131" i="3"/>
  <c r="H814" i="4"/>
  <c r="H260" i="4"/>
  <c r="G45" i="48" s="1"/>
  <c r="H673" i="4"/>
  <c r="G69" i="48" s="1"/>
  <c r="I10" i="4"/>
  <c r="J4" i="4"/>
  <c r="I8" i="4"/>
  <c r="G17" i="4"/>
  <c r="G21" i="4" s="1"/>
  <c r="G22" i="4" s="1"/>
  <c r="H804" i="4"/>
  <c r="G41" i="48" s="1"/>
  <c r="H11" i="4"/>
  <c r="H815" i="4"/>
  <c r="H14" i="4"/>
  <c r="H16" i="4" s="1"/>
  <c r="H20" i="4" s="1"/>
  <c r="G821" i="4"/>
  <c r="G820" i="4"/>
  <c r="G816" i="4" l="1"/>
  <c r="G822" i="4" s="1"/>
  <c r="G24" i="4"/>
  <c r="H821" i="4"/>
  <c r="H820" i="4"/>
  <c r="E24" i="4"/>
  <c r="E816" i="4"/>
  <c r="E822" i="4" s="1"/>
  <c r="I814" i="4"/>
  <c r="I673" i="4"/>
  <c r="H69" i="48" s="1"/>
  <c r="I260" i="4"/>
  <c r="H45" i="48" s="1"/>
  <c r="F26" i="4"/>
  <c r="F817" i="4"/>
  <c r="F823" i="4" s="1"/>
  <c r="F806" i="4"/>
  <c r="E43" i="48" s="1"/>
  <c r="J8" i="4"/>
  <c r="J10" i="4"/>
  <c r="K4" i="4"/>
  <c r="H17" i="4"/>
  <c r="H21" i="4" s="1"/>
  <c r="H22" i="4" s="1"/>
  <c r="I804" i="4"/>
  <c r="H41" i="48" s="1"/>
  <c r="I815" i="4"/>
  <c r="I14" i="4"/>
  <c r="I16" i="4" s="1"/>
  <c r="I20" i="4" s="1"/>
  <c r="I11" i="4"/>
  <c r="H816" i="4" l="1"/>
  <c r="H822" i="4" s="1"/>
  <c r="H24" i="4"/>
  <c r="L4" i="4"/>
  <c r="K10" i="4"/>
  <c r="K8" i="4"/>
  <c r="E806" i="4"/>
  <c r="D43" i="48" s="1"/>
  <c r="E817" i="4"/>
  <c r="E823" i="4" s="1"/>
  <c r="E26" i="4"/>
  <c r="H874" i="4" s="1"/>
  <c r="J11" i="4"/>
  <c r="J815" i="4"/>
  <c r="J804" i="4"/>
  <c r="I41" i="48" s="1"/>
  <c r="J14" i="4"/>
  <c r="J16" i="4" s="1"/>
  <c r="J20" i="4" s="1"/>
  <c r="F568" i="4"/>
  <c r="F818" i="4"/>
  <c r="F824" i="4" s="1"/>
  <c r="F227" i="4"/>
  <c r="F581" i="14"/>
  <c r="I820" i="4"/>
  <c r="I821" i="4"/>
  <c r="G874" i="4"/>
  <c r="G26" i="4"/>
  <c r="G806" i="4"/>
  <c r="F43" i="48" s="1"/>
  <c r="G817" i="4"/>
  <c r="G823" i="4" s="1"/>
  <c r="J814" i="4"/>
  <c r="J673" i="4"/>
  <c r="I69" i="48" s="1"/>
  <c r="J260" i="4"/>
  <c r="I45" i="48" s="1"/>
  <c r="I17" i="4"/>
  <c r="I21" i="4" s="1"/>
  <c r="I22" i="4" s="1"/>
  <c r="J17" i="4" l="1"/>
  <c r="J21" i="4" s="1"/>
  <c r="I816" i="4"/>
  <c r="I822" i="4" s="1"/>
  <c r="I24" i="4"/>
  <c r="G568" i="4"/>
  <c r="G818" i="4"/>
  <c r="G824" i="4" s="1"/>
  <c r="G227" i="4"/>
  <c r="G581" i="14"/>
  <c r="F604" i="14"/>
  <c r="F582" i="14"/>
  <c r="F585" i="14" s="1"/>
  <c r="F925" i="14"/>
  <c r="E138" i="48" s="1"/>
  <c r="E1081" i="14"/>
  <c r="F605" i="14"/>
  <c r="F716" i="14"/>
  <c r="E227" i="48" s="1"/>
  <c r="L10" i="4"/>
  <c r="L8" i="4"/>
  <c r="M4" i="4"/>
  <c r="F229" i="4"/>
  <c r="F234" i="4"/>
  <c r="F233" i="4"/>
  <c r="F235" i="4"/>
  <c r="F28" i="4" s="1"/>
  <c r="F228" i="4"/>
  <c r="F230" i="4"/>
  <c r="F232" i="4"/>
  <c r="F231" i="4"/>
  <c r="J22" i="4"/>
  <c r="J820" i="4"/>
  <c r="J821" i="4"/>
  <c r="E568" i="4"/>
  <c r="E818" i="4"/>
  <c r="E824" i="4" s="1"/>
  <c r="K450" i="4"/>
  <c r="N450" i="4"/>
  <c r="O450" i="4"/>
  <c r="L450" i="4"/>
  <c r="H450" i="4"/>
  <c r="E581" i="14"/>
  <c r="M450" i="4"/>
  <c r="I450" i="4"/>
  <c r="F450" i="4"/>
  <c r="E227" i="4"/>
  <c r="J450" i="4"/>
  <c r="E450" i="4"/>
  <c r="G450" i="4"/>
  <c r="K814" i="4"/>
  <c r="K673" i="4"/>
  <c r="J69" i="48" s="1"/>
  <c r="K260" i="4"/>
  <c r="J45" i="48" s="1"/>
  <c r="H817" i="4"/>
  <c r="H823" i="4" s="1"/>
  <c r="H806" i="4"/>
  <c r="G43" i="48" s="1"/>
  <c r="H26" i="4"/>
  <c r="K11" i="4"/>
  <c r="K14" i="4"/>
  <c r="K16" i="4" s="1"/>
  <c r="K20" i="4" s="1"/>
  <c r="K815" i="4"/>
  <c r="K804" i="4"/>
  <c r="J41" i="48" s="1"/>
  <c r="F607" i="14" l="1"/>
  <c r="F726" i="14" s="1"/>
  <c r="F782" i="14" s="1"/>
  <c r="K17" i="4"/>
  <c r="K21" i="4" s="1"/>
  <c r="I458" i="4"/>
  <c r="I452" i="4"/>
  <c r="I462" i="4" s="1"/>
  <c r="I600" i="4" s="1"/>
  <c r="I456" i="4"/>
  <c r="I457" i="4"/>
  <c r="I454" i="4"/>
  <c r="I464" i="4" s="1"/>
  <c r="I602" i="4" s="1"/>
  <c r="I455" i="4"/>
  <c r="I465" i="4" s="1"/>
  <c r="I603" i="4" s="1"/>
  <c r="I453" i="4"/>
  <c r="I463" i="4" s="1"/>
  <c r="I601" i="4" s="1"/>
  <c r="I484" i="4"/>
  <c r="I485" i="4" s="1"/>
  <c r="H761" i="16" s="1"/>
  <c r="H765" i="16" s="1"/>
  <c r="I451" i="4"/>
  <c r="J816" i="4"/>
  <c r="J822" i="4" s="1"/>
  <c r="J24" i="4"/>
  <c r="L814" i="4"/>
  <c r="L673" i="4"/>
  <c r="K69" i="48" s="1"/>
  <c r="L260" i="4"/>
  <c r="K45" i="48" s="1"/>
  <c r="G457" i="4"/>
  <c r="G453" i="4"/>
  <c r="G463" i="4" s="1"/>
  <c r="G601" i="4" s="1"/>
  <c r="G456" i="4"/>
  <c r="G455" i="4"/>
  <c r="G465" i="4" s="1"/>
  <c r="G603" i="4" s="1"/>
  <c r="G452" i="4"/>
  <c r="G462" i="4" s="1"/>
  <c r="G600" i="4" s="1"/>
  <c r="G458" i="4"/>
  <c r="G454" i="4"/>
  <c r="G464" i="4" s="1"/>
  <c r="G602" i="4" s="1"/>
  <c r="G484" i="4"/>
  <c r="G485" i="4" s="1"/>
  <c r="F761" i="16" s="1"/>
  <c r="F765" i="16" s="1"/>
  <c r="G451" i="4"/>
  <c r="F456" i="4"/>
  <c r="F458" i="4"/>
  <c r="F457" i="4"/>
  <c r="F452" i="4"/>
  <c r="F462" i="4" s="1"/>
  <c r="F600" i="4" s="1"/>
  <c r="F484" i="4"/>
  <c r="F485" i="4" s="1"/>
  <c r="E761" i="16" s="1"/>
  <c r="E765" i="16" s="1"/>
  <c r="F454" i="4"/>
  <c r="F464" i="4" s="1"/>
  <c r="F602" i="4" s="1"/>
  <c r="F453" i="4"/>
  <c r="F463" i="4" s="1"/>
  <c r="F601" i="4" s="1"/>
  <c r="F455" i="4"/>
  <c r="F465" i="4" s="1"/>
  <c r="F603" i="4" s="1"/>
  <c r="F451" i="4"/>
  <c r="E604" i="14"/>
  <c r="E925" i="14"/>
  <c r="D138" i="48" s="1"/>
  <c r="D1081" i="14"/>
  <c r="D1139" i="14" s="1"/>
  <c r="E605" i="14"/>
  <c r="E582" i="14"/>
  <c r="E585" i="14" s="1"/>
  <c r="E716" i="14"/>
  <c r="D227" i="48" s="1"/>
  <c r="G181" i="2" s="1"/>
  <c r="N456" i="4"/>
  <c r="N457" i="4"/>
  <c r="N452" i="4"/>
  <c r="N462" i="4" s="1"/>
  <c r="N600" i="4" s="1"/>
  <c r="N455" i="4"/>
  <c r="N465" i="4" s="1"/>
  <c r="N603" i="4" s="1"/>
  <c r="N484" i="4"/>
  <c r="N485" i="4" s="1"/>
  <c r="M761" i="16" s="1"/>
  <c r="M765" i="16" s="1"/>
  <c r="N453" i="4"/>
  <c r="N463" i="4" s="1"/>
  <c r="N601" i="4" s="1"/>
  <c r="N451" i="4"/>
  <c r="N458" i="4"/>
  <c r="N454" i="4"/>
  <c r="N464" i="4" s="1"/>
  <c r="N602" i="4" s="1"/>
  <c r="F481" i="4"/>
  <c r="F639" i="4" s="1"/>
  <c r="F472" i="4"/>
  <c r="F621" i="4" s="1"/>
  <c r="F27" i="4"/>
  <c r="F29" i="4" s="1"/>
  <c r="F1081" i="14"/>
  <c r="G604" i="14"/>
  <c r="G716" i="14"/>
  <c r="F227" i="48" s="1"/>
  <c r="G925" i="14"/>
  <c r="F138" i="48" s="1"/>
  <c r="G605" i="14"/>
  <c r="G582" i="14"/>
  <c r="G585" i="14" s="1"/>
  <c r="H227" i="4"/>
  <c r="H581" i="14"/>
  <c r="H818" i="4"/>
  <c r="H824" i="4" s="1"/>
  <c r="H568" i="4"/>
  <c r="E458" i="4"/>
  <c r="E457" i="4"/>
  <c r="E454" i="4"/>
  <c r="E464" i="4" s="1"/>
  <c r="E602" i="4" s="1"/>
  <c r="E453" i="4"/>
  <c r="E463" i="4" s="1"/>
  <c r="E601" i="4" s="1"/>
  <c r="E484" i="4"/>
  <c r="E485" i="4" s="1"/>
  <c r="D761" i="16" s="1"/>
  <c r="D765" i="16" s="1"/>
  <c r="E455" i="4"/>
  <c r="E465" i="4" s="1"/>
  <c r="E603" i="4" s="1"/>
  <c r="E452" i="4"/>
  <c r="E462" i="4" s="1"/>
  <c r="E600" i="4" s="1"/>
  <c r="E456" i="4"/>
  <c r="E451" i="4"/>
  <c r="H456" i="4"/>
  <c r="H458" i="4"/>
  <c r="H452" i="4"/>
  <c r="H462" i="4" s="1"/>
  <c r="H600" i="4" s="1"/>
  <c r="H454" i="4"/>
  <c r="H464" i="4" s="1"/>
  <c r="H602" i="4" s="1"/>
  <c r="H457" i="4"/>
  <c r="H451" i="4"/>
  <c r="H484" i="4"/>
  <c r="H485" i="4" s="1"/>
  <c r="G761" i="16" s="1"/>
  <c r="G765" i="16" s="1"/>
  <c r="H453" i="4"/>
  <c r="H463" i="4" s="1"/>
  <c r="H601" i="4" s="1"/>
  <c r="H455" i="4"/>
  <c r="H465" i="4" s="1"/>
  <c r="H603" i="4" s="1"/>
  <c r="K456" i="4"/>
  <c r="K457" i="4"/>
  <c r="K452" i="4"/>
  <c r="K462" i="4" s="1"/>
  <c r="K600" i="4" s="1"/>
  <c r="K484" i="4"/>
  <c r="K485" i="4" s="1"/>
  <c r="J761" i="16" s="1"/>
  <c r="J765" i="16" s="1"/>
  <c r="K454" i="4"/>
  <c r="K464" i="4" s="1"/>
  <c r="K602" i="4" s="1"/>
  <c r="K451" i="4"/>
  <c r="K453" i="4"/>
  <c r="K463" i="4" s="1"/>
  <c r="K601" i="4" s="1"/>
  <c r="K458" i="4"/>
  <c r="K455" i="4"/>
  <c r="K465" i="4" s="1"/>
  <c r="K603" i="4" s="1"/>
  <c r="F470" i="4"/>
  <c r="F619" i="4" s="1"/>
  <c r="F479" i="4"/>
  <c r="F637" i="4" s="1"/>
  <c r="N4" i="4"/>
  <c r="M8" i="4"/>
  <c r="M10" i="4"/>
  <c r="G234" i="4"/>
  <c r="G235" i="4"/>
  <c r="G28" i="4" s="1"/>
  <c r="G230" i="4"/>
  <c r="G232" i="4"/>
  <c r="G229" i="4"/>
  <c r="G233" i="4"/>
  <c r="G228" i="4"/>
  <c r="G231" i="4"/>
  <c r="J456" i="4"/>
  <c r="J457" i="4"/>
  <c r="J451" i="4"/>
  <c r="J454" i="4"/>
  <c r="J464" i="4" s="1"/>
  <c r="J602" i="4" s="1"/>
  <c r="J453" i="4"/>
  <c r="J463" i="4" s="1"/>
  <c r="J601" i="4" s="1"/>
  <c r="J452" i="4"/>
  <c r="J462" i="4" s="1"/>
  <c r="J600" i="4" s="1"/>
  <c r="J455" i="4"/>
  <c r="J465" i="4" s="1"/>
  <c r="J603" i="4" s="1"/>
  <c r="J484" i="4"/>
  <c r="J485" i="4" s="1"/>
  <c r="I761" i="16" s="1"/>
  <c r="I765" i="16" s="1"/>
  <c r="J458" i="4"/>
  <c r="L457" i="4"/>
  <c r="L458" i="4"/>
  <c r="L453" i="4"/>
  <c r="L463" i="4" s="1"/>
  <c r="L601" i="4" s="1"/>
  <c r="L451" i="4"/>
  <c r="L484" i="4"/>
  <c r="L485" i="4" s="1"/>
  <c r="K761" i="16" s="1"/>
  <c r="K765" i="16" s="1"/>
  <c r="L456" i="4"/>
  <c r="L454" i="4"/>
  <c r="L464" i="4" s="1"/>
  <c r="L602" i="4" s="1"/>
  <c r="L455" i="4"/>
  <c r="L465" i="4" s="1"/>
  <c r="L603" i="4" s="1"/>
  <c r="L452" i="4"/>
  <c r="L462" i="4" s="1"/>
  <c r="L600" i="4" s="1"/>
  <c r="F236" i="4"/>
  <c r="F248" i="4"/>
  <c r="F468" i="4"/>
  <c r="F254" i="4"/>
  <c r="E203" i="48" s="1"/>
  <c r="F477" i="4"/>
  <c r="F251" i="4"/>
  <c r="F591" i="14"/>
  <c r="E225" i="48" s="1"/>
  <c r="F781" i="14"/>
  <c r="F717" i="14"/>
  <c r="E114" i="48" s="1"/>
  <c r="F587" i="14"/>
  <c r="I817" i="4"/>
  <c r="I823" i="4" s="1"/>
  <c r="I806" i="4"/>
  <c r="H43" i="48" s="1"/>
  <c r="I26" i="4"/>
  <c r="K22" i="4"/>
  <c r="K821" i="4"/>
  <c r="K820" i="4"/>
  <c r="E234" i="4"/>
  <c r="E231" i="4"/>
  <c r="E233" i="4"/>
  <c r="E235" i="4"/>
  <c r="E28" i="4" s="1"/>
  <c r="J874" i="4" s="1"/>
  <c r="E228" i="4"/>
  <c r="E229" i="4"/>
  <c r="E232" i="4"/>
  <c r="E230" i="4"/>
  <c r="M458" i="4"/>
  <c r="M457" i="4"/>
  <c r="M452" i="4"/>
  <c r="M462" i="4" s="1"/>
  <c r="M600" i="4" s="1"/>
  <c r="M454" i="4"/>
  <c r="M464" i="4" s="1"/>
  <c r="M602" i="4" s="1"/>
  <c r="M456" i="4"/>
  <c r="M455" i="4"/>
  <c r="M465" i="4" s="1"/>
  <c r="M603" i="4" s="1"/>
  <c r="M453" i="4"/>
  <c r="M463" i="4" s="1"/>
  <c r="M601" i="4" s="1"/>
  <c r="M451" i="4"/>
  <c r="M484" i="4"/>
  <c r="M485" i="4" s="1"/>
  <c r="L761" i="16" s="1"/>
  <c r="L765" i="16" s="1"/>
  <c r="O458" i="4"/>
  <c r="O457" i="4"/>
  <c r="O453" i="4"/>
  <c r="O463" i="4" s="1"/>
  <c r="O601" i="4" s="1"/>
  <c r="O452" i="4"/>
  <c r="O462" i="4" s="1"/>
  <c r="O600" i="4" s="1"/>
  <c r="O456" i="4"/>
  <c r="O484" i="4"/>
  <c r="O485" i="4" s="1"/>
  <c r="N761" i="16" s="1"/>
  <c r="N765" i="16" s="1"/>
  <c r="O454" i="4"/>
  <c r="O464" i="4" s="1"/>
  <c r="O602" i="4" s="1"/>
  <c r="O455" i="4"/>
  <c r="O465" i="4" s="1"/>
  <c r="O603" i="4" s="1"/>
  <c r="O451" i="4"/>
  <c r="F480" i="4"/>
  <c r="F638" i="4" s="1"/>
  <c r="F471" i="4"/>
  <c r="F620" i="4" s="1"/>
  <c r="F249" i="4"/>
  <c r="F478" i="4"/>
  <c r="F636" i="4" s="1"/>
  <c r="F252" i="4"/>
  <c r="F255" i="4"/>
  <c r="F469" i="4"/>
  <c r="F618" i="4" s="1"/>
  <c r="L11" i="4"/>
  <c r="L14" i="4"/>
  <c r="L16" i="4" s="1"/>
  <c r="L20" i="4" s="1"/>
  <c r="L815" i="4"/>
  <c r="L804" i="4"/>
  <c r="K41" i="48" s="1"/>
  <c r="F784" i="14"/>
  <c r="F790" i="14"/>
  <c r="F791" i="14" s="1"/>
  <c r="F777" i="14" l="1"/>
  <c r="F776" i="14"/>
  <c r="E102" i="48" s="1"/>
  <c r="F748" i="14"/>
  <c r="E116" i="48" s="1"/>
  <c r="G607" i="14"/>
  <c r="G726" i="14" s="1"/>
  <c r="G782" i="14" s="1"/>
  <c r="G27" i="4"/>
  <c r="G29" i="4" s="1"/>
  <c r="G819" i="4" s="1"/>
  <c r="G825" i="4" s="1"/>
  <c r="E607" i="14"/>
  <c r="E1140" i="14" s="1"/>
  <c r="E471" i="4"/>
  <c r="E620" i="4" s="1"/>
  <c r="E480" i="4"/>
  <c r="E638" i="4" s="1"/>
  <c r="F778" i="14"/>
  <c r="F779" i="14"/>
  <c r="F785" i="14"/>
  <c r="G470" i="4"/>
  <c r="G619" i="4" s="1"/>
  <c r="G479" i="4"/>
  <c r="G637" i="4" s="1"/>
  <c r="M815" i="4"/>
  <c r="M11" i="4"/>
  <c r="M804" i="4"/>
  <c r="L41" i="48" s="1"/>
  <c r="M14" i="4"/>
  <c r="M16" i="4" s="1"/>
  <c r="M20" i="4" s="1"/>
  <c r="K459" i="4"/>
  <c r="K461" i="4"/>
  <c r="F819" i="4"/>
  <c r="F825" i="4" s="1"/>
  <c r="F32" i="4"/>
  <c r="E50" i="48" s="1"/>
  <c r="F30" i="4"/>
  <c r="F31" i="4" s="1"/>
  <c r="E207" i="48" s="1"/>
  <c r="G459" i="4"/>
  <c r="G461" i="4"/>
  <c r="L821" i="4"/>
  <c r="L820" i="4"/>
  <c r="I461" i="4"/>
  <c r="I459" i="4"/>
  <c r="L17" i="4"/>
  <c r="L21" i="4" s="1"/>
  <c r="L22" i="4" s="1"/>
  <c r="M459" i="4"/>
  <c r="M461" i="4"/>
  <c r="E479" i="4"/>
  <c r="E637" i="4" s="1"/>
  <c r="E470" i="4"/>
  <c r="E619" i="4" s="1"/>
  <c r="E468" i="4"/>
  <c r="E248" i="4"/>
  <c r="E236" i="4"/>
  <c r="F550" i="4" s="1"/>
  <c r="E254" i="4"/>
  <c r="D203" i="48" s="1"/>
  <c r="E477" i="4"/>
  <c r="E251" i="4"/>
  <c r="F545" i="4"/>
  <c r="K816" i="4"/>
  <c r="K822" i="4" s="1"/>
  <c r="K24" i="4"/>
  <c r="F603" i="14"/>
  <c r="F606" i="14" s="1"/>
  <c r="F589" i="14"/>
  <c r="F690" i="14"/>
  <c r="F473" i="4"/>
  <c r="F617" i="4"/>
  <c r="F626" i="4" s="1"/>
  <c r="L459" i="4"/>
  <c r="L461" i="4"/>
  <c r="M814" i="4"/>
  <c r="M260" i="4"/>
  <c r="L45" i="48" s="1"/>
  <c r="M673" i="4"/>
  <c r="L69" i="48" s="1"/>
  <c r="H459" i="4"/>
  <c r="H461" i="4"/>
  <c r="N459" i="4"/>
  <c r="N461" i="4"/>
  <c r="E481" i="4"/>
  <c r="E639" i="4" s="1"/>
  <c r="E472" i="4"/>
  <c r="E621" i="4" s="1"/>
  <c r="I568" i="4"/>
  <c r="I581" i="14"/>
  <c r="I818" i="4"/>
  <c r="I824" i="4" s="1"/>
  <c r="I227" i="4"/>
  <c r="E35" i="48"/>
  <c r="F257" i="4"/>
  <c r="F802" i="4" s="1"/>
  <c r="G471" i="4"/>
  <c r="G620" i="4" s="1"/>
  <c r="G480" i="4"/>
  <c r="G638" i="4" s="1"/>
  <c r="G255" i="4"/>
  <c r="G249" i="4"/>
  <c r="G478" i="4"/>
  <c r="G636" i="4" s="1"/>
  <c r="G252" i="4"/>
  <c r="G469" i="4"/>
  <c r="G618" i="4" s="1"/>
  <c r="N8" i="4"/>
  <c r="N10" i="4"/>
  <c r="O4" i="4"/>
  <c r="H604" i="14"/>
  <c r="H716" i="14"/>
  <c r="G227" i="48" s="1"/>
  <c r="H925" i="14"/>
  <c r="G138" i="48" s="1"/>
  <c r="G1081" i="14"/>
  <c r="H605" i="14"/>
  <c r="H582" i="14"/>
  <c r="H585" i="14" s="1"/>
  <c r="G717" i="14"/>
  <c r="F114" i="48" s="1"/>
  <c r="G591" i="14"/>
  <c r="F225" i="48" s="1"/>
  <c r="G781" i="14"/>
  <c r="G587" i="14"/>
  <c r="E781" i="14"/>
  <c r="E717" i="14"/>
  <c r="E591" i="14"/>
  <c r="D225" i="48" s="1"/>
  <c r="G180" i="2" s="1"/>
  <c r="E587" i="14"/>
  <c r="J26" i="4"/>
  <c r="J817" i="4"/>
  <c r="J823" i="4" s="1"/>
  <c r="J806" i="4"/>
  <c r="I43" i="48" s="1"/>
  <c r="O459" i="4"/>
  <c r="O461" i="4"/>
  <c r="E252" i="4"/>
  <c r="E469" i="4"/>
  <c r="E618" i="4" s="1"/>
  <c r="E249" i="4"/>
  <c r="E478" i="4"/>
  <c r="E636" i="4" s="1"/>
  <c r="E255" i="4"/>
  <c r="E27" i="4"/>
  <c r="F482" i="4"/>
  <c r="F635" i="4"/>
  <c r="F646" i="4" s="1"/>
  <c r="J459" i="4"/>
  <c r="J461" i="4"/>
  <c r="G248" i="4"/>
  <c r="G236" i="4"/>
  <c r="G477" i="4"/>
  <c r="G251" i="4"/>
  <c r="G468" i="4"/>
  <c r="G254" i="4"/>
  <c r="F203" i="48" s="1"/>
  <c r="G472" i="4"/>
  <c r="G621" i="4" s="1"/>
  <c r="G481" i="4"/>
  <c r="G639" i="4" s="1"/>
  <c r="E459" i="4"/>
  <c r="E461" i="4"/>
  <c r="H234" i="4"/>
  <c r="H235" i="4"/>
  <c r="H28" i="4" s="1"/>
  <c r="H230" i="4"/>
  <c r="H229" i="4"/>
  <c r="H232" i="4"/>
  <c r="H228" i="4"/>
  <c r="H233" i="4"/>
  <c r="H231" i="4"/>
  <c r="G784" i="14"/>
  <c r="G790" i="14"/>
  <c r="G791" i="14" s="1"/>
  <c r="E790" i="14"/>
  <c r="E791" i="14" s="1"/>
  <c r="E784" i="14"/>
  <c r="F459" i="4"/>
  <c r="F461" i="4"/>
  <c r="G748" i="14" l="1"/>
  <c r="F116" i="48" s="1"/>
  <c r="G777" i="14"/>
  <c r="G776" i="14"/>
  <c r="F102" i="48" s="1"/>
  <c r="G30" i="4"/>
  <c r="G31" i="4" s="1"/>
  <c r="F207" i="48" s="1"/>
  <c r="G32" i="4"/>
  <c r="F50" i="48" s="1"/>
  <c r="E726" i="14"/>
  <c r="E777" i="14" s="1"/>
  <c r="F548" i="4"/>
  <c r="H548" i="4" s="1"/>
  <c r="F466" i="4"/>
  <c r="F599" i="4"/>
  <c r="F608" i="4" s="1"/>
  <c r="F652" i="4" s="1"/>
  <c r="H480" i="4"/>
  <c r="H638" i="4" s="1"/>
  <c r="H471" i="4"/>
  <c r="H620" i="4" s="1"/>
  <c r="H481" i="4"/>
  <c r="H639" i="4" s="1"/>
  <c r="H472" i="4"/>
  <c r="H621" i="4" s="1"/>
  <c r="G257" i="4"/>
  <c r="G802" i="4" s="1"/>
  <c r="F35" i="48"/>
  <c r="J466" i="4"/>
  <c r="J599" i="4"/>
  <c r="J608" i="4" s="1"/>
  <c r="J652" i="4" s="1"/>
  <c r="I874" i="4"/>
  <c r="E29" i="4"/>
  <c r="E589" i="14"/>
  <c r="H343" i="9"/>
  <c r="E690" i="14"/>
  <c r="E603" i="14"/>
  <c r="E606" i="14" s="1"/>
  <c r="G589" i="14"/>
  <c r="G603" i="14"/>
  <c r="G606" i="14" s="1"/>
  <c r="G690" i="14"/>
  <c r="O8" i="4"/>
  <c r="O10" i="4"/>
  <c r="I234" i="4"/>
  <c r="I233" i="4"/>
  <c r="I230" i="4"/>
  <c r="I232" i="4"/>
  <c r="I231" i="4"/>
  <c r="I235" i="4"/>
  <c r="I28" i="4" s="1"/>
  <c r="I228" i="4"/>
  <c r="I229" i="4"/>
  <c r="K466" i="4"/>
  <c r="K599" i="4"/>
  <c r="K608" i="4" s="1"/>
  <c r="K652" i="4" s="1"/>
  <c r="G548" i="4"/>
  <c r="H27" i="4"/>
  <c r="H29" i="4" s="1"/>
  <c r="H255" i="4"/>
  <c r="H478" i="4"/>
  <c r="H636" i="4" s="1"/>
  <c r="H252" i="4"/>
  <c r="H249" i="4"/>
  <c r="H469" i="4"/>
  <c r="H618" i="4" s="1"/>
  <c r="G482" i="4"/>
  <c r="G635" i="4"/>
  <c r="G646" i="4" s="1"/>
  <c r="G785" i="14"/>
  <c r="G778" i="14"/>
  <c r="G779" i="14"/>
  <c r="H781" i="14"/>
  <c r="H587" i="14"/>
  <c r="H717" i="14"/>
  <c r="G114" i="48" s="1"/>
  <c r="H591" i="14"/>
  <c r="G225" i="48" s="1"/>
  <c r="H607" i="14"/>
  <c r="H726" i="14" s="1"/>
  <c r="N11" i="4"/>
  <c r="N815" i="4"/>
  <c r="N14" i="4"/>
  <c r="N16" i="4" s="1"/>
  <c r="N20" i="4" s="1"/>
  <c r="N804" i="4"/>
  <c r="M41" i="48" s="1"/>
  <c r="H466" i="4"/>
  <c r="H599" i="4"/>
  <c r="H608" i="4" s="1"/>
  <c r="H652" i="4" s="1"/>
  <c r="F653" i="4"/>
  <c r="F799" i="4"/>
  <c r="E1082" i="14"/>
  <c r="F609" i="14"/>
  <c r="E100" i="48" s="1"/>
  <c r="G545" i="4"/>
  <c r="H545" i="4"/>
  <c r="F547" i="4"/>
  <c r="H479" i="4"/>
  <c r="H637" i="4" s="1"/>
  <c r="H470" i="4"/>
  <c r="H619" i="4" s="1"/>
  <c r="E466" i="4"/>
  <c r="E599" i="4"/>
  <c r="E608" i="4" s="1"/>
  <c r="F672" i="4"/>
  <c r="F654" i="4"/>
  <c r="O466" i="4"/>
  <c r="O599" i="4"/>
  <c r="O608" i="4" s="1"/>
  <c r="O652" i="4" s="1"/>
  <c r="J818" i="4"/>
  <c r="J824" i="4" s="1"/>
  <c r="J568" i="4"/>
  <c r="J227" i="4"/>
  <c r="J581" i="14"/>
  <c r="E798" i="14"/>
  <c r="D114" i="48"/>
  <c r="H777" i="14"/>
  <c r="H790" i="14"/>
  <c r="H791" i="14" s="1"/>
  <c r="H784" i="14"/>
  <c r="N814" i="4"/>
  <c r="N260" i="4"/>
  <c r="M45" i="48" s="1"/>
  <c r="N673" i="4"/>
  <c r="M69" i="48" s="1"/>
  <c r="H1081" i="14"/>
  <c r="I925" i="14"/>
  <c r="H138" i="48" s="1"/>
  <c r="I716" i="14"/>
  <c r="H227" i="48" s="1"/>
  <c r="I604" i="14"/>
  <c r="I605" i="14"/>
  <c r="I582" i="14"/>
  <c r="I585" i="14" s="1"/>
  <c r="M821" i="4"/>
  <c r="M820" i="4"/>
  <c r="K806" i="4"/>
  <c r="J43" i="48" s="1"/>
  <c r="K817" i="4"/>
  <c r="K823" i="4" s="1"/>
  <c r="K26" i="4"/>
  <c r="E257" i="4"/>
  <c r="D35" i="48"/>
  <c r="D865" i="4"/>
  <c r="E865" i="4" s="1"/>
  <c r="G466" i="4"/>
  <c r="G599" i="4"/>
  <c r="G608" i="4" s="1"/>
  <c r="G652" i="4" s="1"/>
  <c r="L816" i="4"/>
  <c r="L822" i="4" s="1"/>
  <c r="L24" i="4"/>
  <c r="H236" i="4"/>
  <c r="H477" i="4"/>
  <c r="H468" i="4"/>
  <c r="H251" i="4"/>
  <c r="H254" i="4"/>
  <c r="G203" i="48" s="1"/>
  <c r="H248" i="4"/>
  <c r="G473" i="4"/>
  <c r="G617" i="4"/>
  <c r="G626" i="4" s="1"/>
  <c r="N599" i="4"/>
  <c r="N608" i="4" s="1"/>
  <c r="N652" i="4" s="1"/>
  <c r="N466" i="4"/>
  <c r="L466" i="4"/>
  <c r="L599" i="4"/>
  <c r="L608" i="4" s="1"/>
  <c r="L652" i="4" s="1"/>
  <c r="F707" i="14"/>
  <c r="F809" i="14"/>
  <c r="E482" i="4"/>
  <c r="E635" i="4"/>
  <c r="E646" i="4" s="1"/>
  <c r="E473" i="4"/>
  <c r="E617" i="4"/>
  <c r="E626" i="4" s="1"/>
  <c r="M466" i="4"/>
  <c r="M599" i="4"/>
  <c r="M608" i="4" s="1"/>
  <c r="M652" i="4" s="1"/>
  <c r="I466" i="4"/>
  <c r="I599" i="4"/>
  <c r="I608" i="4" s="1"/>
  <c r="I652" i="4" s="1"/>
  <c r="M17" i="4"/>
  <c r="M21" i="4" s="1"/>
  <c r="M22" i="4" s="1"/>
  <c r="E748" i="14" l="1"/>
  <c r="D116" i="48" s="1"/>
  <c r="E782" i="14"/>
  <c r="E779" i="14" s="1"/>
  <c r="E776" i="14"/>
  <c r="D102" i="48" s="1"/>
  <c r="H227" i="2" s="1"/>
  <c r="J227" i="2" s="1"/>
  <c r="H334" i="9"/>
  <c r="I607" i="14"/>
  <c r="I726" i="14" s="1"/>
  <c r="I782" i="14" s="1"/>
  <c r="E727" i="14"/>
  <c r="F727" i="14" s="1"/>
  <c r="G653" i="4"/>
  <c r="G799" i="4"/>
  <c r="D25" i="33"/>
  <c r="G159" i="2"/>
  <c r="H210" i="2"/>
  <c r="J210" i="2" s="1"/>
  <c r="J218" i="2" s="1"/>
  <c r="E24" i="41" s="1"/>
  <c r="E178" i="41" s="1"/>
  <c r="H482" i="4"/>
  <c r="H635" i="4"/>
  <c r="H646" i="4" s="1"/>
  <c r="K568" i="4"/>
  <c r="K227" i="4"/>
  <c r="K818" i="4"/>
  <c r="K824" i="4" s="1"/>
  <c r="K581" i="14"/>
  <c r="F671" i="4"/>
  <c r="H748" i="14"/>
  <c r="G116" i="48" s="1"/>
  <c r="H782" i="14"/>
  <c r="H785" i="14" s="1"/>
  <c r="H776" i="14"/>
  <c r="G102" i="48" s="1"/>
  <c r="H819" i="4"/>
  <c r="H825" i="4" s="1"/>
  <c r="H32" i="4"/>
  <c r="G50" i="48" s="1"/>
  <c r="H30" i="4"/>
  <c r="H31" i="4" s="1"/>
  <c r="G207" i="48" s="1"/>
  <c r="O814" i="4"/>
  <c r="O673" i="4"/>
  <c r="N69" i="48" s="1"/>
  <c r="O260" i="4"/>
  <c r="N45" i="48" s="1"/>
  <c r="D1082" i="14"/>
  <c r="D1140" i="14" s="1"/>
  <c r="E609" i="14"/>
  <c r="D100" i="48" s="1"/>
  <c r="D875" i="4"/>
  <c r="E819" i="4"/>
  <c r="E825" i="4" s="1"/>
  <c r="E32" i="4"/>
  <c r="D50" i="48" s="1"/>
  <c r="E30" i="4"/>
  <c r="E31" i="4" s="1"/>
  <c r="D207" i="48" s="1"/>
  <c r="E653" i="4"/>
  <c r="E764" i="4" s="1"/>
  <c r="I591" i="14"/>
  <c r="H225" i="48" s="1"/>
  <c r="I781" i="14"/>
  <c r="I587" i="14"/>
  <c r="I717" i="14"/>
  <c r="H114" i="48" s="1"/>
  <c r="J604" i="14"/>
  <c r="J716" i="14"/>
  <c r="I227" i="48" s="1"/>
  <c r="J605" i="14"/>
  <c r="I1081" i="14"/>
  <c r="J582" i="14"/>
  <c r="J585" i="14" s="1"/>
  <c r="J925" i="14"/>
  <c r="I138" i="48" s="1"/>
  <c r="E67" i="48"/>
  <c r="E215" i="48"/>
  <c r="G672" i="4"/>
  <c r="G654" i="4"/>
  <c r="I480" i="4"/>
  <c r="I638" i="4" s="1"/>
  <c r="I471" i="4"/>
  <c r="I620" i="4" s="1"/>
  <c r="I27" i="4"/>
  <c r="I29" i="4" s="1"/>
  <c r="G707" i="14"/>
  <c r="G809" i="14"/>
  <c r="E809" i="14"/>
  <c r="M1139" i="14"/>
  <c r="E707" i="14"/>
  <c r="G35" i="48"/>
  <c r="H257" i="4"/>
  <c r="H802" i="4" s="1"/>
  <c r="M816" i="4"/>
  <c r="M822" i="4" s="1"/>
  <c r="M24" i="4"/>
  <c r="I784" i="14"/>
  <c r="I790" i="14"/>
  <c r="I791" i="14" s="1"/>
  <c r="J234" i="4"/>
  <c r="J233" i="4"/>
  <c r="J229" i="4"/>
  <c r="J235" i="4"/>
  <c r="J28" i="4" s="1"/>
  <c r="J232" i="4"/>
  <c r="J230" i="4"/>
  <c r="J231" i="4"/>
  <c r="J228" i="4"/>
  <c r="E652" i="4"/>
  <c r="E763" i="4" s="1"/>
  <c r="H547" i="4"/>
  <c r="H550" i="4" s="1"/>
  <c r="G547" i="4"/>
  <c r="G550" i="4" s="1"/>
  <c r="I249" i="4"/>
  <c r="I252" i="4"/>
  <c r="I469" i="4"/>
  <c r="I618" i="4" s="1"/>
  <c r="I255" i="4"/>
  <c r="I478" i="4"/>
  <c r="I636" i="4" s="1"/>
  <c r="I472" i="4"/>
  <c r="I621" i="4" s="1"/>
  <c r="I481" i="4"/>
  <c r="I639" i="4" s="1"/>
  <c r="F1082" i="14"/>
  <c r="G609" i="14"/>
  <c r="F100" i="48" s="1"/>
  <c r="E666" i="4"/>
  <c r="D75" i="48" s="1"/>
  <c r="E654" i="4"/>
  <c r="E765" i="4" s="1"/>
  <c r="H473" i="4"/>
  <c r="H617" i="4"/>
  <c r="H626" i="4" s="1"/>
  <c r="L817" i="4"/>
  <c r="L823" i="4" s="1"/>
  <c r="L806" i="4"/>
  <c r="K43" i="48" s="1"/>
  <c r="L26" i="4"/>
  <c r="E802" i="4"/>
  <c r="E554" i="4"/>
  <c r="N821" i="4"/>
  <c r="N820" i="4"/>
  <c r="N17" i="4"/>
  <c r="N21" i="4" s="1"/>
  <c r="N22" i="4" s="1"/>
  <c r="H589" i="14"/>
  <c r="H603" i="14"/>
  <c r="H606" i="14" s="1"/>
  <c r="H690" i="14"/>
  <c r="I236" i="4"/>
  <c r="I251" i="4"/>
  <c r="I468" i="4"/>
  <c r="I254" i="4"/>
  <c r="H203" i="48" s="1"/>
  <c r="I477" i="4"/>
  <c r="I248" i="4"/>
  <c r="I479" i="4"/>
  <c r="I637" i="4" s="1"/>
  <c r="I470" i="4"/>
  <c r="I619" i="4" s="1"/>
  <c r="O815" i="4"/>
  <c r="O11" i="4"/>
  <c r="O804" i="4"/>
  <c r="N41" i="48" s="1"/>
  <c r="O14" i="4"/>
  <c r="O16" i="4" s="1"/>
  <c r="O20" i="4" s="1"/>
  <c r="E800" i="14" l="1"/>
  <c r="G172" i="2"/>
  <c r="E778" i="14"/>
  <c r="E785" i="14"/>
  <c r="D116" i="33"/>
  <c r="I777" i="14"/>
  <c r="E708" i="14"/>
  <c r="E728" i="14" s="1"/>
  <c r="I748" i="14"/>
  <c r="H116" i="48" s="1"/>
  <c r="H779" i="14"/>
  <c r="I776" i="14"/>
  <c r="H102" i="48" s="1"/>
  <c r="O17" i="4"/>
  <c r="O21" i="4" s="1"/>
  <c r="O22" i="4" s="1"/>
  <c r="F658" i="4"/>
  <c r="F659" i="4" s="1"/>
  <c r="F763" i="4" s="1"/>
  <c r="K22" i="29" s="1"/>
  <c r="E766" i="4"/>
  <c r="H778" i="14"/>
  <c r="J607" i="14"/>
  <c r="J726" i="14" s="1"/>
  <c r="J748" i="14" s="1"/>
  <c r="I116" i="48" s="1"/>
  <c r="F664" i="4"/>
  <c r="F666" i="4" s="1"/>
  <c r="E75" i="48" s="1"/>
  <c r="N816" i="4"/>
  <c r="N822" i="4" s="1"/>
  <c r="N24" i="4"/>
  <c r="H35" i="48"/>
  <c r="I257" i="4"/>
  <c r="I802" i="4" s="1"/>
  <c r="G1082" i="14"/>
  <c r="H609" i="14"/>
  <c r="G100" i="48" s="1"/>
  <c r="J470" i="4"/>
  <c r="J619" i="4" s="1"/>
  <c r="J479" i="4"/>
  <c r="J637" i="4" s="1"/>
  <c r="J252" i="4"/>
  <c r="J478" i="4"/>
  <c r="J636" i="4" s="1"/>
  <c r="J249" i="4"/>
  <c r="J255" i="4"/>
  <c r="J469" i="4"/>
  <c r="J618" i="4" s="1"/>
  <c r="M817" i="4"/>
  <c r="M823" i="4" s="1"/>
  <c r="M26" i="4"/>
  <c r="M806" i="4"/>
  <c r="L43" i="48" s="1"/>
  <c r="G671" i="4"/>
  <c r="I589" i="14"/>
  <c r="I603" i="14"/>
  <c r="I606" i="14" s="1"/>
  <c r="I690" i="14"/>
  <c r="D27" i="33"/>
  <c r="H212" i="2"/>
  <c r="G161" i="2"/>
  <c r="H654" i="4"/>
  <c r="H672" i="4"/>
  <c r="I482" i="4"/>
  <c r="I635" i="4"/>
  <c r="I646" i="4" s="1"/>
  <c r="F708" i="14"/>
  <c r="G727" i="14"/>
  <c r="J27" i="4"/>
  <c r="J29" i="4" s="1"/>
  <c r="E711" i="14"/>
  <c r="E712" i="14" s="1"/>
  <c r="I819" i="4"/>
  <c r="I825" i="4" s="1"/>
  <c r="I32" i="4"/>
  <c r="H50" i="48" s="1"/>
  <c r="I30" i="4"/>
  <c r="I31" i="4" s="1"/>
  <c r="H207" i="48" s="1"/>
  <c r="F215" i="48"/>
  <c r="F67" i="48"/>
  <c r="J781" i="14"/>
  <c r="J717" i="14"/>
  <c r="I114" i="48" s="1"/>
  <c r="J776" i="14"/>
  <c r="I102" i="48" s="1"/>
  <c r="J591" i="14"/>
  <c r="I225" i="48" s="1"/>
  <c r="J587" i="14"/>
  <c r="I778" i="14"/>
  <c r="I779" i="14"/>
  <c r="I785" i="14"/>
  <c r="F661" i="4"/>
  <c r="J1081" i="14"/>
  <c r="K925" i="14"/>
  <c r="J138" i="48" s="1"/>
  <c r="K605" i="14"/>
  <c r="K716" i="14"/>
  <c r="J227" i="48" s="1"/>
  <c r="K604" i="14"/>
  <c r="K582" i="14"/>
  <c r="K585" i="14" s="1"/>
  <c r="L227" i="4"/>
  <c r="L818" i="4"/>
  <c r="L824" i="4" s="1"/>
  <c r="L568" i="4"/>
  <c r="L581" i="14"/>
  <c r="J248" i="4"/>
  <c r="J468" i="4"/>
  <c r="J251" i="4"/>
  <c r="J236" i="4"/>
  <c r="J477" i="4"/>
  <c r="J254" i="4"/>
  <c r="I203" i="48" s="1"/>
  <c r="J472" i="4"/>
  <c r="J621" i="4" s="1"/>
  <c r="J481" i="4"/>
  <c r="J639" i="4" s="1"/>
  <c r="D569" i="4"/>
  <c r="G551" i="4"/>
  <c r="I617" i="4"/>
  <c r="I626" i="4" s="1"/>
  <c r="I473" i="4"/>
  <c r="H809" i="14"/>
  <c r="H707" i="14"/>
  <c r="F554" i="4"/>
  <c r="F553" i="4"/>
  <c r="H799" i="4"/>
  <c r="H653" i="4"/>
  <c r="E767" i="4"/>
  <c r="J471" i="4"/>
  <c r="J620" i="4" s="1"/>
  <c r="J480" i="4"/>
  <c r="J638" i="4" s="1"/>
  <c r="J784" i="14"/>
  <c r="J790" i="14"/>
  <c r="J791" i="14" s="1"/>
  <c r="D115" i="33"/>
  <c r="G171" i="2"/>
  <c r="H226" i="2"/>
  <c r="J226" i="2" s="1"/>
  <c r="O821" i="4"/>
  <c r="O820" i="4"/>
  <c r="K234" i="4"/>
  <c r="K235" i="4"/>
  <c r="K28" i="4" s="1"/>
  <c r="K229" i="4"/>
  <c r="K232" i="4"/>
  <c r="K233" i="4"/>
  <c r="K27" i="4" s="1"/>
  <c r="K231" i="4"/>
  <c r="K228" i="4"/>
  <c r="K230" i="4"/>
  <c r="F665" i="4" l="1"/>
  <c r="F765" i="4" s="1"/>
  <c r="K24" i="29" s="1"/>
  <c r="K25" i="29" s="1"/>
  <c r="K607" i="14"/>
  <c r="K726" i="14" s="1"/>
  <c r="K777" i="14" s="1"/>
  <c r="J782" i="14"/>
  <c r="J785" i="14" s="1"/>
  <c r="J777" i="14"/>
  <c r="K29" i="4"/>
  <c r="K30" i="4" s="1"/>
  <c r="K31" i="4" s="1"/>
  <c r="J207" i="48" s="1"/>
  <c r="K470" i="4"/>
  <c r="K619" i="4" s="1"/>
  <c r="K479" i="4"/>
  <c r="K637" i="4" s="1"/>
  <c r="I653" i="4"/>
  <c r="I799" i="4"/>
  <c r="I35" i="48"/>
  <c r="J257" i="4"/>
  <c r="J802" i="4" s="1"/>
  <c r="K236" i="4"/>
  <c r="K251" i="4"/>
  <c r="K468" i="4"/>
  <c r="K477" i="4"/>
  <c r="K254" i="4"/>
  <c r="J203" i="48" s="1"/>
  <c r="K248" i="4"/>
  <c r="K478" i="4"/>
  <c r="K636" i="4" s="1"/>
  <c r="K249" i="4"/>
  <c r="K255" i="4"/>
  <c r="K469" i="4"/>
  <c r="K618" i="4" s="1"/>
  <c r="K252" i="4"/>
  <c r="G554" i="4"/>
  <c r="H554" i="4"/>
  <c r="F569" i="4"/>
  <c r="G569" i="4"/>
  <c r="E569" i="4"/>
  <c r="H569" i="4"/>
  <c r="I569" i="4"/>
  <c r="J569" i="4"/>
  <c r="J482" i="4"/>
  <c r="J635" i="4"/>
  <c r="J646" i="4" s="1"/>
  <c r="L605" i="14"/>
  <c r="K1081" i="14"/>
  <c r="L604" i="14"/>
  <c r="L582" i="14"/>
  <c r="L585" i="14" s="1"/>
  <c r="L925" i="14"/>
  <c r="K138" i="48" s="1"/>
  <c r="L716" i="14"/>
  <c r="K227" i="48" s="1"/>
  <c r="F662" i="4"/>
  <c r="F764" i="4" s="1"/>
  <c r="J589" i="14"/>
  <c r="J603" i="14"/>
  <c r="J606" i="14" s="1"/>
  <c r="J690" i="14"/>
  <c r="H727" i="14"/>
  <c r="G708" i="14"/>
  <c r="O816" i="4"/>
  <c r="O822" i="4" s="1"/>
  <c r="O24" i="4"/>
  <c r="K569" i="4"/>
  <c r="I809" i="14"/>
  <c r="I707" i="14"/>
  <c r="D915" i="16"/>
  <c r="K471" i="4"/>
  <c r="K620" i="4" s="1"/>
  <c r="K480" i="4"/>
  <c r="K638" i="4" s="1"/>
  <c r="L569" i="4"/>
  <c r="K781" i="14"/>
  <c r="K587" i="14"/>
  <c r="K717" i="14"/>
  <c r="J114" i="48" s="1"/>
  <c r="K591" i="14"/>
  <c r="J225" i="48" s="1"/>
  <c r="K784" i="14"/>
  <c r="K790" i="14"/>
  <c r="K791" i="14" s="1"/>
  <c r="F728" i="14"/>
  <c r="F711" i="14"/>
  <c r="F712" i="14" s="1"/>
  <c r="F691" i="14" s="1"/>
  <c r="I609" i="14"/>
  <c r="H100" i="48" s="1"/>
  <c r="H1082" i="14"/>
  <c r="N26" i="4"/>
  <c r="N817" i="4"/>
  <c r="N823" i="4" s="1"/>
  <c r="N806" i="4"/>
  <c r="M43" i="48" s="1"/>
  <c r="E752" i="14"/>
  <c r="I654" i="4"/>
  <c r="I672" i="4"/>
  <c r="G215" i="48"/>
  <c r="G67" i="48"/>
  <c r="J212" i="2"/>
  <c r="H220" i="2"/>
  <c r="J220" i="2" s="1"/>
  <c r="M818" i="4"/>
  <c r="M824" i="4" s="1"/>
  <c r="M568" i="4"/>
  <c r="M569" i="4" s="1"/>
  <c r="M227" i="4"/>
  <c r="M581" i="14"/>
  <c r="K472" i="4"/>
  <c r="K621" i="4" s="1"/>
  <c r="K481" i="4"/>
  <c r="K639" i="4" s="1"/>
  <c r="G553" i="4"/>
  <c r="F555" i="4"/>
  <c r="H553" i="4"/>
  <c r="I548" i="4"/>
  <c r="I545" i="4"/>
  <c r="I547" i="4"/>
  <c r="J473" i="4"/>
  <c r="J617" i="4"/>
  <c r="J626" i="4" s="1"/>
  <c r="E729" i="14"/>
  <c r="E734" i="14" s="1"/>
  <c r="E590" i="14"/>
  <c r="L231" i="4"/>
  <c r="L234" i="4"/>
  <c r="L229" i="4"/>
  <c r="L228" i="4"/>
  <c r="L235" i="4"/>
  <c r="L28" i="4" s="1"/>
  <c r="L233" i="4"/>
  <c r="L27" i="4" s="1"/>
  <c r="L232" i="4"/>
  <c r="L230" i="4"/>
  <c r="J819" i="4"/>
  <c r="J825" i="4" s="1"/>
  <c r="J32" i="4"/>
  <c r="I50" i="48" s="1"/>
  <c r="J30" i="4"/>
  <c r="J31" i="4" s="1"/>
  <c r="I207" i="48" s="1"/>
  <c r="H671" i="4"/>
  <c r="G658" i="4"/>
  <c r="E691" i="14"/>
  <c r="J779" i="14" l="1"/>
  <c r="K748" i="14"/>
  <c r="J116" i="48" s="1"/>
  <c r="K776" i="14"/>
  <c r="J102" i="48" s="1"/>
  <c r="J778" i="14"/>
  <c r="K32" i="4"/>
  <c r="J50" i="48" s="1"/>
  <c r="G664" i="4"/>
  <c r="G665" i="4" s="1"/>
  <c r="G765" i="4" s="1"/>
  <c r="F767" i="4"/>
  <c r="K782" i="14"/>
  <c r="K785" i="14" s="1"/>
  <c r="K819" i="4"/>
  <c r="K825" i="4" s="1"/>
  <c r="E573" i="4"/>
  <c r="E579" i="4" s="1"/>
  <c r="J547" i="4"/>
  <c r="G659" i="4"/>
  <c r="G763" i="4" s="1"/>
  <c r="L22" i="29" s="1"/>
  <c r="L472" i="4"/>
  <c r="L621" i="4" s="1"/>
  <c r="L481" i="4"/>
  <c r="L639" i="4" s="1"/>
  <c r="L252" i="4"/>
  <c r="L249" i="4"/>
  <c r="L469" i="4"/>
  <c r="L618" i="4" s="1"/>
  <c r="L478" i="4"/>
  <c r="L636" i="4" s="1"/>
  <c r="L255" i="4"/>
  <c r="J799" i="4"/>
  <c r="J653" i="4"/>
  <c r="J548" i="4"/>
  <c r="E574" i="4"/>
  <c r="E580" i="4" s="1"/>
  <c r="M234" i="4"/>
  <c r="M235" i="4"/>
  <c r="M28" i="4" s="1"/>
  <c r="M230" i="4"/>
  <c r="M231" i="4"/>
  <c r="M232" i="4"/>
  <c r="M229" i="4"/>
  <c r="M233" i="4"/>
  <c r="M228" i="4"/>
  <c r="I671" i="4"/>
  <c r="D737" i="16"/>
  <c r="F845" i="4"/>
  <c r="P261" i="2"/>
  <c r="F675" i="4"/>
  <c r="E73" i="48" s="1"/>
  <c r="K574" i="4"/>
  <c r="K580" i="4" s="1"/>
  <c r="K573" i="4"/>
  <c r="K579" i="4" s="1"/>
  <c r="G728" i="14"/>
  <c r="G711" i="14"/>
  <c r="G712" i="14" s="1"/>
  <c r="D590" i="16"/>
  <c r="D716" i="16"/>
  <c r="F766" i="4"/>
  <c r="L781" i="14"/>
  <c r="L717" i="14"/>
  <c r="K114" i="48" s="1"/>
  <c r="L587" i="14"/>
  <c r="L591" i="14"/>
  <c r="K225" i="48" s="1"/>
  <c r="L784" i="14"/>
  <c r="L790" i="14"/>
  <c r="L791" i="14" s="1"/>
  <c r="I574" i="4"/>
  <c r="I580" i="4" s="1"/>
  <c r="I573" i="4"/>
  <c r="I579" i="4" s="1"/>
  <c r="F574" i="4"/>
  <c r="F580" i="4" s="1"/>
  <c r="F573" i="4"/>
  <c r="F579" i="4" s="1"/>
  <c r="J35" i="48"/>
  <c r="K257" i="4"/>
  <c r="K802" i="4" s="1"/>
  <c r="L29" i="4"/>
  <c r="E812" i="14"/>
  <c r="E736" i="14"/>
  <c r="E737" i="14" s="1"/>
  <c r="M1140" i="14"/>
  <c r="M573" i="4"/>
  <c r="M579" i="4" s="1"/>
  <c r="M574" i="4"/>
  <c r="M580" i="4" s="1"/>
  <c r="F752" i="14"/>
  <c r="H708" i="14"/>
  <c r="I727" i="14"/>
  <c r="J809" i="14"/>
  <c r="J707" i="14"/>
  <c r="G661" i="4"/>
  <c r="L607" i="14"/>
  <c r="L726" i="14" s="1"/>
  <c r="J672" i="4"/>
  <c r="J654" i="4"/>
  <c r="H573" i="4"/>
  <c r="H579" i="4" s="1"/>
  <c r="H574" i="4"/>
  <c r="H580" i="4" s="1"/>
  <c r="L470" i="4"/>
  <c r="L619" i="4" s="1"/>
  <c r="L479" i="4"/>
  <c r="L637" i="4" s="1"/>
  <c r="L480" i="4"/>
  <c r="L638" i="4" s="1"/>
  <c r="L471" i="4"/>
  <c r="L620" i="4" s="1"/>
  <c r="M925" i="14"/>
  <c r="L138" i="48" s="1"/>
  <c r="M605" i="14"/>
  <c r="L1081" i="14"/>
  <c r="M582" i="14"/>
  <c r="M585" i="14" s="1"/>
  <c r="M604" i="14"/>
  <c r="M716" i="14"/>
  <c r="L227" i="48" s="1"/>
  <c r="E753" i="14"/>
  <c r="E758" i="14" s="1"/>
  <c r="N818" i="4"/>
  <c r="N824" i="4" s="1"/>
  <c r="N568" i="4"/>
  <c r="N569" i="4" s="1"/>
  <c r="N227" i="4"/>
  <c r="N581" i="14"/>
  <c r="F694" i="14"/>
  <c r="F719" i="14"/>
  <c r="L573" i="4"/>
  <c r="L579" i="4" s="1"/>
  <c r="L574" i="4"/>
  <c r="L580" i="4" s="1"/>
  <c r="O817" i="4"/>
  <c r="O823" i="4" s="1"/>
  <c r="O26" i="4"/>
  <c r="O806" i="4"/>
  <c r="N43" i="48" s="1"/>
  <c r="J609" i="14"/>
  <c r="I100" i="48" s="1"/>
  <c r="I1082" i="14"/>
  <c r="K482" i="4"/>
  <c r="K635" i="4"/>
  <c r="K646" i="4" s="1"/>
  <c r="E719" i="14"/>
  <c r="E694" i="14"/>
  <c r="L248" i="4"/>
  <c r="L477" i="4"/>
  <c r="L236" i="4"/>
  <c r="L468" i="4"/>
  <c r="L254" i="4"/>
  <c r="K203" i="48" s="1"/>
  <c r="L251" i="4"/>
  <c r="J545" i="4"/>
  <c r="G555" i="4"/>
  <c r="G556" i="4" s="1"/>
  <c r="H215" i="48"/>
  <c r="H67" i="48"/>
  <c r="F729" i="14"/>
  <c r="F734" i="14" s="1"/>
  <c r="F590" i="14"/>
  <c r="K603" i="14"/>
  <c r="K606" i="14" s="1"/>
  <c r="K589" i="14"/>
  <c r="K690" i="14"/>
  <c r="J574" i="4"/>
  <c r="J580" i="4" s="1"/>
  <c r="J573" i="4"/>
  <c r="J579" i="4" s="1"/>
  <c r="G573" i="4"/>
  <c r="G579" i="4" s="1"/>
  <c r="G574" i="4"/>
  <c r="G580" i="4" s="1"/>
  <c r="K473" i="4"/>
  <c r="K617" i="4"/>
  <c r="K626" i="4" s="1"/>
  <c r="G666" i="4" l="1"/>
  <c r="F75" i="48" s="1"/>
  <c r="K778" i="14"/>
  <c r="K779" i="14"/>
  <c r="E743" i="14"/>
  <c r="E744" i="14" s="1"/>
  <c r="E746" i="14" s="1"/>
  <c r="E747" i="14" s="1"/>
  <c r="M27" i="4"/>
  <c r="M29" i="4" s="1"/>
  <c r="M30" i="4" s="1"/>
  <c r="M31" i="4" s="1"/>
  <c r="L207" i="48" s="1"/>
  <c r="H664" i="4"/>
  <c r="H666" i="4" s="1"/>
  <c r="G75" i="48" s="1"/>
  <c r="M607" i="14"/>
  <c r="M726" i="14" s="1"/>
  <c r="M782" i="14" s="1"/>
  <c r="I553" i="4"/>
  <c r="I554" i="4"/>
  <c r="L635" i="4"/>
  <c r="L646" i="4" s="1"/>
  <c r="L482" i="4"/>
  <c r="J671" i="4"/>
  <c r="K809" i="14"/>
  <c r="K707" i="14"/>
  <c r="F812" i="14"/>
  <c r="F736" i="14"/>
  <c r="F737" i="14" s="1"/>
  <c r="L617" i="4"/>
  <c r="L626" i="4" s="1"/>
  <c r="L473" i="4"/>
  <c r="E695" i="14"/>
  <c r="O818" i="4"/>
  <c r="O824" i="4" s="1"/>
  <c r="O227" i="4"/>
  <c r="O568" i="4"/>
  <c r="O569" i="4" s="1"/>
  <c r="O581" i="14"/>
  <c r="F695" i="14"/>
  <c r="N574" i="4"/>
  <c r="N580" i="4" s="1"/>
  <c r="N573" i="4"/>
  <c r="N579" i="4" s="1"/>
  <c r="L748" i="14"/>
  <c r="K116" i="48" s="1"/>
  <c r="L782" i="14"/>
  <c r="L779" i="14" s="1"/>
  <c r="F753" i="14"/>
  <c r="F758" i="14" s="1"/>
  <c r="L819" i="4"/>
  <c r="L825" i="4" s="1"/>
  <c r="L32" i="4"/>
  <c r="K50" i="48" s="1"/>
  <c r="L30" i="4"/>
  <c r="L31" i="4" s="1"/>
  <c r="K207" i="48" s="1"/>
  <c r="L776" i="14"/>
  <c r="K102" i="48" s="1"/>
  <c r="G752" i="14"/>
  <c r="P268" i="2"/>
  <c r="M255" i="4"/>
  <c r="M252" i="4"/>
  <c r="M469" i="4"/>
  <c r="M618" i="4" s="1"/>
  <c r="M478" i="4"/>
  <c r="M636" i="4" s="1"/>
  <c r="M249" i="4"/>
  <c r="K799" i="4"/>
  <c r="K653" i="4"/>
  <c r="E701" i="14"/>
  <c r="E702" i="14" s="1"/>
  <c r="E704" i="14" s="1"/>
  <c r="E705" i="14" s="1"/>
  <c r="F701" i="14"/>
  <c r="F702" i="14" s="1"/>
  <c r="F704" i="14" s="1"/>
  <c r="F705" i="14" s="1"/>
  <c r="G302" i="16" s="1"/>
  <c r="G662" i="4"/>
  <c r="G764" i="4" s="1"/>
  <c r="E738" i="14"/>
  <c r="H380" i="9"/>
  <c r="G691" i="14"/>
  <c r="M248" i="4"/>
  <c r="M236" i="4"/>
  <c r="M251" i="4"/>
  <c r="M254" i="4"/>
  <c r="L203" i="48" s="1"/>
  <c r="M468" i="4"/>
  <c r="M477" i="4"/>
  <c r="M481" i="4"/>
  <c r="M639" i="4" s="1"/>
  <c r="M472" i="4"/>
  <c r="M621" i="4" s="1"/>
  <c r="J1082" i="14"/>
  <c r="K609" i="14"/>
  <c r="J100" i="48" s="1"/>
  <c r="K35" i="48"/>
  <c r="L257" i="4"/>
  <c r="L802" i="4" s="1"/>
  <c r="N604" i="14"/>
  <c r="N605" i="14"/>
  <c r="N925" i="14"/>
  <c r="M138" i="48" s="1"/>
  <c r="N716" i="14"/>
  <c r="M227" i="48" s="1"/>
  <c r="N582" i="14"/>
  <c r="N585" i="14" s="1"/>
  <c r="M1081" i="14"/>
  <c r="M790" i="14"/>
  <c r="M791" i="14" s="1"/>
  <c r="M784" i="14"/>
  <c r="I708" i="14"/>
  <c r="J727" i="14"/>
  <c r="L603" i="14"/>
  <c r="L606" i="14" s="1"/>
  <c r="L589" i="14"/>
  <c r="L690" i="14"/>
  <c r="D718" i="16"/>
  <c r="D739" i="16"/>
  <c r="M32" i="4"/>
  <c r="L50" i="48" s="1"/>
  <c r="M471" i="4"/>
  <c r="M620" i="4" s="1"/>
  <c r="M480" i="4"/>
  <c r="M638" i="4" s="1"/>
  <c r="E915" i="16"/>
  <c r="L24" i="29"/>
  <c r="L25" i="29" s="1"/>
  <c r="K654" i="4"/>
  <c r="K672" i="4"/>
  <c r="N233" i="4"/>
  <c r="N232" i="4"/>
  <c r="N229" i="4"/>
  <c r="N228" i="4"/>
  <c r="N235" i="4"/>
  <c r="N28" i="4" s="1"/>
  <c r="N231" i="4"/>
  <c r="N230" i="4"/>
  <c r="N234" i="4"/>
  <c r="E815" i="14"/>
  <c r="E760" i="14"/>
  <c r="M1141" i="14"/>
  <c r="M781" i="14"/>
  <c r="M591" i="14"/>
  <c r="L225" i="48" s="1"/>
  <c r="M587" i="14"/>
  <c r="M717" i="14"/>
  <c r="L114" i="48" s="1"/>
  <c r="I215" i="48"/>
  <c r="I67" i="48"/>
  <c r="H728" i="14"/>
  <c r="H711" i="14"/>
  <c r="H712" i="14" s="1"/>
  <c r="H691" i="14" s="1"/>
  <c r="L777" i="14"/>
  <c r="G729" i="14"/>
  <c r="G734" i="14" s="1"/>
  <c r="G590" i="14"/>
  <c r="M479" i="4"/>
  <c r="M637" i="4" s="1"/>
  <c r="M470" i="4"/>
  <c r="M619" i="4" s="1"/>
  <c r="H658" i="4"/>
  <c r="L778" i="14" l="1"/>
  <c r="M777" i="14"/>
  <c r="M819" i="4"/>
  <c r="M825" i="4" s="1"/>
  <c r="N607" i="14"/>
  <c r="N726" i="14" s="1"/>
  <c r="N782" i="14" s="1"/>
  <c r="M776" i="14"/>
  <c r="L102" i="48" s="1"/>
  <c r="L785" i="14"/>
  <c r="M748" i="14"/>
  <c r="L116" i="48" s="1"/>
  <c r="H665" i="4"/>
  <c r="F743" i="14"/>
  <c r="F744" i="14" s="1"/>
  <c r="F746" i="14" s="1"/>
  <c r="F747" i="14" s="1"/>
  <c r="G301" i="16" s="1"/>
  <c r="H659" i="4"/>
  <c r="H763" i="4" s="1"/>
  <c r="M22" i="29" s="1"/>
  <c r="M779" i="14"/>
  <c r="M778" i="14"/>
  <c r="M785" i="14"/>
  <c r="K671" i="4"/>
  <c r="G675" i="4"/>
  <c r="F73" i="48" s="1"/>
  <c r="G845" i="4"/>
  <c r="E737" i="16"/>
  <c r="Q261" i="2"/>
  <c r="H694" i="14"/>
  <c r="H701" i="14" s="1"/>
  <c r="H702" i="14" s="1"/>
  <c r="H704" i="14" s="1"/>
  <c r="H705" i="14" s="1"/>
  <c r="I302" i="16" s="1"/>
  <c r="H719" i="14"/>
  <c r="M589" i="14"/>
  <c r="M603" i="14"/>
  <c r="M606" i="14" s="1"/>
  <c r="M690" i="14"/>
  <c r="E761" i="14"/>
  <c r="N470" i="4"/>
  <c r="N619" i="4" s="1"/>
  <c r="N479" i="4"/>
  <c r="N637" i="4" s="1"/>
  <c r="N249" i="4"/>
  <c r="N255" i="4"/>
  <c r="N478" i="4"/>
  <c r="N636" i="4" s="1"/>
  <c r="N469" i="4"/>
  <c r="N618" i="4" s="1"/>
  <c r="N252" i="4"/>
  <c r="K1082" i="14"/>
  <c r="L609" i="14"/>
  <c r="K100" i="48" s="1"/>
  <c r="N781" i="14"/>
  <c r="N591" i="14"/>
  <c r="M225" i="48" s="1"/>
  <c r="N717" i="14"/>
  <c r="M114" i="48" s="1"/>
  <c r="N587" i="14"/>
  <c r="M482" i="4"/>
  <c r="M635" i="4"/>
  <c r="M646" i="4" s="1"/>
  <c r="E590" i="16"/>
  <c r="E716" i="16"/>
  <c r="G766" i="4"/>
  <c r="O573" i="4"/>
  <c r="O579" i="4" s="1"/>
  <c r="O574" i="4"/>
  <c r="O580" i="4" s="1"/>
  <c r="D1083" i="14"/>
  <c r="D1141" i="14" s="1"/>
  <c r="H729" i="14"/>
  <c r="H734" i="14" s="1"/>
  <c r="H590" i="14"/>
  <c r="E768" i="14"/>
  <c r="E769" i="14" s="1"/>
  <c r="E771" i="14" s="1"/>
  <c r="E772" i="14" s="1"/>
  <c r="N480" i="4"/>
  <c r="N638" i="4" s="1"/>
  <c r="N471" i="4"/>
  <c r="N620" i="4" s="1"/>
  <c r="N481" i="4"/>
  <c r="N639" i="4" s="1"/>
  <c r="N472" i="4"/>
  <c r="N621" i="4" s="1"/>
  <c r="J67" i="48"/>
  <c r="J215" i="48"/>
  <c r="K727" i="14"/>
  <c r="J708" i="14"/>
  <c r="M473" i="4"/>
  <c r="M617" i="4"/>
  <c r="M626" i="4" s="1"/>
  <c r="H381" i="9"/>
  <c r="F738" i="14"/>
  <c r="G753" i="14"/>
  <c r="G758" i="14" s="1"/>
  <c r="F720" i="14"/>
  <c r="F721" i="14" s="1"/>
  <c r="E720" i="14"/>
  <c r="E721" i="14" s="1"/>
  <c r="H387" i="9"/>
  <c r="E696" i="14"/>
  <c r="G812" i="14"/>
  <c r="G736" i="14"/>
  <c r="G737" i="14" s="1"/>
  <c r="L707" i="14"/>
  <c r="L809" i="14"/>
  <c r="I728" i="14"/>
  <c r="I711" i="14"/>
  <c r="I712" i="14" s="1"/>
  <c r="I691" i="14" s="1"/>
  <c r="G694" i="14"/>
  <c r="G701" i="14" s="1"/>
  <c r="G702" i="14" s="1"/>
  <c r="G704" i="14" s="1"/>
  <c r="G705" i="14" s="1"/>
  <c r="H302" i="16" s="1"/>
  <c r="G719" i="14"/>
  <c r="O230" i="4"/>
  <c r="O235" i="4"/>
  <c r="O28" i="4" s="1"/>
  <c r="O234" i="4"/>
  <c r="O233" i="4"/>
  <c r="O232" i="4"/>
  <c r="O231" i="4"/>
  <c r="O228" i="4"/>
  <c r="O229" i="4"/>
  <c r="E571" i="4"/>
  <c r="D571" i="4" s="1"/>
  <c r="O571" i="4" s="1"/>
  <c r="J554" i="4"/>
  <c r="H752" i="14"/>
  <c r="N248" i="4"/>
  <c r="N254" i="4"/>
  <c r="M203" i="48" s="1"/>
  <c r="N477" i="4"/>
  <c r="N468" i="4"/>
  <c r="N236" i="4"/>
  <c r="N251" i="4"/>
  <c r="N27" i="4"/>
  <c r="N29" i="4" s="1"/>
  <c r="G767" i="4"/>
  <c r="N784" i="14"/>
  <c r="N790" i="14"/>
  <c r="N791" i="14" s="1"/>
  <c r="M257" i="4"/>
  <c r="M802" i="4" s="1"/>
  <c r="L35" i="48"/>
  <c r="H661" i="4"/>
  <c r="F815" i="14"/>
  <c r="F760" i="14"/>
  <c r="N1081" i="14"/>
  <c r="O604" i="14"/>
  <c r="O925" i="14"/>
  <c r="N138" i="48" s="1"/>
  <c r="O582" i="14"/>
  <c r="O585" i="14" s="1"/>
  <c r="O605" i="14"/>
  <c r="O716" i="14"/>
  <c r="N227" i="48" s="1"/>
  <c r="L653" i="4"/>
  <c r="L799" i="4"/>
  <c r="L672" i="4"/>
  <c r="L654" i="4"/>
  <c r="J553" i="4"/>
  <c r="E572" i="4"/>
  <c r="D572" i="4" s="1"/>
  <c r="E575" i="4"/>
  <c r="D575" i="4" s="1"/>
  <c r="N777" i="14" l="1"/>
  <c r="N748" i="14"/>
  <c r="M116" i="48" s="1"/>
  <c r="N776" i="14"/>
  <c r="M102" i="48" s="1"/>
  <c r="O27" i="4"/>
  <c r="O29" i="4" s="1"/>
  <c r="O30" i="4" s="1"/>
  <c r="O31" i="4" s="1"/>
  <c r="N207" i="48" s="1"/>
  <c r="G743" i="14"/>
  <c r="G744" i="14" s="1"/>
  <c r="G746" i="14" s="1"/>
  <c r="G747" i="14" s="1"/>
  <c r="H301" i="16" s="1"/>
  <c r="D1089" i="14"/>
  <c r="H1141" i="14" s="1"/>
  <c r="I658" i="4"/>
  <c r="I659" i="4" s="1"/>
  <c r="I763" i="4" s="1"/>
  <c r="N22" i="29" s="1"/>
  <c r="E1083" i="14"/>
  <c r="H765" i="4"/>
  <c r="M24" i="29" s="1"/>
  <c r="M25" i="29" s="1"/>
  <c r="I664" i="4"/>
  <c r="L671" i="4"/>
  <c r="F761" i="14"/>
  <c r="O469" i="4"/>
  <c r="O618" i="4" s="1"/>
  <c r="O249" i="4"/>
  <c r="O478" i="4"/>
  <c r="O636" i="4" s="1"/>
  <c r="O252" i="4"/>
  <c r="O255" i="4"/>
  <c r="G815" i="14"/>
  <c r="G760" i="14"/>
  <c r="G768" i="14" s="1"/>
  <c r="G769" i="14" s="1"/>
  <c r="G771" i="14" s="1"/>
  <c r="G772" i="14" s="1"/>
  <c r="G773" i="14" s="1"/>
  <c r="H300" i="16" s="1"/>
  <c r="E578" i="4"/>
  <c r="M572" i="4"/>
  <c r="M578" i="4" s="1"/>
  <c r="I572" i="4"/>
  <c r="I578" i="4" s="1"/>
  <c r="K572" i="4"/>
  <c r="K578" i="4" s="1"/>
  <c r="H572" i="4"/>
  <c r="H578" i="4" s="1"/>
  <c r="F572" i="4"/>
  <c r="F578" i="4" s="1"/>
  <c r="G572" i="4"/>
  <c r="G578" i="4" s="1"/>
  <c r="L572" i="4"/>
  <c r="L578" i="4" s="1"/>
  <c r="J572" i="4"/>
  <c r="J578" i="4" s="1"/>
  <c r="N572" i="4"/>
  <c r="N578" i="4" s="1"/>
  <c r="O784" i="14"/>
  <c r="O790" i="14"/>
  <c r="O791" i="14" s="1"/>
  <c r="O607" i="14"/>
  <c r="O726" i="14" s="1"/>
  <c r="O777" i="14" s="1"/>
  <c r="N473" i="4"/>
  <c r="N617" i="4"/>
  <c r="N626" i="4" s="1"/>
  <c r="H753" i="14"/>
  <c r="H758" i="14" s="1"/>
  <c r="E577" i="4"/>
  <c r="O577" i="4"/>
  <c r="I571" i="4"/>
  <c r="I577" i="4" s="1"/>
  <c r="F571" i="4"/>
  <c r="F577" i="4" s="1"/>
  <c r="L571" i="4"/>
  <c r="L577" i="4" s="1"/>
  <c r="G571" i="4"/>
  <c r="G577" i="4" s="1"/>
  <c r="M571" i="4"/>
  <c r="M577" i="4" s="1"/>
  <c r="J571" i="4"/>
  <c r="J577" i="4" s="1"/>
  <c r="K571" i="4"/>
  <c r="K577" i="4" s="1"/>
  <c r="H571" i="4"/>
  <c r="H577" i="4" s="1"/>
  <c r="N571" i="4"/>
  <c r="N577" i="4" s="1"/>
  <c r="O480" i="4"/>
  <c r="O638" i="4" s="1"/>
  <c r="O471" i="4"/>
  <c r="O620" i="4" s="1"/>
  <c r="I719" i="14"/>
  <c r="I694" i="14"/>
  <c r="E709" i="14"/>
  <c r="E713" i="14"/>
  <c r="D1090" i="14" s="1"/>
  <c r="K708" i="14"/>
  <c r="L727" i="14"/>
  <c r="N785" i="14"/>
  <c r="N778" i="14"/>
  <c r="N779" i="14"/>
  <c r="Q268" i="2"/>
  <c r="O717" i="14"/>
  <c r="N114" i="48" s="1"/>
  <c r="O591" i="14"/>
  <c r="N225" i="48" s="1"/>
  <c r="O587" i="14"/>
  <c r="O781" i="14"/>
  <c r="N819" i="4"/>
  <c r="N825" i="4" s="1"/>
  <c r="N32" i="4"/>
  <c r="M50" i="48" s="1"/>
  <c r="N30" i="4"/>
  <c r="N31" i="4" s="1"/>
  <c r="M207" i="48" s="1"/>
  <c r="N482" i="4"/>
  <c r="N635" i="4"/>
  <c r="N646" i="4" s="1"/>
  <c r="O472" i="4"/>
  <c r="O621" i="4" s="1"/>
  <c r="O481" i="4"/>
  <c r="O639" i="4" s="1"/>
  <c r="O470" i="4"/>
  <c r="O619" i="4" s="1"/>
  <c r="O479" i="4"/>
  <c r="O637" i="4" s="1"/>
  <c r="I729" i="14"/>
  <c r="I734" i="14" s="1"/>
  <c r="I590" i="14"/>
  <c r="F709" i="14"/>
  <c r="F713" i="14"/>
  <c r="F739" i="14"/>
  <c r="G738" i="14"/>
  <c r="M799" i="4"/>
  <c r="M653" i="4"/>
  <c r="H736" i="14"/>
  <c r="H737" i="14" s="1"/>
  <c r="H812" i="14"/>
  <c r="O572" i="4"/>
  <c r="O578" i="4" s="1"/>
  <c r="E718" i="16"/>
  <c r="N589" i="14"/>
  <c r="N690" i="14"/>
  <c r="N603" i="14"/>
  <c r="N606" i="14" s="1"/>
  <c r="E762" i="14"/>
  <c r="H373" i="9"/>
  <c r="E739" i="16"/>
  <c r="F915" i="16"/>
  <c r="H662" i="4"/>
  <c r="H764" i="4" s="1"/>
  <c r="M35" i="48"/>
  <c r="N257" i="4"/>
  <c r="N802" i="4" s="1"/>
  <c r="H388" i="9"/>
  <c r="E722" i="14"/>
  <c r="E723" i="14" s="1"/>
  <c r="F696" i="14"/>
  <c r="M809" i="14"/>
  <c r="M707" i="14"/>
  <c r="E581" i="4"/>
  <c r="K575" i="4"/>
  <c r="K581" i="4" s="1"/>
  <c r="F575" i="4"/>
  <c r="F581" i="4" s="1"/>
  <c r="H575" i="4"/>
  <c r="H581" i="4" s="1"/>
  <c r="L575" i="4"/>
  <c r="L581" i="4" s="1"/>
  <c r="I575" i="4"/>
  <c r="I581" i="4" s="1"/>
  <c r="M575" i="4"/>
  <c r="M581" i="4" s="1"/>
  <c r="J575" i="4"/>
  <c r="J581" i="4" s="1"/>
  <c r="G575" i="4"/>
  <c r="G581" i="4" s="1"/>
  <c r="N575" i="4"/>
  <c r="N581" i="4" s="1"/>
  <c r="K215" i="48"/>
  <c r="K67" i="48"/>
  <c r="F768" i="14"/>
  <c r="F769" i="14" s="1"/>
  <c r="F771" i="14" s="1"/>
  <c r="F772" i="14" s="1"/>
  <c r="F773" i="14" s="1"/>
  <c r="G300" i="16" s="1"/>
  <c r="O477" i="4"/>
  <c r="O248" i="4"/>
  <c r="O254" i="4"/>
  <c r="N203" i="48" s="1"/>
  <c r="O236" i="4"/>
  <c r="O251" i="4"/>
  <c r="O468" i="4"/>
  <c r="G695" i="14"/>
  <c r="G720" i="14" s="1"/>
  <c r="G721" i="14" s="1"/>
  <c r="I752" i="14"/>
  <c r="J728" i="14"/>
  <c r="J711" i="14"/>
  <c r="J712" i="14" s="1"/>
  <c r="O575" i="4"/>
  <c r="O581" i="4" s="1"/>
  <c r="M672" i="4"/>
  <c r="M654" i="4"/>
  <c r="L1082" i="14"/>
  <c r="M609" i="14"/>
  <c r="L100" i="48" s="1"/>
  <c r="H695" i="14"/>
  <c r="H720" i="14" s="1"/>
  <c r="H721" i="14" s="1"/>
  <c r="F1083" i="14" l="1"/>
  <c r="O32" i="4"/>
  <c r="N50" i="48" s="1"/>
  <c r="I212" i="2" s="1"/>
  <c r="K212" i="2" s="1"/>
  <c r="B212" i="2" s="1"/>
  <c r="O819" i="4"/>
  <c r="O825" i="4" s="1"/>
  <c r="I661" i="4"/>
  <c r="I662" i="4" s="1"/>
  <c r="I764" i="4" s="1"/>
  <c r="H743" i="14"/>
  <c r="I665" i="4"/>
  <c r="I765" i="4" s="1"/>
  <c r="N24" i="29" s="1"/>
  <c r="N25" i="29" s="1"/>
  <c r="I666" i="4"/>
  <c r="H75" i="48" s="1"/>
  <c r="L67" i="48"/>
  <c r="L215" i="48"/>
  <c r="J752" i="14"/>
  <c r="J729" i="14"/>
  <c r="J734" i="14" s="1"/>
  <c r="J590" i="14"/>
  <c r="G709" i="14"/>
  <c r="G713" i="14"/>
  <c r="G715" i="14" s="1"/>
  <c r="E1095" i="14"/>
  <c r="G915" i="16"/>
  <c r="N809" i="14"/>
  <c r="N707" i="14"/>
  <c r="E715" i="14"/>
  <c r="D1084" i="14"/>
  <c r="O748" i="14"/>
  <c r="N116" i="48" s="1"/>
  <c r="O782" i="14"/>
  <c r="O778" i="14" s="1"/>
  <c r="F1095" i="14"/>
  <c r="E1089" i="14"/>
  <c r="H709" i="14"/>
  <c r="H713" i="14"/>
  <c r="H715" i="14" s="1"/>
  <c r="M671" i="4"/>
  <c r="J691" i="14"/>
  <c r="I753" i="14"/>
  <c r="I758" i="14" s="1"/>
  <c r="F590" i="16"/>
  <c r="F716" i="16"/>
  <c r="H766" i="4"/>
  <c r="H767" i="4"/>
  <c r="E763" i="14"/>
  <c r="H374" i="9"/>
  <c r="F762" i="14"/>
  <c r="O776" i="14"/>
  <c r="N102" i="48" s="1"/>
  <c r="I227" i="2" s="1"/>
  <c r="K227" i="2" s="1"/>
  <c r="B227" i="2" s="1"/>
  <c r="N799" i="4"/>
  <c r="N653" i="4"/>
  <c r="G761" i="14"/>
  <c r="F1089" i="14"/>
  <c r="E1090" i="14"/>
  <c r="O473" i="4"/>
  <c r="O617" i="4"/>
  <c r="O626" i="4" s="1"/>
  <c r="F697" i="14"/>
  <c r="F722" i="14"/>
  <c r="F723" i="14" s="1"/>
  <c r="G696" i="14"/>
  <c r="F737" i="16"/>
  <c r="H845" i="4"/>
  <c r="H675" i="4"/>
  <c r="G73" i="48" s="1"/>
  <c r="R261" i="2"/>
  <c r="G739" i="14"/>
  <c r="H738" i="14"/>
  <c r="F715" i="14"/>
  <c r="E1084" i="14"/>
  <c r="I812" i="14"/>
  <c r="I736" i="14"/>
  <c r="I737" i="14" s="1"/>
  <c r="O603" i="14"/>
  <c r="O606" i="14" s="1"/>
  <c r="O589" i="14"/>
  <c r="O690" i="14"/>
  <c r="L708" i="14"/>
  <c r="M727" i="14"/>
  <c r="I695" i="14"/>
  <c r="N35" i="48"/>
  <c r="I210" i="2" s="1"/>
  <c r="K210" i="2" s="1"/>
  <c r="O257" i="4"/>
  <c r="O802" i="4" s="1"/>
  <c r="O482" i="4"/>
  <c r="O635" i="4"/>
  <c r="O646" i="4" s="1"/>
  <c r="J658" i="4"/>
  <c r="E710" i="14"/>
  <c r="E714" i="14"/>
  <c r="N609" i="14"/>
  <c r="M100" i="48" s="1"/>
  <c r="M1082" i="14"/>
  <c r="N654" i="4"/>
  <c r="N672" i="4"/>
  <c r="K728" i="14"/>
  <c r="K711" i="14"/>
  <c r="K712" i="14" s="1"/>
  <c r="I701" i="14"/>
  <c r="I702" i="14" s="1"/>
  <c r="I704" i="14" s="1"/>
  <c r="I705" i="14" s="1"/>
  <c r="J302" i="16" s="1"/>
  <c r="H815" i="14"/>
  <c r="H760" i="14"/>
  <c r="H768" i="14" s="1"/>
  <c r="H769" i="14" s="1"/>
  <c r="H771" i="14" s="1"/>
  <c r="H772" i="14" s="1"/>
  <c r="H773" i="14" s="1"/>
  <c r="I300" i="16" s="1"/>
  <c r="I220" i="2" l="1"/>
  <c r="K220" i="2" s="1"/>
  <c r="I743" i="14"/>
  <c r="I744" i="14" s="1"/>
  <c r="I746" i="14" s="1"/>
  <c r="I747" i="14" s="1"/>
  <c r="J301" i="16" s="1"/>
  <c r="O779" i="14"/>
  <c r="O785" i="14"/>
  <c r="J664" i="4"/>
  <c r="H744" i="14"/>
  <c r="H746" i="14" s="1"/>
  <c r="H747" i="14" s="1"/>
  <c r="I301" i="16" s="1"/>
  <c r="G1095" i="14" s="1"/>
  <c r="G1083" i="14"/>
  <c r="N671" i="4"/>
  <c r="J659" i="4"/>
  <c r="J763" i="4" s="1"/>
  <c r="L728" i="14"/>
  <c r="L711" i="14"/>
  <c r="L712" i="14" s="1"/>
  <c r="L691" i="14" s="1"/>
  <c r="F739" i="16"/>
  <c r="I815" i="14"/>
  <c r="I760" i="14"/>
  <c r="I768" i="14" s="1"/>
  <c r="I769" i="14" s="1"/>
  <c r="I771" i="14" s="1"/>
  <c r="I772" i="14" s="1"/>
  <c r="I773" i="14" s="1"/>
  <c r="J300" i="16" s="1"/>
  <c r="J753" i="14"/>
  <c r="J758" i="14" s="1"/>
  <c r="K752" i="14"/>
  <c r="O654" i="4"/>
  <c r="O672" i="4"/>
  <c r="I720" i="14"/>
  <c r="I721" i="14" s="1"/>
  <c r="O809" i="14"/>
  <c r="O707" i="14"/>
  <c r="H739" i="14"/>
  <c r="I738" i="14"/>
  <c r="O799" i="4"/>
  <c r="O653" i="4"/>
  <c r="F1090" i="14"/>
  <c r="H761" i="14"/>
  <c r="G1090" i="14" s="1"/>
  <c r="G1089" i="14"/>
  <c r="K691" i="14"/>
  <c r="D1091" i="14"/>
  <c r="H1142" i="14" s="1"/>
  <c r="D1085" i="14"/>
  <c r="D1142" i="14" s="1"/>
  <c r="G722" i="14"/>
  <c r="G723" i="14" s="1"/>
  <c r="G697" i="14"/>
  <c r="H696" i="14"/>
  <c r="E816" i="14"/>
  <c r="J694" i="14"/>
  <c r="J719" i="14"/>
  <c r="G590" i="16"/>
  <c r="G716" i="16"/>
  <c r="I766" i="4"/>
  <c r="I767" i="4"/>
  <c r="I845" i="4"/>
  <c r="I675" i="4"/>
  <c r="H73" i="48" s="1"/>
  <c r="G737" i="16"/>
  <c r="S261" i="2"/>
  <c r="S268" i="2" s="1"/>
  <c r="K729" i="14"/>
  <c r="K734" i="14" s="1"/>
  <c r="K590" i="14"/>
  <c r="M215" i="48"/>
  <c r="M67" i="48"/>
  <c r="E813" i="14"/>
  <c r="E810" i="14"/>
  <c r="M708" i="14"/>
  <c r="N727" i="14"/>
  <c r="N1082" i="14"/>
  <c r="O609" i="14"/>
  <c r="N100" i="48" s="1"/>
  <c r="I226" i="2" s="1"/>
  <c r="K226" i="2" s="1"/>
  <c r="F710" i="14"/>
  <c r="F714" i="14"/>
  <c r="F816" i="14" s="1"/>
  <c r="F823" i="14" s="1"/>
  <c r="E131" i="48" s="1"/>
  <c r="F718" i="16"/>
  <c r="F1084" i="14"/>
  <c r="J661" i="4"/>
  <c r="J812" i="14"/>
  <c r="J736" i="14"/>
  <c r="J737" i="14" s="1"/>
  <c r="B210" i="2"/>
  <c r="K218" i="2"/>
  <c r="E25" i="41" s="1"/>
  <c r="R268" i="2"/>
  <c r="F763" i="14"/>
  <c r="F764" i="14" s="1"/>
  <c r="G307" i="16" s="1"/>
  <c r="G762" i="14"/>
  <c r="H1083" i="14" l="1"/>
  <c r="K658" i="4"/>
  <c r="K659" i="4" s="1"/>
  <c r="K763" i="4" s="1"/>
  <c r="G1084" i="14"/>
  <c r="J665" i="4"/>
  <c r="J765" i="4" s="1"/>
  <c r="O24" i="29" s="1"/>
  <c r="J666" i="4"/>
  <c r="I75" i="48" s="1"/>
  <c r="J743" i="14"/>
  <c r="J744" i="14" s="1"/>
  <c r="J746" i="14" s="1"/>
  <c r="J747" i="14" s="1"/>
  <c r="K301" i="16" s="1"/>
  <c r="E1102" i="14"/>
  <c r="G316" i="16"/>
  <c r="F813" i="14"/>
  <c r="F822" i="14" s="1"/>
  <c r="E129" i="48" s="1"/>
  <c r="F810" i="14"/>
  <c r="O727" i="14"/>
  <c r="O708" i="14" s="1"/>
  <c r="O711" i="14" s="1"/>
  <c r="O712" i="14" s="1"/>
  <c r="N708" i="14"/>
  <c r="O671" i="4"/>
  <c r="J815" i="14"/>
  <c r="J760" i="14"/>
  <c r="H1095" i="14"/>
  <c r="L729" i="14"/>
  <c r="L734" i="14" s="1"/>
  <c r="L590" i="14"/>
  <c r="G763" i="14"/>
  <c r="G764" i="14" s="1"/>
  <c r="H307" i="16" s="1"/>
  <c r="H762" i="14"/>
  <c r="M728" i="14"/>
  <c r="M711" i="14"/>
  <c r="M712" i="14" s="1"/>
  <c r="M691" i="14" s="1"/>
  <c r="G739" i="16"/>
  <c r="E823" i="14"/>
  <c r="D131" i="48" s="1"/>
  <c r="K1141" i="14"/>
  <c r="L1141" i="14" s="1"/>
  <c r="K753" i="14"/>
  <c r="K758" i="14" s="1"/>
  <c r="I761" i="14"/>
  <c r="H1089" i="14"/>
  <c r="L752" i="14"/>
  <c r="B226" i="2"/>
  <c r="K1139" i="14"/>
  <c r="L1139" i="14" s="1"/>
  <c r="E821" i="14"/>
  <c r="E824" i="14"/>
  <c r="D121" i="48" s="1"/>
  <c r="G718" i="16"/>
  <c r="J695" i="14"/>
  <c r="G710" i="14"/>
  <c r="G714" i="14"/>
  <c r="I739" i="14"/>
  <c r="J738" i="14"/>
  <c r="I709" i="14"/>
  <c r="I713" i="14"/>
  <c r="L719" i="14"/>
  <c r="L694" i="14"/>
  <c r="J662" i="4"/>
  <c r="J764" i="4" s="1"/>
  <c r="E1091" i="14"/>
  <c r="E1085" i="14"/>
  <c r="K1140" i="14"/>
  <c r="L1140" i="14" s="1"/>
  <c r="E822" i="14"/>
  <c r="D129" i="48" s="1"/>
  <c r="K736" i="14"/>
  <c r="K737" i="14" s="1"/>
  <c r="K812" i="14"/>
  <c r="J701" i="14"/>
  <c r="J702" i="14" s="1"/>
  <c r="J704" i="14" s="1"/>
  <c r="J705" i="14" s="1"/>
  <c r="K302" i="16" s="1"/>
  <c r="H697" i="14"/>
  <c r="H722" i="14"/>
  <c r="H723" i="14" s="1"/>
  <c r="I696" i="14"/>
  <c r="K719" i="14"/>
  <c r="K694" i="14"/>
  <c r="K701" i="14" s="1"/>
  <c r="K702" i="14" s="1"/>
  <c r="K704" i="14" s="1"/>
  <c r="K705" i="14" s="1"/>
  <c r="L302" i="16" s="1"/>
  <c r="N67" i="48"/>
  <c r="I217" i="2" s="1"/>
  <c r="K217" i="2" s="1"/>
  <c r="B217" i="2" s="1"/>
  <c r="N215" i="48"/>
  <c r="O22" i="29"/>
  <c r="K743" i="14" l="1"/>
  <c r="K744" i="14" s="1"/>
  <c r="K746" i="14" s="1"/>
  <c r="K747" i="14" s="1"/>
  <c r="L301" i="16" s="1"/>
  <c r="K664" i="4"/>
  <c r="K666" i="4" s="1"/>
  <c r="J75" i="48" s="1"/>
  <c r="J720" i="14"/>
  <c r="J721" i="14" s="1"/>
  <c r="J709" i="14" s="1"/>
  <c r="L658" i="4"/>
  <c r="L659" i="4" s="1"/>
  <c r="L763" i="4" s="1"/>
  <c r="Q22" i="29" s="1"/>
  <c r="F1102" i="14"/>
  <c r="H316" i="16"/>
  <c r="H915" i="16"/>
  <c r="O25" i="29"/>
  <c r="L695" i="14"/>
  <c r="J739" i="14"/>
  <c r="K738" i="14"/>
  <c r="F1091" i="14"/>
  <c r="F1085" i="14"/>
  <c r="L753" i="14"/>
  <c r="L758" i="14" s="1"/>
  <c r="K815" i="14"/>
  <c r="K760" i="14"/>
  <c r="M694" i="14"/>
  <c r="M701" i="14" s="1"/>
  <c r="M702" i="14" s="1"/>
  <c r="M704" i="14" s="1"/>
  <c r="M705" i="14" s="1"/>
  <c r="N302" i="16" s="1"/>
  <c r="M719" i="14"/>
  <c r="J761" i="14"/>
  <c r="N728" i="14"/>
  <c r="N711" i="14"/>
  <c r="N712" i="14" s="1"/>
  <c r="F923" i="14"/>
  <c r="F973" i="14"/>
  <c r="F924" i="14"/>
  <c r="F974" i="14"/>
  <c r="O752" i="14"/>
  <c r="I697" i="14"/>
  <c r="I722" i="14"/>
  <c r="I723" i="14" s="1"/>
  <c r="J696" i="14"/>
  <c r="P22" i="29"/>
  <c r="G813" i="14"/>
  <c r="G822" i="14" s="1"/>
  <c r="F129" i="48" s="1"/>
  <c r="G810" i="14"/>
  <c r="M729" i="14"/>
  <c r="M734" i="14" s="1"/>
  <c r="M590" i="14"/>
  <c r="H763" i="14"/>
  <c r="H764" i="14" s="1"/>
  <c r="I307" i="16" s="1"/>
  <c r="I762" i="14"/>
  <c r="L812" i="14"/>
  <c r="L736" i="14"/>
  <c r="L737" i="14" s="1"/>
  <c r="J768" i="14"/>
  <c r="J769" i="14" s="1"/>
  <c r="J771" i="14" s="1"/>
  <c r="J772" i="14" s="1"/>
  <c r="J773" i="14" s="1"/>
  <c r="K300" i="16" s="1"/>
  <c r="O728" i="14"/>
  <c r="O691" i="14"/>
  <c r="H710" i="14"/>
  <c r="H714" i="14"/>
  <c r="H816" i="14" s="1"/>
  <c r="H823" i="14" s="1"/>
  <c r="G131" i="48" s="1"/>
  <c r="J766" i="4"/>
  <c r="H716" i="16"/>
  <c r="H590" i="16"/>
  <c r="J767" i="4"/>
  <c r="I715" i="14"/>
  <c r="H1084" i="14"/>
  <c r="G174" i="2"/>
  <c r="D118" i="33"/>
  <c r="H229" i="2"/>
  <c r="J229" i="2" s="1"/>
  <c r="J233" i="2" s="1"/>
  <c r="F24" i="41" s="1"/>
  <c r="E179" i="41" s="1"/>
  <c r="F821" i="14"/>
  <c r="F824" i="14"/>
  <c r="E121" i="48" s="1"/>
  <c r="K695" i="14"/>
  <c r="K720" i="14" s="1"/>
  <c r="K721" i="14" s="1"/>
  <c r="K661" i="4"/>
  <c r="L701" i="14"/>
  <c r="L702" i="14" s="1"/>
  <c r="L704" i="14" s="1"/>
  <c r="L705" i="14" s="1"/>
  <c r="M302" i="16" s="1"/>
  <c r="I1083" i="14"/>
  <c r="D127" i="48"/>
  <c r="D231" i="48"/>
  <c r="G182" i="2" s="1"/>
  <c r="H1090" i="14"/>
  <c r="M752" i="14"/>
  <c r="G816" i="14"/>
  <c r="G823" i="14" s="1"/>
  <c r="F131" i="48" s="1"/>
  <c r="J1083" i="14" l="1"/>
  <c r="K665" i="4"/>
  <c r="K765" i="4" s="1"/>
  <c r="P24" i="29" s="1"/>
  <c r="P25" i="29" s="1"/>
  <c r="L743" i="14"/>
  <c r="L744" i="14" s="1"/>
  <c r="L746" i="14" s="1"/>
  <c r="L747" i="14" s="1"/>
  <c r="M301" i="16" s="1"/>
  <c r="J713" i="14"/>
  <c r="J715" i="14" s="1"/>
  <c r="M658" i="4"/>
  <c r="M659" i="4" s="1"/>
  <c r="M763" i="4" s="1"/>
  <c r="R22" i="29" s="1"/>
  <c r="G1102" i="14"/>
  <c r="I316" i="16"/>
  <c r="E127" i="48"/>
  <c r="E231" i="48"/>
  <c r="H718" i="16"/>
  <c r="O694" i="14"/>
  <c r="O701" i="14" s="1"/>
  <c r="O702" i="14" s="1"/>
  <c r="O704" i="14" s="1"/>
  <c r="O705" i="14" s="1"/>
  <c r="P302" i="16" s="1"/>
  <c r="O719" i="14"/>
  <c r="F976" i="14"/>
  <c r="E76" i="21" s="1"/>
  <c r="K43" i="29"/>
  <c r="N752" i="14"/>
  <c r="N729" i="14"/>
  <c r="N734" i="14" s="1"/>
  <c r="N590" i="14"/>
  <c r="K709" i="14"/>
  <c r="K713" i="14"/>
  <c r="G1091" i="14"/>
  <c r="G1085" i="14"/>
  <c r="I710" i="14"/>
  <c r="I714" i="14"/>
  <c r="I816" i="14" s="1"/>
  <c r="I823" i="14" s="1"/>
  <c r="H131" i="48" s="1"/>
  <c r="F975" i="14"/>
  <c r="E73" i="21" s="1"/>
  <c r="D720" i="16"/>
  <c r="D594" i="16"/>
  <c r="K761" i="14"/>
  <c r="M753" i="14"/>
  <c r="M758" i="14" s="1"/>
  <c r="K662" i="4"/>
  <c r="K764" i="4" s="1"/>
  <c r="H813" i="14"/>
  <c r="H822" i="14" s="1"/>
  <c r="G129" i="48" s="1"/>
  <c r="H810" i="14"/>
  <c r="G821" i="14"/>
  <c r="G824" i="14"/>
  <c r="F121" i="48" s="1"/>
  <c r="I915" i="16"/>
  <c r="K768" i="14"/>
  <c r="K769" i="14" s="1"/>
  <c r="K771" i="14" s="1"/>
  <c r="K772" i="14" s="1"/>
  <c r="K773" i="14" s="1"/>
  <c r="L300" i="16" s="1"/>
  <c r="H737" i="16"/>
  <c r="J845" i="4"/>
  <c r="J675" i="4"/>
  <c r="I73" i="48" s="1"/>
  <c r="T261" i="2"/>
  <c r="I1095" i="14"/>
  <c r="M812" i="14"/>
  <c r="M736" i="14"/>
  <c r="M737" i="14" s="1"/>
  <c r="K739" i="14"/>
  <c r="L738" i="14"/>
  <c r="G923" i="14"/>
  <c r="G924" i="14"/>
  <c r="G973" i="14"/>
  <c r="G974" i="14"/>
  <c r="J915" i="16"/>
  <c r="O729" i="14"/>
  <c r="O734" i="14" s="1"/>
  <c r="O590" i="14"/>
  <c r="I763" i="14"/>
  <c r="I764" i="14" s="1"/>
  <c r="J307" i="16" s="1"/>
  <c r="J762" i="14"/>
  <c r="J722" i="14"/>
  <c r="J723" i="14" s="1"/>
  <c r="K696" i="14"/>
  <c r="J697" i="14"/>
  <c r="O753" i="14"/>
  <c r="O758" i="14" s="1"/>
  <c r="E235" i="48"/>
  <c r="E136" i="48"/>
  <c r="N691" i="14"/>
  <c r="I1089" i="14"/>
  <c r="M695" i="14"/>
  <c r="M720" i="14" s="1"/>
  <c r="M721" i="14" s="1"/>
  <c r="L815" i="14"/>
  <c r="L760" i="14"/>
  <c r="L720" i="14"/>
  <c r="L721" i="14" s="1"/>
  <c r="L664" i="4" l="1"/>
  <c r="L666" i="4" s="1"/>
  <c r="K75" i="48" s="1"/>
  <c r="K1083" i="14"/>
  <c r="I1084" i="14"/>
  <c r="I1090" i="14"/>
  <c r="M743" i="14"/>
  <c r="M744" i="14" s="1"/>
  <c r="M746" i="14" s="1"/>
  <c r="M747" i="14" s="1"/>
  <c r="N301" i="16" s="1"/>
  <c r="L661" i="4"/>
  <c r="L662" i="4" s="1"/>
  <c r="L764" i="4" s="1"/>
  <c r="J1090" i="14"/>
  <c r="H1102" i="14"/>
  <c r="J316" i="16"/>
  <c r="L761" i="14"/>
  <c r="O815" i="14"/>
  <c r="O760" i="14"/>
  <c r="O768" i="14" s="1"/>
  <c r="O769" i="14" s="1"/>
  <c r="O771" i="14" s="1"/>
  <c r="O772" i="14" s="1"/>
  <c r="O773" i="14" s="1"/>
  <c r="P300" i="16" s="1"/>
  <c r="O812" i="14"/>
  <c r="O736" i="14"/>
  <c r="O737" i="14" s="1"/>
  <c r="F235" i="48"/>
  <c r="F136" i="48"/>
  <c r="J1095" i="14"/>
  <c r="H824" i="14"/>
  <c r="G121" i="48" s="1"/>
  <c r="H821" i="14"/>
  <c r="D602" i="16"/>
  <c r="Q595" i="16" s="1"/>
  <c r="D21" i="32" s="1"/>
  <c r="I813" i="14"/>
  <c r="I822" i="14" s="1"/>
  <c r="H129" i="48" s="1"/>
  <c r="I810" i="14"/>
  <c r="K715" i="14"/>
  <c r="J1084" i="14"/>
  <c r="N753" i="14"/>
  <c r="N758" i="14" s="1"/>
  <c r="D917" i="16"/>
  <c r="L709" i="14"/>
  <c r="L713" i="14"/>
  <c r="N719" i="14"/>
  <c r="N694" i="14"/>
  <c r="N701" i="14" s="1"/>
  <c r="N702" i="14" s="1"/>
  <c r="N704" i="14" s="1"/>
  <c r="N705" i="14" s="1"/>
  <c r="O302" i="16" s="1"/>
  <c r="E302" i="16" s="1"/>
  <c r="J710" i="14"/>
  <c r="J714" i="14"/>
  <c r="I716" i="16"/>
  <c r="K766" i="4"/>
  <c r="I590" i="16"/>
  <c r="K767" i="4"/>
  <c r="J1089" i="14"/>
  <c r="D722" i="16"/>
  <c r="D728" i="16"/>
  <c r="D730" i="16" s="1"/>
  <c r="G976" i="14"/>
  <c r="F76" i="21" s="1"/>
  <c r="E917" i="16" s="1"/>
  <c r="L43" i="29"/>
  <c r="L739" i="14"/>
  <c r="M738" i="14"/>
  <c r="H739" i="16"/>
  <c r="M815" i="14"/>
  <c r="M760" i="14"/>
  <c r="D916" i="16"/>
  <c r="K915" i="16"/>
  <c r="H923" i="14"/>
  <c r="H973" i="14"/>
  <c r="H924" i="14"/>
  <c r="H974" i="14"/>
  <c r="L768" i="14"/>
  <c r="L769" i="14" s="1"/>
  <c r="L771" i="14" s="1"/>
  <c r="L772" i="14" s="1"/>
  <c r="L773" i="14" s="1"/>
  <c r="M300" i="16" s="1"/>
  <c r="M709" i="14"/>
  <c r="M713" i="14"/>
  <c r="M715" i="14" s="1"/>
  <c r="K697" i="14"/>
  <c r="K722" i="14"/>
  <c r="K723" i="14" s="1"/>
  <c r="L696" i="14"/>
  <c r="J763" i="14"/>
  <c r="J764" i="14" s="1"/>
  <c r="K307" i="16" s="1"/>
  <c r="K762" i="14"/>
  <c r="G975" i="14"/>
  <c r="F73" i="21" s="1"/>
  <c r="E916" i="16" s="1"/>
  <c r="E594" i="16"/>
  <c r="E720" i="16"/>
  <c r="T268" i="2"/>
  <c r="K845" i="4"/>
  <c r="I737" i="16"/>
  <c r="K675" i="4"/>
  <c r="J73" i="48" s="1"/>
  <c r="U261" i="2"/>
  <c r="U268" i="2" s="1"/>
  <c r="F231" i="48"/>
  <c r="F127" i="48"/>
  <c r="H1091" i="14"/>
  <c r="H1085" i="14"/>
  <c r="N812" i="14"/>
  <c r="N736" i="14"/>
  <c r="N737" i="14" s="1"/>
  <c r="K44" i="29"/>
  <c r="O695" i="14"/>
  <c r="O720" i="14" s="1"/>
  <c r="O721" i="14" s="1"/>
  <c r="N658" i="4"/>
  <c r="L665" i="4" l="1"/>
  <c r="L765" i="4" s="1"/>
  <c r="Q24" i="29" s="1"/>
  <c r="Q25" i="29" s="1"/>
  <c r="J737" i="16" s="1"/>
  <c r="J739" i="16" s="1"/>
  <c r="L1083" i="14"/>
  <c r="K1090" i="14"/>
  <c r="N743" i="14"/>
  <c r="N744" i="14" s="1"/>
  <c r="N746" i="14" s="1"/>
  <c r="N747" i="14" s="1"/>
  <c r="O301" i="16" s="1"/>
  <c r="I1102" i="14"/>
  <c r="K316" i="16"/>
  <c r="N659" i="4"/>
  <c r="N763" i="4" s="1"/>
  <c r="S22" i="29" s="1"/>
  <c r="E1105" i="14"/>
  <c r="P263" i="2"/>
  <c r="F927" i="14"/>
  <c r="E142" i="48" s="1"/>
  <c r="D741" i="16"/>
  <c r="K275" i="29"/>
  <c r="K763" i="14"/>
  <c r="K764" i="14" s="1"/>
  <c r="L307" i="16" s="1"/>
  <c r="L762" i="14"/>
  <c r="K710" i="14"/>
  <c r="K714" i="14"/>
  <c r="K816" i="14" s="1"/>
  <c r="K823" i="14" s="1"/>
  <c r="J131" i="48" s="1"/>
  <c r="F720" i="16"/>
  <c r="H975" i="14"/>
  <c r="G73" i="21" s="1"/>
  <c r="F594" i="16"/>
  <c r="M761" i="14"/>
  <c r="I1091" i="14"/>
  <c r="I1085" i="14"/>
  <c r="G231" i="48"/>
  <c r="G127" i="48"/>
  <c r="D695" i="16"/>
  <c r="I739" i="16"/>
  <c r="E722" i="16"/>
  <c r="E728" i="16"/>
  <c r="E730" i="16" s="1"/>
  <c r="J816" i="14"/>
  <c r="J823" i="14" s="1"/>
  <c r="I131" i="48" s="1"/>
  <c r="K1095" i="14"/>
  <c r="M768" i="14"/>
  <c r="M769" i="14" s="1"/>
  <c r="M771" i="14" s="1"/>
  <c r="M772" i="14" s="1"/>
  <c r="M773" i="14" s="1"/>
  <c r="N300" i="16" s="1"/>
  <c r="M739" i="14"/>
  <c r="N738" i="14"/>
  <c r="L44" i="29"/>
  <c r="E695" i="16" s="1"/>
  <c r="J813" i="14"/>
  <c r="J822" i="14" s="1"/>
  <c r="I129" i="48" s="1"/>
  <c r="J810" i="14"/>
  <c r="L715" i="14"/>
  <c r="K1084" i="14"/>
  <c r="I824" i="14"/>
  <c r="H121" i="48" s="1"/>
  <c r="I821" i="14"/>
  <c r="K1089" i="14"/>
  <c r="I923" i="14"/>
  <c r="I973" i="14"/>
  <c r="I924" i="14"/>
  <c r="I974" i="14"/>
  <c r="E602" i="16"/>
  <c r="R595" i="16" s="1"/>
  <c r="E21" i="32" s="1"/>
  <c r="H976" i="14"/>
  <c r="G76" i="21" s="1"/>
  <c r="F917" i="16" s="1"/>
  <c r="M43" i="29"/>
  <c r="I718" i="16"/>
  <c r="N760" i="14"/>
  <c r="N768" i="14" s="1"/>
  <c r="N769" i="14" s="1"/>
  <c r="N771" i="14" s="1"/>
  <c r="N772" i="14" s="1"/>
  <c r="N773" i="14" s="1"/>
  <c r="O300" i="16" s="1"/>
  <c r="N815" i="14"/>
  <c r="L766" i="4"/>
  <c r="J716" i="16"/>
  <c r="J590" i="16"/>
  <c r="O713" i="14"/>
  <c r="O715" i="14" s="1"/>
  <c r="O709" i="14"/>
  <c r="D699" i="16"/>
  <c r="D701" i="16" s="1"/>
  <c r="L722" i="14"/>
  <c r="L723" i="14" s="1"/>
  <c r="L697" i="14"/>
  <c r="M696" i="14"/>
  <c r="G136" i="48"/>
  <c r="G235" i="48"/>
  <c r="L1084" i="14"/>
  <c r="N695" i="14"/>
  <c r="N720" i="14" s="1"/>
  <c r="N721" i="14" s="1"/>
  <c r="M661" i="4"/>
  <c r="O743" i="14"/>
  <c r="O761" i="14"/>
  <c r="N1089" i="14"/>
  <c r="L767" i="4" l="1"/>
  <c r="V261" i="2"/>
  <c r="V268" i="2" s="1"/>
  <c r="M664" i="4"/>
  <c r="M665" i="4" s="1"/>
  <c r="M765" i="4" s="1"/>
  <c r="R24" i="29" s="1"/>
  <c r="R25" i="29" s="1"/>
  <c r="M845" i="4" s="1"/>
  <c r="L845" i="4"/>
  <c r="L675" i="4"/>
  <c r="K73" i="48" s="1"/>
  <c r="M1083" i="14"/>
  <c r="N1090" i="14"/>
  <c r="L1090" i="14"/>
  <c r="O658" i="4"/>
  <c r="O659" i="4" s="1"/>
  <c r="O763" i="4" s="1"/>
  <c r="T22" i="29" s="1"/>
  <c r="M915" i="16" s="1"/>
  <c r="M722" i="14"/>
  <c r="M723" i="14" s="1"/>
  <c r="N696" i="14"/>
  <c r="M697" i="14"/>
  <c r="M1095" i="14"/>
  <c r="I976" i="14"/>
  <c r="H76" i="21" s="1"/>
  <c r="N43" i="29"/>
  <c r="M662" i="4"/>
  <c r="M764" i="4" s="1"/>
  <c r="L710" i="14"/>
  <c r="L714" i="14"/>
  <c r="L816" i="14" s="1"/>
  <c r="L823" i="14" s="1"/>
  <c r="K131" i="48" s="1"/>
  <c r="G720" i="16"/>
  <c r="G594" i="16"/>
  <c r="I975" i="14"/>
  <c r="H73" i="21" s="1"/>
  <c r="G916" i="16" s="1"/>
  <c r="F1105" i="14"/>
  <c r="G927" i="14"/>
  <c r="F142" i="48" s="1"/>
  <c r="Q263" i="2"/>
  <c r="Q270" i="2" s="1"/>
  <c r="L275" i="29"/>
  <c r="E741" i="16"/>
  <c r="J1102" i="14"/>
  <c r="L316" i="16"/>
  <c r="F722" i="16"/>
  <c r="F728" i="16"/>
  <c r="F730" i="16" s="1"/>
  <c r="M762" i="14"/>
  <c r="L763" i="14"/>
  <c r="L764" i="14" s="1"/>
  <c r="M307" i="16" s="1"/>
  <c r="K323" i="29"/>
  <c r="J903" i="16"/>
  <c r="K322" i="29"/>
  <c r="K329" i="29"/>
  <c r="J901" i="16"/>
  <c r="K277" i="29"/>
  <c r="K296" i="29"/>
  <c r="K298" i="29" s="1"/>
  <c r="L272" i="29" s="1"/>
  <c r="D781" i="16"/>
  <c r="K328" i="29"/>
  <c r="K330" i="29"/>
  <c r="O738" i="14"/>
  <c r="N739" i="14"/>
  <c r="L1095" i="14"/>
  <c r="D707" i="16"/>
  <c r="D709" i="16" s="1"/>
  <c r="D697" i="16"/>
  <c r="J1091" i="14"/>
  <c r="J1085" i="14"/>
  <c r="D743" i="16"/>
  <c r="D749" i="16"/>
  <c r="D751" i="16" s="1"/>
  <c r="J924" i="14"/>
  <c r="J974" i="14"/>
  <c r="J923" i="14"/>
  <c r="J973" i="14"/>
  <c r="E300" i="16"/>
  <c r="M44" i="29"/>
  <c r="F695" i="16" s="1"/>
  <c r="E697" i="16"/>
  <c r="F602" i="16"/>
  <c r="S595" i="16" s="1"/>
  <c r="F21" i="32" s="1"/>
  <c r="K813" i="14"/>
  <c r="K822" i="14" s="1"/>
  <c r="J129" i="48" s="1"/>
  <c r="K810" i="14"/>
  <c r="O744" i="14"/>
  <c r="N1083" i="14"/>
  <c r="N709" i="14"/>
  <c r="N713" i="14"/>
  <c r="J718" i="16"/>
  <c r="N761" i="14"/>
  <c r="M1089" i="14"/>
  <c r="H136" i="48"/>
  <c r="H235" i="48"/>
  <c r="H231" i="48"/>
  <c r="H127" i="48"/>
  <c r="J821" i="14"/>
  <c r="J824" i="14"/>
  <c r="I121" i="48" s="1"/>
  <c r="E699" i="16"/>
  <c r="E701" i="16" s="1"/>
  <c r="L1089" i="14"/>
  <c r="F916" i="16"/>
  <c r="P270" i="2"/>
  <c r="L915" i="16"/>
  <c r="M675" i="4" l="1"/>
  <c r="L73" i="48" s="1"/>
  <c r="N664" i="4"/>
  <c r="N665" i="4" s="1"/>
  <c r="N765" i="4" s="1"/>
  <c r="S24" i="29" s="1"/>
  <c r="S25" i="29" s="1"/>
  <c r="N675" i="4" s="1"/>
  <c r="M73" i="48" s="1"/>
  <c r="M666" i="4"/>
  <c r="L75" i="48" s="1"/>
  <c r="W261" i="2"/>
  <c r="W268" i="2" s="1"/>
  <c r="K737" i="16"/>
  <c r="K739" i="16" s="1"/>
  <c r="K327" i="29"/>
  <c r="M1090" i="14"/>
  <c r="N661" i="4"/>
  <c r="N662" i="4" s="1"/>
  <c r="N764" i="4" s="1"/>
  <c r="Q915" i="16"/>
  <c r="M24" i="41" s="1"/>
  <c r="F699" i="16"/>
  <c r="F701" i="16" s="1"/>
  <c r="F741" i="16"/>
  <c r="H927" i="14"/>
  <c r="G142" i="48" s="1"/>
  <c r="R263" i="2"/>
  <c r="M275" i="29"/>
  <c r="G1105" i="14"/>
  <c r="J975" i="14"/>
  <c r="I73" i="21" s="1"/>
  <c r="H720" i="16"/>
  <c r="H594" i="16"/>
  <c r="L323" i="29"/>
  <c r="K903" i="16"/>
  <c r="L322" i="29"/>
  <c r="L296" i="29"/>
  <c r="L298" i="29" s="1"/>
  <c r="M272" i="29" s="1"/>
  <c r="L277" i="29"/>
  <c r="E781" i="16"/>
  <c r="E790" i="16" s="1"/>
  <c r="Y74" i="21" s="1"/>
  <c r="L329" i="29"/>
  <c r="K901" i="16"/>
  <c r="L328" i="29"/>
  <c r="L330" i="29"/>
  <c r="K590" i="16"/>
  <c r="K716" i="16"/>
  <c r="M766" i="4"/>
  <c r="M767" i="4"/>
  <c r="I231" i="48"/>
  <c r="I127" i="48"/>
  <c r="F697" i="16"/>
  <c r="I235" i="48"/>
  <c r="I136" i="48"/>
  <c r="D785" i="16"/>
  <c r="D786" i="16" s="1"/>
  <c r="E98" i="21" s="1"/>
  <c r="D790" i="16"/>
  <c r="E743" i="16"/>
  <c r="E749" i="16"/>
  <c r="E751" i="16" s="1"/>
  <c r="G722" i="16"/>
  <c r="G728" i="16"/>
  <c r="G730" i="16" s="1"/>
  <c r="M710" i="14"/>
  <c r="M714" i="14"/>
  <c r="M816" i="14" s="1"/>
  <c r="M823" i="14" s="1"/>
  <c r="L131" i="48" s="1"/>
  <c r="K1102" i="14"/>
  <c r="M316" i="16"/>
  <c r="O746" i="14"/>
  <c r="O747" i="14" s="1"/>
  <c r="P301" i="16" s="1"/>
  <c r="N1084" i="14"/>
  <c r="N715" i="14"/>
  <c r="M1084" i="14"/>
  <c r="K821" i="14"/>
  <c r="K824" i="14"/>
  <c r="J121" i="48" s="1"/>
  <c r="E707" i="16"/>
  <c r="E709" i="16" s="1"/>
  <c r="K923" i="14"/>
  <c r="K924" i="14"/>
  <c r="K973" i="14"/>
  <c r="K974" i="14"/>
  <c r="K1091" i="14"/>
  <c r="K1085" i="14"/>
  <c r="N44" i="29"/>
  <c r="G695" i="16" s="1"/>
  <c r="O43" i="29"/>
  <c r="J976" i="14"/>
  <c r="I76" i="21" s="1"/>
  <c r="H917" i="16" s="1"/>
  <c r="O739" i="14"/>
  <c r="N762" i="14"/>
  <c r="M763" i="14"/>
  <c r="M764" i="14" s="1"/>
  <c r="N307" i="16" s="1"/>
  <c r="G602" i="16"/>
  <c r="T595" i="16" s="1"/>
  <c r="G21" i="32" s="1"/>
  <c r="L813" i="14"/>
  <c r="L822" i="14" s="1"/>
  <c r="K129" i="48" s="1"/>
  <c r="L810" i="14"/>
  <c r="G917" i="16"/>
  <c r="N697" i="14"/>
  <c r="N722" i="14"/>
  <c r="N723" i="14" s="1"/>
  <c r="O696" i="14"/>
  <c r="N666" i="4" l="1"/>
  <c r="M75" i="48" s="1"/>
  <c r="O661" i="4"/>
  <c r="O662" i="4" s="1"/>
  <c r="O764" i="4" s="1"/>
  <c r="M590" i="16" s="1"/>
  <c r="N845" i="4"/>
  <c r="F707" i="16"/>
  <c r="F709" i="16" s="1"/>
  <c r="X261" i="2"/>
  <c r="X268" i="2" s="1"/>
  <c r="L327" i="29"/>
  <c r="L737" i="16"/>
  <c r="L739" i="16" s="1"/>
  <c r="O664" i="4"/>
  <c r="O722" i="14"/>
  <c r="O723" i="14" s="1"/>
  <c r="O697" i="14"/>
  <c r="N763" i="14"/>
  <c r="N764" i="14" s="1"/>
  <c r="O307" i="16" s="1"/>
  <c r="O762" i="14"/>
  <c r="L1102" i="14"/>
  <c r="N316" i="16"/>
  <c r="J136" i="48"/>
  <c r="J235" i="48"/>
  <c r="J231" i="48"/>
  <c r="J127" i="48"/>
  <c r="E301" i="16"/>
  <c r="N1095" i="14"/>
  <c r="M813" i="14"/>
  <c r="M822" i="14" s="1"/>
  <c r="L129" i="48" s="1"/>
  <c r="M810" i="14"/>
  <c r="E100" i="21"/>
  <c r="H602" i="16"/>
  <c r="U595" i="16" s="1"/>
  <c r="H21" i="32" s="1"/>
  <c r="M296" i="29"/>
  <c r="M298" i="29" s="1"/>
  <c r="N272" i="29" s="1"/>
  <c r="L901" i="16"/>
  <c r="M277" i="29"/>
  <c r="M322" i="29"/>
  <c r="M329" i="29"/>
  <c r="L903" i="16"/>
  <c r="M323" i="29"/>
  <c r="F781" i="16"/>
  <c r="F790" i="16" s="1"/>
  <c r="Z74" i="21" s="1"/>
  <c r="M328" i="29"/>
  <c r="F743" i="16"/>
  <c r="F749" i="16"/>
  <c r="F751" i="16" s="1"/>
  <c r="N710" i="14"/>
  <c r="N714" i="14"/>
  <c r="O44" i="29"/>
  <c r="H695" i="16" s="1"/>
  <c r="G697" i="16"/>
  <c r="L923" i="14"/>
  <c r="L973" i="14"/>
  <c r="L924" i="14"/>
  <c r="L974" i="14"/>
  <c r="H722" i="16"/>
  <c r="H728" i="16"/>
  <c r="H730" i="16" s="1"/>
  <c r="R270" i="2"/>
  <c r="L821" i="14"/>
  <c r="L824" i="14"/>
  <c r="K121" i="48" s="1"/>
  <c r="N275" i="29"/>
  <c r="I927" i="14"/>
  <c r="H142" i="48" s="1"/>
  <c r="S263" i="2"/>
  <c r="S270" i="2" s="1"/>
  <c r="G741" i="16"/>
  <c r="H1105" i="14"/>
  <c r="K976" i="14"/>
  <c r="J76" i="21" s="1"/>
  <c r="P43" i="29"/>
  <c r="L590" i="16"/>
  <c r="L716" i="16"/>
  <c r="N766" i="4"/>
  <c r="N767" i="4"/>
  <c r="K718" i="16"/>
  <c r="H916" i="16"/>
  <c r="M330" i="29"/>
  <c r="G699" i="16"/>
  <c r="G701" i="16" s="1"/>
  <c r="K975" i="14"/>
  <c r="J73" i="21" s="1"/>
  <c r="I916" i="16" s="1"/>
  <c r="I594" i="16"/>
  <c r="I720" i="16"/>
  <c r="L1091" i="14"/>
  <c r="L1085" i="14"/>
  <c r="D793" i="16"/>
  <c r="D872" i="16"/>
  <c r="D874" i="16" s="1"/>
  <c r="X74" i="21"/>
  <c r="X78" i="21" s="1"/>
  <c r="D796" i="16"/>
  <c r="E87" i="21" s="1"/>
  <c r="X61" i="21" s="1"/>
  <c r="D794" i="16"/>
  <c r="O766" i="4" l="1"/>
  <c r="M716" i="16"/>
  <c r="M718" i="16" s="1"/>
  <c r="G707" i="16"/>
  <c r="G709" i="16" s="1"/>
  <c r="O665" i="4"/>
  <c r="O765" i="4" s="1"/>
  <c r="O666" i="4"/>
  <c r="N75" i="48" s="1"/>
  <c r="M327" i="29"/>
  <c r="E780" i="16"/>
  <c r="E785" i="16" s="1"/>
  <c r="E786" i="16" s="1"/>
  <c r="F98" i="21" s="1"/>
  <c r="E789" i="16"/>
  <c r="I602" i="16"/>
  <c r="V595" i="16" s="1"/>
  <c r="I21" i="32" s="1"/>
  <c r="I917" i="16"/>
  <c r="K231" i="48"/>
  <c r="K127" i="48"/>
  <c r="K136" i="48"/>
  <c r="K235" i="48"/>
  <c r="L718" i="16"/>
  <c r="N296" i="29"/>
  <c r="N298" i="29" s="1"/>
  <c r="O272" i="29" s="1"/>
  <c r="N277" i="29"/>
  <c r="N329" i="29"/>
  <c r="M903" i="16"/>
  <c r="N323" i="29"/>
  <c r="M901" i="16"/>
  <c r="G781" i="16"/>
  <c r="G790" i="16" s="1"/>
  <c r="AA74" i="21" s="1"/>
  <c r="N322" i="29"/>
  <c r="N328" i="29"/>
  <c r="L975" i="14"/>
  <c r="K73" i="21" s="1"/>
  <c r="J916" i="16" s="1"/>
  <c r="J594" i="16"/>
  <c r="J720" i="16"/>
  <c r="H697" i="16"/>
  <c r="O763" i="14"/>
  <c r="O764" i="14" s="1"/>
  <c r="P307" i="16" s="1"/>
  <c r="M1102" i="14"/>
  <c r="O316" i="16"/>
  <c r="G743" i="16"/>
  <c r="G749" i="16"/>
  <c r="G751" i="16" s="1"/>
  <c r="N330" i="29"/>
  <c r="N590" i="16"/>
  <c r="E39" i="41" s="1"/>
  <c r="H741" i="16"/>
  <c r="J927" i="14"/>
  <c r="I142" i="48" s="1"/>
  <c r="I1105" i="14"/>
  <c r="T263" i="2"/>
  <c r="O275" i="29"/>
  <c r="M1091" i="14"/>
  <c r="M1085" i="14"/>
  <c r="M821" i="14"/>
  <c r="M824" i="14"/>
  <c r="L121" i="48" s="1"/>
  <c r="N816" i="14"/>
  <c r="N823" i="14" s="1"/>
  <c r="M131" i="48" s="1"/>
  <c r="O714" i="14"/>
  <c r="O816" i="14" s="1"/>
  <c r="O823" i="14" s="1"/>
  <c r="N131" i="48" s="1"/>
  <c r="O710" i="14"/>
  <c r="D879" i="16"/>
  <c r="D888" i="16"/>
  <c r="I722" i="16"/>
  <c r="I728" i="16"/>
  <c r="I730" i="16" s="1"/>
  <c r="P44" i="29"/>
  <c r="I695" i="16" s="1"/>
  <c r="L976" i="14"/>
  <c r="K76" i="21" s="1"/>
  <c r="J917" i="16" s="1"/>
  <c r="Q43" i="29"/>
  <c r="H699" i="16"/>
  <c r="H701" i="16" s="1"/>
  <c r="N813" i="14"/>
  <c r="N822" i="14" s="1"/>
  <c r="M129" i="48" s="1"/>
  <c r="N810" i="14"/>
  <c r="M923" i="14"/>
  <c r="M974" i="14"/>
  <c r="M924" i="14"/>
  <c r="M973" i="14"/>
  <c r="N327" i="29" l="1"/>
  <c r="H707" i="16"/>
  <c r="H709" i="16" s="1"/>
  <c r="T24" i="29"/>
  <c r="T25" i="29" s="1"/>
  <c r="O767" i="4"/>
  <c r="N1102" i="14"/>
  <c r="E307" i="16"/>
  <c r="E316" i="16" s="1"/>
  <c r="P316" i="16"/>
  <c r="Q44" i="29"/>
  <c r="J699" i="16" s="1"/>
  <c r="J701" i="16" s="1"/>
  <c r="I697" i="16"/>
  <c r="J722" i="16"/>
  <c r="J728" i="16"/>
  <c r="J730" i="16" s="1"/>
  <c r="M975" i="14"/>
  <c r="L73" i="21" s="1"/>
  <c r="K720" i="16"/>
  <c r="K594" i="16"/>
  <c r="N821" i="14"/>
  <c r="N824" i="14"/>
  <c r="M121" i="48" s="1"/>
  <c r="P275" i="29"/>
  <c r="P330" i="29" s="1"/>
  <c r="U263" i="2"/>
  <c r="U270" i="2" s="1"/>
  <c r="J1105" i="14"/>
  <c r="I741" i="16"/>
  <c r="K927" i="14"/>
  <c r="J142" i="48" s="1"/>
  <c r="O810" i="14"/>
  <c r="O813" i="14"/>
  <c r="O822" i="14" s="1"/>
  <c r="N129" i="48" s="1"/>
  <c r="N901" i="16"/>
  <c r="O277" i="29"/>
  <c r="O322" i="29"/>
  <c r="N903" i="16"/>
  <c r="O323" i="29"/>
  <c r="O296" i="29"/>
  <c r="O298" i="29" s="1"/>
  <c r="P272" i="29" s="1"/>
  <c r="H781" i="16"/>
  <c r="H790" i="16" s="1"/>
  <c r="AB74" i="21" s="1"/>
  <c r="O329" i="29"/>
  <c r="O328" i="29"/>
  <c r="O330" i="29"/>
  <c r="N923" i="14"/>
  <c r="N924" i="14"/>
  <c r="N974" i="14"/>
  <c r="N973" i="14"/>
  <c r="J602" i="16"/>
  <c r="W595" i="16" s="1"/>
  <c r="J21" i="32" s="1"/>
  <c r="E872" i="16"/>
  <c r="E874" i="16" s="1"/>
  <c r="E888" i="16" s="1"/>
  <c r="E796" i="16"/>
  <c r="F87" i="21" s="1"/>
  <c r="Y61" i="21" s="1"/>
  <c r="E793" i="16"/>
  <c r="Y73" i="21"/>
  <c r="Y78" i="21" s="1"/>
  <c r="E794" i="16"/>
  <c r="L235" i="48"/>
  <c r="L136" i="48"/>
  <c r="I699" i="16"/>
  <c r="I701" i="16" s="1"/>
  <c r="N1091" i="14"/>
  <c r="N1085" i="14"/>
  <c r="L127" i="48"/>
  <c r="L231" i="48"/>
  <c r="T270" i="2"/>
  <c r="H743" i="16"/>
  <c r="H749" i="16"/>
  <c r="H751" i="16" s="1"/>
  <c r="F100" i="21"/>
  <c r="M976" i="14"/>
  <c r="L76" i="21" s="1"/>
  <c r="K917" i="16" s="1"/>
  <c r="R43" i="29"/>
  <c r="D890" i="16"/>
  <c r="X116" i="21" s="1"/>
  <c r="X114" i="21"/>
  <c r="O327" i="29" l="1"/>
  <c r="J695" i="16"/>
  <c r="J697" i="16" s="1"/>
  <c r="Y261" i="2"/>
  <c r="O845" i="4"/>
  <c r="O675" i="4"/>
  <c r="N73" i="48" s="1"/>
  <c r="M737" i="16"/>
  <c r="M739" i="16" s="1"/>
  <c r="O821" i="14"/>
  <c r="O824" i="14"/>
  <c r="N121" i="48" s="1"/>
  <c r="I229" i="2" s="1"/>
  <c r="K229" i="2" s="1"/>
  <c r="M127" i="48"/>
  <c r="M231" i="48"/>
  <c r="R44" i="29"/>
  <c r="F780" i="16"/>
  <c r="F785" i="16" s="1"/>
  <c r="F786" i="16" s="1"/>
  <c r="G98" i="21" s="1"/>
  <c r="F789" i="16"/>
  <c r="Y114" i="21"/>
  <c r="E890" i="16"/>
  <c r="Y116" i="21" s="1"/>
  <c r="S43" i="29"/>
  <c r="N976" i="14"/>
  <c r="M76" i="21" s="1"/>
  <c r="L917" i="16" s="1"/>
  <c r="P296" i="29"/>
  <c r="P327" i="29" s="1"/>
  <c r="O903" i="16"/>
  <c r="O901" i="16"/>
  <c r="P322" i="29"/>
  <c r="P323" i="29"/>
  <c r="P329" i="29"/>
  <c r="P277" i="29"/>
  <c r="I781" i="16"/>
  <c r="I790" i="16" s="1"/>
  <c r="AC74" i="21" s="1"/>
  <c r="P328" i="29"/>
  <c r="K602" i="16"/>
  <c r="X595" i="16" s="1"/>
  <c r="K21" i="32" s="1"/>
  <c r="O923" i="14"/>
  <c r="O973" i="14"/>
  <c r="O924" i="14"/>
  <c r="O974" i="14"/>
  <c r="N975" i="14"/>
  <c r="M73" i="21" s="1"/>
  <c r="L916" i="16" s="1"/>
  <c r="L720" i="16"/>
  <c r="L594" i="16"/>
  <c r="M136" i="48"/>
  <c r="M235" i="48"/>
  <c r="I743" i="16"/>
  <c r="I749" i="16"/>
  <c r="I751" i="16" s="1"/>
  <c r="K722" i="16"/>
  <c r="K728" i="16"/>
  <c r="K730" i="16" s="1"/>
  <c r="K916" i="16"/>
  <c r="I707" i="16"/>
  <c r="I709" i="16" s="1"/>
  <c r="Q275" i="29"/>
  <c r="Q330" i="29" s="1"/>
  <c r="K1105" i="14"/>
  <c r="L927" i="14"/>
  <c r="K142" i="48" s="1"/>
  <c r="J741" i="16"/>
  <c r="V263" i="2"/>
  <c r="J707" i="16" l="1"/>
  <c r="J709" i="16" s="1"/>
  <c r="P298" i="29"/>
  <c r="Q272" i="29" s="1"/>
  <c r="Y268" i="2"/>
  <c r="Z268" i="2" s="1"/>
  <c r="Y277" i="2" s="1"/>
  <c r="Z261" i="2"/>
  <c r="AA268" i="2"/>
  <c r="Q329" i="29"/>
  <c r="P903" i="16"/>
  <c r="Q322" i="29"/>
  <c r="P901" i="16"/>
  <c r="Q323" i="29"/>
  <c r="Q296" i="29"/>
  <c r="Q327" i="29" s="1"/>
  <c r="J781" i="16"/>
  <c r="J790" i="16" s="1"/>
  <c r="AD74" i="21" s="1"/>
  <c r="Q277" i="29"/>
  <c r="Q328" i="29"/>
  <c r="L722" i="16"/>
  <c r="L728" i="16"/>
  <c r="L730" i="16" s="1"/>
  <c r="M594" i="16"/>
  <c r="O975" i="14"/>
  <c r="N73" i="21" s="1"/>
  <c r="M720" i="16"/>
  <c r="F796" i="16"/>
  <c r="G87" i="21" s="1"/>
  <c r="Z61" i="21" s="1"/>
  <c r="F872" i="16"/>
  <c r="F874" i="16" s="1"/>
  <c r="F888" i="16" s="1"/>
  <c r="F793" i="16"/>
  <c r="Z73" i="21"/>
  <c r="Z78" i="21" s="1"/>
  <c r="F794" i="16"/>
  <c r="M927" i="14"/>
  <c r="L142" i="48" s="1"/>
  <c r="W263" i="2"/>
  <c r="L1105" i="14"/>
  <c r="K741" i="16"/>
  <c r="R275" i="29"/>
  <c r="J743" i="16"/>
  <c r="J749" i="16"/>
  <c r="J751" i="16" s="1"/>
  <c r="S44" i="29"/>
  <c r="L695" i="16" s="1"/>
  <c r="G100" i="21"/>
  <c r="K699" i="16"/>
  <c r="K701" i="16" s="1"/>
  <c r="B229" i="2"/>
  <c r="O976" i="14"/>
  <c r="N76" i="21" s="1"/>
  <c r="T43" i="29"/>
  <c r="N127" i="48"/>
  <c r="N231" i="48"/>
  <c r="V270" i="2"/>
  <c r="L602" i="16"/>
  <c r="Y595" i="16" s="1"/>
  <c r="L21" i="32" s="1"/>
  <c r="N235" i="48"/>
  <c r="N136" i="48"/>
  <c r="I232" i="2" s="1"/>
  <c r="K232" i="2" s="1"/>
  <c r="B232" i="2" s="1"/>
  <c r="K695" i="16"/>
  <c r="K233" i="2" l="1"/>
  <c r="F25" i="41" s="1"/>
  <c r="Q298" i="29"/>
  <c r="R272" i="29" s="1"/>
  <c r="L697" i="16"/>
  <c r="K697" i="16"/>
  <c r="K707" i="16"/>
  <c r="K709" i="16" s="1"/>
  <c r="G780" i="16"/>
  <c r="G785" i="16" s="1"/>
  <c r="G786" i="16" s="1"/>
  <c r="H98" i="21" s="1"/>
  <c r="G789" i="16"/>
  <c r="W270" i="2"/>
  <c r="M722" i="16"/>
  <c r="M728" i="16"/>
  <c r="M730" i="16" s="1"/>
  <c r="T44" i="29"/>
  <c r="M695" i="16" s="1"/>
  <c r="M1105" i="14"/>
  <c r="N927" i="14"/>
  <c r="M142" i="48" s="1"/>
  <c r="L741" i="16"/>
  <c r="S275" i="29"/>
  <c r="S330" i="29" s="1"/>
  <c r="X263" i="2"/>
  <c r="Q901" i="16"/>
  <c r="R329" i="29"/>
  <c r="R322" i="29"/>
  <c r="Q903" i="16"/>
  <c r="R323" i="29"/>
  <c r="R277" i="29"/>
  <c r="R296" i="29"/>
  <c r="K781" i="16"/>
  <c r="K790" i="16" s="1"/>
  <c r="AE74" i="21" s="1"/>
  <c r="R328" i="29"/>
  <c r="M916" i="16"/>
  <c r="Q916" i="16" s="1"/>
  <c r="M25" i="41" s="1"/>
  <c r="O73" i="21"/>
  <c r="M917" i="16"/>
  <c r="Q917" i="16" s="1"/>
  <c r="M26" i="41" s="1"/>
  <c r="O76" i="21"/>
  <c r="L699" i="16"/>
  <c r="L701" i="16" s="1"/>
  <c r="K743" i="16"/>
  <c r="K749" i="16"/>
  <c r="K751" i="16" s="1"/>
  <c r="R330" i="29"/>
  <c r="Z114" i="21"/>
  <c r="F890" i="16"/>
  <c r="Z116" i="21" s="1"/>
  <c r="N594" i="16"/>
  <c r="F39" i="41" s="1"/>
  <c r="M602" i="16"/>
  <c r="N602" i="16" s="1"/>
  <c r="Z595" i="16" l="1"/>
  <c r="M21" i="32" s="1"/>
  <c r="N21" i="32" s="1"/>
  <c r="R298" i="29"/>
  <c r="S272" i="29" s="1"/>
  <c r="R327" i="29"/>
  <c r="M697" i="16"/>
  <c r="X270" i="2"/>
  <c r="P35" i="49"/>
  <c r="C35" i="49"/>
  <c r="R903" i="16"/>
  <c r="S296" i="29"/>
  <c r="L781" i="16"/>
  <c r="L790" i="16" s="1"/>
  <c r="AF74" i="21" s="1"/>
  <c r="S323" i="29"/>
  <c r="R901" i="16"/>
  <c r="S322" i="29"/>
  <c r="S329" i="29"/>
  <c r="S277" i="29"/>
  <c r="S328" i="29"/>
  <c r="L743" i="16"/>
  <c r="L749" i="16"/>
  <c r="L751" i="16" s="1"/>
  <c r="M741" i="16"/>
  <c r="Y263" i="2"/>
  <c r="T275" i="29"/>
  <c r="N1105" i="14"/>
  <c r="O927" i="14"/>
  <c r="N142" i="48" s="1"/>
  <c r="G793" i="16"/>
  <c r="AA73" i="21"/>
  <c r="AA78" i="21" s="1"/>
  <c r="G796" i="16"/>
  <c r="H87" i="21" s="1"/>
  <c r="AA61" i="21" s="1"/>
  <c r="G872" i="16"/>
  <c r="G874" i="16" s="1"/>
  <c r="G888" i="16" s="1"/>
  <c r="G794" i="16"/>
  <c r="M699" i="16"/>
  <c r="M701" i="16" s="1"/>
  <c r="H100" i="21"/>
  <c r="L707" i="16"/>
  <c r="L709" i="16" s="1"/>
  <c r="S298" i="29" l="1"/>
  <c r="T272" i="29" s="1"/>
  <c r="S327" i="29"/>
  <c r="M743" i="16"/>
  <c r="M749" i="16"/>
  <c r="M751" i="16" s="1"/>
  <c r="T296" i="29"/>
  <c r="T329" i="29"/>
  <c r="T322" i="29"/>
  <c r="S903" i="16"/>
  <c r="S901" i="16"/>
  <c r="T277" i="29"/>
  <c r="T323" i="29"/>
  <c r="M781" i="16"/>
  <c r="M790" i="16" s="1"/>
  <c r="AG74" i="21" s="1"/>
  <c r="T328" i="29"/>
  <c r="M707" i="16"/>
  <c r="M709" i="16" s="1"/>
  <c r="H780" i="16"/>
  <c r="H785" i="16" s="1"/>
  <c r="H786" i="16" s="1"/>
  <c r="I98" i="21" s="1"/>
  <c r="H789" i="16"/>
  <c r="T330" i="29"/>
  <c r="AA114" i="21"/>
  <c r="G890" i="16"/>
  <c r="AA116" i="21" s="1"/>
  <c r="Y270" i="2"/>
  <c r="Z270" i="2" s="1"/>
  <c r="Y278" i="2" s="1"/>
  <c r="AA269" i="2"/>
  <c r="Z263" i="2"/>
  <c r="T298" i="29" l="1"/>
  <c r="I100" i="21"/>
  <c r="T327" i="29"/>
  <c r="AB73" i="21"/>
  <c r="AB78" i="21" s="1"/>
  <c r="H796" i="16"/>
  <c r="I87" i="21" s="1"/>
  <c r="AB61" i="21" s="1"/>
  <c r="H793" i="16"/>
  <c r="H872" i="16"/>
  <c r="H874" i="16" s="1"/>
  <c r="H888" i="16" s="1"/>
  <c r="H794" i="16"/>
  <c r="I780" i="16" l="1"/>
  <c r="I785" i="16" s="1"/>
  <c r="I786" i="16" s="1"/>
  <c r="J98" i="21" s="1"/>
  <c r="J100" i="21" s="1"/>
  <c r="I789" i="16"/>
  <c r="AB114" i="21"/>
  <c r="H890" i="16"/>
  <c r="AB116" i="21" s="1"/>
  <c r="I793" i="16" l="1"/>
  <c r="AC73" i="21"/>
  <c r="AC78" i="21" s="1"/>
  <c r="I794" i="16"/>
  <c r="I872" i="16"/>
  <c r="I874" i="16" s="1"/>
  <c r="I888" i="16" s="1"/>
  <c r="I796" i="16"/>
  <c r="J87" i="21" s="1"/>
  <c r="AC61" i="21" s="1"/>
  <c r="AC114" i="21" l="1"/>
  <c r="I890" i="16"/>
  <c r="AC116" i="21" s="1"/>
  <c r="J780" i="16"/>
  <c r="J785" i="16" s="1"/>
  <c r="J786" i="16" s="1"/>
  <c r="K98" i="21" s="1"/>
  <c r="K100" i="21" s="1"/>
  <c r="J789" i="16"/>
  <c r="J795" i="16" s="1"/>
  <c r="K115" i="21" s="1"/>
  <c r="K61" i="21" s="1"/>
  <c r="J796" i="16" l="1"/>
  <c r="K87" i="21" s="1"/>
  <c r="AD61" i="21" s="1"/>
  <c r="J872" i="16"/>
  <c r="J874" i="16" s="1"/>
  <c r="J888" i="16" s="1"/>
  <c r="J793" i="16"/>
  <c r="AD73" i="21"/>
  <c r="AD78" i="21" s="1"/>
  <c r="J794" i="16"/>
  <c r="J890" i="16" l="1"/>
  <c r="AD116" i="21" s="1"/>
  <c r="AD114" i="21"/>
  <c r="K780" i="16"/>
  <c r="K785" i="16" s="1"/>
  <c r="K786" i="16" s="1"/>
  <c r="L98" i="21" s="1"/>
  <c r="L100" i="21" s="1"/>
  <c r="K789" i="16"/>
  <c r="K795" i="16" s="1"/>
  <c r="L115" i="21" s="1"/>
  <c r="L61" i="21" s="1"/>
  <c r="AE73" i="21" l="1"/>
  <c r="AE78" i="21" s="1"/>
  <c r="K796" i="16"/>
  <c r="L87" i="21" s="1"/>
  <c r="AE61" i="21" s="1"/>
  <c r="K793" i="16"/>
  <c r="K872" i="16"/>
  <c r="K874" i="16" s="1"/>
  <c r="K888" i="16" s="1"/>
  <c r="K794" i="16"/>
  <c r="L780" i="16" l="1"/>
  <c r="L785" i="16" s="1"/>
  <c r="L786" i="16" s="1"/>
  <c r="M98" i="21" s="1"/>
  <c r="M100" i="21" s="1"/>
  <c r="L789" i="16"/>
  <c r="L795" i="16" s="1"/>
  <c r="M115" i="21" s="1"/>
  <c r="M61" i="21" s="1"/>
  <c r="AE114" i="21"/>
  <c r="K890" i="16"/>
  <c r="AE116" i="21" s="1"/>
  <c r="AF73" i="21" l="1"/>
  <c r="AF78" i="21" s="1"/>
  <c r="L793" i="16"/>
  <c r="L794" i="16"/>
  <c r="L872" i="16"/>
  <c r="L874" i="16" s="1"/>
  <c r="L888" i="16" s="1"/>
  <c r="L796" i="16"/>
  <c r="M87" i="21" s="1"/>
  <c r="AF61" i="21" s="1"/>
  <c r="AF114" i="21" l="1"/>
  <c r="L890" i="16"/>
  <c r="AF116" i="21" s="1"/>
  <c r="M789" i="16"/>
  <c r="M795" i="16" s="1"/>
  <c r="N115" i="21" s="1"/>
  <c r="N61" i="21" s="1"/>
  <c r="K35" i="41" s="1"/>
  <c r="M780" i="16"/>
  <c r="M785" i="16" s="1"/>
  <c r="M786" i="16" s="1"/>
  <c r="N98" i="21" s="1"/>
  <c r="N100" i="21" l="1"/>
  <c r="O98" i="21"/>
  <c r="O100" i="21" s="1"/>
  <c r="M794" i="16"/>
  <c r="M796" i="16"/>
  <c r="N87" i="21" s="1"/>
  <c r="AG61" i="21" s="1"/>
  <c r="N35" i="41" s="1"/>
  <c r="AG73" i="21"/>
  <c r="AG78" i="21" s="1"/>
  <c r="M872" i="16"/>
  <c r="M874" i="16" s="1"/>
  <c r="M888" i="16" s="1"/>
  <c r="M793" i="16"/>
  <c r="AG114" i="21" l="1"/>
  <c r="M890" i="16"/>
  <c r="AG116" i="21" s="1"/>
</calcChain>
</file>

<file path=xl/comments1.xml><?xml version="1.0" encoding="utf-8"?>
<comments xmlns="http://schemas.openxmlformats.org/spreadsheetml/2006/main">
  <authors>
    <author>Paresh Chhajed</author>
  </authors>
  <commentList>
    <comment ref="G71" authorId="0">
      <text>
        <r>
          <rPr>
            <b/>
            <sz val="9"/>
            <color indexed="81"/>
            <rFont val="Tahoma"/>
            <family val="2"/>
          </rPr>
          <t>Paresh Chhajed:</t>
        </r>
        <r>
          <rPr>
            <sz val="9"/>
            <color indexed="81"/>
            <rFont val="Tahoma"/>
            <family val="2"/>
          </rPr>
          <t xml:space="preserve">
Shouldn't this be per OD site instead of number of people practicing OD</t>
        </r>
      </text>
    </comment>
    <comment ref="F109" authorId="0">
      <text>
        <r>
          <rPr>
            <b/>
            <sz val="9"/>
            <color indexed="81"/>
            <rFont val="Tahoma"/>
            <family val="2"/>
          </rPr>
          <t>Paresh Chhajed:</t>
        </r>
        <r>
          <rPr>
            <sz val="9"/>
            <color indexed="81"/>
            <rFont val="Tahoma"/>
            <family val="2"/>
          </rPr>
          <t xml:space="preserve">
Refer WS 39 above</t>
        </r>
      </text>
    </comment>
  </commentList>
</comments>
</file>

<file path=xl/comments2.xml><?xml version="1.0" encoding="utf-8"?>
<comments xmlns="http://schemas.openxmlformats.org/spreadsheetml/2006/main">
  <authors>
    <author>Mahroof</author>
  </authors>
  <commentList>
    <comment ref="E673" authorId="0">
      <text>
        <r>
          <rPr>
            <b/>
            <sz val="9"/>
            <color indexed="81"/>
            <rFont val="Tahoma"/>
            <family val="2"/>
          </rPr>
          <t>Mahroof:</t>
        </r>
        <r>
          <rPr>
            <sz val="9"/>
            <color indexed="81"/>
            <rFont val="Tahoma"/>
            <family val="2"/>
          </rPr>
          <t xml:space="preserve">
changed formula to include 365</t>
        </r>
      </text>
    </comment>
  </commentList>
</comments>
</file>

<file path=xl/comments3.xml><?xml version="1.0" encoding="utf-8"?>
<comments xmlns="http://schemas.openxmlformats.org/spreadsheetml/2006/main">
  <authors>
    <author>Paresh Chhajed</author>
    <author>Mahroof</author>
  </authors>
  <commentList>
    <comment ref="C9" authorId="0">
      <text>
        <r>
          <rPr>
            <b/>
            <sz val="9"/>
            <color indexed="81"/>
            <rFont val="Tahoma"/>
            <family val="2"/>
          </rPr>
          <t>Paresh Chhajed:</t>
        </r>
        <r>
          <rPr>
            <sz val="9"/>
            <color indexed="81"/>
            <rFont val="Tahoma"/>
            <family val="2"/>
          </rPr>
          <t xml:space="preserve">
Looks like BAU toilets</t>
        </r>
      </text>
    </comment>
    <comment ref="B1251" authorId="1">
      <text>
        <r>
          <rPr>
            <b/>
            <sz val="9"/>
            <color indexed="81"/>
            <rFont val="Tahoma"/>
            <family val="2"/>
          </rPr>
          <t>Mahroof:</t>
        </r>
        <r>
          <rPr>
            <sz val="9"/>
            <color indexed="81"/>
            <rFont val="Tahoma"/>
            <family val="2"/>
          </rPr>
          <t xml:space="preserve">
Don’t know what this section is. Perhaps work in progress by Paresh</t>
        </r>
      </text>
    </comment>
  </commentList>
</comments>
</file>

<file path=xl/sharedStrings.xml><?xml version="1.0" encoding="utf-8"?>
<sst xmlns="http://schemas.openxmlformats.org/spreadsheetml/2006/main" count="9909" uniqueCount="3936">
  <si>
    <t>Water Supply</t>
  </si>
  <si>
    <t>I</t>
  </si>
  <si>
    <t>A</t>
  </si>
  <si>
    <t>S. No.</t>
  </si>
  <si>
    <t>Particulars</t>
  </si>
  <si>
    <t>Total Population</t>
  </si>
  <si>
    <t>Total number of households</t>
  </si>
  <si>
    <t>Total number of slum households</t>
  </si>
  <si>
    <t>B</t>
  </si>
  <si>
    <t>Value</t>
  </si>
  <si>
    <t>C</t>
  </si>
  <si>
    <t>Class A</t>
  </si>
  <si>
    <t>D</t>
  </si>
  <si>
    <t>E</t>
  </si>
  <si>
    <t>II</t>
  </si>
  <si>
    <t>Type</t>
  </si>
  <si>
    <t>Total</t>
  </si>
  <si>
    <t>Water from non-ULB sources</t>
  </si>
  <si>
    <t>%</t>
  </si>
  <si>
    <t>MLD</t>
  </si>
  <si>
    <t>Raw water transmission losses</t>
  </si>
  <si>
    <t>ML</t>
  </si>
  <si>
    <t>F</t>
  </si>
  <si>
    <t>0.50 inch</t>
  </si>
  <si>
    <t>0.75 inch</t>
  </si>
  <si>
    <t>1.00 inch</t>
  </si>
  <si>
    <t>Others</t>
  </si>
  <si>
    <t>Slum</t>
  </si>
  <si>
    <t>Number</t>
  </si>
  <si>
    <t>Hours of supply</t>
  </si>
  <si>
    <t>G</t>
  </si>
  <si>
    <t>Rs. Per KL</t>
  </si>
  <si>
    <t>H</t>
  </si>
  <si>
    <t>Unit</t>
  </si>
  <si>
    <t>Collection efficiency</t>
  </si>
  <si>
    <t>Number of complaints resolved within 24 hours</t>
  </si>
  <si>
    <t>III</t>
  </si>
  <si>
    <t>Individual toilets</t>
  </si>
  <si>
    <t>Quality of waste water treatment</t>
  </si>
  <si>
    <t>Tariff for septic tank emptying</t>
  </si>
  <si>
    <t>Consumer grievance redressal</t>
  </si>
  <si>
    <t xml:space="preserve">Others </t>
  </si>
  <si>
    <t>General administration department</t>
  </si>
  <si>
    <t>Social security</t>
  </si>
  <si>
    <t>Public Health and Welfare</t>
  </si>
  <si>
    <t>Education</t>
  </si>
  <si>
    <t>Contributions</t>
  </si>
  <si>
    <t>Other departments</t>
  </si>
  <si>
    <t>External funds</t>
  </si>
  <si>
    <t>Grants</t>
  </si>
  <si>
    <t>Administrative and Establishment expenses</t>
  </si>
  <si>
    <t>Bulk water</t>
  </si>
  <si>
    <t>Energy expenses</t>
  </si>
  <si>
    <t>Other O&amp;M expenses</t>
  </si>
  <si>
    <t>Interest payment</t>
  </si>
  <si>
    <t>Miscellaneous expenses</t>
  </si>
  <si>
    <t>State scheme grants</t>
  </si>
  <si>
    <t>Central scheme grants</t>
  </si>
  <si>
    <t>Capital work in progress</t>
  </si>
  <si>
    <t>Principal repayments of external funds/ borrowings</t>
  </si>
  <si>
    <t>Solid waste tax</t>
  </si>
  <si>
    <t>Principal</t>
  </si>
  <si>
    <t>Interest</t>
  </si>
  <si>
    <t>Replacement of service line connections</t>
  </si>
  <si>
    <t>% per annum</t>
  </si>
  <si>
    <t>A.</t>
  </si>
  <si>
    <t>Continuity of water supply</t>
  </si>
  <si>
    <t>Yes/ No</t>
  </si>
  <si>
    <t>Year</t>
  </si>
  <si>
    <t>Key Performance Indicators</t>
  </si>
  <si>
    <t>State</t>
  </si>
  <si>
    <t>Municipal Corporation</t>
  </si>
  <si>
    <t>Class B</t>
  </si>
  <si>
    <t>Class C</t>
  </si>
  <si>
    <t>lpcd</t>
  </si>
  <si>
    <t>Improvement in distribution system</t>
  </si>
  <si>
    <t>Metering</t>
  </si>
  <si>
    <t>No.</t>
  </si>
  <si>
    <t>Deactivate</t>
  </si>
  <si>
    <t>Activate</t>
  </si>
  <si>
    <t>Km</t>
  </si>
  <si>
    <t>Sq. Km</t>
  </si>
  <si>
    <t>Baseline</t>
  </si>
  <si>
    <t>Solid Waste</t>
  </si>
  <si>
    <t>WATER SUPPLY</t>
  </si>
  <si>
    <t>WASTE WATER</t>
  </si>
  <si>
    <t>SOLID WASTE</t>
  </si>
  <si>
    <t>Collection Efficiency</t>
  </si>
  <si>
    <t>Projected Population</t>
  </si>
  <si>
    <t>Population Growth Rate</t>
  </si>
  <si>
    <t>Domestic (non slum)</t>
  </si>
  <si>
    <t>Number of Households</t>
  </si>
  <si>
    <t>No. of HH</t>
  </si>
  <si>
    <t>No. of people per household (domestic non slum)</t>
  </si>
  <si>
    <t xml:space="preserve">No. </t>
  </si>
  <si>
    <t>No. of people per household (slum)</t>
  </si>
  <si>
    <t>No. of people per household</t>
  </si>
  <si>
    <t>Projected Population used in model</t>
  </si>
  <si>
    <t>Projected number of households used in model</t>
  </si>
  <si>
    <t>Water quantities</t>
  </si>
  <si>
    <t>Total water production (treated and untreated)</t>
  </si>
  <si>
    <t>Treated Water Transmission Losses</t>
  </si>
  <si>
    <t>Distribution Losses</t>
  </si>
  <si>
    <t>Billed water</t>
  </si>
  <si>
    <t>Total Non Revenue Water</t>
  </si>
  <si>
    <t>Storage capacity</t>
  </si>
  <si>
    <t>Per capita availibility of water for domestic users</t>
  </si>
  <si>
    <t>Basis for LPCD</t>
  </si>
  <si>
    <t>Reduction in distribution losses</t>
  </si>
  <si>
    <t>Reduction in distribution losses due to plugging of joints</t>
  </si>
  <si>
    <t xml:space="preserve">Reduction in distribution losses due to replacement of service connections </t>
  </si>
  <si>
    <t>Refurbishment of reservoir</t>
  </si>
  <si>
    <t>Total reduction in distribution losses</t>
  </si>
  <si>
    <t>Increase in connections</t>
  </si>
  <si>
    <t>Escalation factor</t>
  </si>
  <si>
    <t>Billed amount based on volumetric tariff</t>
  </si>
  <si>
    <t>Total water revenue billed</t>
  </si>
  <si>
    <t>Escalation in connection charges</t>
  </si>
  <si>
    <t>K</t>
  </si>
  <si>
    <t>L</t>
  </si>
  <si>
    <t>Number of metered connections</t>
  </si>
  <si>
    <t>M</t>
  </si>
  <si>
    <t>Property tax linked revenue for water supply and waste water</t>
  </si>
  <si>
    <t>N</t>
  </si>
  <si>
    <t xml:space="preserve">Water production costs </t>
  </si>
  <si>
    <t>per Kl</t>
  </si>
  <si>
    <t>O</t>
  </si>
  <si>
    <t>Calculation of average water supply ratio</t>
  </si>
  <si>
    <t>Rate</t>
  </si>
  <si>
    <t>Rate multiple</t>
  </si>
  <si>
    <t>Percentage</t>
  </si>
  <si>
    <t>Product</t>
  </si>
  <si>
    <t xml:space="preserve">Waste water generated </t>
  </si>
  <si>
    <t>Waste that can be potentially collected by the network</t>
  </si>
  <si>
    <t>Number of toilets</t>
  </si>
  <si>
    <t>Area covered with closed drains</t>
  </si>
  <si>
    <t xml:space="preserve">Length of open drains </t>
  </si>
  <si>
    <t>Area covered with open drains</t>
  </si>
  <si>
    <t>Length of closed drains</t>
  </si>
  <si>
    <t>Waste water charges as based on property tax</t>
  </si>
  <si>
    <t xml:space="preserve">Waste water tariff based on flat rate </t>
  </si>
  <si>
    <t>Collection efficiency of waste water charges</t>
  </si>
  <si>
    <t>Cost recovery</t>
  </si>
  <si>
    <t>Increase in network</t>
  </si>
  <si>
    <t>Total Capital Expenditure</t>
  </si>
  <si>
    <t>Opening Balance</t>
  </si>
  <si>
    <t>Capital expenditure</t>
  </si>
  <si>
    <t>Total expenditure</t>
  </si>
  <si>
    <t>Sewerage</t>
  </si>
  <si>
    <t>Tons/ day</t>
  </si>
  <si>
    <t>IV</t>
  </si>
  <si>
    <t>Per capita generation of waste</t>
  </si>
  <si>
    <t>Kg/ Capita/ day</t>
  </si>
  <si>
    <t>Overall coverage of doorstep collection</t>
  </si>
  <si>
    <t>Slum coverage of doorstep collection</t>
  </si>
  <si>
    <t>MSW Recovery as a % of MSW collected</t>
  </si>
  <si>
    <t>Losses in transmission</t>
  </si>
  <si>
    <t>Property tax linked MSW charge</t>
  </si>
  <si>
    <t>Flat rate base revenue</t>
  </si>
  <si>
    <t>Adequacy of Sewage treatment capacity</t>
  </si>
  <si>
    <t>Seq</t>
  </si>
  <si>
    <t>Sector</t>
  </si>
  <si>
    <t>S.N</t>
  </si>
  <si>
    <t>StartPoint</t>
  </si>
  <si>
    <t>CumSum</t>
  </si>
  <si>
    <t>Activated List</t>
  </si>
  <si>
    <t>Number of connections</t>
  </si>
  <si>
    <t>Metered connections</t>
  </si>
  <si>
    <t>&gt; 1.00 inch</t>
  </si>
  <si>
    <t>Kms</t>
  </si>
  <si>
    <t>Length of closed surface drains</t>
  </si>
  <si>
    <t>Area covered with closed surface drains</t>
  </si>
  <si>
    <t>Length of open surface drains</t>
  </si>
  <si>
    <t>Area covered with open surface drains</t>
  </si>
  <si>
    <t>Length of sewerage network</t>
  </si>
  <si>
    <t>Total quantity of sewage generated</t>
  </si>
  <si>
    <t>No</t>
  </si>
  <si>
    <t>Number of water supply connections</t>
  </si>
  <si>
    <t>Number of properties</t>
  </si>
  <si>
    <t>Number of sewerage connections</t>
  </si>
  <si>
    <t>Opening balance</t>
  </si>
  <si>
    <t>Water supply</t>
  </si>
  <si>
    <t>Waste water</t>
  </si>
  <si>
    <t>Solid waste</t>
  </si>
  <si>
    <t>Click</t>
  </si>
  <si>
    <t>Water production</t>
  </si>
  <si>
    <t>Source of water</t>
  </si>
  <si>
    <t>Water supply distribution</t>
  </si>
  <si>
    <t>Water supply related taxes and charges</t>
  </si>
  <si>
    <t>Population details</t>
  </si>
  <si>
    <t>Revenue expenditure</t>
  </si>
  <si>
    <t>Revenue receipts</t>
  </si>
  <si>
    <t>Capital receipts</t>
  </si>
  <si>
    <t>Water supply capital receipts</t>
  </si>
  <si>
    <t>Water supply capital expenditure</t>
  </si>
  <si>
    <t>Water supply revenue account</t>
  </si>
  <si>
    <t>Water supply revenue receipts</t>
  </si>
  <si>
    <t>Water supply revenue expenditure</t>
  </si>
  <si>
    <t>Water supply capital account</t>
  </si>
  <si>
    <t>Extraordinary account</t>
  </si>
  <si>
    <t>Solid waste revenue account</t>
  </si>
  <si>
    <t>Solid waste revenue receipts</t>
  </si>
  <si>
    <t>Solid waste revenue expenditure</t>
  </si>
  <si>
    <t>Solid waste capital account</t>
  </si>
  <si>
    <t>Solid waste capital receipts</t>
  </si>
  <si>
    <t>Solid waste capital expenditure</t>
  </si>
  <si>
    <t>Property tax</t>
  </si>
  <si>
    <t>Numbers</t>
  </si>
  <si>
    <t>Create new infrastructure</t>
  </si>
  <si>
    <t>Actions for performance improvement</t>
  </si>
  <si>
    <t>Improvement</t>
  </si>
  <si>
    <t>Finance</t>
  </si>
  <si>
    <t>Type of connections</t>
  </si>
  <si>
    <t>Projected number of total properties</t>
  </si>
  <si>
    <t xml:space="preserve">Residential </t>
  </si>
  <si>
    <t>Non residential</t>
  </si>
  <si>
    <t>Total properties</t>
  </si>
  <si>
    <t>Census 2001</t>
  </si>
  <si>
    <t>Census 2011</t>
  </si>
  <si>
    <t>Base year of the model</t>
  </si>
  <si>
    <t>Allocation in MLD</t>
  </si>
  <si>
    <t>Ground water treated</t>
  </si>
  <si>
    <t>Total treated water supplied</t>
  </si>
  <si>
    <t>Treated supply in MLD</t>
  </si>
  <si>
    <t>Untreated supply in MLD</t>
  </si>
  <si>
    <t>Surface water routed through water treatment plants</t>
  </si>
  <si>
    <t>Installed capacity of water treatment plant</t>
  </si>
  <si>
    <t>Start year of model</t>
  </si>
  <si>
    <t>End year of model</t>
  </si>
  <si>
    <t>Input in Water Treatment Plant</t>
  </si>
  <si>
    <t>Water extraction - ground water</t>
  </si>
  <si>
    <t>Water supplied after transmission losses</t>
  </si>
  <si>
    <t>Surface Water supplied untreated</t>
  </si>
  <si>
    <t>Water extraction - own surface water</t>
  </si>
  <si>
    <t>Water extraction - Raw bulk buy</t>
  </si>
  <si>
    <t>Water extraction - Treated bulk buy</t>
  </si>
  <si>
    <t>Water treated at the plant</t>
  </si>
  <si>
    <t>Ground water supplied untreated</t>
  </si>
  <si>
    <t>Ground water supplied treated</t>
  </si>
  <si>
    <t>Water supplied - TREATED</t>
  </si>
  <si>
    <t>Water supplied - UNTREATED</t>
  </si>
  <si>
    <t>Water Available for Distribution</t>
  </si>
  <si>
    <t>min of installed capacity or water tht needs treatment</t>
  </si>
  <si>
    <t>aftr losses in the water input at WTP</t>
  </si>
  <si>
    <t>water aftr transmission losses less than WTP installed capacity</t>
  </si>
  <si>
    <t>action of inc ground water to be treated bfr supply</t>
  </si>
  <si>
    <t>ground w abstaction less treatment</t>
  </si>
  <si>
    <t>add treated bulk, WTP treated &amp; ground w treated</t>
  </si>
  <si>
    <t>losses in own surface, raw bulk, treated bulk &amp; then ground water added separately</t>
  </si>
  <si>
    <t>Dist losses in water availbale finally</t>
  </si>
  <si>
    <t>Water distributed after distribution losses accounted</t>
  </si>
  <si>
    <t>losses reduced by all interventions</t>
  </si>
  <si>
    <t>Growth rate</t>
  </si>
  <si>
    <t>Public standposts / taps</t>
  </si>
  <si>
    <t>Miscellaneous connections</t>
  </si>
  <si>
    <t>Free connections</t>
  </si>
  <si>
    <t>Group connections in slums</t>
  </si>
  <si>
    <t>Domestic Slum connections</t>
  </si>
  <si>
    <t>Domestic Non slum connections</t>
  </si>
  <si>
    <t>Commercial/ Industrial connections</t>
  </si>
  <si>
    <t xml:space="preserve">Length of transmission network </t>
  </si>
  <si>
    <t xml:space="preserve">Length of treated water transmission network </t>
  </si>
  <si>
    <t>SLUM</t>
  </si>
  <si>
    <t>Domestic connections</t>
  </si>
  <si>
    <t>Unauthorised connections</t>
  </si>
  <si>
    <t>Illegal % of connec taken w.r.t. present infra only, assuming there shall be no illegal in new network</t>
  </si>
  <si>
    <t>this will be over old infra</t>
  </si>
  <si>
    <t>This will be for oveall all old &amp; new infra</t>
  </si>
  <si>
    <t>slum connec % similar to present year as constant infra is assumed</t>
  </si>
  <si>
    <t>GROUP CONN</t>
  </si>
  <si>
    <t>Increase in connections due to population growth</t>
  </si>
  <si>
    <t>Inc in conn - CITY</t>
  </si>
  <si>
    <t>Inc in conn - OTHER THAN SLUMS</t>
  </si>
  <si>
    <t>Inc in conn - SLUMS</t>
  </si>
  <si>
    <t>Pop_conn OTHERS</t>
  </si>
  <si>
    <t>Pop_conn TOTAL</t>
  </si>
  <si>
    <t>Increase in conn with existing network</t>
  </si>
  <si>
    <t>Inc in conn_OTHERS</t>
  </si>
  <si>
    <t>Inc in conn_SLUMS</t>
  </si>
  <si>
    <t>Exist net_conn TOTAL</t>
  </si>
  <si>
    <t>Exist net_conn OTHERS</t>
  </si>
  <si>
    <t>Exist net_conn SLUMS</t>
  </si>
  <si>
    <t>Increase in connections by authorisation of illegal conn</t>
  </si>
  <si>
    <t>Illegal_conn TOTAL</t>
  </si>
  <si>
    <t>Illegal_conn OTHERS</t>
  </si>
  <si>
    <t>Illegal_conn SLUMS</t>
  </si>
  <si>
    <t>Increase in connections by network expansion - OTHERS</t>
  </si>
  <si>
    <t>New net_conn OTHERS</t>
  </si>
  <si>
    <t>New net_conn SLUMS</t>
  </si>
  <si>
    <t>New net_conn TOTAL</t>
  </si>
  <si>
    <t>Percentage share of connections</t>
  </si>
  <si>
    <t>Number of connections type &amp; size wise</t>
  </si>
  <si>
    <t>Non Slum households connected</t>
  </si>
  <si>
    <t>Slum househlds connected</t>
  </si>
  <si>
    <t>Non slum HHs total</t>
  </si>
  <si>
    <t>Slum HHs total</t>
  </si>
  <si>
    <t>CITY COVERAGE</t>
  </si>
  <si>
    <t>SLUM COVERAGE</t>
  </si>
  <si>
    <t>Number of households served as per ACTIONS</t>
  </si>
  <si>
    <t>Number of connections type &amp; size wise FINAL</t>
  </si>
  <si>
    <t>HH size city</t>
  </si>
  <si>
    <t>HH size slums</t>
  </si>
  <si>
    <t>Total population served</t>
  </si>
  <si>
    <t>Slum population served</t>
  </si>
  <si>
    <t>City pop served</t>
  </si>
  <si>
    <t>Slum pop served</t>
  </si>
  <si>
    <t>Unathorised consumption of water</t>
  </si>
  <si>
    <t>Free &amp; standposts</t>
  </si>
  <si>
    <t>CONN SIZE</t>
  </si>
  <si>
    <t>VOL OF WATER</t>
  </si>
  <si>
    <t>HALF INCH WISE CONVERSION OF ALL CONNECTIONS</t>
  </si>
  <si>
    <t>Average lpcd per half inch connection</t>
  </si>
  <si>
    <t>Volume of water billed among different categories of users</t>
  </si>
  <si>
    <t>Number of persons served by indivi conn</t>
  </si>
  <si>
    <t>Lpcd for City</t>
  </si>
  <si>
    <t>Lpcd for slum</t>
  </si>
  <si>
    <t>Per capita supply for total population</t>
  </si>
  <si>
    <t>STANDPOSTS</t>
  </si>
  <si>
    <t>CITY COVERAGE final</t>
  </si>
  <si>
    <t>SLUM COVERAGE final</t>
  </si>
  <si>
    <t>CITY COVERAGE improved (with group conn &amp; standposts)</t>
  </si>
  <si>
    <t>Number of persons served by improved access (with group conn + standposts)</t>
  </si>
  <si>
    <t>Per capita supply for improved access (group conn + standposts)</t>
  </si>
  <si>
    <t>FINAL LPCD FOR CITY</t>
  </si>
  <si>
    <t>Others connections</t>
  </si>
  <si>
    <t>Pop_conn SLUMS</t>
  </si>
  <si>
    <t>Commercial/ Institutional connections</t>
  </si>
  <si>
    <t>Water supply expenditure</t>
  </si>
  <si>
    <t>Cost recovery with collected revenue</t>
  </si>
  <si>
    <t>Cost recovery with billed demand</t>
  </si>
  <si>
    <t>Total revenue by new connections</t>
  </si>
  <si>
    <t>Waste water tax</t>
  </si>
  <si>
    <t>Water related demand/ property</t>
  </si>
  <si>
    <t>here, in calibration HHs are asked for overall city nos, but slum HHs cant be served w/o internal infra .. Hence input of city level HHs is assumed to be for non slum HHs</t>
  </si>
  <si>
    <t>Community toilets</t>
  </si>
  <si>
    <t xml:space="preserve">TOTAL </t>
  </si>
  <si>
    <t>Total toilet facilities</t>
  </si>
  <si>
    <t>Coverage of toilets - CITY</t>
  </si>
  <si>
    <t>Coverage of toilets - SLUMS</t>
  </si>
  <si>
    <t>Individual toilet facilities</t>
  </si>
  <si>
    <t>Open drains</t>
  </si>
  <si>
    <t>Closed drains</t>
  </si>
  <si>
    <t>Quantity of waste water having primary treatment</t>
  </si>
  <si>
    <t>Unathorised conn</t>
  </si>
  <si>
    <t>Slum households connected</t>
  </si>
  <si>
    <t>Flat tariff</t>
  </si>
  <si>
    <t>Property tax escalation rate</t>
  </si>
  <si>
    <t>Property tax demand/ property</t>
  </si>
  <si>
    <t>Water tax</t>
  </si>
  <si>
    <t>FACTOR "X" FOR VOLUMETRIC TARIFF</t>
  </si>
  <si>
    <t>Total water supply expenditure</t>
  </si>
  <si>
    <t>Rate Multiple</t>
  </si>
  <si>
    <t xml:space="preserve">Institutional </t>
  </si>
  <si>
    <t xml:space="preserve">Commercial </t>
  </si>
  <si>
    <t xml:space="preserve">Industrial </t>
  </si>
  <si>
    <t>Non Resi</t>
  </si>
  <si>
    <t>Average WS Ratio</t>
  </si>
  <si>
    <t>WSS GR</t>
  </si>
  <si>
    <t>Volumetric tariff per kl</t>
  </si>
  <si>
    <t>Below lifeline rate</t>
  </si>
  <si>
    <t>Above lifeline rate</t>
  </si>
  <si>
    <t>Tariff (Rs/kl)</t>
  </si>
  <si>
    <t>Water in MLD</t>
  </si>
  <si>
    <t>Income</t>
  </si>
  <si>
    <t>Group connections</t>
  </si>
  <si>
    <t>40-45 lpcd</t>
  </si>
  <si>
    <t xml:space="preserve">Below lifeline </t>
  </si>
  <si>
    <t>Above lifeline</t>
  </si>
  <si>
    <t>City lpcd - 40/45</t>
  </si>
  <si>
    <t>Basis for tariff</t>
  </si>
  <si>
    <t>% escalation</t>
  </si>
  <si>
    <t>Annual conversion</t>
  </si>
  <si>
    <t>Non functional meters</t>
  </si>
  <si>
    <t>Incremental number of new metered connections</t>
  </si>
  <si>
    <t>New metered connections</t>
  </si>
  <si>
    <t>Total functional metered conn</t>
  </si>
  <si>
    <t>Remaining Non functional meters</t>
  </si>
  <si>
    <t>Property tax linked water charges</t>
  </si>
  <si>
    <t>Revenue from Flat tariff</t>
  </si>
  <si>
    <t>Revenue from volumetric tariff</t>
  </si>
  <si>
    <t>Revenue from property tax linked water tax</t>
  </si>
  <si>
    <t>Total waste water revenue billed</t>
  </si>
  <si>
    <t>Waste water expenditure</t>
  </si>
  <si>
    <t>Number of HHs</t>
  </si>
  <si>
    <t>SELECT basis for applying the charges</t>
  </si>
  <si>
    <t>Waste generated per HH</t>
  </si>
  <si>
    <t>Frequency of cleaning</t>
  </si>
  <si>
    <t>Number of vehicles</t>
  </si>
  <si>
    <t>Quantity of compost produced from the plant</t>
  </si>
  <si>
    <t>Quantity of RDF/ fluff produced from the plant</t>
  </si>
  <si>
    <t>Quantity of recyclable material segregated at the plant</t>
  </si>
  <si>
    <t>Quantity of MSW generated</t>
  </si>
  <si>
    <t>Inc in establishments covered</t>
  </si>
  <si>
    <t>Inc in HHs covered - SLUMS</t>
  </si>
  <si>
    <t>Equipments_HHs TOTAL</t>
  </si>
  <si>
    <t>Equipments_HHs SLUMs</t>
  </si>
  <si>
    <t>Waste generation quantity</t>
  </si>
  <si>
    <t>Waste collection coverage</t>
  </si>
  <si>
    <t>Total storage capacity</t>
  </si>
  <si>
    <t>Buying new equipments, Inc in HHs covered - CITY</t>
  </si>
  <si>
    <t>Actual quantity of waste collection permissible with this storage capacity</t>
  </si>
  <si>
    <t>Waste transportation</t>
  </si>
  <si>
    <t>Trips/ day</t>
  </si>
  <si>
    <t>Waste actually transported</t>
  </si>
  <si>
    <t>Total Waste transportation capacity</t>
  </si>
  <si>
    <t>Waste reaching at the processing plant or disposal site</t>
  </si>
  <si>
    <t>Quantity of waste finally to be disposed off at the site</t>
  </si>
  <si>
    <t>Waste taken by intermediaries</t>
  </si>
  <si>
    <t>Waste treatment</t>
  </si>
  <si>
    <t>Waste disposal</t>
  </si>
  <si>
    <t>Waste segregation</t>
  </si>
  <si>
    <t>MSW collection &amp; transportation</t>
  </si>
  <si>
    <t>Collection efficiency of MSW</t>
  </si>
  <si>
    <t>Total SWM billed revenue</t>
  </si>
  <si>
    <t>MSW expenditure</t>
  </si>
  <si>
    <t>Escalation in selling price of byproducts</t>
  </si>
  <si>
    <t>tons/day</t>
  </si>
  <si>
    <t>Saleable quantity of compost</t>
  </si>
  <si>
    <t>Rev from selling compost</t>
  </si>
  <si>
    <t>Saleable quantity of RDF</t>
  </si>
  <si>
    <t>Rev from selling RDF</t>
  </si>
  <si>
    <t>Saleable quantity of recyclable material</t>
  </si>
  <si>
    <t>Rev from selling recyclable material</t>
  </si>
  <si>
    <t>Processing plant</t>
  </si>
  <si>
    <t>Actual selling of byproducts</t>
  </si>
  <si>
    <t>Rev generation</t>
  </si>
  <si>
    <t>Actual MSW Recovery from Processing Plant</t>
  </si>
  <si>
    <t>Storage capacity at the transfer stations</t>
  </si>
  <si>
    <t>Secondary storage bins</t>
  </si>
  <si>
    <t>Secondary storage capacity</t>
  </si>
  <si>
    <t>Transfer stations</t>
  </si>
  <si>
    <t>Permissible waste that can be stored in a day</t>
  </si>
  <si>
    <t>Storage capacity at bins</t>
  </si>
  <si>
    <t>Quantity of waste disposed off at open dump site</t>
  </si>
  <si>
    <t>Inc in HHs with segregation - CITY</t>
  </si>
  <si>
    <t>Seg_HHs CITY</t>
  </si>
  <si>
    <t>Increase in HHs with add staff - CITY</t>
  </si>
  <si>
    <t>Increase in HHs with add staff - SLUMS</t>
  </si>
  <si>
    <t>Increase in HHs with add staff - ESTAB.</t>
  </si>
  <si>
    <t>Add staff_HHs TOTAL</t>
  </si>
  <si>
    <t>Add staff_HHs SLUMS</t>
  </si>
  <si>
    <t>Waste transported in a segregated manner</t>
  </si>
  <si>
    <t>Extent of segregation of MSW</t>
  </si>
  <si>
    <t>Total waste segregated</t>
  </si>
  <si>
    <t>Calibration</t>
  </si>
  <si>
    <t>Total water abstraction</t>
  </si>
  <si>
    <t>Water Treatment Losses</t>
  </si>
  <si>
    <t>Inflation factor - CAPEX</t>
  </si>
  <si>
    <t>Inflation factor - O&amp;M</t>
  </si>
  <si>
    <t>WS - CAPEX</t>
  </si>
  <si>
    <t>WW - CAPEX</t>
  </si>
  <si>
    <t>WW - REVENUE</t>
  </si>
  <si>
    <t>MSW - CAPEX</t>
  </si>
  <si>
    <t>MSW - REVENUE</t>
  </si>
  <si>
    <t>Inflation factor - REV</t>
  </si>
  <si>
    <t>Access &amp; coverage</t>
  </si>
  <si>
    <t>Efficiency of services</t>
  </si>
  <si>
    <t>Financial sustainaibility</t>
  </si>
  <si>
    <t>Generic actions</t>
  </si>
  <si>
    <t>Total O&amp;M</t>
  </si>
  <si>
    <t>Total revenue</t>
  </si>
  <si>
    <t>Inflation for revenue generated</t>
  </si>
  <si>
    <t>MLD increase/ year</t>
  </si>
  <si>
    <t>Unit costs</t>
  </si>
  <si>
    <t>WS - REVENUE/ SAVINGS</t>
  </si>
  <si>
    <t xml:space="preserve">Total </t>
  </si>
  <si>
    <t>Arrear collection</t>
  </si>
  <si>
    <t>Revenue income</t>
  </si>
  <si>
    <t>Present Volumetric</t>
  </si>
  <si>
    <t>Proposed volumetric</t>
  </si>
  <si>
    <t>WS - O&amp;M</t>
  </si>
  <si>
    <t>WW - O&amp;M</t>
  </si>
  <si>
    <t>MSW - O&amp;M</t>
  </si>
  <si>
    <t>New Sewerage connections</t>
  </si>
  <si>
    <t>Escalation</t>
  </si>
  <si>
    <t>Water benefit tax</t>
  </si>
  <si>
    <t>Sewerage benefit tax</t>
  </si>
  <si>
    <t>Borrowings</t>
  </si>
  <si>
    <t>Moratorium period</t>
  </si>
  <si>
    <t>Number of years</t>
  </si>
  <si>
    <t>Closing balance</t>
  </si>
  <si>
    <t>Total income</t>
  </si>
  <si>
    <t>Rate of interest</t>
  </si>
  <si>
    <t>Loan 1</t>
  </si>
  <si>
    <t>Loan 2</t>
  </si>
  <si>
    <t>Loan 3</t>
  </si>
  <si>
    <t>Loan 4</t>
  </si>
  <si>
    <t>Loan 5</t>
  </si>
  <si>
    <t>Loan 6</t>
  </si>
  <si>
    <t>Loan 7</t>
  </si>
  <si>
    <t>Loan 8</t>
  </si>
  <si>
    <t>Loan 9</t>
  </si>
  <si>
    <t>Loan 10</t>
  </si>
  <si>
    <t>Capex</t>
  </si>
  <si>
    <t>O&amp;M</t>
  </si>
  <si>
    <t>Revenue</t>
  </si>
  <si>
    <t>Primary treatment</t>
  </si>
  <si>
    <t>DEBT SERVICING</t>
  </si>
  <si>
    <t>CURRENT DEMAND</t>
  </si>
  <si>
    <t>ARREAR DEMAND</t>
  </si>
  <si>
    <t>Demand</t>
  </si>
  <si>
    <t>Collection</t>
  </si>
  <si>
    <t>Arrear coll eff</t>
  </si>
  <si>
    <t>Current Collection efficiency</t>
  </si>
  <si>
    <t>City area</t>
  </si>
  <si>
    <t>Taxes &amp; charges</t>
  </si>
  <si>
    <t>Demography</t>
  </si>
  <si>
    <t>Pop inc_ HHs TOTAL</t>
  </si>
  <si>
    <t>Pop inc_ HHs SLUMS</t>
  </si>
  <si>
    <t>Pop inc_ ESTAB.</t>
  </si>
  <si>
    <t>Equipments_ESTAB.</t>
  </si>
  <si>
    <t>Actual MSW generators</t>
  </si>
  <si>
    <t>Inc in SLUM HHs</t>
  </si>
  <si>
    <t>Inc in ESTAB.</t>
  </si>
  <si>
    <t>Population growth - Inc in TOTAL HHs</t>
  </si>
  <si>
    <t>Procure additional equipments like collection bins, ghantagadis, containerized cycle rickshaw, handcarts etc. for primary collection of solid waste</t>
  </si>
  <si>
    <t>Employ additional staff on contract for providing sanitation services</t>
  </si>
  <si>
    <t>Pvt. Contract - Inc in HHs - CITY</t>
  </si>
  <si>
    <t>Pvt. Contract - Inc in HHs - SLUMS</t>
  </si>
  <si>
    <t>Pvt. Contract - Inc in ESTAB.</t>
  </si>
  <si>
    <t>Pvt contract_HHs TOTAL</t>
  </si>
  <si>
    <t>Pvt contract_HHs SLUMS</t>
  </si>
  <si>
    <t>Pvt contract_ESTAB.</t>
  </si>
  <si>
    <t>Add staff_ESTAB.</t>
  </si>
  <si>
    <t>Final HHs served</t>
  </si>
  <si>
    <t>Final Slum HHs served</t>
  </si>
  <si>
    <t>Final Estab. served</t>
  </si>
  <si>
    <t>TOTAL MSW GENERATORS</t>
  </si>
  <si>
    <t>Total potential slum HHs</t>
  </si>
  <si>
    <t>Flat tariff per half inch connection</t>
  </si>
  <si>
    <t>Proposed rate multiple</t>
  </si>
  <si>
    <t>New tariff as per proposed rate multiple</t>
  </si>
  <si>
    <t>New volumetric tariff</t>
  </si>
  <si>
    <t>Proposed base</t>
  </si>
  <si>
    <t>New flat tariff for half inch</t>
  </si>
  <si>
    <t>Old volumteric tariff</t>
  </si>
  <si>
    <t>Old flat tariff</t>
  </si>
  <si>
    <t>New tariff based on proposed rate multiple in Financial Plan</t>
  </si>
  <si>
    <t>Scenario I: Business as usual</t>
  </si>
  <si>
    <t>REVENUE ACCOUNT</t>
  </si>
  <si>
    <t>Rev income</t>
  </si>
  <si>
    <t>Rev exp</t>
  </si>
  <si>
    <t>New approved projects</t>
  </si>
  <si>
    <t>TOTAL WSS</t>
  </si>
  <si>
    <t>Surplus/ deficit</t>
  </si>
  <si>
    <t>CAPITAL ACCOUNT</t>
  </si>
  <si>
    <t>Capin</t>
  </si>
  <si>
    <t>TARIFF REVISION</t>
  </si>
  <si>
    <t>PIP ACTIONS REVENUE</t>
  </si>
  <si>
    <t xml:space="preserve">Property tax based </t>
  </si>
  <si>
    <t>New Connection Charges</t>
  </si>
  <si>
    <t>PIP ACTIONS</t>
  </si>
  <si>
    <t>TARIFF REVISIONS</t>
  </si>
  <si>
    <t>Calculation of Tariff as per WSS GR</t>
  </si>
  <si>
    <t>Collected revenue - TARIFF INC</t>
  </si>
  <si>
    <t>Collected revenue - PIP ACTIONS</t>
  </si>
  <si>
    <t>Arrear demand - PIP</t>
  </si>
  <si>
    <t>Arrear collection - PIP</t>
  </si>
  <si>
    <t>Arrear demand - TARIFF</t>
  </si>
  <si>
    <t>Arrear collection - TARIFF</t>
  </si>
  <si>
    <t>TOTAL REV - PIP</t>
  </si>
  <si>
    <t>TOTAL REV - TARIFF</t>
  </si>
  <si>
    <t>Collected Revenue - PIP</t>
  </si>
  <si>
    <t>Collected Revenue - TARIFF</t>
  </si>
  <si>
    <t>TOTAL REV - BAU</t>
  </si>
  <si>
    <t>Access and coverage</t>
  </si>
  <si>
    <t>Data improvement measures</t>
  </si>
  <si>
    <t>Process/ Policy improvement measures</t>
  </si>
  <si>
    <t>Service levels and quality</t>
  </si>
  <si>
    <t>CALIBRATION CHARTS</t>
  </si>
  <si>
    <t>ACCESS AND COVERAGE</t>
  </si>
  <si>
    <t>Convert standposts</t>
  </si>
  <si>
    <t>FINANCE</t>
  </si>
  <si>
    <t>Population growth</t>
  </si>
  <si>
    <t>PERFORMANCE - city</t>
  </si>
  <si>
    <t>PERFORMANCE - slums</t>
  </si>
  <si>
    <t>Convert standposts to group connections - CITY</t>
  </si>
  <si>
    <t>Convert - SLUM</t>
  </si>
  <si>
    <t>Convert PSPs_conn TOTAL</t>
  </si>
  <si>
    <t>Convert PSPs_conn SLUMS</t>
  </si>
  <si>
    <t>Convert PSPs_conn OTHERS</t>
  </si>
  <si>
    <t>New distribution network</t>
  </si>
  <si>
    <t>Benchmark</t>
  </si>
  <si>
    <t>Efficiency in Service Operation</t>
  </si>
  <si>
    <t>Water transmitted</t>
  </si>
  <si>
    <t>Water produced</t>
  </si>
  <si>
    <t>Water abstracted</t>
  </si>
  <si>
    <t>Water distributed</t>
  </si>
  <si>
    <t>Water consumed</t>
  </si>
  <si>
    <t>Water billed</t>
  </si>
  <si>
    <t>No. of meters to be repaired</t>
  </si>
  <si>
    <t>Raw water transmission</t>
  </si>
  <si>
    <t>Treatment</t>
  </si>
  <si>
    <t>Treated water transmission</t>
  </si>
  <si>
    <t>Distribution</t>
  </si>
  <si>
    <t>Consumption</t>
  </si>
  <si>
    <t>Domestic metered conn</t>
  </si>
  <si>
    <t>Commercial/ Industrial metered conn</t>
  </si>
  <si>
    <t>Slum metered conn</t>
  </si>
  <si>
    <t>Others metered conn</t>
  </si>
  <si>
    <t>Group metered conn in slums</t>
  </si>
  <si>
    <t>Finance sustainaibility</t>
  </si>
  <si>
    <t>Storage capacity efficiency</t>
  </si>
  <si>
    <t>Treatment plant capacity efficiency</t>
  </si>
  <si>
    <t>Sewerage network</t>
  </si>
  <si>
    <t>Septic tanks</t>
  </si>
  <si>
    <t>MSW collected</t>
  </si>
  <si>
    <t>Unserved</t>
  </si>
  <si>
    <t>Scenario III: Revise Tariff</t>
  </si>
  <si>
    <t>Total Number of connections</t>
  </si>
  <si>
    <t>% share of connections FINAL</t>
  </si>
  <si>
    <t>Number of households served FINAL</t>
  </si>
  <si>
    <t>Percentage of connections not metered</t>
  </si>
  <si>
    <t>Percentage of connections billed on flat tariff - FINAL</t>
  </si>
  <si>
    <t>Billed amount based on Flat tariff</t>
  </si>
  <si>
    <t>BAU</t>
  </si>
  <si>
    <t>Water Revenue billed FINAL</t>
  </si>
  <si>
    <t>Water Revenue collected FINAL</t>
  </si>
  <si>
    <t>Collected revenue - BAU</t>
  </si>
  <si>
    <t>PIP Actions</t>
  </si>
  <si>
    <t>Tariff revision</t>
  </si>
  <si>
    <t>Flat rate base revenue - user charges</t>
  </si>
  <si>
    <t>Billed Revenue from user charges</t>
  </si>
  <si>
    <t>Collected revenue</t>
  </si>
  <si>
    <t>Collected Revenue - BAU</t>
  </si>
  <si>
    <t>Arrear demand - BAU</t>
  </si>
  <si>
    <t>Arrear collection - BAU</t>
  </si>
  <si>
    <t>PIP actions</t>
  </si>
  <si>
    <t>Collected WW rev - PIP</t>
  </si>
  <si>
    <t>Collected WW rev - TARIFF</t>
  </si>
  <si>
    <t>Collected WW rev - BAU</t>
  </si>
  <si>
    <t>Billed Sewage revenue</t>
  </si>
  <si>
    <t>Collected Sewage Charges</t>
  </si>
  <si>
    <t>Number of connections for BAU</t>
  </si>
  <si>
    <t>BAU billed amount</t>
  </si>
  <si>
    <t>PIP ACTIONS billed amount</t>
  </si>
  <si>
    <t>TARIFF REVISION billed amount</t>
  </si>
  <si>
    <t>HALF INCH WISE CONVERSION OF ALL CONNECTIONS for BAU</t>
  </si>
  <si>
    <t>BAU billed revenue</t>
  </si>
  <si>
    <t>PIP ACTIONS billed revenue</t>
  </si>
  <si>
    <t>TARIFF REVISION billed revenue</t>
  </si>
  <si>
    <t>Volume of water billed among diff categories</t>
  </si>
  <si>
    <t>Performance assessment charts</t>
  </si>
  <si>
    <t>Distribution network</t>
  </si>
  <si>
    <t>Connection coverage</t>
  </si>
  <si>
    <t>City</t>
  </si>
  <si>
    <t>Slums</t>
  </si>
  <si>
    <t>Total HHs</t>
  </si>
  <si>
    <t>Lpcd at source</t>
  </si>
  <si>
    <t>Lpcd at consumer</t>
  </si>
  <si>
    <t>Days in a month</t>
  </si>
  <si>
    <t>Revenue water</t>
  </si>
  <si>
    <t>Apparent losses</t>
  </si>
  <si>
    <t>Real losses</t>
  </si>
  <si>
    <t>Authorised unbilled</t>
  </si>
  <si>
    <t>Unauthorised unbilled</t>
  </si>
  <si>
    <t>Dist. Loss</t>
  </si>
  <si>
    <t>Treated  trans. Loss</t>
  </si>
  <si>
    <t>Treatment loss</t>
  </si>
  <si>
    <t>Transmission loss</t>
  </si>
  <si>
    <t>Misc.</t>
  </si>
  <si>
    <t>Domestic</t>
  </si>
  <si>
    <t>Arrear</t>
  </si>
  <si>
    <t>Current</t>
  </si>
  <si>
    <t>Rev Exp</t>
  </si>
  <si>
    <t>Admin.</t>
  </si>
  <si>
    <t>Energy</t>
  </si>
  <si>
    <t>Int. payment</t>
  </si>
  <si>
    <t>Toilets</t>
  </si>
  <si>
    <t>Unserved HHs</t>
  </si>
  <si>
    <t>Area covered by sewerage</t>
  </si>
  <si>
    <t>Length of sewerage</t>
  </si>
  <si>
    <t>Coverage</t>
  </si>
  <si>
    <t>Generation</t>
  </si>
  <si>
    <t>Transported</t>
  </si>
  <si>
    <t>Key Performance Indicator</t>
  </si>
  <si>
    <t>Click here</t>
  </si>
  <si>
    <t>FINANCIAL SUSTAINAIBILITY</t>
  </si>
  <si>
    <t>EFFICIENCY IN SERVICE OPERATION</t>
  </si>
  <si>
    <t>SERVICE LEVELS AND QUALITY</t>
  </si>
  <si>
    <t>Water storage capacity</t>
  </si>
  <si>
    <t>Gap</t>
  </si>
  <si>
    <t>Extent of functional metering</t>
  </si>
  <si>
    <t>Coverage of sullage network</t>
  </si>
  <si>
    <t>Impact of actions on KPIs</t>
  </si>
  <si>
    <t>Extent of MSW recovered</t>
  </si>
  <si>
    <t>Extent of scientific disposal of MSW</t>
  </si>
  <si>
    <t>Storage</t>
  </si>
  <si>
    <t>Connections</t>
  </si>
  <si>
    <t>HHs served</t>
  </si>
  <si>
    <t>Waste segregated (MT/day)</t>
  </si>
  <si>
    <t>Solid waste (MT/day)</t>
  </si>
  <si>
    <t>Billed demand</t>
  </si>
  <si>
    <t>Collected amount</t>
  </si>
  <si>
    <t>Simulate Performance Improvement Plan</t>
  </si>
  <si>
    <t>Estimated raw water transmission losses</t>
  </si>
  <si>
    <t>Growth rate - RESIDENTIAL</t>
  </si>
  <si>
    <t>Type of action</t>
  </si>
  <si>
    <t>Action</t>
  </si>
  <si>
    <t>Guidelines for activation</t>
  </si>
  <si>
    <t>Guidelines for block cost estimate</t>
  </si>
  <si>
    <t>S. no.</t>
  </si>
  <si>
    <t>EFFICIENCY IN SERVICE OPERATIONS</t>
  </si>
  <si>
    <t>Improve billing efficiency of property tax by increasing number of properties assessed</t>
  </si>
  <si>
    <t>Projected number of Properties for assessment of PT</t>
  </si>
  <si>
    <t>Billing efficiency</t>
  </si>
  <si>
    <t>Properties assessed - OLD</t>
  </si>
  <si>
    <t>Properties assessed - IMPROVED</t>
  </si>
  <si>
    <t>Year to start improvement</t>
  </si>
  <si>
    <t>Proposal for improvement</t>
  </si>
  <si>
    <t>Targeted efficiency</t>
  </si>
  <si>
    <t>Total general tax - BILLED</t>
  </si>
  <si>
    <t>Collection efficiency - CURRENT</t>
  </si>
  <si>
    <t>Collection efficiency - ARREAR</t>
  </si>
  <si>
    <t>Current demand collection</t>
  </si>
  <si>
    <t>Arrear demand collection</t>
  </si>
  <si>
    <t>Arrear demand - Billed</t>
  </si>
  <si>
    <t>Collection from New tax introduced</t>
  </si>
  <si>
    <t>Improved collection from revisions</t>
  </si>
  <si>
    <t>Absolute increase from previous collection</t>
  </si>
  <si>
    <t>Consolidated Property tax other than WSS - Improvement</t>
  </si>
  <si>
    <t>Flat user charges</t>
  </si>
  <si>
    <t>Rs/ connection/ annum</t>
  </si>
  <si>
    <t>Revenue from Water benefit tax</t>
  </si>
  <si>
    <t>Revenue billed</t>
  </si>
  <si>
    <t>i)</t>
  </si>
  <si>
    <t>ii)</t>
  </si>
  <si>
    <t>iii)</t>
  </si>
  <si>
    <t>iv)</t>
  </si>
  <si>
    <t>v)</t>
  </si>
  <si>
    <t>vi)</t>
  </si>
  <si>
    <t>vii)</t>
  </si>
  <si>
    <t>viii)</t>
  </si>
  <si>
    <t>PERFORMANCE ASSESSMENT</t>
  </si>
  <si>
    <t>PERFORMANCE ASSESSMENT MODULE</t>
  </si>
  <si>
    <t>Efficiency in service operations</t>
  </si>
  <si>
    <t>MUNICIPAL FINANCE PROJECTIONS</t>
  </si>
  <si>
    <t>A) Data improvement measures</t>
  </si>
  <si>
    <t>Access &amp; coverage - CITY</t>
  </si>
  <si>
    <t>Access &amp; coverage - SLUMS</t>
  </si>
  <si>
    <t>Access &amp; coverage - FINANCE</t>
  </si>
  <si>
    <t>Eff in service operations</t>
  </si>
  <si>
    <t>Service levels &amp; quality</t>
  </si>
  <si>
    <t>Eff in services</t>
  </si>
  <si>
    <t>Toilets - CITY</t>
  </si>
  <si>
    <t>Toilets - SLUMS</t>
  </si>
  <si>
    <t>i) Procure equipments for improving present services</t>
  </si>
  <si>
    <t>ii) Procure equipments for servicing unserved areas</t>
  </si>
  <si>
    <t>i) Additional staff employed in already served area for improving efficiency</t>
  </si>
  <si>
    <t>ii) Additional staff employed in unserved area to increase coverage</t>
  </si>
  <si>
    <t>i) Contract for already served area to improve service efficiency</t>
  </si>
  <si>
    <t>ii) Contract for unserved area to increase coverage</t>
  </si>
  <si>
    <t>Additional income from improvement measures</t>
  </si>
  <si>
    <t>GENERAL INFORMATION</t>
  </si>
  <si>
    <t>Quality of water supplied (%)</t>
  </si>
  <si>
    <t>Efficiency in redressal of customer complaints (%)</t>
  </si>
  <si>
    <t>Per Capita supply of water at consumer end (lpcd)</t>
  </si>
  <si>
    <t>Efficieny in redressal of customer complaints (%)</t>
  </si>
  <si>
    <t>Extent of scientific disposal of MSW (%)</t>
  </si>
  <si>
    <t xml:space="preserve">KPIs </t>
  </si>
  <si>
    <r>
      <t xml:space="preserve">Collection efficiency of sewerge network </t>
    </r>
    <r>
      <rPr>
        <sz val="11"/>
        <rFont val="Calibri"/>
        <family val="2"/>
        <scheme val="minor"/>
      </rPr>
      <t>(calculated based on waste conveyed through the network)</t>
    </r>
  </si>
  <si>
    <t>Hours/ day</t>
  </si>
  <si>
    <t>Days/ month</t>
  </si>
  <si>
    <t>Days of supply in a month</t>
  </si>
  <si>
    <t>Consumer complaints redressal</t>
  </si>
  <si>
    <t>Debt servicing requirement</t>
  </si>
  <si>
    <t>Instructions for using the sheet:</t>
  </si>
  <si>
    <t>A. Data improvement measures</t>
  </si>
  <si>
    <t>D. Create new infrastructure</t>
  </si>
  <si>
    <t xml:space="preserve">   </t>
  </si>
  <si>
    <t>PHASING OF ACTIONS</t>
  </si>
  <si>
    <t>Solid waste related taxes and charges</t>
  </si>
  <si>
    <t>Rate of interest (%)</t>
  </si>
  <si>
    <t>Year for completion</t>
  </si>
  <si>
    <t>% of general property tax</t>
  </si>
  <si>
    <t>Rs/ kl</t>
  </si>
  <si>
    <t>Activated Counts</t>
  </si>
  <si>
    <t>Engage with private service providers (RWAs /NGOs/ establishments) for providing sanitation services</t>
  </si>
  <si>
    <t>Data system</t>
  </si>
  <si>
    <t>Process/ Policy</t>
  </si>
  <si>
    <t>New infrastructure</t>
  </si>
  <si>
    <t>Exisiting system</t>
  </si>
  <si>
    <t>REVENUE</t>
  </si>
  <si>
    <t>CAPEX</t>
  </si>
  <si>
    <t>Start year</t>
  </si>
  <si>
    <t>End Year</t>
  </si>
  <si>
    <t>Learn more</t>
  </si>
  <si>
    <t>Customise action</t>
  </si>
  <si>
    <t>Phasing</t>
  </si>
  <si>
    <t>Financial Summary</t>
  </si>
  <si>
    <t>Action Plan summary</t>
  </si>
  <si>
    <t>Financial summary</t>
  </si>
  <si>
    <t>SOLID WASTE MANAGEMENT</t>
  </si>
  <si>
    <t>Household level coverage of MSW services in city</t>
  </si>
  <si>
    <t>WASTE WATER SERVICES</t>
  </si>
  <si>
    <t>WATER SUPPLY SERVICES</t>
  </si>
  <si>
    <t>Coverage of individual water supply connections in city</t>
  </si>
  <si>
    <t>Coverage of individual water supply connections in slums</t>
  </si>
  <si>
    <t>Per Capita supply of water at consumer end</t>
  </si>
  <si>
    <t>Extent of Non revenue water</t>
  </si>
  <si>
    <t>Extent of metering of water connections</t>
  </si>
  <si>
    <t>Quality of water supplied</t>
  </si>
  <si>
    <t>Efficiency in redressal of customer complaints</t>
  </si>
  <si>
    <t>Efficieny in collection of WS charges</t>
  </si>
  <si>
    <t>Cost recovery in WS services</t>
  </si>
  <si>
    <t>Collection efficiency of sewage network</t>
  </si>
  <si>
    <t>Extent of reuse and recycling of treated watsewater</t>
  </si>
  <si>
    <t>Efficieny in redressal of customer complaints</t>
  </si>
  <si>
    <t>Efficiency in collection of WW charges</t>
  </si>
  <si>
    <t>Extent of cost recovery in WW services</t>
  </si>
  <si>
    <t>Efficiency of collection of MSW</t>
  </si>
  <si>
    <t>Efficiency in collection of MSW charges</t>
  </si>
  <si>
    <t>Extent of cost recovery in MSW services</t>
  </si>
  <si>
    <t>Action Plan Summary</t>
  </si>
  <si>
    <t>Class D</t>
  </si>
  <si>
    <t>KPI averages</t>
  </si>
  <si>
    <t>Class average</t>
  </si>
  <si>
    <t>Red</t>
  </si>
  <si>
    <t>Green</t>
  </si>
  <si>
    <t>Yellow</t>
  </si>
  <si>
    <t>GUJARAT</t>
  </si>
  <si>
    <t>MAHARASHTRA</t>
  </si>
  <si>
    <t>Actions</t>
  </si>
  <si>
    <t>NP</t>
  </si>
  <si>
    <t>Class</t>
  </si>
  <si>
    <t>Sewered city</t>
  </si>
  <si>
    <t>FINAL</t>
  </si>
  <si>
    <t>Note: Rates given by MJP, Maharashtra year 2008 - 09</t>
  </si>
  <si>
    <t>per node</t>
  </si>
  <si>
    <t>1000 nodes</t>
  </si>
  <si>
    <t>i)Supply and installation of software with provision of making analysis</t>
  </si>
  <si>
    <t>3. Hydraulic Modelling</t>
  </si>
  <si>
    <r>
      <t>Km</t>
    </r>
    <r>
      <rPr>
        <vertAlign val="superscript"/>
        <sz val="11"/>
        <rFont val="Calibri"/>
        <family val="2"/>
        <scheme val="minor"/>
      </rPr>
      <t>2</t>
    </r>
  </si>
  <si>
    <t>c) Administration zones and wards</t>
  </si>
  <si>
    <t>For Length Oriented items like pipe lines, dams etc</t>
  </si>
  <si>
    <t>b) Hydrology</t>
  </si>
  <si>
    <t>a) Transport Network</t>
  </si>
  <si>
    <t>iv) Physical survey</t>
  </si>
  <si>
    <t>sq.km</t>
  </si>
  <si>
    <t>b) Beyond 64 Sq.Km.</t>
  </si>
  <si>
    <t>64 sq.Km.</t>
  </si>
  <si>
    <t>a) Upto min area of 64 Sq.Km.</t>
  </si>
  <si>
    <t>Each</t>
  </si>
  <si>
    <t>i) Supply and installation of GIS software</t>
  </si>
  <si>
    <t>2. GIS mapping</t>
  </si>
  <si>
    <t>per 1000</t>
  </si>
  <si>
    <r>
      <t>x)</t>
    </r>
    <r>
      <rPr>
        <sz val="11"/>
        <rFont val="Calibri"/>
        <family val="2"/>
        <scheme val="minor"/>
      </rPr>
      <t xml:space="preserve"> Add for population above 200000 </t>
    </r>
  </si>
  <si>
    <t>L.S.</t>
  </si>
  <si>
    <r>
      <t>ix)</t>
    </r>
    <r>
      <rPr>
        <sz val="11"/>
        <rFont val="Calibri"/>
        <family val="2"/>
        <scheme val="minor"/>
      </rPr>
      <t> For towns of population 2,00,000</t>
    </r>
  </si>
  <si>
    <r>
      <t>viii)</t>
    </r>
    <r>
      <rPr>
        <sz val="11"/>
        <rFont val="Calibri"/>
        <family val="2"/>
        <scheme val="minor"/>
      </rPr>
      <t xml:space="preserve"> Add for population above 150000 up to 200000 </t>
    </r>
  </si>
  <si>
    <r>
      <t>vii)</t>
    </r>
    <r>
      <rPr>
        <sz val="11"/>
        <rFont val="Calibri"/>
        <family val="2"/>
        <scheme val="minor"/>
      </rPr>
      <t> For towns of population 1,50,000</t>
    </r>
  </si>
  <si>
    <r>
      <t>vi)</t>
    </r>
    <r>
      <rPr>
        <sz val="11"/>
        <rFont val="Calibri"/>
        <family val="2"/>
        <scheme val="minor"/>
      </rPr>
      <t xml:space="preserve"> Add for population above 100000 up to 150000 </t>
    </r>
  </si>
  <si>
    <r>
      <t>v)</t>
    </r>
    <r>
      <rPr>
        <sz val="11"/>
        <rFont val="Calibri"/>
        <family val="2"/>
        <scheme val="minor"/>
      </rPr>
      <t> For towns of population 100,000</t>
    </r>
  </si>
  <si>
    <r>
      <t>iv)</t>
    </r>
    <r>
      <rPr>
        <sz val="11"/>
        <rFont val="Calibri"/>
        <family val="2"/>
        <scheme val="minor"/>
      </rPr>
      <t xml:space="preserve"> Add for population above 50000 up to 100000 </t>
    </r>
  </si>
  <si>
    <r>
      <t>iii)</t>
    </r>
    <r>
      <rPr>
        <sz val="11"/>
        <rFont val="Calibri"/>
        <family val="2"/>
        <scheme val="minor"/>
      </rPr>
      <t> For towns of population 50,000</t>
    </r>
  </si>
  <si>
    <r>
      <t>ii)</t>
    </r>
    <r>
      <rPr>
        <sz val="11"/>
        <rFont val="Calibri"/>
        <family val="2"/>
        <scheme val="minor"/>
      </rPr>
      <t xml:space="preserve"> Add for population above 25000 up to 50000 </t>
    </r>
  </si>
  <si>
    <r>
      <t>i)</t>
    </r>
    <r>
      <rPr>
        <sz val="11"/>
        <rFont val="Calibri"/>
        <family val="2"/>
        <scheme val="minor"/>
      </rPr>
      <t> For towns up to population of 25,000</t>
    </r>
  </si>
  <si>
    <t>B) For metered water supply schemes</t>
  </si>
  <si>
    <t>A) For un-metered water supply schemes</t>
  </si>
  <si>
    <t>1. Water Audit</t>
  </si>
  <si>
    <t>Rs. 2- 5 lakhs</t>
  </si>
  <si>
    <t xml:space="preserve"> Closure of Existing Dumping Site : Rs. 630 lakhs</t>
  </si>
  <si>
    <t>For existing dump sites that are to be closed , they should be closed in compliance to MSW Rules 2000</t>
  </si>
  <si>
    <t>It’s a state policy, there should be citizen charter defined by ULB which would help people to understand the time frame that would be required to solve their complaint. This would improve the customer complaint redressal system and also there should be a system to register and pass on the complaints to the department concerned</t>
  </si>
  <si>
    <t xml:space="preserve">Installation of GPS on each vehicle : Rs. 15,000 to 20,000 per vehicle </t>
  </si>
  <si>
    <t>Installation of weigh bridge : Rs. 5 to 15 lakhs</t>
  </si>
  <si>
    <t xml:space="preserve"> Litterbins (Appx.50Ltr.Capacity) : Rs. 2500</t>
  </si>
  <si>
    <t>Place litter bins at distance less than 100 meters or at every 50 m in commercial areas. This would improve collection of waste from commercial sources</t>
  </si>
  <si>
    <t>Periodic estimation of recyclable materials taken away by recycles will help ULB estimate better the waste that is being treated and being carried to the disposal site</t>
  </si>
  <si>
    <t>No cost</t>
  </si>
  <si>
    <t>No cost; this activity will increase water supply revenue</t>
  </si>
  <si>
    <t>Low cost; this activity will increase water supply revenue</t>
  </si>
  <si>
    <t xml:space="preserve">If transmission network carried water beyond its capacity then new network needs to be laid down. </t>
  </si>
  <si>
    <t>If existing source of water supply is not adequate to meet with demand then source needs to be augmented. New source of water should be reliable and sustainable.</t>
  </si>
  <si>
    <t>This activity will improve data reliability. At present due to absence of meter, water quantity value is estimated. Bulk flow meter will give the exact quantity of water supplied. Bulk flow meters are installed at various sources, WTPs and WDSs.</t>
  </si>
  <si>
    <t xml:space="preserve">General body needs to introduce policy to delink tenure from service provision in slums. </t>
  </si>
  <si>
    <t>INSTRUCTIONS FOR ACTION MATRIX</t>
  </si>
  <si>
    <t>Back to Action</t>
  </si>
  <si>
    <t>Link</t>
  </si>
  <si>
    <t>WS Plan</t>
  </si>
  <si>
    <t>WW Plan</t>
  </si>
  <si>
    <t>Municipal Finance</t>
  </si>
  <si>
    <t>Name</t>
  </si>
  <si>
    <t>Designation</t>
  </si>
  <si>
    <t>Phone No.</t>
  </si>
  <si>
    <t>E-Mail</t>
  </si>
  <si>
    <t>Accounts</t>
  </si>
  <si>
    <t>District</t>
  </si>
  <si>
    <t>Email ID</t>
  </si>
  <si>
    <t>Website</t>
  </si>
  <si>
    <t>Organisation</t>
  </si>
  <si>
    <t>WS</t>
  </si>
  <si>
    <t>WW</t>
  </si>
  <si>
    <t>SW</t>
  </si>
  <si>
    <t>FINAL LIST</t>
  </si>
  <si>
    <t>Activated Actions</t>
  </si>
  <si>
    <t>MAIN ACTIONS(SWM)</t>
  </si>
  <si>
    <t>WITH BLANK CELLS</t>
  </si>
  <si>
    <t xml:space="preserve">Capex                                                 </t>
  </si>
  <si>
    <t>Select SECTOR</t>
  </si>
  <si>
    <t>Water  supply</t>
  </si>
  <si>
    <t>Waste  water</t>
  </si>
  <si>
    <t>Solid  waste</t>
  </si>
  <si>
    <t>Total  WSS</t>
  </si>
  <si>
    <t>Key perforamance indicator calculations</t>
  </si>
  <si>
    <t>Orange</t>
  </si>
  <si>
    <t>Hours of supply (hours/day)</t>
  </si>
  <si>
    <t>Continuity of water supply (average hours/ day)</t>
  </si>
  <si>
    <t>Non functional meters repaired</t>
  </si>
  <si>
    <t>1.2. Others</t>
  </si>
  <si>
    <t>Functional meters + New meters added</t>
  </si>
  <si>
    <t>Rs. lakhs</t>
  </si>
  <si>
    <t>lpcd/ HH</t>
  </si>
  <si>
    <t>Growth rate for slums</t>
  </si>
  <si>
    <t>Growth rate for city</t>
  </si>
  <si>
    <t>Households resorting to open defecation in slums</t>
  </si>
  <si>
    <t>Per household generation of waste</t>
  </si>
  <si>
    <t>Kg/ HH/ day</t>
  </si>
  <si>
    <t>Total generation of waste per day</t>
  </si>
  <si>
    <t>Waste that is taken away by intermediaries (tons/ day)</t>
  </si>
  <si>
    <t xml:space="preserve">Solid waste tariff based on flat rate </t>
  </si>
  <si>
    <t>Solid waste charges as based on property tax</t>
  </si>
  <si>
    <t>Total Solid waste revenue billed</t>
  </si>
  <si>
    <t>Growth rate per annum (%)</t>
  </si>
  <si>
    <t>Weightage</t>
  </si>
  <si>
    <t>KPI VALUES</t>
  </si>
  <si>
    <t>FINAL KPI VALUES</t>
  </si>
  <si>
    <t>Water supply services</t>
  </si>
  <si>
    <t>Sector Performance</t>
  </si>
  <si>
    <t>Finance summary - Present Value</t>
  </si>
  <si>
    <t>Priority score</t>
  </si>
  <si>
    <t>EXTENT OF REVENUE WATER (This formula has been adjusted to caluclate NRW coz of its reverse benchmark)</t>
  </si>
  <si>
    <t>Discount rate</t>
  </si>
  <si>
    <t>Total capex - Current price</t>
  </si>
  <si>
    <t>Total capex - Present value</t>
  </si>
  <si>
    <t>WS - Exp</t>
  </si>
  <si>
    <t>WS - Rev</t>
  </si>
  <si>
    <t>Municipal finance - Current price</t>
  </si>
  <si>
    <t>WW - Rev</t>
  </si>
  <si>
    <t>WW - Exp</t>
  </si>
  <si>
    <t>SW - Rev</t>
  </si>
  <si>
    <t>SW - Exp</t>
  </si>
  <si>
    <t>Municipal finance - Present value</t>
  </si>
  <si>
    <t>PV of capex</t>
  </si>
  <si>
    <t>NPV of O&amp;M costs - rev</t>
  </si>
  <si>
    <t>Present values</t>
  </si>
  <si>
    <t>Example</t>
  </si>
  <si>
    <t>Equal</t>
  </si>
  <si>
    <t>Instructions for using this sheet:</t>
  </si>
  <si>
    <t>Yes / No</t>
  </si>
  <si>
    <t>Quantity of waste possible to dispose at sanitary landfill (Tons/ day)</t>
  </si>
  <si>
    <t>Quantity actually disposed at landfill (calculated based on designed capacity and capacity remaining) - OLD LANDFILL</t>
  </si>
  <si>
    <t>Quantity actually disposed at landfill (calculated based on designed capacity and capacity remaining) - NEW LANDFILL</t>
  </si>
  <si>
    <t>Quantity possisle to dispose at new landfill</t>
  </si>
  <si>
    <t>Public toilets</t>
  </si>
  <si>
    <t>Overall city  (including slums)</t>
  </si>
  <si>
    <t>New community toilets</t>
  </si>
  <si>
    <t>Number of HHs dependent - SLUMS</t>
  </si>
  <si>
    <t>HHs dependent - SLUMS</t>
  </si>
  <si>
    <t>New Public toilets</t>
  </si>
  <si>
    <t>Public toilet faciliites</t>
  </si>
  <si>
    <t>Refurbished toilet seats</t>
  </si>
  <si>
    <t>Summary of community toilet seats</t>
  </si>
  <si>
    <t>Total MSW generators</t>
  </si>
  <si>
    <t>Establishments - CITY</t>
  </si>
  <si>
    <t>Seg_Estab CITY</t>
  </si>
  <si>
    <t>Total MSW segregated generators</t>
  </si>
  <si>
    <t>Scientific landfill</t>
  </si>
  <si>
    <t>Open dump site</t>
  </si>
  <si>
    <t>Total quantity of waste at scientifc landfill</t>
  </si>
  <si>
    <t>Residential properties</t>
  </si>
  <si>
    <t>Mode of charging</t>
  </si>
  <si>
    <t>Schedule of SWM taxes &amp; charges levied</t>
  </si>
  <si>
    <t>Levied</t>
  </si>
  <si>
    <t>Newly charged</t>
  </si>
  <si>
    <t>Yes = 1, No = 0</t>
  </si>
  <si>
    <t>Flat rate</t>
  </si>
  <si>
    <t>Total MSW related demand_OLD PROP.</t>
  </si>
  <si>
    <t>Total MSW related demand_NEW PROP.</t>
  </si>
  <si>
    <t>Total waste water related demand_NEW PROP.</t>
  </si>
  <si>
    <t>Schedule of WW taxes &amp; charges levied</t>
  </si>
  <si>
    <t>Schedule of WS taxes &amp; charges levied</t>
  </si>
  <si>
    <t xml:space="preserve">Volumetric rate </t>
  </si>
  <si>
    <t>Total water related demand_OLD PROP.</t>
  </si>
  <si>
    <t>Total water related demand_NEW PROP.</t>
  </si>
  <si>
    <t>FINAL volumetric tariff</t>
  </si>
  <si>
    <t>FINAL flat tariff for half inch</t>
  </si>
  <si>
    <t>PLANNING OBJECTIVES</t>
  </si>
  <si>
    <t>SECTOR GOALS</t>
  </si>
  <si>
    <t>Does the city have sewerage network?</t>
  </si>
  <si>
    <t>Options:</t>
  </si>
  <si>
    <t>Municipal Finance Summary</t>
  </si>
  <si>
    <t>Overall Municipal Finance</t>
  </si>
  <si>
    <t>Only Tariff</t>
  </si>
  <si>
    <t>Tariff w escalation</t>
  </si>
  <si>
    <t>MSW related demand/ property_only tariff</t>
  </si>
  <si>
    <t>MSW related demand/ property_with escalation &amp; start levying new</t>
  </si>
  <si>
    <t>WW related demand/ property_with escalation &amp; start levying new</t>
  </si>
  <si>
    <t>Tariff/ HH/ annum</t>
  </si>
  <si>
    <t>Total WW related demand_OLD PROP.</t>
  </si>
  <si>
    <t>Waste water demand/ property_only tariff</t>
  </si>
  <si>
    <t>Flat rate per half inch conn - Proposed tariff</t>
  </si>
  <si>
    <t>Increment ratio</t>
  </si>
  <si>
    <t>Water related demand/ property_with escalation &amp; start levying new</t>
  </si>
  <si>
    <t>PIP Capex Finance - for improving present services</t>
  </si>
  <si>
    <t>PIP Capex Finance - forservicing unserved areas</t>
  </si>
  <si>
    <t>Municipal Finance Ratios</t>
  </si>
  <si>
    <t>Telephone No.</t>
  </si>
  <si>
    <t>Fax No.</t>
  </si>
  <si>
    <t>Wastewater</t>
  </si>
  <si>
    <t>Sr. No.</t>
  </si>
  <si>
    <t>Surface water - Own Source</t>
  </si>
  <si>
    <t xml:space="preserve">Total installed capacity of all WTPs </t>
  </si>
  <si>
    <t>Water treatment plant (WTP)</t>
  </si>
  <si>
    <t>Estimated losses at WTPs</t>
  </si>
  <si>
    <t>Functional metered connections</t>
  </si>
  <si>
    <t>Volumetric user charges</t>
  </si>
  <si>
    <t>Metric tonnes</t>
  </si>
  <si>
    <t>Sr. no.</t>
  </si>
  <si>
    <t>Water supply revenue and expenditure</t>
  </si>
  <si>
    <t>B. Process/policy improvement measures</t>
  </si>
  <si>
    <t>Extent of non- revenue water</t>
  </si>
  <si>
    <t>Efficiency in redressal of complaints</t>
  </si>
  <si>
    <t>Per capita supply of water</t>
  </si>
  <si>
    <t>WASTEWATER</t>
  </si>
  <si>
    <t>No. of non-functional meters</t>
  </si>
  <si>
    <t>ii) Domestic slum connections</t>
  </si>
  <si>
    <t>i) Domestic non-slum connections</t>
  </si>
  <si>
    <t>Grants and contributions</t>
  </si>
  <si>
    <t>Administrative and establishment expenses</t>
  </si>
  <si>
    <t>Wastewater services</t>
  </si>
  <si>
    <t>This activity will help in identifying losses in water supply network and also suggest strategy for losses reduction.  Usually water audit study is carried out by consultant, ULB will float tender for this work. Water audit study will include quantity measurement at various places like sources, water treatment plants (WTPs), water distribution stations (WDSs) and at consumer ends. This is medium cost activity.</t>
  </si>
  <si>
    <t xml:space="preserve">There is no regular practice of checking and repairing water supply pipes, valves and reservoirs. This action suggests implementing regular checking and repairing of storage tanks, valves and pipelines.  This is process change action. </t>
  </si>
  <si>
    <t>Install computerised complain redressal mechanism which will enable consumers to do short messaging service (sms)/ telephone based complain recording system.</t>
  </si>
  <si>
    <t>Other measures to optimise power and energy expenses</t>
  </si>
  <si>
    <t xml:space="preserve"> Construction of New Engineering Landfill Site : Rs. 104 / MT</t>
  </si>
  <si>
    <t>Customise</t>
  </si>
  <si>
    <t>iii) Digitisation of satellite image</t>
  </si>
  <si>
    <t>First map the existing process of billing and collection system. Identify the intervention to improve the process and then passed order for new billing and collection system. Interventions can be introduction of computerised billing and collection system, incentives for early payments, privatisation of collection of arrears etc.</t>
  </si>
  <si>
    <t>Solid waste revenue and expenditure</t>
  </si>
  <si>
    <t>Based on actual growth rate for 2001 and 2011</t>
  </si>
  <si>
    <t>City Area and wards</t>
  </si>
  <si>
    <t>Actual Drawl in MLD</t>
  </si>
  <si>
    <t>C. Existing system improvement measures</t>
  </si>
  <si>
    <t>Existing system improvement measures</t>
  </si>
  <si>
    <t>Financial sustainability</t>
  </si>
  <si>
    <t>Customised actions</t>
  </si>
  <si>
    <t>WS Customised action 1</t>
  </si>
  <si>
    <t>WS Customised action 2</t>
  </si>
  <si>
    <t>Cost will depend on size of city, length and nodes of water supply network, no of bulk flow meters etc. For more details refer Annexure 1</t>
  </si>
  <si>
    <t>Installation of two bin system at household level. It’s a low cost action. Households may start to segregate biodegradable and non-biodegradable waste. Which would directly reduce the load on treatment plant as only biodegradable waste would be treated and non-biodegradable would be sent directly to the disposal site.</t>
  </si>
  <si>
    <t>Door to  door collection activity and other SWM activities are highly labour intensive. Majority of staff of SWM services is required for door to door collection of waste and it forms a huge portion of O&amp;M costs of SWM operations. If the ULB does not have enough staff for door to door collection and other SWM processes, there should be a process or a state policy of contracting out services to RWA/NGOs/ other private service providers etc. This will in turn reduce the load on ULB to provide the services by its own staff and also may reduce the O&amp;M expenditure of ULB on door to door collection.</t>
  </si>
  <si>
    <t>By maintaining daily logs of waste collected, transported etc. reliability of data improves to a great extent, which would help in turn to plan for activities that precede this activity.</t>
  </si>
  <si>
    <t>This is a low cost action. The number of bins to be placed in the city would  depend on waste generated, As per CPHEEO norms the bins to be placed in a city should be double the waste generated in the city. Distance between secondary bins is also a important parameter. As per CPHEEO norms, such bins should be at a distance not exceeding 250 meters from the place of work of the sweepers. The distance between two bins should, therefore, not exceed 500 meters. The distance between the bins can be determined on the basis of the load of  garbage/refuse that is likely to be received at the container from the area concerned. This would help to collect more waste and lead to litter free city</t>
  </si>
  <si>
    <t xml:space="preserve"> 7 cu. m (3.5 MT)  M.S. Containers (GREEN) for secondary waste depot sites : Rs. 65,000,    4.5 cum  M.S. Containers (BLACK) for secondary waste depot sites: Rs. 45,000 ,   5 cum skip containers for Construction and Demolition sites in Zones: Rs. 48,000,  RCC flooring to secondary bins storage sites:   Rs. 70,000      </t>
  </si>
  <si>
    <t xml:space="preserve">By construction of transfer station, more wastes can be collected at one point as trips can be increased without increase in number of vehicles and this would avoid littering or open dumping of wastes on roads. The cost will depend upon quantum of waste coming to the transfer station. The capital cost of construction is substantial, but the fuel charges for transporting the waste is reduced.  As per CPHEEO, for large cities where disposal sites are more than 10 km. away from the city boundary and smaller vehicles are used for transportation of waste, it is economical to have a transfer station </t>
  </si>
  <si>
    <t>It’s a process action, some of the processes like registering of complaints, transfer of complaints to the concerned department, follow up with concerned department and after compliant is redressed department needs to report back. This all processes need to be addressed in this action. There should also be a process for periodically reviewing the type of complaints that are being registered.</t>
  </si>
  <si>
    <t>It is a process action, there should be review of operating practices and routines at the landfill site, which would help to minimise the O&amp;M expenses for the landfill site as well as plan for the future incoming wastes.</t>
  </si>
  <si>
    <t>WASTEWATER SERVICES</t>
  </si>
  <si>
    <t>Coll eff if no WW charges are levied</t>
  </si>
  <si>
    <t>Coll eff if no SW charges are levied</t>
  </si>
  <si>
    <t>- Cost of carrying out of the activity (lump sum)</t>
  </si>
  <si>
    <t>- O&amp;M expenses, if any</t>
  </si>
  <si>
    <t>- Possibility of further reduction in power costs by implementing certain actions</t>
  </si>
  <si>
    <t>- Targeted level of current collection efficiency</t>
  </si>
  <si>
    <t>- Targeted level of arrear collection efficiency</t>
  </si>
  <si>
    <t xml:space="preserve">- O&amp;M expenses </t>
  </si>
  <si>
    <t>- Trucks</t>
  </si>
  <si>
    <t>- Dumper placers</t>
  </si>
  <si>
    <t>- Mini lorries</t>
  </si>
  <si>
    <t>- Tractor trailer</t>
  </si>
  <si>
    <t>- Tipper trucks</t>
  </si>
  <si>
    <t>- Three wheeler auto tippers</t>
  </si>
  <si>
    <t>- Targeted level of consumer grievance redressal</t>
  </si>
  <si>
    <r>
      <t xml:space="preserve">Bulk water 
</t>
    </r>
    <r>
      <rPr>
        <i/>
        <sz val="10"/>
        <color theme="1"/>
        <rFont val="Calibri"/>
        <family val="2"/>
        <scheme val="minor"/>
      </rPr>
      <t>(only for quantity of water being bought in base year)</t>
    </r>
  </si>
  <si>
    <t>Improve collection efficiency of property tax</t>
  </si>
  <si>
    <t xml:space="preserve">Mode of charging </t>
  </si>
  <si>
    <t>Select type of budget figures provided for each year</t>
  </si>
  <si>
    <t>Water at this level</t>
  </si>
  <si>
    <t>losses</t>
  </si>
  <si>
    <t>KPIs</t>
  </si>
  <si>
    <t>LAIs</t>
  </si>
  <si>
    <t>Popn. served</t>
  </si>
  <si>
    <t>Revenue account</t>
  </si>
  <si>
    <t>Capital account</t>
  </si>
  <si>
    <t>New connection charges</t>
  </si>
  <si>
    <t>If No, and if planned to levy then start it from which year ?</t>
  </si>
  <si>
    <t xml:space="preserve"> </t>
  </si>
  <si>
    <t>FINANCING PLAN</t>
  </si>
  <si>
    <t>3. Review average Property tax demand per property</t>
  </si>
  <si>
    <t>1. New connection charges for water supply connection</t>
  </si>
  <si>
    <t>Comm./ Institut.</t>
  </si>
  <si>
    <t>1. Solid waste charges based on flat rate</t>
  </si>
  <si>
    <t>1. New connection charges for sewerage connection</t>
  </si>
  <si>
    <t xml:space="preserve">TARIFFS FOR SOLID WASTE MANAGEMENT SERVICES </t>
  </si>
  <si>
    <t>Financing Plan</t>
  </si>
  <si>
    <t>TRANSFER OF NON WSS SURPLUS FOR WSS EXPENSES - Past trends</t>
  </si>
  <si>
    <t>Non WSS Capin surplus</t>
  </si>
  <si>
    <t>Surplus</t>
  </si>
  <si>
    <t>% transfer</t>
  </si>
  <si>
    <t xml:space="preserve">Transfer amount </t>
  </si>
  <si>
    <t>NON WSS SURPLUS</t>
  </si>
  <si>
    <t>Non WSS Revenue surplus</t>
  </si>
  <si>
    <t>Borrowing amount</t>
  </si>
  <si>
    <t>Waste collection</t>
  </si>
  <si>
    <t>Primary collection - doorstep collection</t>
  </si>
  <si>
    <t>Primary collection - at secondary storage</t>
  </si>
  <si>
    <t>Waste collected</t>
  </si>
  <si>
    <t>Total waste collected</t>
  </si>
  <si>
    <t>Amount of MSW stored safely</t>
  </si>
  <si>
    <t>Extraordinary expenditure</t>
  </si>
  <si>
    <t>Extraordinary receipts</t>
  </si>
  <si>
    <t>Grant-in-aids</t>
  </si>
  <si>
    <t>Adequacy of septage treatment facilities</t>
  </si>
  <si>
    <t>Extent of reuse and recycling of treated watsewater and septage (%)</t>
  </si>
  <si>
    <t xml:space="preserve">Extent of Non-revenue water </t>
  </si>
  <si>
    <t xml:space="preserve">Quality of water supplied </t>
  </si>
  <si>
    <t xml:space="preserve">Efficiency in redressal of customer complaints </t>
  </si>
  <si>
    <t xml:space="preserve">Cost recovery in water supply services </t>
  </si>
  <si>
    <t xml:space="preserve">Extent of cost recovery in wastewater services </t>
  </si>
  <si>
    <t>Individual toilets w/o safe sanitation</t>
  </si>
  <si>
    <t>Community toilets w/o safe sanitation</t>
  </si>
  <si>
    <t>Incidence of water logging/ flooding</t>
  </si>
  <si>
    <t>Adequacy of treatment capacity for waste water from drainage  (%)</t>
  </si>
  <si>
    <t>General property tax</t>
  </si>
  <si>
    <t>Current property tax - BILLED</t>
  </si>
  <si>
    <t>Current property tax - COLLECTED</t>
  </si>
  <si>
    <t>Arrear property tax - BILLED</t>
  </si>
  <si>
    <t>Arrear property tax - COLLECTED</t>
  </si>
  <si>
    <t>Total property tax collected</t>
  </si>
  <si>
    <t>Consolidated Property tax other than WSS - BAU</t>
  </si>
  <si>
    <t>Others - BILLED</t>
  </si>
  <si>
    <t>Property tax demand/property_OLD PROP</t>
  </si>
  <si>
    <t>Total BILLED</t>
  </si>
  <si>
    <t>Number of Flood Prone Points in the city</t>
  </si>
  <si>
    <t xml:space="preserve">Average Frequency of Flooding </t>
  </si>
  <si>
    <t>Storm water drainage</t>
  </si>
  <si>
    <t>Average frequency of flooding at these points</t>
  </si>
  <si>
    <t>Normative avg flooding in a year</t>
  </si>
  <si>
    <t xml:space="preserve">Quality of wastewater and septage treatment </t>
  </si>
  <si>
    <t>Conduct regular wastewater and septage quality tests at laboratory, if not done</t>
  </si>
  <si>
    <t>- Current level of wastewater and septage treatment quality</t>
  </si>
  <si>
    <t>Septage treated</t>
  </si>
  <si>
    <t>Septage reused</t>
  </si>
  <si>
    <t>Community &amp; public toilet septic tanks</t>
  </si>
  <si>
    <t>New Public toilets + old functional public toilet BLOCKS</t>
  </si>
  <si>
    <t>New Public toilets + old functional public toilet SEATS</t>
  </si>
  <si>
    <t>Quality of waste water treatment and septage (%)</t>
  </si>
  <si>
    <t>Three wheeler auto tippers</t>
  </si>
  <si>
    <t>Tipper trucks</t>
  </si>
  <si>
    <t>Tractor trailer</t>
  </si>
  <si>
    <t>Mini lorries</t>
  </si>
  <si>
    <t>Dumper placers</t>
  </si>
  <si>
    <t>Trucks</t>
  </si>
  <si>
    <t>New vehicles</t>
  </si>
  <si>
    <t>Old vehicles number of trips</t>
  </si>
  <si>
    <t>Waste generated from old vehicles</t>
  </si>
  <si>
    <t>Increase in no. of trips</t>
  </si>
  <si>
    <t>Septage collected</t>
  </si>
  <si>
    <t>ULB operated</t>
  </si>
  <si>
    <t>Cu.m./ month</t>
  </si>
  <si>
    <t>Recyclce and reuse of WW &amp; septage</t>
  </si>
  <si>
    <t>Suction emptier trucks of Private operators</t>
  </si>
  <si>
    <t>Revenue generated by ULB_old trucks</t>
  </si>
  <si>
    <t>Revenue generated by ULB_new trucks</t>
  </si>
  <si>
    <t>Additional O&amp;M for old trucks</t>
  </si>
  <si>
    <t>Population per thousand</t>
  </si>
  <si>
    <t xml:space="preserve">Septage generated </t>
  </si>
  <si>
    <t>Treated</t>
  </si>
  <si>
    <t>Total receipts</t>
  </si>
  <si>
    <t>Receipts</t>
  </si>
  <si>
    <t>Expenditure</t>
  </si>
  <si>
    <t>EXTRAORDINARY ACCOUNT</t>
  </si>
  <si>
    <t>Volumetric tariff</t>
  </si>
  <si>
    <t>WW flat tariff</t>
  </si>
  <si>
    <t>WS New conn charge</t>
  </si>
  <si>
    <t>WW New conn</t>
  </si>
  <si>
    <t>Starting balance</t>
  </si>
  <si>
    <t>Extraordinary account status</t>
  </si>
  <si>
    <t>Non WSS transfer</t>
  </si>
  <si>
    <t>WSS capin</t>
  </si>
  <si>
    <t>WSS Revenue account status</t>
  </si>
  <si>
    <t>Non WSS Revenue account status</t>
  </si>
  <si>
    <t>Non WSS Capital account status</t>
  </si>
  <si>
    <t>Budget heads</t>
  </si>
  <si>
    <t>Difference btw PIP &amp; tariff</t>
  </si>
  <si>
    <t>Additional income generated</t>
  </si>
  <si>
    <t>IMPACT OF FINANCING PLAN ON MUNICIPAL FINANCES</t>
  </si>
  <si>
    <t>Property tax demand per HH</t>
  </si>
  <si>
    <t>Difference btw BAU &amp; PIP</t>
  </si>
  <si>
    <t>KEY FINANCING DECISIONS</t>
  </si>
  <si>
    <t>Link to</t>
  </si>
  <si>
    <t>Review past trends</t>
  </si>
  <si>
    <t>OVERALL MUNICIPAL FINANCE</t>
  </si>
  <si>
    <t>Closing balance*</t>
  </si>
  <si>
    <t>Services other than water supply and sanitation (Non WSS)</t>
  </si>
  <si>
    <t>Water supply and sanitation services (WSS)</t>
  </si>
  <si>
    <t>WSS rev inc - BAU</t>
  </si>
  <si>
    <t>WSS rev inc - Tariff revision</t>
  </si>
  <si>
    <t>Non WSS rev surplus transfer</t>
  </si>
  <si>
    <t>Non WSS rev account</t>
  </si>
  <si>
    <t>Rate multiple - GR</t>
  </si>
  <si>
    <t>NON WSS REVENUE ACCOUNT</t>
  </si>
  <si>
    <t>Schedule of taxes and charges</t>
  </si>
  <si>
    <t>Volumetric Tariff for half inch conn</t>
  </si>
  <si>
    <t>Kl consumed per annum</t>
  </si>
  <si>
    <t>Avg tariff per HH for volumetric</t>
  </si>
  <si>
    <t>Households resorting to open defecation in CITY</t>
  </si>
  <si>
    <t>Community toilet facilities</t>
  </si>
  <si>
    <t>Coverage of community toilets - CITY</t>
  </si>
  <si>
    <t>Coverage of community toilets - SLUMS</t>
  </si>
  <si>
    <t>Waste segregation in new areas</t>
  </si>
  <si>
    <t>Waste segregation in already served areas</t>
  </si>
  <si>
    <t>HHs already served_CITY</t>
  </si>
  <si>
    <t>Seg_HHs SLUMS</t>
  </si>
  <si>
    <t>WS total</t>
  </si>
  <si>
    <t>Full marks</t>
  </si>
  <si>
    <t>Marks received</t>
  </si>
  <si>
    <t>Debt servicing</t>
  </si>
  <si>
    <t>ORIGINAL</t>
  </si>
  <si>
    <t>REVISIONS</t>
  </si>
  <si>
    <t>RI after trasnfer to Non WSS capex</t>
  </si>
  <si>
    <t>RI after trasnfer to Extraordinary</t>
  </si>
  <si>
    <t>Non WSS surplus amount transferred</t>
  </si>
  <si>
    <t>NON WSS rev surplus remaining after transfer</t>
  </si>
  <si>
    <t>NON WSS CAPITAL ACCOUNT</t>
  </si>
  <si>
    <t>I) Transfer to Non WSS capex</t>
  </si>
  <si>
    <t>I) Transfer to Extraordinary</t>
  </si>
  <si>
    <t>I) Transfer to WSS rev inc</t>
  </si>
  <si>
    <t>Closing status</t>
  </si>
  <si>
    <t>Rev surplus availbale for WSS transfer</t>
  </si>
  <si>
    <t>Revenue surplus transferred</t>
  </si>
  <si>
    <t>Debt service coverage</t>
  </si>
  <si>
    <t>WSS REVENUE ACCOUNT</t>
  </si>
  <si>
    <t>Surplus transferred to WSS capex</t>
  </si>
  <si>
    <t>Surplus available for transfer to WSS capex</t>
  </si>
  <si>
    <t>Operating ratio</t>
  </si>
  <si>
    <t>WSS surplus transferred to WSS capex</t>
  </si>
  <si>
    <t>Capital receipts - already approved capin</t>
  </si>
  <si>
    <t>WSS rev surplus transfer</t>
  </si>
  <si>
    <t>Debt</t>
  </si>
  <si>
    <t>Non WSS capin transfer</t>
  </si>
  <si>
    <t>NON WSS REV SURPLUS TRANSFER</t>
  </si>
  <si>
    <t>NON WSS CAPEX TRANSFER TO WSS CAPEX</t>
  </si>
  <si>
    <t>Non WSS capex surplus available for transfer</t>
  </si>
  <si>
    <t>Surplus to be transferred</t>
  </si>
  <si>
    <t>WSS revenue receipts</t>
  </si>
  <si>
    <t>Non WSS revenue receipts</t>
  </si>
  <si>
    <t>WSS revenue expenditure</t>
  </si>
  <si>
    <t>Non WSS revenue expenditure</t>
  </si>
  <si>
    <t>WSS capex</t>
  </si>
  <si>
    <t>Non WSS capin</t>
  </si>
  <si>
    <t>Total capin</t>
  </si>
  <si>
    <t>Non WSS capex</t>
  </si>
  <si>
    <t>Total capex</t>
  </si>
  <si>
    <t>SUMMARY</t>
  </si>
  <si>
    <t>WSS CAPITAL ACCOUNT</t>
  </si>
  <si>
    <t>Soak pits</t>
  </si>
  <si>
    <t>Information, education and communication (IEC) campaigns for sanitation awareness</t>
  </si>
  <si>
    <t>Beneficiary share</t>
  </si>
  <si>
    <r>
      <rPr>
        <b/>
        <sz val="20"/>
        <color theme="0"/>
        <rFont val="Franklin Gothic Demi"/>
        <family val="2"/>
      </rPr>
      <t xml:space="preserve">Performance Assessment System </t>
    </r>
    <r>
      <rPr>
        <b/>
        <sz val="18"/>
        <color theme="0"/>
        <rFont val="Franklin Gothic Demi"/>
        <family val="2"/>
      </rPr>
      <t xml:space="preserve">
PAS Project </t>
    </r>
  </si>
  <si>
    <t>Better information for better urban water and sanitation</t>
  </si>
  <si>
    <t>Miscellaneous</t>
  </si>
  <si>
    <r>
      <t xml:space="preserve">Municipal taxes and cess
</t>
    </r>
    <r>
      <rPr>
        <sz val="10"/>
        <color theme="1"/>
        <rFont val="Calibri"/>
        <family val="2"/>
        <scheme val="minor"/>
      </rPr>
      <t>1.1. Consolidated property tax</t>
    </r>
  </si>
  <si>
    <r>
      <t xml:space="preserve">Own source of revenues
</t>
    </r>
    <r>
      <rPr>
        <i/>
        <sz val="11"/>
        <rFont val="Calibri"/>
        <family val="2"/>
        <scheme val="minor"/>
      </rPr>
      <t>1.1. Taxes and charges</t>
    </r>
  </si>
  <si>
    <t xml:space="preserve">1.2. Others          </t>
  </si>
  <si>
    <t>Number of HHs dependent per toilet seat- SLUMS</t>
  </si>
  <si>
    <t>Other tax</t>
  </si>
  <si>
    <t>Other tax escalation rate</t>
  </si>
  <si>
    <t>Share of BAU conn in total conn</t>
  </si>
  <si>
    <t>Waste to be processed at the processing plant</t>
  </si>
  <si>
    <t>OLD PLANT</t>
  </si>
  <si>
    <t>Waste to be processed here</t>
  </si>
  <si>
    <t>NEW PLANT</t>
  </si>
  <si>
    <t>% of waste processed as byproduct_NEW PLANT</t>
  </si>
  <si>
    <t>Waste sent as rejects to landfill</t>
  </si>
  <si>
    <t>Waste not processed at the plant</t>
  </si>
  <si>
    <t>Beneficiary</t>
  </si>
  <si>
    <t>ULB share</t>
  </si>
  <si>
    <t>SOURCES OF FUNDS FOR CAPITAL EXPENDITURE</t>
  </si>
  <si>
    <t>Click here to view</t>
  </si>
  <si>
    <t>Additional revenue</t>
  </si>
  <si>
    <t>Sources of funds</t>
  </si>
  <si>
    <t>Sector colour code</t>
  </si>
  <si>
    <t>Additional O&amp;M expense</t>
  </si>
  <si>
    <t>Length of settled sewer</t>
  </si>
  <si>
    <t>Area</t>
  </si>
  <si>
    <t>Wastewater treatment quality</t>
  </si>
  <si>
    <t>Number of community toilet blocks</t>
  </si>
  <si>
    <t>Septage treatment quality</t>
  </si>
  <si>
    <t>Blocks</t>
  </si>
  <si>
    <t>Seats</t>
  </si>
  <si>
    <t>Estimated households having unauthorised sewerage connections (%)</t>
  </si>
  <si>
    <t>Open defecation</t>
  </si>
  <si>
    <t>Slum households</t>
  </si>
  <si>
    <t>Area covered by sewerage network</t>
  </si>
  <si>
    <t>Number of functional community toilet seats - SLUMS</t>
  </si>
  <si>
    <t>Non Slums</t>
  </si>
  <si>
    <t>Functional toilet seats</t>
  </si>
  <si>
    <t>Sewage treatment plant</t>
  </si>
  <si>
    <t>Other unsafe systems</t>
  </si>
  <si>
    <t>Community toilet septic tank blocks</t>
  </si>
  <si>
    <t>Public toilet septic tank blocks</t>
  </si>
  <si>
    <t>- Cost of upgradation/ repair in plant, if required (lump sum)</t>
  </si>
  <si>
    <t>Quantity of byproduct produced</t>
  </si>
  <si>
    <t>% WW reused after treatment</t>
  </si>
  <si>
    <t>Quantity of WW reused</t>
  </si>
  <si>
    <t>WW treated at old plant</t>
  </si>
  <si>
    <t>OLD STP</t>
  </si>
  <si>
    <t>NEW STP</t>
  </si>
  <si>
    <t>WW treated at new plant</t>
  </si>
  <si>
    <t>OLD plant</t>
  </si>
  <si>
    <t>NEW plant</t>
  </si>
  <si>
    <t>Sewage</t>
  </si>
  <si>
    <t>WW treated</t>
  </si>
  <si>
    <t>WW reused</t>
  </si>
  <si>
    <t xml:space="preserve"> Sewage treated at old plant</t>
  </si>
  <si>
    <t>%  Sewage reused after treatment</t>
  </si>
  <si>
    <t xml:space="preserve"> Sewage treated at new plant</t>
  </si>
  <si>
    <t>Quantity of Sewage reused</t>
  </si>
  <si>
    <t>Area covered with sewerage &amp; drains for storm water</t>
  </si>
  <si>
    <t>Total non residential connections</t>
  </si>
  <si>
    <t>Total residential connections_non slums</t>
  </si>
  <si>
    <t>Total residential connections_slums</t>
  </si>
  <si>
    <t>Sewerage connections _ POPULATION GROWTH</t>
  </si>
  <si>
    <t>Total Sewerage connections_PIP ACTIONS</t>
  </si>
  <si>
    <t>2. New connection charges for settled sewer connection</t>
  </si>
  <si>
    <t>Revenue_PIP</t>
  </si>
  <si>
    <t>Revenue_Tariff</t>
  </si>
  <si>
    <t>Cost recovery in water supply services</t>
  </si>
  <si>
    <t>Coverage of Toilets</t>
  </si>
  <si>
    <t>Coverage of Storm Water Drainage Network</t>
  </si>
  <si>
    <t>Incidence of water logging/flooding</t>
  </si>
  <si>
    <t>Efficiency of collection of municipal solid waste</t>
  </si>
  <si>
    <t>Extent of segregation of municipal solid waste</t>
  </si>
  <si>
    <t>Extent of municipal solid waste recovered</t>
  </si>
  <si>
    <t>Extent of scientific disposal of municipal solid waste</t>
  </si>
  <si>
    <t>Extent of cost recovery in solid waste management services</t>
  </si>
  <si>
    <t>Coverage of distribution network</t>
  </si>
  <si>
    <t>Efficiency in service operation</t>
  </si>
  <si>
    <t>Service level and quality</t>
  </si>
  <si>
    <t>Unit production cost of water supply</t>
  </si>
  <si>
    <t>Per capita revenue expenditure</t>
  </si>
  <si>
    <t>Per capita revenue income</t>
  </si>
  <si>
    <t>Billed arrears to total billed demand</t>
  </si>
  <si>
    <t xml:space="preserve">Coverage of individual household toilets in city </t>
  </si>
  <si>
    <t xml:space="preserve">Coverage of individual household toilets in slums </t>
  </si>
  <si>
    <t>Adequacy of sewage and septage treatment capacity</t>
  </si>
  <si>
    <t>Unit cost of collection/disposal of wastewater </t>
  </si>
  <si>
    <t>Adequacy of transportation capacity</t>
  </si>
  <si>
    <t>Unit cost of solid waste management services</t>
  </si>
  <si>
    <t>Performance of Water supply services</t>
  </si>
  <si>
    <t>Performance levels</t>
  </si>
  <si>
    <t>Increase in area covered</t>
  </si>
  <si>
    <t>sq kms</t>
  </si>
  <si>
    <t xml:space="preserve">Extent of metering of water supply connections </t>
  </si>
  <si>
    <t>Percentage of total functional meter connections</t>
  </si>
  <si>
    <t>Per capita supply for indivi conn at consumer end</t>
  </si>
  <si>
    <t>Per capita supply for indivi conn at supply end</t>
  </si>
  <si>
    <t>Collection efficiency of arrear demand</t>
  </si>
  <si>
    <t>NRW as a percentage of output of WTP_SLB</t>
  </si>
  <si>
    <t>NRW as a % of Total water produced_PAS</t>
  </si>
  <si>
    <t>Efficiency in collection of solid waste charges</t>
  </si>
  <si>
    <t xml:space="preserve">Extent of reuse/ recycling of treated wastewater and septage </t>
  </si>
  <si>
    <t>Coverage of household level solid waste services in city</t>
  </si>
  <si>
    <t xml:space="preserve">Coverage of household level solid waste services in slums </t>
  </si>
  <si>
    <t>Coverage of individual water supply connection in slum</t>
  </si>
  <si>
    <t>rs/ person</t>
  </si>
  <si>
    <t>Adequacy of wastewater and septage treatment capacity</t>
  </si>
  <si>
    <t>Collection efficiency of wastewater networks_SLB for sewerage network only</t>
  </si>
  <si>
    <t>HHs served by secondary solid waste collection system in city</t>
  </si>
  <si>
    <t>rs/kg</t>
  </si>
  <si>
    <t>Solid waste management</t>
  </si>
  <si>
    <t>Performance of Solid waste management</t>
  </si>
  <si>
    <t>Central Grants</t>
  </si>
  <si>
    <t>State Grants</t>
  </si>
  <si>
    <t>4. External borrowings</t>
  </si>
  <si>
    <t>State grants</t>
  </si>
  <si>
    <t>Private player</t>
  </si>
  <si>
    <t>Household level coverage of SWM services through door-to-door collection of waste</t>
  </si>
  <si>
    <t>Household level coverage of SWM services_SLB</t>
  </si>
  <si>
    <t>Coverage of households with adequate sanitation system</t>
  </si>
  <si>
    <t>Coverage of toilets_SLB</t>
  </si>
  <si>
    <t>Properties w toilets</t>
  </si>
  <si>
    <t>Coverage of sewage network services</t>
  </si>
  <si>
    <t>Adequacy of sewage treatment capacity</t>
  </si>
  <si>
    <t>Extent of reuse and recycling of sewage</t>
  </si>
  <si>
    <t>Quality of sewage treatment</t>
  </si>
  <si>
    <t>Efficiency in collection of sewage charges</t>
  </si>
  <si>
    <t>SLB indicator</t>
  </si>
  <si>
    <t>Adequacy of Sewage treatment capacity_SLB</t>
  </si>
  <si>
    <t>Adequacy of sewage treatment capacity_PIP model</t>
  </si>
  <si>
    <t>Quality of sewage treatment (%)_ SLB</t>
  </si>
  <si>
    <t>Quality of treatment</t>
  </si>
  <si>
    <t xml:space="preserve">Waste water </t>
  </si>
  <si>
    <t>Septage</t>
  </si>
  <si>
    <t>Sewage reused &amp; recycled</t>
  </si>
  <si>
    <t>WW reused &amp; recycled</t>
  </si>
  <si>
    <t>Septage reused &amp; recycled</t>
  </si>
  <si>
    <t>Households served</t>
  </si>
  <si>
    <t>WW network (settled + drains)</t>
  </si>
  <si>
    <t>WW thru sewerage</t>
  </si>
  <si>
    <t>WW thru settled sewer</t>
  </si>
  <si>
    <t>WW thru soak pits</t>
  </si>
  <si>
    <t>HHs served_ sewerage</t>
  </si>
  <si>
    <t>HHs served_ settled sewer</t>
  </si>
  <si>
    <t>HHs served_soak pits</t>
  </si>
  <si>
    <t>A) PERFORMANCE ASSESSMENT</t>
  </si>
  <si>
    <t>Adequate sanitation system - CITY</t>
  </si>
  <si>
    <t>Adequate sanitation system- SLUMS</t>
  </si>
  <si>
    <t>Sewered sanitation</t>
  </si>
  <si>
    <t>On-site sanitation</t>
  </si>
  <si>
    <t>Reused</t>
  </si>
  <si>
    <t>Households with adequate sanitation system</t>
  </si>
  <si>
    <t>STORM WATER DRAINAGE</t>
  </si>
  <si>
    <t>Annexure 1 : Schedule of rates</t>
  </si>
  <si>
    <t>Surveys and monitoring of open defecation sites</t>
  </si>
  <si>
    <t>Metric tones/ month</t>
  </si>
  <si>
    <t>% of CapEx/ annum</t>
  </si>
  <si>
    <t>Efficiency in collection of water supply related charges</t>
  </si>
  <si>
    <t>Extent of cost recovery in sewage management</t>
  </si>
  <si>
    <t>CEPT University, Ahmedabad</t>
  </si>
  <si>
    <t>Non WSS CapIn surplus transfer</t>
  </si>
  <si>
    <t xml:space="preserve">Rs. 2.5 to 5 crore including mechanical works and civil works,                                                      Some of the items for transfer station are :                                                                                                                                            Stationary compactors at transfer station :  Rs. 65 lakhs,                                                                 Hook Loaders for transportation from transfer station : Rs. 35 lakhs,                                                           20 / 25 cu. m Heavy duty MS Containers for TS:  Rs. 5 lakhs,                                                                                Purchase of 14 cu. m capacity dumper placer: Rs. 16.5 lakhs                                                                                        Civil construction of transfer station: Rs. 85 lakhs       </t>
  </si>
  <si>
    <r>
      <t>It’s a state policy concern, generally treatment plant are constructed on build, operate and transfer (BOT) basis. For this, land is generally provided by Government on nominal lease basis and the treatment plant is constructed and operated by the private operator. The benefit of this is that it reduces the load on ULB to provide this service and on the contrary it would generate revenue for the ULB and to set up a processing or landfill site they would require authorisation f</t>
    </r>
    <r>
      <rPr>
        <sz val="11"/>
        <rFont val="Calibri"/>
        <family val="2"/>
        <scheme val="minor"/>
      </rPr>
      <t>orm SPCB.</t>
    </r>
  </si>
  <si>
    <t>It’s a High cost action, a city would always produce biodegradable waste. In absence of treatment plant this waste would be dumped directly in open dump without its potential of being reused. So by constructing a Processing plant the waste can be reused and it will reduce the load on disposal site as well as generate a source of income for ULB.</t>
  </si>
  <si>
    <t>ii) Procurement of satellite image</t>
  </si>
  <si>
    <t>ii) Providing and designing and calibration of hydraulic model of existing and proposed water supply scheme</t>
  </si>
  <si>
    <t>UNIT</t>
  </si>
  <si>
    <t>VALUE IN Rs.</t>
  </si>
  <si>
    <t>Efficiency of wastewater and septage collection system</t>
  </si>
  <si>
    <t>Efficiency of solid waste collection</t>
  </si>
  <si>
    <t xml:space="preserve">Extent of solid waste recovered </t>
  </si>
  <si>
    <t>Extent of scientific disposal of solid waste</t>
  </si>
  <si>
    <t>Efficiency in collection of solid waste charges and taxes</t>
  </si>
  <si>
    <t xml:space="preserve">Extent of cost recovery in solid waste services </t>
  </si>
  <si>
    <t>Efficiency in collection of wastewater charges and taxes</t>
  </si>
  <si>
    <t xml:space="preserve">SERVICE LEVELS AND QUALITY </t>
  </si>
  <si>
    <t>Solid waste disposal system</t>
  </si>
  <si>
    <t>Processed</t>
  </si>
  <si>
    <t>SW processed by-product</t>
  </si>
  <si>
    <t>SW disposed scientifically</t>
  </si>
  <si>
    <t>SW dumped in open site</t>
  </si>
  <si>
    <t>Treated sewage (MLD)</t>
  </si>
  <si>
    <t>Treated sullage/ wastewater (MLD)</t>
  </si>
  <si>
    <t>Treated septage (Cu.m./ month)</t>
  </si>
  <si>
    <t xml:space="preserve">Service levels and quality </t>
  </si>
  <si>
    <t xml:space="preserve">Service levels &amp; quality </t>
  </si>
  <si>
    <t>Annual growth rate for increase in properties</t>
  </si>
  <si>
    <t>Non-residential properties</t>
  </si>
  <si>
    <t>Growth rate - NON RESI</t>
  </si>
  <si>
    <t>SW disposed at open dump site</t>
  </si>
  <si>
    <t>Primary SW collection system</t>
  </si>
  <si>
    <t>Additional debt required</t>
  </si>
  <si>
    <t>Capital income</t>
  </si>
  <si>
    <t>WSS revenue income</t>
  </si>
  <si>
    <t>WSS capital income</t>
  </si>
  <si>
    <t>WSS capital expenditure</t>
  </si>
  <si>
    <t>Summary of</t>
  </si>
  <si>
    <t>Unauthorised water supply connections</t>
  </si>
  <si>
    <t>Total water supplied at source expressed by population served per day.</t>
  </si>
  <si>
    <t>Number of days in a month that receive municipal water supply.</t>
  </si>
  <si>
    <t>Extent of Non-revenue water</t>
  </si>
  <si>
    <t>Efficiency in collection of water supply charges and taxes</t>
  </si>
  <si>
    <t>Coverage of water supply connections</t>
  </si>
  <si>
    <t>Per capita available of water at consumer end (lpcd)</t>
  </si>
  <si>
    <t>Total water supplied to consumers expressed by population served per day.</t>
  </si>
  <si>
    <t>Continuity of water supply (hours/day)</t>
  </si>
  <si>
    <t>Average number of hours of pressurised water supply per day.</t>
  </si>
  <si>
    <t>Extent to which underground sewerage (or sewage collection network) has reached out to individual properties across service area.</t>
  </si>
  <si>
    <t>SLB</t>
  </si>
  <si>
    <t>PIP</t>
  </si>
  <si>
    <t>Coverage of sewerage network services</t>
  </si>
  <si>
    <t>Collection efficiency of sewerage network</t>
  </si>
  <si>
    <t>Per Capita supply of water</t>
  </si>
  <si>
    <t>Continuity of WS</t>
  </si>
  <si>
    <t>Extent of NRW</t>
  </si>
  <si>
    <t>Extent of metering</t>
  </si>
  <si>
    <t>Coverage of WS in city</t>
  </si>
  <si>
    <t>Coverage of WS in slum</t>
  </si>
  <si>
    <t>Collection eff. of WS charges</t>
  </si>
  <si>
    <t xml:space="preserve">Coverage of toilets in city </t>
  </si>
  <si>
    <t xml:space="preserve">Coverage of toilets in slums </t>
  </si>
  <si>
    <t>Coverage of adequate sanitation</t>
  </si>
  <si>
    <t>Collection eff. of WW &amp; septage</t>
  </si>
  <si>
    <t>Treatment adequacy of WW &amp; septage</t>
  </si>
  <si>
    <t>Quality of WW &amp; septage</t>
  </si>
  <si>
    <t>Extent of reuse &amp; recycle</t>
  </si>
  <si>
    <t>Collection eff. of WW charges</t>
  </si>
  <si>
    <t>Coverage of SW services in city</t>
  </si>
  <si>
    <t>Collection eff. of SW</t>
  </si>
  <si>
    <t>Segregation of SW</t>
  </si>
  <si>
    <t xml:space="preserve">SW recovered </t>
  </si>
  <si>
    <t>Scientific disposal of SW</t>
  </si>
  <si>
    <t>Collection eff. of SW charges</t>
  </si>
  <si>
    <t>Coverage of SW services in slum</t>
  </si>
  <si>
    <t xml:space="preserve">Red </t>
  </si>
  <si>
    <t>hours/day</t>
  </si>
  <si>
    <t>Efficiency in collection of water supply charges</t>
  </si>
  <si>
    <t xml:space="preserve">Efficiency in collection of water supply charges and taxes </t>
  </si>
  <si>
    <t>Efficiency of collection of solid waste</t>
  </si>
  <si>
    <t xml:space="preserve">Extent of  solid waste recovered </t>
  </si>
  <si>
    <t>Extent of segregation of solid waste</t>
  </si>
  <si>
    <t>Coverage of individual water supply connections in slum</t>
  </si>
  <si>
    <t>Extent to which citizens have access to a toilet (whether individual or community) in a service area.</t>
  </si>
  <si>
    <t>Private/ PPP</t>
  </si>
  <si>
    <t>Capex for ULB</t>
  </si>
  <si>
    <t>Beneficiary capex share</t>
  </si>
  <si>
    <t>Capex_ULB</t>
  </si>
  <si>
    <t>Capex_Beneficiary</t>
  </si>
  <si>
    <t>Cost of reparing non functional meters_Beneficiary</t>
  </si>
  <si>
    <t>Total for new meter conn_Beneficiary (without inflation)</t>
  </si>
  <si>
    <t>Benficiary</t>
  </si>
  <si>
    <t>Private contributions</t>
  </si>
  <si>
    <t>External Debts</t>
  </si>
  <si>
    <t>Municipal budget w forecasts</t>
  </si>
  <si>
    <t>Already approved CapIn</t>
  </si>
  <si>
    <t xml:space="preserve">Operating ratio feasible :- </t>
  </si>
  <si>
    <t>DSCR feasible :-</t>
  </si>
  <si>
    <t>Annual increment</t>
  </si>
  <si>
    <t>-</t>
  </si>
  <si>
    <t>WSS own CapIn funds</t>
  </si>
  <si>
    <t>Public contributions</t>
  </si>
  <si>
    <t>WSS CapEx</t>
  </si>
  <si>
    <t>CAPEX PLAN</t>
  </si>
  <si>
    <t>OPERATING PLAN</t>
  </si>
  <si>
    <t>SW Plan</t>
  </si>
  <si>
    <t>Solid waste generation</t>
  </si>
  <si>
    <t>Solid waste collection</t>
  </si>
  <si>
    <t>Segregation of solid waste at source</t>
  </si>
  <si>
    <t>Solid waste transportation</t>
  </si>
  <si>
    <t>Estimated solid waste generated in city</t>
  </si>
  <si>
    <t>Present per capita generation of solid waste</t>
  </si>
  <si>
    <t>Installed capacity of solid waste processing plant</t>
  </si>
  <si>
    <t>SLB Benchmark</t>
  </si>
  <si>
    <t>&lt; 50%</t>
  </si>
  <si>
    <t>&gt; 90%</t>
  </si>
  <si>
    <t>SW Customised action 2</t>
  </si>
  <si>
    <t>SLB/PIP</t>
  </si>
  <si>
    <t>Process improvement for new water supply connection applications</t>
  </si>
  <si>
    <t>Process improvement for new sewerage connection applications</t>
  </si>
  <si>
    <t>Conduct water audit</t>
  </si>
  <si>
    <t>Conduct energy audit</t>
  </si>
  <si>
    <t>Conduct Utilities survey (asset mapping)</t>
  </si>
  <si>
    <t>Improvement in water supply distribution network</t>
  </si>
  <si>
    <t>Plugging of leakages at valves</t>
  </si>
  <si>
    <t>iv) Other connections</t>
  </si>
  <si>
    <t>v) Group connection in slums</t>
  </si>
  <si>
    <t>Policy for providing sanitation services in slums</t>
  </si>
  <si>
    <t>Policy for providing individual water connections in slums</t>
  </si>
  <si>
    <t>Procure new suction emptier trucks</t>
  </si>
  <si>
    <t>Employ additional staff on contract for improving solid waste service delivery</t>
  </si>
  <si>
    <t>Process for periodic estimation of recyclable material collected by recyclers</t>
  </si>
  <si>
    <t xml:space="preserve">Process to obtain authorisation from concerned authorities and furnish annual report of compliance </t>
  </si>
  <si>
    <t>Policy to introduce universal consumer meters</t>
  </si>
  <si>
    <t xml:space="preserve">Household survey to assess water supply services </t>
  </si>
  <si>
    <t>Household survey to assess wastewater services</t>
  </si>
  <si>
    <t>Household survey to assess solid waste services</t>
  </si>
  <si>
    <t>Ranges for SLB KPIs</t>
  </si>
  <si>
    <t>Calibration of Plan period in model</t>
  </si>
  <si>
    <t>Details of key contact persons</t>
  </si>
  <si>
    <t>General Administration</t>
  </si>
  <si>
    <t xml:space="preserve">Urban community development (UCD) </t>
  </si>
  <si>
    <t>Tax department</t>
  </si>
  <si>
    <t>Instructions for using 
the model:</t>
  </si>
  <si>
    <t>Estimated growth rate</t>
  </si>
  <si>
    <t>Population growth rate assumptions</t>
  </si>
  <si>
    <t>Jurisdictional area of city</t>
  </si>
  <si>
    <t>Inhabitated area of city</t>
  </si>
  <si>
    <t>Demography information</t>
  </si>
  <si>
    <t>Water supply sector information</t>
  </si>
  <si>
    <t>Number of municipal wards</t>
  </si>
  <si>
    <t>Total population</t>
  </si>
  <si>
    <t>Slum population</t>
  </si>
  <si>
    <t>Bulk buy of treated water</t>
  </si>
  <si>
    <t xml:space="preserve">Raw water transmission </t>
  </si>
  <si>
    <t>Water treatment</t>
  </si>
  <si>
    <t>Quantity of treated water supply</t>
  </si>
  <si>
    <t>Actual water production (treated and untreated)</t>
  </si>
  <si>
    <t>Estimated losses in treated water transmission</t>
  </si>
  <si>
    <t>Water storage</t>
  </si>
  <si>
    <t>Total water storage capacity (Aggregate capacity of all elevated service reservoir - ESRs)</t>
  </si>
  <si>
    <t>Water supply distribution network</t>
  </si>
  <si>
    <t>Total length of distribution network</t>
  </si>
  <si>
    <t xml:space="preserve">Area covered by distribution network </t>
  </si>
  <si>
    <t>Domestic non-slum connections</t>
  </si>
  <si>
    <t>Domestic slum connections</t>
  </si>
  <si>
    <t>Group connection in slums</t>
  </si>
  <si>
    <t>Metering of water supply connections</t>
  </si>
  <si>
    <t>Water supply connections</t>
  </si>
  <si>
    <t>Water supply distribution losses</t>
  </si>
  <si>
    <t>Estimate of households connected with unauthorised connections in city</t>
  </si>
  <si>
    <t>Estimate of households connected with unauthorised connections in slums</t>
  </si>
  <si>
    <t>Estimated losses in water supply distribution</t>
  </si>
  <si>
    <t>Average days of water supply in a month</t>
  </si>
  <si>
    <r>
      <t xml:space="preserve">Average daily hours of water supply
</t>
    </r>
    <r>
      <rPr>
        <i/>
        <sz val="10"/>
        <color theme="1"/>
        <rFont val="Calibri"/>
        <family val="2"/>
        <scheme val="minor"/>
      </rPr>
      <t>NOTE : Count only those days that receive water supply</t>
    </r>
  </si>
  <si>
    <t>Number of water supply samples taken from city</t>
  </si>
  <si>
    <t>Total number of samples meeting quality parameters</t>
  </si>
  <si>
    <t>Number of water supply related complaints received</t>
  </si>
  <si>
    <r>
      <t xml:space="preserve">Current tariff regime </t>
    </r>
    <r>
      <rPr>
        <i/>
        <sz val="10"/>
        <rFont val="Calibri"/>
        <family val="2"/>
        <scheme val="minor"/>
      </rPr>
      <t>(Mention 'Yes' against regime followed in your city)</t>
    </r>
  </si>
  <si>
    <t>Select 'Yes' for the regimes followed in your city</t>
  </si>
  <si>
    <t>Water tax levied as a percentage of property tax</t>
  </si>
  <si>
    <t>Average water benefit tax levied per connection</t>
  </si>
  <si>
    <t>Select mode of wastewater disposal system in your city</t>
  </si>
  <si>
    <t>Details of sewered areas in city</t>
  </si>
  <si>
    <t>Details of non-sewered areas in city</t>
  </si>
  <si>
    <t>Details of sewage and sewerage network in city</t>
  </si>
  <si>
    <t>Estimated losses in sewerage network</t>
  </si>
  <si>
    <t>Sewerage connections</t>
  </si>
  <si>
    <t>Number of sewerage connected households with individual toilets</t>
  </si>
  <si>
    <t>Number of households connected to sewerage</t>
  </si>
  <si>
    <t>Non-residential connections</t>
  </si>
  <si>
    <t>Sewage treatment plant (STP)</t>
  </si>
  <si>
    <t xml:space="preserve">Aggregate installed capacity of all the STPs in city </t>
  </si>
  <si>
    <t>Non-slum households</t>
  </si>
  <si>
    <t>Number of suction emptier trucks used for cleaning septic tanks</t>
  </si>
  <si>
    <t>Installed capacity of FSTD facility</t>
  </si>
  <si>
    <t xml:space="preserve"> Faecal sludge treatment and disposal (FSTD) facility</t>
  </si>
  <si>
    <t xml:space="preserve">Primary treatment plant for effluent and sullage </t>
  </si>
  <si>
    <t>Installed capacity of primary treatment plant</t>
  </si>
  <si>
    <t>Total number of toilet seats in all the community blocks</t>
  </si>
  <si>
    <t>Number of non-functional community toilet seats</t>
  </si>
  <si>
    <t>Wastewater disposal system of community toilet blocks</t>
  </si>
  <si>
    <t>Wastewater disposal system of public toilet blocks</t>
  </si>
  <si>
    <t>Number of public toilet blocks</t>
  </si>
  <si>
    <t>Total number of toilet seats in all the public seats</t>
  </si>
  <si>
    <t>Number of non-functional public toilets seats</t>
  </si>
  <si>
    <t>Sewage and waste water treatment quality</t>
  </si>
  <si>
    <t>Number of treated wastewater samples tested for quality parameters</t>
  </si>
  <si>
    <t>Number of treated wastewater samples that meet the required quality parameters</t>
  </si>
  <si>
    <t xml:space="preserve">Number of treated septage samples tested for quality parameters </t>
  </si>
  <si>
    <t>Number of treated septage samples that meet the required quality parameters</t>
  </si>
  <si>
    <t>Flooding areas in city</t>
  </si>
  <si>
    <t>Surface drains in city</t>
  </si>
  <si>
    <t>Number of flood prone points in city</t>
  </si>
  <si>
    <t>Per annum</t>
  </si>
  <si>
    <t>Mode of charging taxes and charges</t>
  </si>
  <si>
    <t>Water tax linked to general property tax</t>
  </si>
  <si>
    <t>New sewerage connection charges</t>
  </si>
  <si>
    <t>Charges for emptying septic tank by private service providers</t>
  </si>
  <si>
    <t>Private service providers</t>
  </si>
  <si>
    <t>Non-residential sewerage connection charge</t>
  </si>
  <si>
    <t>Domestic non-slum sewerage connection charge</t>
  </si>
  <si>
    <t>Domestic slum sewerage connection charge</t>
  </si>
  <si>
    <t>Tariff as flat rate per unit OR percentage based</t>
  </si>
  <si>
    <t>Tariff as flat rate per unit OR  percentage based</t>
  </si>
  <si>
    <t>Municipal solid waste management sector information</t>
  </si>
  <si>
    <t>Number of households where solid waste is stored and collected in segregated manner</t>
  </si>
  <si>
    <t>Number of establishments where solid waste is stored and collected in segregated manner</t>
  </si>
  <si>
    <t>Number of secondary collection bins in city</t>
  </si>
  <si>
    <t>Approximate aggregate storage capacity of all the bins</t>
  </si>
  <si>
    <t>Number of solid waste transfer stations in city</t>
  </si>
  <si>
    <t>Total storage capacity of all the transfer stations</t>
  </si>
  <si>
    <t>Average frequency of emptying secondary collection bins</t>
  </si>
  <si>
    <t>Average frequency of cleaning of drains</t>
  </si>
  <si>
    <t>Average frequency of sweeping a street</t>
  </si>
  <si>
    <t xml:space="preserve">Number of solid waste related complaints received </t>
  </si>
  <si>
    <t>Solid waste collection vehicles</t>
  </si>
  <si>
    <t>Frequency of trips of collection vehicles</t>
  </si>
  <si>
    <t>Solid waste processing and disposal</t>
  </si>
  <si>
    <t>Percentage of solid waste processed into by-products at the processing plant</t>
  </si>
  <si>
    <t>Presence of sanitary landfill site in city</t>
  </si>
  <si>
    <t>If yes, installed capacity of the landfill site</t>
  </si>
  <si>
    <t>Remaining capacity of the landfill site</t>
  </si>
  <si>
    <t>Solid waste tax as a percentage of general property tax (%)</t>
  </si>
  <si>
    <t>Sanitary landfill site</t>
  </si>
  <si>
    <t>Quantity of solid waste received in segregated manner at the processing/ disposal facility</t>
  </si>
  <si>
    <t>Solid waste secondary collection system</t>
  </si>
  <si>
    <t>MUNICIPAL FINANCE INFORMATION</t>
  </si>
  <si>
    <t>MODULE III : FINANCIAL PLANNING</t>
  </si>
  <si>
    <t>Inflation assumptions</t>
  </si>
  <si>
    <t>Inflation for O&amp;M cost items</t>
  </si>
  <si>
    <t xml:space="preserve">Inflation for capital expenditure items </t>
  </si>
  <si>
    <t>Municipal revenue and expenditure</t>
  </si>
  <si>
    <t>Abbreviation for budget type</t>
  </si>
  <si>
    <t>Special charges</t>
  </si>
  <si>
    <t>Service charges</t>
  </si>
  <si>
    <t>Public health and welfare</t>
  </si>
  <si>
    <t>Final statement</t>
  </si>
  <si>
    <t>Water charges</t>
  </si>
  <si>
    <t>Per capita supply of water at consumer end (lpcd)</t>
  </si>
  <si>
    <t>Public standposts</t>
  </si>
  <si>
    <t>Coverage of individual connections in city</t>
  </si>
  <si>
    <t>Coverage of individual connections in slums</t>
  </si>
  <si>
    <t>Continuity of water supplied</t>
  </si>
  <si>
    <t>C) Existing system improvement measures - Low cost</t>
  </si>
  <si>
    <t>D) Create new infrastructure - High cost</t>
  </si>
  <si>
    <t>C) Create new infrastructure - High cost</t>
  </si>
  <si>
    <t>B) Existing system improvement measures - Low cost</t>
  </si>
  <si>
    <t>A) Process/ Policy improvement measures - No cost</t>
  </si>
  <si>
    <t>B) Process/Policy improvement measures - No cost</t>
  </si>
  <si>
    <t>A) Process/Policy improvement measures - No cost</t>
  </si>
  <si>
    <t>Individual connections</t>
  </si>
  <si>
    <t>Illegal connections</t>
  </si>
  <si>
    <t>Surface water</t>
  </si>
  <si>
    <t>Ground water</t>
  </si>
  <si>
    <t>Commercial/ Institutional</t>
  </si>
  <si>
    <t>Unsafe sanitation</t>
  </si>
  <si>
    <t>HHs dependent on unsafe community toilets</t>
  </si>
  <si>
    <t>HHs dependent on safe community toilets</t>
  </si>
  <si>
    <t>SECTORAL VISION AND PRIORITIES FOR IMPROVEMENT</t>
  </si>
  <si>
    <t xml:space="preserve">Number of slum households dependent on secondary collection system </t>
  </si>
  <si>
    <t>HHs dependent on doorstep SW collection</t>
  </si>
  <si>
    <t>HHs dependent on secondary collection bins</t>
  </si>
  <si>
    <t>ACTION PLAN FOR WATER SUPPLY SERVICES</t>
  </si>
  <si>
    <t>ACTION PLAN FOR SOLID WASTE MANAGEMENT SERVICES</t>
  </si>
  <si>
    <t>These are first set of rows in a table displaying important background information about the Action. It will facilitate decision making for user.</t>
  </si>
  <si>
    <t>This is a hyperlinked cell placed on top most left corner of table. It leads to another sheet of Annexure, where detailed guidelines are provided to explain an action with assumptions to be considered for calibrating it.</t>
  </si>
  <si>
    <t>These are last set of rows to fill in basic financial details to implement the Action like basic block cost estimates, O&amp;M expenses and revenue generation. Instructions for calculating this are provided in Action guidelines of Annexure.</t>
  </si>
  <si>
    <t>Next set of rows are for filling in information about improvement in performance envisaged by implementing the action. Instructions for calculating this are provided in Action guidelines of Annexure.</t>
  </si>
  <si>
    <t>These two cells on top most right corner of table turn blue when an action is activated. User has to fill in implementation period of the action. First cell is for starting year of action and second cell is for completing year of action.</t>
  </si>
  <si>
    <t>LINK FOR ACTION GUIDELINE</t>
  </si>
  <si>
    <t>BASELINE INFORMATION</t>
  </si>
  <si>
    <t>IMPROVEMENT INFORMATION</t>
  </si>
  <si>
    <t>FINANCE INFORMATION</t>
  </si>
  <si>
    <t>Per capita liter supply at source (litres/ capita/ day)</t>
  </si>
  <si>
    <t>Refurbishment of water storage reservoirs</t>
  </si>
  <si>
    <t>- Current level of consumer grievance redressal (percentage complaints resolved in 24 hours)</t>
  </si>
  <si>
    <t>Coverage of households with individual toilets in city</t>
  </si>
  <si>
    <t>Household coverage with adequate sanitation system</t>
  </si>
  <si>
    <t>Extent of solid waste recovered</t>
  </si>
  <si>
    <t>Extent of solid waste cost recovery</t>
  </si>
  <si>
    <t>Extent of water supply cost recovery</t>
  </si>
  <si>
    <t>Collection efficiency of wastewater &amp; septage disposal</t>
  </si>
  <si>
    <t>Adequacy of treatment for wastewater &amp; septage</t>
  </si>
  <si>
    <t>Quality of treatment for wastewater &amp; septage</t>
  </si>
  <si>
    <t>Extent of reuse/ recycle of treated wastewater &amp; septage</t>
  </si>
  <si>
    <t>Efficiency in collection of wastewater charges</t>
  </si>
  <si>
    <t>Extent of wastewater cost recovery</t>
  </si>
  <si>
    <t>Slum settlements covered with water supply distribution network</t>
  </si>
  <si>
    <t>Slum settlements covered with sewerage network</t>
  </si>
  <si>
    <t>Number of slum settlements in city</t>
  </si>
  <si>
    <t>Non-slum household</t>
  </si>
  <si>
    <t>Slum household</t>
  </si>
  <si>
    <t>Frequency/ annum</t>
  </si>
  <si>
    <t>Improve wastewater and septage quality surveillance</t>
  </si>
  <si>
    <t>Improve water supply quality surveillance</t>
  </si>
  <si>
    <t>Improve processes for management of consumer complaints</t>
  </si>
  <si>
    <t>Improve processes for regular checking of water losses</t>
  </si>
  <si>
    <t>Improve billing and collection of water supply bills</t>
  </si>
  <si>
    <t>Improve billing and collection of wastewater bills</t>
  </si>
  <si>
    <t>Improve collection efficiency of water supply charges and taxes</t>
  </si>
  <si>
    <t>Improve processes for regular cleaning of drains and sewers</t>
  </si>
  <si>
    <t>Increase connections using existing sewerage network</t>
  </si>
  <si>
    <t xml:space="preserve">Regularise unauthorised sewerage connections </t>
  </si>
  <si>
    <t>Replace pumping machinery</t>
  </si>
  <si>
    <t>Improve consumer grievance redressal system</t>
  </si>
  <si>
    <t>Upgrade open surface drains to closed drains for storm water drainage</t>
  </si>
  <si>
    <t>Repair non-functional metered water supply connections</t>
  </si>
  <si>
    <t>Reduce free water supply</t>
  </si>
  <si>
    <t>Reduce losses in water supply distribution</t>
  </si>
  <si>
    <t>Reduce losses in treated water transmission network</t>
  </si>
  <si>
    <t>Reduce losses at water treatment plant</t>
  </si>
  <si>
    <t>Reduce losses in trunk main transmission network</t>
  </si>
  <si>
    <t>Map water supply and wastewater network</t>
  </si>
  <si>
    <t>Augment water supply sources</t>
  </si>
  <si>
    <t>Augment water supply - Own surface water</t>
  </si>
  <si>
    <t>Augment water supply - Ground water</t>
  </si>
  <si>
    <t xml:space="preserve">Augment water supply - Buy additional treated bulk water </t>
  </si>
  <si>
    <t xml:space="preserve">Augment water supply - Buy additional raw bulk water </t>
  </si>
  <si>
    <t>Treatment of untreated supply ground water</t>
  </si>
  <si>
    <t>Increase continuity of water supply services</t>
  </si>
  <si>
    <t>Lay internal infrastructure of water supply lines in slums</t>
  </si>
  <si>
    <t>Lay new water supply distribution network</t>
  </si>
  <si>
    <t>Increase connections using existing water supply distribution network</t>
  </si>
  <si>
    <t>Regularise unauthorised water supply connections</t>
  </si>
  <si>
    <t>Computerise water supply records</t>
  </si>
  <si>
    <t>Construct closed surface drains for storm water drainage</t>
  </si>
  <si>
    <t>Computerise wastewater records</t>
  </si>
  <si>
    <t>Computerise solid waste records</t>
  </si>
  <si>
    <t>Prepare management plan to efficiently deploy manpower and resources</t>
  </si>
  <si>
    <t>Procure equipments for street sweeping and drain cleaning</t>
  </si>
  <si>
    <t>ii) Employ staff in unserved areas to increase coverage</t>
  </si>
  <si>
    <t>i) Employ staff in already served areas to improve efficiency of services</t>
  </si>
  <si>
    <t>i) Contract for already served areas to improve efficiency of services</t>
  </si>
  <si>
    <t>ii) Contract for unserved areas to increase coverage</t>
  </si>
  <si>
    <t>Track movement of solid waste transportation vehicles to achieve optimum operational efficiency</t>
  </si>
  <si>
    <t>Improve processes for maintaining daily logs of solid waste across SWM value chain</t>
  </si>
  <si>
    <t xml:space="preserve">Segregation of collection and transportation of solid waste </t>
  </si>
  <si>
    <t>Install litter bins at public places</t>
  </si>
  <si>
    <t>Repair existing solid waste processing plant</t>
  </si>
  <si>
    <t>Procure new vehicles for solid waste collection and transportation</t>
  </si>
  <si>
    <t>Process for allotment of government land for processing and disposal of solid waste</t>
  </si>
  <si>
    <t>Improve billing and collection of solid waste bills</t>
  </si>
  <si>
    <t>Improve collection efficiency of solid waste charges and taxes</t>
  </si>
  <si>
    <t>i) Procure equipments for already served areas to improve efficiency of services</t>
  </si>
  <si>
    <t>ii) Procure equipments for unserved areas to increase coverage</t>
  </si>
  <si>
    <t>Engage with private service providers to provide solid waste services</t>
  </si>
  <si>
    <t>Furnish details as applicable in the contract:</t>
  </si>
  <si>
    <t>Improve coverage with additional storage capacity:</t>
  </si>
  <si>
    <t>Improve solid waste collection through secondary storage bins</t>
  </si>
  <si>
    <t>Improve collection efficiency of solid waste with existing vehicles</t>
  </si>
  <si>
    <t>Increase trips of solid waste transportation vehicles:</t>
  </si>
  <si>
    <t>Present number of trips/ day</t>
  </si>
  <si>
    <t>Metric tonnes/ day</t>
  </si>
  <si>
    <t>Capacity (Tonnes)</t>
  </si>
  <si>
    <t>Aadditional vehicles to be procured:</t>
  </si>
  <si>
    <t>Maximum trips possible in a day:</t>
  </si>
  <si>
    <t>Construct new solid waste processing plant</t>
  </si>
  <si>
    <t>Construct new solid waste transfer station</t>
  </si>
  <si>
    <t>Install weigh bridges to quantify solid waste collected and transported</t>
  </si>
  <si>
    <t>Improve collection efficiency of wastewater charges and taxes</t>
  </si>
  <si>
    <t>- Expected improvement in wastewater and septage quality with suitable interventions</t>
  </si>
  <si>
    <t>- Increase in O&amp;M expenses, if any</t>
  </si>
  <si>
    <t>Details of by-products derived from solid waste processed at the plant:</t>
  </si>
  <si>
    <t>Construct sanitary landfill facility for solid waste disposal</t>
  </si>
  <si>
    <r>
      <t xml:space="preserve">- Revenue generation by implementing the action, if any </t>
    </r>
    <r>
      <rPr>
        <i/>
        <sz val="10"/>
        <rFont val="Calibri"/>
        <family val="2"/>
        <scheme val="minor"/>
      </rPr>
      <t>(Rs.lakhs/annum)</t>
    </r>
  </si>
  <si>
    <t>Description of customised actions</t>
  </si>
  <si>
    <t>HHs served by additional staff</t>
  </si>
  <si>
    <t>HHs served by private contract</t>
  </si>
  <si>
    <t>HHs served by procuring equipments</t>
  </si>
  <si>
    <t>HHs served with segregation of waste</t>
  </si>
  <si>
    <t>Information, education and communication (IEC) campaign for awareness of solid waste management</t>
  </si>
  <si>
    <t>Solid waste generated</t>
  </si>
  <si>
    <t>Solid waste collected</t>
  </si>
  <si>
    <t>Solid waste stored safely</t>
  </si>
  <si>
    <t>Solid waste transported</t>
  </si>
  <si>
    <t>Solid waste processed</t>
  </si>
  <si>
    <t xml:space="preserve">Total secondary storage capacity </t>
  </si>
  <si>
    <t>Solid waste reused</t>
  </si>
  <si>
    <t>SW processed</t>
  </si>
  <si>
    <t>SW disposed at scientific landfill site</t>
  </si>
  <si>
    <t>Coverage of improved water supply services</t>
  </si>
  <si>
    <t>Spatial coverage of water supply distribution network</t>
  </si>
  <si>
    <t>Adequacy of water treatment capacity</t>
  </si>
  <si>
    <t>Adequacy of water storage capacity</t>
  </si>
  <si>
    <t>Per capita water supplied</t>
  </si>
  <si>
    <t>Days of water supply in a month</t>
  </si>
  <si>
    <t>Water losses between source and treatment plant</t>
  </si>
  <si>
    <t>Water losses between treatment plant and distribution stations</t>
  </si>
  <si>
    <t>Water losses between distribution stations and consumer end</t>
  </si>
  <si>
    <t>Water supply connections with meters</t>
  </si>
  <si>
    <t xml:space="preserve">Households resorting to open defecation in city </t>
  </si>
  <si>
    <t>Households dependent on community toilet facilities</t>
  </si>
  <si>
    <t>Households with sewerage network services</t>
  </si>
  <si>
    <t xml:space="preserve">Coverage of households with individual toilets in city </t>
  </si>
  <si>
    <t xml:space="preserve">Coverage of households with individual toilets in slums </t>
  </si>
  <si>
    <t xml:space="preserve">Septic tanks cleaned annually in city </t>
  </si>
  <si>
    <t>Spatial coverage of closed surface drains</t>
  </si>
  <si>
    <t>Adequacy of septage treatment capacity</t>
  </si>
  <si>
    <t>Adequacy of treatment plant capacity for effluent and sullage</t>
  </si>
  <si>
    <t>Adequacy of solid waste storage capacity</t>
  </si>
  <si>
    <t>Adequacy of solid waste transportation capacity</t>
  </si>
  <si>
    <t>Adequacy of solid waste processing facilities</t>
  </si>
  <si>
    <t>Extent of solid waste disposal in open dump sites</t>
  </si>
  <si>
    <t>Households served by secondary bin collection system in city</t>
  </si>
  <si>
    <t>Traffic light analysis based on KPI values compared against benchmark values</t>
  </si>
  <si>
    <t>Select method for fixing traffic light ranges</t>
  </si>
  <si>
    <t>Number of households connected to water supply network with a private (not shared) service connection, as percentage of total households in city.</t>
  </si>
  <si>
    <t>Number of households in slum settlements connected to water supply network with a private (not shared) service connection, as percentage of total slum household.</t>
  </si>
  <si>
    <t>Population with access to potable water supply (includes group connections, public taps and stand posts), as percentage of total population in city (as per JMP).</t>
  </si>
  <si>
    <t>Ranges for Wastewater KPIs</t>
  </si>
  <si>
    <t>IMPROVEMENT ACTIONS</t>
  </si>
  <si>
    <t>Average number of hours of water supplied per day (number of hours in a week divided by days of supply in a week).</t>
  </si>
  <si>
    <t>Percentage of water samples meeting CPHEEO potable water standards and sampling regime at treatment plant outlet and consumer points.</t>
  </si>
  <si>
    <t>Extent of functional metering of water supply connections</t>
  </si>
  <si>
    <t xml:space="preserve">Extent of functional metering of water supply connections </t>
  </si>
  <si>
    <t>Number of water supply connections with meters (functional and non-functional), as percentage of total water supply connections.</t>
  </si>
  <si>
    <t>Total annual operating revenues from water supply taxes and charges (current billed demand) as compared to total operating expenses of water supply services.</t>
  </si>
  <si>
    <t>Total annual operating revenues from wastewater taxes and charges (current billed demand) as compared to total operating expenses of wastewater services.</t>
  </si>
  <si>
    <t>Total annual operating revenues from solid waste taxes and charges (current billed demand) as compared to total operating expenses of solid waste services.</t>
  </si>
  <si>
    <t>Number of functional metered water connections as percentage of total water supply connections.</t>
  </si>
  <si>
    <t xml:space="preserve">Difference between total water produced (ex-treatment plant) and total water sold expressed as percentage of total water produced. </t>
  </si>
  <si>
    <t>Number of water supply related complaints redressed within 24 hours as percentage of total number of water supply related complaints received.</t>
  </si>
  <si>
    <t>Total operating revenues expressed as percentage of total operating expenses incurred in the corresponding time period.</t>
  </si>
  <si>
    <t>Current year revenues collected, expressed as percentage of total operating revenues, for the corresponding time period.</t>
  </si>
  <si>
    <t>Secondary treatment (removing oxygen demand and biological solids) capacity available as percentage of normative wastewater generated.</t>
  </si>
  <si>
    <t>Percentage of wastewater samples (from outlet of STPs) that pass the specified secondary treatment standards laid down by Government of India agencies.</t>
  </si>
  <si>
    <t>Percentage of wastewater received at treatment plant that is recycled or reused after appropriate treatment for various purposes.</t>
  </si>
  <si>
    <t>Wastewater revenues as percentage of wastewater expenses, for the corresponding time period.</t>
  </si>
  <si>
    <t>Percentage of road length covered by the storm water drainage network.</t>
  </si>
  <si>
    <t>Percentage of households and establishments that are covered by a daily doorstep collection system.</t>
  </si>
  <si>
    <t>Percentage of waste from households and establishments that is segregated. It should be at the level of separation of wet and dry waste at the source.</t>
  </si>
  <si>
    <t>Quantum of waste collected, which is either recycled or processed as percentage of waste collected.</t>
  </si>
  <si>
    <t>Number of solid waste related complaints redressed within 24 hours as percentage of total number of solid waste related complaints received.</t>
  </si>
  <si>
    <t>Against each action, mention percentage share of funding possible through either of these funding sources (%)</t>
  </si>
  <si>
    <r>
      <t xml:space="preserve">Energy expenses </t>
    </r>
    <r>
      <rPr>
        <i/>
        <sz val="10"/>
        <color theme="1"/>
        <rFont val="Calibri"/>
        <family val="2"/>
        <scheme val="minor"/>
      </rPr>
      <t>(only for existing infrastructure)</t>
    </r>
  </si>
  <si>
    <r>
      <t xml:space="preserve">Other O&amp;M expenses 
</t>
    </r>
    <r>
      <rPr>
        <i/>
        <sz val="10"/>
        <color theme="1"/>
        <rFont val="Calibri"/>
        <family val="2"/>
        <scheme val="minor"/>
      </rPr>
      <t>(only for existing infrastructure)</t>
    </r>
  </si>
  <si>
    <t>Principal repayment of external funds/ borrowing for ongoing projects</t>
  </si>
  <si>
    <t>Principal repayment of external funds/ borrowing for ongoing project</t>
  </si>
  <si>
    <r>
      <t xml:space="preserve">O&amp;M expenses
</t>
    </r>
    <r>
      <rPr>
        <i/>
        <sz val="10"/>
        <color theme="1"/>
        <rFont val="Calibri"/>
        <family val="2"/>
        <scheme val="minor"/>
      </rPr>
      <t>(expenses like energy, repair and maintenance etc. for existing infrastructure only)</t>
    </r>
  </si>
  <si>
    <t>Own revenue source like taxes and charges</t>
  </si>
  <si>
    <t>Overall Municipal account</t>
  </si>
  <si>
    <t>Ratios related to municipal income</t>
  </si>
  <si>
    <t>Ratios related to municipal expenditure</t>
  </si>
  <si>
    <t>Overall operating ratio</t>
  </si>
  <si>
    <t>Water supply and sanitation operating ratio</t>
  </si>
  <si>
    <t>Overall capital utilisation ratio</t>
  </si>
  <si>
    <t>Water supply and sanitation capital utilisation ratio</t>
  </si>
  <si>
    <t>Share of revenue income in total income</t>
  </si>
  <si>
    <t>Share of own source revenue in total revenue income</t>
  </si>
  <si>
    <t>Share of grants in total revenue income</t>
  </si>
  <si>
    <t>Share of water supply and sanitation revenue income in total revenue income</t>
  </si>
  <si>
    <t>Share of water supply and sanitation capital income in total capital income</t>
  </si>
  <si>
    <t>Share of revenue expenditure in total expenditure</t>
  </si>
  <si>
    <t>Share of water supply and sanitation revenue expenditure in total revenue expenditure</t>
  </si>
  <si>
    <t>Share of water supply and sanitation capital expenditure in total capital expenditure</t>
  </si>
  <si>
    <t>REVIEW OF EXTERNAL FUNDING</t>
  </si>
  <si>
    <t>REVIEW OF TAXES AND CHARGES</t>
  </si>
  <si>
    <t>Summary of Financing plan</t>
  </si>
  <si>
    <t>WSS OpEx</t>
  </si>
  <si>
    <r>
      <t xml:space="preserve">Average tax demand 
</t>
    </r>
    <r>
      <rPr>
        <sz val="10"/>
        <color theme="1"/>
        <rFont val="Calibri"/>
        <family val="2"/>
        <scheme val="minor"/>
      </rPr>
      <t>(per household per annum)</t>
    </r>
  </si>
  <si>
    <t>Debt service coverage ratio</t>
  </si>
  <si>
    <t>1. External sources of funds</t>
  </si>
  <si>
    <r>
      <t xml:space="preserve">Grants from Central &amp; State government </t>
    </r>
    <r>
      <rPr>
        <vertAlign val="superscript"/>
        <sz val="14"/>
        <color theme="1"/>
        <rFont val="Calibri"/>
        <family val="2"/>
        <scheme val="minor"/>
      </rPr>
      <t>#</t>
    </r>
  </si>
  <si>
    <t>Moratorium period (Number of years)</t>
  </si>
  <si>
    <t>Period of Borrowing (Number of years)</t>
  </si>
  <si>
    <t>Surplus amount</t>
  </si>
  <si>
    <t xml:space="preserve">Transferd amount </t>
  </si>
  <si>
    <t>(All figures are in Rs lakhs)</t>
  </si>
  <si>
    <t>Municipal Revenue income - BAU</t>
  </si>
  <si>
    <t>Municipal Revenue income  - Tax revision</t>
  </si>
  <si>
    <t>Municipal Revenue expenditure</t>
  </si>
  <si>
    <t>Revenue enhancement measures from own sources</t>
  </si>
  <si>
    <t>Current billing efficiency</t>
  </si>
  <si>
    <t>Current collection efficiency</t>
  </si>
  <si>
    <t>Collection efficiency of current demand</t>
  </si>
  <si>
    <t>2. Water supply charges based on flat rate</t>
  </si>
  <si>
    <t>5. Water supply benefit tax</t>
  </si>
  <si>
    <t>Percentage increment in flat rate based water supply charges</t>
  </si>
  <si>
    <t>3. Water supply charges based on volumetric tariff (Rs. per kl)</t>
  </si>
  <si>
    <t>Percentage increment in volumetric tariff rates</t>
  </si>
  <si>
    <t>4. Water tax linked to general property tax</t>
  </si>
  <si>
    <t>Revised percentage of general property tax for water supply tax</t>
  </si>
  <si>
    <t>Percentage increment in water benefit tax</t>
  </si>
  <si>
    <t>Percentage increment in flat rate based user charges</t>
  </si>
  <si>
    <t>Revised percentage of general property tax for solid waste tax</t>
  </si>
  <si>
    <t>2. Solid waste tax linked to general property tax</t>
  </si>
  <si>
    <t>Revised percentage of general property tax for wastewater tax</t>
  </si>
  <si>
    <t>FINANCING PLAN SUMMARY</t>
  </si>
  <si>
    <t>ACTION PLAN SUMMARY</t>
  </si>
  <si>
    <t>Data improvement</t>
  </si>
  <si>
    <t>Existing system improvement</t>
  </si>
  <si>
    <t>PIP OPTION 3</t>
  </si>
  <si>
    <t>PIP OPTION 4</t>
  </si>
  <si>
    <t>PIP OPTION 5</t>
  </si>
  <si>
    <t>Rev from PIP</t>
  </si>
  <si>
    <t>Non-WSS transfer</t>
  </si>
  <si>
    <r>
      <t xml:space="preserve">Improvement actions </t>
    </r>
    <r>
      <rPr>
        <sz val="8"/>
        <rFont val="Calibri"/>
        <family val="2"/>
        <scheme val="minor"/>
      </rPr>
      <t>(Nos. of actions)</t>
    </r>
  </si>
  <si>
    <r>
      <t xml:space="preserve">Financial implications </t>
    </r>
    <r>
      <rPr>
        <sz val="10"/>
        <color theme="0" tint="-0.499984740745262"/>
        <rFont val="Calibri"/>
        <family val="2"/>
        <scheme val="minor"/>
      </rPr>
      <t>(Rs. Lakhs)</t>
    </r>
  </si>
  <si>
    <t>WSS rev inc</t>
  </si>
  <si>
    <t>Select method for allocating weightages to KPIs</t>
  </si>
  <si>
    <t>Define weightages of Key performance indicators for Sector Score</t>
  </si>
  <si>
    <t>D) IMPROVEMENT OPTIONS FOR PIP</t>
  </si>
  <si>
    <t>DISCOUNT RATE =</t>
  </si>
  <si>
    <t>OPTIONS FOR PERFORMANCE IMPROVEMENT PLAN</t>
  </si>
  <si>
    <t>KEY ASPECTS OF PERFORMANCE IMPROVEMENT PLAN</t>
  </si>
  <si>
    <t>A number of different options can be simulated in the PIP Model through an iterative process. The options are developed to achieve the locally set sectoral vision and related targets for key performance indicators. Each improvement option comprises a discrete set of actions to achieve either different levels of improvement in service performance, or use different feasible technologies to achieve similar performance levels. The options may also be developed to either capture varying phasing of actions and a different timeline on service improvements, or for varying financing arrangements. For example, for the same technology, options may also capture fully grant-based financing versus use of creative financing with contributions from private sector and households/communities. When it is not possible for the service providers to secure grants for large capital expenditure, it enables an easy assessment of measures for increasing efficiency, cost reductions in service delivery, raising revenue sources and implementing low-cost solutions that bring in significant improvements in service levels. Options are assessed against sectoral achievements and financial feasibility.</t>
  </si>
  <si>
    <t>MODULE I: PERFORMANCE ASSESSMENT</t>
  </si>
  <si>
    <t>Decadal population growth rate: 2001 - 2011</t>
  </si>
  <si>
    <t>Decadal population growth rate: 2011 - 2021</t>
  </si>
  <si>
    <r>
      <t xml:space="preserve">Total number of properties in city at present 
</t>
    </r>
    <r>
      <rPr>
        <i/>
        <sz val="10"/>
        <rFont val="Calibri"/>
        <family val="2"/>
        <scheme val="minor"/>
      </rPr>
      <t>NOTE: Count all the properties irrespective of whether they are assessed for property tax or not</t>
    </r>
  </si>
  <si>
    <r>
      <t xml:space="preserve">Total number of properties assessed for taxation
</t>
    </r>
    <r>
      <rPr>
        <i/>
        <sz val="10"/>
        <color theme="1"/>
        <rFont val="Calibri"/>
        <family val="2"/>
        <scheme val="minor"/>
      </rPr>
      <t>NOTE: Count only those properties that are assessed in present year</t>
    </r>
  </si>
  <si>
    <t>Sq. km</t>
  </si>
  <si>
    <t>Bulk buying of raw water</t>
  </si>
  <si>
    <t>Bulk buying of treated water</t>
  </si>
  <si>
    <t>Commercial/institutional connections</t>
  </si>
  <si>
    <t>Public stand posts/taps</t>
  </si>
  <si>
    <t>Hours/days</t>
  </si>
  <si>
    <t>Days/month</t>
  </si>
  <si>
    <t>Samples/month</t>
  </si>
  <si>
    <t>Number/month</t>
  </si>
  <si>
    <t>Annual tariff - 
Rs./connection/annum</t>
  </si>
  <si>
    <t>Rs./connection/annum</t>
  </si>
  <si>
    <t>Total number of households with individual toilet facility (includes both sewered and non-sewered areas)</t>
  </si>
  <si>
    <t>Numbers/month</t>
  </si>
  <si>
    <t>Number of wastewater related complaints received</t>
  </si>
  <si>
    <t>Flat rate charges (Rs./unit/annum)</t>
  </si>
  <si>
    <t>Rs./trip</t>
  </si>
  <si>
    <t>Rs./connection</t>
  </si>
  <si>
    <t>Kg/capita/ day</t>
  </si>
  <si>
    <r>
      <t xml:space="preserve">Rate of growth of per capita solid waste generation 
</t>
    </r>
    <r>
      <rPr>
        <i/>
        <sz val="10"/>
        <color theme="1"/>
        <rFont val="Calibri"/>
        <family val="2"/>
        <scheme val="minor"/>
      </rPr>
      <t>(Note: Depending on characteristic of the city, its growth pattern and change in standard of living, predict if waste generated per capita shall rise, decline or remain same over the years)</t>
    </r>
  </si>
  <si>
    <t>The backbone of performance improvement planning is the comprehensive list of actions provided for Action planning. Each action has unique effect on overall PIP plan. These actions vary in nature from data improvement actions to process/ policy related actions to low and high cost actions. It is quintessential to understand these actions in terms of its purpose, impact and costs involved. This sheet provides guidelines for arriving at improvement and costing assumptions for activating the action in WW Plan, WW Plan and SW Plan sheets. These guidelines are hyper-linked to respective actions in relevant sheet.</t>
  </si>
  <si>
    <r>
      <t xml:space="preserve">Capacity of vehicle 
</t>
    </r>
    <r>
      <rPr>
        <sz val="11"/>
        <color theme="0"/>
        <rFont val="Calibri"/>
        <family val="2"/>
        <scheme val="minor"/>
      </rPr>
      <t>(Metric tonnes)</t>
    </r>
  </si>
  <si>
    <t>Segregated solid waste at processing/disposal facility</t>
  </si>
  <si>
    <t>Metric tonnes/month</t>
  </si>
  <si>
    <t>Estimated percentage of solid waste taken away by intermediaries/recyclers</t>
  </si>
  <si>
    <t>Percentage of solid waste disposed at dumpsite/scientific landfill as reject</t>
  </si>
  <si>
    <t>Yes/No</t>
  </si>
  <si>
    <t>Flat user charges (Rs./unit/annum)</t>
  </si>
  <si>
    <t>Continuity of water supplied (hours/day)</t>
  </si>
  <si>
    <t>C) Existing system improvement measures - Low-cost</t>
  </si>
  <si>
    <t>B) Existing system improvement measures - Low-cost</t>
  </si>
  <si>
    <t xml:space="preserve">Extent of reuse/recycling of treated wastewater and septage </t>
  </si>
  <si>
    <t>Process/Policy improvement measures</t>
  </si>
  <si>
    <t>Convert stand posts/public taps into group connections</t>
  </si>
  <si>
    <t>Construct/augment water treatment plant</t>
  </si>
  <si>
    <t>Construct/augment water storage capacity</t>
  </si>
  <si>
    <t>Conduct Hydraulic modelling</t>
  </si>
  <si>
    <t>iii) Commercial/Institutional connections</t>
  </si>
  <si>
    <t>Rs./ MLD</t>
  </si>
  <si>
    <t>- Total cost to carry out the activity (lump-sum)</t>
  </si>
  <si>
    <t>These are last set of rows to fill in basic financial details to implement the Action like basic block cost estimates, O&amp;M expenses and revenue generation. Instructions for calculating this are provided in Action Guidelines of Annexure.</t>
  </si>
  <si>
    <t>Rs./ connection</t>
  </si>
  <si>
    <t>Rs. lakhs/km</t>
  </si>
  <si>
    <t>Reduce water logging/flooding in city</t>
  </si>
  <si>
    <t>Frequency/annum</t>
  </si>
  <si>
    <t>Rs./annum</t>
  </si>
  <si>
    <t>% of CapEx/annum</t>
  </si>
  <si>
    <t>Rs./septic tank</t>
  </si>
  <si>
    <t xml:space="preserve">Construct/augment sewage treatment plant </t>
  </si>
  <si>
    <t xml:space="preserve">Construct/augment treatment plant for effluent and sullage </t>
  </si>
  <si>
    <t>Cu.m/month</t>
  </si>
  <si>
    <t>These are first set of rows in a table displaying important background information about the Action. It will facilitate decision-making for user.</t>
  </si>
  <si>
    <t>Next set of rows are for filling in information about improvement in performance envisaged by implementing the action. Instructions for calculating this are provided in Action Guidelines of Annexure.</t>
  </si>
  <si>
    <t xml:space="preserve">Procure equipments for door to door solid waste collection (collection bins, ghantagaadis, containerised cycle rickshaw, handcarts etc.) </t>
  </si>
  <si>
    <t xml:space="preserve">Improve coverage with existing storage capacity: </t>
  </si>
  <si>
    <t>Maximum trips possible/day</t>
  </si>
  <si>
    <t>Metric tonnes/day</t>
  </si>
  <si>
    <t>Review of operating practices at scientific landfill sites to ensure compliance with MSW Rules 2000</t>
  </si>
  <si>
    <t>Closure of existing dumping site in scientific manner as prescribed by MSW Rules 2000</t>
  </si>
  <si>
    <t xml:space="preserve">Standardised Service Level Benchmark Report </t>
  </si>
  <si>
    <t>Number of estimated illegal water supply connections as percentage of total water supply connections in city.</t>
  </si>
  <si>
    <t>Municipal area covered by water supply distribution network as percentage of total jurisdictional area of city.</t>
  </si>
  <si>
    <t>Total water supplied to consumers (authorised billed and unbilled residential consumers) expressed by population served per day.</t>
  </si>
  <si>
    <t>Extent of Non-Revenue Water</t>
  </si>
  <si>
    <t>Aggregate capacity of all water storage reservoirs in city as compared to total water to be distributed (storage capacity should be one third of total water to be distributed).</t>
  </si>
  <si>
    <t>Difference between total water produced and water sold (excludes physical losses, unauthorised and authorised unbilled consumption), as percentage of total water produced.</t>
  </si>
  <si>
    <t>Number of water supply connections with functional meters as percentage of total water supply connections.</t>
  </si>
  <si>
    <t>Quantum of water lost in transition between source to treatment plant as percentage of total water supplied.</t>
  </si>
  <si>
    <t>Quantum of water lost in transition between treatment plant to water distribution stations as percentage of total treated water supplied.</t>
  </si>
  <si>
    <t>Quantum of water lost in transition between water distribution station to final consumption point (includes service connection leaks and unauthorised consumption), as percentage of total water distributed.</t>
  </si>
  <si>
    <t>Total water supply revenues collected from current year demand as percentage of total current billed demand from water supply related taxes and charges</t>
  </si>
  <si>
    <t>Unit production cost of water supply (Rs/kl)</t>
  </si>
  <si>
    <t>Total water supply billed demand from arrears as percentage of total billed demand (arrear and current) from water supply related taxes and charges.</t>
  </si>
  <si>
    <t>Total water supply revenues collected from arrear demand as percentage of total arrear demand of water supply related taxes and charges.</t>
  </si>
  <si>
    <t>Number of households with access to safe and adequate sanitation system for wastewater disposal (sewerage or on-site) as percentage of total households in city.</t>
  </si>
  <si>
    <t>Number of households dependent on functional community toilet facilities near their houses as percentage of total households in city.</t>
  </si>
  <si>
    <t>Aggregate quantum of wastewater collected (through sewerage and settled sewer network) at the intake of treatment plant and wastewater discharged through soak pits as percentage of normative wastewater generated in city. This indicator is calculated based on weighted average of households and wastewater collection systems.</t>
  </si>
  <si>
    <t>Aggregate quantum of sewage, sludge and sullage to be treated with present treatment facilities as percentage of normative wastewater generated in city. This indicator is calculated based on weighted average of households and wastewater treatment facilities.</t>
  </si>
  <si>
    <t>Number of septic tanks (includes septic tanks of individual toilets, community and public toilets) cleaned annually as percentage of total septic tanks in city.</t>
  </si>
  <si>
    <t>Quantum of sewage that can be treated at secondary treatment plants as percentage of normative sewage collected by sewerage network.</t>
  </si>
  <si>
    <t>Quantum of wastewater and septage that is recycled or reused after treatment as percentage of normative wastewater and septage generated in city. This indicator is calculated based on weighted average of households and treated wastewater and septage.</t>
  </si>
  <si>
    <t>Percentage of wastewater and septage samples meeting Pollution Control Board standards at treatment plant outlets. This indicator is calculated based on weighted average of households and wastewater and septage samples.</t>
  </si>
  <si>
    <t>Extent of sewage reuse/recycle</t>
  </si>
  <si>
    <t>Quantum of sewage that is reused after treatment as percentage of normative sewage generated in city.</t>
  </si>
  <si>
    <t>Extent of wastewater or sullage reuse/recycle</t>
  </si>
  <si>
    <t>Quantum of wastewater and sullage that is reused after treatment as percentage of normative wastewater and sullage generated in city.</t>
  </si>
  <si>
    <t>Extent of septage reuse/recycle</t>
  </si>
  <si>
    <t>Quantum of septage that is reused after treatment as percentage of normative septage generated in city.</t>
  </si>
  <si>
    <t>Total wastewater revenues collected from current year demand as percentage of total current billed demand from wastewater related taxes and charges.</t>
  </si>
  <si>
    <t>Total wastewater billed demand from arrears as percentage of total billed demand (arrear and current) from wastewater related taxes and charges.</t>
  </si>
  <si>
    <t>Total wastewater revenues collected from arrear demand as percentage of total arrear demand of wastewater related taxes and charges.</t>
  </si>
  <si>
    <t>Number of households served by door to door collection of solid waste as percentage of total households in city.</t>
  </si>
  <si>
    <t>Number of households served by secondary storage bin collection system (at gate, road or bin level collection) of solid waste as percentage of total households in city.</t>
  </si>
  <si>
    <t>Number of households in slum settlements served by door to door collection of solid waste as percentage of total slum households in city.</t>
  </si>
  <si>
    <t>Quantum of solid waste collected from households, establishments and common collection points as percentage of total solid waste generated in city.</t>
  </si>
  <si>
    <t>Quantum of solid waste received in segregated manner at processing or disposal facility as percentage of total waste collected.</t>
  </si>
  <si>
    <t>Quantum of collected solid waste either recycled or processed as percentage of total solid waste collected.</t>
  </si>
  <si>
    <t>Aggregate capacity of solid waste storage bins and containers as percentage of total solid waste collected.</t>
  </si>
  <si>
    <t>Aggregate capacity of solid waste transportation vehicles as percentage of total solid waste collected.</t>
  </si>
  <si>
    <t>Aggregate capacity of solid waste processing and recycling facility as percentage of total solid waste transported to processing facility.</t>
  </si>
  <si>
    <t>Quantum of solid waste disposed at scientific/complaint landfill site as percentage of total solid waste disposed in complaint and open disposal sites.</t>
  </si>
  <si>
    <t>Total solid waste revenues collected from current year demand as percentage of total current billed demand from solid waste related taxes and charges.</t>
  </si>
  <si>
    <t>Unit cost of solid waste services (Rs./kg)</t>
  </si>
  <si>
    <t>Total solid waste billed demand from arrears as percentage of total billed demand (arrear and current) from solid waste related taxes and charges.</t>
  </si>
  <si>
    <t>Total solid waste revenues collected from arrear demand as percentage of total arrear demand of solid waste related taxes and charges.</t>
  </si>
  <si>
    <t>Total households with direct water supply network connection as percentage of total households in city.</t>
  </si>
  <si>
    <t xml:space="preserve">Extent of Non-Revenue Water </t>
  </si>
  <si>
    <t>Percentage of water samples that meet or exceed specified potable water standards as defined by CPHEEO.</t>
  </si>
  <si>
    <t>Number of wastewater related complaints redressed within 24 hours as percentage of total number of wastewater related complaints received.</t>
  </si>
  <si>
    <t>Coverage of storm water drainage network</t>
  </si>
  <si>
    <t>Number of times water logging is reported in a year at flood prone points within the city.</t>
  </si>
  <si>
    <t>Traffic light analysis of Key Performance Indicators</t>
  </si>
  <si>
    <t>Customise value</t>
  </si>
  <si>
    <t>Ranges for Solid Waste KPIs</t>
  </si>
  <si>
    <t>Ranges for Water Supply KPIs</t>
  </si>
  <si>
    <t>50%-90%</t>
  </si>
  <si>
    <t>MODULE III: FINANCIAL PLANNING</t>
  </si>
  <si>
    <t>NOTE: RE-ENTER INPUTS IN THIS TABLE EACH TIME ACTIONS ARE ACTIVATED OR DEACTIVATED</t>
  </si>
  <si>
    <t>Approved/expected State scheme grants</t>
  </si>
  <si>
    <t>Approved/expected Central scheme grants</t>
  </si>
  <si>
    <t>Approved/expected External funds</t>
  </si>
  <si>
    <t>Expected principal repayment of external funds/borrowings for new projects</t>
  </si>
  <si>
    <t>Expected principal repayments of external funds/borrowings for new projects</t>
  </si>
  <si>
    <t>Surplus/(Deficit)</t>
  </si>
  <si>
    <t>Share of administration and establishment expenditure in total revenue expenditure</t>
  </si>
  <si>
    <t>Debt from Action Plan finance</t>
  </si>
  <si>
    <t>2. Review collection efficiency of Property Tax</t>
  </si>
  <si>
    <t>Percentage increment in property tax demand/property</t>
  </si>
  <si>
    <t>Percentage increment in other taxes and charges</t>
  </si>
  <si>
    <r>
      <t xml:space="preserve">Average general property tax demand per property </t>
    </r>
    <r>
      <rPr>
        <sz val="10"/>
        <rFont val="Calibri"/>
        <family val="2"/>
        <scheme val="minor"/>
      </rPr>
      <t>(Rs/property/annum)</t>
    </r>
  </si>
  <si>
    <t>If No, and if planned to levy volumetric billing for metered water supply connections then start it from which year?</t>
  </si>
  <si>
    <t>If No, and if planned to levy then start it from which year?</t>
  </si>
  <si>
    <t>Flat rate/unit</t>
  </si>
  <si>
    <t>Flat rate/annum</t>
  </si>
  <si>
    <t>Rs/connection/annum</t>
  </si>
  <si>
    <r>
      <rPr>
        <i/>
        <sz val="14"/>
        <rFont val="Calibri"/>
        <family val="2"/>
        <scheme val="minor"/>
      </rPr>
      <t xml:space="preserve">* </t>
    </r>
    <r>
      <rPr>
        <i/>
        <sz val="10"/>
        <rFont val="Calibri"/>
        <family val="2"/>
        <scheme val="minor"/>
      </rPr>
      <t xml:space="preserve">Linked from Municipal Finance sheet, </t>
    </r>
    <r>
      <rPr>
        <i/>
        <vertAlign val="superscript"/>
        <sz val="14"/>
        <rFont val="Calibri"/>
        <family val="2"/>
        <scheme val="minor"/>
      </rPr>
      <t xml:space="preserve"># </t>
    </r>
    <r>
      <rPr>
        <i/>
        <sz val="10"/>
        <rFont val="Calibri"/>
        <family val="2"/>
        <scheme val="minor"/>
      </rPr>
      <t>Linked from Action Plan finance sheet</t>
    </r>
  </si>
  <si>
    <t>PERFORMANCE ASSESSMENT SYSTEM PROJECT</t>
  </si>
  <si>
    <t>Process/policy improvement</t>
  </si>
  <si>
    <t>Operating expenditure/annum</t>
  </si>
  <si>
    <t>Revenue generation/annum</t>
  </si>
  <si>
    <r>
      <t xml:space="preserve">Tariffs </t>
    </r>
    <r>
      <rPr>
        <sz val="10"/>
        <color theme="0" tint="-0.499984740745262"/>
        <rFont val="Calibri"/>
        <family val="2"/>
        <scheme val="minor"/>
      </rPr>
      <t>(Rs/HH/annum)</t>
    </r>
  </si>
  <si>
    <r>
      <rPr>
        <i/>
        <u/>
        <sz val="11"/>
        <color theme="1"/>
        <rFont val="Calibri"/>
        <family val="2"/>
        <scheme val="minor"/>
      </rPr>
      <t>Option I:</t>
    </r>
    <r>
      <rPr>
        <sz val="11"/>
        <color theme="1"/>
        <rFont val="Calibri"/>
        <family val="2"/>
        <scheme val="minor"/>
      </rPr>
      <t xml:space="preserve"> Equal weightage to all KPIs</t>
    </r>
  </si>
  <si>
    <r>
      <rPr>
        <i/>
        <u/>
        <sz val="11"/>
        <color theme="1"/>
        <rFont val="Calibri"/>
        <family val="2"/>
        <scheme val="minor"/>
      </rPr>
      <t xml:space="preserve">Option II: </t>
    </r>
    <r>
      <rPr>
        <sz val="11"/>
        <color theme="1"/>
        <rFont val="Calibri"/>
        <family val="2"/>
        <scheme val="minor"/>
      </rPr>
      <t>Customise weightages to define a scoring pattern based on your city's priorities. Provide weightages to each KPI in a scale of 1 to 10.</t>
    </r>
  </si>
  <si>
    <t>Per capita supply of water at consumer end</t>
  </si>
  <si>
    <t>Extent of Non Revenue W</t>
  </si>
  <si>
    <t>Non-revenue water</t>
  </si>
  <si>
    <t>Increase in reuse/recycling of treated wastewater and septage</t>
  </si>
  <si>
    <t>Regularise illegal connection</t>
  </si>
  <si>
    <t>PAS performance indicators</t>
  </si>
  <si>
    <t xml:space="preserve">Standardised Service Level Benchmark (SLB) report </t>
  </si>
  <si>
    <t>Metering of consumer water supply connections</t>
  </si>
  <si>
    <t>Non-resi conn. charge</t>
  </si>
  <si>
    <t>Usally chlorination is required for ground water but if ground water contains floride then special treatment should be given to reduce floride.</t>
  </si>
  <si>
    <t xml:space="preserve">It’s a low cost action, by taking certain steps like setting up payment kiosks, mobile billing and payment, online payment of taxes  and various others steps, there can be improvement in collection of taxes. Conduct special tax collection drive to improve collection efficiency. </t>
  </si>
  <si>
    <t>Based on the HHs survey, the HHs that have non functional septic tanks i.e. no proper cover, leaking septic tanks, no proper vent pipes, no proper chambers need to be refurbished to improve functioning of septic tank</t>
  </si>
  <si>
    <t>Low cost</t>
  </si>
  <si>
    <t>This would improve the reliability of data for parameters like waste collected, transported treated etc that are considered for treatment and disposal of waste.</t>
  </si>
  <si>
    <t>Low cost; this activity will increase wastewater revenue</t>
  </si>
  <si>
    <t>IF we want to maintain sludge removal cycle of three years, we need to increase the trip of existing vehicles or purchase new vehicles. For eg. If there are 1000 septic tanks in city then annually 333 septic tanks need to be cleaned (to maintain a cycle o three years) and if existing only 100 septic tanks are being cleaned annually then ULB must increase the trips to clean 333 septic tanks. So ULB needs to take decision whether they can increase the trips with existing vehicles or not or do they require to buy new vehicles.The no. of trips will also depend on the distance as well as the capacity of the vehicle</t>
  </si>
  <si>
    <t xml:space="preserve">In cities where sewerage system is not present, construct covered drains to serve unserved area in city. This may intermittently act as a combined system where effluent and greywater flow along with storm water in the same drains, but in the long run it may act only as dedicated storm water drainage. </t>
  </si>
  <si>
    <t>Low cost action. This would have major implication in reduction of fuel charges for vehciles used in transportation of waste, at treatment and disposal facility.</t>
  </si>
  <si>
    <t>Rs. 70-100 per HH's</t>
  </si>
  <si>
    <t>Repairing of old transportation vehicles, would improve collection efficiency of wastes and in turn reduce load on the ULB to Purchase new costly vehicles or by rerouting the vehicles the no. of trips can also be increased</t>
  </si>
  <si>
    <t>Repairing of processing plant, would improve treatment efficiency of wastes and in turn reduce load on the ULB to construct a new processing plant</t>
  </si>
  <si>
    <t>This is highly cost intensive action, due to non availability of vehicles for transportation of secondary storage bins, either there is littering of waste around secondary storage bins or road side dumping/burning of waste takes place. So by providing more vehicles for transporting bins or collecting waste that is dumped into drains or directly collecting waste from the HHs, would in turn improve collection efficiency of wastes</t>
  </si>
  <si>
    <t xml:space="preserve"> 7 cu. m /4.5 cu. m Dumper placer unit:  Rs. 14.5 lakhs,                                                                                                5 cu. m skip lifter units for Construction and Demolition sites in Zones:  Rs. 14.5 lakhs, 
Three wheeler for waste collection from narrow lanes : Rs. 3 lakhs,                                                                              Small mobile waste collection Vehicles: Rs. 9 lakhs,                                                                       Hotel Waste Collection Vehicle : Rs. 4.5 lakhs,                                                                                                              Tipper trucks for construction and demolition waste: Rs. 13 lakhs
Auto tipper 1 MT capacity : Rs. 6 lakhs
Tractor Trailor 2 MT capacity : Rs. 8 lakhs</t>
  </si>
  <si>
    <t>Construction of MSW treatment plant :                                                                                   Vermi - Composting plant : Rs. 7 to 8 lakhs / MT
Co-composting with collected septage from septic tanks or WW treatment plant</t>
  </si>
  <si>
    <t>It is a high cost action. Construction of sanitary landfill site should be as per MSW rules 2000. All the residual waste after treatment and non-biodegradable/inert waste is dispose of in a sanitary landfill site. By constructing this it would impact the indicator regarding waste disposed off in scientific manner. There should be review of operating practices and routines at the landfill site, which would help to minimise the O&amp;M expenses for the landfill site as well as plan for the future incoming wastes.</t>
  </si>
  <si>
    <t>Involvement in emptying septic tanks in the city 
(Yes/No)</t>
  </si>
  <si>
    <t>I. EQUAL WEIGHTAGE</t>
  </si>
  <si>
    <t>Household growth rate</t>
  </si>
  <si>
    <t>Total number of HHs &amp; non resi properties - HHs</t>
  </si>
  <si>
    <t>Total number of HHs &amp; non resi properties - Estab.</t>
  </si>
  <si>
    <t>Settled sewer connection charges - non slum</t>
  </si>
  <si>
    <t>Settled sewer connection charges - slum</t>
  </si>
  <si>
    <t>Sewerage connection charges - non slum</t>
  </si>
  <si>
    <t>Sewerage connection charges - slum</t>
  </si>
  <si>
    <t>Sewerage connection charges - commercial</t>
  </si>
  <si>
    <t>Surplus capin transferred</t>
  </si>
  <si>
    <t>Coverage of indi toilets - CITY</t>
  </si>
  <si>
    <t>Coverage of indi toilets - SLUMS</t>
  </si>
  <si>
    <t>Number of households and establishment served</t>
  </si>
  <si>
    <t>- Existing length of distribution network</t>
  </si>
  <si>
    <t>- Increase in length of new distribution network</t>
  </si>
  <si>
    <t>- Additional area to be covered with new distribution network</t>
  </si>
  <si>
    <t>- Block cost to lay distribution network</t>
  </si>
  <si>
    <t>HHs served/ total HHs</t>
  </si>
  <si>
    <t>- Inhabited area served by distribution network as compared to total inhabited area</t>
  </si>
  <si>
    <t>- Households served by individual water supply connections as compared to total households in city</t>
  </si>
  <si>
    <t xml:space="preserve">Number of households served </t>
  </si>
  <si>
    <t>Expand/replace water supply transmission network</t>
  </si>
  <si>
    <t>Ground water source</t>
  </si>
  <si>
    <t>B) ACTION PLANNING</t>
  </si>
  <si>
    <t>Detailed guidelines for calibrating improvement actions</t>
  </si>
  <si>
    <t>C) FINANCIAL PLANNING</t>
  </si>
  <si>
    <t>COMPARISON OF PIP OPTIONS</t>
  </si>
  <si>
    <t>Base year</t>
  </si>
  <si>
    <t>Option 1</t>
  </si>
  <si>
    <t>Option 2</t>
  </si>
  <si>
    <t>Option 3</t>
  </si>
  <si>
    <t>Option 4</t>
  </si>
  <si>
    <t>Option 5</t>
  </si>
  <si>
    <t>Parameters for comparison</t>
  </si>
  <si>
    <t>Sector performance score</t>
  </si>
  <si>
    <t>Remarks</t>
  </si>
  <si>
    <t>Waste water services</t>
  </si>
  <si>
    <t>Solid waste services</t>
  </si>
  <si>
    <t>External debt</t>
  </si>
  <si>
    <t>Additional revenue from tariff revision</t>
  </si>
  <si>
    <t>Transfer from Non-WSS revenue surplus</t>
  </si>
  <si>
    <t>Additional revenue from Action plan</t>
  </si>
  <si>
    <t>Operating ratio feasible ?</t>
  </si>
  <si>
    <t>Capital Plan feasible ?</t>
  </si>
  <si>
    <r>
      <t xml:space="preserve">Modify </t>
    </r>
    <r>
      <rPr>
        <b/>
        <sz val="14"/>
        <color rgb="FF92D050"/>
        <rFont val="Calibri"/>
        <family val="2"/>
        <scheme val="minor"/>
      </rPr>
      <t>ACTION PLAN</t>
    </r>
    <r>
      <rPr>
        <b/>
        <sz val="12"/>
        <color rgb="FF92D050"/>
        <rFont val="Calibri"/>
        <family val="2"/>
        <scheme val="minor"/>
      </rPr>
      <t xml:space="preserve"> to alter sector performance</t>
    </r>
  </si>
  <si>
    <r>
      <t xml:space="preserve">Modify </t>
    </r>
    <r>
      <rPr>
        <b/>
        <sz val="14"/>
        <color rgb="FFFF6161"/>
        <rFont val="Calibri"/>
        <family val="2"/>
        <scheme val="minor"/>
      </rPr>
      <t>FINANCING PLAN</t>
    </r>
    <r>
      <rPr>
        <b/>
        <sz val="12"/>
        <color rgb="FFFF6161"/>
        <rFont val="Calibri"/>
        <family val="2"/>
        <scheme val="minor"/>
      </rPr>
      <t xml:space="preserve"> to alter financing decisions</t>
    </r>
  </si>
  <si>
    <t>CapEx Plan</t>
  </si>
  <si>
    <t>OpEx Plan</t>
  </si>
  <si>
    <t>Operating expenses/ annum</t>
  </si>
  <si>
    <t>Revenue generation/ annum</t>
  </si>
  <si>
    <r>
      <t>Capital expenditure</t>
    </r>
    <r>
      <rPr>
        <sz val="12"/>
        <color theme="1"/>
        <rFont val="Calibri"/>
        <family val="2"/>
        <scheme val="minor"/>
      </rPr>
      <t/>
    </r>
  </si>
  <si>
    <t>Financial requirement of Action Plan</t>
  </si>
  <si>
    <t>Operating plan details</t>
  </si>
  <si>
    <t>Capital plan details</t>
  </si>
  <si>
    <r>
      <t xml:space="preserve">Tariff levels </t>
    </r>
    <r>
      <rPr>
        <sz val="10"/>
        <color theme="2" tint="-0.749992370372631"/>
        <rFont val="Calibri"/>
        <family val="2"/>
        <scheme val="minor"/>
      </rPr>
      <t>(Rs / HH/ annum)</t>
    </r>
  </si>
  <si>
    <t>All figures are in Rs. lakhs</t>
  </si>
  <si>
    <t>Number of Improvement actions</t>
  </si>
  <si>
    <t>* Percentage improvement</t>
  </si>
  <si>
    <t>Sector scores*</t>
  </si>
  <si>
    <t>PROVIDE WASTEWATER COLLECTION &amp; CONVEYANCE SYSTEM TO HOUSEHOLDS</t>
  </si>
  <si>
    <t>PROVIDE TREATMENT FACILITIES FOR WASTEWATER AND SLUDGE</t>
  </si>
  <si>
    <t>- Onsite sanitation system with septic tanks connected to settled sewer for effluent disposal (%)</t>
  </si>
  <si>
    <t>- Onsite sanitation system with septic tanks connected to soak pits for effluent disposal (%)</t>
  </si>
  <si>
    <t>- Sewered sanitation system linked to existing sewerage network (%)</t>
  </si>
  <si>
    <t>- Sewered sanitation system linked to new sewerage network to be proposed (%)</t>
  </si>
  <si>
    <t>- Onsite sanitation system with septic tanks connected to soak pits for effluent disposal</t>
  </si>
  <si>
    <t>- Onsite sanitation system with septic tanks connected to settled sewer for effluent disposal</t>
  </si>
  <si>
    <t>- Sewered sanitation system linked to existing sewerage network</t>
  </si>
  <si>
    <t>- Sewered sanitation system linked to new sewerage network to be proposed</t>
  </si>
  <si>
    <t>INPUT</t>
  </si>
  <si>
    <t>OUTPUT</t>
  </si>
  <si>
    <t>Improve condition of existing Community toilets</t>
  </si>
  <si>
    <t>Improve condition of existing Public toilets</t>
  </si>
  <si>
    <t>Improve condition of existing individual toilets by providing safe sanitation disposal system</t>
  </si>
  <si>
    <t>Super-structure</t>
  </si>
  <si>
    <t>Sub-structure : sanitation disposal system</t>
  </si>
  <si>
    <t>Construct new community toilet blocks</t>
  </si>
  <si>
    <t>Construct new public toilet blocks</t>
  </si>
  <si>
    <t>Individual Toilets</t>
  </si>
  <si>
    <t>Non slum HHs</t>
  </si>
  <si>
    <t>Slum HHs</t>
  </si>
  <si>
    <t>Inc in toilets - NON SLUM</t>
  </si>
  <si>
    <t>Inc in toilets - SLUM</t>
  </si>
  <si>
    <t>Individual toilets with Population growth</t>
  </si>
  <si>
    <t>- Number of households dependent on exisitng community toilet facilities</t>
  </si>
  <si>
    <t>- Number of households to be provided with new individual toilet facilities</t>
  </si>
  <si>
    <t xml:space="preserve">- Number of these households to replace households using existing community toilets  </t>
  </si>
  <si>
    <t>- Number of existing individual toilets with this disposal system</t>
  </si>
  <si>
    <t>- Percentage of new individual toilets to be provided with this disposal system</t>
  </si>
  <si>
    <t>Individual toilets connected to off-site sanitation system with conventional sewerage network</t>
  </si>
  <si>
    <t>- Number of new individual toilets to be constructed</t>
  </si>
  <si>
    <t>- Number of new individual toilets to be constructed with sewerage network</t>
  </si>
  <si>
    <t>Mention details of sewerage network to be connected:</t>
  </si>
  <si>
    <t>- Present number of households in city</t>
  </si>
  <si>
    <t>- Percentage of households for which survey is to be conducted</t>
  </si>
  <si>
    <t>- Periodic updation time of survey</t>
  </si>
  <si>
    <t>- Per household cost of survey</t>
  </si>
  <si>
    <t>- Cost of updating the survey</t>
  </si>
  <si>
    <t>- Total cost of computerisation of records (lump-sum)</t>
  </si>
  <si>
    <t>- Annual recurring cost for updating the records</t>
  </si>
  <si>
    <t>- Estimated percentage of households with unauthorised water supply connections in city</t>
  </si>
  <si>
    <t>- Estimated percentage of households with unauthorised water supply connections in slums</t>
  </si>
  <si>
    <t>- Percentage of unauthorised connections to be regularised with improvement measures</t>
  </si>
  <si>
    <t>- Penalty charges to be levied for regularisation of connections</t>
  </si>
  <si>
    <t>- Present number of public taps and stand posts</t>
  </si>
  <si>
    <t>- Stand posts and public taps to be converted to group/ individual connections</t>
  </si>
  <si>
    <t>- Existing slum settlements with water supply network</t>
  </si>
  <si>
    <t>- Households served by individual water supply connections as compared to total households in slums</t>
  </si>
  <si>
    <t>- Slum settlements to be connected with internal water supply lines</t>
  </si>
  <si>
    <t>- New connections that can be given by laying internal water supply line in slums</t>
  </si>
  <si>
    <t>- Block cost for providing water supply infrastructure in slums</t>
  </si>
  <si>
    <t>- Duration of water supplied in a day presently</t>
  </si>
  <si>
    <t>- Days of water supplied in a month presently</t>
  </si>
  <si>
    <t>- Duration of water supply targeted in a day</t>
  </si>
  <si>
    <t>- Days of water supply targeted in a month</t>
  </si>
  <si>
    <t>- O&amp;M expenses incurred, if any</t>
  </si>
  <si>
    <t>- Quality of water supplied presently</t>
  </si>
  <si>
    <t>- Targeted level of water quality to be achieved</t>
  </si>
  <si>
    <t>- Quantity of untreated ground water supplied by ULB presently</t>
  </si>
  <si>
    <t>- Additional quantity of ground water to be treated</t>
  </si>
  <si>
    <t>- Quantity of water produced presently</t>
  </si>
  <si>
    <t>- Capacity of additional/new water source to be augmented</t>
  </si>
  <si>
    <t>- Block cost to augment the source</t>
  </si>
  <si>
    <t>- Additional/new ground water capacity to be augmented</t>
  </si>
  <si>
    <t>- Additional bulk water sanctioned/allocated for ULB</t>
  </si>
  <si>
    <t>- Annual increment in actual drawl of water allocated</t>
  </si>
  <si>
    <t>- O&amp;M expenses if incurred</t>
  </si>
  <si>
    <t>- Cost to buy treated bulk water</t>
  </si>
  <si>
    <t>- Additional bulk buy sanctioned/allocated for ULB</t>
  </si>
  <si>
    <t>- Cost to buy raw bulk water</t>
  </si>
  <si>
    <t>- Expansion/replacement of transmission network</t>
  </si>
  <si>
    <t>- Block cost to lay transmission network</t>
  </si>
  <si>
    <t>- Aggregate installed capacity of existing water treatment plants in ULB</t>
  </si>
  <si>
    <t>- Quantity of untreated surface water supplied presently</t>
  </si>
  <si>
    <t>- Additional/new treatment capacity to be augmented</t>
  </si>
  <si>
    <t>- Block to cost to augment treatment capacity</t>
  </si>
  <si>
    <t>- Aggregate existing water storage capacity</t>
  </si>
  <si>
    <t>- Surplus/(deficit) in storage capacity</t>
  </si>
  <si>
    <t>- Additional/new storage capacity to be augmented</t>
  </si>
  <si>
    <t>- Block costs to construct storage reserviors</t>
  </si>
  <si>
    <t>- Total cost to conduct water audit (lump-sum)</t>
  </si>
  <si>
    <t>- Total cost to conduct energy audit (lump-sum)</t>
  </si>
  <si>
    <t>- New bulk flow meters to be installed</t>
  </si>
  <si>
    <t>- Block cost for installation of bulk flow meters</t>
  </si>
  <si>
    <t>- Annual recurring cost for meters</t>
  </si>
  <si>
    <t>- Periodic updation time of maps</t>
  </si>
  <si>
    <t>- Cost of updating the maps</t>
  </si>
  <si>
    <t>- Total cost of conducting survey (lump-sum)</t>
  </si>
  <si>
    <t>- Cost of updation the survey</t>
  </si>
  <si>
    <t xml:space="preserve">- Current level of transmission losses </t>
  </si>
  <si>
    <t>- Targeted level of transmission losses</t>
  </si>
  <si>
    <t>- Total CapEx for loss reduction (lump-sum)</t>
  </si>
  <si>
    <t xml:space="preserve">- Current level of treatment losses </t>
  </si>
  <si>
    <t>- Targeted level of treatment losses</t>
  </si>
  <si>
    <t>- Current level of losses in water supply distribution</t>
  </si>
  <si>
    <t>- Reduction in distribution losses after implementation of corrective measures</t>
  </si>
  <si>
    <t>- Possible reduction in distribution losses through refurbishment of storage reservoirs (ESRs and GSRs)</t>
  </si>
  <si>
    <t>- Cost of carrying out of the activity (lump-sum)</t>
  </si>
  <si>
    <t>- Possible reduction in distribution losses through improvement in distribution network</t>
  </si>
  <si>
    <t>- Possible reduction in distribution losses through plugging of leakages at valves</t>
  </si>
  <si>
    <t>- Total cost of carrying out of this activity (lump-sum)</t>
  </si>
  <si>
    <t>- Number of service line connections to be replaced</t>
  </si>
  <si>
    <t>- Possible reduction in distribution losses through replacement of these service line connections</t>
  </si>
  <si>
    <t>- Block cost for replacing service line connections</t>
  </si>
  <si>
    <t>- Current number of free connections</t>
  </si>
  <si>
    <t>- Current share of free connections as compared to total water supply connections</t>
  </si>
  <si>
    <t>- Targeted share of free water supply connections</t>
  </si>
  <si>
    <t>- Domestic non-slum connections</t>
  </si>
  <si>
    <t>- Domestic slum connections</t>
  </si>
  <si>
    <t>- Commercial/institutional connections</t>
  </si>
  <si>
    <t>- Others connections</t>
  </si>
  <si>
    <t>- Group connections in slums</t>
  </si>
  <si>
    <t>- Block cost to repair a non-functional meter</t>
  </si>
  <si>
    <t>- One time cost of improvement in the system for recording and solving complaints (lump-sum)</t>
  </si>
  <si>
    <t>- Present number of residential non-slum connections</t>
  </si>
  <si>
    <t>- Current percentage of metered connections</t>
  </si>
  <si>
    <t>- Targeted percentage of connections to be metered</t>
  </si>
  <si>
    <t>- Block cost of meter</t>
  </si>
  <si>
    <t>- Present number of residential slum connections</t>
  </si>
  <si>
    <t>- Block cost of the meter</t>
  </si>
  <si>
    <t>- Present number of commercial/institutional connections</t>
  </si>
  <si>
    <t>- Present number of other connections</t>
  </si>
  <si>
    <t>- Present number of group connections in slums</t>
  </si>
  <si>
    <t>- Present collection efficiency of current demand from water related charges and taxes</t>
  </si>
  <si>
    <t>- Present collection efficiency of water related arrears</t>
  </si>
  <si>
    <t>- Present expenses on power costs for production and distribution of water</t>
  </si>
  <si>
    <t>- Present share of energy expenses to total water supply revenue expenditure</t>
  </si>
  <si>
    <t>- Number of old pumps to be replaced</t>
  </si>
  <si>
    <t>- Expected reduction in power costs for production and distribution of water</t>
  </si>
  <si>
    <t>- Total cost to procure all the new pumps</t>
  </si>
  <si>
    <t>- Average frequency of cleaning drains in a month</t>
  </si>
  <si>
    <t>- Average frequency of sweeping a street in a month</t>
  </si>
  <si>
    <t>- Improvement in frequency of drain cleaning</t>
  </si>
  <si>
    <t>- Improvement in frequency of street sweeping</t>
  </si>
  <si>
    <t>- Average monthly salary of a staff member</t>
  </si>
  <si>
    <t>- Additional staff members to be deployed</t>
  </si>
  <si>
    <t>- Total cost incurred to deploy additional staff</t>
  </si>
  <si>
    <t>- Total cost incurred to deploy staff</t>
  </si>
  <si>
    <t>- Other contingency expenditure to be incurred by ULB</t>
  </si>
  <si>
    <t>- Cost of procuring and installing global positioning system (GPS) system in all vehicles (lump-sum)</t>
  </si>
  <si>
    <t>- Households and establishments where solid waste is stored and collected in segregated manner</t>
  </si>
  <si>
    <t>- Solid waste to be stored and collected in segregated manner from households already covered by door to door collection</t>
  </si>
  <si>
    <t>- Solid waste to be stored and collected in segregated manner from households not served by door to door collection presently</t>
  </si>
  <si>
    <t>- Existing number of secondary bins</t>
  </si>
  <si>
    <t>- Aggregate storage capacity of all the bins</t>
  </si>
  <si>
    <t>- Procure additional bins for secondary collection system</t>
  </si>
  <si>
    <t>- Additional storage capacity created</t>
  </si>
  <si>
    <t>- Cost of procuring secondary storage bin</t>
  </si>
  <si>
    <t>- Cost for asphalt/concrete flooring for each bin</t>
  </si>
  <si>
    <t>- Number of litter bins to be procured</t>
  </si>
  <si>
    <t>- Block cost to procure a litter bin</t>
  </si>
  <si>
    <t>- Existing number of transportation vehicles with ULB</t>
  </si>
  <si>
    <t xml:space="preserve">- Number of vehicles that require repair and maintenance </t>
  </si>
  <si>
    <t>- Total cost of repairing vehicles (lump-sum)</t>
  </si>
  <si>
    <t>- Additional O&amp;M expenses for an additional trip</t>
  </si>
  <si>
    <t>- Existing capacity of solid waste processing plant</t>
  </si>
  <si>
    <t>- Total cost of repairing the plant (lump-sum)</t>
  </si>
  <si>
    <t>- Additional O&amp;M expenses, if incurred</t>
  </si>
  <si>
    <t>- Additional revenue generated by selling processed waste, if any</t>
  </si>
  <si>
    <t>- Maximum quantity of waste that can be transported with present vehicles of ULB</t>
  </si>
  <si>
    <t>- Total cost to procure all vehicles</t>
  </si>
  <si>
    <t>- Existing number of transfer station in ULB</t>
  </si>
  <si>
    <t>- Aggregate storage capacity at all the transfer stations</t>
  </si>
  <si>
    <t>- Additional transfer stations to be constructed</t>
  </si>
  <si>
    <t>- Aggregate additional storage capacity to be created</t>
  </si>
  <si>
    <t>- Cost to develop one site</t>
  </si>
  <si>
    <t>- Number of weigh bridges to be installed</t>
  </si>
  <si>
    <t>- Cost of Installation of one weigh bridge</t>
  </si>
  <si>
    <t>- Construct new solid waste processing plant</t>
  </si>
  <si>
    <t>- If city already has a processing plant, percentage of solid waste to be processed at this new facility</t>
  </si>
  <si>
    <t>- Percentage of compost derived from solid waste</t>
  </si>
  <si>
    <t>- Percentage of refuse-derive fuel (RDF)/fluff derived from solid waste</t>
  </si>
  <si>
    <t>- Percentage of recyclable material segregated from solid waste reaching at the plant</t>
  </si>
  <si>
    <t>- Year till when entire production of by-products shall be sold commercially</t>
  </si>
  <si>
    <t>- Block cost to construct solid waste processing plant</t>
  </si>
  <si>
    <t>- Selling price of compost, if sold commercially by ULB</t>
  </si>
  <si>
    <t>- Selling price of RDF/fluff, if sold commercially by ULB</t>
  </si>
  <si>
    <t>- Selling price of recyclable material, if sold commercially by ULB</t>
  </si>
  <si>
    <t>- O&amp;M expenses to operate the plant</t>
  </si>
  <si>
    <t>- Presence of sanitary landfill facility in city</t>
  </si>
  <si>
    <t>- Remaining capacity of sanitary landfill site, if present</t>
  </si>
  <si>
    <t>- Construct new sanitary landfill facility</t>
  </si>
  <si>
    <t>- Total cost of construction of landfill site (lump-sum)</t>
  </si>
  <si>
    <t>- Total cost of closing the site (lump-sum)</t>
  </si>
  <si>
    <t>- Present collection efficiency of  current demand from solid waste related charges and taxes</t>
  </si>
  <si>
    <t>- Present collection efficiency of solid waste related arrears</t>
  </si>
  <si>
    <t xml:space="preserve">- Average number of households dependent per toilet seat </t>
  </si>
  <si>
    <t>- Number of non-functional toilet seats to be refurbished</t>
  </si>
  <si>
    <t>- Block cost to refurbish a toilet seat</t>
  </si>
  <si>
    <t>- O&amp;M expenses to maintain a refurbished toilet seat, henceforth</t>
  </si>
  <si>
    <t>- Number of community toilet blocks with unsafe disposal system to be upgraded to safe sanitation disposal system</t>
  </si>
  <si>
    <t>- Block cost of upgrading unsafe community toilet blocks to onsite septic tanks with soak pits</t>
  </si>
  <si>
    <t>- Block cost of upgrading unsafe community toilet blocks to onsite septic tanks with settled sewer connection</t>
  </si>
  <si>
    <t>- Block cost of upgrading unsafe community toilet blocks by connecting to sewered system</t>
  </si>
  <si>
    <t>- Number of public toilet blocks with unsafe disposal system to be upgraded to safe sanitation disposal system</t>
  </si>
  <si>
    <t>- Block cost of upgrading unsafe public toilet blocks by connecting to sewered system</t>
  </si>
  <si>
    <t>- Number of existing community toilet blocks</t>
  </si>
  <si>
    <t>- Total number of toilet seats in these blocks</t>
  </si>
  <si>
    <t>- Number of new community toilet blocks to be constructed</t>
  </si>
  <si>
    <t>- Total number of toilet seats to be constructed in these blocks</t>
  </si>
  <si>
    <t>- O&amp;M expenses to maintain a community toilet seat</t>
  </si>
  <si>
    <t>- Number of existing public toilet blocks</t>
  </si>
  <si>
    <t>- Number of new public toilet blocks to be constructed</t>
  </si>
  <si>
    <t>- O&amp;M expenses to maintain a public toilet seat</t>
  </si>
  <si>
    <t>- Percentage of inhabited area served by sewerage network</t>
  </si>
  <si>
    <r>
      <t xml:space="preserve">- Households connected to sewerage network 
</t>
    </r>
    <r>
      <rPr>
        <i/>
        <sz val="10"/>
        <rFont val="Calibri"/>
        <family val="2"/>
        <scheme val="minor"/>
      </rPr>
      <t>(households connected/total households)</t>
    </r>
  </si>
  <si>
    <t>- Average number of trips by a suction emptier truck of private operator</t>
  </si>
  <si>
    <t>- Additional trips that can be made by a suction emptier truck of private operator</t>
  </si>
  <si>
    <t>- Length of existing open surface drains</t>
  </si>
  <si>
    <t>- Area covered with open surface drains</t>
  </si>
  <si>
    <t>- Length of existing closed surface drains</t>
  </si>
  <si>
    <t>- Area covered with closed surface drains</t>
  </si>
  <si>
    <t>- Length of open drains to be upgraded to closed drains</t>
  </si>
  <si>
    <t>- Incremental area that shall be upgraded with closed drains</t>
  </si>
  <si>
    <t>- Block cost to cover open surface drains</t>
  </si>
  <si>
    <t>- Flood prone points in city at present</t>
  </si>
  <si>
    <t>- Average frequency of flooding at these points</t>
  </si>
  <si>
    <t>- Flood prone points to be reduced with improvement measures</t>
  </si>
  <si>
    <t>- Reduce average frequency of flooding</t>
  </si>
  <si>
    <t>- Suction emptier trucks with private operators at present</t>
  </si>
  <si>
    <t>- Additional number of trucks expected to be procured by private operators to function within city limits</t>
  </si>
  <si>
    <t xml:space="preserve">- Charges for emptying a septic tank by ULB </t>
  </si>
  <si>
    <t>- Area covered by closed surface drains</t>
  </si>
  <si>
    <t>- Existing length of closed surface drains</t>
  </si>
  <si>
    <t>- Additional area to be covered with closed surface drains</t>
  </si>
  <si>
    <t>- Incremental length of surface drains required</t>
  </si>
  <si>
    <t>- Block cost to construct surface drains</t>
  </si>
  <si>
    <t>- Year till when entire manure shall be reused</t>
  </si>
  <si>
    <t>- Capacity of existing treatment plant for effluent and sullage (primary treatment level)</t>
  </si>
  <si>
    <t>- Year till when entire treated wastewater shall be reused</t>
  </si>
  <si>
    <t>- Block cost to construct treatment plant</t>
  </si>
  <si>
    <t>- Block cost to construct sewage treatment plant</t>
  </si>
  <si>
    <t>Community and Public toilet facilities</t>
  </si>
  <si>
    <t>Individual toilets with settled sewer - Non slum</t>
  </si>
  <si>
    <t>Individual toilets with sewerage - Non slum</t>
  </si>
  <si>
    <t>Individual toilets connected to on-site sanitation (septic tanks) system with soak pits</t>
  </si>
  <si>
    <t>Individual toilets connected to on-site sanitation (septic tanks) system with settled sewer</t>
  </si>
  <si>
    <t>Community toilets connected to on-site sanitation (septic tanks) system with soak pits</t>
  </si>
  <si>
    <t>Community toilets connected to on-site sanitation (septic tanks) system with settled sewer</t>
  </si>
  <si>
    <t>Community toilets connected to off-site sanitation system with conventional sewerage network</t>
  </si>
  <si>
    <t>- Percentage of new toilet seats to be provided with this disposal system</t>
  </si>
  <si>
    <t>Non slum</t>
  </si>
  <si>
    <t>slum</t>
  </si>
  <si>
    <t>CT with soak pits</t>
  </si>
  <si>
    <t>CT with settled sewer</t>
  </si>
  <si>
    <t>CT with sewerage</t>
  </si>
  <si>
    <t>Total seats</t>
  </si>
  <si>
    <t>Number of HHs served</t>
  </si>
  <si>
    <t>Total blocks</t>
  </si>
  <si>
    <t>Number of functional community toilet blocks - SLUM</t>
  </si>
  <si>
    <t>Reduce Non slum HHs dependent</t>
  </si>
  <si>
    <t>Reduce Slum HHs dependent</t>
  </si>
  <si>
    <t>HHs after reduction with indi toilets_ SLUMS</t>
  </si>
  <si>
    <t>Total HHs dependent - CITY</t>
  </si>
  <si>
    <t>Total HHs dependent after reduction - CITY FINAL</t>
  </si>
  <si>
    <t>Total HHs dependent after reduction - SLUM FINAL</t>
  </si>
  <si>
    <t>Public toilets connected to on-site sanitation (septic tanks) system with soak pits</t>
  </si>
  <si>
    <t>Public toilets connected to on-site sanitation (septic tanks) system with settled sewer</t>
  </si>
  <si>
    <t>Public toilets connected to off-site sanitation system with conventional sewerage network</t>
  </si>
  <si>
    <t>- Block cost to construct a community toilet seat with septic tank and soak pit</t>
  </si>
  <si>
    <t>- Block cost to construct a community toilet seat with septic tank and settled sewer connection</t>
  </si>
  <si>
    <t>- Block cost to construct a community toilet seat with sewerage connection</t>
  </si>
  <si>
    <t>- Block cost to construct a public toilet seat with septic tank and soak pit</t>
  </si>
  <si>
    <t>- Block cost to construct a public toilet seat with septic tank and settled sewer connection</t>
  </si>
  <si>
    <t>- Block cost to construct a public toilet seat with sewerage connection</t>
  </si>
  <si>
    <t>Community toilet faciliites</t>
  </si>
  <si>
    <t>PT with soak pits</t>
  </si>
  <si>
    <t>PT with settled sewer</t>
  </si>
  <si>
    <t>PT with sewerage</t>
  </si>
  <si>
    <t>Functional Toilet blocks</t>
  </si>
  <si>
    <t xml:space="preserve">Total toilet seats </t>
  </si>
  <si>
    <t>Total Toilet blocks</t>
  </si>
  <si>
    <t>Black water disposal system of toilets</t>
  </si>
  <si>
    <t>Effluent disposal system of toilets</t>
  </si>
  <si>
    <t>Households with individual toilet facility</t>
  </si>
  <si>
    <t>Open/ closed drains (unsafe)</t>
  </si>
  <si>
    <t>Pit latrines (unsafe)</t>
  </si>
  <si>
    <t>- Total number of households with unsafe sanitation disposal system</t>
  </si>
  <si>
    <t>- Of the total households with unsafe sanitation disposal system, number of households to be upgraded to safe system</t>
  </si>
  <si>
    <t>Sanitation disposal system for households</t>
  </si>
  <si>
    <t>Septic tanks &amp; Soak pits</t>
  </si>
  <si>
    <t>Specify details safe sanitation disposal systems for upgradation of toilets:</t>
  </si>
  <si>
    <t>Unsafe toilets converted</t>
  </si>
  <si>
    <t xml:space="preserve">Settled </t>
  </si>
  <si>
    <t>sewerage</t>
  </si>
  <si>
    <t>Households with septic tanks</t>
  </si>
  <si>
    <t>Share</t>
  </si>
  <si>
    <t>HHs</t>
  </si>
  <si>
    <t>Has septic tanks</t>
  </si>
  <si>
    <t>New septic tanks</t>
  </si>
  <si>
    <t>Conversion of pit latrines to septic tanks</t>
  </si>
  <si>
    <t>For costing purpose only</t>
  </si>
  <si>
    <t>No. of Non slum HHs</t>
  </si>
  <si>
    <t>No. of Slum HHs</t>
  </si>
  <si>
    <t>Soak pits cost</t>
  </si>
  <si>
    <t>HHs w toilets converted to safe sanitation</t>
  </si>
  <si>
    <t>Connect new HHs without toilets</t>
  </si>
  <si>
    <t>Septic tanks &amp; settled sewer</t>
  </si>
  <si>
    <t>- Construct additional soak pits for unserved households to dispose grey water</t>
  </si>
  <si>
    <t>- Number of households connected to soak pits as compared to total households</t>
  </si>
  <si>
    <t>Beneficiary share  (without inflation)</t>
  </si>
  <si>
    <t>Sq. kms</t>
  </si>
  <si>
    <t>Non slum HHs connected</t>
  </si>
  <si>
    <t>Slum HHs connected</t>
  </si>
  <si>
    <t>HHs w toilets to be proposed for conversion to safe sanitation</t>
  </si>
  <si>
    <t>HHs w toilets actually converted</t>
  </si>
  <si>
    <t>Remaining HHs</t>
  </si>
  <si>
    <t>HHs w toilets actually connected</t>
  </si>
  <si>
    <t>Lay new settled sewer for wastewater conveyance</t>
  </si>
  <si>
    <t>- Number of households connected to existing sewerage network</t>
  </si>
  <si>
    <r>
      <t xml:space="preserve">- O&amp;M expenses </t>
    </r>
    <r>
      <rPr>
        <i/>
        <sz val="10"/>
        <rFont val="Calibri"/>
        <family val="2"/>
        <scheme val="minor"/>
      </rPr>
      <t>(% of CapEx/ annum)</t>
    </r>
  </si>
  <si>
    <t>- Additional unserved households to be connected</t>
  </si>
  <si>
    <t>- Number of households with exisiting on-site sanitation system to be replaced with sewerage connections</t>
  </si>
  <si>
    <t xml:space="preserve">- Number of new non-residential connections to be provided </t>
  </si>
  <si>
    <t>- Number of additional unserved households to be connected</t>
  </si>
  <si>
    <t>Inc in sewerage HHs with population growth</t>
  </si>
  <si>
    <t>Regularise illegal connections</t>
  </si>
  <si>
    <t>Households with illegal connections</t>
  </si>
  <si>
    <t>- Estimated households with unauthorised sewerage connections in city</t>
  </si>
  <si>
    <t>- Targeted reduction in unauthorised connections with improvement measures</t>
  </si>
  <si>
    <t>EXISTING SEWERAGE NETWORK</t>
  </si>
  <si>
    <t>Connect toilets converted for safe sanitation</t>
  </si>
  <si>
    <t>Connect new toilet households + population growth</t>
  </si>
  <si>
    <t>New connections with exisitng network for unserved HHs without toilets + population growth</t>
  </si>
  <si>
    <t>New connections to convert septic tanks</t>
  </si>
  <si>
    <t>HHs w sewerage conn &amp; no toilets</t>
  </si>
  <si>
    <t>New unserved HHs without toilets</t>
  </si>
  <si>
    <t>Sewerage Non slum HHs</t>
  </si>
  <si>
    <t>Sewerage Slum HHs</t>
  </si>
  <si>
    <t>HHs w toilets actually constructed</t>
  </si>
  <si>
    <t>HHs with toilets &amp; septic tanks - population growth</t>
  </si>
  <si>
    <t>HHs actually present after conversion to sewerage</t>
  </si>
  <si>
    <t xml:space="preserve">Individual toilets with soak pits </t>
  </si>
  <si>
    <t>Non slum HHs new toilets</t>
  </si>
  <si>
    <t>Slum HHs new toilets</t>
  </si>
  <si>
    <t>HHs w toilets &amp; septic not coverted to sewerage as per action</t>
  </si>
  <si>
    <t>New toilets</t>
  </si>
  <si>
    <t>HHs with septic tanks to convert to sewerage (includes population growth)</t>
  </si>
  <si>
    <t>Sanitation disposal system for community &amp; public toilets</t>
  </si>
  <si>
    <t>Specify details of toilet blocks to be upgraded to safe disposal systems:</t>
  </si>
  <si>
    <t>- Number of public toilet blocks connected to unsafe pits/leach pits/other systems as compared to total blocks</t>
  </si>
  <si>
    <t>Unsafe CT blocks</t>
  </si>
  <si>
    <t>Safe by settled sewer &amp; septic tanks</t>
  </si>
  <si>
    <t>Settled sewer proposal</t>
  </si>
  <si>
    <t>New Sewerage proposal</t>
  </si>
  <si>
    <t>Safe by sewerage</t>
  </si>
  <si>
    <t>Actually safe CT toilet blocks</t>
  </si>
  <si>
    <t>Unsafe PT blocks</t>
  </si>
  <si>
    <t>Safe PT toilet seats</t>
  </si>
  <si>
    <t>Safe CT toilet seats - Non slums</t>
  </si>
  <si>
    <t>Actually safe CT toilet seats</t>
  </si>
  <si>
    <t xml:space="preserve">     </t>
  </si>
  <si>
    <t>Analysis of present performance levels leading to identification of sectoral goals and improvement priorities</t>
  </si>
  <si>
    <t>Impact of improvement actions on performance levels across plan period</t>
  </si>
  <si>
    <t>Forecasting of municipal finances based on past trends</t>
  </si>
  <si>
    <t>Review of financial implications from Action plan</t>
  </si>
  <si>
    <r>
      <rPr>
        <sz val="12"/>
        <color theme="1" tint="0.34998626667073579"/>
        <rFont val="Calibri"/>
        <family val="2"/>
        <scheme val="minor"/>
      </rPr>
      <t>Step</t>
    </r>
    <r>
      <rPr>
        <sz val="14"/>
        <color theme="1" tint="0.34998626667073579"/>
        <rFont val="Calibri"/>
        <family val="2"/>
        <scheme val="minor"/>
      </rPr>
      <t xml:space="preserve">   </t>
    </r>
    <r>
      <rPr>
        <sz val="16"/>
        <color theme="1" tint="0.34998626667073579"/>
        <rFont val="Calibri"/>
        <family val="2"/>
        <scheme val="minor"/>
      </rPr>
      <t>2</t>
    </r>
  </si>
  <si>
    <r>
      <rPr>
        <sz val="12"/>
        <color theme="1" tint="0.34998626667073579"/>
        <rFont val="Calibri"/>
        <family val="2"/>
        <scheme val="minor"/>
      </rPr>
      <t>Step</t>
    </r>
    <r>
      <rPr>
        <sz val="14"/>
        <color theme="1" tint="0.34998626667073579"/>
        <rFont val="Calibri"/>
        <family val="2"/>
        <scheme val="minor"/>
      </rPr>
      <t xml:space="preserve">   </t>
    </r>
    <r>
      <rPr>
        <sz val="16"/>
        <color theme="1" tint="0.34998626667073579"/>
        <rFont val="Calibri"/>
        <family val="2"/>
        <scheme val="minor"/>
      </rPr>
      <t>3</t>
    </r>
  </si>
  <si>
    <r>
      <rPr>
        <sz val="12"/>
        <color theme="1" tint="0.34998626667073579"/>
        <rFont val="Calibri"/>
        <family val="2"/>
        <scheme val="minor"/>
      </rPr>
      <t>Step</t>
    </r>
    <r>
      <rPr>
        <sz val="14"/>
        <color theme="1" tint="0.34998626667073579"/>
        <rFont val="Calibri"/>
        <family val="2"/>
        <scheme val="minor"/>
      </rPr>
      <t xml:space="preserve">   </t>
    </r>
    <r>
      <rPr>
        <sz val="16"/>
        <color theme="1" tint="0.34998626667073579"/>
        <rFont val="Calibri"/>
        <family val="2"/>
        <scheme val="minor"/>
      </rPr>
      <t>5</t>
    </r>
  </si>
  <si>
    <r>
      <rPr>
        <sz val="12"/>
        <color theme="1" tint="0.34998626667073579"/>
        <rFont val="Calibri"/>
        <family val="2"/>
        <scheme val="minor"/>
      </rPr>
      <t>Step</t>
    </r>
    <r>
      <rPr>
        <sz val="14"/>
        <color theme="1" tint="0.34998626667073579"/>
        <rFont val="Calibri"/>
        <family val="2"/>
        <scheme val="minor"/>
      </rPr>
      <t xml:space="preserve">   </t>
    </r>
    <r>
      <rPr>
        <sz val="16"/>
        <color theme="1" tint="0.34998626667073579"/>
        <rFont val="Calibri"/>
        <family val="2"/>
        <scheme val="minor"/>
      </rPr>
      <t>8</t>
    </r>
  </si>
  <si>
    <t>Click on coloured boxes for navigating to respective worksheets</t>
  </si>
  <si>
    <t>- Number of community and public toilets connected to septic tanks for on-site sanitation disposal</t>
  </si>
  <si>
    <t xml:space="preserve">- Number of individual toilet septic tanks to be refurbished </t>
  </si>
  <si>
    <t>- Number of communty and public toilet septic tanks to be refurbished</t>
  </si>
  <si>
    <t>Refurbishment of septic tanks in city</t>
  </si>
  <si>
    <t>Non slum on-site individual toilets</t>
  </si>
  <si>
    <t>Slum on-site individual toilets</t>
  </si>
  <si>
    <t>Wastewater collection</t>
  </si>
  <si>
    <t>Coverage of WW conveyance system (sewerage + sullage by area)</t>
  </si>
  <si>
    <t>- Length of sewerage network to be replaced/ refurbished</t>
  </si>
  <si>
    <t>- Length of existing sewerage network</t>
  </si>
  <si>
    <t>- Level of losses in the sewerage network</t>
  </si>
  <si>
    <t>- Reduction in losses of sewerage network</t>
  </si>
  <si>
    <t>Quantity of WW collected through safe system</t>
  </si>
  <si>
    <t>WW collected_ sewerage</t>
  </si>
  <si>
    <t>WW collected_ settled sewer</t>
  </si>
  <si>
    <t>WW discharged_soak pits</t>
  </si>
  <si>
    <t>Construct/augment fecal sludge treatment plant</t>
  </si>
  <si>
    <t>- Capacity of existing faecal sludge treatment and disposal plant</t>
  </si>
  <si>
    <t>- Percentage of manure derived from total sludge treated at plant</t>
  </si>
  <si>
    <t>- Treatment plant capacity required for sludge generated in city</t>
  </si>
  <si>
    <t>- Augment/ construct new treatment plant</t>
  </si>
  <si>
    <t>- Augment/construct new treatment plant</t>
  </si>
  <si>
    <t>- Treatment plant capacity required for effluent and sullage conveyed through settled sewer/ surface drains in city</t>
  </si>
  <si>
    <t>- Treatment plant capacity required for sewage conveyed through sewerage network</t>
  </si>
  <si>
    <t>Waste collected by the sewerage</t>
  </si>
  <si>
    <t>Aggregate functional capacity of all the STPs</t>
  </si>
  <si>
    <t>Functional capacity of FSTD facility</t>
  </si>
  <si>
    <t>- Additonal operating costs for these treatment plants, if any</t>
  </si>
  <si>
    <t>Sewage losses</t>
  </si>
  <si>
    <t>- Capacity of existing sewage treatment plant (STP)</t>
  </si>
  <si>
    <t>- Quantity of sludge to be treated at this plant</t>
  </si>
  <si>
    <t>- Quantity of effluent and sullage to be treated at this plant</t>
  </si>
  <si>
    <t>Functional capacity of solid waste processing plant</t>
  </si>
  <si>
    <t>Total functional capacity of all WTPs</t>
  </si>
  <si>
    <t>- Existing functional capacity of processing plant</t>
  </si>
  <si>
    <t>Repair existing water treatment plant to improve water quality</t>
  </si>
  <si>
    <t>- Functional capacity of water treatment plant as compared to total installed capacity of treatment plant</t>
  </si>
  <si>
    <t>- Capital cost incurred to repair treatment plant and improve water quality, if any (lump-sum)</t>
  </si>
  <si>
    <t>Wastewater and sewage actually collected</t>
  </si>
  <si>
    <t>Wastewater generation</t>
  </si>
  <si>
    <t>Septage collection</t>
  </si>
  <si>
    <t>Increase septage collection with existing suction emptier trucks</t>
  </si>
  <si>
    <t>- Suction emptier trucks of private operators used within city limits</t>
  </si>
  <si>
    <t>Private operated</t>
  </si>
  <si>
    <t>TOTAL</t>
  </si>
  <si>
    <t>Total HHs w soak pits</t>
  </si>
  <si>
    <t>Total HHs w toilets connected to septic tanks &amp; soak pits</t>
  </si>
  <si>
    <t>Non resi</t>
  </si>
  <si>
    <t>HHs with settled sewer connection</t>
  </si>
  <si>
    <t>HHs with toilets connected to septic tanks and settled sewer connection</t>
  </si>
  <si>
    <t>Unsafe toilets = Septic tanks + open drains</t>
  </si>
  <si>
    <t>Unsafe toilets = Pit latrines + open drains</t>
  </si>
  <si>
    <t>Unsafe toilets actually converted (after phasing of actions)</t>
  </si>
  <si>
    <t>Unsafe toilets at present actually</t>
  </si>
  <si>
    <t>Safe by exisiting sewerage</t>
  </si>
  <si>
    <t>Safe by soak pits &amp; septic tanks</t>
  </si>
  <si>
    <t>Safe by new sewerage</t>
  </si>
  <si>
    <t>HHs with indvidual toilet septic tanks</t>
  </si>
  <si>
    <t>HHs dependent on these CTs</t>
  </si>
  <si>
    <t>- Number of trips by a suction emptier truck within city limits</t>
  </si>
  <si>
    <t>Aggregate capacity of all suction emptier trucks (kl)</t>
  </si>
  <si>
    <t>- Aggregate capacity of all new suction emptier trucks</t>
  </si>
  <si>
    <t>kilo liters</t>
  </si>
  <si>
    <t>Trips by old trucks</t>
  </si>
  <si>
    <t>Trips by new trucks</t>
  </si>
  <si>
    <t>Estimated number of users per public toilet seat (Users/seat/day)</t>
  </si>
  <si>
    <t>- Estimated number of users expected per public toilet seat</t>
  </si>
  <si>
    <t>Users for PT</t>
  </si>
  <si>
    <t>Total trips by all old trucks</t>
  </si>
  <si>
    <t>Total trips by all new trucks</t>
  </si>
  <si>
    <t>Septage generated per person (cu.m./year/capita)</t>
  </si>
  <si>
    <t>NORM = 230 litres/year/ capita</t>
  </si>
  <si>
    <t>Cleaning cycle year for individual toilet septic tank</t>
  </si>
  <si>
    <t>Cleaning cycle year for CT/PT septic tank</t>
  </si>
  <si>
    <t>NORM = USEPA &amp; Septage Advisory</t>
  </si>
  <si>
    <t>Septic tanks to be cleaned annually</t>
  </si>
  <si>
    <t>Share of Users</t>
  </si>
  <si>
    <t>No. of indi toilet STs to be cleaned by each trip</t>
  </si>
  <si>
    <t>Number of STs to be cleaned by all ULB trucks/ day</t>
  </si>
  <si>
    <t>Capacity of suction trucks (cu.m.)</t>
  </si>
  <si>
    <t>ULB Old truck</t>
  </si>
  <si>
    <t>ULB New truck</t>
  </si>
  <si>
    <t>Pvt. Old truck</t>
  </si>
  <si>
    <t>Pvt. New truck</t>
  </si>
  <si>
    <t>Number of STs to be cleaned by all Pvt. trucks/ day</t>
  </si>
  <si>
    <t>Total STs that can be cleaned per day</t>
  </si>
  <si>
    <t>Quantum of septage in these STs</t>
  </si>
  <si>
    <t>HHs dependent/ CT block</t>
  </si>
  <si>
    <t>Users dependent/ PT block</t>
  </si>
  <si>
    <t>Quantity of WW collected through unsafe system - drains and in open</t>
  </si>
  <si>
    <t>Functional capacity at OLD plant</t>
  </si>
  <si>
    <t>Capacity at NEW plant</t>
  </si>
  <si>
    <t>Functional capacity of primary treatment plant</t>
  </si>
  <si>
    <t>Quantity of treated wastewater reused, if any</t>
  </si>
  <si>
    <t>WW reused after treatment</t>
  </si>
  <si>
    <t>ULB trucks</t>
  </si>
  <si>
    <t>Pvt. Trucks</t>
  </si>
  <si>
    <t>Absolute quantity of septage that can be collected with all trucks/ day</t>
  </si>
  <si>
    <t>Septage generation</t>
  </si>
  <si>
    <t>Total septage to be collected DAILY</t>
  </si>
  <si>
    <t>Septage to be collected DAILY</t>
  </si>
  <si>
    <t>cu.m./ day</t>
  </si>
  <si>
    <t>Deduction of standby capacity to calculate permissible septage possible to transportation</t>
  </si>
  <si>
    <t>Septage actually collected daily (by accoutning collection capacity)</t>
  </si>
  <si>
    <t>CT</t>
  </si>
  <si>
    <t>PT</t>
  </si>
  <si>
    <t xml:space="preserve">Share of septage </t>
  </si>
  <si>
    <t>Indiv</t>
  </si>
  <si>
    <t>Share of septage</t>
  </si>
  <si>
    <t>Number of septic tank corresponding to this septage quantity</t>
  </si>
  <si>
    <t>Septage collected ANNUALLY</t>
  </si>
  <si>
    <t>Septage per ST with cleaning cycle</t>
  </si>
  <si>
    <t>Septage to be collected ANNUALLY</t>
  </si>
  <si>
    <t>Working days in a year</t>
  </si>
  <si>
    <t>Share of HHs annually</t>
  </si>
  <si>
    <t>Total septic tanks in city</t>
  </si>
  <si>
    <t>% of septic tanks cleaned annually</t>
  </si>
  <si>
    <t>Trips/truck/day</t>
  </si>
  <si>
    <t>Trips/ truck/day</t>
  </si>
  <si>
    <t>- Number of trips by a suction emptier truck</t>
  </si>
  <si>
    <t>Total Revenue generated by ULB</t>
  </si>
  <si>
    <t>Total capex for soak pit construction (new HHs w/o toilets)</t>
  </si>
  <si>
    <t>Settled sewer connection charges for non-residential</t>
  </si>
  <si>
    <t>Settled sewer connection charges - non residential</t>
  </si>
  <si>
    <t>Wastewater treatment</t>
  </si>
  <si>
    <t>Functional capacities of OLD STPs</t>
  </si>
  <si>
    <t>Quantity of treated sewage reused, if any</t>
  </si>
  <si>
    <t>Cu./month</t>
  </si>
  <si>
    <t>- Additional treated sewage targeted to be reused with suitable interventions</t>
  </si>
  <si>
    <t>- Additional treated wastewater targeted to be reused with suitable interventions</t>
  </si>
  <si>
    <t>- Additional treated septage targeted to be reused with suitable interventions</t>
  </si>
  <si>
    <t>Increase efficiency of all existing treatment plants</t>
  </si>
  <si>
    <t>Non-functional capacity of treatment plant as compared to total installed capacity:</t>
  </si>
  <si>
    <t>- Sewage treatment plant</t>
  </si>
  <si>
    <t xml:space="preserve">- Fecal sludge treatment facility </t>
  </si>
  <si>
    <t>- Primary treatment plant for effluent and sullage</t>
  </si>
  <si>
    <t>Septage treatment</t>
  </si>
  <si>
    <t xml:space="preserve"> Waste from on-site sanitation system treated at STP, if any</t>
  </si>
  <si>
    <t>- Sullage/ grey water from drains and settled sewer</t>
  </si>
  <si>
    <t>- Septage from septic tanks</t>
  </si>
  <si>
    <t>- Additional quantity of sullage to be treated</t>
  </si>
  <si>
    <t>Waste from on-site sanitation system to be treated at Sewage treatment plant, if any</t>
  </si>
  <si>
    <t>-  Additional quantity of septage to be treated</t>
  </si>
  <si>
    <t>Cu.m./ day</t>
  </si>
  <si>
    <t>Septage remaining to be treated at FSTD</t>
  </si>
  <si>
    <t>Fecal sludge treatment facility</t>
  </si>
  <si>
    <t>Total FSTD capacity</t>
  </si>
  <si>
    <t>Quantity of septage being treated</t>
  </si>
  <si>
    <t>Septage treated at old plant</t>
  </si>
  <si>
    <t>Septage reused after treatment</t>
  </si>
  <si>
    <t>Septage treated at new plant</t>
  </si>
  <si>
    <t>% Septage reused after treatment</t>
  </si>
  <si>
    <t>Quantity of Septage reused</t>
  </si>
  <si>
    <t>Quantity of manure reused, if any</t>
  </si>
  <si>
    <t>- Treated wastewater being reused currently</t>
  </si>
  <si>
    <t>- Treated septage (manure) being reused currently</t>
  </si>
  <si>
    <t>- Treated sewage being reused currently</t>
  </si>
  <si>
    <t>Working days in a month</t>
  </si>
  <si>
    <t xml:space="preserve">Treated wastewate derived </t>
  </si>
  <si>
    <t>Functional capacity of the STP</t>
  </si>
  <si>
    <t>Sullage and septage additionally treated</t>
  </si>
  <si>
    <t>Waste carried by drains + open + settled sewer</t>
  </si>
  <si>
    <t>Sullage remainig to be treated</t>
  </si>
  <si>
    <t>STP capacity remaining</t>
  </si>
  <si>
    <t>Sullage treated</t>
  </si>
  <si>
    <t>Sullage proposed to be treated at STP</t>
  </si>
  <si>
    <t>STP capacity now remaining</t>
  </si>
  <si>
    <t>Septage proposed to be treated at STP</t>
  </si>
  <si>
    <t>Sullage and effluent treatment</t>
  </si>
  <si>
    <t>Reuse of sewage derived from sewage treatment plant</t>
  </si>
  <si>
    <t>Reuse of wastewater derived from effluent and sullage treatment plant</t>
  </si>
  <si>
    <t>Reuse of manure derived from faecal sludge treatment facility</t>
  </si>
  <si>
    <t>Estimated percentage of by-product (manure) derived from septage treated at the plant</t>
  </si>
  <si>
    <t>Septage actually treated at STP</t>
  </si>
  <si>
    <t>Manure derived from septage treated</t>
  </si>
  <si>
    <t>Estimated percentage of by-product (treated water) derived from sewage treated at the plant</t>
  </si>
  <si>
    <t>Estimated percentage of by-product (treated wastewater) derived from wastewater treated at the plant</t>
  </si>
  <si>
    <t>Treated water derived from plant</t>
  </si>
  <si>
    <t>- Total quantity of treated sewage derived from STP currently (includes septage and sullage, if treated)</t>
  </si>
  <si>
    <t>- Total quantity of treated wastewater derived from treatment plant</t>
  </si>
  <si>
    <t>- Total quantity of treated septage (manure) derived from treatment facility</t>
  </si>
  <si>
    <t>Quantity of sewage treated at STP</t>
  </si>
  <si>
    <t>Total quantity of sewage + sullage + septage treated</t>
  </si>
  <si>
    <t>Converted to kg/ annum</t>
  </si>
  <si>
    <t>Revenue earned/ annum (Rs lakhs)</t>
  </si>
  <si>
    <t>Revenue earned (Rs lakhs)</t>
  </si>
  <si>
    <t>Capex (Rs lakhs)</t>
  </si>
  <si>
    <t>O&amp;M (Rs lakhs)</t>
  </si>
  <si>
    <t>Sewage treated at STP</t>
  </si>
  <si>
    <t>Sewage reused at STP</t>
  </si>
  <si>
    <t>Waste water from drains + settled sewer</t>
  </si>
  <si>
    <t>Sullage by-product</t>
  </si>
  <si>
    <t>Sullage reused</t>
  </si>
  <si>
    <t>Total treated</t>
  </si>
  <si>
    <t>BY-product derived</t>
  </si>
  <si>
    <t>Escalation of old tariff</t>
  </si>
  <si>
    <t>Resi non-slum conn. charges</t>
  </si>
  <si>
    <t>Resi slum conn. charges</t>
  </si>
  <si>
    <t>Rs/connection</t>
  </si>
  <si>
    <t xml:space="preserve">- Non-residential conn. charge </t>
  </si>
  <si>
    <t xml:space="preserve">- Residential non-slum conn. charge </t>
  </si>
  <si>
    <t>- Residential slum conn. charge</t>
  </si>
  <si>
    <t xml:space="preserve"> - Non-residential conn. charge </t>
  </si>
  <si>
    <t>Percentage increment/ reduction in connection charges</t>
  </si>
  <si>
    <t>Resi. Non-slum</t>
  </si>
  <si>
    <t>Resi. Slum</t>
  </si>
  <si>
    <t>New half inch residential non-slum connection charge</t>
  </si>
  <si>
    <t>New half inch residential slum connection charges</t>
  </si>
  <si>
    <r>
      <t xml:space="preserve"> - Average increment for all connection types </t>
    </r>
    <r>
      <rPr>
        <i/>
        <sz val="9.5"/>
        <rFont val="Calibri"/>
        <family val="2"/>
      </rPr>
      <t>(Fix rate multiple from above blue box link)</t>
    </r>
  </si>
  <si>
    <t>- Sewered sanitation system linked to existing sewerage network(%)</t>
  </si>
  <si>
    <t>Conversion of unsanitary toilets to safe sanitation</t>
  </si>
  <si>
    <t>Costing for septic tanks construction</t>
  </si>
  <si>
    <t>Costing for soak pit construction</t>
  </si>
  <si>
    <t>Costing for new connection chamber</t>
  </si>
  <si>
    <t>Settled sewer + exit sewerage + new sewerage</t>
  </si>
  <si>
    <t>1. Disposal system - soak pits + septic tanks</t>
  </si>
  <si>
    <t>2. Disposal system - settled sewer + septic tanks</t>
  </si>
  <si>
    <t>Refurbishment costing (super-structure)</t>
  </si>
  <si>
    <t>Septic tanks + soak pits</t>
  </si>
  <si>
    <t>Septic tanks + settled sewer</t>
  </si>
  <si>
    <t>- Percentage cost of individual toilet refurbishment to be borne by Beneficiaries</t>
  </si>
  <si>
    <t>- Percentage cost of upgradation to be borne Beneficiaries</t>
  </si>
  <si>
    <t>- Percentage cost of toilet construction to be borne by Benecifiary</t>
  </si>
  <si>
    <t>- Number of new community toilet seats to be constructed</t>
  </si>
  <si>
    <t>- Number of new public toilet seats to be constructed</t>
  </si>
  <si>
    <t>New PT costing</t>
  </si>
  <si>
    <t>Improve existing sewerage network and plug leakages</t>
  </si>
  <si>
    <t>- Percentage cost of soak pit to be borne by Benificiary</t>
  </si>
  <si>
    <t xml:space="preserve">New sewerage network </t>
  </si>
  <si>
    <t>Length of sewerage network (includes existing sewerage length)</t>
  </si>
  <si>
    <t>Non Functional toilet seats</t>
  </si>
  <si>
    <t>Revenue generated after refurbishment</t>
  </si>
  <si>
    <t>CapEx_Beneficiary</t>
  </si>
  <si>
    <t>CApEx_total</t>
  </si>
  <si>
    <t>- Percentage share of repairing cost to be borne by Beneficiary</t>
  </si>
  <si>
    <t>Cost of reparing non functional meters_Total</t>
  </si>
  <si>
    <t>- Percentage cost of meter to be borne by Beneficiary</t>
  </si>
  <si>
    <t>Costing for Meters</t>
  </si>
  <si>
    <t>Total for new meter conn_Total (without inflation)</t>
  </si>
  <si>
    <t>- Non-functional capacity of treatment plant to be repaired and made functional</t>
  </si>
  <si>
    <t>Functional capacity of WTP</t>
  </si>
  <si>
    <t>Aggregate functional capacity of all water treatment plants in city as compared to total raw water augmented.</t>
  </si>
  <si>
    <t>Functional treatment capacity</t>
  </si>
  <si>
    <t>- Non-functional capacity of processing plant to be repaired and made functional</t>
  </si>
  <si>
    <t>Installed capacity of waste processing plant</t>
  </si>
  <si>
    <t>Functional capacity of processing plant</t>
  </si>
  <si>
    <t>Community toilets w safe sanitation</t>
  </si>
  <si>
    <t>Sub-structure : sanitation disposal system costing</t>
  </si>
  <si>
    <t>Unsafe CT seats</t>
  </si>
  <si>
    <t>NON-SLUM population growth share</t>
  </si>
  <si>
    <t>SLUM population growth share</t>
  </si>
  <si>
    <t>Unsafe toilets</t>
  </si>
  <si>
    <t>Non functional block</t>
  </si>
  <si>
    <t>Non functional block with unsafe sanitation</t>
  </si>
  <si>
    <t>Actually UNsafe CT toilet blocks</t>
  </si>
  <si>
    <t>Functional toilet blocks with SAFE sanitation</t>
  </si>
  <si>
    <t>Functional toilet blocks with UNsafe sanitation</t>
  </si>
  <si>
    <t>HHs dependent on UNsafe sanitation</t>
  </si>
  <si>
    <t>HHs dependent on SAFE sanitation</t>
  </si>
  <si>
    <t>Existing sewerage</t>
  </si>
  <si>
    <t>New sewerage</t>
  </si>
  <si>
    <t>On-site sanitation with Settled sewer</t>
  </si>
  <si>
    <t>On-site sanitation with soak pits</t>
  </si>
  <si>
    <t>Unsafe sanitation disposal system</t>
  </si>
  <si>
    <t>Number of HHs dependent per toilet seat</t>
  </si>
  <si>
    <t>Total Number of HHs dependent</t>
  </si>
  <si>
    <t>HHs after reduction with indi toilets</t>
  </si>
  <si>
    <t>Non-functional seats</t>
  </si>
  <si>
    <t>Functional CT seats</t>
  </si>
  <si>
    <t>Functional CT blocks</t>
  </si>
  <si>
    <t>Non-functional CT toilets</t>
  </si>
  <si>
    <t>Functional CT toilets</t>
  </si>
  <si>
    <t>HHs dependent on CT toilets</t>
  </si>
  <si>
    <t>Refurbishment finances</t>
  </si>
  <si>
    <t>REFURBISHED CT TOILETS</t>
  </si>
  <si>
    <t>Total CT blocks (Old + new)_CITY</t>
  </si>
  <si>
    <t>Total functional CT seats - CITY</t>
  </si>
  <si>
    <t>Total functional CT seats - SLUMS</t>
  </si>
  <si>
    <t>CITY SUMMARY</t>
  </si>
  <si>
    <t>SLUM SUMMARY</t>
  </si>
  <si>
    <t>Conversion of unsafe indivi toilets to safe</t>
  </si>
  <si>
    <t>Costing for conversion from unsafe toilets</t>
  </si>
  <si>
    <t>Total cost (without inflation)</t>
  </si>
  <si>
    <t>Sewerage connections total</t>
  </si>
  <si>
    <t>Costing calculations</t>
  </si>
  <si>
    <t>Sanitation system</t>
  </si>
  <si>
    <t>WW system</t>
  </si>
  <si>
    <t>WW collected</t>
  </si>
  <si>
    <t>Sewerage connection charges</t>
  </si>
  <si>
    <t>Settled sewer connection charges</t>
  </si>
  <si>
    <t>Non slums</t>
  </si>
  <si>
    <t>Commercial</t>
  </si>
  <si>
    <t>Collection from conn. Charges</t>
  </si>
  <si>
    <t>Sewerage Non slum HHs total</t>
  </si>
  <si>
    <t>Sewerage Slum HHs total</t>
  </si>
  <si>
    <t>New toilet seats</t>
  </si>
  <si>
    <t>Existing non-functional seats</t>
  </si>
  <si>
    <t>Existing functional seats with Unsafe sanitation system</t>
  </si>
  <si>
    <t>Existing functional seats with Safe sanitation system</t>
  </si>
  <si>
    <t>Wastewater generated &amp; collected</t>
  </si>
  <si>
    <t>Suction emptier trucks capacity</t>
  </si>
  <si>
    <t>WW by-product derived from treatment</t>
  </si>
  <si>
    <t>WW by-product reused</t>
  </si>
  <si>
    <t>Septage by-product derived from treatment</t>
  </si>
  <si>
    <t>Cu.m/day</t>
  </si>
  <si>
    <t>Septage by-product</t>
  </si>
  <si>
    <t>SEPTAGE (cu.m./month)</t>
  </si>
  <si>
    <t xml:space="preserve">Provide soak pits for wastewater disposal </t>
  </si>
  <si>
    <t>Expand or lay new sewerage network for wastewater conveyance</t>
  </si>
  <si>
    <t xml:space="preserve">WW generated </t>
  </si>
  <si>
    <t>WW collected &amp; conveyed Safely (soak pit, settled, sewerage)</t>
  </si>
  <si>
    <t>Community toilet seats</t>
  </si>
  <si>
    <t>Public toilet seats</t>
  </si>
  <si>
    <t>cu.m./month</t>
  </si>
  <si>
    <t>Sullage actually treated at STP</t>
  </si>
  <si>
    <t>DCB</t>
  </si>
  <si>
    <t>CT &amp; PT status</t>
  </si>
  <si>
    <r>
      <t xml:space="preserve">- Block cost of upgrading effluent disposal system to soak pits
</t>
    </r>
    <r>
      <rPr>
        <i/>
        <sz val="10"/>
        <rFont val="Calibri"/>
        <family val="2"/>
        <scheme val="minor"/>
      </rPr>
      <t xml:space="preserve"> (Rs/ toilet)</t>
    </r>
  </si>
  <si>
    <r>
      <t xml:space="preserve">- Number of non-functional community toilet seats as compared to total toilet seats </t>
    </r>
    <r>
      <rPr>
        <i/>
        <sz val="10"/>
        <rFont val="Calibri"/>
        <family val="2"/>
        <scheme val="minor"/>
      </rPr>
      <t>(Non-functional seats / total seats)</t>
    </r>
  </si>
  <si>
    <r>
      <t xml:space="preserve">- Number of non-functional public toilet seats as compared to total toilet seats </t>
    </r>
    <r>
      <rPr>
        <i/>
        <sz val="10"/>
        <rFont val="Calibri"/>
        <family val="2"/>
        <scheme val="minor"/>
      </rPr>
      <t>(Non-functional seats/total seats)</t>
    </r>
  </si>
  <si>
    <r>
      <t xml:space="preserve">- Average number of households to be dependent per community toilet seat </t>
    </r>
    <r>
      <rPr>
        <i/>
        <sz val="10"/>
        <rFont val="Calibri"/>
        <family val="2"/>
        <scheme val="minor"/>
      </rPr>
      <t>(Households/toilet seat)</t>
    </r>
  </si>
  <si>
    <r>
      <t>- Length of new settled sewer to be laid</t>
    </r>
    <r>
      <rPr>
        <i/>
        <sz val="10"/>
        <rFont val="Calibri"/>
        <family val="2"/>
        <scheme val="minor"/>
      </rPr>
      <t xml:space="preserve"> (kms.)</t>
    </r>
  </si>
  <si>
    <r>
      <t xml:space="preserve">- Area to be covered with new settled sewer </t>
    </r>
    <r>
      <rPr>
        <i/>
        <sz val="10"/>
        <rFont val="Calibri"/>
        <family val="2"/>
        <scheme val="minor"/>
      </rPr>
      <t>(Sq. kms.)</t>
    </r>
  </si>
  <si>
    <r>
      <t xml:space="preserve">- Inhabited area served by sewerage network as compared to total inhabited area of city </t>
    </r>
    <r>
      <rPr>
        <i/>
        <sz val="10"/>
        <rFont val="Calibri"/>
        <family val="2"/>
        <scheme val="minor"/>
      </rPr>
      <t>(Sq. kms.)</t>
    </r>
  </si>
  <si>
    <r>
      <t>- Increase in length of sewerage network</t>
    </r>
    <r>
      <rPr>
        <i/>
        <sz val="10"/>
        <rFont val="Calibri"/>
        <family val="2"/>
        <scheme val="minor"/>
      </rPr>
      <t xml:space="preserve"> (Kms.)</t>
    </r>
  </si>
  <si>
    <r>
      <t xml:space="preserve">- Additional area to be covered with new sewerage </t>
    </r>
    <r>
      <rPr>
        <i/>
        <sz val="10"/>
        <rFont val="Calibri"/>
        <family val="2"/>
        <scheme val="minor"/>
      </rPr>
      <t>(Sq. kms.)</t>
    </r>
  </si>
  <si>
    <r>
      <t>- Length of existing sewerage network</t>
    </r>
    <r>
      <rPr>
        <i/>
        <sz val="10"/>
        <rFont val="Calibri"/>
        <family val="2"/>
        <scheme val="minor"/>
      </rPr>
      <t xml:space="preserve"> (Kms.)</t>
    </r>
  </si>
  <si>
    <t>Number of households in city without any safe sanitation facility and resort to open defecation, as percentage of total households in city.</t>
  </si>
  <si>
    <t>Non-functional community and public toilets</t>
  </si>
  <si>
    <t>Number of non-functional community and public toilet seats as percentage of total community and public toilet seats.</t>
  </si>
  <si>
    <t>Number of households with on-site black water disposal system as septic tanks connected to settled sewer/ small bore sewers for grey water disposal, as percentage of total households in city.</t>
  </si>
  <si>
    <t>Number of households with full on-site sanitation disposal system as septic tanks connected to soak pits for grey water disposal, as percentage of total households in city.</t>
  </si>
  <si>
    <t>Number of households with individual connections to sewerage network, as percentage of total households in city.</t>
  </si>
  <si>
    <t>Households with full on-site sanitation system</t>
  </si>
  <si>
    <t>Households with on-site sanitation and settled sewer</t>
  </si>
  <si>
    <t>PAS</t>
  </si>
  <si>
    <t>Quantum of sullage and effluent that can be treated at primary treatment plants as percentage of normative sullage and effluent collected by settled sewer or drains (unsafe way).</t>
  </si>
  <si>
    <t>Total capacity for primary treatment plant</t>
  </si>
  <si>
    <t>Quantum of septage that can be treated at faecal sludge treatment plant as percentage of normative septage generated in city.</t>
  </si>
  <si>
    <r>
      <t xml:space="preserve">Collection efficiency of Sewage + wastewater </t>
    </r>
    <r>
      <rPr>
        <sz val="11"/>
        <rFont val="Calibri"/>
        <family val="2"/>
        <scheme val="minor"/>
      </rPr>
      <t>(calculated based on waste reaching at the plant)</t>
    </r>
  </si>
  <si>
    <t>Total actions</t>
  </si>
  <si>
    <t>Existing distribution network</t>
  </si>
  <si>
    <t>Sq.kms.</t>
  </si>
  <si>
    <t>- Additional connections to be given in non-slum households</t>
  </si>
  <si>
    <t>- Additional connections to be given in slum households</t>
  </si>
  <si>
    <t>- New connections that can be given by laying distribution network in non-slum areas</t>
  </si>
  <si>
    <t>HHs served by existing resources/infrastructure</t>
  </si>
  <si>
    <t>Inc in HHs covered - NON SLUMS</t>
  </si>
  <si>
    <t>Increase in HHs with add staff - NON SLUMS</t>
  </si>
  <si>
    <t>Pvt. Contract - Inc in HHs - NON SLUMS</t>
  </si>
  <si>
    <t>Total water supply connections</t>
  </si>
  <si>
    <t>Details of new sewerage network in city, if proposed</t>
  </si>
  <si>
    <t>Details of new settled sewer network in city, if proposed</t>
  </si>
  <si>
    <t>Install bulk flow meters</t>
  </si>
  <si>
    <t>Actually Unsafe PT blocks</t>
  </si>
  <si>
    <t>Actually safe PT toilet blocks</t>
  </si>
  <si>
    <t>Actually safe PT toilet seats</t>
  </si>
  <si>
    <t>Refurbishment of exisiting septic tanks in city</t>
  </si>
  <si>
    <t>With on-site sanitation</t>
  </si>
  <si>
    <t>With sewerage</t>
  </si>
  <si>
    <t>Coverage of households with improved sanitation facility in city</t>
  </si>
  <si>
    <r>
      <t xml:space="preserve">Efficiency of TOTAL wastewater collection system </t>
    </r>
    <r>
      <rPr>
        <sz val="11"/>
        <rFont val="Calibri"/>
        <family val="2"/>
        <scheme val="minor"/>
      </rPr>
      <t>(weighted average based on HHs served by soak pit, settled, sewerage)</t>
    </r>
  </si>
  <si>
    <t>Coverage of individual water supply connection in slums</t>
  </si>
  <si>
    <t>Based on the assessment of city level infrastructure of public toilets, need to propose new public toilets in areas where there is gap of public toilets, the areas could be market area, commerical area, public places, public buildings etc</t>
  </si>
  <si>
    <t>In cities where ground water table is very low and there are less chances of contamination of ground water due to infiltration of effluent from septic tanks and greywater soak pits can be provided.The other point that needs to be cosidered is the soil type
As per IS codes and CPHEEO manuals “Soak pits or dispersion trenches can be adopted in all porous soils where soak percolation rate is below 25 minutes per cm and the depth of water table is 2 m or more from the ground level</t>
  </si>
  <si>
    <t>Untreated wastewater transmitted through drains/settled sewer finds their way to natural water bodies and cause pollution.  Therefore primary treatment facility required to treat the wastewater of drains /settled sewer. Primary treatment facilities can be oxidation pond or  lagoon, facultative pond or lagoon etc depending upon availability of land and electricity supply</t>
  </si>
  <si>
    <t>Cities where sewer system is present should have wastewater treatment plant. But many cities disposed of untreated sewer in natural water bodies. Cities should decide on type of sewage treatment plant (STP) and the accordingly, construct the STP. Type of  STP can be conventional STP, Upflow anaerobic sludge blanket (UASB), Fluidised bed reactor, Activated sludge process (ASP) etc.. In some cities there is treatment plant that have  reached its full capcity and cannot serve the additional load, in this context we need to augment the capacity of treatment plant.</t>
  </si>
  <si>
    <t>A simple drop-down switch is provided on top left corner of table (besides learn more) to 'Activate/Deactivate' an action. By activating switch, the corresponding action can be included in the proposed Action Plan.
Light blue colour of box indicates actions prioritised in Performance assessment sheet. The colour turns to dark blue if action is actually activated. Any action can be activated irrespective of whether they were prioritised earlier or not (i.e. box being grey or light blue; colour is only indicative)</t>
  </si>
  <si>
    <t>A simple drop-down switch is provided on top left corner of table (besides learn more) to 'Activate/Deactivate' an action. By activating switch, the corresponding action can be included in the proposed Action Plan.
Light blue colour of box indicates actions prioritised in Performance assessment sheet. The colour turns to dark blue if action is actually activated. Any action can be activated irrespective of whether they were prioritised earlier or not (i.e. box being grey or light blue; colour is only indicative.</t>
  </si>
  <si>
    <t>MODULE II: ACTION PLANNING</t>
  </si>
  <si>
    <t>- Connect to households already having sewerage connection (%)</t>
  </si>
  <si>
    <t>- Connect to existing sewerage with new connection (%)</t>
  </si>
  <si>
    <t>- Connect to new sewerage network (to be proposed) (%)</t>
  </si>
  <si>
    <t>Once the Model is calibrated, the table below generates summary of that PIP option. Copy box with red dotted border and paste (paste as 'Values and Number formatting' option) in the blank space provided below for each PIP option. User has to 'Save as' file of this model each time a new PIP option is generated. And then collaborate all the summaries of PIP options together in this sheet for comparison. This will facilitate arriving at best PIP option for the city.</t>
  </si>
  <si>
    <t>WW Plan'!E338</t>
  </si>
  <si>
    <t>Based on raw water quality results, improve water treatment process like change in chlorination dose or retention time.</t>
  </si>
  <si>
    <t>I. STANDARD SLB BENCHMARKS</t>
  </si>
  <si>
    <t>This switch is placed at the top of each page to activate PRINTING for pre-defined page settings.</t>
  </si>
  <si>
    <t>- Estimated additional Slum households that can be served</t>
  </si>
  <si>
    <t>Primary collection at doorstep</t>
  </si>
  <si>
    <t>Secondary collection at storage bin</t>
  </si>
  <si>
    <t>Primary collection at doorstep in segregated manner</t>
  </si>
  <si>
    <t>NON-SLUM SUMMARY</t>
  </si>
  <si>
    <t>Total functional CT seats</t>
  </si>
  <si>
    <t xml:space="preserve">HHs dependent </t>
  </si>
  <si>
    <t>Total HHs dependent after reduction - FINAL</t>
  </si>
  <si>
    <t>Total waste processed as byproduct_OLD PLANT</t>
  </si>
  <si>
    <t xml:space="preserve">% of waste processed as byproduct </t>
  </si>
  <si>
    <t>Sewerage year</t>
  </si>
  <si>
    <t>Settled</t>
  </si>
  <si>
    <t>HHs w new toilets to be constructed + population growth</t>
  </si>
  <si>
    <t>Exit. sewerage</t>
  </si>
  <si>
    <t>Population growth_Exisitng network</t>
  </si>
  <si>
    <t>Population growth_New sewerage</t>
  </si>
  <si>
    <t>Group toilets connected to on-site sanitation (septic tanks) system with soak pits</t>
  </si>
  <si>
    <t>Group toilets connected to on-site sanitation (septic tanks) system with settled sewer</t>
  </si>
  <si>
    <t>Group toilets connected to off-site sanitation system with conventional sewerage network</t>
  </si>
  <si>
    <t>- Number of new group toilets to be constructed with sewerage network</t>
  </si>
  <si>
    <t>Construct new individual toilets</t>
  </si>
  <si>
    <t>Construct new group toilets</t>
  </si>
  <si>
    <t>- Number of new group toilets to be constructed</t>
  </si>
  <si>
    <t>- Total number of households to be served by group toilets</t>
  </si>
  <si>
    <t>Group toilet faciliites</t>
  </si>
  <si>
    <t>Group toilets with soak pits</t>
  </si>
  <si>
    <t>New toilets constructed</t>
  </si>
  <si>
    <t>Group toilets with settled sewer</t>
  </si>
  <si>
    <t>Group toilets with sewerage</t>
  </si>
  <si>
    <t>- Percentage of new group toilets to be connected with this disposal system</t>
  </si>
  <si>
    <t>- Number of these group toilets</t>
  </si>
  <si>
    <t>HHs actually linked to settled sewer - Safe sanitation</t>
  </si>
  <si>
    <t>HHs with unsafe sanitation</t>
  </si>
  <si>
    <t>HHs actually linked to new sewerage - Safe sanitation</t>
  </si>
  <si>
    <t>Construct new toilet households + pop growth</t>
  </si>
  <si>
    <t>HHs actually linked to existing sewerage - Safe sanitation</t>
  </si>
  <si>
    <t>- Percentage cost of toilet construction to be borne by group of benecifiaries for a toilet</t>
  </si>
  <si>
    <t>Households served - non slum</t>
  </si>
  <si>
    <t xml:space="preserve">Reduce CT HHs with </t>
  </si>
  <si>
    <t>New individual toilets</t>
  </si>
  <si>
    <t>New group toilets</t>
  </si>
  <si>
    <t>Municipal area covered by closed surface drains for storm water drainage as percentage of total jurisdictional area of city.</t>
  </si>
  <si>
    <t>- Block cost to construct an individual toilet with septic tank and soak pit (Rs/toilet)</t>
  </si>
  <si>
    <t>Private party</t>
  </si>
  <si>
    <t>Individual + group + community toilet facilities</t>
  </si>
  <si>
    <t>Individual + group toilet facilities</t>
  </si>
  <si>
    <t>Group toilets</t>
  </si>
  <si>
    <t>One HH from a group toilet is considered here</t>
  </si>
  <si>
    <t>Total HHs with settled sewer connection</t>
  </si>
  <si>
    <t>Actually converted</t>
  </si>
  <si>
    <t>Total HHs w toilets connected to STs &amp; settled sewer</t>
  </si>
  <si>
    <t>Individual toilet - sewerage conn.</t>
  </si>
  <si>
    <t>Individual toilet with unsafe sanitation</t>
  </si>
  <si>
    <t>HHs dependent on group toilets</t>
  </si>
  <si>
    <t>On-site sanitation with settled sewer</t>
  </si>
  <si>
    <t>Individual toilet - onsite sanitation</t>
  </si>
  <si>
    <r>
      <t xml:space="preserve">- Average number of households to share one group toilet </t>
    </r>
    <r>
      <rPr>
        <i/>
        <sz val="10"/>
        <color theme="1"/>
        <rFont val="Calibri"/>
        <family val="2"/>
        <scheme val="minor"/>
      </rPr>
      <t>(HHs/toilet)</t>
    </r>
  </si>
  <si>
    <t>Benchmark (Total population)</t>
  </si>
  <si>
    <t xml:space="preserve">Coverage of households with individual and group toilets in city </t>
  </si>
  <si>
    <t xml:space="preserve">Coverage of households with individual and group toilets in slums </t>
  </si>
  <si>
    <t>Number of households with access to individual and group toilets as percentage of total households in city.</t>
  </si>
  <si>
    <t>Number of households in slum settlements with access to individual and group toilets as percentage of total slum households.</t>
  </si>
  <si>
    <t>Terms and conditions of debt</t>
  </si>
  <si>
    <t>ACTIVATE/
DEACTIVATE ACTION</t>
  </si>
  <si>
    <r>
      <t xml:space="preserve">PIP &lt;odel enables users to arrive at options of improvement plan by establishing links between resources available and city priorities and issues. A number of such PIP options can be simulated through an iterative process. An improvement option comprises a discrete set of actions to achieve either different levels of improvement in service performance, or use different feasible technologies to achieve similar performance levels. The options may also be developed to either capture varying phasing of actions and a different timeline on service improvements, or for varying financing arrangements. To facilitate assessing various improvement options together, key parameters are compiled as PIP summary. It essentially comprises a summary of each of the three components of PIP planning process:
1. </t>
    </r>
    <r>
      <rPr>
        <u/>
        <sz val="11"/>
        <color theme="3"/>
        <rFont val="Calibri"/>
        <family val="2"/>
        <scheme val="minor"/>
      </rPr>
      <t>Performance assessment</t>
    </r>
    <r>
      <rPr>
        <sz val="11"/>
        <color theme="3"/>
        <rFont val="Calibri"/>
        <family val="2"/>
        <scheme val="minor"/>
      </rPr>
      <t xml:space="preserve"> - The KPIs for each sector are given weightages to arrive at sector performance score. This sector score is calculated for starting year of Plan Period and completion year. The weightages in default scenario are equal for all KPIs. But based on city priorities and core issues, these KPI weightages can be customised in model. Once the weightages are fixed, it is suggested to use same weightages for comparing all PIP options of a city for a baseline assessment.
2. </t>
    </r>
    <r>
      <rPr>
        <u/>
        <sz val="11"/>
        <color theme="3"/>
        <rFont val="Calibri"/>
        <family val="2"/>
        <scheme val="minor"/>
      </rPr>
      <t>Action plan summary</t>
    </r>
    <r>
      <rPr>
        <sz val="11"/>
        <color theme="3"/>
        <rFont val="Calibri"/>
        <family val="2"/>
        <scheme val="minor"/>
      </rPr>
      <t xml:space="preserve"> - The implications of Action Plan are reported in terms of type of actions activated and financial requirements. For each sector, number of improvement actions activated for each type of intervention (data improvement, process/policy, existing system and new infrastructure) arecompiled to highlight the overarching approach for improvement plan. Also, financial implications are compiled in terms of capital expenditure required and additional expenses and revenue generated.
3. </t>
    </r>
    <r>
      <rPr>
        <u/>
        <sz val="11"/>
        <color theme="3"/>
        <rFont val="Calibri"/>
        <family val="2"/>
        <scheme val="minor"/>
      </rPr>
      <t>Financing Plan summary</t>
    </r>
    <r>
      <rPr>
        <sz val="11"/>
        <color theme="3"/>
        <rFont val="Calibri"/>
        <family val="2"/>
        <scheme val="minor"/>
      </rPr>
      <t xml:space="preserve"> - This captures various sources of funds computed to finance Capital and Operating Plan of PIP. Also, extent of tariff revision necessary to sustain the Action Plan is reported in terms of tariff levels at the start of plan period and tariffs revisions required by end of the plan period. 
</t>
    </r>
  </si>
  <si>
    <t xml:space="preserve">- By-product derived from additional solid waste treated </t>
  </si>
  <si>
    <t>This switch is placed at the top of each sheet to reset by DELETING all input cells for fresh start.</t>
  </si>
  <si>
    <t>Coverage of households with individual toilets in slum</t>
  </si>
  <si>
    <t>hours</t>
  </si>
  <si>
    <t>Efficiency of wastewater &amp; septage collection system</t>
  </si>
  <si>
    <t xml:space="preserve">Efficiency in collection of wastewater charges </t>
  </si>
  <si>
    <t>Household level coverage of MSW services in slums</t>
  </si>
  <si>
    <t>ULB funds</t>
  </si>
  <si>
    <t>Own funds</t>
  </si>
  <si>
    <t>ULB own funds</t>
  </si>
  <si>
    <t>Internal fund transfers for CapEx</t>
  </si>
  <si>
    <t xml:space="preserve">Private contributions </t>
  </si>
  <si>
    <r>
      <t xml:space="preserve">Private contribution through PPP and Beneficiaries </t>
    </r>
    <r>
      <rPr>
        <vertAlign val="superscript"/>
        <sz val="14"/>
        <color theme="1"/>
        <rFont val="Calibri"/>
        <family val="2"/>
        <scheme val="minor"/>
      </rPr>
      <t>#</t>
    </r>
  </si>
  <si>
    <t>Private contri.</t>
  </si>
  <si>
    <t>- Number of households in city</t>
  </si>
  <si>
    <t>- Number of individual toilets connected to septic tanks for on-site sanitation disposal</t>
  </si>
  <si>
    <t>- Number of these households to replace community toilet using households</t>
  </si>
  <si>
    <t>- Number of household proposed for 'new individual toilets' and 'provision of safe sanitation for unsafe toilets' in previous improvement actions</t>
  </si>
  <si>
    <t>- Treated wastewater derived from total wastewater treated at the plant</t>
  </si>
  <si>
    <t>- Treated sewage (including sludge, effluent and sullage if treated) derived from total sewage treated at the plant</t>
  </si>
  <si>
    <t>- Collection efficiency of current demand from wastewater related charges and taxes</t>
  </si>
  <si>
    <t>- Collection efficiency of wastewater related arrears</t>
  </si>
  <si>
    <t>1. City fully covered with sewerage network;                                           2. City partially covered with sewerage network;      
3. City fully covered with on-site sanitation system</t>
  </si>
  <si>
    <r>
      <t xml:space="preserve">Number of non-slum households dependent on secondary collection system 
</t>
    </r>
    <r>
      <rPr>
        <i/>
        <sz val="10"/>
        <color theme="1"/>
        <rFont val="Calibri"/>
        <family val="2"/>
        <scheme val="minor"/>
      </rPr>
      <t>(NOTE : These households are not served by door step collection and dump their waste in secondary collection bins)</t>
    </r>
  </si>
  <si>
    <t>Solid waste primary collection system (door to door)</t>
  </si>
  <si>
    <t>Non-slum households served</t>
  </si>
  <si>
    <t>Slum households served</t>
  </si>
  <si>
    <t>Establishments served</t>
  </si>
  <si>
    <t>NOTE : Estimate inflation rate based on average trend of last five years. Please refer to statistics published by Government of India (GoI) for the same. These Inflation rates shall be applied to all financial projections, thereforearrive at best possible estimates.</t>
  </si>
  <si>
    <t>Principal repayments of external funds/ borrowing</t>
  </si>
  <si>
    <t>Coverage of household level SW services in city</t>
  </si>
  <si>
    <t>Coverage of household level SW services in slum</t>
  </si>
  <si>
    <t>Efficiency in collection of SW charges</t>
  </si>
  <si>
    <t>Extent of scientific disposal of SW</t>
  </si>
  <si>
    <t>Number of households with access to some kind of toilet facility (individual and community toilet), as percentage of total households in city (as defined by Joint Monitoring Program</t>
  </si>
  <si>
    <r>
      <t xml:space="preserve">Quantum of solid waste not recycled or disposed at scientific landfill site and dumped at open sites in unsafe manner as percentage of total solid waste </t>
    </r>
    <r>
      <rPr>
        <sz val="10"/>
        <color theme="1" tint="0.499984740745262"/>
        <rFont val="Calibri"/>
        <family val="2"/>
        <scheme val="minor"/>
      </rPr>
      <t>transported to processing/ disposal site.</t>
    </r>
  </si>
  <si>
    <t>Extent of compliance with Central Agency standards for disposing waste should be expressed as percentage of quantum of waste disposed at landfill sites including open dump sites.</t>
  </si>
  <si>
    <r>
      <rPr>
        <u/>
        <sz val="10"/>
        <color theme="1"/>
        <rFont val="Calibri"/>
        <family val="2"/>
        <scheme val="minor"/>
      </rPr>
      <t>Option I:</t>
    </r>
    <r>
      <rPr>
        <sz val="10"/>
        <color theme="1"/>
        <rFont val="Calibri"/>
        <family val="2"/>
        <scheme val="minor"/>
      </rPr>
      <t xml:space="preserve"> Standard SLB benchmarks recommended by MoUD, GoI
</t>
    </r>
    <r>
      <rPr>
        <u/>
        <sz val="10"/>
        <color theme="1"/>
        <rFont val="Calibri"/>
        <family val="2"/>
        <scheme val="minor"/>
      </rPr>
      <t xml:space="preserve">Option II: </t>
    </r>
    <r>
      <rPr>
        <sz val="10"/>
        <color theme="1"/>
        <rFont val="Calibri"/>
        <family val="2"/>
        <scheme val="minor"/>
      </rPr>
      <t>Customize KPI benchmarks as per your priorities</t>
    </r>
  </si>
  <si>
    <t>Total CapEx</t>
  </si>
  <si>
    <t>Area served/total area in Sq.kms.</t>
  </si>
  <si>
    <r>
      <t xml:space="preserve">- Annual usage increment of additional water augmented 
</t>
    </r>
    <r>
      <rPr>
        <sz val="10"/>
        <color theme="0" tint="-0.499984740745262"/>
        <rFont val="Calibri"/>
        <family val="2"/>
        <scheme val="minor"/>
      </rPr>
      <t>(Note: Utilisation capacity of water source shall increase with population growth)</t>
    </r>
  </si>
  <si>
    <r>
      <t xml:space="preserve">- Annual usage increment of additional water capacity augmented 
</t>
    </r>
    <r>
      <rPr>
        <sz val="10"/>
        <color theme="0" tint="-0.499984740745262"/>
        <rFont val="Calibri"/>
        <family val="2"/>
        <scheme val="minor"/>
      </rPr>
      <t>(Note: Abstraction of ground water shall increase with population growth)</t>
    </r>
  </si>
  <si>
    <r>
      <t xml:space="preserve">- Block cost to construct an individual toilet with septic tank (Rs/toilet)
</t>
    </r>
    <r>
      <rPr>
        <sz val="11"/>
        <color theme="1" tint="0.499984740745262"/>
        <rFont val="Calibri"/>
        <family val="2"/>
        <scheme val="minor"/>
      </rPr>
      <t>(</t>
    </r>
    <r>
      <rPr>
        <sz val="10"/>
        <color theme="1" tint="0.499984740745262"/>
        <rFont val="Calibri"/>
        <family val="2"/>
        <scheme val="minor"/>
      </rPr>
      <t>Note : Cost for settled sewer connection to be included in action - 'Lay new settled sewer for wastewater conveyance' )</t>
    </r>
  </si>
  <si>
    <r>
      <t xml:space="preserve">- Block cost to construct an individual toilet (Rs/toilet)
</t>
    </r>
    <r>
      <rPr>
        <sz val="11"/>
        <color theme="1" tint="0.499984740745262"/>
        <rFont val="Calibri"/>
        <family val="2"/>
        <scheme val="minor"/>
      </rPr>
      <t>(</t>
    </r>
    <r>
      <rPr>
        <sz val="10"/>
        <color theme="1" tint="0.499984740745262"/>
        <rFont val="Calibri"/>
        <family val="2"/>
        <scheme val="minor"/>
      </rPr>
      <t>Note : Cost for sewerage connection to be included in action - 'Expand or lay new sewerage network for wastewater conveyance')</t>
    </r>
  </si>
  <si>
    <r>
      <t xml:space="preserve">- Number of household proposed for 'new individual toilets' and 'provision of safe sanitation for unsafe toilets' in previous improvement actions 
</t>
    </r>
    <r>
      <rPr>
        <sz val="10"/>
        <color theme="1" tint="0.499984740745262"/>
        <rFont val="Calibri"/>
        <family val="2"/>
        <scheme val="minor"/>
      </rPr>
      <t>(Note : Costing for these soak pits already included in above actions)</t>
    </r>
  </si>
  <si>
    <t>Details of any waste also to be treated at STP other than sewage:</t>
  </si>
  <si>
    <r>
      <t>- Targeted average number of households to be dependent per toilet seat</t>
    </r>
    <r>
      <rPr>
        <sz val="11"/>
        <color theme="1" tint="0.499984740745262"/>
        <rFont val="Calibri"/>
        <family val="2"/>
        <scheme val="minor"/>
      </rPr>
      <t xml:space="preserve"> 
</t>
    </r>
    <r>
      <rPr>
        <sz val="10"/>
        <color theme="1" tint="0.499984740745262"/>
        <rFont val="Calibri"/>
        <family val="2"/>
        <scheme val="minor"/>
      </rPr>
      <t>(Note: For equity considerations, apply same dependency for slum and non-slum household)</t>
    </r>
  </si>
  <si>
    <t xml:space="preserve">Number of new connections added from other improvement actions: </t>
  </si>
  <si>
    <t>Non-functional capacity of treatment plant to be repaired and made functional:</t>
  </si>
  <si>
    <r>
      <t xml:space="preserve">- Estimated additional Non-slum households that can be served
</t>
    </r>
    <r>
      <rPr>
        <sz val="10"/>
        <color theme="1" tint="0.499984740745262"/>
        <rFont val="Calibri"/>
        <family val="2"/>
        <scheme val="minor"/>
      </rPr>
      <t>(Note: Do not account for additional households already included in other actions of  'Additional staff' and 'Private contract')</t>
    </r>
  </si>
  <si>
    <r>
      <t xml:space="preserve">- Estimated additional Non-slum households that can be served 
</t>
    </r>
    <r>
      <rPr>
        <sz val="10"/>
        <color theme="1" tint="0.499984740745262"/>
        <rFont val="Calibri"/>
        <family val="2"/>
        <scheme val="minor"/>
      </rPr>
      <t>(Note: Do not account for additional households already included in other actions of  'Procure equipments' and 'Private contract')</t>
    </r>
  </si>
  <si>
    <r>
      <t xml:space="preserve">- Estimated additional Non-slum households that can be served 
</t>
    </r>
    <r>
      <rPr>
        <sz val="10"/>
        <color theme="1" tint="0.499984740745262"/>
        <rFont val="Calibri"/>
        <family val="2"/>
        <scheme val="minor"/>
      </rPr>
      <t>(Note: Do not account additional households already included in other actions of  'Procure equipments' and 'Additional staff')</t>
    </r>
  </si>
  <si>
    <r>
      <t xml:space="preserve">- Additional households served with new storage capacity
</t>
    </r>
    <r>
      <rPr>
        <sz val="10"/>
        <color theme="1" tint="0.499984740745262"/>
        <rFont val="Calibri"/>
        <family val="2"/>
        <scheme val="minor"/>
      </rPr>
      <t>(Note: These households should not be included for doorstep collection system)</t>
    </r>
  </si>
  <si>
    <r>
      <t xml:space="preserve">- Additional households that can be served with existing storage capacity
</t>
    </r>
    <r>
      <rPr>
        <sz val="10"/>
        <color theme="1" tint="0.499984740745262"/>
        <rFont val="Calibri"/>
        <family val="2"/>
        <scheme val="minor"/>
      </rPr>
      <t>(Note: If these households are converted to doorstep collection, then write number of such households with a negative sign)</t>
    </r>
  </si>
  <si>
    <r>
      <t xml:space="preserve">- Households dependent on secondary storage bins for solid waste collection
</t>
    </r>
    <r>
      <rPr>
        <sz val="10"/>
        <color theme="1" tint="0.499984740745262"/>
        <rFont val="Calibri"/>
        <family val="2"/>
        <scheme val="minor"/>
      </rPr>
      <t>(Note: These households are not served by doorstep solid waste collection)</t>
    </r>
  </si>
  <si>
    <r>
      <t xml:space="preserve">- Revenue generation by implementing the action, if any </t>
    </r>
    <r>
      <rPr>
        <i/>
        <sz val="10"/>
        <rFont val="Calibri"/>
        <family val="2"/>
        <scheme val="minor"/>
      </rPr>
      <t>(Rs. lakhs/yr)</t>
    </r>
  </si>
  <si>
    <r>
      <t xml:space="preserve">- Revenue generation by implementing the action, if any </t>
    </r>
    <r>
      <rPr>
        <i/>
        <sz val="10"/>
        <rFont val="Calibri"/>
        <family val="2"/>
        <scheme val="minor"/>
      </rPr>
      <t>(Rs.lakhs/yr)</t>
    </r>
  </si>
  <si>
    <t>- Number of community toilet blocks connected to unsafe pits/ leach pits/ other systems as compared to total blocks</t>
  </si>
  <si>
    <t>- Number of households with individual toilet facilities as compared to total households</t>
  </si>
  <si>
    <t>Selection of comparison parameters</t>
  </si>
  <si>
    <t>Select Performance indicators for comparison</t>
  </si>
  <si>
    <t>Refer sheet - 
Summary of PIP Plan</t>
  </si>
  <si>
    <t>Select improvement actions for comparison</t>
  </si>
  <si>
    <t>Refer sheet - 
Action Plan finance 
for selecting activated improvement actions</t>
  </si>
  <si>
    <t>Scenario name</t>
  </si>
  <si>
    <t>CapEx</t>
  </si>
  <si>
    <t>Operating expenses</t>
  </si>
  <si>
    <t>OpEx</t>
  </si>
  <si>
    <t>Revenue generated</t>
  </si>
  <si>
    <t>Rev</t>
  </si>
  <si>
    <t>Impact on service levels</t>
  </si>
  <si>
    <t xml:space="preserve">Financial implications
</t>
  </si>
  <si>
    <t>CapEx Financing plan</t>
  </si>
  <si>
    <t>Tariff</t>
  </si>
  <si>
    <t>Base tariff</t>
  </si>
  <si>
    <t>Tariff increment</t>
  </si>
  <si>
    <t>Improvement actions</t>
  </si>
  <si>
    <t>Refurbishment of individual toilets</t>
  </si>
  <si>
    <t>Refurbishment of community toilets</t>
  </si>
  <si>
    <t>Refurbishment of public toilets</t>
  </si>
  <si>
    <t>Construct new community toilets</t>
  </si>
  <si>
    <t>Improve septage collection efficiency</t>
  </si>
  <si>
    <t>Construct new soak pits</t>
  </si>
  <si>
    <t>Lay new settled sewer</t>
  </si>
  <si>
    <t>Lay new sewerage network</t>
  </si>
  <si>
    <t>Procure suction emptier trucks</t>
  </si>
  <si>
    <t>Construct fecal sludge treatment plant</t>
  </si>
  <si>
    <t>Construct effluent and sullage tretment plant</t>
  </si>
  <si>
    <t>Construct sewage treatment plant</t>
  </si>
  <si>
    <t>Interceptor sewer along river</t>
  </si>
  <si>
    <t>TARIFF</t>
  </si>
  <si>
    <t>Desilting and rehabilitation of drains</t>
  </si>
  <si>
    <t>SW Customised action 1</t>
  </si>
  <si>
    <t>Amount to be transferred WSS</t>
  </si>
  <si>
    <t>Amount to be transferred Non-WSS</t>
  </si>
  <si>
    <t>RI after trasnfers</t>
  </si>
  <si>
    <t xml:space="preserve">  </t>
  </si>
  <si>
    <t xml:space="preserve">      </t>
  </si>
  <si>
    <t>SANIPLAN has been developed by PAS Project at CEPT University.
Initial inputs were provided by CRISIL Infrastructure Advisory.</t>
  </si>
  <si>
    <t>SANIPLAN - A City Sanitation Planning Model</t>
  </si>
  <si>
    <t xml:space="preserve">Development of a performance improvement plan requires identification of a set of actions to achieve desired service levels. Conventional infrastructure planning process looks at such investments as 'stand alone projects' rather than an integrated service improvement plan. Under the PIP approach, all inter-related implications of actions in one area are taken into account in the integrated software. For example, an increase in quantity of water supplied is assessed by its impact on increase in per capita supply (lpcd), increase in wastewater to be collected and treated and related capacity implications of wastewater treatment. Similarly, impact of increased number of connections is considered on aspects such as coverage, operating costs, per capita supply and municipal and water supply finances. Under this approach and in SANIPLAN, actions are not limited to traditional investments in new assets, but also include measures related to policy changes, process reengineering and refurbishment of existing assets. These are often referred to as 'no-cost – low-cost measures' which can have significant influence on service levels. Even for traditional investments, SANIPLAN enables an easy assessment of technology and management options. Thus, this component of the PIP process involves selection of various improvement actions and assessing their impact on overall service performance. Through this iterative process, a combination of actions with the desired impact on service levels and which is broadly affordable for the city can be shortlisted. SANIPLAN enables users to design each action in detail in relation to its phasing, costs, revenue generation potential and other design decisions. The Model has already identified a large set of actions with guidance on their calibration. In addition, it also allows additional customised actions to be designed by users. The output of this stage is several plan options and their impacts on service performance. </t>
  </si>
  <si>
    <t>USING SANIPLAN  FOR PREPARATION OF A CITY SANITATION IMPROVEMENT PLAN</t>
  </si>
  <si>
    <t>Comparison of various CSP options based on key parameters</t>
  </si>
  <si>
    <r>
      <t>Action Planning is a process that aims to consolidate various dimensions of problem solving into output based tangible Action Plan. The planning objectives identified in 'Performance assessment' sheet are set of actions that need to be implemented in city for improving service delivery. These planning objectives are essentially individual actions that would be calibrated as output based tangible targets in this sheet. A set of these calibrated actions will form an implementation plan for ULB across ten years of plan period. Hence, this Action Plan must evolve through an iterative process of identifying appropriate actions, phasing and  financing pattern.</t>
    </r>
    <r>
      <rPr>
        <sz val="12"/>
        <color theme="0"/>
        <rFont val="Calibri"/>
        <family val="2"/>
      </rPr>
      <t xml:space="preserve">
</t>
    </r>
    <r>
      <rPr>
        <sz val="12"/>
        <color theme="3"/>
        <rFont val="Calibri"/>
        <family val="2"/>
      </rPr>
      <t xml:space="preserve">
To facilitate this process, all the actions are compiled in an easy to use tabular structure along with pictorial graphs to show its impact simultaneously. These graphs display collective impact of all the actions in each theme (Access and Coverage, Service Levels and Quality, Efficiency in Service Operations and Financial Sustainability) in terms of performance improvement (dark coloured area graphs) and financial requirement (translucent coloured area graphs). 
The tabular structure for each Action has following components:</t>
    </r>
  </si>
  <si>
    <t>Action Planning is a process that aims to consolidate various dimensions of problem solving into output based tangible Action Plan. The planning objectives identified in 'Performance Assessment' sheet are set of actions that need to be implemented in city for improving service delivery. These planning objectives are essentially individual actions that would be calibrated as output based tangile targets in this sheet. A set of these calibrated actions will form an implementation plan for ULB across ten years of plan period. Hence, this Action Plan must evolve through an iterative process of identifying appropriate actions, phasing and  financing pattern.
To facilitate this process, all the actions are compiled in an easy to use tabular structure along with pictorial graphs to show its impact simultaneously. These graphs display collective impact of all the actions in each theme (Access and Coverage, Service Levels and Quality, Efficiency in Service Operations and Financial Sustainability) in terms of performance improvement (dark coloured area graphs) and financial requirement (translucent coloured area graphs). 
The tabular structure for each Action has following components:</t>
  </si>
  <si>
    <t>Additional income from CSP actions</t>
  </si>
  <si>
    <t>O&amp;M expenditure incurred from CSP actions</t>
  </si>
  <si>
    <t>CapIn for CSP actions</t>
  </si>
  <si>
    <t>CapEx requirement of CSP actions</t>
  </si>
  <si>
    <t xml:space="preserve">CSP Action plan summary </t>
  </si>
  <si>
    <t>CSP sources of finance</t>
  </si>
  <si>
    <t>Scenario II: CSP Actions</t>
  </si>
  <si>
    <t>CSP Project finance (grants + private share)</t>
  </si>
  <si>
    <t>WSS rev inc - CSP actions</t>
  </si>
  <si>
    <t>Rev from CSP</t>
  </si>
  <si>
    <t>CSP OPTION 2</t>
  </si>
  <si>
    <t>Simulate Improvement Plan</t>
  </si>
  <si>
    <t>Year 2023</t>
  </si>
  <si>
    <t>Slum conn increment</t>
  </si>
  <si>
    <t>- Residential slum connection charges</t>
  </si>
  <si>
    <r>
      <t xml:space="preserve">Eff. of WW collected
</t>
    </r>
    <r>
      <rPr>
        <sz val="11"/>
        <rFont val="Calibri"/>
        <family val="2"/>
        <scheme val="minor"/>
      </rPr>
      <t>(based on quantity of waste collected)</t>
    </r>
  </si>
  <si>
    <t>probably here it should be weighted average instead of simple average</t>
  </si>
  <si>
    <t>here didn’t understand y weighed average taken since HHs &amp; %, both calculated from same data</t>
  </si>
  <si>
    <t>this indicator in Summary sheet refers to efficiency of WW &amp; septage, whereas here septage not included?</t>
  </si>
  <si>
    <t>Weighted average indicator calculation</t>
  </si>
  <si>
    <t>sullage</t>
  </si>
  <si>
    <t>septage</t>
  </si>
  <si>
    <t>soak pit</t>
  </si>
  <si>
    <t>CAPA</t>
  </si>
  <si>
    <t>GENERATION</t>
  </si>
  <si>
    <t>Twin pits</t>
  </si>
  <si>
    <t>ADEQUACY</t>
  </si>
  <si>
    <t>Sewer treatment</t>
  </si>
  <si>
    <t>Sullage treatment</t>
  </si>
  <si>
    <t>Start Year</t>
  </si>
  <si>
    <t>WW01</t>
  </si>
  <si>
    <t>WW02</t>
  </si>
  <si>
    <t>WW03</t>
  </si>
  <si>
    <t>WW04</t>
  </si>
  <si>
    <t>WW05</t>
  </si>
  <si>
    <t>WW06</t>
  </si>
  <si>
    <t>WW07</t>
  </si>
  <si>
    <t>WW08</t>
  </si>
  <si>
    <t>WW09</t>
  </si>
  <si>
    <t>WW10</t>
  </si>
  <si>
    <t>WW11</t>
  </si>
  <si>
    <t>WW12</t>
  </si>
  <si>
    <t>WW13</t>
  </si>
  <si>
    <t>WW14</t>
  </si>
  <si>
    <t>WW15</t>
  </si>
  <si>
    <t>WW16</t>
  </si>
  <si>
    <t>WW17</t>
  </si>
  <si>
    <t>WW18</t>
  </si>
  <si>
    <t>WW19</t>
  </si>
  <si>
    <t>WW20</t>
  </si>
  <si>
    <t>WW21</t>
  </si>
  <si>
    <t>WW22</t>
  </si>
  <si>
    <t>WW23</t>
  </si>
  <si>
    <t>WW24</t>
  </si>
  <si>
    <t>WW25</t>
  </si>
  <si>
    <t>WW26</t>
  </si>
  <si>
    <t>WW27</t>
  </si>
  <si>
    <t>WW28</t>
  </si>
  <si>
    <t>WW29</t>
  </si>
  <si>
    <t>WW30</t>
  </si>
  <si>
    <t>WW31</t>
  </si>
  <si>
    <t>WW32</t>
  </si>
  <si>
    <t>WW33</t>
  </si>
  <si>
    <t>WW34</t>
  </si>
  <si>
    <t>WW35</t>
  </si>
  <si>
    <t>WW36</t>
  </si>
  <si>
    <t>WW37</t>
  </si>
  <si>
    <t>WW38</t>
  </si>
  <si>
    <t>WW39</t>
  </si>
  <si>
    <t>WS01</t>
  </si>
  <si>
    <t>WS02</t>
  </si>
  <si>
    <t>WS03</t>
  </si>
  <si>
    <t>WS04</t>
  </si>
  <si>
    <t>WS05</t>
  </si>
  <si>
    <t>WS06</t>
  </si>
  <si>
    <t>WS07</t>
  </si>
  <si>
    <t>WS08</t>
  </si>
  <si>
    <t>WS09</t>
  </si>
  <si>
    <t>WS10</t>
  </si>
  <si>
    <t>WS11</t>
  </si>
  <si>
    <t>WS12</t>
  </si>
  <si>
    <t>WS13</t>
  </si>
  <si>
    <t>WS14</t>
  </si>
  <si>
    <t>WS15</t>
  </si>
  <si>
    <t>WS16</t>
  </si>
  <si>
    <t>WS17</t>
  </si>
  <si>
    <t>WS19</t>
  </si>
  <si>
    <t>WS18</t>
  </si>
  <si>
    <t>WS20</t>
  </si>
  <si>
    <t>WS21</t>
  </si>
  <si>
    <t>WS22</t>
  </si>
  <si>
    <t>WS23</t>
  </si>
  <si>
    <t>WS24</t>
  </si>
  <si>
    <t>WS25</t>
  </si>
  <si>
    <t>WS26</t>
  </si>
  <si>
    <t>WS27</t>
  </si>
  <si>
    <t>WS28</t>
  </si>
  <si>
    <t>WS29</t>
  </si>
  <si>
    <t>WS30</t>
  </si>
  <si>
    <t>WS31</t>
  </si>
  <si>
    <t>WS32</t>
  </si>
  <si>
    <t>WS33</t>
  </si>
  <si>
    <t>WS34</t>
  </si>
  <si>
    <t>WS35</t>
  </si>
  <si>
    <t>WS36</t>
  </si>
  <si>
    <t>WS37</t>
  </si>
  <si>
    <t>WS38</t>
  </si>
  <si>
    <t>WS39</t>
  </si>
  <si>
    <t>WS40</t>
  </si>
  <si>
    <t>WS41</t>
  </si>
  <si>
    <t>WS42</t>
  </si>
  <si>
    <t>WS43</t>
  </si>
  <si>
    <t>WS44</t>
  </si>
  <si>
    <t>SW01</t>
  </si>
  <si>
    <t>SW02</t>
  </si>
  <si>
    <t>SW03</t>
  </si>
  <si>
    <t>SW04</t>
  </si>
  <si>
    <t>SW05</t>
  </si>
  <si>
    <t>SW06</t>
  </si>
  <si>
    <t>SW07</t>
  </si>
  <si>
    <t>SW08</t>
  </si>
  <si>
    <t>SW09</t>
  </si>
  <si>
    <t>SW10</t>
  </si>
  <si>
    <t>SW11</t>
  </si>
  <si>
    <t>SW12</t>
  </si>
  <si>
    <t>SW13</t>
  </si>
  <si>
    <t>SW14</t>
  </si>
  <si>
    <t>SW15</t>
  </si>
  <si>
    <t>SW16</t>
  </si>
  <si>
    <t>SW17</t>
  </si>
  <si>
    <t>SW18</t>
  </si>
  <si>
    <t>SW19</t>
  </si>
  <si>
    <t>SW20</t>
  </si>
  <si>
    <t>SW21</t>
  </si>
  <si>
    <t>SW22</t>
  </si>
  <si>
    <t>SW23</t>
  </si>
  <si>
    <t>SW24</t>
  </si>
  <si>
    <t>SW25</t>
  </si>
  <si>
    <t>SW26</t>
  </si>
  <si>
    <t>SW27</t>
  </si>
  <si>
    <t>SW28</t>
  </si>
  <si>
    <t>SW29</t>
  </si>
  <si>
    <t>Taxes and user charges</t>
  </si>
  <si>
    <t>SUMMARY OF SANIPLAN OPTION</t>
  </si>
  <si>
    <t>Summary of SANIPLAN option</t>
  </si>
  <si>
    <t>_AggSTPinstallCap</t>
  </si>
  <si>
    <t>_AreaJuris</t>
  </si>
  <si>
    <t>_AvgDailySupplyHrs</t>
  </si>
  <si>
    <t>_AvgMonthlySupplyDays</t>
  </si>
  <si>
    <t>_CommunToiletSeatsHHSlum</t>
  </si>
  <si>
    <t>_Conxns.50DomesticNonSlum</t>
  </si>
  <si>
    <t>_Conxns.50DomesticSlum</t>
  </si>
  <si>
    <t>_ConxnsHH.50DomesticNonSlum</t>
  </si>
  <si>
    <t>_ConxnsMiscPublic</t>
  </si>
  <si>
    <t>_DistribNtwrkCoverage</t>
  </si>
  <si>
    <t>_DistribNtwrkLen</t>
  </si>
  <si>
    <t>_FloodingFreq</t>
  </si>
  <si>
    <t>_FloodingPoints</t>
  </si>
  <si>
    <t>_HHConxnsUnauthorised</t>
  </si>
  <si>
    <t>_HHILSlum</t>
  </si>
  <si>
    <t>_NewConxnChrg.50DomesticNonSlum</t>
  </si>
  <si>
    <t>_NewConxnChrg.50DomesticSlum</t>
  </si>
  <si>
    <t>_PvtEmptierTrucks</t>
  </si>
  <si>
    <t>_QtyTreatedSewageReused</t>
  </si>
  <si>
    <t>_SewageGen</t>
  </si>
  <si>
    <t>_SewerArea</t>
  </si>
  <si>
    <t>_SewerConxnDomSlum</t>
  </si>
  <si>
    <t>_SewerConxnNonResi</t>
  </si>
  <si>
    <t>_SewerLen</t>
  </si>
  <si>
    <t>_Slums</t>
  </si>
  <si>
    <t>_SWM3wCap</t>
  </si>
  <si>
    <t>_SWM3wNum</t>
  </si>
  <si>
    <t>_SWM3wTrips</t>
  </si>
  <si>
    <t>_SWMComplaintRcvdMonthly</t>
  </si>
  <si>
    <t>_SWMComplaintResolvedMonthly</t>
  </si>
  <si>
    <t>_SWMDumperCap</t>
  </si>
  <si>
    <t>_SWMDumperNum</t>
  </si>
  <si>
    <t>_SWMDumperTrips</t>
  </si>
  <si>
    <t>_SWMFreqEmptySecBin</t>
  </si>
  <si>
    <t>_SWMGeneratedMonthlyEst</t>
  </si>
  <si>
    <t>_SWMMiniLorCap</t>
  </si>
  <si>
    <t>_SWMMiniLorNum</t>
  </si>
  <si>
    <t>_SWMMiniLorTrips</t>
  </si>
  <si>
    <t>_SWMPriColxnD2DHHNonSlum</t>
  </si>
  <si>
    <t>_SWMPriColxnD2DHHSlum</t>
  </si>
  <si>
    <t>_SWMProcessingInstalCapMTperDay</t>
  </si>
  <si>
    <t>_SWMPropTax_pc</t>
  </si>
  <si>
    <t>_SWMQtyRcvdSeg4Processing</t>
  </si>
  <si>
    <t>_SWMrecyclerTakeaway</t>
  </si>
  <si>
    <t>_SWMsecondaryColxnBins</t>
  </si>
  <si>
    <t>_SWMsecondaryColxnBinsAggCapacity</t>
  </si>
  <si>
    <t>_SWMTipperCap</t>
  </si>
  <si>
    <t>_SWMTipperNum</t>
  </si>
  <si>
    <t>_SWMTipperTrips</t>
  </si>
  <si>
    <t>_SWMTrailerCap</t>
  </si>
  <si>
    <t>_SWMTrailerNum</t>
  </si>
  <si>
    <t>_SWMTrailerTrips</t>
  </si>
  <si>
    <t>_SWMTruckCap</t>
  </si>
  <si>
    <t>_SWMTruckNum</t>
  </si>
  <si>
    <t>_SWMTruckTrips</t>
  </si>
  <si>
    <t>_TariffAnnual.50DomesticNonSlum</t>
  </si>
  <si>
    <t>_TariffAnnual.50DomesticSlum</t>
  </si>
  <si>
    <t>_TariffRsPerKLDomesticNonSlum</t>
  </si>
  <si>
    <t>_TariffRsPerKLDomesticSlum</t>
  </si>
  <si>
    <t>_TreatedGrndWater</t>
  </si>
  <si>
    <t>_TreatedWWsamplesPassedMonthly</t>
  </si>
  <si>
    <t>_TreatedWWsamplesTestedMonthly</t>
  </si>
  <si>
    <t>_ULBemptierTrucks</t>
  </si>
  <si>
    <t>_Wards</t>
  </si>
  <si>
    <t>_WaterComplaintsMonthly</t>
  </si>
  <si>
    <t>_WaterComplaintsResolvedMonthly</t>
  </si>
  <si>
    <t>_WaterSamplesCityMonthly</t>
  </si>
  <si>
    <t>_WaterSamplesCityMonthlyPass</t>
  </si>
  <si>
    <t>_WTPinstalledCap</t>
  </si>
  <si>
    <t>_WWComplaintsMonthly</t>
  </si>
  <si>
    <t>_WWComplaintsResolvedMonthly</t>
  </si>
  <si>
    <t>_WWNewSewerConxnChargDomNonSlum</t>
  </si>
  <si>
    <t>_WWNewSewerConxnChargDomSlum</t>
  </si>
  <si>
    <t>_HHCensus2001</t>
  </si>
  <si>
    <t>_HHCensus2011</t>
  </si>
  <si>
    <t>_HHSlumCensus2001</t>
  </si>
  <si>
    <t>_HHSlumCensus2011</t>
  </si>
  <si>
    <t>_PopCensus2001</t>
  </si>
  <si>
    <t>_PopCensus2011</t>
  </si>
  <si>
    <t>_PopSlumCensus2001</t>
  </si>
  <si>
    <t>_PopSlumCensus2011</t>
  </si>
  <si>
    <t>_NonResiProp</t>
  </si>
  <si>
    <t>_SrcNonULBDrawal</t>
  </si>
  <si>
    <t>_WTPfuncCap</t>
  </si>
  <si>
    <t>_DistribNtwrkCoverageSlum</t>
  </si>
  <si>
    <t>_WaterSupplyDistribLosses</t>
  </si>
  <si>
    <t>_SeweredSlums</t>
  </si>
  <si>
    <t>_SewerConxnUnauthorEst</t>
  </si>
  <si>
    <t>_AggSTPFuncCap</t>
  </si>
  <si>
    <t>_FSMinstalledCap</t>
  </si>
  <si>
    <t>_FSMFuncCap</t>
  </si>
  <si>
    <t>_FSMbyproductQtyReused</t>
  </si>
  <si>
    <t>_EffluentSullageTreatmentFuncCap</t>
  </si>
  <si>
    <t>_EffluentSullageTreatmentInstalledCap</t>
  </si>
  <si>
    <t>_EffluentSullageTreatmentWaterReused</t>
  </si>
  <si>
    <t>_TreatedSeptageSamplesTestedMonthly</t>
  </si>
  <si>
    <t>_TreatedSeptageSamplesPassedMonthly</t>
  </si>
  <si>
    <t>_OpenDrainsAreaCoverage</t>
  </si>
  <si>
    <t>_OpenDrainsLen</t>
  </si>
  <si>
    <t>_ClosedDrainsAreaCoverage</t>
  </si>
  <si>
    <t>_ClosedDrainsLen</t>
  </si>
  <si>
    <t>_SWMProcessingFuncCap</t>
  </si>
  <si>
    <t>_SrcBulkRawDrawal</t>
  </si>
  <si>
    <t>_SrcBulkTreatedDrawal</t>
  </si>
  <si>
    <t>_SrcGroundDrawal</t>
  </si>
  <si>
    <t>_TransmissionNtwrkLen</t>
  </si>
  <si>
    <t>_TreatedTransmissionNtwrkLen</t>
  </si>
  <si>
    <t>_TreatedTransmissionLossEst</t>
  </si>
  <si>
    <t>_SWMPriColxnD2DEstblshmts</t>
  </si>
  <si>
    <t>_ResiProp</t>
  </si>
  <si>
    <t>_SewerConxnDomNonSlum</t>
  </si>
  <si>
    <t>_CommunToiletSeatsHHNonSlum</t>
  </si>
  <si>
    <t>_CommunToiletSeatsNonFuncHHNonSlum</t>
  </si>
  <si>
    <t>_AGRNonResiProp</t>
  </si>
  <si>
    <t>_AGRResiProp</t>
  </si>
  <si>
    <t>_SrcSurfaceOwnDrawal</t>
  </si>
  <si>
    <t>_WaterFlatUserCharges</t>
  </si>
  <si>
    <t>_WaterVolumetricCharges</t>
  </si>
  <si>
    <t>_ModeCityWWDisposal</t>
  </si>
  <si>
    <t>_onSiteOutputSullage</t>
  </si>
  <si>
    <t>_onSiteOutputSeptage</t>
  </si>
  <si>
    <t>_ULBemptiesSepticTank</t>
  </si>
  <si>
    <t>_PvtemptiesSepticTank</t>
  </si>
  <si>
    <t>_WWFlatRateYN</t>
  </si>
  <si>
    <t>_SWMGeneratedPerCapitaGrowthRate</t>
  </si>
  <si>
    <t>Cells that take data points from Checklist</t>
  </si>
  <si>
    <t>Septic tank emptying charges</t>
  </si>
  <si>
    <t>O&amp;M of Emptier trucks</t>
  </si>
  <si>
    <t xml:space="preserve">Date of initiation of FSM Planning process </t>
  </si>
  <si>
    <t xml:space="preserve">Date of completion of FSM Planning process </t>
  </si>
  <si>
    <t>Commissioner/Chief Officer</t>
  </si>
  <si>
    <t>Mayor/President</t>
  </si>
  <si>
    <t xml:space="preserve">Details of the city </t>
  </si>
  <si>
    <t xml:space="preserve">Name </t>
  </si>
  <si>
    <t>State/Province</t>
  </si>
  <si>
    <t>Class of local government</t>
  </si>
  <si>
    <t>Details of city officials involved in FSM planning process</t>
  </si>
  <si>
    <t>Details of team members/other consultants involved in FSM planning process</t>
  </si>
  <si>
    <t>Sr. no</t>
  </si>
  <si>
    <t>Additional income from FSM plan</t>
  </si>
  <si>
    <t>O&amp;M for actions in FSM plan</t>
  </si>
  <si>
    <t>CapIn for FSM Plan actions</t>
  </si>
  <si>
    <t>CapEx for FSM plan</t>
  </si>
  <si>
    <t>Maharashtra</t>
  </si>
  <si>
    <t>Paresh</t>
  </si>
  <si>
    <t>Upasana</t>
  </si>
  <si>
    <t>Aasim</t>
  </si>
  <si>
    <t>NO</t>
  </si>
  <si>
    <t>As a part of general property tax (%)</t>
  </si>
  <si>
    <t>Sewerage charges (Rs./connection/annum)</t>
  </si>
  <si>
    <t>Annual charge for scheduled emptying</t>
  </si>
  <si>
    <t>Sewerage user charges</t>
  </si>
  <si>
    <t>O&amp;M of emptier trucks</t>
  </si>
  <si>
    <t>Propose allocation of surplus 
for Sanitation/FSM sector</t>
  </si>
  <si>
    <t>Percentage increment in user charges</t>
  </si>
  <si>
    <t>June 2012</t>
  </si>
  <si>
    <t>FSM/Sanitation related taxes and charges</t>
  </si>
  <si>
    <t>Sewerage user charges billed</t>
  </si>
  <si>
    <r>
      <t xml:space="preserve">Own source of revenues
</t>
    </r>
    <r>
      <rPr>
        <i/>
        <sz val="11"/>
        <rFont val="Calibri"/>
        <family val="2"/>
        <scheme val="minor"/>
      </rPr>
      <t>1.1. Sanitation tax + Connection charges</t>
    </r>
  </si>
  <si>
    <t>Does the city provide septic tank emtying service</t>
  </si>
  <si>
    <t>At the time of emptying</t>
  </si>
  <si>
    <t>For household level septic tanks</t>
  </si>
  <si>
    <t>For septic tanks of community/public toilets</t>
  </si>
  <si>
    <t>To be removed</t>
  </si>
  <si>
    <t>Flatrate/unit</t>
  </si>
  <si>
    <t>5. Septic tank emptying charges</t>
  </si>
  <si>
    <t>6. Sewerage user charges</t>
  </si>
  <si>
    <t>Review later PC 30/9/15</t>
  </si>
  <si>
    <t>Septic tank emptying revenue</t>
  </si>
  <si>
    <t>Emptying charges</t>
  </si>
  <si>
    <t>Base</t>
  </si>
  <si>
    <t>Number of ST emptied</t>
  </si>
  <si>
    <t>Properties</t>
  </si>
  <si>
    <r>
      <t xml:space="preserve">Number of trips made by a suction emptier truck (Trips/working day/truck)
</t>
    </r>
    <r>
      <rPr>
        <i/>
        <sz val="10"/>
        <rFont val="Calibri"/>
        <family val="2"/>
        <scheme val="minor"/>
      </rPr>
      <t>NOTE : If trips are not made daily, then convert trip frequency into per day ratio. Eg: 1 trip is made every week then, 1/6 = 0.17 trips/ day</t>
    </r>
  </si>
  <si>
    <t>Revenue Generated</t>
  </si>
  <si>
    <t>By old Trucks</t>
  </si>
  <si>
    <t>By new trucks</t>
  </si>
  <si>
    <t>Old Trucks</t>
  </si>
  <si>
    <t>New trucks</t>
  </si>
  <si>
    <t>Number of ST that can be emptied</t>
  </si>
  <si>
    <t xml:space="preserve">ST need to be emptied </t>
  </si>
  <si>
    <t>Emptying of septic tanks</t>
  </si>
  <si>
    <t>Short Name</t>
  </si>
  <si>
    <t>Customer complaint WS</t>
  </si>
  <si>
    <t>Cost recovery WS</t>
  </si>
  <si>
    <t>Customer complaint WW</t>
  </si>
  <si>
    <t>Cost recovery WW</t>
  </si>
  <si>
    <t>Customer complaints SW</t>
  </si>
  <si>
    <t>Cost recovery SW</t>
  </si>
  <si>
    <t>Compare with</t>
  </si>
  <si>
    <t xml:space="preserve">Benchmark </t>
  </si>
  <si>
    <t>City 1</t>
  </si>
  <si>
    <t>City 2</t>
  </si>
  <si>
    <r>
      <t xml:space="preserve">Suggested emptying cycle </t>
    </r>
    <r>
      <rPr>
        <b/>
        <sz val="10"/>
        <color theme="0"/>
        <rFont val="Calibri"/>
        <family val="2"/>
        <scheme val="minor"/>
      </rPr>
      <t>(number of years between successive emptying)</t>
    </r>
  </si>
  <si>
    <t>FSM and wastewater sector information</t>
  </si>
  <si>
    <t>Wastewater tax</t>
  </si>
  <si>
    <t>Taxes/User charges</t>
  </si>
  <si>
    <t>Select</t>
  </si>
  <si>
    <t xml:space="preserve">Entities to compare performance of your city </t>
  </si>
  <si>
    <t>Sewerage tax</t>
  </si>
  <si>
    <t>Annual septic tank emptying charges</t>
  </si>
  <si>
    <t>2. Allocate FSM revenue surplus for capital funding</t>
  </si>
  <si>
    <t>Services other than FSM and wastewater (Non-FSM)</t>
  </si>
  <si>
    <t>FSM and wastewater services (FSM)</t>
  </si>
  <si>
    <r>
      <rPr>
        <sz val="12"/>
        <color theme="1" tint="0.34998626667073579"/>
        <rFont val="Calibri"/>
        <family val="2"/>
        <scheme val="minor"/>
      </rPr>
      <t>Step</t>
    </r>
    <r>
      <rPr>
        <sz val="14"/>
        <color theme="1" tint="0.34998626667073579"/>
        <rFont val="Calibri"/>
        <family val="2"/>
        <scheme val="minor"/>
      </rPr>
      <t xml:space="preserve">   </t>
    </r>
    <r>
      <rPr>
        <sz val="16"/>
        <color theme="1" tint="0.34998626667073579"/>
        <rFont val="Calibri"/>
        <family val="2"/>
        <scheme val="minor"/>
      </rPr>
      <t>4</t>
    </r>
  </si>
  <si>
    <r>
      <rPr>
        <sz val="12"/>
        <color theme="1" tint="0.34998626667073579"/>
        <rFont val="Calibri"/>
        <family val="2"/>
        <scheme val="minor"/>
      </rPr>
      <t>Step</t>
    </r>
    <r>
      <rPr>
        <sz val="14"/>
        <color theme="1" tint="0.34998626667073579"/>
        <rFont val="Calibri"/>
        <family val="2"/>
        <scheme val="minor"/>
      </rPr>
      <t xml:space="preserve">   </t>
    </r>
    <r>
      <rPr>
        <sz val="16"/>
        <color theme="1" tint="0.34998626667073579"/>
        <rFont val="Calibri"/>
        <family val="2"/>
        <scheme val="minor"/>
      </rPr>
      <t>1.1</t>
    </r>
  </si>
  <si>
    <r>
      <rPr>
        <sz val="12"/>
        <color theme="1" tint="0.34998626667073579"/>
        <rFont val="Calibri"/>
        <family val="2"/>
        <scheme val="minor"/>
      </rPr>
      <t>Step</t>
    </r>
    <r>
      <rPr>
        <sz val="14"/>
        <color theme="1" tint="0.34998626667073579"/>
        <rFont val="Calibri"/>
        <family val="2"/>
        <scheme val="minor"/>
      </rPr>
      <t xml:space="preserve">   1.</t>
    </r>
    <r>
      <rPr>
        <sz val="16"/>
        <color theme="1" tint="0.34998626667073579"/>
        <rFont val="Calibri"/>
        <family val="2"/>
        <scheme val="minor"/>
      </rPr>
      <t>3</t>
    </r>
  </si>
  <si>
    <r>
      <rPr>
        <sz val="12"/>
        <color theme="1" tint="0.34998626667073579"/>
        <rFont val="Calibri"/>
        <family val="2"/>
        <scheme val="minor"/>
      </rPr>
      <t>Step</t>
    </r>
    <r>
      <rPr>
        <sz val="14"/>
        <color theme="1" tint="0.34998626667073579"/>
        <rFont val="Calibri"/>
        <family val="2"/>
        <scheme val="minor"/>
      </rPr>
      <t xml:space="preserve">   </t>
    </r>
    <r>
      <rPr>
        <sz val="16"/>
        <color theme="1" tint="0.34998626667073579"/>
        <rFont val="Calibri"/>
        <family val="2"/>
        <scheme val="minor"/>
      </rPr>
      <t>1.2</t>
    </r>
  </si>
  <si>
    <r>
      <rPr>
        <sz val="12"/>
        <color theme="1" tint="0.34998626667073579"/>
        <rFont val="Calibri"/>
        <family val="2"/>
        <scheme val="minor"/>
      </rPr>
      <t>Step</t>
    </r>
    <r>
      <rPr>
        <sz val="14"/>
        <color theme="1" tint="0.34998626667073579"/>
        <rFont val="Calibri"/>
        <family val="2"/>
        <scheme val="minor"/>
      </rPr>
      <t xml:space="preserve">   </t>
    </r>
    <r>
      <rPr>
        <sz val="16"/>
        <color theme="1" tint="0.34998626667073579"/>
        <rFont val="Calibri"/>
        <family val="2"/>
        <scheme val="minor"/>
      </rPr>
      <t>7</t>
    </r>
  </si>
  <si>
    <r>
      <rPr>
        <sz val="12"/>
        <color theme="1" tint="0.34998626667073579"/>
        <rFont val="Calibri"/>
        <family val="2"/>
        <scheme val="minor"/>
      </rPr>
      <t>Step</t>
    </r>
    <r>
      <rPr>
        <sz val="14"/>
        <color theme="1" tint="0.34998626667073579"/>
        <rFont val="Calibri"/>
        <family val="2"/>
        <scheme val="minor"/>
      </rPr>
      <t xml:space="preserve">  </t>
    </r>
    <r>
      <rPr>
        <sz val="16"/>
        <color theme="1" tint="0.34998626667073579"/>
        <rFont val="Calibri"/>
        <family val="2"/>
        <scheme val="minor"/>
      </rPr>
      <t>6</t>
    </r>
  </si>
  <si>
    <t>Performance of the province, peer group and/or cities in the vicinity with which the city would like to compare their performance</t>
  </si>
  <si>
    <t>Information of Key Performance Indicators</t>
  </si>
  <si>
    <t>3. Allocate Non-FSM CapIn for FSM capital funding</t>
  </si>
  <si>
    <t>For Non-FSM sectors</t>
  </si>
  <si>
    <t>3. Revised own income sources like Property tax</t>
  </si>
  <si>
    <t>Revise FSM and WW tariffs</t>
  </si>
  <si>
    <t>Revise property tax</t>
  </si>
  <si>
    <t>Septic tank emptying (annual charges)</t>
  </si>
  <si>
    <t>PC: As this is based on properties, it will not change with PIP actions</t>
  </si>
  <si>
    <t>2. Revised FSM charges and tariffs</t>
  </si>
  <si>
    <t>4. Allocate Non-FSM revenue surplus</t>
  </si>
  <si>
    <t>Annual demand from HHs depending on septic tanks</t>
  </si>
  <si>
    <t>SERVICE ORIENTED PERFORMANCE IMPROVEMENT PLANS (S-PIP)</t>
  </si>
  <si>
    <t xml:space="preserve">Performance Improvement component of the PAS Project provides tools and approaches to improve delivery of city-level services for water supply, wastewater and solid waste management. Unlike typical infrastructure investment plans, Service oriented Performance Improvement Plans (S-PIPs) focus on improvements in service delivery. Performance improvement starts with measurement of current performance, followed by identification of potential areas of improvement and development of key improvement actions to improve service delivery with a financially feasible plan. </t>
  </si>
  <si>
    <t>Base data of demography, FSM and wastewater for present year</t>
  </si>
  <si>
    <t>Municipal budget information and demand collection balance statements for the last five years</t>
  </si>
  <si>
    <t>Planning of improvement actions for FSM and wastewater services</t>
  </si>
  <si>
    <t>Preparation of feasible capital and operating plan for local government</t>
  </si>
  <si>
    <t>All blue coloured cells in the model are INPUT cells</t>
  </si>
  <si>
    <t>All grey coloured cells in the model are system generated OUTPUT cells</t>
  </si>
  <si>
    <t>Block/ Taluka</t>
  </si>
  <si>
    <t>Instructions for using this sheet</t>
  </si>
  <si>
    <t>These actions will help improve data quality which is often poor, though  will not directly impact the performance levels.</t>
  </si>
  <si>
    <t xml:space="preserve">These actions highlight the process or policy areas that need to be addressed in implementation. </t>
  </si>
  <si>
    <t>These actions highlight the scope for improving existing infrastructure which may help achieve desired results at low-cost.</t>
  </si>
  <si>
    <t>These actions inclide new infrastructure projects that can be undertaken.</t>
  </si>
  <si>
    <t xml:space="preserve">The full set of selected actions helps to define an overall sectoral vision for improvement - goals and planning priorities. This chart (Row 266 onwards) is generated by selecting all relevant actions using the check box provided against each KPI and action. </t>
  </si>
  <si>
    <t>A simple drop-down switch is provided on top left corner of table (besides learn more) to 'Activate/Deactivate' an action. By activating an action using this switch, the corresponding action will be included in the proposed Action Plan.
The box with light blue colour indicates actions prioritised earlier in the Performance Assessment sheet. The colour turns to dark blue when the action is actually activated. Any action can be activated irrespective of whether they were prioritised earlier or not (i.e. box being grey or light blue; colour is only indicative)</t>
  </si>
  <si>
    <t>These two cells on top most right corner of table turn blue when an action is activated. User has to fill in implementation period of the action. The first cell is for starting year of action and the second cell is for the year in which the action is completed.</t>
  </si>
  <si>
    <t>These are first set of rows in a table displaying important background information about the Action. It helps facilitate decision making by the user.</t>
  </si>
  <si>
    <t>ACTION PLAN FOR FSM and WASTEWATER SERVICES</t>
  </si>
  <si>
    <t xml:space="preserve"> View/edit ranges for traffic light analysis of Key performance indicators - pl see the table on the right column Q onwards</t>
  </si>
  <si>
    <t>FSM Revenue account status</t>
  </si>
  <si>
    <t>Non-FSM Revenue account status</t>
  </si>
  <si>
    <t>Information of indicators at the state/province level and average of peer group (class average) are to be provided in respective columns. Additionally, one can add indicator values of 4 other cities that the city wants to compare its services with. 
The titles 'City #' can be replaced by the name of the city.</t>
  </si>
  <si>
    <t>Instructions 
for using 
this sheet</t>
  </si>
  <si>
    <r>
      <t xml:space="preserve">The total financial requirements for CAPEX and OPEX, as well as possible sources of funds for CAPEX were worked out in the sheet on 'Action Plan Finance'. The current sheet enables the user to assess sources to fund the local government share of capital expenditure and to ensure financing of O&amp;M expenditure. The local government share of capital expenditure can be met through internal surplus on the revenue account as well as by borrowing. The model helps to assess feasibility of borrowing by reviewing the debt service coverage ratio over the debt tenor. The O&amp;M expenses can be met by revising tariffs or by using transfers from non-FSM account. Thus, Integrated Capital and O&amp;M Financing plan are developed in an iterative manner through the following steps. 
i. </t>
    </r>
    <r>
      <rPr>
        <b/>
        <sz val="11"/>
        <color theme="3"/>
        <rFont val="Calibri"/>
        <family val="2"/>
        <scheme val="minor"/>
      </rPr>
      <t>Assess</t>
    </r>
    <r>
      <rPr>
        <sz val="11"/>
        <color theme="3"/>
        <rFont val="Calibri"/>
        <family val="2"/>
        <scheme val="minor"/>
      </rPr>
      <t xml:space="preserve"> in FSM revenue account (CELLS W81:AG81) to check on any shortfalls. This can be addressed by either a) increasing sanitation related taxes or user charges, or b) transfers from the non-FSM revenue account surplus (CELLS W89:AG89). This decision depends on local priorities. 
ii. If the decision s to use non-FSM transfers, </t>
    </r>
    <r>
      <rPr>
        <b/>
        <sz val="11"/>
        <color theme="3"/>
        <rFont val="Calibri"/>
        <family val="2"/>
        <scheme val="minor"/>
      </rPr>
      <t>Allocate</t>
    </r>
    <r>
      <rPr>
        <sz val="11"/>
        <color theme="3"/>
        <rFont val="Calibri"/>
        <family val="2"/>
        <scheme val="minor"/>
      </rPr>
      <t xml:space="preserve"> part or all the Non-FSM revenue account surplus for FSM sector (CELLS D84:O88). The surplus after covering FSM revenue account deficit can be </t>
    </r>
    <r>
      <rPr>
        <b/>
        <sz val="11"/>
        <color theme="3"/>
        <rFont val="Calibri"/>
        <family val="2"/>
        <scheme val="minor"/>
      </rPr>
      <t>transferred</t>
    </r>
    <r>
      <rPr>
        <sz val="11"/>
        <color theme="3"/>
        <rFont val="Calibri"/>
        <family val="2"/>
        <scheme val="minor"/>
      </rPr>
      <t xml:space="preserve"> for FSM capital account (CELLS E102:O102).  If the local government doesn't generate enough surplus, the capital expenditure requirement can be met through </t>
    </r>
    <r>
      <rPr>
        <b/>
        <sz val="11"/>
        <color theme="3"/>
        <rFont val="Calibri"/>
        <family val="2"/>
        <scheme val="minor"/>
      </rPr>
      <t>borrowings</t>
    </r>
    <r>
      <rPr>
        <sz val="11"/>
        <color theme="3"/>
        <rFont val="Calibri"/>
        <family val="2"/>
        <scheme val="minor"/>
      </rPr>
      <t xml:space="preserve"> (CELLS E105:O105). Repayment capacity of the city is assessed through Debt Service coverage ratio (DSCR) in CELLS E106:O106
iii. This sheet enables user to simulate impact of</t>
    </r>
    <r>
      <rPr>
        <b/>
        <sz val="11"/>
        <color theme="3"/>
        <rFont val="Calibri"/>
        <family val="2"/>
        <scheme val="minor"/>
      </rPr>
      <t xml:space="preserve"> improving collection efficiency</t>
    </r>
    <r>
      <rPr>
        <sz val="11"/>
        <color theme="3"/>
        <rFont val="Calibri"/>
        <family val="2"/>
        <scheme val="minor"/>
      </rPr>
      <t xml:space="preserve"> of property tax on revenue account (ROWS 132:136).  Similar improvement in FSM and wastewater related taxes is enabled through action no. 36 in WW plan sheet.
iv. Finally, if the local government still needs to </t>
    </r>
    <r>
      <rPr>
        <b/>
        <sz val="11"/>
        <color theme="3"/>
        <rFont val="Calibri"/>
        <family val="2"/>
        <scheme val="minor"/>
      </rPr>
      <t>revise tax rates</t>
    </r>
    <r>
      <rPr>
        <sz val="11"/>
        <color theme="3"/>
        <rFont val="Calibri"/>
        <family val="2"/>
        <scheme val="minor"/>
      </rPr>
      <t xml:space="preserve">, this sheet will enable the user to decide the year and percentage increment in the tax rate. (ROW140 for property tax, ROWS 200:211 for FSM and wastewater tax).  ROWS 212:218 enable the user to levy and revise </t>
    </r>
    <r>
      <rPr>
        <b/>
        <sz val="11"/>
        <color theme="3"/>
        <rFont val="Calibri"/>
        <family val="2"/>
        <scheme val="minor"/>
      </rPr>
      <t>septic tank emptying charges</t>
    </r>
    <r>
      <rPr>
        <sz val="11"/>
        <color theme="3"/>
        <rFont val="Calibri"/>
        <family val="2"/>
        <scheme val="minor"/>
      </rPr>
      <t>. To maintain the desired cleaning cycle, the city can levy an annual charge and provide scheduled cleaning service instead of demand based cleaning. 
v. Assess impact of tariff increases if any on households by reviewing CELLS W62:AG62 which present the net impact on households. If it is felt that an average household will be unable to bear the additional tax, alternative financing mechanisms can be explored. Changing the phasing of actions, use of less capital intensive technology, etc. may also help. As a last resort, one or more actions may be delayed beyond plan period.</t>
    </r>
  </si>
  <si>
    <t>This sheet enables the user to identify priorities based on the city's current service performance by comparing the Key Performance Indicators (KPIs) against the nationally suggested benchmarks as well as performance of peers as specified by the users. It also helps to identify specific local/ contextual areas that need improvement by reviewing the relevant charts for each of the four KPI themes (i. Access - coverage and equity, ii. Service levels and quality, iii. Efficiency in service operations, and iv. Financial Sustainability). Actions are suggested for each theme. It is also recognized that each action may affect more than one KPI as illustrated in the Action-KPI matrices.  Actions are grouped into four categories depending on the nature of their implementation.</t>
  </si>
  <si>
    <t>The Action Planning process enables the user to select and design different actions in order to meet the objectives set out earlier. The planning objectives identified in 'Performance Assessment' sheet include a set of actions that need to be implemented in a city for improving service delivery. Each individual action needs to be calibrated as output based tangible targets in this sheet. Calibration includes setting targets, timeline, costs and potential income mobilization. The full set of these calibrated actions will form an overall citywide implementation plan across the 10-year plan period. Later sheets ('Action plan finance' and 'Finaning Plan') enable an iterative process of identifying appropriate actions, phasing and financing pattern.
To facilitate this process, all the actions are compiled in an easy to use tabular structure. Where relevant, pictoral graphs help to show their impact on service performance and financing. These graphs display collective impact of all the actions in each of the four themes (i. Access, coverage, and equity, ii. Service levels and quality, iii. Efficiency in service operations and iv. Financial sustainability). The performance improvement graphs are with dark coloured area and financial requirement are in translucent coloured areas. 
The tabular structure for each Action has the following 6 components:</t>
  </si>
  <si>
    <t>Improvement actions activated for each theme will have a combined effect on performance of all KPIs. This impact on service performance levels is assessed through Key Performance Indicators (KPIs) as well as their corresponding Local Action Indicators (LAIs) for all four performance measurement themes. These KPIs and LAIs have been developed under the PAS Project. LAIs are essentially drilled down indicators, to supplement the main KPIs and help establish contextual relevance. Definitions of each performance indicator (KPIs and LAIs) are also provided along with each indicator.
To assess the impact of Action Plan, traffic light analysis is done across the 10-year time line with respect to benchmark values of KPIs. An option is also provided to customise these benchmark values from default benchmarks, which were adopted from 'Standardised Service Level Benchmarks (SSLB)' of MoUD, GoI. The first set of tables use the full set of Indictors developed under the PAS Project. A second table (row 198 onwards) also reports separately on KPIs specified by SSLB -MOUD for the 10-year period</t>
  </si>
  <si>
    <t>To be reviewed</t>
  </si>
  <si>
    <t>Number of ST- BAU</t>
  </si>
  <si>
    <t>Septic tanks - BAU</t>
  </si>
  <si>
    <t>Septic tanks PIP</t>
  </si>
  <si>
    <t>Number of ST</t>
  </si>
  <si>
    <t xml:space="preserve">Septic tanks constructed </t>
  </si>
  <si>
    <t>Number of ST - PIP</t>
  </si>
  <si>
    <t>Cleaning Cycle</t>
  </si>
  <si>
    <t>ST to be emptied</t>
  </si>
  <si>
    <r>
      <t xml:space="preserve">Cycle Stacker </t>
    </r>
    <r>
      <rPr>
        <sz val="10"/>
        <color theme="1"/>
        <rFont val="Calibri"/>
        <family val="2"/>
      </rPr>
      <t>↑</t>
    </r>
  </si>
  <si>
    <t>Country</t>
  </si>
  <si>
    <t>Currency</t>
  </si>
  <si>
    <t>INR</t>
  </si>
  <si>
    <t>India</t>
  </si>
  <si>
    <t>Cost/ Household</t>
  </si>
  <si>
    <t xml:space="preserve">- Total cost of computerisation of records </t>
  </si>
  <si>
    <t>Lump-sum cost</t>
  </si>
  <si>
    <t>Cost/ annum</t>
  </si>
  <si>
    <t>Cost/ updation</t>
  </si>
  <si>
    <t>Counting system</t>
  </si>
  <si>
    <t>Per connection</t>
  </si>
  <si>
    <t>A formula needs to be devised considering this action will inrease revenue</t>
  </si>
  <si>
    <t>Cost per KM</t>
  </si>
  <si>
    <t>% of CapEx</t>
  </si>
  <si>
    <t>- Annual O&amp;M expenses to maintain new distribution network</t>
  </si>
  <si>
    <t>- Annual O&amp;M expenses to maintain new water supply infrastructure</t>
  </si>
  <si>
    <t>- Annual O&amp;M expenses incurred, if any</t>
  </si>
  <si>
    <t xml:space="preserve">- Total capital expenses incurred to increase water supply continuity, if any </t>
  </si>
  <si>
    <t>- Additional annual O&amp;M expenses to treat ground water</t>
  </si>
  <si>
    <t>- Additional expenses incurred annually for improving water quality like regular quality tests, procuring more chemicals etc.</t>
  </si>
  <si>
    <t>Cost per annum</t>
  </si>
  <si>
    <t>per MLD</t>
  </si>
  <si>
    <t>- Annual O&amp;M expenses of the source</t>
  </si>
  <si>
    <t>- Annual O&amp;M expenses of the ground water source</t>
  </si>
  <si>
    <t xml:space="preserve">- Capital cost incurred, if any </t>
  </si>
  <si>
    <t>Lump-sum</t>
  </si>
  <si>
    <t>per km</t>
  </si>
  <si>
    <t xml:space="preserve">- Annual O&amp;M expenses </t>
  </si>
  <si>
    <t>per ML</t>
  </si>
  <si>
    <t>per meter</t>
  </si>
  <si>
    <t>- Total CapEx for loss reduction</t>
  </si>
  <si>
    <t>per connection</t>
  </si>
  <si>
    <t xml:space="preserve">- One time cost of improvement in the system for recording and resolving complaints </t>
  </si>
  <si>
    <t>- One time cost of improvement in collection system, if any</t>
  </si>
  <si>
    <t>Cost/ household</t>
  </si>
  <si>
    <t>- Total cost of conducting hydraulic modeling exercise in city</t>
  </si>
  <si>
    <t>- CapEx for improvement in treatment plant efficiency</t>
  </si>
  <si>
    <t>- Total cost of mapping water and wastewater network</t>
  </si>
  <si>
    <t>- Total cost to conduct the survey</t>
  </si>
  <si>
    <r>
      <t xml:space="preserve">- Block cost of upgrading pit toilets to onsite septic tanks </t>
    </r>
    <r>
      <rPr>
        <i/>
        <sz val="10"/>
        <rFont val="Calibri"/>
        <family val="2"/>
        <scheme val="minor"/>
      </rPr>
      <t>(per toilet)</t>
    </r>
  </si>
  <si>
    <r>
      <t xml:space="preserve">- Block cost of upgradation by connecting to sewerage or settled sewer network 
</t>
    </r>
    <r>
      <rPr>
        <sz val="10"/>
        <color theme="1" tint="0.499984740745262"/>
        <rFont val="Calibri"/>
        <family val="2"/>
        <scheme val="minor"/>
      </rPr>
      <t>(NOTE : For construction of connection chamber; do not consider connection cost here)</t>
    </r>
  </si>
  <si>
    <t>per seat</t>
  </si>
  <si>
    <t>per seat/month</t>
  </si>
  <si>
    <t>per toilet block</t>
  </si>
  <si>
    <r>
      <t xml:space="preserve">- Block cost to refurbish community/ public toilet </t>
    </r>
    <r>
      <rPr>
        <i/>
        <sz val="10"/>
        <rFont val="Calibri"/>
        <family val="2"/>
        <scheme val="minor"/>
      </rPr>
      <t>(cost/block)</t>
    </r>
  </si>
  <si>
    <r>
      <t xml:space="preserve">- Block cost to refurbish an individual toilet </t>
    </r>
    <r>
      <rPr>
        <i/>
        <sz val="10"/>
        <rFont val="Calibri"/>
        <family val="2"/>
        <scheme val="minor"/>
      </rPr>
      <t>(per toilet)</t>
    </r>
  </si>
  <si>
    <t>- Total cost for IEC campaign</t>
  </si>
  <si>
    <r>
      <t xml:space="preserve">- Block cost to construct a group toilet with septic tank and soak pit </t>
    </r>
    <r>
      <rPr>
        <i/>
        <sz val="11"/>
        <color theme="1"/>
        <rFont val="Calibri"/>
        <family val="2"/>
        <scheme val="minor"/>
      </rPr>
      <t>(per toilet)</t>
    </r>
  </si>
  <si>
    <r>
      <t xml:space="preserve">- Block cost to construct a group toilet with septic tank (per toilet)
</t>
    </r>
    <r>
      <rPr>
        <sz val="11"/>
        <color theme="1" tint="0.499984740745262"/>
        <rFont val="Calibri"/>
        <family val="2"/>
        <scheme val="minor"/>
      </rPr>
      <t>(</t>
    </r>
    <r>
      <rPr>
        <sz val="10"/>
        <color theme="1" tint="0.499984740745262"/>
        <rFont val="Calibri"/>
        <family val="2"/>
        <scheme val="minor"/>
      </rPr>
      <t>Note : Cost for settled sewer connection to be included in action - 'Lay new settled sewer for wastewater conveyance' )</t>
    </r>
  </si>
  <si>
    <r>
      <t xml:space="preserve">- Block cost to construct a group toilet 
</t>
    </r>
    <r>
      <rPr>
        <sz val="11"/>
        <color theme="1" tint="0.499984740745262"/>
        <rFont val="Calibri"/>
        <family val="2"/>
        <scheme val="minor"/>
      </rPr>
      <t>(</t>
    </r>
    <r>
      <rPr>
        <sz val="10"/>
        <color theme="1" tint="0.499984740745262"/>
        <rFont val="Calibri"/>
        <family val="2"/>
        <scheme val="minor"/>
      </rPr>
      <t>Note : Cost for sewerage connection to be included in action - 'Expand or lay new sewerage network for wastewater conveyance')</t>
    </r>
  </si>
  <si>
    <t>per seat/day</t>
  </si>
  <si>
    <t>Cost/seat</t>
  </si>
  <si>
    <t>per additional trip</t>
  </si>
  <si>
    <t xml:space="preserve">- Total cost of carrying out of this activity </t>
  </si>
  <si>
    <t>per month</t>
  </si>
  <si>
    <t>Cost/truck</t>
  </si>
  <si>
    <r>
      <t xml:space="preserve">- Block cost to construct a soak pit for unserved households 
</t>
    </r>
    <r>
      <rPr>
        <i/>
        <sz val="10"/>
        <rFont val="Calibri"/>
        <family val="2"/>
        <scheme val="minor"/>
      </rPr>
      <t>(per soak pit)</t>
    </r>
  </si>
  <si>
    <r>
      <t xml:space="preserve">- Block cost to lay settled sewer network </t>
    </r>
    <r>
      <rPr>
        <i/>
        <sz val="10"/>
        <rFont val="Calibri"/>
        <family val="2"/>
        <scheme val="minor"/>
      </rPr>
      <t>(cost per km)</t>
    </r>
  </si>
  <si>
    <r>
      <t xml:space="preserve">- New settled sewer connection charges for non-residential connections </t>
    </r>
    <r>
      <rPr>
        <i/>
        <sz val="10"/>
        <rFont val="Calibri"/>
        <family val="2"/>
        <scheme val="minor"/>
      </rPr>
      <t>(per connection)</t>
    </r>
  </si>
  <si>
    <r>
      <t>- New settled sewer connection charges for households 
(</t>
    </r>
    <r>
      <rPr>
        <i/>
        <sz val="10"/>
        <rFont val="Calibri"/>
        <family val="2"/>
        <scheme val="minor"/>
      </rPr>
      <t>per connection)</t>
    </r>
  </si>
  <si>
    <r>
      <t xml:space="preserve">- Block cost to lay new sewerage network </t>
    </r>
    <r>
      <rPr>
        <i/>
        <sz val="10"/>
        <rFont val="Calibri"/>
        <family val="2"/>
        <scheme val="minor"/>
      </rPr>
      <t>(Cost/ km)</t>
    </r>
  </si>
  <si>
    <r>
      <t>- New sewerage connection charges for households (</t>
    </r>
    <r>
      <rPr>
        <i/>
        <sz val="10"/>
        <color theme="1"/>
        <rFont val="Calibri"/>
        <family val="2"/>
        <scheme val="minor"/>
      </rPr>
      <t>per connection)</t>
    </r>
  </si>
  <si>
    <r>
      <t xml:space="preserve">- New sewerage connection charges for non-residential connections </t>
    </r>
    <r>
      <rPr>
        <i/>
        <sz val="10"/>
        <rFont val="Calibri"/>
        <family val="2"/>
        <scheme val="minor"/>
      </rPr>
      <t>(per connection)</t>
    </r>
  </si>
  <si>
    <t>- Total cost to construct treatment facility</t>
  </si>
  <si>
    <t>per kg</t>
  </si>
  <si>
    <t>Cost/MLD</t>
  </si>
  <si>
    <t xml:space="preserve">Revenue earned </t>
  </si>
  <si>
    <t>Cost/km</t>
  </si>
  <si>
    <t>per annum</t>
  </si>
  <si>
    <t>Cost per kg</t>
  </si>
  <si>
    <t>- Cost of upgradation/ repair in plant, if required</t>
  </si>
  <si>
    <t>Cost per MLD</t>
  </si>
  <si>
    <t xml:space="preserve">O&amp;M </t>
  </si>
  <si>
    <t>Revenue earned</t>
  </si>
  <si>
    <t>- Total expenses for conducting quality tests</t>
  </si>
  <si>
    <t>- One time cost of improvement in the system for recording and solving complaints</t>
  </si>
  <si>
    <r>
      <t xml:space="preserve">- Revenue generation by implementing the action, if any </t>
    </r>
    <r>
      <rPr>
        <i/>
        <sz val="10"/>
        <rFont val="Calibri"/>
        <family val="2"/>
        <scheme val="minor"/>
      </rPr>
      <t>(per annum)</t>
    </r>
  </si>
  <si>
    <t>- Cost of carrying out of the activity</t>
  </si>
  <si>
    <t>- Total cost to carry out the activity</t>
  </si>
  <si>
    <t xml:space="preserve">- Total cost to carry out the activity </t>
  </si>
  <si>
    <t>- Cost of conducting IEC campaign</t>
  </si>
  <si>
    <t>- Monthly other contingency expenditure to be incurred</t>
  </si>
  <si>
    <t>per personnel/month</t>
  </si>
  <si>
    <t>- Royalty to be paid to service provider by ULB, if any</t>
  </si>
  <si>
    <t>- Royalty to be paid to ULB by service provider, if any</t>
  </si>
  <si>
    <t>Cost/bin</t>
  </si>
  <si>
    <t>per trip</t>
  </si>
  <si>
    <t>Cost per site</t>
  </si>
  <si>
    <t>per unit</t>
  </si>
  <si>
    <t>Per MT</t>
  </si>
  <si>
    <t>per MT/day</t>
  </si>
  <si>
    <t xml:space="preserve">earlier the value was divided by 1000, </t>
  </si>
  <si>
    <t>- One time cost of improvement in collection system</t>
  </si>
  <si>
    <t>FSM and Wastewater revenue and expenditure</t>
  </si>
  <si>
    <t>FSM and wastewater revenue account</t>
  </si>
  <si>
    <t>FSM and wastewater revenue receipts</t>
  </si>
  <si>
    <t>FSM and wastewater revenue expenditure</t>
  </si>
  <si>
    <t>FSM and wastewater capital account</t>
  </si>
  <si>
    <t>FSM and wastewater capital receipts</t>
  </si>
  <si>
    <t>FSM and wastewater capital expenditure</t>
  </si>
  <si>
    <t>FSM and wastewater related taxes and charges</t>
  </si>
  <si>
    <t>Non-WSS revenue account</t>
  </si>
  <si>
    <t>Non-WSS revenue receipts</t>
  </si>
  <si>
    <t>Non-WSS revenue expenditure</t>
  </si>
  <si>
    <t>Non-WSS capital account</t>
  </si>
  <si>
    <t>Non-WSS capital receipts</t>
  </si>
  <si>
    <t>Non-WSS capital expenditure</t>
  </si>
  <si>
    <t>Non-WSS</t>
  </si>
  <si>
    <t>Lakh - Crore</t>
  </si>
  <si>
    <t>Toilets BAU</t>
  </si>
  <si>
    <t xml:space="preserve">Septic tanks + Soak pits </t>
  </si>
  <si>
    <t>Toilets added under PIP</t>
  </si>
  <si>
    <t>Unsafe</t>
  </si>
  <si>
    <t>INR 35  to 50 per household</t>
  </si>
  <si>
    <t>Cost of software development  and hardware procurement is around INR 0.5-1 Million</t>
  </si>
  <si>
    <t>INR 20,000 - 30,000 per portable water quality testing kit</t>
  </si>
  <si>
    <t>INR 0.85 Mn for unmetered water supply scheme having population of 25,000 OR 
INR 0.63 Mn for metered water supply schemes having population of 25,000. For more details refer Annexure 1</t>
  </si>
  <si>
    <t>Cost of electronic bulk flow meter is INR 300-500 thousand per meter and ultrasonic flow meter is Rs 400-600 thousand per meter</t>
  </si>
  <si>
    <t>Data improvement measure</t>
  </si>
  <si>
    <t>Process/ Policy improvement measure</t>
  </si>
  <si>
    <t>Existing system improvement measure</t>
  </si>
  <si>
    <t>Cost will depend on length of trunk/ transmission / distribution line repaired or replaced. For example in MS line cost is INR 1500 - 2000 per leak, in CI/ DI pipeline joint needs to be replaced.</t>
  </si>
  <si>
    <t>INR 1500 - 2000 per connection</t>
  </si>
  <si>
    <t>INR 200 - 300 per person resorting to OD</t>
  </si>
  <si>
    <t>INR 10,000 to 15,000 per toilet seat for Gujarat and 
INR 25,000 to 35,000 per toilet seat for Maharashtra</t>
  </si>
  <si>
    <t>Cost of construction: INR 5,000 per septic tank and INR 2,000-3,000 per soak pit</t>
  </si>
  <si>
    <t>INR 10,000 to 15,000 per toilet seat (for Gujarat) and INR 25,000 to 35,000 per toilet seat (for Maharashtra)</t>
  </si>
  <si>
    <t>INR 350 per person</t>
  </si>
  <si>
    <t>Cost of construction of superstructure group toilet: INR 15,000 to 20,000</t>
  </si>
  <si>
    <t>Household survey will improve data reliability of indicators and also help identify specific activities required to improve indicators. Survey may also include questions related to  wastewater and solid waste management services.</t>
  </si>
  <si>
    <t>The household survey will help identify illegal connections. The local government should initiate regularisation process and complete it within a definite time frame. The activity will need a dedicated team and process simplification.</t>
  </si>
  <si>
    <t>Household survey will help in identifying households without water connection in networked area. Simplifying connection procedure and low connection charges will bring more legal consumers for water supply.</t>
  </si>
  <si>
    <t>First step is to list free water connections and then identify connections that can be converted into group connections or removed if unused.</t>
  </si>
  <si>
    <t>All habitated area should ideally have distribution network; if not so, this action is to be activated. A period of 2 to 5 years may be required for preparation of proposal and detailed project report (DPR), statutory approvals and implementation.</t>
  </si>
  <si>
    <t>Water quality needs to be monitored on a regular basis. If it is not being done, this action is to be activated. This is a process change action which suggests monitoring of water quality as a routine work.</t>
  </si>
  <si>
    <t>Increase in continuity of water supply service may include construction of mass balance reservoir, replacement or rehabilitation of pipelines, installing SCADA system at various reservoirs, etc</t>
  </si>
  <si>
    <r>
      <rPr>
        <sz val="11"/>
        <rFont val="Calibri"/>
        <family val="2"/>
        <scheme val="minor"/>
      </rPr>
      <t>Laying i</t>
    </r>
    <r>
      <rPr>
        <sz val="11"/>
        <color theme="1"/>
        <rFont val="Calibri"/>
        <family val="2"/>
        <scheme val="minor"/>
      </rPr>
      <t xml:space="preserve">nternal infrastructure in slum area, so that service can be extended to the slum and households provided with connections. </t>
    </r>
  </si>
  <si>
    <t>If ground water quality is good as per IS 10500 and should not included in dark zone for ground water extraction then only city should augment source through ground water</t>
  </si>
  <si>
    <t>If city has allocation of bulk treated water from irrigation department or other water supplying agency at province level then city can augment water source by purchasing treated water</t>
  </si>
  <si>
    <t>If city has allocation of bulk raw water from irrigation department or other water supplying agency at province level then city can augment water source by purchasing raw water</t>
  </si>
  <si>
    <t>If water treatment plant treats water beyond its capacity then new WTP needs to be constructed.</t>
  </si>
  <si>
    <t>Water storage capacity should be two thirds of the total water supplied. If there is less storage capacity then construct new storage tanks.</t>
  </si>
  <si>
    <t>This activity will help in identifying losses in water supply network and also suggest strategy for loss reduction.  Usually water audit study is carried out by consultant, the local government will need to float tender for this work. The study will include quantity measurement at various places like sources, water treatment plants (WTPs), water distribution stations (WDSs) and at consumer ends. This is medium cost activity.</t>
  </si>
  <si>
    <t>Many cities do not have updated water and wastewater network maps. With the use of map, maintenance work can be easily tracked.</t>
  </si>
  <si>
    <t>Hydraulic modelling help in identifying issues in the existing water supply network and provides corrective measure for the same.</t>
  </si>
  <si>
    <t>Prevention is better than cure. Asset management is the preventive step of failure of system. And for that first step is listing of all assets and related information like date of procurement, date of installment, manufacturer, capacity, record of maintenance and repair, current condition, value of assets etc.</t>
  </si>
  <si>
    <t xml:space="preserve">Without compulsion or incentive, many households may prefer not to install a meter; hence need for such a policy. </t>
  </si>
  <si>
    <t xml:space="preserve">Consume complaints should be recorded properly either manually r through a computerised system. A regular assessment of complaints should be carried out to identify specific areas that face problems, etc. </t>
  </si>
  <si>
    <t xml:space="preserve">Measure the quantity of water at inlet and outlet of the  water treatment plant. If loss of more than 2-3% is recorded, theresons need to identified and necessary repairs made. </t>
  </si>
  <si>
    <t xml:space="preserve">Measure the quantity of water at inlet and outlet of the transmission line. If the loss is more than 5%, then leaks need to be identified and repaired. </t>
  </si>
  <si>
    <t xml:space="preserve">All leakages; visible and invisible need to be plugged. The invisible leakages can be identified through a leak detection survey. </t>
  </si>
  <si>
    <t>Water losses in storage resevoirs can be found through drop test.  If such a test finds losses at a reservoir, it needs to be repaired or refurbished. It includes internal and/or external plastering, paint etc.</t>
  </si>
  <si>
    <t xml:space="preserve">Many local governments are hesitant or deny providing services  in illegal settlements and/or slums. This improvement action entails change in policy if required, increase ease of applying, relax documentary requirements, etc. </t>
  </si>
  <si>
    <t xml:space="preserve">If the local government cleans drains and sewers only when it recieves complaints of blockage or backflow instead of pro-active maintenance, this action entails preparation of a plan for periodic cleaning of drains and sewers. </t>
  </si>
  <si>
    <t xml:space="preserve">Based on hydraulic modeling survey and leak detection study, replacement and rehabilitation of pipelines, valves and pumping machinery. </t>
  </si>
  <si>
    <t>Replacement of old joints if leakages in distribution network exceed 10-12%</t>
  </si>
  <si>
    <t>Replacement of old service line connections to reduce leakages in distribution network</t>
  </si>
  <si>
    <t>Cost for internal plastering is INR 500 - 700 per sq.m and cost for external plastering is INR 600 - 800 per sq.m</t>
  </si>
  <si>
    <t xml:space="preserve">First step is to  list free connections to government buildings, institutions, public taps, etc. Identify the connections that can be charged and start charging. </t>
  </si>
  <si>
    <t>Identify non-functional meters, get them repaired if possible or replace them.</t>
  </si>
  <si>
    <t>Metering connections and introduction of volumetric charges promotes rational usage and conservation of water. It also gives an accurate estimate of the losses in the distribution system.</t>
  </si>
  <si>
    <t>Energy audit study will identify the punping machinery that is performing inefficiently and needs to be replaced.</t>
  </si>
  <si>
    <t>Energy audit study will also suggest the low cost measure of saving of energy like installation of capacitor to maintain power factor and avoid penalty. Working of pumping machinery off-peak hours where peak and off-peak rates of power vary.</t>
  </si>
  <si>
    <t>Household survey will help identify households connected to sewer network or dependent on on-site system, households not connected to the system in a networked area, etc. thereby improving data reliability of indicators and also help identify specific activities required to improve indicators. Survey may also include questions related to  water supply and solid waste management services.</t>
  </si>
  <si>
    <t>Survey to identify the open defecation (OD) sites in the city and also estimate the population resorting to OD. Regular monitoring of OD sites to check impact of improvement actions like construction of household and community level toilets. Also ensure OD free status once achieved.</t>
  </si>
  <si>
    <t>Computerisation of all records related to water supply, this needs hardware and software components.  Household survey will help in updation of consumer records.</t>
  </si>
  <si>
    <t>Computerisation of all records related to wastewater management including households having toilets, septic tanks, soak pits and sewer connections, etc. This needs hardware and software components.  Household survey will help in updation of consumer record.</t>
  </si>
  <si>
    <t xml:space="preserve">Ease of connection procedure by reducing the documents required and introduction of single window system. Also make it easy for slum households to get a connection. To implement this activity generally the local government is required to pass a resolution to this effect. </t>
  </si>
  <si>
    <t xml:space="preserve">In many cities, policies deter provision of toilets and sewer connections in slums. This improvement action intends to increase ease of construction of toilet and getting sewerage connection especially for slum households. </t>
  </si>
  <si>
    <t>Household survey will identify households having unsanitary toilets. These need to be provided with an appropriate and  safe disposal system; on-site sanitation with septic tank connected to soak pit or settled sewer/ small bore sewer; or off-site sanitation system with sewerage network</t>
  </si>
  <si>
    <t>First identify and assess the condition of unusable community toilets followed by identifying those that can be repaired and made functional including estimating the cost involved. This would reduce the load on existing functional toilets and also serve additional households currenctly practicing OD</t>
  </si>
  <si>
    <t>First identify and assess the condition of unusable public toilets followed by identifying those that can be repaired and made functional including estimating the cost involved. This would reduce the load on existing functional toilets and also serve additional floating population.</t>
  </si>
  <si>
    <t xml:space="preserve">First identify the target groups for IEC activities, they could include specific areas, schools and other educational institutes, etc. The activities need to be defined and involvement of non-governmental organisations (NGOs), community based organisations (CBOs) should be promoted in the task. </t>
  </si>
  <si>
    <t>Household survey will identify the households that do not have their own toilet. The local government can promote construction of owned toilets by providing an incentive subsidy, making credit available, easing construction application process, etc.</t>
  </si>
  <si>
    <t xml:space="preserve">Household survey will identify the households that do not have their own toilet. If finance and/or space are constraints, then 2-4 households could come together and construct a group toilet on a common area for their use. This will districbute the financial load on all the households. The toilet will be owned and maintained by the households themselves and they may control its access by putting lock and key. </t>
  </si>
  <si>
    <t>For households not having access to toilets in dense settlements or where the local government plans to rehabilitate the settlement later, community toilets could be provided.</t>
  </si>
  <si>
    <t xml:space="preserve">This is  a low cost action, households that dont have a sewerage connection despite availability of network in the area are to be encouraged to avail connections. The local government may simplify the process, reduce connection charges, etc. to make it easier. </t>
  </si>
  <si>
    <t>Replacement of old sewer lines that have worn out due to old age or heavy load</t>
  </si>
  <si>
    <t xml:space="preserve">Existing open drains can be covered with concrete slabs either pre fabircated or cast in-situ.This activity will help in solving problems like clogging due to dumping of solid waste, foul odour, bad aesthetics, etc. To implement, the areas and length of open drains that need to be covered needs to be identified and its cost estimated. </t>
  </si>
  <si>
    <t>OPTION 1: This can either be done by constructing drains if there are no drains in the area, or rehabilitating the existing drains from kutcha to pucca or increasing the carrying capacity of drains by having greater depth or width of the drains.
OPTION 2: Laying underground storm water drainage lines.
OPTION 3: Installing rain water harvesting system/ground water recharging wells in the areas of flooding.</t>
  </si>
  <si>
    <t xml:space="preserve">In cities where toilets are connected to septic tanks and its effluent and grey water are let off into drains or open areas, settled sewer can be a solution to improve wstewater management in th city.
Settled sewer is a piped sewer connected to septic tanks and carries only the effluent from septic tanks and presettled greywater to a low cost treatment plant. As it carries only liquid waste, it requires very gentle slope and can be bent to overcome obstacles.  The diameters of pipes used are greatly reduced, minimum being around 100mm and UPVC pipes can also be used; hence it has lower CAPEX and OPEX as compared to coventional sewer or simplified sewer.
After laying settled sewer, the existing drains can be used as dedicated storm water drains. </t>
  </si>
  <si>
    <t>INR 2-5 Mn per km of collection network</t>
  </si>
  <si>
    <t>Cost of suction emptier truck (Ex showroom prices) : 
2000 Litre capacity truck: INR 315 Thousand + Vat
3000 litre cpacity truck: INR 450 thousand + Vat
5000 litre capacity truck: INR 650 thousand + Vat
Need to add Entry tax + RTO and Insurance cost of 1 year + Octoroi and Transportation cost</t>
  </si>
  <si>
    <t>Laying network to cover areas that do not have a network. The activity includes preparation of a DPR, getting necessary approvals and implementing the project. uld be collected and also it would also generate additional revenue from connection fee and annual wastewater related charges/taxes.</t>
  </si>
  <si>
    <t>INR 0.5 - 2.0 Mn/MLD for oxidation pond or aerated lagoon construction</t>
  </si>
  <si>
    <t>INR 4.5 - 6.0 Mn per MLD</t>
  </si>
  <si>
    <t>The number of suction emptier trucks required will depend on the cleaning cycle and cumalative capacity of all the emptier trucks. Accordingly calculate the requirement for the city.</t>
  </si>
  <si>
    <t xml:space="preserve">Very few cities in India treat the septage collected, many simply dump it either in agricultural fields or at solid waste dump site or let off into natural water bodies. Depending on availability of land, reliability of power supply, and financial affordability, choose one of the many technologies available in the market. Some of the technologies available include planted/unplanted sludge drying beds, high rate sludge digestors, bio-gas plant, co-composting, mechanical dewatering, etc. </t>
  </si>
  <si>
    <t>INR 200 - 500 thousand</t>
  </si>
  <si>
    <t>First step is to map the existing process of billing and collection. This will help identify interventions required to improve the process. Interventions can be introduction of computerised billing and collection system, incentives for early payments, privatisation of collection of arrears, etc.</t>
  </si>
  <si>
    <t>Conduct regular quality testing and monitoring of inlet and outlet of STP/sludge treatment facility to measure efficiency of treatment as well as know quality of treated wastewater and septage. Also regular tests should be done at the outfall location of drain, septic tank outlet and wastewaeter flowing in drains</t>
  </si>
  <si>
    <t>If the city has treatment plant and the wastewater is treated to prescribed standards, then this wastewater can be reused for landscaping or agriculture or for generating energy. This in turn will provide revenue to the ULB from the sale of treated wastewater</t>
  </si>
  <si>
    <t>If the city has septage treatment plant and the septage is treated to prescribed standards, then this septage can be reused as a fertilzer for agriculture purpose or generating energy. This in turn will provide revenue to thelocal government</t>
  </si>
  <si>
    <t>If the city has primary treatment plant and the wastewater is treated to prescribed standards, then this wastewater can be reused for agriculture purpose. This in turn will provide revenue to the local government from the sale of treated wastewater</t>
  </si>
  <si>
    <t xml:space="preserve">Introduce regular testing of wastewater at inlet and treated wastewater at the outlet of treatment plant to measure efficiency of the treatment plant. </t>
  </si>
  <si>
    <t>INR 20,000 to 30,000 per toilet seat (for Gujarat) and INR 35,000 to 1,00,000 per toilet seat (for Maharashtra), the cost includes cost of superstructure and septic tanks</t>
  </si>
  <si>
    <t>Construction cost of a soak pit: INR 2,000-3,000</t>
  </si>
  <si>
    <t>Cost of laying settled sewer: INR 0.8-1.5 Mn per km depending on width of the road</t>
  </si>
  <si>
    <t xml:space="preserve">Cost of construction of supersturcure of individual toilet: INR 15,000 - 20,000 </t>
  </si>
  <si>
    <t>Cost of Refurbishment varies from INR 500 - 3,000 based on type of refurbishment</t>
  </si>
  <si>
    <t>INR 2 - 4 Mn per km of distribution network</t>
  </si>
  <si>
    <t>INR 2,000 - 50,000 per meter. Cost will vary based on the type of meter installed; for example multi jet dry type wheel meter costs INR 2,000/meter while automated reading system type costs INR 50,000/meter</t>
  </si>
  <si>
    <t>Household survey will improve data reliability of indicators and also help identify specific activities required to improve indicators. Survey may also include questions related to  wastewater and drinking water supply services</t>
  </si>
  <si>
    <t>Computerisation of all records related to solid waste management like households coverd by door to door collection system, those segregating at source, as well as city level data like total waste collected, sorted, treated, etc. This needs hardware and software components.  Household survey will help in updation of consumer records.</t>
  </si>
  <si>
    <t>INR 200-500 thousand</t>
  </si>
  <si>
    <t>M.S.Containerised handcarts for street sweepers : INR 4,500 
Containerised tricycle for door to door waste collection: INR 10,000
P.E.Containers for handcarts/tricycle : INR 225                                        
Set of metal tray and plate for street sweepers : INR 100
Auto tipper 1 MT capacity : INR 0.6 Mn
Motorized Ghanta gadi 2 MT capacity : INR 0.8 Mn</t>
  </si>
  <si>
    <t>This is a process action, which would help spatially deploy sweepers and drivers in accordance with the quantum of work in an area.</t>
  </si>
  <si>
    <t>This is a low cost action, by providing primary collection equipment like collection vehicle (Ghanta gadi) or six bin containers, auto tipper etc., coverage of SWM servicecan be increased. The number of primary collection equipment that should be provided also depends on number of households that need to be added, as per the Central Public Health and Environmental Engineering Organisation (CPHEEO) norm, one sweeper can cover around 150-250 households.</t>
  </si>
  <si>
    <t>Action to promote use of bins in homes and public spaces, not littering on the streets, segregation at source, etc. As awareness about management of solid waste increases load on sweepers as well as segregation and treatment facility will reduce.</t>
  </si>
  <si>
    <t>Monthly project cost of IEC in a city with about half a million people roughly works out to be around INR 1 Mn. The cost includes expenses of setting up an office, remuneration of project staff, external professionals and experts, travel, transport, communication, stationary and other monthly office expenses.</t>
  </si>
  <si>
    <t>Province avg</t>
  </si>
  <si>
    <t>Peer group avg</t>
  </si>
  <si>
    <t>KPI</t>
  </si>
  <si>
    <t>CEPT</t>
  </si>
  <si>
    <t>RA</t>
  </si>
  <si>
    <t>paresh.cept@gmail.com</t>
  </si>
  <si>
    <t>aasimmansuri@gmail.com</t>
  </si>
  <si>
    <t>Sanitary inspector</t>
  </si>
  <si>
    <t>Engineer</t>
  </si>
  <si>
    <t>Saurabh</t>
  </si>
  <si>
    <t xml:space="preserve">Urcon </t>
  </si>
  <si>
    <t>ABC</t>
  </si>
  <si>
    <t>XYZ</t>
  </si>
  <si>
    <t>Max</t>
  </si>
  <si>
    <t>FSM and WW</t>
  </si>
  <si>
    <t>SWM</t>
  </si>
  <si>
    <t>Slum households with direct water supply network connection as percentage of total slum households in city.</t>
  </si>
  <si>
    <t>Extent of reuse and recycling of treated wastewater</t>
  </si>
  <si>
    <t>Waste collected by authorised service providers versus total waste generated excluding recycling/processing at generation point.</t>
  </si>
  <si>
    <t>Coverage of MSW services in city</t>
  </si>
  <si>
    <t>Percentage of households that are covered by a daily doorstep collection system.</t>
  </si>
  <si>
    <t>Percentage of slum households that are covered by a daily doorstep collection system.</t>
  </si>
  <si>
    <t>WW and FSM</t>
  </si>
  <si>
    <r>
      <rPr>
        <u/>
        <sz val="11"/>
        <color theme="3"/>
        <rFont val="Calibri"/>
        <family val="2"/>
      </rPr>
      <t>WATER SUPPLY:</t>
    </r>
    <r>
      <rPr>
        <sz val="11"/>
        <color theme="3"/>
        <rFont val="Calibri"/>
        <family val="2"/>
      </rPr>
      <t xml:space="preserve"> Water production, treatment, distribution, connections and taxes/charges</t>
    </r>
  </si>
  <si>
    <t>Instructions for using 
this sheet</t>
  </si>
  <si>
    <t xml:space="preserve">Storm Water </t>
  </si>
  <si>
    <t xml:space="preserve">Water Supply        </t>
  </si>
  <si>
    <t>Solid Waste Management</t>
  </si>
  <si>
    <t>FAECAL SLUDGE MANAGEMENT and WASTEWATER</t>
  </si>
  <si>
    <t xml:space="preserve">Key aspects of PIP </t>
  </si>
  <si>
    <t>Summary of PIP options</t>
  </si>
  <si>
    <t>Comparison of PIP options</t>
  </si>
  <si>
    <t>SUMMARY OF PIP OPTIONS</t>
  </si>
  <si>
    <t>SANIPLAN - A Performance Improvement Planning Model</t>
  </si>
  <si>
    <t>MODEL FOR PREPARATION OF PERFORMANCE IMPROVEMENT PLAN USING A S-PIP APPROACH</t>
  </si>
  <si>
    <t>PREPARATION OF A PERFORMANCE IMPROVEMENT PLAN</t>
  </si>
  <si>
    <t>PIP ACTION PLAN FINANCES</t>
  </si>
  <si>
    <t xml:space="preserve"> CAPITAL EXPENDITURE PLAN</t>
  </si>
  <si>
    <t xml:space="preserve"> OPERATING EXPENDITURE PLAN</t>
  </si>
  <si>
    <t xml:space="preserve">Service performance is assessed using a set of key indicators across five themes: coverage, equity, service levels, efficiency and financial sustainability. These include all the indicators from the Ministry of Urban Development's Service Level Benchmarking (SLB) Initiative. A few additional indicators address issues of equity and help capture onsite wastewater management options. This helps to review improvement priorities and plan for short and medium term improvements. Using the PAS data base to identify peer performance, users can compare and prioritise areas that require attention for service performance improvement. This assessment is supported in SANIPLAN through ‘traffic light analysis’ for all indicators. Cities can also track their performance over time to identify priorities. Such analysis provides a more informed basis for stakeholder consultations to identify areas of focus and priority. The key outcome of this stage is a vision for service delivery at the local government (LG) level and identification of targets for key performance areas. </t>
  </si>
  <si>
    <r>
      <t>LG share</t>
    </r>
    <r>
      <rPr>
        <sz val="11"/>
        <rFont val="Calibri"/>
        <family val="2"/>
        <scheme val="minor"/>
      </rPr>
      <t xml:space="preserve"> 
(% and Rs. lakhs)</t>
    </r>
  </si>
  <si>
    <t>LG share</t>
  </si>
  <si>
    <t>Debts</t>
  </si>
  <si>
    <t>Availability of budget (tick if available)</t>
  </si>
  <si>
    <t>Other receipts (non-tax + grants)</t>
  </si>
  <si>
    <t>Total revenue receipts</t>
  </si>
  <si>
    <t>WSS revenue and expenditure</t>
  </si>
  <si>
    <t>Water related taxes and charges</t>
  </si>
  <si>
    <t xml:space="preserve">Other receipts </t>
  </si>
  <si>
    <t>Revenue account expenditure</t>
  </si>
  <si>
    <t>Wastewater related taxes and charges</t>
  </si>
  <si>
    <t>Solid waste managenent</t>
  </si>
  <si>
    <t>SWM related taxes and charges</t>
  </si>
  <si>
    <t>NOTE : Estimate inflation rate based on average trend of last five years. Please refer to statistics published by Government of India (GoI) for the same. These Inflation rates shall be applied to all financial projections, therefore arrive at best possible estimates.</t>
  </si>
  <si>
    <t>Receipts from PIP Actions</t>
  </si>
  <si>
    <t>O&amp;M expenditure incurred from PIP actions</t>
  </si>
  <si>
    <t>Revenue account expenditure (BAU)</t>
  </si>
  <si>
    <t>Capital receipts (BAU)</t>
  </si>
  <si>
    <t>Capital expenditure (BAU)</t>
  </si>
  <si>
    <t>CapIn for PIP actions</t>
  </si>
  <si>
    <t>Total revenue account expenditure</t>
  </si>
  <si>
    <t>Total capital expenditure</t>
  </si>
  <si>
    <t>Total capital receipts</t>
  </si>
  <si>
    <t>FSM and Wastewater</t>
  </si>
  <si>
    <t>Non-WSS revenue and expenditure</t>
  </si>
  <si>
    <t>Other taxes (except WSS)</t>
  </si>
  <si>
    <t>FSM and WASTE WATER SERVICES</t>
  </si>
  <si>
    <t>Performance of FSM and Wastewater services</t>
  </si>
  <si>
    <t>None</t>
  </si>
  <si>
    <t>3. City fully covered with onsite sanitation system</t>
  </si>
  <si>
    <t>NA</t>
  </si>
  <si>
    <t>Other taxes and charges</t>
  </si>
  <si>
    <t>CapEx requirement of PIP actions</t>
  </si>
  <si>
    <t>- Estimated revenue generation from new toilets for LG, if converted to pay and use</t>
  </si>
  <si>
    <t>CAPITAL PLAN</t>
  </si>
  <si>
    <t>1. Income generated from PIP actions</t>
  </si>
  <si>
    <t xml:space="preserve">For identifying a financially sustainable improvement plan, it is important to assess the financial strength of service provider to sustain their existing operational expenditure and make new investments. This also includes wider municipal finance assessment. Financial viability is assessed in relation to the possibility of meeting capital expenditure through internal surplus, grants or external borrowing by the local government (LG). The assessment includes water and sanitation related revenues and expenditure as well as overall revenue and expenditures. SaniPlan links improvement actions across water and sanitation and helps simulate impact on service levels and on municipal finance (revenue, expenditure and surplus) over a ten year period to assess financial sustainability. 
Using SANIPLAN, several improvement options can be simulated and analysed in terms of their financial (capital and O&amp;M expenditure and additional revenue) implications. The financing plan for each citywide option is arrived at by assessing different sources for selected actions such as: likely availability of grants, internal resources to fund capital improvements from surplus and external borrowing and potential for private and household contributions. The Model also assesses possibility of sustainable external borrowing for capital investments. To assess the possibility of internal sources, financial assessment is done within a municipal finance framework where surplus on both water supply and sanitation (WSS) and non-WSS accounts is estimated after meeting the estimated resource requirements of other non-UWSS activities. Based on this overall assessment, the Model also enables users to iteratively assess tariff revisions needed in taxes and user charges to ensure financial sustainability. This provides important analysis and assessment for more informed decisions through stakeholder consultations. </t>
  </si>
  <si>
    <t>Wai</t>
  </si>
  <si>
    <t>Satara</t>
  </si>
  <si>
    <t>Ms Asha Raut</t>
  </si>
  <si>
    <t>cowai@gmail.com</t>
  </si>
  <si>
    <t>Mr Gaekwad</t>
  </si>
  <si>
    <t>For financial years that span over 2 calender years, mention the starting year. Ex for FY 2012-13, mention 2012</t>
  </si>
  <si>
    <t xml:space="preserve">Charges for emptying septic tank by LG </t>
  </si>
  <si>
    <t>Local Govt (LG)</t>
  </si>
  <si>
    <r>
      <t xml:space="preserve">Municipal finance information related to overall municipal account and separately for Water supply, FSM and wastewater and SWM services are to be filled here. To arrive at best trend estimates for municipal finance projections, past six years' budget figures are compiled for reference. For most of the cities, first four years' 'Actual' figures shall be available definitely. Last year's 'Actual' figures might not be available, hence provide 'Revised' estimates. Additionally, current year's budgeted figures shall be required to calibrate the Model. A table is provided below for specifying status of municipal budgets for each year.
Following are the Main Heads of Budget Items for which information has to be furnished:
A. </t>
    </r>
    <r>
      <rPr>
        <u/>
        <sz val="11"/>
        <color theme="3"/>
        <rFont val="Calibri"/>
        <family val="2"/>
      </rPr>
      <t>Revenue Account</t>
    </r>
    <r>
      <rPr>
        <sz val="11"/>
        <color theme="3"/>
        <rFont val="Calibri"/>
        <family val="2"/>
      </rPr>
      <t xml:space="preserve"> - Breakup of Revenue income and expenditure
B. </t>
    </r>
    <r>
      <rPr>
        <u/>
        <sz val="11"/>
        <color theme="3"/>
        <rFont val="Calibri"/>
        <family val="2"/>
      </rPr>
      <t>Capital Account</t>
    </r>
    <r>
      <rPr>
        <sz val="11"/>
        <color theme="3"/>
        <rFont val="Calibri"/>
        <family val="2"/>
      </rPr>
      <t xml:space="preserve"> - Breakup of Capital income and expenditure
C. </t>
    </r>
    <r>
      <rPr>
        <u/>
        <sz val="11"/>
        <color theme="3"/>
        <rFont val="Calibri"/>
        <family val="2"/>
      </rPr>
      <t>Extraordinary Account</t>
    </r>
    <r>
      <rPr>
        <sz val="11"/>
        <color theme="3"/>
        <rFont val="Calibri"/>
        <family val="2"/>
      </rPr>
      <t xml:space="preserve"> - Extraordinary income and expenditure
There may be cases of municipal budgets, principally not being aligned with the above three account type structure for budget item heads. Hence, it is necessary to first classify them properly for any analysis. It is suggested to re-classify the budget item heads as per their functions and then furnish recasted figures  for this Model. Accounting guidelines like National Municipal Accounts Manual (NMAM) can be refered for the same.
Demand and Collection statement for consolidated property tax and separately for each of the three sectors has to be filled in. All LGs have Demand Collection Balance (DCB) statements prepared every year by Tax Department for assessment and collection of taxes (which can be referred to fill this section). </t>
    </r>
  </si>
  <si>
    <t>Quantum of wastewater collected as percentage of normative sewage generation in the city.</t>
  </si>
  <si>
    <t>Extent to which city is able to recover all operating expenses of SWM services from operating revenue sources related exclusively to SWM.</t>
  </si>
  <si>
    <t>- Estimated revenue generation from refurbishing a toilet seat for LG, if converted to pay and use</t>
  </si>
  <si>
    <t>- Suction emptier trucks of LG</t>
  </si>
  <si>
    <t xml:space="preserve">- Selling price of treated wastewater, if sold commercially </t>
  </si>
  <si>
    <t>- Selling price of treated sewage, if sold commercially</t>
  </si>
  <si>
    <t>- Selling price of manure, if sold commercially</t>
  </si>
  <si>
    <t>- Selling price of treated wastewater, if sold commercially</t>
  </si>
  <si>
    <t>- Average number of trips by a suction emptier truck of LG</t>
  </si>
  <si>
    <t>- Suction emptier trucks of LG that need repair and maintenance</t>
  </si>
  <si>
    <t>- Cost of all repair and maintenance job of suction emptier trucks of LG</t>
  </si>
  <si>
    <t>- Additional revenue to be generated for LG by selling treated wastewater and septage, if any</t>
  </si>
  <si>
    <t>Suction emptier trucks of LG</t>
  </si>
  <si>
    <t>- Additional trucks to be procured by LG</t>
  </si>
  <si>
    <t>- Suction emptier trucks with LG at present</t>
  </si>
  <si>
    <t>- O&amp;M expenses for new trucks procured by LG</t>
  </si>
  <si>
    <t>- Block cost for a suction emptier truck to be procured by LG</t>
  </si>
  <si>
    <t>- Additional trips that can be made by a suction emptier truck of LG</t>
  </si>
  <si>
    <t>- O&amp;M expenses incurred for additional trips made by suction emptier trucks of LG</t>
  </si>
  <si>
    <t>Number of water supply related complaints redressed within time stipulated in service charter of LG as percentage of total water supply complaints.</t>
  </si>
  <si>
    <t>Total water supply operating expenditure as compared to total population in the city</t>
  </si>
  <si>
    <t>Total water supply operating expenditure as compared to total water produced by the city</t>
  </si>
  <si>
    <t>Extent to which LG is able to recover all operating expenses of SWM services from operating revenue sources related exclusively to SWM.</t>
  </si>
  <si>
    <t>Waste collected by LG and authorised service providers versus total waste generated excluding recycling/processing at generation point.</t>
  </si>
  <si>
    <t>Total solid waste revenue income as compared to total population in the city.</t>
  </si>
  <si>
    <t>Total solid waste operating expenditure as compared to total population in the city.</t>
  </si>
  <si>
    <t>Total solid waste operating expenditure as compared to total solid waste generated in the city</t>
  </si>
  <si>
    <t>Number of solid waste related complaints redressed within time stipulated in service charter of LG as percentage of total solid waste complaints.</t>
  </si>
  <si>
    <t>Total wastewater revenue income as compared to total population in the city.</t>
  </si>
  <si>
    <t>Total wastewater operating expenditure as compared to total population in the city.</t>
  </si>
  <si>
    <t>Total wastewater operating expenditure as compared to total wastewater generated in the city.</t>
  </si>
  <si>
    <t>Number of wastewater related complaints redressed within time stipulated in service charter of LG as percentage of total wastewater complaints.</t>
  </si>
  <si>
    <t>Total water supply revenue income as compared to total population in the city.</t>
  </si>
  <si>
    <t xml:space="preserve">This sheet enables the user to forecast Municipal Finance. This is necessary to assess financial strength of local government for sustaining present and planned services. The forecast is later aligned with financial implications of Action Plan. Forecast estimates of municipal finances for the full 10-year plan period will need to be prepared.  To support this forecast, past trends are made available using the information for the past five years as reported in the 'Finance Info' sheet. This allows the user to look at the past tends for making projections. The user must also provide apprpriate estimates of inflation rates for capital expenditure, O&amp;M expenditure and for revenue generation. 
For revenue account, the projections will relate to O&amp;M of present services. The impact of new proposals projects are captured in the sheet on 'Action Plan Finance'. Similarly, capital account projections here will relate only to the ongoing or approved projects. It should be noted that such projects must be calibrated in Action Plan as well, to reflect its impact on service levels. Thus, essentially this sheet reflects - 'Business As Usual (BAU)' scenario for Municipal Finances. Change from BAU would be captured by capturing the financial implications of Action Plan. This will be analyzed in the sheet 'Financing Plan'.  </t>
  </si>
  <si>
    <t>Measures to increase revenue from own income sources of LG</t>
  </si>
  <si>
    <t>4. Review of other taxes and charges levied by LG</t>
  </si>
  <si>
    <t>5. Introduce new tax</t>
  </si>
  <si>
    <t>Is flat rate based user charges levied for water supply services by LG?</t>
  </si>
  <si>
    <t>Are metered connections charged volumetrically by the LG?</t>
  </si>
  <si>
    <t>Is water benefit tax based levied?</t>
  </si>
  <si>
    <t>Are wastewater charges levied on flat rate basis?</t>
  </si>
  <si>
    <t>Are wastewater related taxes charged linked to property tax?</t>
  </si>
  <si>
    <t>Are water related taxes charged linked to property tax?</t>
  </si>
  <si>
    <t>Is sewerage user charges levied by LG?</t>
  </si>
  <si>
    <t>Are SWM related taxes charged linked to property tax?</t>
  </si>
  <si>
    <t>Are SWM charges levied on flat rate basis?</t>
  </si>
  <si>
    <t>This sheet enables the user to review the Action Plan Summary in terms of i) phasing, ii) yearly capital expenditure requirements and iii) yearly O&amp;M expenditure requirements and additional revenues generated  due to the Plan. It takes into account all the actions activated in developing the Waste Water-FSM Plan. The financial implication of each action is reported in terms of capital expenditure required to implement the action, it’s operational and maintenance expenses and additional revenue generated. This is reported year-wise for all the actions separately (Section II) as well as aggregated in the Financial Summary (Section I). 
Municipal projects are often funded through external funding sources such as government grants. Innovative approach could be explored in terms of private contributions through PPP mode. The beneficiary contribution is calculated on the basis of assumptions made for each action. This sheet allows the user to make initial decisions on sources of funds for capital expenditure for each selected action in the Action Plan. Under 'Sources of Funds', user has to mention percentage share of funding possible from: i) central government grants, ii) state government grants, iii) external debt by the local government or iv) Private sector through PPP.  Share of funding from beneficiary contribution is simulated from relevant actions from the WW Plan sheet. The local government share is then calculated as a residual. The implications of these funding decisions are then assessed in the sheet on Financing Plan. It helps assess the feasibility of debt and own funds by the local government.</t>
  </si>
  <si>
    <t>- Number of households with unsafe pit latrines connected to open/ closed drains</t>
  </si>
  <si>
    <t>- Number of households with septic tanks connected to unsafe open/ closed drains for effluent disposal</t>
  </si>
  <si>
    <t>Estimated number of households dependent on per community toilet seat (Households/seat)</t>
  </si>
  <si>
    <t>SANIPLAN facilitates planners and decision makers to assess implications of a proposed set of improvement actions and to arrive at a financially viable plan for improvements in delivery of local services for urban water supply, sanitation and solid waste management. It captures the cumulative impact due to a series of actions in the three sub-sectors and helps a review of their financial implications. The model also helps to compare improvement solutions across different options. This makes it easy for users to consider various choices in technology, phasing and financing, and to assess their impact on service levels and municipal finances. The model encourages the service providers to optimise utilisation of existing assets and start by choosing appropriate low-cost actions for service improvement.
The Model makes it easy for users to assess various options by quantifying the impact of each option on service delivery, revenues and costs and financing requirements. Several customised reports on service levels and financial impacts provided in the model help users to compare performance, costs and implications on municipal finance. The model also provides a multi-year activity plan and a financing plan for both capital and operation and maintenance (O&amp;M) expenditure requirements. Such detailed analysis for different options provides a basis for an informed debate during stakeholders’ consultations. Thus, use of SANIPLAN can support decision makers make optimal choices which are financially sustainable and improve service delivery. The improvement plans prepared using this approach are rooted in service level improvements, rather than focus only on new infrastructure.</t>
  </si>
  <si>
    <t>Demand, Collection and Balance statement</t>
  </si>
  <si>
    <t>Mr Gosavi</t>
  </si>
  <si>
    <t>Mr Bhushan Gaekwad</t>
  </si>
  <si>
    <t>Non-FSM revenue surplus</t>
  </si>
  <si>
    <t>3. FSM and Wastewater tax based on flat rate</t>
  </si>
  <si>
    <t>4. FSM and Wastewater tax linked to general property tax</t>
  </si>
  <si>
    <r>
      <t xml:space="preserve">Already approved FSM CapIn </t>
    </r>
    <r>
      <rPr>
        <sz val="14"/>
        <color theme="1"/>
        <rFont val="Calibri"/>
        <family val="2"/>
        <scheme val="minor"/>
      </rPr>
      <t>*</t>
    </r>
  </si>
  <si>
    <t>TRANSFER OF NON-FSM REVENUE SURPLUS FOR FSM EXPENSES - Past trends</t>
  </si>
  <si>
    <t>Transfer to FSM (%)</t>
  </si>
  <si>
    <t>Non-FSM CapIn surplus</t>
  </si>
  <si>
    <t>NON-FSM SURPLUS</t>
  </si>
  <si>
    <t>Non-FSM Revenue surplus</t>
  </si>
  <si>
    <t>FSM Capital account status</t>
  </si>
  <si>
    <t>Non-FSM Capital account status</t>
  </si>
  <si>
    <t xml:space="preserve">FSM  revenue surplus </t>
  </si>
  <si>
    <t xml:space="preserve">Propose allocation of surplus for FSM CapEx </t>
  </si>
  <si>
    <t>Back to O&amp;M Plan</t>
  </si>
  <si>
    <r>
      <t xml:space="preserve">Bad workmanship leads to leakages especially at joints, heavy load on the road may cause pipe breaks, etc.  By plugging such leaks, collection efficiency of the network can be improved. This will ensure that all wastewater reaches the treatment plant and reduce soil and groundwater pollution.
</t>
    </r>
    <r>
      <rPr>
        <sz val="11"/>
        <color theme="1"/>
        <rFont val="Calibri"/>
        <family val="2"/>
        <scheme val="minor"/>
      </rPr>
      <t>Also by getting more HHs connected to the sewer sytem will improve the collection efficiency at the treatment plant</t>
    </r>
  </si>
  <si>
    <t>FSM related taxes and charges</t>
  </si>
  <si>
    <t>FSM and Wastewater related taxes and charges</t>
  </si>
  <si>
    <t>upasana.yadav29@gmail.com</t>
  </si>
  <si>
    <t>WSS</t>
  </si>
  <si>
    <t>SUMMARY OF PIP  ACTION PLAN</t>
  </si>
  <si>
    <t>Actuals</t>
  </si>
  <si>
    <t>Budget estimates</t>
  </si>
  <si>
    <t>Revised estimates</t>
  </si>
  <si>
    <t>Availability and status of budgets</t>
  </si>
  <si>
    <t>1. Review number of properties assessed for taxation</t>
  </si>
  <si>
    <t xml:space="preserve">NON-WSS TAXES </t>
  </si>
  <si>
    <t xml:space="preserve">Expected year wise collection by levying the new tax </t>
  </si>
  <si>
    <t xml:space="preserve">TAXES AND CHARGES FOR WATER SUPPLY SERVICES </t>
  </si>
  <si>
    <t>FSM AND WASTEWATER TAXES AND CHARGES</t>
  </si>
  <si>
    <t>Summary of Septic Tanks</t>
  </si>
  <si>
    <t>Individual</t>
  </si>
  <si>
    <t>+</t>
  </si>
  <si>
    <t>Existing Septic Tanks + natural growth | BAU</t>
  </si>
  <si>
    <t>Septic tanks from new Individual toilets | PIP</t>
  </si>
  <si>
    <t>New toilets slum+nonslum</t>
  </si>
  <si>
    <t>New septic tanks from conversion | PIP</t>
  </si>
  <si>
    <t>Less septic tanks from sewerage  conversion</t>
  </si>
  <si>
    <t>Group</t>
  </si>
  <si>
    <t>New septic tanks from new grp toilets constructed | PIP</t>
  </si>
  <si>
    <t>NA (not considered in WW25)</t>
  </si>
  <si>
    <t>Community</t>
  </si>
  <si>
    <t>Existing Septic Tanks | BAU</t>
  </si>
  <si>
    <t>Septic tanks from new Community blocks | PIP</t>
  </si>
  <si>
    <t>NA (not considered in WW06)</t>
  </si>
  <si>
    <t>Public</t>
  </si>
  <si>
    <t>Septic tanks from new Public Toilet blocks | PIP</t>
  </si>
  <si>
    <t>NA (not considered in WW07)</t>
  </si>
  <si>
    <t>New septic tanks | PIP</t>
  </si>
  <si>
    <t>Total ST</t>
  </si>
  <si>
    <t>Total ST Chargeable</t>
  </si>
  <si>
    <t>Incidence</t>
  </si>
  <si>
    <t>Septic Tank Emptying Charges - Mode of Levying</t>
  </si>
  <si>
    <t>ULB Empties Septic Tank</t>
  </si>
  <si>
    <t>t=0</t>
  </si>
  <si>
    <t>t=1</t>
  </si>
  <si>
    <t>t=2</t>
  </si>
  <si>
    <t>No charge</t>
  </si>
  <si>
    <t>Emptying</t>
  </si>
  <si>
    <t>No shift</t>
  </si>
  <si>
    <t>Annual</t>
  </si>
  <si>
    <t>Shift NA</t>
  </si>
  <si>
    <t>Septic Tank Emptying charges: Levied At Emptying</t>
  </si>
  <si>
    <t>Septic Tank Emptying charges: Levied Annually</t>
  </si>
  <si>
    <t>PIP without Tariff revision</t>
  </si>
  <si>
    <t>+ in currnt year</t>
  </si>
  <si>
    <t>Linked from Sheet: Financing Plan, Rows 209:215</t>
  </si>
  <si>
    <t>PIP with Tariff revision</t>
  </si>
  <si>
    <t>Tariff escalated</t>
  </si>
  <si>
    <t>Start levying charges for emptying - Mode 1</t>
  </si>
  <si>
    <t>Start levying charges for emptying - Mode 2</t>
  </si>
  <si>
    <t>With PIP</t>
  </si>
  <si>
    <t>With tariff revisions</t>
  </si>
  <si>
    <t xml:space="preserve">can link it below if required. </t>
  </si>
  <si>
    <t>Septic tank emptying charges (when charged at the time of emptying)</t>
  </si>
  <si>
    <t>These will have to include added rows</t>
  </si>
  <si>
    <t>should this only at emptying, or total?</t>
  </si>
  <si>
    <t>adds PIP Finance F316. does it leaad to double counting PIP revenue? CHECK.</t>
  </si>
  <si>
    <t>The USEPA suggests 3-5 years , Govt. of India suggests a 2-3 years cleaning cycle</t>
  </si>
  <si>
    <t>NOTE: TO CALCULATE FINANCE INDICATORS, PLEASE FILL 'FINANCIAL PROJECTIONS' SHEET FIRST FOR FOERCASTING OF BUSINESS AS USUAL SCENARIO OF MUNICIPAL FINANCE.</t>
  </si>
  <si>
    <t>Summary</t>
  </si>
  <si>
    <t>TOTAL  WSS</t>
  </si>
  <si>
    <t>Name of PIP option</t>
  </si>
  <si>
    <t>PIP OPTION 1</t>
  </si>
  <si>
    <t>This option</t>
  </si>
  <si>
    <t>II. CUSTOMISE WEIGHTAGE</t>
  </si>
  <si>
    <t>WATER SUPPLY SECTOR INFORMATION</t>
  </si>
  <si>
    <t xml:space="preserve"> A Performance Improvement Planning Model</t>
  </si>
  <si>
    <t xml:space="preserve">Information related to water supply services has to be filled for the Base year. For each sector, details are to be captured across full ervice chain. Source of information, assumption if any or any other information related to entered values that other users of the model will need should be entered in remarks section. A list of information required is provided below: </t>
  </si>
  <si>
    <t>Water Profile and Planning tool</t>
  </si>
  <si>
    <t>Under SaniPlan tool</t>
  </si>
  <si>
    <t>WATER SUPPLY PERFORMANCE ASSESSMENT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</si>
</sst>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quot;#,##0.00_);[Red]\(&quot;$&quot;#,##0.00\)"/>
    <numFmt numFmtId="43" formatCode="_(* #,##0.00_);_(* \(#,##0.00\);_(* &quot;-&quot;??_);_(@_)"/>
    <numFmt numFmtId="164" formatCode="&quot;Rs.&quot;\ #,##0;[Red]&quot;Rs.&quot;\ \-#,##0"/>
    <numFmt numFmtId="165" formatCode="_-* #,##0.00_-;\-* #,##0.00_-;_-* &quot;-&quot;??_-;_-@_-"/>
    <numFmt numFmtId="166" formatCode="0.0"/>
    <numFmt numFmtId="167" formatCode="_(* #,##0_);_(* \(#,##0\);_(* &quot;-&quot;??_);_(@_)"/>
    <numFmt numFmtId="168" formatCode="0.0%"/>
    <numFmt numFmtId="169" formatCode="_(* #,##0.0_);_(* \(#,##0.0\);_(* &quot;-&quot;??_);_(@_)"/>
    <numFmt numFmtId="170" formatCode="_(* #,##0.000_);_(* \(#,##0.000\);_(* &quot;-&quot;??_);_(@_)"/>
    <numFmt numFmtId="171" formatCode="0.000000000000000%"/>
    <numFmt numFmtId="172" formatCode="_(* #,##0_);_(* \(#,##0\);_(* &quot;-&quot;?_);_(@_)"/>
    <numFmt numFmtId="173" formatCode="_(* #,##0.0000_);_(* \(#,##0.0000\);_(* &quot;-&quot;??_);_(@_)"/>
    <numFmt numFmtId="174" formatCode="_(* #,##0.00000_);_(* \(#,##0.00000\);_(* &quot;-&quot;??_);_(@_)"/>
    <numFmt numFmtId="175" formatCode="_ * #,##0_ ;_ * \-#,##0_ ;_ * &quot;-&quot;??_ ;_ @_ "/>
    <numFmt numFmtId="176" formatCode="0.000"/>
  </numFmts>
  <fonts count="321" x14ac:knownFonts="1">
    <font>
      <sz val="11"/>
      <color theme="1"/>
      <name val="Calibri"/>
      <family val="2"/>
      <scheme val="minor"/>
    </font>
    <font>
      <sz val="11"/>
      <name val="Calibri"/>
      <family val="2"/>
    </font>
    <font>
      <sz val="11"/>
      <name val="Calibri"/>
      <family val="2"/>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6"/>
      <color theme="0"/>
      <name val="Calibri"/>
      <family val="2"/>
      <scheme val="minor"/>
    </font>
    <font>
      <u/>
      <sz val="11"/>
      <color theme="10"/>
      <name val="Calibri"/>
      <family val="2"/>
    </font>
    <font>
      <b/>
      <i/>
      <sz val="11"/>
      <color theme="1"/>
      <name val="Calibri"/>
      <family val="2"/>
      <scheme val="minor"/>
    </font>
    <font>
      <b/>
      <sz val="14"/>
      <color theme="0"/>
      <name val="Calibri"/>
      <family val="2"/>
      <scheme val="minor"/>
    </font>
    <font>
      <b/>
      <sz val="11"/>
      <name val="Calibri"/>
      <family val="2"/>
      <scheme val="minor"/>
    </font>
    <font>
      <b/>
      <u/>
      <sz val="11"/>
      <color theme="8" tint="-0.249977111117893"/>
      <name val="Calibri"/>
      <family val="2"/>
      <scheme val="minor"/>
    </font>
    <font>
      <u/>
      <sz val="11"/>
      <color theme="1"/>
      <name val="Calibri"/>
      <family val="2"/>
      <scheme val="minor"/>
    </font>
    <font>
      <sz val="11"/>
      <color indexed="8"/>
      <name val="Calibri"/>
      <family val="2"/>
    </font>
    <font>
      <b/>
      <sz val="11"/>
      <color theme="8" tint="-0.249977111117893"/>
      <name val="Calibri"/>
      <family val="2"/>
      <scheme val="minor"/>
    </font>
    <font>
      <sz val="11"/>
      <name val="Calibri"/>
      <family val="2"/>
      <scheme val="minor"/>
    </font>
    <font>
      <b/>
      <sz val="10"/>
      <color theme="1"/>
      <name val="Calibri"/>
      <family val="2"/>
      <scheme val="minor"/>
    </font>
    <font>
      <sz val="10"/>
      <color theme="1"/>
      <name val="Calibri"/>
      <family val="2"/>
      <scheme val="minor"/>
    </font>
    <font>
      <b/>
      <sz val="12"/>
      <color theme="0"/>
      <name val="Calibri"/>
      <family val="2"/>
      <scheme val="minor"/>
    </font>
    <font>
      <b/>
      <sz val="16"/>
      <color theme="5" tint="-0.249977111117893"/>
      <name val="Calibri"/>
      <family val="2"/>
      <scheme val="minor"/>
    </font>
    <font>
      <i/>
      <sz val="11"/>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sz val="9"/>
      <color theme="1"/>
      <name val="Calibri"/>
      <family val="2"/>
      <scheme val="minor"/>
    </font>
    <font>
      <b/>
      <u/>
      <sz val="11"/>
      <color indexed="49"/>
      <name val="Calibri"/>
      <family val="2"/>
    </font>
    <font>
      <u/>
      <sz val="11"/>
      <color indexed="8"/>
      <name val="Calibri"/>
      <family val="2"/>
    </font>
    <font>
      <b/>
      <sz val="11"/>
      <color indexed="9"/>
      <name val="Calibri"/>
      <family val="2"/>
    </font>
    <font>
      <sz val="11"/>
      <color theme="4" tint="-0.499984740745262"/>
      <name val="Calibri"/>
      <family val="2"/>
      <scheme val="minor"/>
    </font>
    <font>
      <i/>
      <sz val="11"/>
      <color theme="4"/>
      <name val="Calibri"/>
      <family val="2"/>
      <scheme val="minor"/>
    </font>
    <font>
      <i/>
      <sz val="10"/>
      <color theme="4"/>
      <name val="Calibri"/>
      <family val="2"/>
      <scheme val="minor"/>
    </font>
    <font>
      <sz val="11"/>
      <color theme="4"/>
      <name val="Calibri"/>
      <family val="2"/>
      <scheme val="minor"/>
    </font>
    <font>
      <b/>
      <sz val="16"/>
      <color theme="3" tint="-0.249977111117893"/>
      <name val="Calibri"/>
      <family val="2"/>
      <scheme val="minor"/>
    </font>
    <font>
      <sz val="11"/>
      <color theme="3" tint="-0.249977111117893"/>
      <name val="Calibri"/>
      <family val="2"/>
      <scheme val="minor"/>
    </font>
    <font>
      <sz val="10"/>
      <name val="Calibri"/>
      <family val="2"/>
      <scheme val="minor"/>
    </font>
    <font>
      <b/>
      <sz val="10"/>
      <name val="Calibri"/>
      <family val="2"/>
      <scheme val="minor"/>
    </font>
    <font>
      <b/>
      <sz val="11"/>
      <color rgb="FFFF0000"/>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0"/>
      <color theme="0"/>
      <name val="Calibri"/>
      <family val="2"/>
      <scheme val="minor"/>
    </font>
    <font>
      <sz val="14"/>
      <color theme="1"/>
      <name val="Calibri"/>
      <family val="2"/>
      <scheme val="minor"/>
    </font>
    <font>
      <b/>
      <sz val="20"/>
      <color theme="0"/>
      <name val="Calibri"/>
      <family val="2"/>
      <scheme val="minor"/>
    </font>
    <font>
      <b/>
      <sz val="11"/>
      <color theme="4"/>
      <name val="Calibri"/>
      <family val="2"/>
      <scheme val="minor"/>
    </font>
    <font>
      <b/>
      <sz val="12"/>
      <name val="Calibri"/>
      <family val="2"/>
      <scheme val="minor"/>
    </font>
    <font>
      <u/>
      <sz val="11"/>
      <color theme="4" tint="-0.249977111117893"/>
      <name val="Calibri"/>
      <family val="2"/>
      <scheme val="minor"/>
    </font>
    <font>
      <sz val="12"/>
      <name val="Calibri"/>
      <family val="2"/>
      <scheme val="minor"/>
    </font>
    <font>
      <i/>
      <sz val="12"/>
      <name val="Calibri"/>
      <family val="2"/>
      <scheme val="minor"/>
    </font>
    <font>
      <i/>
      <sz val="10"/>
      <color theme="1"/>
      <name val="Calibri"/>
      <family val="2"/>
      <scheme val="minor"/>
    </font>
    <font>
      <sz val="12"/>
      <color theme="0"/>
      <name val="Calibri"/>
      <family val="2"/>
      <scheme val="minor"/>
    </font>
    <font>
      <b/>
      <sz val="14"/>
      <name val="Calibri"/>
      <family val="2"/>
      <scheme val="minor"/>
    </font>
    <font>
      <sz val="11"/>
      <name val="Calibri"/>
      <family val="2"/>
    </font>
    <font>
      <u/>
      <sz val="11"/>
      <name val="Calibri"/>
      <family val="2"/>
    </font>
    <font>
      <b/>
      <sz val="10"/>
      <color theme="1"/>
      <name val="Arial Black"/>
      <family val="2"/>
    </font>
    <font>
      <sz val="11"/>
      <color rgb="FF00B0F0"/>
      <name val="Calibri"/>
      <family val="2"/>
      <scheme val="minor"/>
    </font>
    <font>
      <sz val="8"/>
      <color theme="4"/>
      <name val="Calibri"/>
      <family val="2"/>
      <scheme val="minor"/>
    </font>
    <font>
      <b/>
      <sz val="8"/>
      <color theme="4"/>
      <name val="Calibri"/>
      <family val="2"/>
      <scheme val="minor"/>
    </font>
    <font>
      <sz val="8"/>
      <color theme="1"/>
      <name val="Calibri"/>
      <family val="2"/>
      <scheme val="minor"/>
    </font>
    <font>
      <sz val="9"/>
      <color theme="4"/>
      <name val="Calibri"/>
      <family val="2"/>
      <scheme val="minor"/>
    </font>
    <font>
      <b/>
      <sz val="9"/>
      <color theme="4"/>
      <name val="Calibri"/>
      <family val="2"/>
      <scheme val="minor"/>
    </font>
    <font>
      <b/>
      <sz val="8"/>
      <name val="Calibri"/>
      <family val="2"/>
      <scheme val="minor"/>
    </font>
    <font>
      <b/>
      <sz val="9"/>
      <name val="Calibri"/>
      <family val="2"/>
      <scheme val="minor"/>
    </font>
    <font>
      <b/>
      <sz val="11"/>
      <name val="Calibri"/>
      <family val="2"/>
    </font>
    <font>
      <sz val="12"/>
      <color rgb="FFFF0000"/>
      <name val="Calibri"/>
      <family val="2"/>
      <scheme val="minor"/>
    </font>
    <font>
      <b/>
      <sz val="8"/>
      <color theme="1"/>
      <name val="Calibri"/>
      <family val="2"/>
      <scheme val="minor"/>
    </font>
    <font>
      <sz val="8"/>
      <name val="Calibri"/>
      <family val="2"/>
      <scheme val="minor"/>
    </font>
    <font>
      <sz val="9"/>
      <name val="Calibri"/>
      <family val="2"/>
      <scheme val="minor"/>
    </font>
    <font>
      <b/>
      <i/>
      <sz val="11"/>
      <name val="Calibri"/>
      <family val="2"/>
      <scheme val="minor"/>
    </font>
    <font>
      <i/>
      <sz val="9"/>
      <name val="Calibri"/>
      <family val="2"/>
      <scheme val="minor"/>
    </font>
    <font>
      <sz val="9"/>
      <color rgb="FFFF0000"/>
      <name val="Calibri"/>
      <family val="2"/>
      <scheme val="minor"/>
    </font>
    <font>
      <i/>
      <sz val="11"/>
      <name val="Calibri"/>
      <family val="2"/>
      <scheme val="minor"/>
    </font>
    <font>
      <i/>
      <sz val="8"/>
      <name val="Calibri"/>
      <family val="2"/>
      <scheme val="minor"/>
    </font>
    <font>
      <b/>
      <i/>
      <sz val="8"/>
      <name val="Calibri"/>
      <family val="2"/>
      <scheme val="minor"/>
    </font>
    <font>
      <b/>
      <i/>
      <sz val="9"/>
      <name val="Calibri"/>
      <family val="2"/>
      <scheme val="minor"/>
    </font>
    <font>
      <b/>
      <i/>
      <u/>
      <sz val="11"/>
      <color indexed="49"/>
      <name val="Calibri"/>
      <family val="2"/>
    </font>
    <font>
      <i/>
      <u/>
      <sz val="11"/>
      <color indexed="8"/>
      <name val="Calibri"/>
      <family val="2"/>
    </font>
    <font>
      <i/>
      <sz val="8"/>
      <color theme="4"/>
      <name val="Calibri"/>
      <family val="2"/>
      <scheme val="minor"/>
    </font>
    <font>
      <b/>
      <i/>
      <sz val="11"/>
      <color indexed="9"/>
      <name val="Calibri"/>
      <family val="2"/>
    </font>
    <font>
      <b/>
      <i/>
      <sz val="8"/>
      <color theme="0"/>
      <name val="Calibri"/>
      <family val="2"/>
    </font>
    <font>
      <b/>
      <sz val="11"/>
      <color theme="0"/>
      <name val="Calibri"/>
      <family val="2"/>
    </font>
    <font>
      <b/>
      <sz val="8"/>
      <color theme="0"/>
      <name val="Calibri"/>
      <family val="2"/>
    </font>
    <font>
      <b/>
      <sz val="18"/>
      <color theme="0"/>
      <name val="Calibri"/>
      <family val="2"/>
      <scheme val="minor"/>
    </font>
    <font>
      <b/>
      <sz val="16"/>
      <name val="Calibri"/>
      <family val="2"/>
      <scheme val="minor"/>
    </font>
    <font>
      <sz val="10"/>
      <color theme="4"/>
      <name val="Calibri"/>
      <family val="2"/>
      <scheme val="minor"/>
    </font>
    <font>
      <b/>
      <sz val="10"/>
      <color theme="4"/>
      <name val="Calibri"/>
      <family val="2"/>
      <scheme val="minor"/>
    </font>
    <font>
      <i/>
      <sz val="10"/>
      <name val="Calibri"/>
      <family val="2"/>
      <scheme val="minor"/>
    </font>
    <font>
      <u/>
      <sz val="11"/>
      <color rgb="FFFF0000"/>
      <name val="Calibri"/>
      <family val="2"/>
    </font>
    <font>
      <i/>
      <sz val="10"/>
      <color rgb="FFFF0000"/>
      <name val="Calibri"/>
      <family val="2"/>
      <scheme val="minor"/>
    </font>
    <font>
      <sz val="11"/>
      <color theme="1"/>
      <name val="Calibri"/>
      <family val="2"/>
    </font>
    <font>
      <b/>
      <sz val="11"/>
      <color rgb="FFFF0000"/>
      <name val="Calibri"/>
      <family val="2"/>
    </font>
    <font>
      <sz val="10"/>
      <color rgb="FFFF0000"/>
      <name val="Calibri"/>
      <family val="2"/>
      <scheme val="minor"/>
    </font>
    <font>
      <b/>
      <sz val="14"/>
      <color theme="3" tint="-0.249977111117893"/>
      <name val="Calibri"/>
      <family val="2"/>
      <scheme val="minor"/>
    </font>
    <font>
      <sz val="22"/>
      <color theme="1"/>
      <name val="Calibri"/>
      <family val="2"/>
      <scheme val="minor"/>
    </font>
    <font>
      <b/>
      <sz val="22"/>
      <color theme="3" tint="-0.249977111117893"/>
      <name val="Calibri"/>
      <family val="2"/>
      <scheme val="minor"/>
    </font>
    <font>
      <b/>
      <sz val="20"/>
      <color theme="3" tint="-0.249977111117893"/>
      <name val="Arial Black"/>
      <family val="2"/>
    </font>
    <font>
      <b/>
      <sz val="10"/>
      <color theme="5" tint="-0.249977111117893"/>
      <name val="Calibri"/>
      <family val="2"/>
      <scheme val="minor"/>
    </font>
    <font>
      <b/>
      <sz val="10"/>
      <color theme="3" tint="-0.249977111117893"/>
      <name val="Arial Black"/>
      <family val="2"/>
    </font>
    <font>
      <sz val="11"/>
      <color rgb="FF000000"/>
      <name val="Calibri"/>
      <family val="2"/>
    </font>
    <font>
      <b/>
      <sz val="11"/>
      <color theme="1"/>
      <name val="Calibri"/>
      <family val="2"/>
    </font>
    <font>
      <b/>
      <sz val="24"/>
      <color theme="0"/>
      <name val="Franklin Gothic Demi"/>
      <family val="2"/>
    </font>
    <font>
      <sz val="14"/>
      <color theme="0"/>
      <name val="Calibri"/>
      <family val="2"/>
      <scheme val="minor"/>
    </font>
    <font>
      <b/>
      <sz val="14"/>
      <color theme="0"/>
      <name val="Calibri"/>
      <family val="2"/>
    </font>
    <font>
      <b/>
      <sz val="18"/>
      <color theme="0"/>
      <name val="Calibri"/>
      <family val="2"/>
    </font>
    <font>
      <sz val="16"/>
      <color theme="0"/>
      <name val="Calibri"/>
      <family val="2"/>
      <scheme val="minor"/>
    </font>
    <font>
      <sz val="16"/>
      <color theme="1"/>
      <name val="Calibri"/>
      <family val="2"/>
      <scheme val="minor"/>
    </font>
    <font>
      <i/>
      <sz val="12"/>
      <color theme="0"/>
      <name val="Calibri"/>
      <family val="2"/>
    </font>
    <font>
      <b/>
      <sz val="18"/>
      <color theme="3"/>
      <name val="Calibri"/>
      <family val="2"/>
      <scheme val="minor"/>
    </font>
    <font>
      <b/>
      <sz val="16"/>
      <color theme="0"/>
      <name val="Calibri"/>
      <family val="2"/>
    </font>
    <font>
      <b/>
      <sz val="12"/>
      <color theme="0"/>
      <name val="Calibri"/>
      <family val="2"/>
    </font>
    <font>
      <b/>
      <sz val="16"/>
      <color theme="3"/>
      <name val="Calibri"/>
      <family val="2"/>
      <scheme val="minor"/>
    </font>
    <font>
      <b/>
      <sz val="28"/>
      <color theme="0"/>
      <name val="Franklin Gothic Demi"/>
      <family val="2"/>
    </font>
    <font>
      <b/>
      <sz val="22"/>
      <color theme="0"/>
      <name val="Calibri"/>
      <family val="2"/>
      <scheme val="minor"/>
    </font>
    <font>
      <b/>
      <sz val="20"/>
      <color theme="0"/>
      <name val="Calibri"/>
      <family val="2"/>
    </font>
    <font>
      <b/>
      <sz val="20"/>
      <color theme="3"/>
      <name val="Calibri"/>
      <family val="2"/>
      <scheme val="minor"/>
    </font>
    <font>
      <sz val="18"/>
      <color theme="1"/>
      <name val="Calibri"/>
      <family val="2"/>
      <scheme val="minor"/>
    </font>
    <font>
      <i/>
      <sz val="16"/>
      <color theme="0"/>
      <name val="Calibri"/>
      <family val="2"/>
    </font>
    <font>
      <b/>
      <sz val="22"/>
      <color theme="3" tint="-0.249977111117893"/>
      <name val="Arial"/>
      <family val="2"/>
    </font>
    <font>
      <b/>
      <sz val="32"/>
      <color theme="0"/>
      <name val="Franklin Gothic Demi"/>
      <family val="2"/>
    </font>
    <font>
      <b/>
      <sz val="12"/>
      <color rgb="FFFF0000"/>
      <name val="Calibri"/>
      <family val="2"/>
      <scheme val="minor"/>
    </font>
    <font>
      <sz val="14"/>
      <name val="Calibri"/>
      <family val="2"/>
      <scheme val="minor"/>
    </font>
    <font>
      <i/>
      <sz val="14"/>
      <name val="Calibri"/>
      <family val="2"/>
      <scheme val="minor"/>
    </font>
    <font>
      <i/>
      <sz val="12"/>
      <color rgb="FFFF0000"/>
      <name val="Calibri"/>
      <family val="2"/>
    </font>
    <font>
      <sz val="20"/>
      <color theme="1"/>
      <name val="Calibri"/>
      <family val="2"/>
      <scheme val="minor"/>
    </font>
    <font>
      <b/>
      <sz val="20"/>
      <color theme="3" tint="-0.249977111117893"/>
      <name val="Calibri"/>
      <family val="2"/>
      <scheme val="minor"/>
    </font>
    <font>
      <b/>
      <sz val="18"/>
      <color theme="3" tint="-0.249977111117893"/>
      <name val="Arial"/>
      <family val="2"/>
    </font>
    <font>
      <b/>
      <sz val="16"/>
      <color theme="3" tint="-0.249977111117893"/>
      <name val="Arial"/>
      <family val="2"/>
    </font>
    <font>
      <sz val="11"/>
      <color theme="7"/>
      <name val="Calibri"/>
      <family val="2"/>
      <scheme val="minor"/>
    </font>
    <font>
      <b/>
      <sz val="11"/>
      <color theme="7"/>
      <name val="Calibri"/>
      <family val="2"/>
    </font>
    <font>
      <b/>
      <sz val="11"/>
      <color theme="7"/>
      <name val="Calibri"/>
      <family val="2"/>
      <scheme val="minor"/>
    </font>
    <font>
      <i/>
      <sz val="12"/>
      <color theme="3"/>
      <name val="Calibri"/>
      <family val="2"/>
    </font>
    <font>
      <sz val="14"/>
      <color theme="3"/>
      <name val="Calibri"/>
      <family val="2"/>
      <scheme val="minor"/>
    </font>
    <font>
      <sz val="11"/>
      <color theme="3"/>
      <name val="Calibri"/>
      <family val="2"/>
      <scheme val="minor"/>
    </font>
    <font>
      <b/>
      <i/>
      <u/>
      <sz val="11"/>
      <color theme="3"/>
      <name val="Calibri"/>
      <family val="2"/>
      <scheme val="minor"/>
    </font>
    <font>
      <sz val="11"/>
      <color theme="3"/>
      <name val="Calibri"/>
      <family val="2"/>
    </font>
    <font>
      <b/>
      <i/>
      <u/>
      <sz val="12"/>
      <color theme="3"/>
      <name val="Calibri"/>
      <family val="2"/>
      <scheme val="minor"/>
    </font>
    <font>
      <i/>
      <sz val="11"/>
      <color theme="0"/>
      <name val="Calibri"/>
      <family val="2"/>
      <scheme val="minor"/>
    </font>
    <font>
      <b/>
      <sz val="19"/>
      <color theme="3" tint="-0.249977111117893"/>
      <name val="Arial"/>
      <family val="2"/>
    </font>
    <font>
      <sz val="19"/>
      <color theme="1"/>
      <name val="Calibri"/>
      <family val="2"/>
      <scheme val="minor"/>
    </font>
    <font>
      <i/>
      <sz val="12"/>
      <color theme="0"/>
      <name val="Calibri"/>
      <family val="2"/>
      <scheme val="minor"/>
    </font>
    <font>
      <sz val="12"/>
      <color theme="1"/>
      <name val="Palatino Linotype"/>
      <family val="2"/>
    </font>
    <font>
      <sz val="10"/>
      <color theme="1"/>
      <name val="Palatino Linotype"/>
      <family val="2"/>
    </font>
    <font>
      <vertAlign val="superscript"/>
      <sz val="11"/>
      <name val="Calibri"/>
      <family val="2"/>
      <scheme val="minor"/>
    </font>
    <font>
      <b/>
      <sz val="36"/>
      <color theme="0"/>
      <name val="Franklin Gothic Demi"/>
      <family val="2"/>
    </font>
    <font>
      <b/>
      <sz val="24"/>
      <color theme="0"/>
      <name val="Calibri"/>
      <family val="2"/>
      <scheme val="minor"/>
    </font>
    <font>
      <b/>
      <sz val="22"/>
      <color theme="0"/>
      <name val="Calibri"/>
      <family val="2"/>
    </font>
    <font>
      <i/>
      <sz val="10"/>
      <color theme="3"/>
      <name val="Calibri"/>
      <family val="2"/>
      <scheme val="minor"/>
    </font>
    <font>
      <i/>
      <sz val="16"/>
      <color theme="0"/>
      <name val="Calibri"/>
      <family val="2"/>
      <scheme val="minor"/>
    </font>
    <font>
      <sz val="13"/>
      <color theme="1"/>
      <name val="Calibri"/>
      <family val="2"/>
      <scheme val="minor"/>
    </font>
    <font>
      <sz val="13"/>
      <name val="Calibri"/>
      <family val="2"/>
      <scheme val="minor"/>
    </font>
    <font>
      <b/>
      <sz val="10"/>
      <name val="Palatino Linotype"/>
      <family val="1"/>
    </font>
    <font>
      <sz val="10"/>
      <name val="Palatino Linotype"/>
      <family val="1"/>
    </font>
    <font>
      <b/>
      <sz val="11"/>
      <name val="Palatino Linotype"/>
      <family val="1"/>
    </font>
    <font>
      <i/>
      <sz val="11"/>
      <color theme="3"/>
      <name val="Calibri"/>
      <family val="2"/>
      <scheme val="minor"/>
    </font>
    <font>
      <b/>
      <sz val="12"/>
      <color theme="3" tint="-0.249977111117893"/>
      <name val="Calibri"/>
      <family val="2"/>
      <scheme val="minor"/>
    </font>
    <font>
      <sz val="12"/>
      <color theme="3" tint="-0.249977111117893"/>
      <name val="Calibri"/>
      <family val="2"/>
      <scheme val="minor"/>
    </font>
    <font>
      <u/>
      <sz val="12"/>
      <color theme="10"/>
      <name val="Calibri"/>
      <family val="2"/>
      <scheme val="minor"/>
    </font>
    <font>
      <b/>
      <sz val="23"/>
      <color theme="0"/>
      <name val="Franklin Gothic Demi"/>
      <family val="2"/>
    </font>
    <font>
      <i/>
      <sz val="11"/>
      <color rgb="FFFF0000"/>
      <name val="Calibri"/>
      <family val="2"/>
    </font>
    <font>
      <b/>
      <sz val="14"/>
      <color theme="3"/>
      <name val="Calibri"/>
      <family val="2"/>
      <scheme val="minor"/>
    </font>
    <font>
      <sz val="11"/>
      <color theme="1" tint="0.499984740745262"/>
      <name val="Calibri"/>
      <family val="2"/>
      <scheme val="minor"/>
    </font>
    <font>
      <sz val="13"/>
      <color rgb="FFFF0000"/>
      <name val="Calibri"/>
      <family val="2"/>
      <scheme val="minor"/>
    </font>
    <font>
      <b/>
      <sz val="13"/>
      <name val="Calibri"/>
      <family val="2"/>
      <scheme val="minor"/>
    </font>
    <font>
      <b/>
      <sz val="11"/>
      <color theme="3"/>
      <name val="Calibri"/>
      <family val="2"/>
      <scheme val="minor"/>
    </font>
    <font>
      <b/>
      <sz val="17"/>
      <color theme="0"/>
      <name val="Calibri"/>
      <family val="2"/>
      <scheme val="minor"/>
    </font>
    <font>
      <b/>
      <sz val="11"/>
      <color theme="0" tint="-0.14999847407452621"/>
      <name val="Calibri"/>
      <family val="2"/>
      <scheme val="minor"/>
    </font>
    <font>
      <b/>
      <sz val="12"/>
      <color theme="3"/>
      <name val="Calibri"/>
      <family val="2"/>
      <scheme val="minor"/>
    </font>
    <font>
      <b/>
      <u/>
      <sz val="14"/>
      <name val="Calibri"/>
      <family val="2"/>
      <scheme val="minor"/>
    </font>
    <font>
      <sz val="22"/>
      <color theme="3" tint="-0.249977111117893"/>
      <name val="Calibri"/>
      <family val="2"/>
      <scheme val="minor"/>
    </font>
    <font>
      <b/>
      <sz val="11"/>
      <color theme="3" tint="-0.249977111117893"/>
      <name val="Calibri"/>
      <family val="2"/>
      <scheme val="minor"/>
    </font>
    <font>
      <i/>
      <u/>
      <sz val="10"/>
      <color theme="1"/>
      <name val="Calibri"/>
      <family val="2"/>
      <scheme val="minor"/>
    </font>
    <font>
      <i/>
      <u/>
      <sz val="10"/>
      <name val="Calibri"/>
      <family val="2"/>
      <scheme val="minor"/>
    </font>
    <font>
      <b/>
      <i/>
      <sz val="11"/>
      <color theme="4"/>
      <name val="Calibri"/>
      <family val="2"/>
      <scheme val="minor"/>
    </font>
    <font>
      <b/>
      <sz val="20"/>
      <color theme="4" tint="-0.249977111117893"/>
      <name val="Calibri"/>
      <family val="2"/>
      <scheme val="minor"/>
    </font>
    <font>
      <i/>
      <sz val="9"/>
      <color theme="1"/>
      <name val="Calibri"/>
      <family val="2"/>
      <scheme val="minor"/>
    </font>
    <font>
      <sz val="9"/>
      <color theme="0" tint="-0.34998626667073579"/>
      <name val="Calibri"/>
      <family val="2"/>
      <scheme val="minor"/>
    </font>
    <font>
      <i/>
      <u/>
      <sz val="11"/>
      <color theme="10"/>
      <name val="Calibri"/>
      <family val="2"/>
    </font>
    <font>
      <sz val="8"/>
      <color rgb="FF000000"/>
      <name val="Tahoma"/>
      <family val="2"/>
    </font>
    <font>
      <b/>
      <sz val="18"/>
      <color theme="0"/>
      <name val="Franklin Gothic Demi"/>
      <family val="2"/>
    </font>
    <font>
      <b/>
      <sz val="20"/>
      <color theme="0"/>
      <name val="Franklin Gothic Demi"/>
      <family val="2"/>
    </font>
    <font>
      <b/>
      <sz val="13"/>
      <color theme="0"/>
      <name val="Calibri"/>
      <family val="2"/>
      <scheme val="minor"/>
    </font>
    <font>
      <sz val="10"/>
      <color theme="0"/>
      <name val="Calibri"/>
      <family val="2"/>
      <scheme val="minor"/>
    </font>
    <font>
      <sz val="11"/>
      <color theme="0"/>
      <name val="Calibri"/>
      <family val="2"/>
    </font>
    <font>
      <sz val="11"/>
      <color indexed="9"/>
      <name val="Calibri"/>
      <family val="2"/>
    </font>
    <font>
      <b/>
      <sz val="18"/>
      <name val="Calibri"/>
      <family val="2"/>
      <scheme val="minor"/>
    </font>
    <font>
      <sz val="11"/>
      <color theme="0" tint="-0.499984740745262"/>
      <name val="Calibri"/>
      <family val="2"/>
      <scheme val="minor"/>
    </font>
    <font>
      <b/>
      <i/>
      <sz val="11"/>
      <color theme="3"/>
      <name val="Calibri"/>
      <family val="2"/>
      <scheme val="minor"/>
    </font>
    <font>
      <strike/>
      <sz val="11"/>
      <color theme="1"/>
      <name val="Calibri"/>
      <family val="2"/>
      <scheme val="minor"/>
    </font>
    <font>
      <b/>
      <sz val="9"/>
      <color theme="1"/>
      <name val="Calibri"/>
      <family val="2"/>
      <scheme val="minor"/>
    </font>
    <font>
      <b/>
      <sz val="11"/>
      <color theme="4"/>
      <name val="Calibri"/>
      <family val="2"/>
    </font>
    <font>
      <i/>
      <sz val="12"/>
      <color theme="1"/>
      <name val="Calibri"/>
      <family val="2"/>
      <scheme val="minor"/>
    </font>
    <font>
      <b/>
      <sz val="14"/>
      <color rgb="FFFF0000"/>
      <name val="Calibri"/>
      <family val="2"/>
      <scheme val="minor"/>
    </font>
    <font>
      <i/>
      <sz val="16"/>
      <color theme="1"/>
      <name val="Calibri"/>
      <family val="2"/>
      <scheme val="minor"/>
    </font>
    <font>
      <b/>
      <sz val="19"/>
      <color theme="0"/>
      <name val="Franklin Gothic Demi"/>
      <family val="2"/>
    </font>
    <font>
      <b/>
      <i/>
      <sz val="12"/>
      <color theme="3"/>
      <name val="Calibri"/>
      <family val="2"/>
      <scheme val="minor"/>
    </font>
    <font>
      <i/>
      <sz val="14"/>
      <color theme="0"/>
      <name val="Calibri"/>
      <family val="2"/>
    </font>
    <font>
      <b/>
      <sz val="14"/>
      <color theme="3" tint="-0.249977111117893"/>
      <name val="Arial"/>
      <family val="2"/>
    </font>
    <font>
      <sz val="11"/>
      <color theme="0" tint="-0.34998626667073579"/>
      <name val="Calibri"/>
      <family val="2"/>
      <scheme val="minor"/>
    </font>
    <font>
      <sz val="10"/>
      <color theme="0" tint="-0.499984740745262"/>
      <name val="Calibri"/>
      <family val="2"/>
      <scheme val="minor"/>
    </font>
    <font>
      <sz val="11"/>
      <color rgb="FFFFC000"/>
      <name val="Calibri"/>
      <family val="2"/>
      <scheme val="minor"/>
    </font>
    <font>
      <sz val="11"/>
      <color rgb="FF92D050"/>
      <name val="Calibri"/>
      <family val="2"/>
      <scheme val="minor"/>
    </font>
    <font>
      <b/>
      <sz val="11"/>
      <color theme="3" tint="-0.249977111117893"/>
      <name val="Arial"/>
      <family val="2"/>
    </font>
    <font>
      <sz val="10"/>
      <color theme="1" tint="0.34998626667073579"/>
      <name val="Calibri"/>
      <family val="2"/>
      <scheme val="minor"/>
    </font>
    <font>
      <b/>
      <u/>
      <sz val="12"/>
      <color theme="1"/>
      <name val="Calibri"/>
      <family val="2"/>
      <scheme val="minor"/>
    </font>
    <font>
      <u/>
      <sz val="11"/>
      <name val="Calibri"/>
      <family val="2"/>
      <scheme val="minor"/>
    </font>
    <font>
      <b/>
      <sz val="20"/>
      <color theme="3" tint="-0.249977111117893"/>
      <name val="Arial"/>
      <family val="2"/>
    </font>
    <font>
      <b/>
      <sz val="14"/>
      <color rgb="FF990000"/>
      <name val="Trebuchet MS"/>
      <family val="2"/>
    </font>
    <font>
      <b/>
      <sz val="11"/>
      <color rgb="FFDE0000"/>
      <name val="Calibri"/>
      <family val="2"/>
      <scheme val="minor"/>
    </font>
    <font>
      <b/>
      <sz val="11"/>
      <color theme="9" tint="-0.249977111117893"/>
      <name val="Calibri"/>
      <family val="2"/>
      <scheme val="minor"/>
    </font>
    <font>
      <b/>
      <sz val="11"/>
      <color rgb="FF008A3E"/>
      <name val="Calibri"/>
      <family val="2"/>
      <scheme val="minor"/>
    </font>
    <font>
      <sz val="10"/>
      <color theme="1" tint="0.499984740745262"/>
      <name val="Calibri"/>
      <family val="2"/>
      <scheme val="minor"/>
    </font>
    <font>
      <b/>
      <u/>
      <sz val="11"/>
      <color theme="3"/>
      <name val="Calibri"/>
      <family val="2"/>
      <scheme val="minor"/>
    </font>
    <font>
      <vertAlign val="superscript"/>
      <sz val="14"/>
      <color theme="1"/>
      <name val="Calibri"/>
      <family val="2"/>
      <scheme val="minor"/>
    </font>
    <font>
      <i/>
      <vertAlign val="superscript"/>
      <sz val="14"/>
      <name val="Calibri"/>
      <family val="2"/>
      <scheme val="minor"/>
    </font>
    <font>
      <b/>
      <i/>
      <sz val="12"/>
      <color theme="1"/>
      <name val="Calibri"/>
      <family val="2"/>
      <scheme val="minor"/>
    </font>
    <font>
      <sz val="11"/>
      <color rgb="FFC00000"/>
      <name val="Calibri"/>
      <family val="2"/>
      <scheme val="minor"/>
    </font>
    <font>
      <b/>
      <sz val="11"/>
      <color theme="0" tint="-0.499984740745262"/>
      <name val="Calibri"/>
      <family val="2"/>
      <scheme val="minor"/>
    </font>
    <font>
      <b/>
      <sz val="12"/>
      <color theme="6" tint="-0.249977111117893"/>
      <name val="Calibri"/>
      <family val="2"/>
      <scheme val="minor"/>
    </font>
    <font>
      <b/>
      <sz val="11"/>
      <color rgb="FFC00000"/>
      <name val="Calibri"/>
      <family val="2"/>
      <scheme val="minor"/>
    </font>
    <font>
      <b/>
      <sz val="11"/>
      <color theme="3" tint="0.39997558519241921"/>
      <name val="Calibri"/>
      <family val="2"/>
      <scheme val="minor"/>
    </font>
    <font>
      <b/>
      <sz val="11"/>
      <color theme="6" tint="-0.249977111117893"/>
      <name val="Calibri"/>
      <family val="2"/>
      <scheme val="minor"/>
    </font>
    <font>
      <i/>
      <u/>
      <sz val="11"/>
      <color theme="1"/>
      <name val="Calibri"/>
      <family val="2"/>
      <scheme val="minor"/>
    </font>
    <font>
      <b/>
      <sz val="30"/>
      <color theme="0"/>
      <name val="Franklin Gothic Demi"/>
      <family val="2"/>
    </font>
    <font>
      <b/>
      <sz val="25"/>
      <color theme="0"/>
      <name val="Franklin Gothic Demi"/>
      <family val="2"/>
    </font>
    <font>
      <b/>
      <sz val="11"/>
      <color theme="6"/>
      <name val="Calibri"/>
      <family val="2"/>
      <scheme val="minor"/>
    </font>
    <font>
      <sz val="11"/>
      <color theme="6"/>
      <name val="Calibri"/>
      <family val="2"/>
      <scheme val="minor"/>
    </font>
    <font>
      <u/>
      <sz val="11"/>
      <color theme="3"/>
      <name val="Calibri"/>
      <family val="2"/>
    </font>
    <font>
      <b/>
      <sz val="15"/>
      <color theme="1"/>
      <name val="Calibri"/>
      <family val="2"/>
      <scheme val="minor"/>
    </font>
    <font>
      <b/>
      <sz val="12"/>
      <color rgb="FFC00000"/>
      <name val="Calibri"/>
      <family val="2"/>
      <scheme val="minor"/>
    </font>
    <font>
      <b/>
      <sz val="14"/>
      <color rgb="FF92D050"/>
      <name val="Calibri"/>
      <family val="2"/>
      <scheme val="minor"/>
    </font>
    <font>
      <b/>
      <sz val="12"/>
      <color rgb="FF92D050"/>
      <name val="Calibri"/>
      <family val="2"/>
      <scheme val="minor"/>
    </font>
    <font>
      <b/>
      <sz val="12"/>
      <color rgb="FFFF6161"/>
      <name val="Calibri"/>
      <family val="2"/>
      <scheme val="minor"/>
    </font>
    <font>
      <b/>
      <sz val="14"/>
      <color rgb="FFFF6161"/>
      <name val="Calibri"/>
      <family val="2"/>
      <scheme val="minor"/>
    </font>
    <font>
      <b/>
      <sz val="11"/>
      <color theme="5"/>
      <name val="Calibri"/>
      <family val="2"/>
      <scheme val="minor"/>
    </font>
    <font>
      <b/>
      <sz val="12"/>
      <color theme="5"/>
      <name val="Calibri"/>
      <family val="2"/>
      <scheme val="minor"/>
    </font>
    <font>
      <b/>
      <sz val="13"/>
      <color theme="2" tint="-0.749992370372631"/>
      <name val="Calibri"/>
      <family val="2"/>
      <scheme val="minor"/>
    </font>
    <font>
      <sz val="10"/>
      <color theme="2" tint="-0.749992370372631"/>
      <name val="Calibri"/>
      <family val="2"/>
      <scheme val="minor"/>
    </font>
    <font>
      <sz val="8"/>
      <color theme="0" tint="-0.34998626667073579"/>
      <name val="Calibri"/>
      <family val="2"/>
      <scheme val="minor"/>
    </font>
    <font>
      <sz val="13"/>
      <color theme="0"/>
      <name val="Calibri"/>
      <family val="2"/>
      <scheme val="minor"/>
    </font>
    <font>
      <sz val="11"/>
      <color theme="5" tint="0.59999389629810485"/>
      <name val="Calibri"/>
      <family val="2"/>
      <scheme val="minor"/>
    </font>
    <font>
      <sz val="10"/>
      <color theme="5" tint="0.59999389629810485"/>
      <name val="Calibri"/>
      <family val="2"/>
      <scheme val="minor"/>
    </font>
    <font>
      <sz val="10"/>
      <color rgb="FFEFD6D5"/>
      <name val="Calibri"/>
      <family val="2"/>
      <scheme val="minor"/>
    </font>
    <font>
      <b/>
      <i/>
      <u/>
      <sz val="11"/>
      <color theme="1"/>
      <name val="Calibri"/>
      <family val="2"/>
      <scheme val="minor"/>
    </font>
    <font>
      <sz val="12"/>
      <color theme="1" tint="0.34998626667073579"/>
      <name val="Calibri"/>
      <family val="2"/>
      <scheme val="minor"/>
    </font>
    <font>
      <b/>
      <sz val="14"/>
      <color theme="4"/>
      <name val="Calibri"/>
      <family val="2"/>
      <scheme val="minor"/>
    </font>
    <font>
      <b/>
      <sz val="14"/>
      <color theme="1" tint="0.499984740745262"/>
      <name val="Calibri"/>
      <family val="2"/>
      <scheme val="minor"/>
    </font>
    <font>
      <sz val="14"/>
      <color theme="1" tint="0.34998626667073579"/>
      <name val="Calibri"/>
      <family val="2"/>
      <scheme val="minor"/>
    </font>
    <font>
      <sz val="16"/>
      <color theme="1" tint="0.34998626667073579"/>
      <name val="Calibri"/>
      <family val="2"/>
      <scheme val="minor"/>
    </font>
    <font>
      <sz val="13"/>
      <color theme="4"/>
      <name val="Calibri"/>
      <family val="2"/>
      <scheme val="minor"/>
    </font>
    <font>
      <b/>
      <sz val="13"/>
      <color theme="1" tint="0.499984740745262"/>
      <name val="Calibri"/>
      <family val="2"/>
      <scheme val="minor"/>
    </font>
    <font>
      <b/>
      <sz val="13"/>
      <color theme="4"/>
      <name val="Calibri"/>
      <family val="2"/>
      <scheme val="minor"/>
    </font>
    <font>
      <sz val="13"/>
      <color theme="6" tint="-0.249977111117893"/>
      <name val="Calibri"/>
      <family val="2"/>
      <scheme val="minor"/>
    </font>
    <font>
      <sz val="13"/>
      <color theme="5"/>
      <name val="Calibri"/>
      <family val="2"/>
      <scheme val="minor"/>
    </font>
    <font>
      <sz val="13"/>
      <color theme="2" tint="-0.499984740745262"/>
      <name val="Calibri"/>
      <family val="2"/>
      <scheme val="minor"/>
    </font>
    <font>
      <sz val="13"/>
      <color theme="1" tint="0.34998626667073579"/>
      <name val="Calibri"/>
      <family val="2"/>
      <scheme val="minor"/>
    </font>
    <font>
      <b/>
      <u/>
      <sz val="11"/>
      <color theme="1"/>
      <name val="Calibri"/>
      <family val="2"/>
      <scheme val="minor"/>
    </font>
    <font>
      <i/>
      <sz val="9.5"/>
      <name val="Calibri"/>
      <family val="2"/>
    </font>
    <font>
      <sz val="7"/>
      <color rgb="FFA3FFFF"/>
      <name val="Calibri"/>
      <family val="2"/>
    </font>
    <font>
      <sz val="22"/>
      <color theme="0"/>
      <name val="Calibri"/>
      <family val="2"/>
      <scheme val="minor"/>
    </font>
    <font>
      <sz val="7"/>
      <color rgb="FFAFF6F9"/>
      <name val="Calibri"/>
      <family val="2"/>
    </font>
    <font>
      <sz val="7"/>
      <color rgb="FF5EE9F0"/>
      <name val="Calibri"/>
      <family val="2"/>
    </font>
    <font>
      <b/>
      <u/>
      <sz val="11"/>
      <color theme="0"/>
      <name val="Calibri"/>
      <family val="2"/>
    </font>
    <font>
      <u/>
      <sz val="11"/>
      <color theme="0"/>
      <name val="Calibri"/>
      <family val="2"/>
    </font>
    <font>
      <sz val="10"/>
      <color theme="0" tint="-0.499984740745262"/>
      <name val="Calibri"/>
      <family val="2"/>
    </font>
    <font>
      <i/>
      <sz val="10"/>
      <color theme="0" tint="-0.499984740745262"/>
      <name val="Calibri"/>
      <family val="2"/>
      <scheme val="minor"/>
    </font>
    <font>
      <sz val="10"/>
      <color theme="1"/>
      <name val="Calibri"/>
      <family val="2"/>
    </font>
    <font>
      <b/>
      <sz val="10"/>
      <color rgb="FFFF0000"/>
      <name val="Arial Black"/>
      <family val="2"/>
    </font>
    <font>
      <sz val="11"/>
      <color rgb="FF00B050"/>
      <name val="Calibri"/>
      <family val="2"/>
      <scheme val="minor"/>
    </font>
    <font>
      <b/>
      <sz val="11"/>
      <color rgb="FF00B050"/>
      <name val="Calibri"/>
      <family val="2"/>
      <scheme val="minor"/>
    </font>
    <font>
      <b/>
      <i/>
      <sz val="11"/>
      <color rgb="FF00B050"/>
      <name val="Calibri"/>
      <family val="2"/>
      <scheme val="minor"/>
    </font>
    <font>
      <sz val="10"/>
      <color rgb="FF00B050"/>
      <name val="Calibri"/>
      <family val="2"/>
      <scheme val="minor"/>
    </font>
    <font>
      <i/>
      <sz val="11"/>
      <color rgb="FF00B050"/>
      <name val="Calibri"/>
      <family val="2"/>
      <scheme val="minor"/>
    </font>
    <font>
      <i/>
      <sz val="10"/>
      <color rgb="FF00B050"/>
      <name val="Calibri"/>
      <family val="2"/>
      <scheme val="minor"/>
    </font>
    <font>
      <b/>
      <i/>
      <sz val="10"/>
      <color theme="4"/>
      <name val="Calibri"/>
      <family val="2"/>
      <scheme val="minor"/>
    </font>
    <font>
      <b/>
      <u val="singleAccounting"/>
      <sz val="11"/>
      <color theme="1" tint="0.499984740745262"/>
      <name val="Calibri"/>
      <family val="2"/>
      <scheme val="minor"/>
    </font>
    <font>
      <u/>
      <sz val="11"/>
      <color theme="3"/>
      <name val="Calibri"/>
      <family val="2"/>
      <scheme val="minor"/>
    </font>
    <font>
      <sz val="12"/>
      <color theme="3"/>
      <name val="Calibri"/>
      <family val="2"/>
    </font>
    <font>
      <sz val="12"/>
      <color theme="0"/>
      <name val="Calibri"/>
      <family val="2"/>
    </font>
    <font>
      <sz val="10"/>
      <color theme="3"/>
      <name val="Calibri"/>
      <family val="2"/>
      <scheme val="minor"/>
    </font>
    <font>
      <u/>
      <sz val="10"/>
      <color theme="1"/>
      <name val="Calibri"/>
      <family val="2"/>
      <scheme val="minor"/>
    </font>
    <font>
      <i/>
      <sz val="11"/>
      <color theme="4" tint="0.59999389629810485"/>
      <name val="Calibri"/>
      <family val="2"/>
      <scheme val="minor"/>
    </font>
    <font>
      <b/>
      <i/>
      <u/>
      <sz val="10"/>
      <color theme="3"/>
      <name val="Calibri"/>
      <family val="2"/>
      <scheme val="minor"/>
    </font>
    <font>
      <u/>
      <sz val="10"/>
      <color theme="1" tint="0.34998626667073579"/>
      <name val="Calibri"/>
      <family val="2"/>
      <scheme val="minor"/>
    </font>
    <font>
      <u/>
      <sz val="11"/>
      <color theme="1" tint="0.499984740745262"/>
      <name val="Calibri"/>
      <family val="2"/>
      <scheme val="minor"/>
    </font>
    <font>
      <sz val="20"/>
      <color theme="1"/>
      <name val="Impact"/>
      <family val="2"/>
    </font>
    <font>
      <b/>
      <sz val="16"/>
      <color theme="1"/>
      <name val="Arial Black"/>
      <family val="2"/>
    </font>
    <font>
      <i/>
      <sz val="10"/>
      <color theme="6" tint="-0.249977111117893"/>
      <name val="Calibri"/>
      <family val="2"/>
      <scheme val="minor"/>
    </font>
    <font>
      <i/>
      <sz val="11"/>
      <color theme="6" tint="-0.249977111117893"/>
      <name val="Calibri"/>
      <family val="2"/>
      <scheme val="minor"/>
    </font>
    <font>
      <b/>
      <sz val="12"/>
      <color theme="4"/>
      <name val="Calibri"/>
      <family val="2"/>
      <scheme val="minor"/>
    </font>
    <font>
      <b/>
      <sz val="14"/>
      <color theme="6" tint="-0.249977111117893"/>
      <name val="Calibri"/>
      <family val="2"/>
      <scheme val="minor"/>
    </font>
    <font>
      <sz val="10"/>
      <color theme="6" tint="-0.249977111117893"/>
      <name val="Calibri"/>
      <family val="2"/>
      <scheme val="minor"/>
    </font>
    <font>
      <sz val="16"/>
      <color theme="6" tint="-0.249977111117893"/>
      <name val="Calibri"/>
      <family val="2"/>
      <scheme val="minor"/>
    </font>
    <font>
      <b/>
      <sz val="12"/>
      <color rgb="FF000000"/>
      <name val="Calibri"/>
      <family val="2"/>
    </font>
    <font>
      <b/>
      <sz val="16"/>
      <color rgb="FF000000"/>
      <name val="Calibri"/>
      <family val="2"/>
    </font>
    <font>
      <sz val="9"/>
      <color indexed="81"/>
      <name val="Tahoma"/>
      <family val="2"/>
    </font>
    <font>
      <b/>
      <sz val="9"/>
      <color indexed="81"/>
      <name val="Tahoma"/>
      <family val="2"/>
    </font>
    <font>
      <sz val="12"/>
      <color rgb="FF000000"/>
      <name val="Calibri"/>
      <family val="2"/>
    </font>
    <font>
      <i/>
      <sz val="9"/>
      <color theme="3"/>
      <name val="Calibri"/>
      <family val="2"/>
      <scheme val="minor"/>
    </font>
    <font>
      <sz val="16"/>
      <color rgb="FFFF0000"/>
      <name val="Calibri"/>
      <family val="2"/>
      <scheme val="minor"/>
    </font>
    <font>
      <b/>
      <sz val="18"/>
      <color rgb="FFFF0000"/>
      <name val="Calibri"/>
      <family val="2"/>
      <scheme val="minor"/>
    </font>
    <font>
      <sz val="14"/>
      <color rgb="FFFF0000"/>
      <name val="Calibri"/>
      <family val="2"/>
      <scheme val="minor"/>
    </font>
    <font>
      <b/>
      <sz val="16"/>
      <color rgb="FFFF0000"/>
      <name val="Calibri"/>
      <family val="2"/>
      <scheme val="minor"/>
    </font>
    <font>
      <sz val="22"/>
      <color rgb="FFFF0000"/>
      <name val="Calibri"/>
      <family val="2"/>
      <scheme val="minor"/>
    </font>
    <font>
      <sz val="10"/>
      <color theme="1" tint="0.34998626667073579"/>
      <name val="Palatino Linotype"/>
      <family val="1"/>
    </font>
    <font>
      <b/>
      <sz val="22"/>
      <color theme="0"/>
      <name val="Franklin Gothic Demi"/>
      <family val="2"/>
    </font>
    <font>
      <sz val="11"/>
      <color theme="1" tint="0.34998626667073579"/>
      <name val="Calibri"/>
      <family val="2"/>
      <scheme val="minor"/>
    </font>
    <font>
      <b/>
      <sz val="30"/>
      <color theme="0"/>
      <name val="Calibri"/>
      <family val="2"/>
      <scheme val="minor"/>
    </font>
    <font>
      <sz val="18"/>
      <color theme="0"/>
      <name val="Calibri"/>
      <family val="2"/>
      <scheme val="minor"/>
    </font>
    <font>
      <sz val="13"/>
      <color theme="3"/>
      <name val="Calibri"/>
      <family val="2"/>
      <scheme val="minor"/>
    </font>
    <font>
      <b/>
      <i/>
      <sz val="10"/>
      <color theme="1"/>
      <name val="Calibri"/>
      <family val="2"/>
      <scheme val="minor"/>
    </font>
    <font>
      <sz val="10"/>
      <color theme="0" tint="-0.14999847407452621"/>
      <name val="Palatino Linotype"/>
      <family val="1"/>
    </font>
    <font>
      <sz val="11"/>
      <color theme="0" tint="-0.14999847407452621"/>
      <name val="Calibri"/>
      <family val="2"/>
      <scheme val="minor"/>
    </font>
    <font>
      <sz val="11"/>
      <color theme="0" tint="-4.9989318521683403E-2"/>
      <name val="Calibri"/>
      <family val="2"/>
      <scheme val="minor"/>
    </font>
    <font>
      <sz val="10"/>
      <color theme="1" tint="0.249977111117893"/>
      <name val="Calibri"/>
      <family val="2"/>
      <scheme val="minor"/>
    </font>
    <font>
      <sz val="12"/>
      <color theme="3" tint="-0.249977111117893"/>
      <name val="Arial"/>
      <family val="2"/>
    </font>
    <font>
      <sz val="11"/>
      <color rgb="FFCAF8FA"/>
      <name val="Calibri"/>
      <family val="2"/>
      <scheme val="minor"/>
    </font>
    <font>
      <b/>
      <sz val="14"/>
      <color theme="1" tint="0.34998626667073579"/>
      <name val="Calibri"/>
      <family val="2"/>
    </font>
    <font>
      <sz val="10.5"/>
      <color theme="1"/>
      <name val="Calibri"/>
      <family val="2"/>
      <scheme val="minor"/>
    </font>
    <font>
      <i/>
      <sz val="11"/>
      <color theme="0" tint="-0.499984740745262"/>
      <name val="Calibri"/>
      <family val="2"/>
      <scheme val="minor"/>
    </font>
    <font>
      <sz val="22"/>
      <color theme="1" tint="0.34998626667073579"/>
      <name val="Calibri"/>
      <family val="2"/>
      <scheme val="minor"/>
    </font>
  </fonts>
  <fills count="71">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indexed="49"/>
        <bgColor indexed="64"/>
      </patternFill>
    </fill>
    <fill>
      <patternFill patternType="solid">
        <fgColor rgb="FFA8F2F6"/>
        <bgColor indexed="64"/>
      </patternFill>
    </fill>
    <fill>
      <patternFill patternType="solid">
        <fgColor rgb="FFFFFFB7"/>
        <bgColor indexed="64"/>
      </patternFill>
    </fill>
    <fill>
      <patternFill patternType="solid">
        <fgColor theme="5"/>
      </patternFill>
    </fill>
    <fill>
      <patternFill patternType="solid">
        <fgColor theme="1" tint="0.499984740745262"/>
        <bgColor indexed="64"/>
      </patternFill>
    </fill>
    <fill>
      <patternFill patternType="solid">
        <fgColor rgb="FFA8F2F8"/>
        <bgColor indexed="64"/>
      </patternFill>
    </fill>
    <fill>
      <patternFill patternType="solid">
        <fgColor theme="8" tint="0.79998168889431442"/>
        <bgColor indexed="64"/>
      </patternFill>
    </fill>
    <fill>
      <patternFill patternType="solid">
        <fgColor theme="3"/>
        <bgColor indexed="64"/>
      </patternFill>
    </fill>
    <fill>
      <patternFill patternType="solid">
        <fgColor theme="2" tint="-9.9978637043366805E-2"/>
        <bgColor indexed="64"/>
      </patternFill>
    </fill>
    <fill>
      <patternFill patternType="solid">
        <fgColor theme="0" tint="-0.34998626667073579"/>
        <bgColor theme="0"/>
      </patternFill>
    </fill>
    <fill>
      <gradientFill>
        <stop position="0">
          <color theme="0"/>
        </stop>
        <stop position="1">
          <color rgb="FF89EEF3"/>
        </stop>
      </gradientFill>
    </fill>
    <fill>
      <patternFill patternType="solid">
        <fgColor theme="2" tint="-0.499984740745262"/>
        <bgColor indexed="64"/>
      </patternFill>
    </fill>
    <fill>
      <patternFill patternType="solid">
        <fgColor theme="1" tint="0.34998626667073579"/>
        <bgColor indexed="64"/>
      </patternFill>
    </fill>
    <fill>
      <patternFill patternType="solid">
        <fgColor theme="3" tint="-0.249977111117893"/>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rgb="FF00B050"/>
        <bgColor indexed="64"/>
      </patternFill>
    </fill>
    <fill>
      <patternFill patternType="solid">
        <fgColor theme="2" tint="-0.249977111117893"/>
        <bgColor indexed="64"/>
      </patternFill>
    </fill>
    <fill>
      <patternFill patternType="solid">
        <fgColor theme="4"/>
        <bgColor indexed="64"/>
      </patternFill>
    </fill>
    <fill>
      <patternFill patternType="solid">
        <fgColor theme="6" tint="0.39997558519241921"/>
        <bgColor indexed="64"/>
      </patternFill>
    </fill>
    <fill>
      <patternFill patternType="solid">
        <fgColor theme="6"/>
        <bgColor indexed="64"/>
      </patternFill>
    </fill>
    <fill>
      <patternFill patternType="solid">
        <fgColor theme="6" tint="0.79998168889431442"/>
        <bgColor indexed="64"/>
      </patternFill>
    </fill>
    <fill>
      <patternFill patternType="solid">
        <fgColor theme="2"/>
        <bgColor indexed="64"/>
      </patternFill>
    </fill>
    <fill>
      <patternFill patternType="solid">
        <fgColor rgb="FF9B9B9B"/>
        <bgColor indexed="64"/>
      </patternFill>
    </fill>
    <fill>
      <patternFill patternType="solid">
        <fgColor theme="6" tint="0.59999389629810485"/>
        <bgColor indexed="64"/>
      </patternFill>
    </fill>
    <fill>
      <patternFill patternType="solid">
        <fgColor rgb="FFE4EBF4"/>
        <bgColor indexed="64"/>
      </patternFill>
    </fill>
    <fill>
      <patternFill patternType="solid">
        <fgColor rgb="FFF5E4E3"/>
        <bgColor indexed="64"/>
      </patternFill>
    </fill>
    <fill>
      <patternFill patternType="solid">
        <fgColor rgb="FFE7FBFD"/>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DF79"/>
        <bgColor indexed="64"/>
      </patternFill>
    </fill>
    <fill>
      <patternFill patternType="solid">
        <fgColor rgb="FFEEF3F8"/>
        <bgColor indexed="64"/>
      </patternFill>
    </fill>
    <fill>
      <patternFill patternType="solid">
        <fgColor rgb="FFF6F9F1"/>
        <bgColor indexed="64"/>
      </patternFill>
    </fill>
    <fill>
      <patternFill patternType="solid">
        <fgColor rgb="FFFAF0F0"/>
        <bgColor indexed="64"/>
      </patternFill>
    </fill>
    <fill>
      <patternFill patternType="solid">
        <fgColor rgb="FFCAF8FA"/>
        <bgColor indexed="64"/>
      </patternFill>
    </fill>
    <fill>
      <patternFill patternType="solid">
        <fgColor rgb="FFB9FFFF"/>
        <bgColor indexed="64"/>
      </patternFill>
    </fill>
    <fill>
      <patternFill patternType="solid">
        <fgColor rgb="FFA3FFFF"/>
        <bgColor indexed="64"/>
      </patternFill>
    </fill>
    <fill>
      <patternFill patternType="solid">
        <fgColor theme="8"/>
        <bgColor indexed="64"/>
      </patternFill>
    </fill>
    <fill>
      <patternFill patternType="solid">
        <fgColor rgb="FFC4F5FF"/>
        <bgColor indexed="64"/>
      </patternFill>
    </fill>
    <fill>
      <gradientFill>
        <stop position="0">
          <color theme="0"/>
        </stop>
        <stop position="1">
          <color rgb="FFCAF8FA"/>
        </stop>
      </gradientFill>
    </fill>
    <fill>
      <gradientFill>
        <stop position="0">
          <color rgb="FFCAF8FA"/>
        </stop>
        <stop position="1">
          <color rgb="FF83C5D7"/>
        </stop>
      </gradientFill>
    </fill>
    <fill>
      <patternFill patternType="solid">
        <fgColor rgb="FFFFC000"/>
        <bgColor indexed="64"/>
      </patternFill>
    </fill>
    <fill>
      <patternFill patternType="solid">
        <fgColor theme="7" tint="0.39997558519241921"/>
        <bgColor indexed="64"/>
      </patternFill>
    </fill>
    <fill>
      <patternFill patternType="solid">
        <fgColor rgb="FFFF0000"/>
        <bgColor indexed="64"/>
      </patternFill>
    </fill>
    <fill>
      <patternFill patternType="solid">
        <fgColor rgb="FFD5D5E3"/>
        <bgColor indexed="64"/>
      </patternFill>
    </fill>
    <fill>
      <patternFill patternType="solid">
        <fgColor rgb="FF7030A0"/>
        <bgColor indexed="64"/>
      </patternFill>
    </fill>
    <fill>
      <patternFill patternType="solid">
        <fgColor rgb="FFCAF8FA"/>
        <bgColor theme="0"/>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1" tint="0.249977111117893"/>
        <bgColor indexed="64"/>
      </patternFill>
    </fill>
    <fill>
      <patternFill patternType="solid">
        <fgColor rgb="FFC00000"/>
        <bgColor indexed="64"/>
      </patternFill>
    </fill>
    <fill>
      <patternFill patternType="solid">
        <fgColor theme="5"/>
        <bgColor indexed="64"/>
      </patternFill>
    </fill>
    <fill>
      <patternFill patternType="solid">
        <fgColor rgb="FFFF99CC"/>
        <bgColor indexed="64"/>
      </patternFill>
    </fill>
    <fill>
      <patternFill patternType="solid">
        <fgColor theme="7" tint="-0.499984740745262"/>
        <bgColor indexed="64"/>
      </patternFill>
    </fill>
    <fill>
      <patternFill patternType="solid">
        <fgColor theme="8" tint="0.59999389629810485"/>
        <bgColor indexed="64"/>
      </patternFill>
    </fill>
    <fill>
      <patternFill patternType="solid">
        <fgColor rgb="FFFFCCFF"/>
        <bgColor indexed="64"/>
      </patternFill>
    </fill>
  </fills>
  <borders count="52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hair">
        <color indexed="64"/>
      </left>
      <right/>
      <top/>
      <bottom style="hair">
        <color indexed="64"/>
      </bottom>
      <diagonal/>
    </border>
    <border>
      <left style="thin">
        <color indexed="64"/>
      </left>
      <right/>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hair">
        <color indexed="64"/>
      </left>
      <right style="thin">
        <color indexed="64"/>
      </right>
      <top style="hair">
        <color indexed="64"/>
      </top>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style="hair">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indexed="64"/>
      </left>
      <right/>
      <top style="medium">
        <color indexed="64"/>
      </top>
      <bottom/>
      <diagonal/>
    </border>
    <border>
      <left style="medium">
        <color indexed="64"/>
      </left>
      <right/>
      <top/>
      <bottom style="thin">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style="medium">
        <color indexed="64"/>
      </right>
      <top style="medium">
        <color indexed="64"/>
      </top>
      <bottom style="thin">
        <color indexed="64"/>
      </bottom>
      <diagonal/>
    </border>
    <border>
      <left style="hair">
        <color indexed="64"/>
      </left>
      <right style="medium">
        <color indexed="64"/>
      </right>
      <top style="hair">
        <color indexed="64"/>
      </top>
      <bottom style="hair">
        <color indexed="64"/>
      </bottom>
      <diagonal/>
    </border>
    <border>
      <left/>
      <right/>
      <top style="medium">
        <color theme="0"/>
      </top>
      <bottom/>
      <diagonal/>
    </border>
    <border>
      <left/>
      <right/>
      <top/>
      <bottom style="medium">
        <color theme="0"/>
      </bottom>
      <diagonal/>
    </border>
    <border>
      <left style="thin">
        <color indexed="64"/>
      </left>
      <right style="medium">
        <color indexed="64"/>
      </right>
      <top/>
      <bottom style="medium">
        <color indexed="64"/>
      </bottom>
      <diagonal/>
    </border>
    <border>
      <left style="hair">
        <color indexed="64"/>
      </left>
      <right style="medium">
        <color indexed="64"/>
      </right>
      <top style="hair">
        <color indexed="64"/>
      </top>
      <bottom/>
      <diagonal/>
    </border>
    <border>
      <left style="thin">
        <color theme="0"/>
      </left>
      <right/>
      <top/>
      <bottom style="thin">
        <color indexed="64"/>
      </bottom>
      <diagonal/>
    </border>
    <border>
      <left/>
      <right style="thin">
        <color theme="0"/>
      </right>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64"/>
      </left>
      <right/>
      <top style="medium">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thin">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bottom style="hair">
        <color indexed="64"/>
      </bottom>
      <diagonal/>
    </border>
    <border>
      <left style="medium">
        <color indexed="64"/>
      </left>
      <right/>
      <top style="hair">
        <color indexed="64"/>
      </top>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top style="hair">
        <color indexed="64"/>
      </top>
      <bottom style="medium">
        <color indexed="64"/>
      </bottom>
      <diagonal/>
    </border>
    <border>
      <left style="medium">
        <color indexed="64"/>
      </left>
      <right/>
      <top style="thin">
        <color theme="0"/>
      </top>
      <bottom/>
      <diagonal/>
    </border>
    <border>
      <left/>
      <right style="medium">
        <color indexed="64"/>
      </right>
      <top style="thin">
        <color theme="0"/>
      </top>
      <bottom/>
      <diagonal/>
    </border>
    <border>
      <left/>
      <right/>
      <top style="thick">
        <color theme="0"/>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top style="hair">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ck">
        <color indexed="64"/>
      </right>
      <top style="double">
        <color indexed="64"/>
      </top>
      <bottom style="medium">
        <color indexed="64"/>
      </bottom>
      <diagonal/>
    </border>
    <border>
      <left/>
      <right/>
      <top style="double">
        <color indexed="64"/>
      </top>
      <bottom style="medium">
        <color indexed="64"/>
      </bottom>
      <diagonal/>
    </border>
    <border>
      <left/>
      <right/>
      <top style="thin">
        <color theme="1" tint="0.34998626667073579"/>
      </top>
      <bottom style="thin">
        <color theme="1" tint="0.34998626667073579"/>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ck">
        <color indexed="64"/>
      </left>
      <right style="thin">
        <color indexed="64"/>
      </right>
      <top style="double">
        <color indexed="64"/>
      </top>
      <bottom style="medium">
        <color indexed="64"/>
      </bottom>
      <diagonal/>
    </border>
    <border>
      <left style="thin">
        <color indexed="64"/>
      </left>
      <right style="thick">
        <color indexed="64"/>
      </right>
      <top style="double">
        <color indexed="64"/>
      </top>
      <bottom style="medium">
        <color indexed="64"/>
      </bottom>
      <diagonal/>
    </border>
    <border>
      <left style="medium">
        <color indexed="64"/>
      </left>
      <right style="hair">
        <color theme="0" tint="-0.34998626667073579"/>
      </right>
      <top style="thin">
        <color indexed="64"/>
      </top>
      <bottom style="hair">
        <color theme="0" tint="-0.34998626667073579"/>
      </bottom>
      <diagonal/>
    </border>
    <border>
      <left style="hair">
        <color theme="0" tint="-0.34998626667073579"/>
      </left>
      <right style="hair">
        <color theme="0" tint="-0.34998626667073579"/>
      </right>
      <top style="thin">
        <color indexed="64"/>
      </top>
      <bottom style="hair">
        <color theme="0" tint="-0.34998626667073579"/>
      </bottom>
      <diagonal/>
    </border>
    <border>
      <left style="hair">
        <color theme="0" tint="-0.34998626667073579"/>
      </left>
      <right style="medium">
        <color indexed="64"/>
      </right>
      <top style="thin">
        <color indexed="64"/>
      </top>
      <bottom style="hair">
        <color theme="0" tint="-0.34998626667073579"/>
      </bottom>
      <diagonal/>
    </border>
    <border>
      <left style="medium">
        <color indexed="64"/>
      </left>
      <right style="hair">
        <color theme="0" tint="-0.34998626667073579"/>
      </right>
      <top style="hair">
        <color theme="0" tint="-0.34998626667073579"/>
      </top>
      <bottom style="thin">
        <color indexed="64"/>
      </bottom>
      <diagonal/>
    </border>
    <border>
      <left style="hair">
        <color theme="0" tint="-0.34998626667073579"/>
      </left>
      <right style="hair">
        <color theme="0" tint="-0.34998626667073579"/>
      </right>
      <top style="hair">
        <color theme="0" tint="-0.34998626667073579"/>
      </top>
      <bottom style="thin">
        <color indexed="64"/>
      </bottom>
      <diagonal/>
    </border>
    <border>
      <left style="hair">
        <color theme="0" tint="-0.34998626667073579"/>
      </left>
      <right style="medium">
        <color indexed="64"/>
      </right>
      <top style="hair">
        <color theme="0" tint="-0.34998626667073579"/>
      </top>
      <bottom style="thin">
        <color indexed="64"/>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style="medium">
        <color indexed="64"/>
      </left>
      <right/>
      <top style="hair">
        <color theme="0" tint="-0.34998626667073579"/>
      </top>
      <bottom style="thin">
        <color indexed="64"/>
      </bottom>
      <diagonal/>
    </border>
    <border>
      <left/>
      <right/>
      <top style="hair">
        <color theme="0" tint="-0.34998626667073579"/>
      </top>
      <bottom style="thin">
        <color indexed="64"/>
      </bottom>
      <diagonal/>
    </border>
    <border>
      <left/>
      <right style="medium">
        <color indexed="64"/>
      </right>
      <top style="hair">
        <color theme="0" tint="-0.34998626667073579"/>
      </top>
      <bottom style="thin">
        <color indexed="64"/>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thin">
        <color indexed="64"/>
      </left>
      <right style="thin">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diagonal/>
    </border>
    <border>
      <left style="thin">
        <color indexed="64"/>
      </left>
      <right style="thin">
        <color indexed="64"/>
      </right>
      <top/>
      <bottom style="hair">
        <color indexed="64"/>
      </bottom>
      <diagonal/>
    </border>
    <border>
      <left style="thin">
        <color indexed="64"/>
      </left>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hair">
        <color indexed="64"/>
      </top>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right/>
      <top style="thin">
        <color theme="1" tint="0.34998626667073579"/>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style="hair">
        <color theme="0" tint="-0.34998626667073579"/>
      </right>
      <top style="thin">
        <color indexed="64"/>
      </top>
      <bottom/>
      <diagonal/>
    </border>
    <border>
      <left style="hair">
        <color theme="0" tint="-0.34998626667073579"/>
      </left>
      <right style="hair">
        <color theme="0" tint="-0.34998626667073579"/>
      </right>
      <top style="thin">
        <color indexed="64"/>
      </top>
      <bottom/>
      <diagonal/>
    </border>
    <border>
      <left style="hair">
        <color theme="0" tint="-0.34998626667073579"/>
      </left>
      <right style="medium">
        <color indexed="64"/>
      </right>
      <top style="thin">
        <color indexed="64"/>
      </top>
      <bottom/>
      <diagonal/>
    </border>
    <border>
      <left style="medium">
        <color indexed="64"/>
      </left>
      <right style="hair">
        <color theme="0" tint="-0.34998626667073579"/>
      </right>
      <top style="hair">
        <color indexed="64"/>
      </top>
      <bottom style="medium">
        <color indexed="64"/>
      </bottom>
      <diagonal/>
    </border>
    <border>
      <left style="hair">
        <color theme="0" tint="-0.34998626667073579"/>
      </left>
      <right style="hair">
        <color theme="0" tint="-0.34998626667073579"/>
      </right>
      <top style="hair">
        <color indexed="64"/>
      </top>
      <bottom style="medium">
        <color indexed="64"/>
      </bottom>
      <diagonal/>
    </border>
    <border>
      <left style="hair">
        <color theme="0" tint="-0.34998626667073579"/>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ck">
        <color indexed="64"/>
      </left>
      <right/>
      <top/>
      <bottom style="double">
        <color indexed="64"/>
      </bottom>
      <diagonal/>
    </border>
    <border>
      <left/>
      <right/>
      <top/>
      <bottom style="double">
        <color indexed="64"/>
      </bottom>
      <diagonal/>
    </border>
    <border>
      <left/>
      <right style="thick">
        <color indexed="64"/>
      </right>
      <top/>
      <bottom style="double">
        <color indexed="64"/>
      </bottom>
      <diagonal/>
    </border>
    <border>
      <left/>
      <right style="thin">
        <color theme="3" tint="0.59996337778862885"/>
      </right>
      <top/>
      <bottom/>
      <diagonal/>
    </border>
    <border>
      <left/>
      <right style="thin">
        <color theme="3" tint="0.59996337778862885"/>
      </right>
      <top/>
      <bottom style="hair">
        <color indexed="64"/>
      </bottom>
      <diagonal/>
    </border>
    <border>
      <left/>
      <right style="thin">
        <color theme="3" tint="0.59996337778862885"/>
      </right>
      <top style="hair">
        <color indexed="64"/>
      </top>
      <bottom style="hair">
        <color indexed="64"/>
      </bottom>
      <diagonal/>
    </border>
    <border>
      <left/>
      <right/>
      <top/>
      <bottom style="thin">
        <color theme="3" tint="0.59996337778862885"/>
      </bottom>
      <diagonal/>
    </border>
    <border>
      <left/>
      <right style="thin">
        <color theme="3" tint="0.59996337778862885"/>
      </right>
      <top/>
      <bottom style="thin">
        <color theme="3" tint="0.59996337778862885"/>
      </bottom>
      <diagonal/>
    </border>
    <border>
      <left/>
      <right/>
      <top style="thin">
        <color rgb="FF92D050"/>
      </top>
      <bottom/>
      <diagonal/>
    </border>
    <border>
      <left/>
      <right style="thin">
        <color rgb="FF92D050"/>
      </right>
      <top style="thin">
        <color rgb="FF92D050"/>
      </top>
      <bottom/>
      <diagonal/>
    </border>
    <border>
      <left/>
      <right style="thin">
        <color rgb="FF92D050"/>
      </right>
      <top/>
      <bottom/>
      <diagonal/>
    </border>
    <border>
      <left/>
      <right style="thin">
        <color rgb="FF92D050"/>
      </right>
      <top/>
      <bottom style="hair">
        <color indexed="64"/>
      </bottom>
      <diagonal/>
    </border>
    <border>
      <left/>
      <right style="thin">
        <color rgb="FF92D050"/>
      </right>
      <top style="hair">
        <color indexed="64"/>
      </top>
      <bottom style="hair">
        <color indexed="64"/>
      </bottom>
      <diagonal/>
    </border>
    <border>
      <left style="thin">
        <color theme="5" tint="0.39994506668294322"/>
      </left>
      <right/>
      <top/>
      <bottom/>
      <diagonal/>
    </border>
    <border>
      <left style="thin">
        <color theme="5" tint="0.39994506668294322"/>
      </left>
      <right/>
      <top/>
      <bottom style="hair">
        <color indexed="64"/>
      </bottom>
      <diagonal/>
    </border>
    <border>
      <left style="thin">
        <color theme="5" tint="0.39994506668294322"/>
      </left>
      <right/>
      <top style="hair">
        <color indexed="64"/>
      </top>
      <bottom style="hair">
        <color indexed="64"/>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5" tint="0.39994506668294322"/>
      </left>
      <right/>
      <top style="thin">
        <color theme="5" tint="0.39994506668294322"/>
      </top>
      <bottom/>
      <diagonal/>
    </border>
    <border>
      <left/>
      <right/>
      <top style="thin">
        <color theme="5" tint="0.39994506668294322"/>
      </top>
      <bottom/>
      <diagonal/>
    </border>
    <border>
      <left style="mediumDashed">
        <color rgb="FFFF3300"/>
      </left>
      <right/>
      <top style="mediumDashed">
        <color rgb="FFFF3300"/>
      </top>
      <bottom/>
      <diagonal/>
    </border>
    <border>
      <left/>
      <right/>
      <top style="mediumDashed">
        <color rgb="FFFF3300"/>
      </top>
      <bottom/>
      <diagonal/>
    </border>
    <border>
      <left/>
      <right style="mediumDashed">
        <color rgb="FFFF3300"/>
      </right>
      <top style="mediumDashed">
        <color rgb="FFFF3300"/>
      </top>
      <bottom/>
      <diagonal/>
    </border>
    <border>
      <left style="mediumDashed">
        <color rgb="FFFF3300"/>
      </left>
      <right/>
      <top/>
      <bottom/>
      <diagonal/>
    </border>
    <border>
      <left/>
      <right style="mediumDashed">
        <color rgb="FFFF3300"/>
      </right>
      <top/>
      <bottom/>
      <diagonal/>
    </border>
    <border>
      <left style="mediumDashed">
        <color rgb="FFFF3300"/>
      </left>
      <right/>
      <top/>
      <bottom style="mediumDashed">
        <color rgb="FFFF3300"/>
      </bottom>
      <diagonal/>
    </border>
    <border>
      <left/>
      <right/>
      <top/>
      <bottom style="mediumDashed">
        <color rgb="FFFF3300"/>
      </bottom>
      <diagonal/>
    </border>
    <border>
      <left/>
      <right style="mediumDashed">
        <color rgb="FFFF3300"/>
      </right>
      <top/>
      <bottom style="mediumDashed">
        <color rgb="FFFF3300"/>
      </bottom>
      <diagonal/>
    </border>
    <border>
      <left/>
      <right style="thin">
        <color theme="5" tint="0.39991454817346722"/>
      </right>
      <top style="thin">
        <color theme="5" tint="0.39994506668294322"/>
      </top>
      <bottom/>
      <diagonal/>
    </border>
    <border>
      <left/>
      <right style="thin">
        <color theme="5" tint="0.39991454817346722"/>
      </right>
      <top/>
      <bottom/>
      <diagonal/>
    </border>
    <border>
      <left/>
      <right style="thin">
        <color theme="5" tint="0.39991454817346722"/>
      </right>
      <top style="hair">
        <color indexed="64"/>
      </top>
      <bottom style="hair">
        <color indexed="64"/>
      </bottom>
      <diagonal/>
    </border>
    <border>
      <left/>
      <right style="thin">
        <color theme="5" tint="0.39991454817346722"/>
      </right>
      <top/>
      <bottom style="hair">
        <color indexed="64"/>
      </bottom>
      <diagonal/>
    </border>
    <border>
      <left style="thin">
        <color theme="3" tint="0.39994506668294322"/>
      </left>
      <right/>
      <top style="thin">
        <color theme="3" tint="0.39994506668294322"/>
      </top>
      <bottom/>
      <diagonal/>
    </border>
    <border>
      <left/>
      <right/>
      <top style="thin">
        <color theme="3" tint="0.39994506668294322"/>
      </top>
      <bottom/>
      <diagonal/>
    </border>
    <border>
      <left/>
      <right style="thin">
        <color theme="3" tint="0.59996337778862885"/>
      </right>
      <top style="thin">
        <color theme="3" tint="0.39994506668294322"/>
      </top>
      <bottom/>
      <diagonal/>
    </border>
    <border>
      <left style="thin">
        <color theme="3" tint="0.39994506668294322"/>
      </left>
      <right/>
      <top/>
      <bottom/>
      <diagonal/>
    </border>
    <border>
      <left style="thin">
        <color theme="3" tint="0.39994506668294322"/>
      </left>
      <right/>
      <top/>
      <bottom style="hair">
        <color indexed="64"/>
      </bottom>
      <diagonal/>
    </border>
    <border>
      <left style="thin">
        <color theme="3" tint="0.39994506668294322"/>
      </left>
      <right/>
      <top style="hair">
        <color indexed="64"/>
      </top>
      <bottom style="hair">
        <color indexed="64"/>
      </bottom>
      <diagonal/>
    </border>
    <border>
      <left style="thin">
        <color theme="3" tint="0.39994506668294322"/>
      </left>
      <right/>
      <top/>
      <bottom style="thin">
        <color theme="3" tint="0.59996337778862885"/>
      </bottom>
      <diagonal/>
    </border>
    <border>
      <left style="thin">
        <color theme="6"/>
      </left>
      <right/>
      <top style="thin">
        <color rgb="FF92D050"/>
      </top>
      <bottom/>
      <diagonal/>
    </border>
    <border>
      <left style="thin">
        <color theme="6"/>
      </left>
      <right/>
      <top/>
      <bottom/>
      <diagonal/>
    </border>
    <border>
      <left style="thin">
        <color theme="6"/>
      </left>
      <right/>
      <top/>
      <bottom style="hair">
        <color indexed="64"/>
      </bottom>
      <diagonal/>
    </border>
    <border>
      <left style="thin">
        <color theme="6"/>
      </left>
      <right/>
      <top style="hair">
        <color indexed="64"/>
      </top>
      <bottom style="hair">
        <color indexed="64"/>
      </bottom>
      <diagonal/>
    </border>
    <border>
      <left style="thin">
        <color theme="6"/>
      </left>
      <right/>
      <top style="hair">
        <color indexed="64"/>
      </top>
      <bottom style="thin">
        <color theme="6"/>
      </bottom>
      <diagonal/>
    </border>
    <border>
      <left/>
      <right/>
      <top style="hair">
        <color indexed="64"/>
      </top>
      <bottom style="thin">
        <color theme="6"/>
      </bottom>
      <diagonal/>
    </border>
    <border>
      <left/>
      <right style="thin">
        <color rgb="FF92D050"/>
      </right>
      <top style="hair">
        <color indexed="64"/>
      </top>
      <bottom style="thin">
        <color theme="6"/>
      </bottom>
      <diagonal/>
    </border>
    <border>
      <left style="thin">
        <color theme="5" tint="0.39994506668294322"/>
      </left>
      <right/>
      <top style="hair">
        <color indexed="64"/>
      </top>
      <bottom style="thin">
        <color theme="5" tint="0.39991454817346722"/>
      </bottom>
      <diagonal/>
    </border>
    <border>
      <left/>
      <right/>
      <top style="hair">
        <color indexed="64"/>
      </top>
      <bottom style="thin">
        <color theme="5" tint="0.39991454817346722"/>
      </bottom>
      <diagonal/>
    </border>
    <border>
      <left/>
      <right style="thin">
        <color theme="5" tint="0.39991454817346722"/>
      </right>
      <top style="hair">
        <color indexed="64"/>
      </top>
      <bottom style="thin">
        <color theme="5" tint="0.39991454817346722"/>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medium">
        <color indexed="64"/>
      </top>
      <bottom style="thin">
        <color theme="0" tint="-0.14996795556505021"/>
      </bottom>
      <diagonal/>
    </border>
    <border>
      <left/>
      <right style="thin">
        <color theme="0" tint="-0.14996795556505021"/>
      </right>
      <top style="medium">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top style="thin">
        <color theme="0" tint="-0.14996795556505021"/>
      </top>
      <bottom style="medium">
        <color indexed="64"/>
      </bottom>
      <diagonal/>
    </border>
    <border>
      <left/>
      <right style="thin">
        <color theme="0" tint="-0.14996795556505021"/>
      </right>
      <top style="thin">
        <color theme="0" tint="-0.14996795556505021"/>
      </top>
      <bottom style="medium">
        <color indexed="64"/>
      </bottom>
      <diagonal/>
    </border>
    <border>
      <left style="thin">
        <color theme="0" tint="-0.14996795556505021"/>
      </left>
      <right/>
      <top style="thin">
        <color theme="0" tint="-0.14993743705557422"/>
      </top>
      <bottom/>
      <diagonal/>
    </border>
    <border>
      <left style="thin">
        <color theme="0" tint="-0.14996795556505021"/>
      </left>
      <right/>
      <top/>
      <bottom style="thin">
        <color theme="0" tint="-0.14993743705557422"/>
      </bottom>
      <diagonal/>
    </border>
    <border>
      <left/>
      <right/>
      <top style="thin">
        <color theme="0" tint="-0.14993743705557422"/>
      </top>
      <bottom/>
      <diagonal/>
    </border>
    <border>
      <left/>
      <right/>
      <top/>
      <bottom style="thin">
        <color theme="0" tint="-0.14993743705557422"/>
      </bottom>
      <diagonal/>
    </border>
    <border>
      <left style="thin">
        <color theme="0" tint="-0.14996795556505021"/>
      </left>
      <right style="thin">
        <color indexed="64"/>
      </right>
      <top style="thin">
        <color indexed="64"/>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indexed="64"/>
      </bottom>
      <diagonal/>
    </border>
    <border>
      <left/>
      <right style="thin">
        <color theme="0" tint="-0.14996795556505021"/>
      </right>
      <top style="medium">
        <color indexed="64"/>
      </top>
      <bottom/>
      <diagonal/>
    </border>
    <border>
      <left style="thin">
        <color theme="0" tint="-0.14996795556505021"/>
      </left>
      <right style="thin">
        <color indexed="64"/>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indexed="64"/>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right style="thin">
        <color theme="0" tint="-0.14996795556505021"/>
      </right>
      <top/>
      <bottom style="medium">
        <color indexed="64"/>
      </bottom>
      <diagonal/>
    </border>
    <border>
      <left style="thin">
        <color theme="0" tint="-0.14996795556505021"/>
      </left>
      <right/>
      <top style="thin">
        <color indexed="64"/>
      </top>
      <bottom/>
      <diagonal/>
    </border>
    <border>
      <left/>
      <right style="thin">
        <color theme="0" tint="-0.14996795556505021"/>
      </right>
      <top style="thin">
        <color indexed="64"/>
      </top>
      <bottom/>
      <diagonal/>
    </border>
    <border>
      <left style="thin">
        <color theme="0" tint="-0.14996795556505021"/>
      </left>
      <right/>
      <top/>
      <bottom style="thin">
        <color indexed="64"/>
      </bottom>
      <diagonal/>
    </border>
    <border>
      <left/>
      <right style="thin">
        <color theme="0" tint="-0.14996795556505021"/>
      </right>
      <top/>
      <bottom style="thin">
        <color indexed="64"/>
      </bottom>
      <diagonal/>
    </border>
    <border>
      <left style="thin">
        <color theme="0" tint="-0.14996795556505021"/>
      </left>
      <right style="thin">
        <color indexed="64"/>
      </right>
      <top style="thin">
        <color theme="0" tint="-0.14993743705557422"/>
      </top>
      <bottom style="thin">
        <color indexed="64"/>
      </bottom>
      <diagonal/>
    </border>
    <border>
      <left/>
      <right style="thin">
        <color theme="0" tint="-0.14996795556505021"/>
      </right>
      <top/>
      <bottom/>
      <diagonal/>
    </border>
    <border>
      <left/>
      <right/>
      <top/>
      <bottom style="thin">
        <color theme="0" tint="-0.14996795556505021"/>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96795556505021"/>
      </left>
      <right style="thin">
        <color indexed="64"/>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thin">
        <color indexed="64"/>
      </bottom>
      <diagonal/>
    </border>
    <border>
      <left style="thin">
        <color theme="0" tint="-0.14996795556505021"/>
      </left>
      <right style="thin">
        <color theme="0" tint="-0.14996795556505021"/>
      </right>
      <top/>
      <bottom style="thin">
        <color indexed="64"/>
      </bottom>
      <diagonal/>
    </border>
    <border>
      <left style="thin">
        <color indexed="64"/>
      </left>
      <right/>
      <top style="thin">
        <color theme="0" tint="-0.14996795556505021"/>
      </top>
      <bottom style="hair">
        <color indexed="64"/>
      </bottom>
      <diagonal/>
    </border>
    <border>
      <left/>
      <right/>
      <top style="thin">
        <color theme="0" tint="-0.14996795556505021"/>
      </top>
      <bottom style="hair">
        <color indexed="64"/>
      </bottom>
      <diagonal/>
    </border>
    <border>
      <left style="thin">
        <color indexed="64"/>
      </left>
      <right/>
      <top style="hair">
        <color indexed="64"/>
      </top>
      <bottom style="thin">
        <color theme="0" tint="-0.14996795556505021"/>
      </bottom>
      <diagonal/>
    </border>
    <border>
      <left/>
      <right/>
      <top style="hair">
        <color indexed="64"/>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indexed="64"/>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style="thin">
        <color indexed="64"/>
      </bottom>
      <diagonal/>
    </border>
    <border>
      <left style="thin">
        <color theme="0" tint="-0.14993743705557422"/>
      </left>
      <right style="thin">
        <color indexed="64"/>
      </right>
      <top style="thin">
        <color theme="0" tint="-0.14993743705557422"/>
      </top>
      <bottom style="thin">
        <color indexed="64"/>
      </bottom>
      <diagonal/>
    </border>
    <border>
      <left style="thin">
        <color theme="0" tint="-0.14996795556505021"/>
      </left>
      <right style="thin">
        <color theme="0" tint="-0.14993743705557422"/>
      </right>
      <top/>
      <bottom style="thin">
        <color theme="0" tint="-0.14993743705557422"/>
      </bottom>
      <diagonal/>
    </border>
    <border>
      <left style="thin">
        <color theme="0" tint="-0.14996795556505021"/>
      </left>
      <right style="thin">
        <color indexed="64"/>
      </right>
      <top style="thin">
        <color theme="0" tint="-0.14996795556505021"/>
      </top>
      <bottom style="thin">
        <color theme="0" tint="-0.14993743705557422"/>
      </bottom>
      <diagonal/>
    </border>
    <border>
      <left style="thin">
        <color theme="0" tint="-0.14996795556505021"/>
      </left>
      <right style="thin">
        <color theme="0" tint="-0.14993743705557422"/>
      </right>
      <top style="thin">
        <color indexed="64"/>
      </top>
      <bottom/>
      <diagonal/>
    </border>
    <border>
      <left style="thin">
        <color theme="0" tint="-0.14996795556505021"/>
      </left>
      <right style="thin">
        <color theme="0" tint="-0.14993743705557422"/>
      </right>
      <top/>
      <bottom/>
      <diagonal/>
    </border>
    <border>
      <left style="thin">
        <color theme="0" tint="-0.14996795556505021"/>
      </left>
      <right style="thin">
        <color theme="0" tint="-0.14993743705557422"/>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right style="thin">
        <color indexed="64"/>
      </right>
      <top style="thin">
        <color theme="0" tint="-0.14996795556505021"/>
      </top>
      <bottom style="thin">
        <color theme="0" tint="-0.14993743705557422"/>
      </bottom>
      <diagonal/>
    </border>
    <border>
      <left/>
      <right style="thin">
        <color indexed="64"/>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right style="thin">
        <color indexed="64"/>
      </right>
      <top style="thin">
        <color theme="0" tint="-0.14993743705557422"/>
      </top>
      <bottom style="thin">
        <color theme="0" tint="-0.14996795556505021"/>
      </bottom>
      <diagonal/>
    </border>
    <border>
      <left style="thin">
        <color theme="0" tint="-0.14996795556505021"/>
      </left>
      <right/>
      <top/>
      <bottom/>
      <diagonal/>
    </border>
    <border>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style="thin">
        <color indexed="64"/>
      </right>
      <top style="thin">
        <color theme="0" tint="-0.14996795556505021"/>
      </top>
      <bottom/>
      <diagonal/>
    </border>
    <border>
      <left style="thin">
        <color theme="0" tint="-0.14996795556505021"/>
      </left>
      <right/>
      <top/>
      <bottom style="thin">
        <color theme="0" tint="-0.14996795556505021"/>
      </bottom>
      <diagonal/>
    </border>
    <border>
      <left style="thin">
        <color theme="0" tint="-0.14993743705557422"/>
      </left>
      <right style="thin">
        <color indexed="64"/>
      </right>
      <top/>
      <bottom style="thin">
        <color theme="0" tint="-0.14993743705557422"/>
      </bottom>
      <diagonal/>
    </border>
    <border>
      <left style="thin">
        <color theme="0" tint="-0.14996795556505021"/>
      </left>
      <right style="thin">
        <color indexed="64"/>
      </right>
      <top/>
      <bottom style="thin">
        <color indexed="64"/>
      </bottom>
      <diagonal/>
    </border>
    <border>
      <left/>
      <right style="thin">
        <color indexed="64"/>
      </right>
      <top style="thin">
        <color theme="0" tint="-0.14993743705557422"/>
      </top>
      <bottom style="thin">
        <color indexed="64"/>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style="thin">
        <color indexed="64"/>
      </right>
      <top style="thin">
        <color theme="0" tint="-0.14993743705557422"/>
      </top>
      <bottom/>
      <diagonal/>
    </border>
    <border>
      <left style="thin">
        <color theme="0" tint="-0.14996795556505021"/>
      </left>
      <right style="thin">
        <color theme="0" tint="-0.14996795556505021"/>
      </right>
      <top style="thin">
        <color indexed="64"/>
      </top>
      <bottom style="thin">
        <color theme="0" tint="-0.14993743705557422"/>
      </bottom>
      <diagonal/>
    </border>
    <border>
      <left style="thin">
        <color theme="0" tint="-0.14996795556505021"/>
      </left>
      <right style="thin">
        <color indexed="64"/>
      </right>
      <top style="thin">
        <color indexed="64"/>
      </top>
      <bottom style="thin">
        <color theme="0" tint="-0.14993743705557422"/>
      </bottom>
      <diagonal/>
    </border>
    <border>
      <left/>
      <right style="thin">
        <color indexed="64"/>
      </right>
      <top style="thin">
        <color theme="0" tint="-0.14996795556505021"/>
      </top>
      <bottom style="thin">
        <color theme="0" tint="-0.14996795556505021"/>
      </bottom>
      <diagonal/>
    </border>
    <border>
      <left style="thin">
        <color theme="0" tint="-0.14996795556505021"/>
      </left>
      <right style="thin">
        <color theme="0" tint="-0.14993743705557422"/>
      </right>
      <top style="thin">
        <color indexed="64"/>
      </top>
      <bottom style="thin">
        <color theme="0" tint="-0.14993743705557422"/>
      </bottom>
      <diagonal/>
    </border>
    <border>
      <left style="thin">
        <color theme="0" tint="-0.14993743705557422"/>
      </left>
      <right style="thin">
        <color indexed="64"/>
      </right>
      <top style="thin">
        <color indexed="64"/>
      </top>
      <bottom style="thin">
        <color theme="0" tint="-0.14993743705557422"/>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bottom style="thin">
        <color theme="0" tint="-0.14993743705557422"/>
      </bottom>
      <diagonal/>
    </border>
    <border>
      <left style="thin">
        <color theme="0" tint="-0.14996795556505021"/>
      </left>
      <right/>
      <top/>
      <bottom style="hair">
        <color indexed="64"/>
      </bottom>
      <diagonal/>
    </border>
    <border>
      <left/>
      <right style="thin">
        <color theme="0" tint="-0.14996795556505021"/>
      </right>
      <top/>
      <bottom style="hair">
        <color indexed="64"/>
      </bottom>
      <diagonal/>
    </border>
    <border>
      <left/>
      <right style="thin">
        <color indexed="64"/>
      </right>
      <top style="thin">
        <color theme="0" tint="-0.14996795556505021"/>
      </top>
      <bottom style="hair">
        <color indexed="64"/>
      </bottom>
      <diagonal/>
    </border>
    <border>
      <left/>
      <right/>
      <top/>
      <bottom style="dotted">
        <color indexed="64"/>
      </bottom>
      <diagonal/>
    </border>
    <border>
      <left/>
      <right/>
      <top style="dotted">
        <color indexed="64"/>
      </top>
      <bottom/>
      <diagonal/>
    </border>
    <border>
      <left style="thin">
        <color theme="0" tint="-0.14996795556505021"/>
      </left>
      <right/>
      <top style="thin">
        <color indexed="64"/>
      </top>
      <bottom style="thin">
        <color indexed="64"/>
      </bottom>
      <diagonal/>
    </border>
    <border>
      <left/>
      <right style="thin">
        <color theme="0" tint="-0.14996795556505021"/>
      </right>
      <top style="thin">
        <color indexed="64"/>
      </top>
      <bottom style="thin">
        <color indexed="64"/>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style="thin">
        <color theme="0" tint="-0.14996795556505021"/>
      </left>
      <right/>
      <top style="thin">
        <color theme="0" tint="-0.14996795556505021"/>
      </top>
      <bottom style="thin">
        <color indexed="64"/>
      </bottom>
      <diagonal/>
    </border>
    <border>
      <left/>
      <right style="thin">
        <color theme="0" tint="-0.14996795556505021"/>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right/>
      <top style="thin">
        <color theme="0" tint="-0.14996795556505021"/>
      </top>
      <bottom style="medium">
        <color indexed="64"/>
      </bottom>
      <diagonal/>
    </border>
    <border>
      <left style="thin">
        <color theme="0" tint="-0.14990691854609822"/>
      </left>
      <right style="thin">
        <color indexed="64"/>
      </right>
      <top style="thin">
        <color theme="0" tint="-0.14993743705557422"/>
      </top>
      <bottom style="thin">
        <color indexed="64"/>
      </bottom>
      <diagonal/>
    </border>
    <border>
      <left style="thin">
        <color theme="0" tint="-0.14990691854609822"/>
      </left>
      <right style="thin">
        <color indexed="64"/>
      </right>
      <top style="thin">
        <color theme="0" tint="-0.14993743705557422"/>
      </top>
      <bottom style="thin">
        <color theme="0" tint="-0.14993743705557422"/>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style="thin">
        <color theme="0" tint="-0.14996795556505021"/>
      </left>
      <right/>
      <top style="thin">
        <color indexed="64"/>
      </top>
      <bottom style="thin">
        <color theme="0" tint="-0.14996795556505021"/>
      </bottom>
      <diagonal/>
    </border>
    <border>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diagonal/>
    </border>
    <border>
      <left style="thin">
        <color theme="0" tint="-0.14996795556505021"/>
      </left>
      <right style="medium">
        <color indexed="64"/>
      </right>
      <top style="thin">
        <color theme="0" tint="-0.14996795556505021"/>
      </top>
      <bottom/>
      <diagonal/>
    </border>
    <border>
      <left style="medium">
        <color indexed="64"/>
      </left>
      <right style="thin">
        <color theme="0" tint="-0.14996795556505021"/>
      </right>
      <top/>
      <bottom style="thin">
        <color theme="0" tint="-0.14996795556505021"/>
      </bottom>
      <diagonal/>
    </border>
    <border>
      <left style="thin">
        <color theme="0" tint="-0.14996795556505021"/>
      </left>
      <right style="medium">
        <color indexed="64"/>
      </right>
      <top/>
      <bottom style="thin">
        <color theme="0" tint="-0.149967955565050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style="thin">
        <color theme="0" tint="-0.14996795556505021"/>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diagonal/>
    </border>
    <border>
      <left style="thin">
        <color indexed="64"/>
      </left>
      <right style="thin">
        <color theme="0" tint="-0.14996795556505021"/>
      </right>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indexed="64"/>
      </bottom>
      <diagonal/>
    </border>
    <border>
      <left style="medium">
        <color indexed="64"/>
      </left>
      <right/>
      <top style="thin">
        <color theme="0" tint="-0.14996795556505021"/>
      </top>
      <bottom style="thin">
        <color theme="0" tint="-0.14996795556505021"/>
      </bottom>
      <diagonal/>
    </border>
    <border>
      <left style="thick">
        <color indexed="64"/>
      </left>
      <right style="hair">
        <color indexed="64"/>
      </right>
      <top style="medium">
        <color indexed="64"/>
      </top>
      <bottom style="thin">
        <color theme="0" tint="-0.24994659260841701"/>
      </bottom>
      <diagonal/>
    </border>
    <border>
      <left style="hair">
        <color indexed="64"/>
      </left>
      <right style="hair">
        <color indexed="64"/>
      </right>
      <top style="medium">
        <color indexed="64"/>
      </top>
      <bottom style="thin">
        <color theme="0" tint="-0.24994659260841701"/>
      </bottom>
      <diagonal/>
    </border>
    <border>
      <left style="hair">
        <color indexed="64"/>
      </left>
      <right/>
      <top style="medium">
        <color indexed="64"/>
      </top>
      <bottom style="thin">
        <color theme="0" tint="-0.24994659260841701"/>
      </bottom>
      <diagonal/>
    </border>
    <border>
      <left style="thin">
        <color indexed="64"/>
      </left>
      <right style="hair">
        <color indexed="64"/>
      </right>
      <top style="medium">
        <color indexed="64"/>
      </top>
      <bottom style="thin">
        <color theme="0" tint="-0.24994659260841701"/>
      </bottom>
      <diagonal/>
    </border>
    <border>
      <left style="hair">
        <color indexed="64"/>
      </left>
      <right style="thick">
        <color indexed="64"/>
      </right>
      <top style="medium">
        <color indexed="64"/>
      </top>
      <bottom style="thin">
        <color theme="0" tint="-0.24994659260841701"/>
      </bottom>
      <diagonal/>
    </border>
    <border>
      <left style="thick">
        <color indexed="64"/>
      </left>
      <right style="hair">
        <color indexed="64"/>
      </right>
      <top style="thin">
        <color theme="0" tint="-0.24994659260841701"/>
      </top>
      <bottom style="thin">
        <color theme="0" tint="-0.24994659260841701"/>
      </bottom>
      <diagonal/>
    </border>
    <border>
      <left style="hair">
        <color indexed="64"/>
      </left>
      <right style="hair">
        <color indexed="64"/>
      </right>
      <top style="thin">
        <color theme="0" tint="-0.24994659260841701"/>
      </top>
      <bottom style="thin">
        <color theme="0" tint="-0.24994659260841701"/>
      </bottom>
      <diagonal/>
    </border>
    <border>
      <left style="hair">
        <color indexed="64"/>
      </left>
      <right/>
      <top style="thin">
        <color theme="0" tint="-0.24994659260841701"/>
      </top>
      <bottom style="thin">
        <color theme="0" tint="-0.24994659260841701"/>
      </bottom>
      <diagonal/>
    </border>
    <border>
      <left style="thin">
        <color indexed="64"/>
      </left>
      <right style="hair">
        <color indexed="64"/>
      </right>
      <top style="thin">
        <color theme="0" tint="-0.24994659260841701"/>
      </top>
      <bottom style="thin">
        <color theme="0" tint="-0.24994659260841701"/>
      </bottom>
      <diagonal/>
    </border>
    <border>
      <left style="hair">
        <color indexed="64"/>
      </left>
      <right style="thick">
        <color indexed="64"/>
      </right>
      <top style="thin">
        <color theme="0" tint="-0.24994659260841701"/>
      </top>
      <bottom style="thin">
        <color theme="0" tint="-0.24994659260841701"/>
      </bottom>
      <diagonal/>
    </border>
    <border>
      <left style="thick">
        <color indexed="64"/>
      </left>
      <right style="thin">
        <color indexed="64"/>
      </right>
      <top style="medium">
        <color indexed="64"/>
      </top>
      <bottom style="thin">
        <color theme="0" tint="-0.24994659260841701"/>
      </bottom>
      <diagonal/>
    </border>
    <border>
      <left/>
      <right style="hair">
        <color indexed="64"/>
      </right>
      <top style="medium">
        <color indexed="64"/>
      </top>
      <bottom style="thin">
        <color theme="0" tint="-0.24994659260841701"/>
      </bottom>
      <diagonal/>
    </border>
    <border>
      <left style="thick">
        <color indexed="64"/>
      </left>
      <right style="thin">
        <color indexed="64"/>
      </right>
      <top style="thin">
        <color theme="0" tint="-0.24994659260841701"/>
      </top>
      <bottom style="thin">
        <color theme="0" tint="-0.24994659260841701"/>
      </bottom>
      <diagonal/>
    </border>
    <border>
      <left/>
      <right style="hair">
        <color indexed="64"/>
      </right>
      <top style="thin">
        <color theme="0" tint="-0.24994659260841701"/>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theme="0" tint="-0.24994659260841701"/>
      </left>
      <right style="thick">
        <color indexed="64"/>
      </right>
      <top style="medium">
        <color indexed="64"/>
      </top>
      <bottom style="thin">
        <color theme="0" tint="-0.24994659260841701"/>
      </bottom>
      <diagonal/>
    </border>
    <border>
      <left style="thin">
        <color theme="0" tint="-0.24994659260841701"/>
      </left>
      <right style="thick">
        <color indexed="64"/>
      </right>
      <top style="thin">
        <color theme="0" tint="-0.24994659260841701"/>
      </top>
      <bottom style="thin">
        <color theme="0" tint="-0.24994659260841701"/>
      </bottom>
      <diagonal/>
    </border>
    <border>
      <left style="thick">
        <color indexed="64"/>
      </left>
      <right style="thin">
        <color theme="0" tint="-0.24994659260841701"/>
      </right>
      <top style="medium">
        <color indexed="64"/>
      </top>
      <bottom style="thin">
        <color theme="0" tint="-0.24994659260841701"/>
      </bottom>
      <diagonal/>
    </border>
    <border>
      <left style="thick">
        <color indexed="64"/>
      </left>
      <right style="thin">
        <color theme="0" tint="-0.24994659260841701"/>
      </right>
      <top style="thin">
        <color theme="0" tint="-0.24994659260841701"/>
      </top>
      <bottom style="thin">
        <color theme="0" tint="-0.24994659260841701"/>
      </bottom>
      <diagonal/>
    </border>
    <border>
      <left/>
      <right style="thin">
        <color theme="0" tint="-0.14996795556505021"/>
      </right>
      <top/>
      <bottom style="thin">
        <color theme="0" tint="-0.14993743705557422"/>
      </bottom>
      <diagonal/>
    </border>
    <border>
      <left style="thin">
        <color theme="0" tint="-0.14996795556505021"/>
      </left>
      <right/>
      <top style="thin">
        <color theme="0" tint="-0.14993743705557422"/>
      </top>
      <bottom style="thin">
        <color theme="0" tint="-0.14993743705557422"/>
      </bottom>
      <diagonal/>
    </border>
    <border>
      <left/>
      <right style="thin">
        <color indexed="64"/>
      </right>
      <top style="thin">
        <color theme="0" tint="-0.14993743705557422"/>
      </top>
      <bottom/>
      <diagonal/>
    </border>
    <border>
      <left style="thin">
        <color theme="0" tint="-0.14996795556505021"/>
      </left>
      <right style="thin">
        <color theme="0" tint="-0.14996795556505021"/>
      </right>
      <top/>
      <bottom style="thin">
        <color theme="0" tint="-0.14993743705557422"/>
      </bottom>
      <diagonal/>
    </border>
    <border>
      <left/>
      <right style="thin">
        <color indexed="64"/>
      </right>
      <top style="dotted">
        <color indexed="64"/>
      </top>
      <bottom/>
      <diagonal/>
    </border>
    <border>
      <left/>
      <right style="thin">
        <color indexed="64"/>
      </right>
      <top/>
      <bottom style="dotted">
        <color indexed="64"/>
      </bottom>
      <diagonal/>
    </border>
    <border>
      <left/>
      <right style="hair">
        <color indexed="64"/>
      </right>
      <top style="medium">
        <color indexed="64"/>
      </top>
      <bottom style="thin">
        <color indexed="64"/>
      </bottom>
      <diagonal/>
    </border>
    <border>
      <left style="thin">
        <color theme="0" tint="-0.14993743705557422"/>
      </left>
      <right style="medium">
        <color auto="1"/>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right style="thin">
        <color indexed="64"/>
      </right>
      <top style="thin">
        <color theme="0" tint="-0.24994659260841701"/>
      </top>
      <bottom style="thin">
        <color theme="0" tint="-0.24994659260841701"/>
      </bottom>
      <diagonal/>
    </border>
    <border>
      <left style="thin">
        <color indexed="64"/>
      </left>
      <right style="hair">
        <color indexed="64"/>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ck">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top/>
      <bottom style="thick">
        <color indexed="64"/>
      </bottom>
      <diagonal/>
    </border>
    <border>
      <left style="thin">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64"/>
      </left>
      <right style="thin">
        <color theme="0" tint="-0.24994659260841701"/>
      </right>
      <top/>
      <bottom style="thick">
        <color indexed="64"/>
      </bottom>
      <diagonal/>
    </border>
    <border>
      <left style="thin">
        <color theme="0" tint="-0.24994659260841701"/>
      </left>
      <right style="thin">
        <color theme="0" tint="-0.24994659260841701"/>
      </right>
      <top/>
      <bottom style="thick">
        <color indexed="64"/>
      </bottom>
      <diagonal/>
    </border>
    <border>
      <left style="thin">
        <color theme="0" tint="-0.24994659260841701"/>
      </left>
      <right style="thick">
        <color indexed="64"/>
      </right>
      <top/>
      <bottom style="thick">
        <color indexed="64"/>
      </bottom>
      <diagonal/>
    </border>
    <border>
      <left style="thick">
        <color indexed="64"/>
      </left>
      <right style="thin">
        <color indexed="64"/>
      </right>
      <top/>
      <bottom style="thick">
        <color indexed="64"/>
      </bottom>
      <diagonal/>
    </border>
    <border>
      <left/>
      <right/>
      <top/>
      <bottom style="thick">
        <color indexed="64"/>
      </bottom>
      <diagonal/>
    </border>
    <border>
      <left/>
      <right style="hair">
        <color indexed="64"/>
      </right>
      <top/>
      <bottom style="thick">
        <color indexed="64"/>
      </bottom>
      <diagonal/>
    </border>
    <border>
      <left style="thin">
        <color indexed="64"/>
      </left>
      <right/>
      <top/>
      <bottom style="thick">
        <color indexed="64"/>
      </bottom>
      <diagonal/>
    </border>
    <border>
      <left style="medium">
        <color theme="6"/>
      </left>
      <right/>
      <top style="medium">
        <color theme="6"/>
      </top>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thin">
        <color theme="4" tint="0.79998168889431442"/>
      </bottom>
      <diagonal/>
    </border>
    <border>
      <left/>
      <right/>
      <top style="thin">
        <color theme="4" tint="0.79998168889431442"/>
      </top>
      <bottom style="thin">
        <color theme="4" tint="0.79998168889431442"/>
      </bottom>
      <diagonal/>
    </border>
    <border>
      <left/>
      <right/>
      <top style="thin">
        <color theme="4" tint="0.79998168889431442"/>
      </top>
      <bottom/>
      <diagonal/>
    </border>
    <border>
      <left/>
      <right/>
      <top/>
      <bottom style="thin">
        <color theme="6" tint="-0.24994659260841701"/>
      </bottom>
      <diagonal/>
    </border>
    <border>
      <left style="thin">
        <color theme="6" tint="-0.24994659260841701"/>
      </left>
      <right style="thin">
        <color theme="4" tint="0.79998168889431442"/>
      </right>
      <top style="thin">
        <color theme="6" tint="-0.24994659260841701"/>
      </top>
      <bottom style="thin">
        <color theme="6" tint="-0.24994659260841701"/>
      </bottom>
      <diagonal/>
    </border>
    <border>
      <left style="thin">
        <color theme="4" tint="0.79998168889431442"/>
      </left>
      <right style="thin">
        <color theme="4" tint="0.79998168889431442"/>
      </right>
      <top style="thin">
        <color theme="6" tint="-0.24994659260841701"/>
      </top>
      <bottom style="thin">
        <color theme="6" tint="-0.24994659260841701"/>
      </bottom>
      <diagonal/>
    </border>
    <border>
      <left style="thin">
        <color theme="4" tint="0.79998168889431442"/>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style="thin">
        <color theme="4" tint="0.79998168889431442"/>
      </left>
      <right style="thin">
        <color theme="6" tint="-0.24994659260841701"/>
      </right>
      <top/>
      <bottom style="thin">
        <color theme="4" tint="0.79998168889431442"/>
      </bottom>
      <diagonal/>
    </border>
    <border>
      <left style="thin">
        <color theme="6" tint="-0.24994659260841701"/>
      </left>
      <right/>
      <top style="thin">
        <color theme="4" tint="0.79998168889431442"/>
      </top>
      <bottom style="thin">
        <color theme="4" tint="0.79998168889431442"/>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6" tint="-0.24994659260841701"/>
      </right>
      <top style="thin">
        <color theme="4" tint="0.79998168889431442"/>
      </top>
      <bottom style="thin">
        <color theme="4" tint="0.79998168889431442"/>
      </bottom>
      <diagonal/>
    </border>
    <border>
      <left style="thin">
        <color theme="6" tint="-0.24994659260841701"/>
      </left>
      <right/>
      <top style="thin">
        <color theme="4" tint="0.79998168889431442"/>
      </top>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theme="6" tint="-0.24994659260841701"/>
      </right>
      <top style="thin">
        <color theme="4" tint="0.79998168889431442"/>
      </top>
      <bottom/>
      <diagonal/>
    </border>
    <border>
      <left style="thin">
        <color theme="6" tint="-0.24994659260841701"/>
      </left>
      <right/>
      <top style="thin">
        <color theme="4" tint="0.79998168889431442"/>
      </top>
      <bottom style="thin">
        <color theme="6" tint="-0.24994659260841701"/>
      </bottom>
      <diagonal/>
    </border>
    <border>
      <left style="thin">
        <color theme="4" tint="0.79998168889431442"/>
      </left>
      <right style="thin">
        <color theme="4" tint="0.79998168889431442"/>
      </right>
      <top style="thin">
        <color theme="4" tint="0.79998168889431442"/>
      </top>
      <bottom style="thin">
        <color theme="6" tint="-0.24994659260841701"/>
      </bottom>
      <diagonal/>
    </border>
    <border>
      <left style="thin">
        <color theme="4" tint="0.79998168889431442"/>
      </left>
      <right style="thin">
        <color theme="6" tint="-0.24994659260841701"/>
      </right>
      <top style="thin">
        <color theme="4" tint="0.79998168889431442"/>
      </top>
      <bottom style="thin">
        <color theme="6" tint="-0.24994659260841701"/>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top/>
      <bottom style="thin">
        <color theme="4" tint="0.79998168889431442"/>
      </bottom>
      <diagonal/>
    </border>
    <border>
      <left/>
      <right style="thin">
        <color theme="4" tint="0.79998168889431442"/>
      </right>
      <top/>
      <bottom style="thin">
        <color theme="4" tint="0.79998168889431442"/>
      </bottom>
      <diagonal/>
    </border>
    <border>
      <left/>
      <right style="thin">
        <color theme="6"/>
      </right>
      <top/>
      <bottom style="thin">
        <color theme="4" tint="0.79998168889431442"/>
      </bottom>
      <diagonal/>
    </border>
    <border>
      <left style="thin">
        <color theme="6"/>
      </left>
      <right/>
      <top style="thin">
        <color theme="4" tint="0.79998168889431442"/>
      </top>
      <bottom style="thin">
        <color theme="4" tint="0.79998168889431442"/>
      </bottom>
      <diagonal/>
    </border>
    <border>
      <left style="thin">
        <color theme="6"/>
      </left>
      <right/>
      <top style="thin">
        <color theme="4" tint="0.79998168889431442"/>
      </top>
      <bottom style="thin">
        <color theme="6"/>
      </bottom>
      <diagonal/>
    </border>
    <border>
      <left/>
      <right style="thin">
        <color theme="4" tint="0.79998168889431442"/>
      </right>
      <top/>
      <bottom style="thin">
        <color theme="6"/>
      </bottom>
      <diagonal/>
    </border>
    <border>
      <left/>
      <right style="thin">
        <color theme="6"/>
      </right>
      <top/>
      <bottom style="thin">
        <color theme="6"/>
      </bottom>
      <diagonal/>
    </border>
    <border>
      <left style="thin">
        <color rgb="FF92D050"/>
      </left>
      <right/>
      <top style="thin">
        <color rgb="FF92D050"/>
      </top>
      <bottom/>
      <diagonal/>
    </border>
    <border>
      <left style="thin">
        <color rgb="FF92D050"/>
      </left>
      <right/>
      <top/>
      <bottom/>
      <diagonal/>
    </border>
    <border>
      <left style="thin">
        <color rgb="FF92D050"/>
      </left>
      <right/>
      <top/>
      <bottom style="thin">
        <color rgb="FF92D050"/>
      </bottom>
      <diagonal/>
    </border>
    <border>
      <left/>
      <right style="thin">
        <color rgb="FF92D050"/>
      </right>
      <top/>
      <bottom style="thin">
        <color rgb="FF92D050"/>
      </bottom>
      <diagonal/>
    </border>
    <border>
      <left style="medium">
        <color indexed="64"/>
      </left>
      <right/>
      <top/>
      <bottom style="thin">
        <color theme="0" tint="-0.14996795556505021"/>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indexed="64"/>
      </right>
      <top style="thin">
        <color theme="0" tint="-0.14993743705557422"/>
      </top>
      <bottom/>
      <diagonal/>
    </border>
    <border>
      <left/>
      <right style="thin">
        <color indexed="64"/>
      </right>
      <top style="thin">
        <color indexed="64"/>
      </top>
      <bottom style="thin">
        <color theme="0" tint="-0.14996795556505021"/>
      </bottom>
      <diagonal/>
    </border>
    <border>
      <left style="medium">
        <color indexed="64"/>
      </left>
      <right style="medium">
        <color indexed="64"/>
      </right>
      <top/>
      <bottom style="medium">
        <color indexed="64"/>
      </bottom>
      <diagonal/>
    </border>
    <border>
      <left style="thin">
        <color theme="0" tint="-0.14996795556505021"/>
      </left>
      <right/>
      <top style="thin">
        <color theme="0" tint="-0.14993743705557422"/>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top style="thin">
        <color theme="1" tint="0.34998626667073579"/>
      </top>
      <bottom style="thin">
        <color indexed="64"/>
      </bottom>
      <diagonal/>
    </border>
    <border>
      <left/>
      <right/>
      <top style="thin">
        <color theme="6" tint="0.39994506668294322"/>
      </top>
      <bottom/>
      <diagonal/>
    </border>
    <border>
      <left style="thin">
        <color theme="6" tint="0.39991454817346722"/>
      </left>
      <right style="thin">
        <color theme="6" tint="0.39991454817346722"/>
      </right>
      <top style="thin">
        <color theme="6" tint="0.39991454817346722"/>
      </top>
      <bottom style="thin">
        <color theme="6" tint="0.39991454817346722"/>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s>
  <cellStyleXfs count="12">
    <xf numFmtId="0" fontId="0" fillId="0" borderId="0"/>
    <xf numFmtId="0" fontId="8" fillId="0" borderId="0" applyNumberFormat="0" applyFill="0" applyBorder="0" applyAlignment="0" applyProtection="0">
      <alignment vertical="top"/>
      <protection locked="0"/>
    </xf>
    <xf numFmtId="43" fontId="14" fillId="0" borderId="0" applyFont="0" applyFill="0" applyBorder="0" applyAlignment="0" applyProtection="0"/>
    <xf numFmtId="9" fontId="1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6" fillId="16" borderId="0" applyNumberFormat="0" applyBorder="0" applyAlignment="0" applyProtection="0"/>
    <xf numFmtId="0" fontId="141" fillId="0" borderId="0"/>
    <xf numFmtId="43" fontId="1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4" fillId="0" borderId="0"/>
  </cellStyleXfs>
  <cellXfs count="7317">
    <xf numFmtId="0" fontId="0" fillId="0" borderId="0" xfId="0"/>
    <xf numFmtId="0" fontId="0" fillId="2" borderId="0" xfId="0" applyFill="1"/>
    <xf numFmtId="0" fontId="0" fillId="4" borderId="0" xfId="0" applyFill="1" applyBorder="1"/>
    <xf numFmtId="0" fontId="0" fillId="4" borderId="0" xfId="0" applyFill="1" applyAlignment="1">
      <alignment vertical="top"/>
    </xf>
    <xf numFmtId="0" fontId="0" fillId="4" borderId="0" xfId="0" applyFill="1"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0" xfId="0" applyAlignment="1">
      <alignment wrapText="1"/>
    </xf>
    <xf numFmtId="0" fontId="0" fillId="0" borderId="12" xfId="0" applyBorder="1"/>
    <xf numFmtId="0" fontId="0" fillId="0" borderId="0" xfId="0" applyAlignment="1">
      <alignment vertical="top"/>
    </xf>
    <xf numFmtId="43" fontId="0" fillId="0" borderId="0" xfId="0" applyNumberFormat="1" applyAlignment="1">
      <alignment vertical="top"/>
    </xf>
    <xf numFmtId="0" fontId="27" fillId="0" borderId="0" xfId="0" applyFont="1" applyAlignment="1">
      <alignment vertical="top"/>
    </xf>
    <xf numFmtId="0" fontId="28" fillId="0" borderId="0" xfId="0" applyFont="1" applyAlignment="1">
      <alignment vertical="top"/>
    </xf>
    <xf numFmtId="0" fontId="29" fillId="13" borderId="0" xfId="0" applyFont="1" applyFill="1" applyAlignment="1">
      <alignment vertical="top"/>
    </xf>
    <xf numFmtId="167" fontId="3" fillId="0" borderId="12" xfId="2" applyNumberFormat="1" applyFont="1" applyFill="1" applyBorder="1" applyAlignment="1">
      <alignment vertical="top"/>
    </xf>
    <xf numFmtId="43" fontId="3" fillId="0" borderId="12" xfId="2" applyFont="1" applyFill="1" applyBorder="1" applyAlignment="1">
      <alignment vertical="top"/>
    </xf>
    <xf numFmtId="43" fontId="3" fillId="0" borderId="12" xfId="2" applyFont="1" applyBorder="1" applyAlignment="1">
      <alignment vertical="top"/>
    </xf>
    <xf numFmtId="0" fontId="6" fillId="6" borderId="0" xfId="0" applyFont="1" applyFill="1" applyAlignment="1">
      <alignment vertical="top"/>
    </xf>
    <xf numFmtId="43" fontId="3" fillId="0" borderId="12" xfId="2" applyFont="1" applyFill="1" applyBorder="1" applyAlignment="1">
      <alignment vertical="top" wrapText="1"/>
    </xf>
    <xf numFmtId="169" fontId="3" fillId="0" borderId="12" xfId="2" applyNumberFormat="1" applyFont="1" applyFill="1" applyBorder="1" applyAlignment="1">
      <alignment vertical="top"/>
    </xf>
    <xf numFmtId="167" fontId="3" fillId="0" borderId="12" xfId="2" applyNumberFormat="1" applyFont="1" applyBorder="1" applyAlignment="1">
      <alignment vertical="top"/>
    </xf>
    <xf numFmtId="43" fontId="0" fillId="0" borderId="12" xfId="0" applyNumberFormat="1" applyBorder="1" applyAlignment="1">
      <alignment vertical="top"/>
    </xf>
    <xf numFmtId="43" fontId="0" fillId="0" borderId="12" xfId="2" applyFont="1" applyFill="1" applyBorder="1" applyAlignment="1">
      <alignment vertical="top" wrapText="1"/>
    </xf>
    <xf numFmtId="43" fontId="0" fillId="0" borderId="0" xfId="2" applyFont="1" applyAlignment="1">
      <alignment vertical="top"/>
    </xf>
    <xf numFmtId="167" fontId="0" fillId="0" borderId="0" xfId="0" applyNumberFormat="1" applyAlignment="1">
      <alignment vertical="top"/>
    </xf>
    <xf numFmtId="168" fontId="0" fillId="0" borderId="12" xfId="0" applyNumberFormat="1" applyFill="1" applyBorder="1" applyAlignment="1">
      <alignment vertical="top"/>
    </xf>
    <xf numFmtId="168" fontId="3" fillId="0" borderId="12" xfId="3" applyNumberFormat="1" applyFont="1" applyFill="1" applyBorder="1" applyAlignment="1">
      <alignment vertical="top"/>
    </xf>
    <xf numFmtId="0" fontId="0" fillId="0" borderId="0" xfId="0" applyFill="1" applyAlignment="1">
      <alignment vertical="top"/>
    </xf>
    <xf numFmtId="43" fontId="5" fillId="0" borderId="12" xfId="2" applyFont="1" applyFill="1" applyBorder="1" applyAlignment="1">
      <alignment vertical="top" wrapText="1"/>
    </xf>
    <xf numFmtId="167" fontId="0" fillId="0" borderId="12" xfId="2" applyNumberFormat="1" applyFont="1" applyFill="1" applyBorder="1" applyAlignment="1">
      <alignment vertical="top"/>
    </xf>
    <xf numFmtId="167" fontId="5" fillId="0" borderId="12" xfId="2" applyNumberFormat="1" applyFont="1" applyFill="1" applyBorder="1" applyAlignment="1">
      <alignment vertical="top"/>
    </xf>
    <xf numFmtId="0" fontId="5" fillId="0" borderId="12" xfId="0" applyFont="1" applyBorder="1" applyAlignment="1">
      <alignment vertical="top"/>
    </xf>
    <xf numFmtId="0" fontId="0" fillId="0" borderId="12" xfId="0" applyFont="1" applyBorder="1" applyAlignment="1">
      <alignment vertical="top"/>
    </xf>
    <xf numFmtId="0" fontId="0" fillId="7" borderId="12" xfId="0" applyFill="1" applyBorder="1" applyAlignment="1">
      <alignment wrapText="1"/>
    </xf>
    <xf numFmtId="0" fontId="5" fillId="0" borderId="0" xfId="0" applyFont="1"/>
    <xf numFmtId="43" fontId="3" fillId="0" borderId="12" xfId="4" applyFont="1" applyBorder="1" applyAlignment="1">
      <alignment vertical="top"/>
    </xf>
    <xf numFmtId="167" fontId="3" fillId="0" borderId="12" xfId="4" applyNumberFormat="1" applyFont="1" applyBorder="1" applyAlignment="1">
      <alignment vertical="top"/>
    </xf>
    <xf numFmtId="43" fontId="0" fillId="0" borderId="12" xfId="4" applyFont="1" applyBorder="1" applyAlignment="1">
      <alignment vertical="top"/>
    </xf>
    <xf numFmtId="43" fontId="0" fillId="0" borderId="0" xfId="4" applyFont="1" applyAlignment="1">
      <alignment vertical="top"/>
    </xf>
    <xf numFmtId="167" fontId="3" fillId="0" borderId="0" xfId="2" applyNumberFormat="1" applyFont="1" applyFill="1" applyBorder="1" applyAlignment="1">
      <alignment vertical="top"/>
    </xf>
    <xf numFmtId="167" fontId="0" fillId="0" borderId="12" xfId="4" applyNumberFormat="1" applyFont="1" applyFill="1" applyBorder="1" applyAlignment="1">
      <alignment vertical="top"/>
    </xf>
    <xf numFmtId="0" fontId="0" fillId="0" borderId="12" xfId="0" applyFill="1" applyBorder="1" applyAlignment="1">
      <alignment vertical="top" wrapText="1"/>
    </xf>
    <xf numFmtId="0" fontId="0" fillId="0" borderId="0" xfId="0" applyBorder="1"/>
    <xf numFmtId="0" fontId="39" fillId="0" borderId="0" xfId="0" applyFont="1" applyAlignment="1">
      <alignment vertical="top"/>
    </xf>
    <xf numFmtId="0" fontId="0" fillId="7" borderId="13" xfId="0" applyFill="1" applyBorder="1" applyAlignment="1">
      <alignment vertical="top" wrapText="1"/>
    </xf>
    <xf numFmtId="0" fontId="0" fillId="4" borderId="0" xfId="0" applyFill="1"/>
    <xf numFmtId="0" fontId="38" fillId="4" borderId="0" xfId="0" applyFont="1" applyFill="1" applyBorder="1" applyAlignment="1">
      <alignment vertical="top"/>
    </xf>
    <xf numFmtId="0" fontId="5" fillId="4" borderId="0" xfId="0" applyFont="1" applyFill="1" applyBorder="1" applyAlignment="1">
      <alignment vertical="top"/>
    </xf>
    <xf numFmtId="0" fontId="0" fillId="0" borderId="0" xfId="0" applyFill="1" applyBorder="1" applyAlignment="1">
      <alignment vertical="top"/>
    </xf>
    <xf numFmtId="0" fontId="5" fillId="0" borderId="0" xfId="0" applyFont="1" applyFill="1" applyAlignment="1">
      <alignment vertical="top"/>
    </xf>
    <xf numFmtId="0" fontId="0" fillId="0" borderId="0" xfId="0" applyFill="1" applyBorder="1" applyAlignment="1">
      <alignment vertical="top" wrapText="1"/>
    </xf>
    <xf numFmtId="0" fontId="0" fillId="0" borderId="0" xfId="0" applyFont="1" applyFill="1" applyBorder="1" applyAlignment="1">
      <alignment vertical="top"/>
    </xf>
    <xf numFmtId="0" fontId="0" fillId="0" borderId="0" xfId="0" applyFont="1" applyFill="1" applyAlignment="1">
      <alignment vertical="top"/>
    </xf>
    <xf numFmtId="0" fontId="5" fillId="0" borderId="0" xfId="0" applyFont="1" applyFill="1" applyBorder="1" applyAlignment="1">
      <alignment vertical="top"/>
    </xf>
    <xf numFmtId="0" fontId="0" fillId="0" borderId="0" xfId="0" applyFill="1" applyBorder="1"/>
    <xf numFmtId="0" fontId="11" fillId="4" borderId="0" xfId="0" applyFont="1" applyFill="1" applyBorder="1" applyAlignment="1">
      <alignment vertical="top"/>
    </xf>
    <xf numFmtId="0" fontId="0" fillId="0" borderId="0" xfId="0" applyFill="1"/>
    <xf numFmtId="0" fontId="0" fillId="4" borderId="0" xfId="0" applyNumberFormat="1" applyFont="1" applyFill="1" applyBorder="1" applyAlignment="1" applyProtection="1"/>
    <xf numFmtId="0" fontId="0" fillId="0" borderId="12" xfId="0" applyFill="1" applyBorder="1" applyAlignment="1">
      <alignment vertical="center"/>
    </xf>
    <xf numFmtId="43" fontId="16" fillId="0" borderId="12" xfId="2" applyFont="1" applyFill="1" applyBorder="1" applyAlignment="1">
      <alignment vertical="top"/>
    </xf>
    <xf numFmtId="9" fontId="0" fillId="4" borderId="0" xfId="0" applyNumberFormat="1" applyFill="1" applyBorder="1"/>
    <xf numFmtId="9" fontId="0" fillId="0" borderId="0" xfId="5" applyFont="1"/>
    <xf numFmtId="43" fontId="16" fillId="0" borderId="12" xfId="2" applyFont="1" applyFill="1" applyBorder="1" applyAlignment="1">
      <alignment vertical="top" wrapText="1"/>
    </xf>
    <xf numFmtId="0" fontId="5" fillId="0" borderId="0" xfId="0" applyFont="1" applyAlignment="1">
      <alignment vertical="top"/>
    </xf>
    <xf numFmtId="167" fontId="3" fillId="0" borderId="12" xfId="4" applyNumberFormat="1" applyFont="1" applyFill="1" applyBorder="1" applyAlignment="1">
      <alignment vertical="top"/>
    </xf>
    <xf numFmtId="9" fontId="39" fillId="0" borderId="0" xfId="5" applyFont="1"/>
    <xf numFmtId="0" fontId="5" fillId="0" borderId="12" xfId="0" applyFont="1" applyFill="1" applyBorder="1" applyAlignment="1">
      <alignment vertical="top"/>
    </xf>
    <xf numFmtId="167" fontId="3" fillId="0" borderId="0" xfId="4" applyNumberFormat="1" applyFont="1" applyFill="1" applyBorder="1" applyAlignment="1">
      <alignment vertical="top"/>
    </xf>
    <xf numFmtId="0" fontId="56" fillId="0" borderId="0" xfId="0" applyFont="1" applyFill="1" applyBorder="1" applyAlignment="1">
      <alignment vertical="top"/>
    </xf>
    <xf numFmtId="167" fontId="16" fillId="0" borderId="12" xfId="4" applyNumberFormat="1" applyFont="1" applyFill="1" applyBorder="1" applyAlignment="1">
      <alignment vertical="top"/>
    </xf>
    <xf numFmtId="0" fontId="5" fillId="0" borderId="0" xfId="0" applyFont="1" applyFill="1" applyBorder="1" applyAlignment="1">
      <alignment vertical="top" wrapText="1"/>
    </xf>
    <xf numFmtId="167" fontId="39" fillId="0" borderId="0" xfId="4" applyNumberFormat="1" applyFont="1" applyFill="1" applyBorder="1" applyAlignment="1">
      <alignment vertical="top"/>
    </xf>
    <xf numFmtId="167" fontId="16" fillId="0" borderId="12" xfId="2" applyNumberFormat="1" applyFont="1" applyFill="1" applyBorder="1" applyAlignment="1">
      <alignment vertical="top"/>
    </xf>
    <xf numFmtId="0" fontId="16" fillId="0" borderId="12" xfId="0" applyFont="1" applyFill="1" applyBorder="1" applyAlignment="1">
      <alignment vertical="top" wrapText="1"/>
    </xf>
    <xf numFmtId="0" fontId="5" fillId="0" borderId="12" xfId="0" applyFont="1" applyFill="1" applyBorder="1" applyAlignment="1">
      <alignment vertical="top" wrapText="1"/>
    </xf>
    <xf numFmtId="167" fontId="5" fillId="0" borderId="12" xfId="4" applyNumberFormat="1" applyFont="1" applyFill="1" applyBorder="1" applyAlignment="1">
      <alignment vertical="top"/>
    </xf>
    <xf numFmtId="0" fontId="39" fillId="0" borderId="0" xfId="0" applyFont="1" applyFill="1" applyBorder="1" applyAlignment="1">
      <alignment vertical="top"/>
    </xf>
    <xf numFmtId="0" fontId="16" fillId="0" borderId="0" xfId="0" applyFont="1" applyFill="1" applyBorder="1" applyAlignment="1">
      <alignment vertical="top"/>
    </xf>
    <xf numFmtId="10" fontId="3" fillId="0" borderId="12" xfId="5" applyNumberFormat="1" applyFont="1" applyFill="1" applyBorder="1" applyAlignment="1">
      <alignment vertical="top"/>
    </xf>
    <xf numFmtId="0" fontId="16" fillId="0" borderId="12" xfId="0" applyFont="1" applyFill="1" applyBorder="1" applyAlignment="1">
      <alignment vertical="top"/>
    </xf>
    <xf numFmtId="0" fontId="11" fillId="0" borderId="0" xfId="0" applyFont="1" applyFill="1" applyBorder="1" applyAlignment="1">
      <alignment vertical="top"/>
    </xf>
    <xf numFmtId="167" fontId="11" fillId="0" borderId="12" xfId="4" applyNumberFormat="1" applyFont="1" applyFill="1" applyBorder="1" applyAlignment="1">
      <alignment vertical="top"/>
    </xf>
    <xf numFmtId="0" fontId="11" fillId="0" borderId="0" xfId="0" applyFont="1" applyFill="1" applyBorder="1"/>
    <xf numFmtId="0" fontId="11" fillId="0" borderId="12" xfId="0" applyFont="1" applyFill="1" applyBorder="1"/>
    <xf numFmtId="167" fontId="11" fillId="0" borderId="12" xfId="0" applyNumberFormat="1" applyFont="1" applyFill="1" applyBorder="1"/>
    <xf numFmtId="167" fontId="11" fillId="0" borderId="12" xfId="4" applyNumberFormat="1" applyFont="1" applyFill="1" applyBorder="1"/>
    <xf numFmtId="168" fontId="3" fillId="0" borderId="12" xfId="5" applyNumberFormat="1" applyFont="1" applyFill="1" applyBorder="1" applyAlignment="1">
      <alignment vertical="top"/>
    </xf>
    <xf numFmtId="0" fontId="5" fillId="0" borderId="0" xfId="0" applyFont="1" applyFill="1" applyBorder="1"/>
    <xf numFmtId="0" fontId="5" fillId="0" borderId="12" xfId="0" applyFont="1" applyFill="1" applyBorder="1"/>
    <xf numFmtId="167" fontId="5" fillId="0" borderId="12" xfId="0" applyNumberFormat="1" applyFont="1" applyFill="1" applyBorder="1"/>
    <xf numFmtId="167" fontId="5" fillId="0" borderId="12" xfId="4" applyNumberFormat="1" applyFont="1" applyFill="1" applyBorder="1"/>
    <xf numFmtId="43" fontId="0" fillId="0" borderId="12" xfId="4" applyFont="1" applyFill="1" applyBorder="1" applyAlignment="1">
      <alignment vertical="top"/>
    </xf>
    <xf numFmtId="0" fontId="11" fillId="0" borderId="0" xfId="0" applyFont="1" applyFill="1" applyAlignment="1">
      <alignment vertical="top"/>
    </xf>
    <xf numFmtId="0" fontId="4" fillId="0" borderId="0" xfId="0" applyFont="1" applyFill="1" applyBorder="1" applyAlignment="1">
      <alignment vertical="top"/>
    </xf>
    <xf numFmtId="0" fontId="57" fillId="0" borderId="0" xfId="0" applyFont="1" applyAlignment="1">
      <alignment horizontal="left" vertical="top"/>
    </xf>
    <xf numFmtId="43" fontId="57" fillId="0" borderId="12" xfId="2" applyFont="1" applyFill="1" applyBorder="1" applyAlignment="1">
      <alignment horizontal="left" vertical="top"/>
    </xf>
    <xf numFmtId="0" fontId="57" fillId="0" borderId="12" xfId="0" applyFont="1" applyBorder="1" applyAlignment="1">
      <alignment horizontal="left" vertical="top"/>
    </xf>
    <xf numFmtId="0" fontId="58" fillId="0" borderId="12" xfId="0" applyFont="1" applyBorder="1" applyAlignment="1">
      <alignment horizontal="left" vertical="top"/>
    </xf>
    <xf numFmtId="9" fontId="39" fillId="0" borderId="0" xfId="5" applyFont="1" applyAlignment="1">
      <alignment horizontal="left"/>
    </xf>
    <xf numFmtId="43" fontId="57" fillId="0" borderId="0" xfId="2" applyFont="1" applyFill="1" applyBorder="1" applyAlignment="1">
      <alignment horizontal="left" vertical="top"/>
    </xf>
    <xf numFmtId="0" fontId="33" fillId="0" borderId="12" xfId="0" applyFont="1" applyFill="1" applyBorder="1" applyAlignment="1">
      <alignment horizontal="left" vertical="top"/>
    </xf>
    <xf numFmtId="10" fontId="45" fillId="0" borderId="12" xfId="5" applyNumberFormat="1" applyFont="1" applyFill="1" applyBorder="1" applyAlignment="1">
      <alignment horizontal="left" vertical="top"/>
    </xf>
    <xf numFmtId="0" fontId="0" fillId="0" borderId="0" xfId="0" applyAlignment="1">
      <alignment horizontal="left"/>
    </xf>
    <xf numFmtId="43" fontId="58" fillId="0" borderId="12" xfId="2" applyFont="1" applyFill="1" applyBorder="1" applyAlignment="1">
      <alignment horizontal="left" vertical="top"/>
    </xf>
    <xf numFmtId="167" fontId="45" fillId="0" borderId="12" xfId="4" applyNumberFormat="1" applyFont="1" applyFill="1" applyBorder="1" applyAlignment="1">
      <alignment horizontal="left" vertical="top"/>
    </xf>
    <xf numFmtId="0" fontId="11" fillId="0" borderId="12" xfId="0" applyFont="1" applyFill="1" applyBorder="1" applyAlignment="1">
      <alignment horizontal="left"/>
    </xf>
    <xf numFmtId="43" fontId="59" fillId="0" borderId="12" xfId="2" applyFont="1" applyFill="1" applyBorder="1" applyAlignment="1">
      <alignment horizontal="left" vertical="top"/>
    </xf>
    <xf numFmtId="9" fontId="45" fillId="0" borderId="12" xfId="5" applyFont="1" applyFill="1" applyBorder="1" applyAlignment="1">
      <alignment horizontal="left" vertical="top"/>
    </xf>
    <xf numFmtId="0" fontId="5" fillId="0" borderId="12" xfId="0" applyFont="1" applyFill="1" applyBorder="1" applyAlignment="1">
      <alignment horizontal="left"/>
    </xf>
    <xf numFmtId="10" fontId="60" fillId="0" borderId="12" xfId="5" applyNumberFormat="1" applyFont="1" applyFill="1" applyBorder="1" applyAlignment="1">
      <alignment horizontal="left" vertical="top"/>
    </xf>
    <xf numFmtId="9" fontId="60" fillId="0" borderId="12" xfId="5" applyFont="1" applyFill="1" applyBorder="1" applyAlignment="1">
      <alignment horizontal="left" vertical="top"/>
    </xf>
    <xf numFmtId="43" fontId="60" fillId="0" borderId="12" xfId="2" applyFont="1" applyFill="1" applyBorder="1" applyAlignment="1">
      <alignment horizontal="left" vertical="top"/>
    </xf>
    <xf numFmtId="43" fontId="61" fillId="0" borderId="12" xfId="2" applyFont="1" applyFill="1" applyBorder="1" applyAlignment="1">
      <alignment horizontal="left" vertical="top"/>
    </xf>
    <xf numFmtId="0" fontId="57" fillId="0" borderId="12" xfId="0" applyFont="1" applyFill="1" applyBorder="1" applyAlignment="1">
      <alignment horizontal="left" vertical="top"/>
    </xf>
    <xf numFmtId="0" fontId="57" fillId="0" borderId="0" xfId="0" applyFont="1" applyBorder="1" applyAlignment="1">
      <alignment horizontal="left" vertical="top"/>
    </xf>
    <xf numFmtId="10" fontId="60" fillId="0" borderId="0" xfId="5" applyNumberFormat="1" applyFont="1" applyFill="1" applyBorder="1" applyAlignment="1">
      <alignment horizontal="left" vertical="top"/>
    </xf>
    <xf numFmtId="167" fontId="39" fillId="0" borderId="0" xfId="2" applyNumberFormat="1" applyFont="1" applyFill="1" applyBorder="1" applyAlignment="1">
      <alignment vertical="top"/>
    </xf>
    <xf numFmtId="43" fontId="60" fillId="0" borderId="12" xfId="5" applyNumberFormat="1" applyFont="1" applyFill="1" applyBorder="1" applyAlignment="1">
      <alignment horizontal="left" vertical="top"/>
    </xf>
    <xf numFmtId="170" fontId="39" fillId="0" borderId="0" xfId="2" applyNumberFormat="1" applyFont="1" applyFill="1" applyBorder="1" applyAlignment="1">
      <alignment vertical="top"/>
    </xf>
    <xf numFmtId="167" fontId="16" fillId="0" borderId="0" xfId="4" applyNumberFormat="1" applyFont="1" applyFill="1" applyBorder="1" applyAlignment="1">
      <alignment vertical="top"/>
    </xf>
    <xf numFmtId="43" fontId="16" fillId="0" borderId="12" xfId="4" applyNumberFormat="1" applyFont="1" applyFill="1" applyBorder="1" applyAlignment="1">
      <alignment vertical="top"/>
    </xf>
    <xf numFmtId="10" fontId="16" fillId="0" borderId="12" xfId="5" applyNumberFormat="1" applyFont="1" applyFill="1" applyBorder="1" applyAlignment="1">
      <alignment vertical="top"/>
    </xf>
    <xf numFmtId="167" fontId="0" fillId="0" borderId="0" xfId="0" applyNumberFormat="1" applyFill="1" applyBorder="1" applyAlignment="1">
      <alignment vertical="top"/>
    </xf>
    <xf numFmtId="9" fontId="0" fillId="0" borderId="0" xfId="5" applyFont="1" applyFill="1" applyBorder="1" applyAlignment="1">
      <alignment vertical="top"/>
    </xf>
    <xf numFmtId="0" fontId="16" fillId="0" borderId="0" xfId="0" applyFont="1" applyFill="1" applyAlignment="1">
      <alignment vertical="top"/>
    </xf>
    <xf numFmtId="167" fontId="16" fillId="0" borderId="0" xfId="2" applyNumberFormat="1" applyFont="1" applyFill="1" applyBorder="1" applyAlignment="1">
      <alignment vertical="top"/>
    </xf>
    <xf numFmtId="43" fontId="11" fillId="0" borderId="12" xfId="4" applyNumberFormat="1" applyFont="1" applyFill="1" applyBorder="1" applyAlignment="1">
      <alignment vertical="top"/>
    </xf>
    <xf numFmtId="167" fontId="0" fillId="0" borderId="0" xfId="0" applyNumberFormat="1" applyFill="1" applyAlignment="1">
      <alignment vertical="top"/>
    </xf>
    <xf numFmtId="167" fontId="57" fillId="0" borderId="12" xfId="0" applyNumberFormat="1" applyFont="1" applyFill="1" applyBorder="1" applyAlignment="1">
      <alignment horizontal="left" vertical="top"/>
    </xf>
    <xf numFmtId="9" fontId="0" fillId="0" borderId="0" xfId="5" applyFont="1" applyFill="1" applyAlignment="1">
      <alignment vertical="top"/>
    </xf>
    <xf numFmtId="9" fontId="3" fillId="0" borderId="12" xfId="5" applyFont="1" applyFill="1" applyBorder="1" applyAlignment="1">
      <alignment vertical="top"/>
    </xf>
    <xf numFmtId="9" fontId="0" fillId="0" borderId="12" xfId="5" applyFont="1" applyFill="1" applyBorder="1" applyAlignment="1">
      <alignment vertical="top" wrapText="1"/>
    </xf>
    <xf numFmtId="43" fontId="57" fillId="0" borderId="0" xfId="2" applyFont="1" applyFill="1" applyBorder="1" applyAlignment="1">
      <alignment vertical="center"/>
    </xf>
    <xf numFmtId="167" fontId="33" fillId="0" borderId="0" xfId="2" applyNumberFormat="1" applyFont="1" applyFill="1" applyBorder="1" applyAlignment="1">
      <alignment vertical="top"/>
    </xf>
    <xf numFmtId="0" fontId="11" fillId="0" borderId="0" xfId="0" applyFont="1" applyAlignment="1">
      <alignment vertical="top"/>
    </xf>
    <xf numFmtId="0" fontId="11" fillId="0" borderId="12" xfId="0" applyFont="1" applyBorder="1" applyAlignment="1">
      <alignment vertical="top"/>
    </xf>
    <xf numFmtId="0" fontId="62" fillId="0" borderId="12" xfId="0" applyFont="1" applyBorder="1" applyAlignment="1">
      <alignment horizontal="left" vertical="top"/>
    </xf>
    <xf numFmtId="167" fontId="39" fillId="0" borderId="12" xfId="2" applyNumberFormat="1" applyFont="1" applyFill="1" applyBorder="1" applyAlignment="1">
      <alignment vertical="top"/>
    </xf>
    <xf numFmtId="0" fontId="38" fillId="0" borderId="0" xfId="0" applyFont="1" applyAlignment="1">
      <alignment vertical="top"/>
    </xf>
    <xf numFmtId="43" fontId="0" fillId="0" borderId="0" xfId="2" applyFont="1" applyFill="1" applyBorder="1" applyAlignment="1">
      <alignment vertical="top" wrapText="1"/>
    </xf>
    <xf numFmtId="168" fontId="3" fillId="0" borderId="0" xfId="3" applyNumberFormat="1" applyFont="1" applyBorder="1" applyAlignment="1">
      <alignment vertical="top"/>
    </xf>
    <xf numFmtId="0" fontId="39" fillId="0" borderId="12" xfId="0" applyFont="1" applyBorder="1" applyAlignment="1">
      <alignment vertical="top"/>
    </xf>
    <xf numFmtId="167" fontId="5" fillId="0" borderId="12" xfId="2" applyNumberFormat="1" applyFont="1" applyBorder="1" applyAlignment="1">
      <alignment vertical="top"/>
    </xf>
    <xf numFmtId="0" fontId="0" fillId="0" borderId="0" xfId="0" applyFont="1" applyAlignment="1">
      <alignment vertical="top"/>
    </xf>
    <xf numFmtId="43" fontId="5" fillId="0" borderId="12" xfId="2" applyNumberFormat="1" applyFont="1" applyBorder="1" applyAlignment="1">
      <alignment vertical="top"/>
    </xf>
    <xf numFmtId="167" fontId="5" fillId="0" borderId="0" xfId="2" applyNumberFormat="1" applyFont="1" applyFill="1" applyBorder="1" applyAlignment="1">
      <alignment vertical="top"/>
    </xf>
    <xf numFmtId="0" fontId="58" fillId="0" borderId="0" xfId="0" applyFont="1" applyBorder="1" applyAlignment="1">
      <alignment horizontal="left" vertical="top"/>
    </xf>
    <xf numFmtId="43" fontId="5" fillId="0" borderId="0" xfId="4" applyFont="1" applyBorder="1" applyAlignment="1">
      <alignment vertical="top"/>
    </xf>
    <xf numFmtId="168" fontId="16" fillId="0" borderId="12" xfId="2" applyNumberFormat="1" applyFont="1" applyFill="1" applyBorder="1" applyAlignment="1">
      <alignment vertical="top"/>
    </xf>
    <xf numFmtId="43" fontId="16" fillId="0" borderId="12" xfId="0" applyNumberFormat="1" applyFont="1" applyFill="1" applyBorder="1" applyAlignment="1">
      <alignment vertical="top"/>
    </xf>
    <xf numFmtId="43" fontId="16" fillId="0" borderId="12" xfId="4" applyFont="1" applyFill="1" applyBorder="1" applyAlignment="1">
      <alignment vertical="top"/>
    </xf>
    <xf numFmtId="43" fontId="16" fillId="0" borderId="12" xfId="3" applyNumberFormat="1" applyFont="1" applyFill="1" applyBorder="1" applyAlignment="1">
      <alignment vertical="top"/>
    </xf>
    <xf numFmtId="168" fontId="11" fillId="0" borderId="12" xfId="0" applyNumberFormat="1" applyFont="1" applyFill="1" applyBorder="1" applyAlignment="1">
      <alignment vertical="top"/>
    </xf>
    <xf numFmtId="0" fontId="45" fillId="0" borderId="0" xfId="0" applyFont="1" applyFill="1" applyBorder="1" applyAlignment="1">
      <alignment horizontal="left"/>
    </xf>
    <xf numFmtId="167" fontId="11" fillId="0" borderId="0" xfId="0" applyNumberFormat="1" applyFont="1" applyFill="1" applyBorder="1"/>
    <xf numFmtId="167" fontId="11" fillId="0" borderId="0" xfId="4" applyNumberFormat="1" applyFont="1" applyFill="1" applyBorder="1"/>
    <xf numFmtId="43" fontId="16" fillId="0" borderId="0" xfId="2" applyFont="1" applyFill="1" applyBorder="1" applyAlignment="1">
      <alignment vertical="top" wrapText="1"/>
    </xf>
    <xf numFmtId="0" fontId="11" fillId="0" borderId="0" xfId="0" applyFont="1" applyFill="1" applyBorder="1" applyAlignment="1">
      <alignment horizontal="left"/>
    </xf>
    <xf numFmtId="0" fontId="0" fillId="0" borderId="12" xfId="0" applyFont="1" applyFill="1" applyBorder="1" applyAlignment="1">
      <alignment vertical="top" wrapText="1"/>
    </xf>
    <xf numFmtId="167" fontId="11" fillId="0" borderId="12" xfId="2" applyNumberFormat="1" applyFont="1" applyFill="1" applyBorder="1" applyAlignment="1">
      <alignment vertical="top"/>
    </xf>
    <xf numFmtId="167" fontId="11" fillId="0" borderId="0" xfId="2" applyNumberFormat="1" applyFont="1" applyFill="1" applyBorder="1" applyAlignment="1">
      <alignment vertical="top"/>
    </xf>
    <xf numFmtId="0" fontId="11" fillId="0" borderId="12" xfId="0" applyFont="1" applyFill="1" applyBorder="1" applyAlignment="1">
      <alignment vertical="top"/>
    </xf>
    <xf numFmtId="0" fontId="33" fillId="0" borderId="0" xfId="0" applyFont="1" applyAlignment="1">
      <alignment vertical="top"/>
    </xf>
    <xf numFmtId="0" fontId="16" fillId="0" borderId="0" xfId="0" applyFont="1" applyAlignment="1">
      <alignment vertical="top"/>
    </xf>
    <xf numFmtId="0" fontId="16" fillId="0" borderId="12" xfId="0" applyFont="1" applyBorder="1" applyAlignment="1">
      <alignment vertical="top" wrapText="1"/>
    </xf>
    <xf numFmtId="43" fontId="16" fillId="0" borderId="12" xfId="2" applyFont="1" applyBorder="1" applyAlignment="1">
      <alignment vertical="top"/>
    </xf>
    <xf numFmtId="0" fontId="33" fillId="0" borderId="0" xfId="0" applyFont="1" applyBorder="1" applyAlignment="1">
      <alignment vertical="top" wrapText="1"/>
    </xf>
    <xf numFmtId="0" fontId="33" fillId="0" borderId="0" xfId="0" applyFont="1" applyBorder="1" applyAlignment="1">
      <alignment vertical="top"/>
    </xf>
    <xf numFmtId="9" fontId="16" fillId="0" borderId="12" xfId="5" applyFont="1" applyFill="1" applyBorder="1" applyAlignment="1">
      <alignment vertical="top"/>
    </xf>
    <xf numFmtId="9" fontId="16" fillId="0" borderId="12" xfId="2" applyNumberFormat="1" applyFont="1" applyFill="1" applyBorder="1" applyAlignment="1">
      <alignment vertical="top"/>
    </xf>
    <xf numFmtId="0" fontId="39" fillId="0" borderId="0" xfId="0" applyFont="1" applyFill="1" applyAlignment="1">
      <alignment vertical="top"/>
    </xf>
    <xf numFmtId="0" fontId="30" fillId="12" borderId="12" xfId="0" applyFont="1" applyFill="1" applyBorder="1" applyAlignment="1">
      <alignment vertical="top"/>
    </xf>
    <xf numFmtId="43" fontId="16" fillId="0" borderId="12" xfId="4" applyNumberFormat="1" applyFont="1" applyBorder="1" applyAlignment="1">
      <alignment vertical="top"/>
    </xf>
    <xf numFmtId="0" fontId="67" fillId="0" borderId="12" xfId="0" applyFont="1" applyBorder="1" applyAlignment="1">
      <alignment horizontal="left" vertical="top"/>
    </xf>
    <xf numFmtId="43" fontId="16" fillId="0" borderId="0" xfId="0" applyNumberFormat="1" applyFont="1" applyFill="1" applyBorder="1" applyAlignment="1">
      <alignment vertical="top"/>
    </xf>
    <xf numFmtId="0" fontId="58" fillId="0" borderId="12" xfId="0" applyFont="1" applyFill="1" applyBorder="1" applyAlignment="1">
      <alignment horizontal="left" vertical="top"/>
    </xf>
    <xf numFmtId="10" fontId="16" fillId="0" borderId="12" xfId="2" applyNumberFormat="1" applyFont="1" applyBorder="1" applyAlignment="1">
      <alignment vertical="top"/>
    </xf>
    <xf numFmtId="43" fontId="11" fillId="0" borderId="12" xfId="2" applyFont="1" applyFill="1" applyBorder="1" applyAlignment="1">
      <alignment vertical="top" wrapText="1"/>
    </xf>
    <xf numFmtId="10" fontId="11" fillId="0" borderId="12" xfId="2" applyNumberFormat="1" applyFont="1" applyBorder="1" applyAlignment="1">
      <alignment vertical="top"/>
    </xf>
    <xf numFmtId="43" fontId="11" fillId="0" borderId="12" xfId="2" applyNumberFormat="1" applyFont="1" applyBorder="1" applyAlignment="1">
      <alignment vertical="top"/>
    </xf>
    <xf numFmtId="0" fontId="16" fillId="0" borderId="12" xfId="0" applyFont="1" applyFill="1" applyBorder="1" applyAlignment="1">
      <alignment horizontal="center" vertical="top"/>
    </xf>
    <xf numFmtId="0" fontId="11" fillId="0" borderId="12" xfId="0" applyFont="1" applyFill="1" applyBorder="1" applyAlignment="1">
      <alignment horizontal="center" vertical="top"/>
    </xf>
    <xf numFmtId="0" fontId="33" fillId="0" borderId="0" xfId="0" applyFont="1" applyAlignment="1">
      <alignment horizontal="left" vertical="top"/>
    </xf>
    <xf numFmtId="0" fontId="16" fillId="0" borderId="0" xfId="0" applyFont="1" applyBorder="1" applyAlignment="1">
      <alignment vertical="top"/>
    </xf>
    <xf numFmtId="43" fontId="11" fillId="0" borderId="0" xfId="2" applyFont="1" applyFill="1" applyBorder="1" applyAlignment="1">
      <alignment vertical="top" wrapText="1"/>
    </xf>
    <xf numFmtId="0" fontId="11" fillId="0" borderId="0" xfId="0" applyFont="1" applyFill="1" applyBorder="1" applyAlignment="1">
      <alignment horizontal="center" vertical="top"/>
    </xf>
    <xf numFmtId="10" fontId="11" fillId="0" borderId="0" xfId="2" applyNumberFormat="1" applyFont="1" applyBorder="1" applyAlignment="1">
      <alignment vertical="top"/>
    </xf>
    <xf numFmtId="0" fontId="16" fillId="0" borderId="12" xfId="0" applyFont="1" applyFill="1" applyBorder="1" applyAlignment="1">
      <alignment horizontal="right"/>
    </xf>
    <xf numFmtId="167" fontId="16" fillId="0" borderId="12" xfId="0" applyNumberFormat="1" applyFont="1" applyFill="1" applyBorder="1" applyAlignment="1">
      <alignment horizontal="right"/>
    </xf>
    <xf numFmtId="0" fontId="38" fillId="0" borderId="0" xfId="0" applyFont="1" applyFill="1" applyBorder="1" applyAlignment="1">
      <alignment vertical="top"/>
    </xf>
    <xf numFmtId="43" fontId="62" fillId="0" borderId="12" xfId="0" applyNumberFormat="1" applyFont="1" applyBorder="1" applyAlignment="1">
      <alignment horizontal="left" vertical="top"/>
    </xf>
    <xf numFmtId="169" fontId="16" fillId="0" borderId="12" xfId="4" applyNumberFormat="1" applyFont="1" applyBorder="1" applyAlignment="1">
      <alignment vertical="center"/>
    </xf>
    <xf numFmtId="169" fontId="16" fillId="0" borderId="12" xfId="0" applyNumberFormat="1" applyFont="1" applyBorder="1" applyAlignment="1">
      <alignment vertical="center"/>
    </xf>
    <xf numFmtId="43" fontId="5" fillId="0" borderId="12" xfId="0" applyNumberFormat="1" applyFont="1" applyFill="1" applyBorder="1" applyAlignment="1">
      <alignment vertical="top"/>
    </xf>
    <xf numFmtId="43" fontId="3" fillId="0" borderId="12" xfId="4" applyNumberFormat="1" applyFont="1" applyBorder="1" applyAlignment="1">
      <alignment vertical="top"/>
    </xf>
    <xf numFmtId="0" fontId="0" fillId="19" borderId="0" xfId="0" applyFill="1" applyAlignment="1">
      <alignment vertical="top"/>
    </xf>
    <xf numFmtId="167" fontId="3" fillId="19" borderId="0" xfId="2" applyNumberFormat="1" applyFont="1" applyFill="1" applyBorder="1" applyAlignment="1">
      <alignment vertical="top"/>
    </xf>
    <xf numFmtId="43" fontId="5" fillId="19" borderId="0" xfId="2" applyFont="1" applyFill="1" applyBorder="1" applyAlignment="1">
      <alignment vertical="top" wrapText="1"/>
    </xf>
    <xf numFmtId="0" fontId="57" fillId="19" borderId="0" xfId="0" applyFont="1" applyFill="1" applyBorder="1" applyAlignment="1">
      <alignment horizontal="left" vertical="top"/>
    </xf>
    <xf numFmtId="0" fontId="0" fillId="19" borderId="0" xfId="0" applyFill="1" applyBorder="1" applyAlignment="1">
      <alignment vertical="top"/>
    </xf>
    <xf numFmtId="2" fontId="58" fillId="0" borderId="12" xfId="0" applyNumberFormat="1" applyFont="1" applyBorder="1" applyAlignment="1">
      <alignment horizontal="center" vertical="top"/>
    </xf>
    <xf numFmtId="168" fontId="68" fillId="0" borderId="12" xfId="5" applyNumberFormat="1" applyFont="1" applyBorder="1" applyAlignment="1">
      <alignment horizontal="center" vertical="top"/>
    </xf>
    <xf numFmtId="9" fontId="16" fillId="0" borderId="12" xfId="3" applyFont="1" applyBorder="1" applyAlignment="1">
      <alignment vertical="top"/>
    </xf>
    <xf numFmtId="43" fontId="57" fillId="19" borderId="0" xfId="2" applyFont="1" applyFill="1" applyBorder="1" applyAlignment="1">
      <alignment horizontal="left" vertical="top"/>
    </xf>
    <xf numFmtId="0" fontId="39" fillId="19" borderId="0" xfId="0" applyFont="1" applyFill="1" applyAlignment="1">
      <alignment vertical="top"/>
    </xf>
    <xf numFmtId="0" fontId="39" fillId="19" borderId="0" xfId="0" applyFont="1" applyFill="1" applyBorder="1" applyAlignment="1">
      <alignment vertical="top"/>
    </xf>
    <xf numFmtId="43" fontId="39" fillId="19" borderId="0" xfId="2" applyFont="1" applyFill="1" applyBorder="1" applyAlignment="1">
      <alignment vertical="top"/>
    </xf>
    <xf numFmtId="0" fontId="11" fillId="19" borderId="0" xfId="0" applyFont="1" applyFill="1" applyBorder="1" applyAlignment="1">
      <alignment vertical="top" wrapText="1"/>
    </xf>
    <xf numFmtId="0" fontId="5" fillId="19" borderId="0" xfId="0" applyFont="1" applyFill="1"/>
    <xf numFmtId="0" fontId="5" fillId="19" borderId="0" xfId="0" quotePrefix="1" applyFont="1" applyFill="1"/>
    <xf numFmtId="0" fontId="16" fillId="7" borderId="12" xfId="0" applyFont="1" applyFill="1" applyBorder="1" applyAlignment="1">
      <alignment vertical="top" wrapText="1"/>
    </xf>
    <xf numFmtId="0" fontId="60" fillId="0" borderId="0" xfId="0" applyFont="1" applyAlignment="1">
      <alignment vertical="top"/>
    </xf>
    <xf numFmtId="0" fontId="60" fillId="0" borderId="12" xfId="0" applyFont="1" applyBorder="1" applyAlignment="1">
      <alignment vertical="top"/>
    </xf>
    <xf numFmtId="0" fontId="61" fillId="0" borderId="12" xfId="0" applyFont="1" applyBorder="1" applyAlignment="1">
      <alignment vertical="top"/>
    </xf>
    <xf numFmtId="0" fontId="0" fillId="19" borderId="13" xfId="0" applyFill="1" applyBorder="1" applyAlignment="1">
      <alignment vertical="top"/>
    </xf>
    <xf numFmtId="0" fontId="60" fillId="19" borderId="14" xfId="0" applyFont="1" applyFill="1" applyBorder="1" applyAlignment="1">
      <alignment vertical="top"/>
    </xf>
    <xf numFmtId="43" fontId="3" fillId="19" borderId="14" xfId="4" applyNumberFormat="1" applyFont="1" applyFill="1" applyBorder="1" applyAlignment="1">
      <alignment vertical="top"/>
    </xf>
    <xf numFmtId="170" fontId="3" fillId="19" borderId="14" xfId="4" applyNumberFormat="1" applyFont="1" applyFill="1" applyBorder="1" applyAlignment="1">
      <alignment vertical="top"/>
    </xf>
    <xf numFmtId="0" fontId="5" fillId="19" borderId="14" xfId="0" applyFont="1" applyFill="1" applyBorder="1" applyAlignment="1">
      <alignment vertical="top"/>
    </xf>
    <xf numFmtId="43" fontId="3" fillId="0" borderId="12" xfId="4" applyNumberFormat="1" applyFont="1" applyFill="1" applyBorder="1" applyAlignment="1">
      <alignment vertical="top"/>
    </xf>
    <xf numFmtId="0" fontId="11" fillId="0" borderId="12" xfId="0" applyFont="1" applyFill="1" applyBorder="1" applyAlignment="1">
      <alignment vertical="top" wrapText="1"/>
    </xf>
    <xf numFmtId="9" fontId="60" fillId="0" borderId="12" xfId="0" applyNumberFormat="1" applyFont="1" applyFill="1" applyBorder="1" applyAlignment="1">
      <alignment vertical="top"/>
    </xf>
    <xf numFmtId="43" fontId="16" fillId="0" borderId="12" xfId="4" applyFont="1" applyBorder="1" applyAlignment="1">
      <alignment vertical="top"/>
    </xf>
    <xf numFmtId="0" fontId="33" fillId="0" borderId="12" xfId="0" applyFont="1" applyBorder="1" applyAlignment="1">
      <alignment horizontal="center" vertical="top" wrapText="1"/>
    </xf>
    <xf numFmtId="1" fontId="5" fillId="0" borderId="12" xfId="0" applyNumberFormat="1" applyFont="1" applyBorder="1" applyAlignment="1">
      <alignment vertical="top"/>
    </xf>
    <xf numFmtId="1" fontId="5" fillId="0" borderId="12" xfId="4" applyNumberFormat="1" applyFont="1" applyBorder="1" applyAlignment="1">
      <alignment vertical="top"/>
    </xf>
    <xf numFmtId="0" fontId="68" fillId="0" borderId="12" xfId="0" applyFont="1" applyBorder="1" applyAlignment="1">
      <alignment vertical="top"/>
    </xf>
    <xf numFmtId="0" fontId="16" fillId="19" borderId="0" xfId="0" applyFont="1" applyFill="1" applyAlignment="1">
      <alignment vertical="top"/>
    </xf>
    <xf numFmtId="0" fontId="16" fillId="19" borderId="13" xfId="0" applyFont="1" applyFill="1" applyBorder="1" applyAlignment="1">
      <alignment vertical="top"/>
    </xf>
    <xf numFmtId="43" fontId="16" fillId="19" borderId="14" xfId="4" applyNumberFormat="1" applyFont="1" applyFill="1" applyBorder="1" applyAlignment="1">
      <alignment vertical="top"/>
    </xf>
    <xf numFmtId="170" fontId="16" fillId="19" borderId="14" xfId="4" applyNumberFormat="1" applyFont="1" applyFill="1" applyBorder="1" applyAlignment="1">
      <alignment vertical="top"/>
    </xf>
    <xf numFmtId="0" fontId="11" fillId="19" borderId="14" xfId="0" applyFont="1" applyFill="1" applyBorder="1" applyAlignment="1">
      <alignment vertical="top"/>
    </xf>
    <xf numFmtId="0" fontId="72" fillId="0" borderId="0" xfId="0" applyFont="1" applyFill="1" applyAlignment="1">
      <alignment vertical="top"/>
    </xf>
    <xf numFmtId="167" fontId="72" fillId="0" borderId="12" xfId="2" applyNumberFormat="1" applyFont="1" applyFill="1" applyBorder="1" applyAlignment="1">
      <alignment vertical="top"/>
    </xf>
    <xf numFmtId="0" fontId="72" fillId="0" borderId="12" xfId="0" applyFont="1" applyFill="1" applyBorder="1" applyAlignment="1">
      <alignment vertical="top" wrapText="1"/>
    </xf>
    <xf numFmtId="10" fontId="73" fillId="0" borderId="12" xfId="5" applyNumberFormat="1" applyFont="1" applyFill="1" applyBorder="1" applyAlignment="1">
      <alignment horizontal="left" vertical="top"/>
    </xf>
    <xf numFmtId="10" fontId="72" fillId="0" borderId="12" xfId="5" applyNumberFormat="1" applyFont="1" applyFill="1" applyBorder="1" applyAlignment="1">
      <alignment vertical="top"/>
    </xf>
    <xf numFmtId="0" fontId="72" fillId="0" borderId="0" xfId="0" applyFont="1" applyFill="1" applyBorder="1" applyAlignment="1">
      <alignment vertical="top"/>
    </xf>
    <xf numFmtId="43" fontId="73" fillId="0" borderId="12" xfId="2" applyFont="1" applyFill="1" applyBorder="1" applyAlignment="1">
      <alignment horizontal="left" vertical="top"/>
    </xf>
    <xf numFmtId="167" fontId="72" fillId="0" borderId="0" xfId="2" applyNumberFormat="1" applyFont="1" applyFill="1" applyBorder="1" applyAlignment="1">
      <alignment vertical="top"/>
    </xf>
    <xf numFmtId="0" fontId="72" fillId="0" borderId="0" xfId="0" applyFont="1" applyFill="1" applyBorder="1" applyAlignment="1">
      <alignment vertical="top" wrapText="1"/>
    </xf>
    <xf numFmtId="10" fontId="72" fillId="0" borderId="0" xfId="5" applyNumberFormat="1" applyFont="1" applyFill="1" applyBorder="1" applyAlignment="1">
      <alignment vertical="top"/>
    </xf>
    <xf numFmtId="167" fontId="72" fillId="0" borderId="12" xfId="4" applyNumberFormat="1" applyFont="1" applyFill="1" applyBorder="1" applyAlignment="1">
      <alignment vertical="top"/>
    </xf>
    <xf numFmtId="0" fontId="69" fillId="0" borderId="0" xfId="0" applyFont="1" applyFill="1" applyBorder="1" applyAlignment="1">
      <alignment vertical="top"/>
    </xf>
    <xf numFmtId="167" fontId="69" fillId="0" borderId="0" xfId="2" applyNumberFormat="1" applyFont="1" applyFill="1" applyBorder="1" applyAlignment="1">
      <alignment vertical="top"/>
    </xf>
    <xf numFmtId="0" fontId="69" fillId="0" borderId="0" xfId="0" applyFont="1" applyFill="1" applyBorder="1" applyAlignment="1">
      <alignment vertical="top" wrapText="1"/>
    </xf>
    <xf numFmtId="43" fontId="74" fillId="0" borderId="0" xfId="2" applyFont="1" applyFill="1" applyBorder="1" applyAlignment="1">
      <alignment horizontal="left" vertical="top"/>
    </xf>
    <xf numFmtId="167" fontId="69" fillId="0" borderId="0" xfId="4" applyNumberFormat="1" applyFont="1" applyFill="1" applyBorder="1" applyAlignment="1">
      <alignment vertical="top"/>
    </xf>
    <xf numFmtId="10" fontId="70" fillId="0" borderId="0" xfId="5" applyNumberFormat="1" applyFont="1" applyFill="1" applyBorder="1" applyAlignment="1">
      <alignment horizontal="left" vertical="top"/>
    </xf>
    <xf numFmtId="169" fontId="72" fillId="0" borderId="12" xfId="2" applyNumberFormat="1" applyFont="1" applyFill="1" applyBorder="1" applyAlignment="1">
      <alignment vertical="top"/>
    </xf>
    <xf numFmtId="10" fontId="70" fillId="0" borderId="12" xfId="5" applyNumberFormat="1" applyFont="1" applyFill="1" applyBorder="1" applyAlignment="1">
      <alignment horizontal="left" vertical="top"/>
    </xf>
    <xf numFmtId="9" fontId="70" fillId="0" borderId="12" xfId="5" applyFont="1" applyFill="1" applyBorder="1" applyAlignment="1">
      <alignment horizontal="left" vertical="top"/>
    </xf>
    <xf numFmtId="0" fontId="69" fillId="0" borderId="0" xfId="0" applyFont="1" applyFill="1" applyAlignment="1">
      <alignment vertical="top"/>
    </xf>
    <xf numFmtId="169" fontId="69" fillId="0" borderId="12" xfId="2" applyNumberFormat="1" applyFont="1" applyFill="1" applyBorder="1" applyAlignment="1">
      <alignment vertical="top"/>
    </xf>
    <xf numFmtId="0" fontId="75" fillId="0" borderId="12" xfId="0" applyFont="1" applyFill="1" applyBorder="1" applyAlignment="1">
      <alignment horizontal="left" vertical="top"/>
    </xf>
    <xf numFmtId="167" fontId="69" fillId="0" borderId="12" xfId="2" applyNumberFormat="1" applyFont="1" applyFill="1" applyBorder="1" applyAlignment="1">
      <alignment vertical="top"/>
    </xf>
    <xf numFmtId="0" fontId="21" fillId="0" borderId="0" xfId="0" applyFont="1" applyAlignment="1">
      <alignment vertical="top"/>
    </xf>
    <xf numFmtId="0" fontId="76" fillId="0" borderId="0" xfId="0" applyFont="1" applyAlignment="1">
      <alignment vertical="top"/>
    </xf>
    <xf numFmtId="0" fontId="78" fillId="0" borderId="0" xfId="0" applyFont="1" applyAlignment="1">
      <alignment horizontal="left" vertical="top"/>
    </xf>
    <xf numFmtId="9" fontId="40" fillId="0" borderId="0" xfId="5" applyFont="1"/>
    <xf numFmtId="0" fontId="21" fillId="0" borderId="0" xfId="0" applyFont="1" applyFill="1" applyBorder="1" applyAlignment="1">
      <alignment vertical="top"/>
    </xf>
    <xf numFmtId="0" fontId="79" fillId="13" borderId="0" xfId="0" applyFont="1" applyFill="1" applyAlignment="1">
      <alignment vertical="top"/>
    </xf>
    <xf numFmtId="167" fontId="21" fillId="0" borderId="0" xfId="2" applyNumberFormat="1" applyFont="1" applyFill="1" applyBorder="1" applyAlignment="1">
      <alignment vertical="top"/>
    </xf>
    <xf numFmtId="0" fontId="21" fillId="0" borderId="0" xfId="0" applyFont="1" applyFill="1" applyBorder="1" applyAlignment="1">
      <alignment vertical="top" wrapText="1"/>
    </xf>
    <xf numFmtId="43" fontId="78" fillId="0" borderId="0" xfId="2" applyFont="1" applyFill="1" applyBorder="1" applyAlignment="1">
      <alignment horizontal="left" vertical="top"/>
    </xf>
    <xf numFmtId="167" fontId="21" fillId="0" borderId="0" xfId="4" applyNumberFormat="1" applyFont="1" applyFill="1" applyBorder="1" applyAlignment="1">
      <alignment vertical="top"/>
    </xf>
    <xf numFmtId="43" fontId="70" fillId="0" borderId="12" xfId="2" applyFont="1" applyFill="1" applyBorder="1" applyAlignment="1">
      <alignment horizontal="left" vertical="top"/>
    </xf>
    <xf numFmtId="43" fontId="72" fillId="0" borderId="12" xfId="2" applyNumberFormat="1" applyFont="1" applyFill="1" applyBorder="1" applyAlignment="1">
      <alignment vertical="top"/>
    </xf>
    <xf numFmtId="167" fontId="69" fillId="0" borderId="12" xfId="4" applyNumberFormat="1" applyFont="1" applyFill="1" applyBorder="1" applyAlignment="1">
      <alignment vertical="top"/>
    </xf>
    <xf numFmtId="0" fontId="69" fillId="0" borderId="12" xfId="0" applyFont="1" applyFill="1" applyBorder="1" applyAlignment="1">
      <alignment vertical="top" wrapText="1"/>
    </xf>
    <xf numFmtId="0" fontId="80" fillId="13" borderId="0" xfId="0" applyFont="1" applyFill="1" applyAlignment="1">
      <alignment horizontal="left" vertical="top"/>
    </xf>
    <xf numFmtId="0" fontId="67" fillId="0" borderId="0" xfId="0" applyFont="1" applyAlignment="1">
      <alignment horizontal="left" vertical="top"/>
    </xf>
    <xf numFmtId="0" fontId="6" fillId="0" borderId="0" xfId="0" applyFont="1" applyAlignment="1">
      <alignment vertical="top"/>
    </xf>
    <xf numFmtId="0" fontId="81" fillId="13" borderId="0" xfId="0" applyFont="1" applyFill="1" applyAlignment="1">
      <alignment vertical="top"/>
    </xf>
    <xf numFmtId="0" fontId="82" fillId="13" borderId="0" xfId="0" applyFont="1" applyFill="1" applyAlignment="1">
      <alignment horizontal="left" vertical="top"/>
    </xf>
    <xf numFmtId="0" fontId="6" fillId="0" borderId="0" xfId="0" applyFont="1" applyFill="1" applyBorder="1" applyAlignment="1">
      <alignment vertical="top"/>
    </xf>
    <xf numFmtId="167" fontId="3" fillId="19" borderId="12" xfId="2" applyNumberFormat="1" applyFont="1" applyFill="1" applyBorder="1" applyAlignment="1">
      <alignment vertical="top"/>
    </xf>
    <xf numFmtId="165" fontId="0" fillId="0" borderId="0" xfId="0" applyNumberFormat="1" applyAlignment="1">
      <alignment vertical="top"/>
    </xf>
    <xf numFmtId="0" fontId="0" fillId="0" borderId="36" xfId="0" applyFill="1" applyBorder="1" applyAlignment="1">
      <alignment vertical="top" wrapText="1"/>
    </xf>
    <xf numFmtId="0" fontId="36" fillId="0" borderId="0" xfId="0" applyFont="1" applyAlignment="1">
      <alignment horizontal="left" vertical="top"/>
    </xf>
    <xf numFmtId="43" fontId="3" fillId="0" borderId="12" xfId="2" applyFont="1" applyFill="1" applyBorder="1" applyAlignment="1">
      <alignment horizontal="left" vertical="top" wrapText="1"/>
    </xf>
    <xf numFmtId="0" fontId="41" fillId="0" borderId="0" xfId="0" applyFont="1" applyAlignment="1">
      <alignment vertical="top"/>
    </xf>
    <xf numFmtId="0" fontId="85" fillId="0" borderId="12" xfId="0" applyFont="1" applyBorder="1" applyAlignment="1">
      <alignment horizontal="left" vertical="top"/>
    </xf>
    <xf numFmtId="167" fontId="85" fillId="0" borderId="12" xfId="4" applyNumberFormat="1" applyFont="1" applyBorder="1" applyAlignment="1">
      <alignment horizontal="center" vertical="top"/>
    </xf>
    <xf numFmtId="9" fontId="85" fillId="0" borderId="12" xfId="5" applyFont="1" applyBorder="1" applyAlignment="1">
      <alignment horizontal="center" vertical="top"/>
    </xf>
    <xf numFmtId="167" fontId="86" fillId="0" borderId="12" xfId="4" applyNumberFormat="1" applyFont="1" applyBorder="1" applyAlignment="1">
      <alignment horizontal="center" vertical="top"/>
    </xf>
    <xf numFmtId="0" fontId="33" fillId="0" borderId="12" xfId="0" applyFont="1" applyBorder="1" applyAlignment="1">
      <alignment vertical="top"/>
    </xf>
    <xf numFmtId="9" fontId="16" fillId="0" borderId="0" xfId="5" applyNumberFormat="1" applyFont="1" applyAlignment="1">
      <alignment vertical="top"/>
    </xf>
    <xf numFmtId="9" fontId="16" fillId="0" borderId="12" xfId="5" applyNumberFormat="1" applyFont="1" applyFill="1" applyBorder="1" applyAlignment="1">
      <alignment vertical="top"/>
    </xf>
    <xf numFmtId="9" fontId="68" fillId="0" borderId="12" xfId="5" applyNumberFormat="1" applyFont="1" applyBorder="1" applyAlignment="1">
      <alignment horizontal="center" vertical="top"/>
    </xf>
    <xf numFmtId="9" fontId="16" fillId="0" borderId="12" xfId="5" applyNumberFormat="1" applyFont="1" applyBorder="1" applyAlignment="1">
      <alignment vertical="top"/>
    </xf>
    <xf numFmtId="9" fontId="16" fillId="0" borderId="0" xfId="5" applyNumberFormat="1" applyFont="1" applyFill="1" applyBorder="1" applyAlignment="1">
      <alignment vertical="top"/>
    </xf>
    <xf numFmtId="9" fontId="72" fillId="0" borderId="0" xfId="5" applyNumberFormat="1" applyFont="1" applyAlignment="1">
      <alignment vertical="top"/>
    </xf>
    <xf numFmtId="9" fontId="72" fillId="0" borderId="12" xfId="5" applyNumberFormat="1" applyFont="1" applyFill="1" applyBorder="1" applyAlignment="1">
      <alignment vertical="top"/>
    </xf>
    <xf numFmtId="9" fontId="72" fillId="0" borderId="12" xfId="5" applyNumberFormat="1" applyFont="1" applyBorder="1" applyAlignment="1">
      <alignment vertical="top"/>
    </xf>
    <xf numFmtId="9" fontId="72" fillId="0" borderId="0" xfId="5" applyNumberFormat="1" applyFont="1" applyFill="1" applyBorder="1" applyAlignment="1">
      <alignment vertical="top"/>
    </xf>
    <xf numFmtId="0" fontId="72" fillId="0" borderId="0" xfId="0" applyFont="1" applyAlignment="1">
      <alignment vertical="top"/>
    </xf>
    <xf numFmtId="9" fontId="72" fillId="0" borderId="12" xfId="3" applyFont="1" applyBorder="1" applyAlignment="1">
      <alignment vertical="top"/>
    </xf>
    <xf numFmtId="43" fontId="16" fillId="0" borderId="12" xfId="4" applyFont="1" applyFill="1" applyBorder="1" applyAlignment="1">
      <alignment vertical="center"/>
    </xf>
    <xf numFmtId="0" fontId="0" fillId="0" borderId="13" xfId="0" applyFill="1" applyBorder="1" applyAlignment="1">
      <alignment vertical="center" wrapText="1"/>
    </xf>
    <xf numFmtId="0" fontId="0" fillId="0" borderId="12" xfId="0" applyFont="1" applyFill="1" applyBorder="1" applyAlignment="1">
      <alignment vertical="center"/>
    </xf>
    <xf numFmtId="0" fontId="88" fillId="0" borderId="0" xfId="0" applyFont="1" applyAlignment="1">
      <alignment vertical="top"/>
    </xf>
    <xf numFmtId="0" fontId="45" fillId="0" borderId="12" xfId="0" applyFont="1" applyBorder="1" applyAlignment="1">
      <alignment vertical="top"/>
    </xf>
    <xf numFmtId="0" fontId="0" fillId="4" borderId="0" xfId="0" applyFill="1" applyBorder="1" applyAlignment="1">
      <alignment vertical="center"/>
    </xf>
    <xf numFmtId="0" fontId="5" fillId="0" borderId="0" xfId="0" applyFont="1" applyFill="1"/>
    <xf numFmtId="0" fontId="33" fillId="0" borderId="0" xfId="0" applyFont="1" applyFill="1" applyAlignment="1">
      <alignment vertical="top"/>
    </xf>
    <xf numFmtId="0" fontId="0" fillId="0" borderId="13" xfId="0" applyFill="1" applyBorder="1" applyAlignment="1">
      <alignment vertical="center"/>
    </xf>
    <xf numFmtId="0" fontId="0" fillId="0" borderId="0" xfId="0" applyFill="1" applyBorder="1" applyAlignment="1"/>
    <xf numFmtId="0" fontId="0" fillId="0" borderId="0" xfId="0" applyAlignment="1">
      <alignment vertical="top" wrapText="1"/>
    </xf>
    <xf numFmtId="0" fontId="28" fillId="0" borderId="0" xfId="0" applyFont="1" applyAlignment="1">
      <alignment vertical="top" wrapText="1"/>
    </xf>
    <xf numFmtId="0" fontId="29" fillId="13" borderId="0" xfId="0" applyFont="1" applyFill="1" applyAlignment="1">
      <alignment vertical="top" wrapText="1"/>
    </xf>
    <xf numFmtId="43" fontId="5" fillId="0" borderId="12" xfId="2" applyFont="1" applyFill="1" applyBorder="1" applyAlignment="1">
      <alignment horizontal="left" vertical="top" wrapText="1"/>
    </xf>
    <xf numFmtId="0" fontId="11" fillId="0" borderId="12" xfId="0" applyFont="1" applyBorder="1" applyAlignment="1">
      <alignment vertical="top" wrapText="1"/>
    </xf>
    <xf numFmtId="0" fontId="11" fillId="0" borderId="12" xfId="0" applyFont="1" applyFill="1" applyBorder="1" applyAlignment="1">
      <alignment wrapText="1"/>
    </xf>
    <xf numFmtId="0" fontId="77" fillId="0" borderId="0" xfId="0" applyFont="1" applyAlignment="1">
      <alignment vertical="top" wrapText="1"/>
    </xf>
    <xf numFmtId="0" fontId="79" fillId="13" borderId="0" xfId="0" applyFont="1" applyFill="1" applyAlignment="1">
      <alignment vertical="top" wrapText="1"/>
    </xf>
    <xf numFmtId="43" fontId="72" fillId="0" borderId="0" xfId="2" applyFont="1" applyFill="1" applyBorder="1" applyAlignment="1">
      <alignment vertical="top" wrapText="1"/>
    </xf>
    <xf numFmtId="43" fontId="72" fillId="0" borderId="12" xfId="2" applyFont="1" applyFill="1" applyBorder="1" applyAlignment="1">
      <alignment vertical="top" wrapText="1"/>
    </xf>
    <xf numFmtId="43" fontId="69" fillId="0" borderId="12" xfId="2" applyFont="1" applyFill="1" applyBorder="1" applyAlignment="1">
      <alignment vertical="top" wrapText="1"/>
    </xf>
    <xf numFmtId="0" fontId="69" fillId="0" borderId="0" xfId="0" applyFont="1" applyFill="1" applyAlignment="1">
      <alignment vertical="top" wrapText="1"/>
    </xf>
    <xf numFmtId="43" fontId="3" fillId="0" borderId="0" xfId="2" applyFont="1" applyFill="1" applyBorder="1" applyAlignment="1">
      <alignment vertical="top" wrapText="1"/>
    </xf>
    <xf numFmtId="167" fontId="16" fillId="0" borderId="12" xfId="4" applyNumberFormat="1" applyFont="1" applyFill="1" applyBorder="1" applyAlignment="1">
      <alignment vertical="top" wrapText="1"/>
    </xf>
    <xf numFmtId="167" fontId="11" fillId="0" borderId="12" xfId="4" applyNumberFormat="1" applyFont="1" applyFill="1" applyBorder="1" applyAlignment="1">
      <alignment vertical="top" wrapText="1"/>
    </xf>
    <xf numFmtId="0" fontId="64" fillId="0" borderId="0" xfId="0" applyFont="1" applyAlignment="1">
      <alignment vertical="top" wrapText="1"/>
    </xf>
    <xf numFmtId="167" fontId="0" fillId="0" borderId="12" xfId="2" applyNumberFormat="1" applyFont="1" applyFill="1" applyBorder="1" applyAlignment="1">
      <alignment vertical="top" wrapText="1"/>
    </xf>
    <xf numFmtId="9" fontId="72" fillId="0" borderId="12" xfId="5" applyNumberFormat="1" applyFont="1" applyFill="1" applyBorder="1" applyAlignment="1">
      <alignment vertical="top" wrapText="1"/>
    </xf>
    <xf numFmtId="9" fontId="16" fillId="0" borderId="12" xfId="5" applyNumberFormat="1" applyFont="1" applyFill="1" applyBorder="1" applyAlignment="1">
      <alignment vertical="top" wrapText="1"/>
    </xf>
    <xf numFmtId="0" fontId="5" fillId="0" borderId="0" xfId="0" applyFont="1" applyAlignment="1">
      <alignment wrapText="1"/>
    </xf>
    <xf numFmtId="0" fontId="5" fillId="0" borderId="0" xfId="0" applyFont="1" applyBorder="1" applyAlignment="1">
      <alignment vertical="top" wrapText="1"/>
    </xf>
    <xf numFmtId="0" fontId="64" fillId="19" borderId="0" xfId="0" applyFont="1" applyFill="1" applyAlignment="1">
      <alignment vertical="top" wrapText="1"/>
    </xf>
    <xf numFmtId="0" fontId="54" fillId="0" borderId="0" xfId="0" applyFont="1" applyAlignment="1">
      <alignment vertical="top" wrapText="1"/>
    </xf>
    <xf numFmtId="0" fontId="81" fillId="13" borderId="0" xfId="0" applyFont="1" applyFill="1" applyAlignment="1">
      <alignment vertical="top" wrapText="1"/>
    </xf>
    <xf numFmtId="168" fontId="87" fillId="0" borderId="12" xfId="5" applyNumberFormat="1" applyFont="1" applyBorder="1" applyAlignment="1">
      <alignment horizontal="center" vertical="top"/>
    </xf>
    <xf numFmtId="0" fontId="16" fillId="0" borderId="12" xfId="0" applyFont="1" applyFill="1" applyBorder="1" applyAlignment="1">
      <alignment vertical="center"/>
    </xf>
    <xf numFmtId="43" fontId="39" fillId="0" borderId="0" xfId="0" applyNumberFormat="1" applyFont="1" applyAlignment="1">
      <alignment vertical="top"/>
    </xf>
    <xf numFmtId="0" fontId="16" fillId="0" borderId="43" xfId="0" applyFont="1" applyFill="1" applyBorder="1" applyAlignment="1">
      <alignment vertical="top"/>
    </xf>
    <xf numFmtId="0" fontId="16" fillId="0" borderId="36" xfId="0" applyFont="1" applyFill="1" applyBorder="1" applyAlignment="1">
      <alignment vertical="top"/>
    </xf>
    <xf numFmtId="0" fontId="4" fillId="5" borderId="43" xfId="0" applyFont="1" applyFill="1" applyBorder="1" applyAlignment="1">
      <alignment horizontal="center" vertical="center"/>
    </xf>
    <xf numFmtId="167" fontId="31" fillId="0" borderId="0" xfId="2" applyNumberFormat="1" applyFont="1" applyFill="1" applyBorder="1" applyAlignment="1">
      <alignment vertical="top"/>
    </xf>
    <xf numFmtId="0" fontId="38" fillId="0" borderId="12" xfId="0" applyFont="1" applyBorder="1" applyAlignment="1">
      <alignment horizontal="left" vertical="top"/>
    </xf>
    <xf numFmtId="43" fontId="16" fillId="0" borderId="12" xfId="0" applyNumberFormat="1" applyFont="1" applyBorder="1" applyAlignment="1">
      <alignment horizontal="left" vertical="top"/>
    </xf>
    <xf numFmtId="0" fontId="0" fillId="0" borderId="15" xfId="0" applyBorder="1" applyAlignment="1">
      <alignment vertical="top" wrapText="1"/>
    </xf>
    <xf numFmtId="0" fontId="91" fillId="19" borderId="0" xfId="0" applyFont="1" applyFill="1" applyAlignment="1">
      <alignment vertical="top" wrapText="1"/>
    </xf>
    <xf numFmtId="0" fontId="38" fillId="19" borderId="0" xfId="0" applyFont="1" applyFill="1" applyBorder="1" applyAlignment="1">
      <alignment vertical="top"/>
    </xf>
    <xf numFmtId="0" fontId="92" fillId="19" borderId="14" xfId="0" applyFont="1" applyFill="1" applyBorder="1" applyAlignment="1">
      <alignment vertical="top"/>
    </xf>
    <xf numFmtId="10" fontId="11" fillId="0" borderId="0" xfId="5" applyNumberFormat="1" applyFont="1" applyFill="1" applyBorder="1"/>
    <xf numFmtId="43" fontId="11" fillId="0" borderId="0" xfId="4" applyFont="1" applyFill="1" applyBorder="1"/>
    <xf numFmtId="167" fontId="16" fillId="0" borderId="12" xfId="4" applyNumberFormat="1" applyFont="1" applyBorder="1" applyAlignment="1">
      <alignment vertical="top"/>
    </xf>
    <xf numFmtId="167" fontId="16" fillId="0" borderId="0" xfId="4" applyNumberFormat="1" applyFont="1" applyBorder="1" applyAlignment="1">
      <alignment vertical="top"/>
    </xf>
    <xf numFmtId="43" fontId="0" fillId="0" borderId="0" xfId="0" applyNumberFormat="1"/>
    <xf numFmtId="0" fontId="63" fillId="0" borderId="12" xfId="0" applyFont="1" applyFill="1" applyBorder="1" applyAlignment="1">
      <alignment vertical="top"/>
    </xf>
    <xf numFmtId="167" fontId="16" fillId="0" borderId="12" xfId="2" applyNumberFormat="1" applyFont="1" applyBorder="1" applyAlignment="1">
      <alignment vertical="top"/>
    </xf>
    <xf numFmtId="0" fontId="39" fillId="4" borderId="0" xfId="0" applyFont="1" applyFill="1" applyBorder="1"/>
    <xf numFmtId="0" fontId="64" fillId="0" borderId="0" xfId="0" applyFont="1" applyAlignment="1">
      <alignment vertical="top"/>
    </xf>
    <xf numFmtId="167" fontId="72" fillId="0" borderId="12" xfId="4" applyNumberFormat="1" applyFont="1" applyFill="1" applyBorder="1" applyAlignment="1">
      <alignment vertical="top" wrapText="1"/>
    </xf>
    <xf numFmtId="43" fontId="72" fillId="0" borderId="12" xfId="4" applyNumberFormat="1" applyFont="1" applyFill="1" applyBorder="1" applyAlignment="1">
      <alignment vertical="top"/>
    </xf>
    <xf numFmtId="0" fontId="21" fillId="0" borderId="0" xfId="0" applyFont="1" applyFill="1" applyAlignment="1">
      <alignment vertical="top"/>
    </xf>
    <xf numFmtId="167" fontId="21" fillId="0" borderId="12" xfId="2" applyNumberFormat="1" applyFont="1" applyFill="1" applyBorder="1" applyAlignment="1">
      <alignment vertical="top"/>
    </xf>
    <xf numFmtId="43" fontId="21" fillId="0" borderId="12" xfId="2" applyFont="1" applyFill="1" applyBorder="1" applyAlignment="1">
      <alignment vertical="top" wrapText="1"/>
    </xf>
    <xf numFmtId="0" fontId="78" fillId="0" borderId="12" xfId="0" applyFont="1" applyFill="1" applyBorder="1" applyAlignment="1">
      <alignment horizontal="left" vertical="top"/>
    </xf>
    <xf numFmtId="43" fontId="72" fillId="0" borderId="12" xfId="4" applyFont="1" applyFill="1" applyBorder="1" applyAlignment="1">
      <alignment vertical="top"/>
    </xf>
    <xf numFmtId="43" fontId="16" fillId="0" borderId="0" xfId="4" applyFont="1" applyFill="1" applyBorder="1" applyAlignment="1">
      <alignment vertical="top"/>
    </xf>
    <xf numFmtId="43" fontId="0" fillId="0" borderId="0" xfId="0" applyNumberFormat="1" applyFill="1" applyBorder="1" applyAlignment="1">
      <alignment vertical="top"/>
    </xf>
    <xf numFmtId="43" fontId="16" fillId="0" borderId="13" xfId="2" applyFont="1" applyFill="1" applyBorder="1" applyAlignment="1">
      <alignment vertical="top" wrapText="1"/>
    </xf>
    <xf numFmtId="0" fontId="29" fillId="13" borderId="42" xfId="0" applyFont="1" applyFill="1" applyBorder="1" applyAlignment="1">
      <alignment vertical="top" wrapText="1"/>
    </xf>
    <xf numFmtId="9" fontId="0" fillId="0" borderId="0" xfId="0" applyNumberFormat="1" applyAlignment="1">
      <alignment vertical="top"/>
    </xf>
    <xf numFmtId="43" fontId="39" fillId="0" borderId="0" xfId="4" applyFont="1" applyAlignment="1">
      <alignment vertical="top"/>
    </xf>
    <xf numFmtId="0" fontId="45" fillId="0" borderId="0" xfId="0" applyFont="1"/>
    <xf numFmtId="0" fontId="45" fillId="0" borderId="0" xfId="0" applyFont="1" applyFill="1"/>
    <xf numFmtId="0" fontId="33" fillId="19" borderId="0" xfId="0" applyFont="1" applyFill="1" applyBorder="1" applyAlignment="1">
      <alignment vertical="top"/>
    </xf>
    <xf numFmtId="43" fontId="33" fillId="19" borderId="0" xfId="2" applyFont="1" applyFill="1" applyBorder="1" applyAlignment="1">
      <alignment vertical="top"/>
    </xf>
    <xf numFmtId="167" fontId="33" fillId="0" borderId="12" xfId="2" applyNumberFormat="1" applyFont="1" applyFill="1" applyBorder="1" applyAlignment="1">
      <alignment vertical="top"/>
    </xf>
    <xf numFmtId="167" fontId="33" fillId="0" borderId="12" xfId="2" applyNumberFormat="1" applyFont="1" applyBorder="1" applyAlignment="1">
      <alignment vertical="top"/>
    </xf>
    <xf numFmtId="9" fontId="33" fillId="0" borderId="12" xfId="5" applyFont="1" applyBorder="1" applyAlignment="1">
      <alignment vertical="top"/>
    </xf>
    <xf numFmtId="0" fontId="33" fillId="0" borderId="0" xfId="0" applyFont="1" applyFill="1" applyBorder="1" applyAlignment="1">
      <alignment vertical="top"/>
    </xf>
    <xf numFmtId="43" fontId="33" fillId="0" borderId="0" xfId="0" applyNumberFormat="1" applyFont="1" applyFill="1" applyBorder="1" applyAlignment="1">
      <alignment vertical="top"/>
    </xf>
    <xf numFmtId="43" fontId="16" fillId="0" borderId="12" xfId="0" applyNumberFormat="1" applyFont="1" applyBorder="1" applyAlignment="1">
      <alignment vertical="top"/>
    </xf>
    <xf numFmtId="43" fontId="3" fillId="0" borderId="12" xfId="3" applyNumberFormat="1" applyFont="1" applyBorder="1" applyAlignment="1">
      <alignment vertical="top"/>
    </xf>
    <xf numFmtId="0" fontId="41" fillId="4" borderId="0" xfId="0" applyFont="1" applyFill="1" applyBorder="1"/>
    <xf numFmtId="0" fontId="32" fillId="4" borderId="0" xfId="0" applyFont="1" applyFill="1" applyBorder="1" applyAlignment="1">
      <alignment wrapText="1"/>
    </xf>
    <xf numFmtId="167" fontId="16" fillId="4" borderId="0" xfId="0" applyNumberFormat="1" applyFont="1" applyFill="1" applyBorder="1" applyAlignment="1">
      <alignment wrapText="1"/>
    </xf>
    <xf numFmtId="0" fontId="0" fillId="6" borderId="0" xfId="0" applyFill="1" applyAlignment="1">
      <alignment vertical="top"/>
    </xf>
    <xf numFmtId="0" fontId="56" fillId="6" borderId="0" xfId="0" applyFont="1" applyFill="1" applyBorder="1" applyAlignment="1">
      <alignment vertical="top"/>
    </xf>
    <xf numFmtId="0" fontId="10" fillId="6" borderId="0" xfId="0" applyFont="1" applyFill="1" applyAlignment="1">
      <alignment vertical="center" wrapText="1"/>
    </xf>
    <xf numFmtId="0" fontId="93" fillId="4" borderId="0" xfId="0" applyFont="1" applyFill="1" applyBorder="1" applyAlignment="1">
      <alignment horizontal="center" vertical="top"/>
    </xf>
    <xf numFmtId="0" fontId="32" fillId="4" borderId="0" xfId="0" applyFont="1" applyFill="1" applyBorder="1" applyAlignment="1">
      <alignment horizontal="center" wrapText="1"/>
    </xf>
    <xf numFmtId="0" fontId="0" fillId="0" borderId="0" xfId="0" applyBorder="1" applyAlignment="1">
      <alignment vertical="top" wrapText="1"/>
    </xf>
    <xf numFmtId="9" fontId="0" fillId="0" borderId="0" xfId="5" applyFont="1" applyBorder="1" applyAlignment="1">
      <alignment vertical="top"/>
    </xf>
    <xf numFmtId="0" fontId="0" fillId="7" borderId="0" xfId="0" applyFill="1" applyBorder="1"/>
    <xf numFmtId="0" fontId="55" fillId="4" borderId="0" xfId="0" applyFont="1" applyFill="1" applyBorder="1"/>
    <xf numFmtId="0" fontId="24" fillId="7" borderId="0" xfId="0" applyFont="1" applyFill="1" applyBorder="1" applyAlignment="1">
      <alignment vertical="top"/>
    </xf>
    <xf numFmtId="0" fontId="0" fillId="7" borderId="0" xfId="0" applyFill="1" applyBorder="1" applyAlignment="1">
      <alignment vertical="top" wrapText="1"/>
    </xf>
    <xf numFmtId="0" fontId="0" fillId="7" borderId="0" xfId="0" applyFill="1" applyBorder="1" applyAlignment="1">
      <alignment horizontal="left" vertical="center"/>
    </xf>
    <xf numFmtId="0" fontId="21" fillId="7" borderId="0" xfId="0" applyFont="1" applyFill="1" applyBorder="1" applyAlignment="1">
      <alignment horizontal="right" vertical="top" wrapText="1"/>
    </xf>
    <xf numFmtId="43" fontId="0" fillId="7" borderId="0" xfId="2" applyFont="1" applyFill="1" applyBorder="1" applyAlignment="1">
      <alignment vertical="center"/>
    </xf>
    <xf numFmtId="168" fontId="0" fillId="3" borderId="40" xfId="0" applyNumberFormat="1" applyFill="1" applyBorder="1" applyAlignment="1">
      <alignment vertical="center"/>
    </xf>
    <xf numFmtId="9" fontId="16" fillId="3" borderId="86" xfId="5" applyFont="1" applyFill="1" applyBorder="1" applyAlignment="1">
      <alignment horizontal="right" vertical="center"/>
    </xf>
    <xf numFmtId="43" fontId="16" fillId="3" borderId="40" xfId="4" applyFont="1" applyFill="1" applyBorder="1" applyAlignment="1">
      <alignment horizontal="right" vertical="center"/>
    </xf>
    <xf numFmtId="0" fontId="32" fillId="4" borderId="0" xfId="0" applyFont="1" applyFill="1" applyBorder="1" applyAlignment="1">
      <alignment horizontal="center" wrapText="1"/>
    </xf>
    <xf numFmtId="0" fontId="25" fillId="7" borderId="0" xfId="0" applyFont="1" applyFill="1" applyBorder="1" applyAlignment="1">
      <alignment horizontal="center" vertical="center"/>
    </xf>
    <xf numFmtId="43" fontId="0" fillId="0" borderId="0" xfId="0" applyNumberFormat="1" applyAlignment="1">
      <alignment vertical="top" wrapText="1"/>
    </xf>
    <xf numFmtId="0" fontId="0" fillId="7" borderId="0" xfId="0" applyNumberFormat="1" applyFont="1" applyFill="1" applyBorder="1" applyAlignment="1" applyProtection="1"/>
    <xf numFmtId="0" fontId="0" fillId="4" borderId="0" xfId="0" applyFill="1" applyBorder="1" applyAlignment="1">
      <alignment horizontal="left" vertical="center"/>
    </xf>
    <xf numFmtId="0" fontId="55" fillId="7" borderId="0" xfId="0" applyFont="1" applyFill="1" applyBorder="1"/>
    <xf numFmtId="0" fontId="16" fillId="4" borderId="0" xfId="0" applyFont="1" applyFill="1" applyBorder="1"/>
    <xf numFmtId="0" fontId="39" fillId="7" borderId="0" xfId="0" applyFont="1" applyFill="1" applyBorder="1"/>
    <xf numFmtId="0" fontId="38" fillId="4" borderId="0" xfId="0" applyFont="1" applyFill="1" applyBorder="1" applyAlignment="1">
      <alignment vertical="center" wrapText="1"/>
    </xf>
    <xf numFmtId="0" fontId="20" fillId="4" borderId="0" xfId="0" applyFont="1" applyFill="1" applyBorder="1"/>
    <xf numFmtId="0" fontId="25"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24" fillId="4" borderId="0" xfId="0" applyFont="1" applyFill="1" applyBorder="1" applyAlignment="1">
      <alignment vertical="top"/>
    </xf>
    <xf numFmtId="0" fontId="33" fillId="7" borderId="0" xfId="0" applyFont="1" applyFill="1" applyBorder="1" applyAlignment="1">
      <alignment horizontal="left"/>
    </xf>
    <xf numFmtId="0" fontId="33" fillId="4" borderId="0" xfId="0" applyFont="1" applyFill="1" applyBorder="1" applyAlignment="1">
      <alignment horizontal="left"/>
    </xf>
    <xf numFmtId="0" fontId="0" fillId="4" borderId="0" xfId="0" applyFont="1" applyFill="1" applyBorder="1"/>
    <xf numFmtId="0" fontId="31" fillId="4" borderId="0" xfId="0" applyFont="1" applyFill="1" applyBorder="1" applyAlignment="1">
      <alignment horizontal="left"/>
    </xf>
    <xf numFmtId="0" fontId="0" fillId="7" borderId="0" xfId="0" applyFont="1" applyFill="1" applyBorder="1"/>
    <xf numFmtId="0" fontId="40" fillId="4" borderId="0" xfId="0" applyFont="1" applyFill="1" applyBorder="1" applyAlignment="1"/>
    <xf numFmtId="0" fontId="97" fillId="4" borderId="0" xfId="0" applyFont="1" applyFill="1" applyBorder="1"/>
    <xf numFmtId="0" fontId="18" fillId="4" borderId="0" xfId="0" applyFont="1" applyFill="1" applyBorder="1" applyAlignment="1">
      <alignment horizontal="left" vertical="center"/>
    </xf>
    <xf numFmtId="0" fontId="18" fillId="4" borderId="0" xfId="0" applyNumberFormat="1" applyFont="1" applyFill="1" applyBorder="1" applyAlignment="1" applyProtection="1"/>
    <xf numFmtId="0" fontId="18" fillId="4" borderId="0" xfId="0" applyFont="1" applyFill="1" applyBorder="1"/>
    <xf numFmtId="0" fontId="38" fillId="4" borderId="0" xfId="0" applyFont="1" applyFill="1" applyBorder="1"/>
    <xf numFmtId="0" fontId="39" fillId="4" borderId="0" xfId="0" applyFont="1" applyFill="1" applyBorder="1" applyAlignment="1">
      <alignment vertical="center"/>
    </xf>
    <xf numFmtId="43" fontId="39" fillId="4" borderId="0" xfId="0" applyNumberFormat="1" applyFont="1" applyFill="1" applyBorder="1"/>
    <xf numFmtId="0" fontId="65" fillId="7" borderId="0" xfId="0" applyFont="1" applyFill="1" applyBorder="1" applyAlignment="1">
      <alignment vertical="top"/>
    </xf>
    <xf numFmtId="43" fontId="0" fillId="0" borderId="0" xfId="4" applyFont="1" applyBorder="1" applyAlignment="1">
      <alignment vertical="top"/>
    </xf>
    <xf numFmtId="0" fontId="0" fillId="7" borderId="0" xfId="0" applyFill="1" applyBorder="1" applyAlignment="1">
      <alignment vertical="center"/>
    </xf>
    <xf numFmtId="0" fontId="0" fillId="0" borderId="13" xfId="0" applyBorder="1" applyAlignment="1">
      <alignment vertical="center" wrapText="1"/>
    </xf>
    <xf numFmtId="0" fontId="0" fillId="0" borderId="13" xfId="0" applyFont="1" applyBorder="1" applyAlignment="1">
      <alignment vertical="center"/>
    </xf>
    <xf numFmtId="0" fontId="16" fillId="7" borderId="13" xfId="0" applyFont="1" applyFill="1" applyBorder="1" applyAlignment="1">
      <alignment vertical="top" wrapText="1"/>
    </xf>
    <xf numFmtId="0" fontId="16" fillId="7" borderId="13" xfId="0" applyFont="1" applyFill="1" applyBorder="1" applyAlignment="1">
      <alignment horizontal="left" vertical="top" wrapText="1"/>
    </xf>
    <xf numFmtId="0" fontId="16" fillId="0" borderId="44" xfId="0" applyFont="1" applyFill="1" applyBorder="1" applyAlignment="1">
      <alignment vertical="center" wrapText="1"/>
    </xf>
    <xf numFmtId="167" fontId="26" fillId="4" borderId="0" xfId="4" applyNumberFormat="1" applyFont="1" applyFill="1" applyBorder="1"/>
    <xf numFmtId="167" fontId="72" fillId="0" borderId="0" xfId="4" applyNumberFormat="1" applyFont="1" applyFill="1" applyBorder="1" applyAlignment="1">
      <alignment vertical="top"/>
    </xf>
    <xf numFmtId="167" fontId="72" fillId="0" borderId="0" xfId="4" applyNumberFormat="1" applyFont="1" applyFill="1" applyBorder="1" applyAlignment="1">
      <alignment vertical="top" wrapText="1"/>
    </xf>
    <xf numFmtId="43" fontId="72" fillId="0" borderId="0" xfId="4" applyNumberFormat="1" applyFont="1" applyFill="1" applyBorder="1" applyAlignment="1">
      <alignment vertical="top"/>
    </xf>
    <xf numFmtId="0" fontId="11" fillId="0" borderId="0" xfId="0" applyFont="1" applyFill="1" applyBorder="1" applyAlignment="1">
      <alignment vertical="top" wrapText="1"/>
    </xf>
    <xf numFmtId="43" fontId="39" fillId="0" borderId="0" xfId="2" applyFont="1" applyFill="1" applyBorder="1" applyAlignment="1">
      <alignment vertical="top"/>
    </xf>
    <xf numFmtId="0" fontId="64" fillId="0" borderId="0" xfId="0" applyFont="1" applyFill="1" applyAlignment="1">
      <alignment vertical="top" wrapText="1"/>
    </xf>
    <xf numFmtId="43" fontId="16" fillId="0" borderId="0" xfId="0" applyNumberFormat="1" applyFont="1" applyBorder="1" applyAlignment="1">
      <alignment horizontal="left" vertical="top"/>
    </xf>
    <xf numFmtId="43" fontId="0" fillId="0" borderId="0" xfId="0" applyNumberFormat="1" applyBorder="1" applyAlignment="1">
      <alignment vertical="top"/>
    </xf>
    <xf numFmtId="167" fontId="37" fillId="0" borderId="12" xfId="4" applyNumberFormat="1" applyFont="1" applyBorder="1" applyAlignment="1">
      <alignment horizontal="center" vertical="top"/>
    </xf>
    <xf numFmtId="167" fontId="11" fillId="0" borderId="12" xfId="2" applyNumberFormat="1" applyFont="1" applyBorder="1" applyAlignment="1">
      <alignment vertical="top"/>
    </xf>
    <xf numFmtId="43" fontId="0" fillId="0" borderId="12" xfId="5" applyNumberFormat="1" applyFont="1" applyBorder="1" applyAlignment="1">
      <alignment vertical="top"/>
    </xf>
    <xf numFmtId="43" fontId="33" fillId="0" borderId="0" xfId="2" applyFont="1" applyFill="1" applyBorder="1" applyAlignment="1">
      <alignment vertical="top"/>
    </xf>
    <xf numFmtId="169" fontId="16" fillId="0" borderId="12" xfId="2" applyNumberFormat="1" applyFont="1" applyFill="1" applyBorder="1" applyAlignment="1">
      <alignment vertical="top"/>
    </xf>
    <xf numFmtId="43" fontId="11" fillId="0" borderId="12" xfId="2" applyFont="1" applyBorder="1" applyAlignment="1">
      <alignment vertical="top"/>
    </xf>
    <xf numFmtId="43" fontId="16" fillId="0" borderId="12" xfId="2" applyNumberFormat="1" applyFont="1" applyBorder="1" applyAlignment="1">
      <alignment vertical="top"/>
    </xf>
    <xf numFmtId="43" fontId="16" fillId="7" borderId="12" xfId="0" applyNumberFormat="1" applyFont="1" applyFill="1" applyBorder="1" applyAlignment="1">
      <alignment vertical="top" wrapText="1"/>
    </xf>
    <xf numFmtId="43" fontId="11" fillId="0" borderId="0" xfId="0" applyNumberFormat="1" applyFont="1" applyFill="1" applyBorder="1" applyAlignment="1">
      <alignment vertical="top"/>
    </xf>
    <xf numFmtId="0" fontId="16" fillId="19" borderId="0" xfId="0" applyFont="1" applyFill="1" applyBorder="1" applyAlignment="1">
      <alignment vertical="top"/>
    </xf>
    <xf numFmtId="43" fontId="16" fillId="19" borderId="0" xfId="2" applyFont="1" applyFill="1" applyBorder="1" applyAlignment="1">
      <alignment vertical="top"/>
    </xf>
    <xf numFmtId="43" fontId="16" fillId="0" borderId="0" xfId="2" applyFont="1" applyFill="1" applyBorder="1" applyAlignment="1">
      <alignment vertical="top"/>
    </xf>
    <xf numFmtId="0" fontId="0" fillId="0" borderId="0" xfId="0" applyFill="1" applyAlignment="1">
      <alignment vertical="top" wrapText="1"/>
    </xf>
    <xf numFmtId="43" fontId="0" fillId="0" borderId="0" xfId="0" applyNumberFormat="1" applyFill="1" applyBorder="1" applyAlignment="1">
      <alignment vertical="top" wrapText="1"/>
    </xf>
    <xf numFmtId="0" fontId="0" fillId="0" borderId="12" xfId="0" applyFill="1" applyBorder="1" applyAlignment="1">
      <alignment vertical="top"/>
    </xf>
    <xf numFmtId="0" fontId="16" fillId="0" borderId="12" xfId="0" applyFont="1" applyBorder="1" applyAlignment="1">
      <alignment vertical="top"/>
    </xf>
    <xf numFmtId="43" fontId="16" fillId="0" borderId="0" xfId="4" applyNumberFormat="1" applyFont="1" applyFill="1" applyBorder="1" applyAlignment="1">
      <alignment vertical="top"/>
    </xf>
    <xf numFmtId="43" fontId="57" fillId="0" borderId="12" xfId="0" applyNumberFormat="1" applyFont="1" applyBorder="1" applyAlignment="1">
      <alignment horizontal="left" vertical="top"/>
    </xf>
    <xf numFmtId="43" fontId="57" fillId="0" borderId="0" xfId="0" applyNumberFormat="1" applyFont="1" applyBorder="1" applyAlignment="1">
      <alignment horizontal="left" vertical="top"/>
    </xf>
    <xf numFmtId="9" fontId="16" fillId="0" borderId="0" xfId="5" applyFont="1" applyFill="1" applyBorder="1" applyAlignment="1">
      <alignment vertical="top"/>
    </xf>
    <xf numFmtId="43" fontId="11" fillId="0" borderId="12" xfId="4" applyFont="1" applyFill="1" applyBorder="1" applyAlignment="1">
      <alignment vertical="top"/>
    </xf>
    <xf numFmtId="43" fontId="58" fillId="0" borderId="12" xfId="0" applyNumberFormat="1" applyFont="1" applyBorder="1" applyAlignment="1">
      <alignment horizontal="left" vertical="top"/>
    </xf>
    <xf numFmtId="0" fontId="11" fillId="19" borderId="0" xfId="0" applyFont="1" applyFill="1" applyBorder="1" applyAlignment="1">
      <alignment vertical="top"/>
    </xf>
    <xf numFmtId="0" fontId="0" fillId="4" borderId="0" xfId="0" applyFill="1" applyBorder="1" applyAlignment="1">
      <alignment horizontal="center" vertical="top"/>
    </xf>
    <xf numFmtId="0" fontId="0" fillId="25" borderId="0" xfId="0" applyFill="1" applyBorder="1" applyAlignment="1">
      <alignment vertical="top"/>
    </xf>
    <xf numFmtId="0" fontId="0" fillId="25" borderId="0" xfId="0" applyFill="1" applyBorder="1"/>
    <xf numFmtId="0" fontId="43" fillId="25" borderId="0" xfId="0" applyFont="1" applyFill="1" applyBorder="1" applyAlignment="1">
      <alignment vertical="center"/>
    </xf>
    <xf numFmtId="0" fontId="0" fillId="26" borderId="0" xfId="0" applyFill="1" applyBorder="1"/>
    <xf numFmtId="0" fontId="101" fillId="26" borderId="0" xfId="0" applyFont="1" applyFill="1" applyBorder="1" applyAlignment="1">
      <alignment horizontal="left" vertical="center"/>
    </xf>
    <xf numFmtId="0" fontId="9" fillId="4" borderId="0" xfId="0" applyFont="1" applyFill="1" applyBorder="1" applyAlignment="1">
      <alignment vertical="top"/>
    </xf>
    <xf numFmtId="0" fontId="106" fillId="25" borderId="0" xfId="0" applyFont="1" applyFill="1" applyBorder="1" applyAlignment="1">
      <alignment vertical="top"/>
    </xf>
    <xf numFmtId="0" fontId="106" fillId="25" borderId="0" xfId="0" applyFont="1" applyFill="1" applyBorder="1" applyAlignment="1">
      <alignment vertical="center"/>
    </xf>
    <xf numFmtId="0" fontId="105" fillId="26" borderId="0" xfId="0" applyFont="1" applyFill="1" applyBorder="1" applyAlignment="1">
      <alignment vertical="center"/>
    </xf>
    <xf numFmtId="0" fontId="0" fillId="25" borderId="0" xfId="0" applyFill="1" applyBorder="1" applyAlignment="1">
      <alignment vertical="center"/>
    </xf>
    <xf numFmtId="0" fontId="0" fillId="4" borderId="0" xfId="0" applyFill="1" applyBorder="1" applyAlignment="1">
      <alignment horizontal="center" vertical="center"/>
    </xf>
    <xf numFmtId="0" fontId="103" fillId="26" borderId="0" xfId="1" applyFont="1" applyFill="1" applyBorder="1" applyAlignment="1" applyProtection="1">
      <alignment horizontal="center" vertical="center"/>
    </xf>
    <xf numFmtId="0" fontId="104" fillId="26" borderId="0" xfId="1" applyFont="1" applyFill="1" applyBorder="1" applyAlignment="1" applyProtection="1">
      <alignment horizontal="center" vertical="center"/>
    </xf>
    <xf numFmtId="0" fontId="0" fillId="25" borderId="0" xfId="0" applyFill="1"/>
    <xf numFmtId="0" fontId="108" fillId="7" borderId="0" xfId="0" applyFont="1" applyFill="1" applyBorder="1" applyAlignment="1">
      <alignment vertical="center"/>
    </xf>
    <xf numFmtId="0" fontId="94" fillId="25" borderId="0" xfId="0" applyFont="1" applyFill="1" applyBorder="1" applyAlignment="1">
      <alignment vertical="center"/>
    </xf>
    <xf numFmtId="0" fontId="104" fillId="26" borderId="0" xfId="1" applyFont="1" applyFill="1" applyBorder="1" applyAlignment="1" applyProtection="1">
      <alignment vertical="center"/>
    </xf>
    <xf numFmtId="0" fontId="39" fillId="25" borderId="0" xfId="0" applyFont="1" applyFill="1" applyBorder="1"/>
    <xf numFmtId="0" fontId="16" fillId="25" borderId="0" xfId="0" applyFont="1" applyFill="1" applyBorder="1"/>
    <xf numFmtId="0" fontId="39" fillId="25" borderId="0" xfId="0" applyFont="1" applyFill="1"/>
    <xf numFmtId="0" fontId="16" fillId="25" borderId="0" xfId="0" applyFont="1" applyFill="1"/>
    <xf numFmtId="0" fontId="113" fillId="6" borderId="0" xfId="0" applyFont="1" applyFill="1" applyBorder="1" applyAlignment="1">
      <alignment vertical="center"/>
    </xf>
    <xf numFmtId="0" fontId="0" fillId="25" borderId="0" xfId="0" applyNumberFormat="1" applyFont="1" applyFill="1" applyBorder="1" applyAlignment="1" applyProtection="1"/>
    <xf numFmtId="0" fontId="0" fillId="25" borderId="0" xfId="0" applyFill="1" applyAlignment="1">
      <alignment horizontal="left" vertical="center"/>
    </xf>
    <xf numFmtId="0" fontId="18" fillId="25" borderId="0" xfId="0" applyFont="1" applyFill="1" applyBorder="1"/>
    <xf numFmtId="0" fontId="18" fillId="25" borderId="0" xfId="0" applyFont="1" applyFill="1"/>
    <xf numFmtId="0" fontId="0" fillId="6" borderId="0" xfId="0" applyFill="1" applyBorder="1"/>
    <xf numFmtId="0" fontId="0" fillId="25" borderId="0" xfId="0" applyFont="1" applyFill="1"/>
    <xf numFmtId="0" fontId="0" fillId="25" borderId="0" xfId="0" applyFill="1" applyAlignment="1">
      <alignment vertical="center"/>
    </xf>
    <xf numFmtId="0" fontId="0" fillId="25" borderId="0" xfId="0" applyFont="1" applyFill="1" applyBorder="1"/>
    <xf numFmtId="0" fontId="33" fillId="25" borderId="0" xfId="0" applyFont="1" applyFill="1" applyAlignment="1">
      <alignment horizontal="left"/>
    </xf>
    <xf numFmtId="0" fontId="5" fillId="25" borderId="0" xfId="0" applyFont="1" applyFill="1" applyAlignment="1">
      <alignment vertical="center"/>
    </xf>
    <xf numFmtId="0" fontId="16" fillId="25" borderId="0" xfId="0" applyFont="1" applyFill="1" applyAlignment="1">
      <alignment vertical="center"/>
    </xf>
    <xf numFmtId="0" fontId="38" fillId="25" borderId="0" xfId="0" applyFont="1" applyFill="1" applyAlignment="1">
      <alignment vertical="center"/>
    </xf>
    <xf numFmtId="0" fontId="0" fillId="4" borderId="0" xfId="0" applyFill="1" applyAlignment="1">
      <alignment vertical="center"/>
    </xf>
    <xf numFmtId="0" fontId="38" fillId="4" borderId="0" xfId="0" applyFont="1" applyFill="1" applyAlignment="1">
      <alignment vertical="center"/>
    </xf>
    <xf numFmtId="0" fontId="0" fillId="4" borderId="0" xfId="0" applyFont="1" applyFill="1" applyAlignment="1">
      <alignment vertical="center"/>
    </xf>
    <xf numFmtId="0" fontId="39" fillId="4" borderId="0" xfId="0" applyFont="1" applyFill="1" applyAlignment="1">
      <alignment vertical="center"/>
    </xf>
    <xf numFmtId="0" fontId="5" fillId="4" borderId="0" xfId="0" applyFont="1" applyFill="1" applyAlignment="1">
      <alignment vertical="center"/>
    </xf>
    <xf numFmtId="0" fontId="16" fillId="4" borderId="0" xfId="0" applyFont="1" applyFill="1" applyAlignment="1">
      <alignment vertical="center"/>
    </xf>
    <xf numFmtId="0" fontId="52" fillId="7" borderId="0" xfId="0" applyFont="1" applyFill="1" applyBorder="1" applyAlignment="1">
      <alignment vertical="center"/>
    </xf>
    <xf numFmtId="0" fontId="121" fillId="7" borderId="0" xfId="0" applyFont="1" applyFill="1" applyBorder="1" applyAlignment="1">
      <alignment vertical="center"/>
    </xf>
    <xf numFmtId="0" fontId="122" fillId="7" borderId="0" xfId="0" applyFont="1" applyFill="1" applyBorder="1" applyAlignment="1">
      <alignment vertical="center" wrapText="1"/>
    </xf>
    <xf numFmtId="0" fontId="121" fillId="25" borderId="0" xfId="0" applyFont="1" applyFill="1" applyBorder="1" applyAlignment="1">
      <alignment vertical="center"/>
    </xf>
    <xf numFmtId="0" fontId="46" fillId="4" borderId="0" xfId="0" applyFont="1" applyFill="1" applyBorder="1" applyAlignment="1">
      <alignment vertical="center"/>
    </xf>
    <xf numFmtId="0" fontId="120" fillId="4" borderId="0" xfId="0" applyFont="1" applyFill="1" applyAlignment="1">
      <alignment vertical="center"/>
    </xf>
    <xf numFmtId="0" fontId="25" fillId="4" borderId="0" xfId="0" applyFont="1" applyFill="1" applyAlignment="1">
      <alignment vertical="center"/>
    </xf>
    <xf numFmtId="0" fontId="25" fillId="25" borderId="0" xfId="0" applyFont="1" applyFill="1" applyAlignment="1">
      <alignment vertical="center"/>
    </xf>
    <xf numFmtId="0" fontId="46" fillId="4" borderId="0" xfId="0" applyFont="1" applyFill="1" applyBorder="1" applyAlignment="1">
      <alignment horizontal="right" vertical="center"/>
    </xf>
    <xf numFmtId="0" fontId="0" fillId="25" borderId="0" xfId="0" applyFont="1" applyFill="1" applyAlignment="1">
      <alignment vertical="center"/>
    </xf>
    <xf numFmtId="0" fontId="0" fillId="25" borderId="0" xfId="0" applyFill="1" applyAlignment="1"/>
    <xf numFmtId="0" fontId="0" fillId="26" borderId="89" xfId="0" applyFill="1" applyBorder="1" applyAlignment="1">
      <alignment horizontal="center"/>
    </xf>
    <xf numFmtId="0" fontId="0" fillId="26" borderId="90" xfId="0" applyFill="1" applyBorder="1"/>
    <xf numFmtId="0" fontId="0" fillId="26" borderId="91" xfId="0" applyFill="1" applyBorder="1"/>
    <xf numFmtId="0" fontId="0" fillId="26" borderId="92" xfId="0" applyFill="1" applyBorder="1" applyAlignment="1">
      <alignment horizontal="center"/>
    </xf>
    <xf numFmtId="0" fontId="0" fillId="26" borderId="93" xfId="0" applyFill="1" applyBorder="1"/>
    <xf numFmtId="0" fontId="105" fillId="26" borderId="93" xfId="0" applyFont="1" applyFill="1" applyBorder="1" applyAlignment="1">
      <alignment vertical="center"/>
    </xf>
    <xf numFmtId="0" fontId="103" fillId="26" borderId="92" xfId="1" applyFont="1" applyFill="1" applyBorder="1" applyAlignment="1" applyProtection="1">
      <alignment horizontal="center" vertical="center"/>
    </xf>
    <xf numFmtId="0" fontId="84" fillId="7" borderId="92" xfId="0" applyFont="1" applyFill="1" applyBorder="1" applyAlignment="1">
      <alignment horizontal="center" vertical="top"/>
    </xf>
    <xf numFmtId="0" fontId="108" fillId="7" borderId="93" xfId="0" applyFont="1" applyFill="1" applyBorder="1" applyAlignment="1">
      <alignment vertical="center"/>
    </xf>
    <xf numFmtId="0" fontId="104" fillId="25" borderId="95" xfId="1" applyFont="1" applyFill="1" applyBorder="1" applyAlignment="1" applyProtection="1">
      <alignment horizontal="left" vertical="center"/>
    </xf>
    <xf numFmtId="0" fontId="97" fillId="7" borderId="0" xfId="0" applyFont="1" applyFill="1" applyBorder="1"/>
    <xf numFmtId="0" fontId="18" fillId="7" borderId="0" xfId="0" applyFont="1" applyFill="1" applyBorder="1" applyAlignment="1">
      <alignment horizontal="left" vertical="center"/>
    </xf>
    <xf numFmtId="0" fontId="18" fillId="7" borderId="0" xfId="0" applyNumberFormat="1" applyFont="1" applyFill="1" applyBorder="1" applyAlignment="1" applyProtection="1"/>
    <xf numFmtId="0" fontId="18" fillId="7" borderId="0" xfId="0" applyFont="1" applyFill="1" applyBorder="1"/>
    <xf numFmtId="43" fontId="3" fillId="3" borderId="41" xfId="2" applyFont="1" applyFill="1" applyBorder="1" applyAlignment="1">
      <alignment vertical="top"/>
    </xf>
    <xf numFmtId="43" fontId="3" fillId="3" borderId="40" xfId="2" applyFont="1" applyFill="1" applyBorder="1" applyAlignment="1">
      <alignment vertical="top"/>
    </xf>
    <xf numFmtId="168" fontId="0" fillId="3" borderId="41" xfId="0" applyNumberFormat="1" applyFill="1" applyBorder="1" applyAlignment="1">
      <alignment vertical="center"/>
    </xf>
    <xf numFmtId="9" fontId="0" fillId="3" borderId="40" xfId="0" applyNumberFormat="1" applyFill="1" applyBorder="1" applyAlignment="1">
      <alignment vertical="top"/>
    </xf>
    <xf numFmtId="9" fontId="0" fillId="3" borderId="41" xfId="0" applyNumberFormat="1" applyFill="1" applyBorder="1" applyAlignment="1">
      <alignment vertical="top"/>
    </xf>
    <xf numFmtId="0" fontId="124" fillId="25" borderId="0" xfId="0" applyFont="1" applyFill="1" applyBorder="1" applyAlignment="1">
      <alignment vertical="center"/>
    </xf>
    <xf numFmtId="9" fontId="16" fillId="0" borderId="0" xfId="5" applyFont="1" applyBorder="1" applyAlignment="1">
      <alignment vertical="top"/>
    </xf>
    <xf numFmtId="9" fontId="16" fillId="0" borderId="5" xfId="5" applyFont="1" applyBorder="1" applyAlignment="1">
      <alignment vertical="top"/>
    </xf>
    <xf numFmtId="0" fontId="60" fillId="0" borderId="2" xfId="0" applyFont="1" applyBorder="1" applyAlignment="1">
      <alignment vertical="top"/>
    </xf>
    <xf numFmtId="43" fontId="0" fillId="0" borderId="2" xfId="4" applyFont="1" applyBorder="1" applyAlignment="1">
      <alignment vertical="top"/>
    </xf>
    <xf numFmtId="0" fontId="0" fillId="0" borderId="3" xfId="0" applyBorder="1" applyAlignment="1">
      <alignment vertical="top"/>
    </xf>
    <xf numFmtId="167" fontId="60" fillId="0" borderId="0" xfId="0" applyNumberFormat="1" applyFont="1" applyBorder="1" applyAlignment="1">
      <alignment vertical="top"/>
    </xf>
    <xf numFmtId="167" fontId="60" fillId="0" borderId="5" xfId="0" applyNumberFormat="1" applyFont="1" applyBorder="1" applyAlignment="1">
      <alignment vertical="top"/>
    </xf>
    <xf numFmtId="0" fontId="29" fillId="13" borderId="2" xfId="0" applyFont="1" applyFill="1" applyBorder="1" applyAlignment="1">
      <alignment vertical="top"/>
    </xf>
    <xf numFmtId="0" fontId="29" fillId="13" borderId="3" xfId="0" applyFont="1" applyFill="1" applyBorder="1" applyAlignment="1">
      <alignment vertical="top"/>
    </xf>
    <xf numFmtId="167" fontId="3" fillId="0" borderId="0" xfId="4" applyNumberFormat="1" applyFont="1" applyBorder="1" applyAlignment="1">
      <alignment vertical="top"/>
    </xf>
    <xf numFmtId="0" fontId="5" fillId="0" borderId="0" xfId="0" applyFont="1" applyBorder="1" applyAlignment="1">
      <alignment vertical="top"/>
    </xf>
    <xf numFmtId="0" fontId="0" fillId="0" borderId="42" xfId="0" applyBorder="1" applyAlignment="1">
      <alignment vertical="top"/>
    </xf>
    <xf numFmtId="0" fontId="0" fillId="0" borderId="43" xfId="0" applyBorder="1" applyAlignment="1">
      <alignment vertical="top"/>
    </xf>
    <xf numFmtId="0" fontId="0" fillId="0" borderId="41" xfId="0" applyBorder="1" applyAlignment="1">
      <alignment vertical="top"/>
    </xf>
    <xf numFmtId="167" fontId="0" fillId="0" borderId="0" xfId="0" applyNumberFormat="1" applyBorder="1" applyAlignment="1">
      <alignment vertical="top"/>
    </xf>
    <xf numFmtId="0" fontId="0" fillId="0" borderId="44" xfId="0" applyBorder="1" applyAlignment="1">
      <alignment vertical="top"/>
    </xf>
    <xf numFmtId="167" fontId="0" fillId="0" borderId="36" xfId="0" applyNumberFormat="1" applyBorder="1" applyAlignment="1">
      <alignment vertical="top"/>
    </xf>
    <xf numFmtId="0" fontId="0" fillId="0" borderId="40" xfId="0" applyBorder="1" applyAlignment="1">
      <alignment vertical="top"/>
    </xf>
    <xf numFmtId="43" fontId="0" fillId="0" borderId="40" xfId="0" applyNumberFormat="1" applyBorder="1" applyAlignment="1">
      <alignment vertical="top"/>
    </xf>
    <xf numFmtId="43" fontId="0" fillId="0" borderId="36" xfId="0" applyNumberFormat="1" applyBorder="1" applyAlignment="1">
      <alignment vertical="top"/>
    </xf>
    <xf numFmtId="0" fontId="0" fillId="0" borderId="42" xfId="0" applyFill="1" applyBorder="1" applyAlignment="1">
      <alignment vertical="top"/>
    </xf>
    <xf numFmtId="0" fontId="0" fillId="0" borderId="43" xfId="0" applyFill="1" applyBorder="1" applyAlignment="1">
      <alignment vertical="top"/>
    </xf>
    <xf numFmtId="169" fontId="0" fillId="0" borderId="0" xfId="0" applyNumberFormat="1" applyBorder="1" applyAlignment="1">
      <alignment vertical="top"/>
    </xf>
    <xf numFmtId="0" fontId="0" fillId="0" borderId="42" xfId="0" applyFont="1" applyBorder="1" applyAlignment="1">
      <alignment vertical="top" wrapText="1"/>
    </xf>
    <xf numFmtId="0" fontId="0" fillId="0" borderId="20" xfId="0" applyFont="1" applyBorder="1" applyAlignment="1">
      <alignment vertical="top" wrapText="1"/>
    </xf>
    <xf numFmtId="167" fontId="3" fillId="0" borderId="40" xfId="4" applyNumberFormat="1" applyFont="1" applyBorder="1" applyAlignment="1">
      <alignment vertical="top"/>
    </xf>
    <xf numFmtId="0" fontId="0" fillId="0" borderId="44" xfId="0" applyFont="1" applyBorder="1" applyAlignment="1">
      <alignment vertical="top" wrapText="1"/>
    </xf>
    <xf numFmtId="167" fontId="3" fillId="0" borderId="36" xfId="4" applyNumberFormat="1" applyFont="1" applyBorder="1" applyAlignment="1">
      <alignment vertical="top"/>
    </xf>
    <xf numFmtId="167" fontId="3" fillId="0" borderId="57" xfId="4" applyNumberFormat="1" applyFont="1" applyBorder="1" applyAlignment="1">
      <alignment vertical="top"/>
    </xf>
    <xf numFmtId="0" fontId="0" fillId="0" borderId="42" xfId="0" applyBorder="1" applyAlignment="1">
      <alignment vertical="top" wrapText="1"/>
    </xf>
    <xf numFmtId="0" fontId="0" fillId="0" borderId="43" xfId="0" applyFill="1" applyBorder="1" applyAlignment="1">
      <alignment vertical="top" wrapText="1"/>
    </xf>
    <xf numFmtId="0" fontId="0" fillId="0" borderId="41" xfId="0" applyFill="1" applyBorder="1" applyAlignment="1">
      <alignment vertical="top" wrapText="1"/>
    </xf>
    <xf numFmtId="0" fontId="0" fillId="0" borderId="20" xfId="0" applyBorder="1" applyAlignment="1">
      <alignment vertical="top" wrapText="1"/>
    </xf>
    <xf numFmtId="0" fontId="0" fillId="0" borderId="44" xfId="0" applyBorder="1" applyAlignment="1">
      <alignment vertical="top" wrapText="1"/>
    </xf>
    <xf numFmtId="0" fontId="0" fillId="0" borderId="36" xfId="0" applyBorder="1" applyAlignment="1">
      <alignment vertical="top"/>
    </xf>
    <xf numFmtId="0" fontId="0" fillId="0" borderId="43" xfId="0" applyBorder="1" applyAlignment="1">
      <alignment vertical="top" wrapText="1"/>
    </xf>
    <xf numFmtId="0" fontId="0" fillId="0" borderId="41" xfId="0" applyBorder="1" applyAlignment="1">
      <alignment vertical="top" wrapText="1"/>
    </xf>
    <xf numFmtId="167" fontId="0" fillId="0" borderId="0" xfId="0" applyNumberFormat="1" applyBorder="1" applyAlignment="1">
      <alignment vertical="top" wrapText="1"/>
    </xf>
    <xf numFmtId="167" fontId="0" fillId="0" borderId="40" xfId="0" applyNumberFormat="1" applyBorder="1" applyAlignment="1">
      <alignment vertical="top" wrapText="1"/>
    </xf>
    <xf numFmtId="167" fontId="0" fillId="0" borderId="36" xfId="0" applyNumberFormat="1" applyBorder="1" applyAlignment="1">
      <alignment vertical="top" wrapText="1"/>
    </xf>
    <xf numFmtId="167" fontId="0" fillId="0" borderId="57" xfId="0" applyNumberFormat="1" applyBorder="1" applyAlignment="1">
      <alignment vertical="top" wrapText="1"/>
    </xf>
    <xf numFmtId="43" fontId="0" fillId="0" borderId="0" xfId="0" applyNumberFormat="1" applyBorder="1" applyAlignment="1">
      <alignment vertical="top" wrapText="1"/>
    </xf>
    <xf numFmtId="0" fontId="0" fillId="0" borderId="40" xfId="0" applyBorder="1" applyAlignment="1">
      <alignment vertical="top" wrapText="1"/>
    </xf>
    <xf numFmtId="43" fontId="0" fillId="0" borderId="40" xfId="0" applyNumberFormat="1" applyBorder="1" applyAlignment="1">
      <alignment vertical="top" wrapText="1"/>
    </xf>
    <xf numFmtId="43" fontId="0" fillId="0" borderId="36" xfId="0" applyNumberFormat="1" applyBorder="1" applyAlignment="1">
      <alignment vertical="top" wrapText="1"/>
    </xf>
    <xf numFmtId="43" fontId="0" fillId="0" borderId="57" xfId="0" applyNumberFormat="1" applyBorder="1" applyAlignment="1">
      <alignment vertical="top" wrapText="1"/>
    </xf>
    <xf numFmtId="0" fontId="0" fillId="0" borderId="42" xfId="0" applyFill="1" applyBorder="1" applyAlignment="1">
      <alignment vertical="top" wrapText="1"/>
    </xf>
    <xf numFmtId="169" fontId="0" fillId="0" borderId="57" xfId="0" applyNumberFormat="1" applyBorder="1" applyAlignment="1">
      <alignment vertical="top" wrapText="1"/>
    </xf>
    <xf numFmtId="0" fontId="60" fillId="0" borderId="0" xfId="0" applyFont="1" applyAlignment="1">
      <alignment vertical="top" wrapText="1"/>
    </xf>
    <xf numFmtId="167" fontId="3" fillId="0" borderId="0" xfId="4" applyNumberFormat="1" applyFont="1" applyBorder="1" applyAlignment="1">
      <alignment vertical="top" wrapText="1"/>
    </xf>
    <xf numFmtId="167" fontId="3" fillId="0" borderId="40" xfId="4" applyNumberFormat="1" applyFont="1" applyBorder="1" applyAlignment="1">
      <alignment vertical="top" wrapText="1"/>
    </xf>
    <xf numFmtId="167" fontId="3" fillId="0" borderId="36" xfId="4" applyNumberFormat="1" applyFont="1" applyBorder="1" applyAlignment="1">
      <alignment vertical="top" wrapText="1"/>
    </xf>
    <xf numFmtId="167" fontId="3" fillId="0" borderId="57" xfId="4" applyNumberFormat="1" applyFont="1" applyBorder="1" applyAlignment="1">
      <alignment vertical="top" wrapText="1"/>
    </xf>
    <xf numFmtId="0" fontId="57" fillId="0" borderId="0" xfId="0" applyFont="1" applyBorder="1" applyAlignment="1">
      <alignment horizontal="left" vertical="top" wrapText="1"/>
    </xf>
    <xf numFmtId="0" fontId="0" fillId="0" borderId="36" xfId="0" applyBorder="1" applyAlignment="1">
      <alignment vertical="top" wrapText="1"/>
    </xf>
    <xf numFmtId="43" fontId="60" fillId="0" borderId="0" xfId="0" applyNumberFormat="1" applyFont="1" applyAlignment="1">
      <alignment vertical="top"/>
    </xf>
    <xf numFmtId="167" fontId="36" fillId="0" borderId="0" xfId="0" applyNumberFormat="1" applyFont="1" applyBorder="1" applyAlignment="1">
      <alignment vertical="top"/>
    </xf>
    <xf numFmtId="167" fontId="36" fillId="0" borderId="5" xfId="0" applyNumberFormat="1" applyFont="1" applyBorder="1" applyAlignment="1">
      <alignment vertical="top"/>
    </xf>
    <xf numFmtId="167" fontId="36" fillId="0" borderId="9" xfId="0" applyNumberFormat="1" applyFont="1" applyBorder="1" applyAlignment="1">
      <alignment vertical="top"/>
    </xf>
    <xf numFmtId="167" fontId="36" fillId="0" borderId="10" xfId="0" applyNumberFormat="1" applyFont="1" applyBorder="1" applyAlignment="1">
      <alignment vertical="top"/>
    </xf>
    <xf numFmtId="169" fontId="0" fillId="0" borderId="0" xfId="4" applyNumberFormat="1" applyFont="1" applyBorder="1" applyAlignment="1">
      <alignment vertical="top"/>
    </xf>
    <xf numFmtId="167" fontId="0" fillId="0" borderId="0" xfId="4" applyNumberFormat="1" applyFont="1" applyBorder="1" applyAlignment="1">
      <alignment vertical="top"/>
    </xf>
    <xf numFmtId="167" fontId="0" fillId="0" borderId="0" xfId="4" applyNumberFormat="1" applyFont="1" applyBorder="1" applyAlignment="1">
      <alignment horizontal="center"/>
    </xf>
    <xf numFmtId="169" fontId="0" fillId="0" borderId="43" xfId="4" applyNumberFormat="1" applyFont="1" applyBorder="1" applyAlignment="1">
      <alignment vertical="top"/>
    </xf>
    <xf numFmtId="167" fontId="0" fillId="0" borderId="41" xfId="4" applyNumberFormat="1" applyFont="1" applyBorder="1" applyAlignment="1">
      <alignment vertical="top"/>
    </xf>
    <xf numFmtId="167" fontId="0" fillId="0" borderId="20" xfId="4" applyNumberFormat="1" applyFont="1" applyBorder="1" applyAlignment="1">
      <alignment vertical="top"/>
    </xf>
    <xf numFmtId="169" fontId="0" fillId="0" borderId="40" xfId="4" applyNumberFormat="1" applyFont="1" applyBorder="1" applyAlignment="1">
      <alignment vertical="top"/>
    </xf>
    <xf numFmtId="167" fontId="0" fillId="0" borderId="44" xfId="4" applyNumberFormat="1" applyFont="1" applyBorder="1" applyAlignment="1">
      <alignment vertical="top"/>
    </xf>
    <xf numFmtId="169" fontId="0" fillId="0" borderId="36" xfId="4" applyNumberFormat="1" applyFont="1" applyBorder="1" applyAlignment="1">
      <alignment vertical="top"/>
    </xf>
    <xf numFmtId="169" fontId="0" fillId="0" borderId="57" xfId="4" applyNumberFormat="1" applyFont="1" applyBorder="1" applyAlignment="1">
      <alignment vertical="top"/>
    </xf>
    <xf numFmtId="169" fontId="0" fillId="0" borderId="43" xfId="4" applyNumberFormat="1" applyFont="1" applyBorder="1" applyAlignment="1">
      <alignment horizontal="center"/>
    </xf>
    <xf numFmtId="167" fontId="0" fillId="0" borderId="43" xfId="4" applyNumberFormat="1" applyFont="1" applyBorder="1" applyAlignment="1">
      <alignment horizontal="center"/>
    </xf>
    <xf numFmtId="167" fontId="0" fillId="0" borderId="40" xfId="4" applyNumberFormat="1" applyFont="1" applyBorder="1" applyAlignment="1">
      <alignment vertical="top"/>
    </xf>
    <xf numFmtId="167" fontId="0" fillId="0" borderId="36" xfId="4" applyNumberFormat="1" applyFont="1" applyBorder="1" applyAlignment="1">
      <alignment vertical="top"/>
    </xf>
    <xf numFmtId="167" fontId="0" fillId="0" borderId="57" xfId="4" applyNumberFormat="1" applyFont="1" applyBorder="1" applyAlignment="1">
      <alignment vertical="top"/>
    </xf>
    <xf numFmtId="0" fontId="57" fillId="0" borderId="43" xfId="0" applyFont="1" applyBorder="1" applyAlignment="1">
      <alignment horizontal="left" vertical="top"/>
    </xf>
    <xf numFmtId="169" fontId="0" fillId="0" borderId="41" xfId="4" applyNumberFormat="1" applyFont="1" applyBorder="1" applyAlignment="1">
      <alignment vertical="top"/>
    </xf>
    <xf numFmtId="43" fontId="0" fillId="0" borderId="43" xfId="4" applyFont="1" applyBorder="1" applyAlignment="1">
      <alignment vertical="top"/>
    </xf>
    <xf numFmtId="43" fontId="0" fillId="0" borderId="41" xfId="4" applyFont="1" applyBorder="1" applyAlignment="1">
      <alignment vertical="top"/>
    </xf>
    <xf numFmtId="0" fontId="0" fillId="0" borderId="20" xfId="0" applyFill="1" applyBorder="1" applyAlignment="1">
      <alignment vertical="top"/>
    </xf>
    <xf numFmtId="169" fontId="0" fillId="0" borderId="20" xfId="4" applyNumberFormat="1" applyFont="1" applyBorder="1" applyAlignment="1">
      <alignment vertical="top"/>
    </xf>
    <xf numFmtId="43" fontId="0" fillId="0" borderId="36" xfId="4" applyFont="1" applyBorder="1" applyAlignment="1">
      <alignment vertical="top"/>
    </xf>
    <xf numFmtId="0" fontId="0" fillId="0" borderId="57" xfId="0" applyBorder="1" applyAlignment="1">
      <alignment vertical="top"/>
    </xf>
    <xf numFmtId="169" fontId="0" fillId="0" borderId="36" xfId="0" applyNumberFormat="1" applyBorder="1" applyAlignment="1">
      <alignment horizontal="center" vertical="top"/>
    </xf>
    <xf numFmtId="43" fontId="0" fillId="0" borderId="0" xfId="4" applyFont="1" applyBorder="1" applyAlignment="1">
      <alignment vertical="top" wrapText="1"/>
    </xf>
    <xf numFmtId="43" fontId="0" fillId="0" borderId="40" xfId="4" applyFont="1" applyBorder="1" applyAlignment="1">
      <alignment vertical="top" wrapText="1"/>
    </xf>
    <xf numFmtId="0" fontId="0" fillId="0" borderId="20" xfId="0" applyFont="1" applyFill="1" applyBorder="1" applyAlignment="1">
      <alignment vertical="top"/>
    </xf>
    <xf numFmtId="0" fontId="0" fillId="0" borderId="42" xfId="0" applyFont="1" applyBorder="1" applyAlignment="1">
      <alignment vertical="top"/>
    </xf>
    <xf numFmtId="0" fontId="0" fillId="0" borderId="20" xfId="0" applyFont="1" applyBorder="1" applyAlignment="1">
      <alignment vertical="top"/>
    </xf>
    <xf numFmtId="0" fontId="0" fillId="0" borderId="44" xfId="0" applyFont="1" applyBorder="1" applyAlignment="1">
      <alignment vertical="top"/>
    </xf>
    <xf numFmtId="0" fontId="0" fillId="0" borderId="41" xfId="0" applyFill="1" applyBorder="1" applyAlignment="1">
      <alignment vertical="top"/>
    </xf>
    <xf numFmtId="43" fontId="0" fillId="0" borderId="36" xfId="0" applyNumberFormat="1" applyFill="1" applyBorder="1" applyAlignment="1">
      <alignment vertical="top" wrapText="1"/>
    </xf>
    <xf numFmtId="167" fontId="33" fillId="0" borderId="0" xfId="4" applyNumberFormat="1" applyFont="1" applyBorder="1" applyAlignment="1">
      <alignment vertical="top"/>
    </xf>
    <xf numFmtId="0" fontId="81" fillId="13" borderId="2" xfId="0" applyFont="1" applyFill="1" applyBorder="1" applyAlignment="1">
      <alignment vertical="top"/>
    </xf>
    <xf numFmtId="0" fontId="81" fillId="13" borderId="3" xfId="0" applyFont="1" applyFill="1" applyBorder="1" applyAlignment="1">
      <alignment vertical="top"/>
    </xf>
    <xf numFmtId="0" fontId="5" fillId="0" borderId="4" xfId="0" applyFont="1" applyBorder="1" applyAlignment="1">
      <alignment vertical="top" wrapText="1"/>
    </xf>
    <xf numFmtId="167" fontId="33" fillId="0" borderId="5" xfId="4" applyNumberFormat="1" applyFont="1" applyBorder="1" applyAlignment="1">
      <alignment vertical="top"/>
    </xf>
    <xf numFmtId="0" fontId="0" fillId="0" borderId="4" xfId="0" applyBorder="1" applyAlignment="1">
      <alignment vertical="top" wrapText="1"/>
    </xf>
    <xf numFmtId="9" fontId="0" fillId="0" borderId="5" xfId="5" applyFont="1" applyBorder="1" applyAlignment="1">
      <alignment vertical="top"/>
    </xf>
    <xf numFmtId="0" fontId="0" fillId="0" borderId="8" xfId="0" applyBorder="1" applyAlignment="1">
      <alignment vertical="top" wrapText="1"/>
    </xf>
    <xf numFmtId="9" fontId="0" fillId="0" borderId="9" xfId="5" applyFont="1" applyBorder="1" applyAlignment="1">
      <alignment vertical="top"/>
    </xf>
    <xf numFmtId="9" fontId="0" fillId="0" borderId="10" xfId="5" applyFont="1" applyBorder="1" applyAlignment="1">
      <alignment vertical="top"/>
    </xf>
    <xf numFmtId="0" fontId="5" fillId="0" borderId="1" xfId="0" applyFont="1" applyBorder="1" applyAlignment="1">
      <alignment vertical="top" wrapText="1"/>
    </xf>
    <xf numFmtId="167" fontId="33" fillId="0" borderId="2" xfId="4" applyNumberFormat="1" applyFont="1" applyBorder="1" applyAlignment="1">
      <alignment vertical="top"/>
    </xf>
    <xf numFmtId="167" fontId="33" fillId="0" borderId="3" xfId="4" applyNumberFormat="1" applyFont="1" applyBorder="1" applyAlignment="1">
      <alignment vertical="top"/>
    </xf>
    <xf numFmtId="167" fontId="0" fillId="0" borderId="5" xfId="0" applyNumberFormat="1" applyBorder="1" applyAlignment="1">
      <alignment vertical="top"/>
    </xf>
    <xf numFmtId="167" fontId="0" fillId="0" borderId="9" xfId="0" applyNumberFormat="1" applyBorder="1" applyAlignment="1">
      <alignment vertical="top"/>
    </xf>
    <xf numFmtId="167" fontId="0" fillId="0" borderId="10" xfId="0" applyNumberFormat="1" applyBorder="1" applyAlignment="1">
      <alignment vertical="top"/>
    </xf>
    <xf numFmtId="0" fontId="81" fillId="28" borderId="1" xfId="0" applyFont="1" applyFill="1" applyBorder="1" applyAlignment="1">
      <alignment vertical="top" wrapText="1"/>
    </xf>
    <xf numFmtId="0" fontId="33" fillId="0" borderId="4" xfId="0" applyFont="1" applyBorder="1" applyAlignment="1">
      <alignment vertical="top" wrapText="1"/>
    </xf>
    <xf numFmtId="43" fontId="0" fillId="0" borderId="4" xfId="0" applyNumberFormat="1" applyBorder="1" applyAlignment="1">
      <alignment vertical="top" wrapText="1"/>
    </xf>
    <xf numFmtId="0" fontId="0" fillId="0" borderId="98" xfId="0" applyBorder="1" applyAlignment="1">
      <alignment vertical="top" wrapText="1"/>
    </xf>
    <xf numFmtId="0" fontId="0" fillId="0" borderId="1" xfId="0" applyBorder="1" applyAlignment="1">
      <alignment vertical="top" wrapText="1"/>
    </xf>
    <xf numFmtId="0" fontId="57" fillId="0" borderId="2" xfId="0" applyFont="1" applyBorder="1" applyAlignment="1">
      <alignment horizontal="left" vertical="top"/>
    </xf>
    <xf numFmtId="43" fontId="0" fillId="0" borderId="8" xfId="0" applyNumberFormat="1" applyBorder="1" applyAlignment="1">
      <alignment vertical="top" wrapText="1"/>
    </xf>
    <xf numFmtId="43" fontId="0" fillId="0" borderId="4" xfId="2" applyFont="1" applyFill="1" applyBorder="1" applyAlignment="1">
      <alignment vertical="top" wrapText="1"/>
    </xf>
    <xf numFmtId="167" fontId="0" fillId="0" borderId="5" xfId="4" applyNumberFormat="1" applyFont="1" applyBorder="1" applyAlignment="1">
      <alignment vertical="top"/>
    </xf>
    <xf numFmtId="169" fontId="0" fillId="0" borderId="5" xfId="0" applyNumberFormat="1" applyBorder="1" applyAlignment="1">
      <alignment vertical="top"/>
    </xf>
    <xf numFmtId="169" fontId="0" fillId="0" borderId="9" xfId="0" applyNumberFormat="1" applyBorder="1" applyAlignment="1">
      <alignment vertical="top"/>
    </xf>
    <xf numFmtId="169" fontId="0" fillId="0" borderId="10" xfId="0" applyNumberFormat="1" applyBorder="1" applyAlignment="1">
      <alignment vertical="top"/>
    </xf>
    <xf numFmtId="167" fontId="0" fillId="0" borderId="9" xfId="4" applyNumberFormat="1" applyFont="1" applyBorder="1" applyAlignment="1">
      <alignment vertical="top"/>
    </xf>
    <xf numFmtId="167" fontId="0" fillId="0" borderId="10" xfId="4" applyNumberFormat="1" applyFont="1" applyBorder="1" applyAlignment="1">
      <alignment vertical="top"/>
    </xf>
    <xf numFmtId="43" fontId="0" fillId="0" borderId="2" xfId="0" applyNumberFormat="1" applyBorder="1" applyAlignment="1">
      <alignment vertical="top"/>
    </xf>
    <xf numFmtId="43" fontId="0" fillId="0" borderId="3" xfId="0" applyNumberFormat="1" applyBorder="1" applyAlignment="1">
      <alignment vertical="top"/>
    </xf>
    <xf numFmtId="167" fontId="0" fillId="3" borderId="40" xfId="4" applyNumberFormat="1" applyFont="1" applyFill="1" applyBorder="1" applyAlignment="1">
      <alignment vertical="top"/>
    </xf>
    <xf numFmtId="43" fontId="0" fillId="3" borderId="40" xfId="4" applyNumberFormat="1" applyFont="1" applyFill="1" applyBorder="1" applyAlignment="1">
      <alignment vertical="center"/>
    </xf>
    <xf numFmtId="0" fontId="48" fillId="27" borderId="43" xfId="0" applyFont="1" applyFill="1" applyBorder="1" applyAlignment="1">
      <alignment vertical="top" wrapText="1"/>
    </xf>
    <xf numFmtId="0" fontId="85" fillId="0" borderId="0" xfId="0" applyFont="1" applyAlignment="1">
      <alignment vertical="top"/>
    </xf>
    <xf numFmtId="0" fontId="85" fillId="0" borderId="0" xfId="0" applyFont="1" applyAlignment="1">
      <alignment horizontal="left" vertical="top"/>
    </xf>
    <xf numFmtId="43" fontId="67" fillId="0" borderId="0" xfId="2" applyFont="1" applyFill="1" applyBorder="1" applyAlignment="1">
      <alignment horizontal="left" vertical="top"/>
    </xf>
    <xf numFmtId="0" fontId="64" fillId="0" borderId="0" xfId="0" applyFont="1" applyFill="1" applyAlignment="1">
      <alignment vertical="top"/>
    </xf>
    <xf numFmtId="167" fontId="5" fillId="4" borderId="12" xfId="2" applyNumberFormat="1" applyFont="1" applyFill="1" applyBorder="1" applyAlignment="1">
      <alignment vertical="top"/>
    </xf>
    <xf numFmtId="43" fontId="5" fillId="4" borderId="12" xfId="2" applyFont="1" applyFill="1" applyBorder="1" applyAlignment="1">
      <alignment vertical="top" wrapText="1"/>
    </xf>
    <xf numFmtId="0" fontId="58" fillId="4" borderId="12" xfId="0" applyFont="1" applyFill="1" applyBorder="1" applyAlignment="1">
      <alignment horizontal="left" vertical="top"/>
    </xf>
    <xf numFmtId="43" fontId="5" fillId="4" borderId="12" xfId="2" applyNumberFormat="1" applyFont="1" applyFill="1" applyBorder="1" applyAlignment="1">
      <alignment vertical="top"/>
    </xf>
    <xf numFmtId="0" fontId="5" fillId="4" borderId="12" xfId="0" applyFont="1" applyFill="1" applyBorder="1" applyAlignment="1">
      <alignment vertical="top"/>
    </xf>
    <xf numFmtId="0" fontId="0" fillId="2" borderId="0" xfId="0" applyFill="1" applyAlignment="1">
      <alignment vertical="top"/>
    </xf>
    <xf numFmtId="0" fontId="5" fillId="2" borderId="12" xfId="0" applyFont="1" applyFill="1" applyBorder="1" applyAlignment="1">
      <alignment vertical="top"/>
    </xf>
    <xf numFmtId="0" fontId="5" fillId="2" borderId="12" xfId="0" applyFont="1" applyFill="1" applyBorder="1" applyAlignment="1">
      <alignment vertical="top" wrapText="1"/>
    </xf>
    <xf numFmtId="0" fontId="58" fillId="2" borderId="12" xfId="0" applyFont="1" applyFill="1" applyBorder="1" applyAlignment="1">
      <alignment horizontal="left" vertical="top"/>
    </xf>
    <xf numFmtId="0" fontId="5" fillId="4" borderId="0" xfId="0" applyFont="1" applyFill="1" applyAlignment="1">
      <alignment vertical="top"/>
    </xf>
    <xf numFmtId="43" fontId="5" fillId="4" borderId="12" xfId="2" applyFont="1" applyFill="1" applyBorder="1" applyAlignment="1">
      <alignment horizontal="left" vertical="top" wrapText="1"/>
    </xf>
    <xf numFmtId="43" fontId="58" fillId="4" borderId="12" xfId="2" applyFont="1" applyFill="1" applyBorder="1" applyAlignment="1">
      <alignment horizontal="left" vertical="top"/>
    </xf>
    <xf numFmtId="43" fontId="5" fillId="4" borderId="12" xfId="2" applyFont="1" applyFill="1" applyBorder="1" applyAlignment="1">
      <alignment vertical="top"/>
    </xf>
    <xf numFmtId="167" fontId="3" fillId="4" borderId="12" xfId="2" applyNumberFormat="1" applyFont="1" applyFill="1" applyBorder="1" applyAlignment="1">
      <alignment vertical="top"/>
    </xf>
    <xf numFmtId="43" fontId="57" fillId="4" borderId="13" xfId="2" applyFont="1" applyFill="1" applyBorder="1" applyAlignment="1">
      <alignment horizontal="left" vertical="top"/>
    </xf>
    <xf numFmtId="43" fontId="16" fillId="4" borderId="12" xfId="2" applyFont="1" applyFill="1" applyBorder="1" applyAlignment="1">
      <alignment vertical="top"/>
    </xf>
    <xf numFmtId="43" fontId="16" fillId="4" borderId="12" xfId="2" applyFont="1" applyFill="1" applyBorder="1" applyAlignment="1">
      <alignment vertical="top" wrapText="1"/>
    </xf>
    <xf numFmtId="43" fontId="57" fillId="4" borderId="12" xfId="2" applyFont="1" applyFill="1" applyBorder="1" applyAlignment="1">
      <alignment horizontal="left" vertical="top"/>
    </xf>
    <xf numFmtId="0" fontId="39" fillId="4" borderId="0" xfId="0" applyFont="1" applyFill="1" applyAlignment="1">
      <alignment vertical="top"/>
    </xf>
    <xf numFmtId="43" fontId="16" fillId="4" borderId="12" xfId="4" applyFont="1" applyFill="1" applyBorder="1" applyAlignment="1">
      <alignment vertical="top"/>
    </xf>
    <xf numFmtId="43" fontId="3" fillId="4" borderId="12" xfId="2" applyFont="1" applyFill="1" applyBorder="1" applyAlignment="1">
      <alignment vertical="top" wrapText="1"/>
    </xf>
    <xf numFmtId="0" fontId="11" fillId="4" borderId="12" xfId="0" applyFont="1" applyFill="1" applyBorder="1" applyAlignment="1">
      <alignment wrapText="1"/>
    </xf>
    <xf numFmtId="167" fontId="5" fillId="4" borderId="12" xfId="0" applyNumberFormat="1" applyFont="1" applyFill="1" applyBorder="1" applyAlignment="1">
      <alignment vertical="top"/>
    </xf>
    <xf numFmtId="0" fontId="11" fillId="0" borderId="0" xfId="0" applyFont="1" applyFill="1" applyAlignment="1">
      <alignment vertical="top" wrapText="1"/>
    </xf>
    <xf numFmtId="43" fontId="62" fillId="0" borderId="12" xfId="2" applyFont="1" applyFill="1" applyBorder="1" applyAlignment="1">
      <alignment horizontal="left" vertical="top"/>
    </xf>
    <xf numFmtId="167" fontId="11" fillId="4" borderId="0" xfId="2" applyNumberFormat="1" applyFont="1" applyFill="1" applyBorder="1" applyAlignment="1">
      <alignment vertical="top"/>
    </xf>
    <xf numFmtId="43" fontId="11" fillId="4" borderId="0" xfId="2" applyFont="1" applyFill="1" applyBorder="1" applyAlignment="1">
      <alignment vertical="top" wrapText="1"/>
    </xf>
    <xf numFmtId="10" fontId="63" fillId="4" borderId="0" xfId="5" applyNumberFormat="1" applyFont="1" applyFill="1" applyBorder="1" applyAlignment="1">
      <alignment horizontal="left" vertical="top"/>
    </xf>
    <xf numFmtId="0" fontId="16" fillId="4" borderId="0" xfId="0" applyFont="1" applyFill="1" applyAlignment="1">
      <alignment vertical="top"/>
    </xf>
    <xf numFmtId="0" fontId="17" fillId="4" borderId="1" xfId="0" applyFont="1" applyFill="1" applyBorder="1" applyAlignment="1">
      <alignment vertical="top"/>
    </xf>
    <xf numFmtId="0" fontId="0" fillId="4" borderId="2" xfId="0" applyFill="1" applyBorder="1" applyAlignment="1">
      <alignment vertical="top"/>
    </xf>
    <xf numFmtId="0" fontId="0" fillId="4" borderId="3" xfId="0" applyFont="1" applyFill="1" applyBorder="1" applyAlignment="1">
      <alignment vertical="top"/>
    </xf>
    <xf numFmtId="0" fontId="17" fillId="4" borderId="21" xfId="0" applyFont="1" applyFill="1" applyBorder="1" applyAlignment="1">
      <alignment horizontal="justify" vertical="center"/>
    </xf>
    <xf numFmtId="0" fontId="17" fillId="4" borderId="12" xfId="0" applyFont="1" applyFill="1" applyBorder="1" applyAlignment="1">
      <alignment horizontal="justify" vertical="center" wrapText="1"/>
    </xf>
    <xf numFmtId="0" fontId="17" fillId="4" borderId="22" xfId="0" applyFont="1" applyFill="1" applyBorder="1" applyAlignment="1">
      <alignment horizontal="justify" vertical="center" wrapText="1"/>
    </xf>
    <xf numFmtId="0" fontId="18" fillId="4" borderId="21" xfId="0" applyFont="1" applyFill="1" applyBorder="1" applyAlignment="1">
      <alignment horizontal="justify" vertical="center" wrapText="1"/>
    </xf>
    <xf numFmtId="0" fontId="18" fillId="4" borderId="12"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18" fillId="4" borderId="23" xfId="0" applyFont="1" applyFill="1" applyBorder="1" applyAlignment="1">
      <alignment horizontal="justify" vertical="center" wrapText="1"/>
    </xf>
    <xf numFmtId="0" fontId="18" fillId="4" borderId="24" xfId="0" applyFont="1" applyFill="1" applyBorder="1" applyAlignment="1">
      <alignment horizontal="center" vertical="center" wrapText="1"/>
    </xf>
    <xf numFmtId="0" fontId="18" fillId="4" borderId="25" xfId="0" applyFont="1" applyFill="1" applyBorder="1" applyAlignment="1">
      <alignment horizontal="center" vertical="center" wrapText="1"/>
    </xf>
    <xf numFmtId="43" fontId="11" fillId="4" borderId="0" xfId="2" applyNumberFormat="1" applyFont="1" applyFill="1" applyBorder="1" applyAlignment="1">
      <alignment vertical="top"/>
    </xf>
    <xf numFmtId="43" fontId="5" fillId="4" borderId="0" xfId="0" applyNumberFormat="1" applyFont="1" applyFill="1" applyBorder="1" applyAlignment="1">
      <alignment vertical="top"/>
    </xf>
    <xf numFmtId="43" fontId="33" fillId="0" borderId="12" xfId="4" applyNumberFormat="1" applyFont="1" applyBorder="1" applyAlignment="1">
      <alignment vertical="center"/>
    </xf>
    <xf numFmtId="43" fontId="33" fillId="0" borderId="12" xfId="0" applyNumberFormat="1" applyFont="1" applyBorder="1" applyAlignment="1">
      <alignment vertical="center"/>
    </xf>
    <xf numFmtId="0" fontId="33" fillId="0" borderId="0" xfId="0" applyFont="1" applyBorder="1" applyAlignment="1">
      <alignment horizontal="center" vertical="top"/>
    </xf>
    <xf numFmtId="0" fontId="66" fillId="0" borderId="12" xfId="0" applyFont="1" applyFill="1" applyBorder="1" applyAlignment="1">
      <alignment horizontal="left" vertical="top"/>
    </xf>
    <xf numFmtId="0" fontId="59" fillId="0" borderId="12" xfId="0" applyFont="1" applyFill="1" applyBorder="1" applyAlignment="1">
      <alignment horizontal="left" vertical="top"/>
    </xf>
    <xf numFmtId="43" fontId="0" fillId="0" borderId="12" xfId="3" quotePrefix="1" applyNumberFormat="1" applyFont="1" applyFill="1" applyBorder="1" applyAlignment="1">
      <alignment vertical="top"/>
    </xf>
    <xf numFmtId="43" fontId="0" fillId="4" borderId="0" xfId="0" applyNumberFormat="1" applyFont="1" applyFill="1" applyAlignment="1">
      <alignment vertical="center"/>
    </xf>
    <xf numFmtId="0" fontId="100" fillId="19" borderId="0" xfId="0" applyFont="1" applyFill="1" applyAlignment="1">
      <alignment vertical="top" wrapText="1"/>
    </xf>
    <xf numFmtId="0" fontId="16" fillId="0" borderId="4" xfId="0" applyFont="1" applyBorder="1" applyAlignment="1">
      <alignment vertical="top" wrapText="1"/>
    </xf>
    <xf numFmtId="0" fontId="11" fillId="0" borderId="0" xfId="0" applyFont="1" applyFill="1" applyBorder="1" applyAlignment="1">
      <alignment wrapText="1"/>
    </xf>
    <xf numFmtId="0" fontId="5" fillId="4" borderId="12" xfId="0" applyFont="1" applyFill="1" applyBorder="1" applyAlignment="1">
      <alignment vertical="top" wrapText="1"/>
    </xf>
    <xf numFmtId="0" fontId="11" fillId="4" borderId="0" xfId="0" applyFont="1" applyFill="1" applyAlignment="1">
      <alignment vertical="top"/>
    </xf>
    <xf numFmtId="0" fontId="11" fillId="4" borderId="12" xfId="0" applyFont="1" applyFill="1" applyBorder="1" applyAlignment="1">
      <alignment vertical="top"/>
    </xf>
    <xf numFmtId="0" fontId="33" fillId="4" borderId="0" xfId="0" applyFont="1" applyFill="1" applyAlignment="1">
      <alignment vertical="top"/>
    </xf>
    <xf numFmtId="0" fontId="11" fillId="0" borderId="0" xfId="0" applyFont="1"/>
    <xf numFmtId="43" fontId="11" fillId="0" borderId="12" xfId="4" applyFont="1" applyBorder="1" applyAlignment="1">
      <alignment vertical="top"/>
    </xf>
    <xf numFmtId="43" fontId="5" fillId="4" borderId="12" xfId="0" applyNumberFormat="1" applyFont="1" applyFill="1" applyBorder="1" applyAlignment="1">
      <alignment vertical="top"/>
    </xf>
    <xf numFmtId="0" fontId="46" fillId="4" borderId="0" xfId="0" applyFont="1" applyFill="1" applyAlignment="1">
      <alignment vertical="center"/>
    </xf>
    <xf numFmtId="0" fontId="11" fillId="25" borderId="0" xfId="0" applyFont="1" applyFill="1" applyAlignment="1">
      <alignment vertical="center"/>
    </xf>
    <xf numFmtId="0" fontId="16" fillId="0" borderId="12" xfId="0" applyFont="1" applyFill="1" applyBorder="1"/>
    <xf numFmtId="0" fontId="33" fillId="4" borderId="12" xfId="0" applyFont="1" applyFill="1" applyBorder="1" applyAlignment="1">
      <alignment vertical="top"/>
    </xf>
    <xf numFmtId="0" fontId="0" fillId="0" borderId="12" xfId="0" applyFont="1" applyBorder="1" applyAlignment="1">
      <alignment vertical="top" wrapText="1"/>
    </xf>
    <xf numFmtId="0" fontId="38" fillId="4" borderId="12" xfId="0" applyFont="1" applyFill="1" applyBorder="1" applyAlignment="1">
      <alignment vertical="top"/>
    </xf>
    <xf numFmtId="0" fontId="38" fillId="0" borderId="0" xfId="0" applyFont="1" applyFill="1" applyAlignment="1">
      <alignment vertical="top"/>
    </xf>
    <xf numFmtId="0" fontId="103" fillId="26" borderId="92" xfId="1" applyFont="1" applyFill="1" applyBorder="1" applyAlignment="1" applyProtection="1">
      <alignment vertical="center"/>
    </xf>
    <xf numFmtId="0" fontId="103" fillId="26" borderId="94" xfId="1" applyFont="1" applyFill="1" applyBorder="1" applyAlignment="1" applyProtection="1">
      <alignment horizontal="center" vertical="center"/>
    </xf>
    <xf numFmtId="0" fontId="103" fillId="26" borderId="95" xfId="1" applyFont="1" applyFill="1" applyBorder="1" applyAlignment="1" applyProtection="1">
      <alignment horizontal="center" vertical="center"/>
    </xf>
    <xf numFmtId="0" fontId="104" fillId="26" borderId="95" xfId="1" applyFont="1" applyFill="1" applyBorder="1" applyAlignment="1" applyProtection="1">
      <alignment horizontal="center" vertical="center"/>
    </xf>
    <xf numFmtId="0" fontId="105" fillId="26" borderId="96" xfId="0" applyFont="1" applyFill="1" applyBorder="1" applyAlignment="1">
      <alignment vertical="center"/>
    </xf>
    <xf numFmtId="0" fontId="0" fillId="4" borderId="0" xfId="0" applyFill="1" applyAlignment="1"/>
    <xf numFmtId="0" fontId="39" fillId="4" borderId="0" xfId="0" applyFont="1" applyFill="1" applyAlignment="1"/>
    <xf numFmtId="0" fontId="11" fillId="29" borderId="0" xfId="0" applyFont="1" applyFill="1" applyAlignment="1">
      <alignment vertical="top"/>
    </xf>
    <xf numFmtId="167" fontId="11" fillId="29" borderId="12" xfId="2" applyNumberFormat="1" applyFont="1" applyFill="1" applyBorder="1" applyAlignment="1">
      <alignment vertical="top"/>
    </xf>
    <xf numFmtId="43" fontId="11" fillId="29" borderId="12" xfId="2" applyFont="1" applyFill="1" applyBorder="1" applyAlignment="1">
      <alignment vertical="top" wrapText="1"/>
    </xf>
    <xf numFmtId="0" fontId="62" fillId="29" borderId="12" xfId="0" applyFont="1" applyFill="1" applyBorder="1" applyAlignment="1">
      <alignment horizontal="left" vertical="top"/>
    </xf>
    <xf numFmtId="168" fontId="11" fillId="29" borderId="12" xfId="3" applyNumberFormat="1" applyFont="1" applyFill="1" applyBorder="1" applyAlignment="1">
      <alignment vertical="top"/>
    </xf>
    <xf numFmtId="9" fontId="11" fillId="29" borderId="0" xfId="5" applyFont="1" applyFill="1" applyAlignment="1">
      <alignment vertical="top"/>
    </xf>
    <xf numFmtId="9" fontId="11" fillId="29" borderId="12" xfId="5" applyFont="1" applyFill="1" applyBorder="1" applyAlignment="1">
      <alignment vertical="top"/>
    </xf>
    <xf numFmtId="9" fontId="11" fillId="29" borderId="12" xfId="5" applyFont="1" applyFill="1" applyBorder="1" applyAlignment="1">
      <alignment vertical="top" wrapText="1"/>
    </xf>
    <xf numFmtId="9" fontId="62" fillId="29" borderId="12" xfId="5" applyFont="1" applyFill="1" applyBorder="1" applyAlignment="1">
      <alignment horizontal="left" vertical="top"/>
    </xf>
    <xf numFmtId="0" fontId="5" fillId="29" borderId="0" xfId="0" applyFont="1" applyFill="1" applyAlignment="1">
      <alignment vertical="top"/>
    </xf>
    <xf numFmtId="167" fontId="5" fillId="29" borderId="12" xfId="2" applyNumberFormat="1" applyFont="1" applyFill="1" applyBorder="1" applyAlignment="1">
      <alignment vertical="top"/>
    </xf>
    <xf numFmtId="43" fontId="5" fillId="29" borderId="12" xfId="2" applyFont="1" applyFill="1" applyBorder="1" applyAlignment="1">
      <alignment vertical="top" wrapText="1"/>
    </xf>
    <xf numFmtId="0" fontId="58" fillId="29" borderId="12" xfId="0" applyFont="1" applyFill="1" applyBorder="1" applyAlignment="1">
      <alignment horizontal="left" vertical="top"/>
    </xf>
    <xf numFmtId="9" fontId="5" fillId="29" borderId="12" xfId="2" applyNumberFormat="1" applyFont="1" applyFill="1" applyBorder="1" applyAlignment="1">
      <alignment vertical="top"/>
    </xf>
    <xf numFmtId="9" fontId="5" fillId="29" borderId="12" xfId="3" applyFont="1" applyFill="1" applyBorder="1" applyAlignment="1">
      <alignment vertical="top"/>
    </xf>
    <xf numFmtId="0" fontId="38" fillId="29" borderId="12" xfId="0" applyFont="1" applyFill="1" applyBorder="1" applyAlignment="1">
      <alignment horizontal="left" vertical="top"/>
    </xf>
    <xf numFmtId="0" fontId="5" fillId="29" borderId="12" xfId="0" applyFont="1" applyFill="1" applyBorder="1" applyAlignment="1">
      <alignment vertical="top"/>
    </xf>
    <xf numFmtId="0" fontId="5" fillId="29" borderId="12" xfId="0" applyFont="1" applyFill="1" applyBorder="1" applyAlignment="1">
      <alignment vertical="top" wrapText="1"/>
    </xf>
    <xf numFmtId="9" fontId="11" fillId="29" borderId="12" xfId="0" applyNumberFormat="1" applyFont="1" applyFill="1" applyBorder="1" applyAlignment="1">
      <alignment vertical="top"/>
    </xf>
    <xf numFmtId="167" fontId="3" fillId="29" borderId="12" xfId="2" applyNumberFormat="1" applyFont="1" applyFill="1" applyBorder="1" applyAlignment="1">
      <alignment vertical="top"/>
    </xf>
    <xf numFmtId="168" fontId="5" fillId="29" borderId="12" xfId="3" applyNumberFormat="1" applyFont="1" applyFill="1" applyBorder="1" applyAlignment="1">
      <alignment vertical="top"/>
    </xf>
    <xf numFmtId="0" fontId="16" fillId="29" borderId="0" xfId="0" applyFont="1" applyFill="1" applyAlignment="1">
      <alignment vertical="top"/>
    </xf>
    <xf numFmtId="0" fontId="11" fillId="29" borderId="12" xfId="0" applyFont="1" applyFill="1" applyBorder="1" applyAlignment="1">
      <alignment vertical="top" wrapText="1"/>
    </xf>
    <xf numFmtId="43" fontId="62" fillId="29" borderId="12" xfId="2" applyFont="1" applyFill="1" applyBorder="1" applyAlignment="1">
      <alignment horizontal="left" vertical="top"/>
    </xf>
    <xf numFmtId="167" fontId="11" fillId="29" borderId="12" xfId="4" applyNumberFormat="1" applyFont="1" applyFill="1" applyBorder="1" applyAlignment="1">
      <alignment vertical="top"/>
    </xf>
    <xf numFmtId="167" fontId="0" fillId="29" borderId="0" xfId="0" applyNumberFormat="1" applyFill="1" applyAlignment="1">
      <alignment vertical="top"/>
    </xf>
    <xf numFmtId="167" fontId="0" fillId="29" borderId="12" xfId="2" applyNumberFormat="1" applyFont="1" applyFill="1" applyBorder="1" applyAlignment="1">
      <alignment vertical="top" wrapText="1"/>
    </xf>
    <xf numFmtId="167" fontId="57" fillId="29" borderId="12" xfId="0" applyNumberFormat="1" applyFont="1" applyFill="1" applyBorder="1" applyAlignment="1">
      <alignment horizontal="left" vertical="top"/>
    </xf>
    <xf numFmtId="167" fontId="16" fillId="29" borderId="12" xfId="4" applyNumberFormat="1" applyFont="1" applyFill="1" applyBorder="1" applyAlignment="1">
      <alignment vertical="top"/>
    </xf>
    <xf numFmtId="0" fontId="11" fillId="29" borderId="0" xfId="0" applyFont="1" applyFill="1" applyBorder="1" applyAlignment="1">
      <alignment vertical="top"/>
    </xf>
    <xf numFmtId="43" fontId="58" fillId="29" borderId="12" xfId="2" applyFont="1" applyFill="1" applyBorder="1" applyAlignment="1">
      <alignment horizontal="left" vertical="top"/>
    </xf>
    <xf numFmtId="168" fontId="11" fillId="29" borderId="12" xfId="5" applyNumberFormat="1" applyFont="1" applyFill="1" applyBorder="1" applyAlignment="1">
      <alignment vertical="top"/>
    </xf>
    <xf numFmtId="0" fontId="11" fillId="29" borderId="12" xfId="0" applyFont="1" applyFill="1" applyBorder="1" applyAlignment="1">
      <alignment vertical="top"/>
    </xf>
    <xf numFmtId="43" fontId="63" fillId="29" borderId="12" xfId="0" applyNumberFormat="1" applyFont="1" applyFill="1" applyBorder="1" applyAlignment="1">
      <alignment vertical="top"/>
    </xf>
    <xf numFmtId="0" fontId="63" fillId="29" borderId="12" xfId="0" applyFont="1" applyFill="1" applyBorder="1" applyAlignment="1">
      <alignment vertical="top"/>
    </xf>
    <xf numFmtId="9" fontId="5" fillId="29" borderId="12" xfId="0" applyNumberFormat="1" applyFont="1" applyFill="1" applyBorder="1" applyAlignment="1">
      <alignment vertical="top"/>
    </xf>
    <xf numFmtId="9" fontId="5" fillId="29" borderId="12" xfId="5" applyFont="1" applyFill="1" applyBorder="1" applyAlignment="1">
      <alignment vertical="top"/>
    </xf>
    <xf numFmtId="0" fontId="5" fillId="29" borderId="15" xfId="0" applyFont="1" applyFill="1" applyBorder="1" applyAlignment="1">
      <alignment vertical="top" wrapText="1"/>
    </xf>
    <xf numFmtId="9" fontId="11" fillId="29" borderId="12" xfId="5" applyNumberFormat="1" applyFont="1" applyFill="1" applyBorder="1" applyAlignment="1">
      <alignment vertical="top"/>
    </xf>
    <xf numFmtId="9" fontId="11" fillId="29" borderId="12" xfId="5" applyFont="1" applyFill="1" applyBorder="1" applyAlignment="1">
      <alignment horizontal="right" vertical="top"/>
    </xf>
    <xf numFmtId="0" fontId="16" fillId="0" borderId="16" xfId="0" applyFont="1" applyFill="1" applyBorder="1" applyAlignment="1">
      <alignment vertical="top" wrapText="1"/>
    </xf>
    <xf numFmtId="9" fontId="11" fillId="29" borderId="12" xfId="3" applyNumberFormat="1" applyFont="1" applyFill="1" applyBorder="1" applyAlignment="1">
      <alignment vertical="top"/>
    </xf>
    <xf numFmtId="43" fontId="11" fillId="29" borderId="12" xfId="3" applyNumberFormat="1" applyFont="1" applyFill="1" applyBorder="1" applyAlignment="1">
      <alignment vertical="top"/>
    </xf>
    <xf numFmtId="43" fontId="11" fillId="29" borderId="12" xfId="4" applyFont="1" applyFill="1" applyBorder="1" applyAlignment="1">
      <alignment vertical="top"/>
    </xf>
    <xf numFmtId="167" fontId="16" fillId="0" borderId="0" xfId="4" applyNumberFormat="1" applyFont="1" applyAlignment="1">
      <alignment vertical="top"/>
    </xf>
    <xf numFmtId="167" fontId="5" fillId="2" borderId="12" xfId="0" applyNumberFormat="1" applyFont="1" applyFill="1" applyBorder="1" applyAlignment="1">
      <alignment vertical="top"/>
    </xf>
    <xf numFmtId="0" fontId="132" fillId="2" borderId="0" xfId="0" applyFont="1" applyFill="1" applyBorder="1" applyAlignment="1">
      <alignment vertical="center"/>
    </xf>
    <xf numFmtId="0" fontId="131" fillId="2" borderId="0" xfId="1" applyFont="1" applyFill="1" applyBorder="1" applyAlignment="1" applyProtection="1">
      <alignment horizontal="left" vertical="center"/>
    </xf>
    <xf numFmtId="0" fontId="136" fillId="2" borderId="0" xfId="0" applyFont="1" applyFill="1" applyBorder="1" applyAlignment="1">
      <alignment horizontal="center" vertical="center" wrapText="1"/>
    </xf>
    <xf numFmtId="0" fontId="43" fillId="2" borderId="0" xfId="0" applyFont="1" applyFill="1" applyBorder="1" applyAlignment="1">
      <alignment vertical="center"/>
    </xf>
    <xf numFmtId="0" fontId="123" fillId="2" borderId="0" xfId="1" applyFont="1" applyFill="1" applyBorder="1" applyAlignment="1" applyProtection="1">
      <alignment horizontal="left" vertical="center" wrapText="1"/>
    </xf>
    <xf numFmtId="0" fontId="0" fillId="4" borderId="0" xfId="0" applyFill="1" applyBorder="1" applyAlignment="1">
      <alignment horizontal="left"/>
    </xf>
    <xf numFmtId="0" fontId="0" fillId="4" borderId="0" xfId="0" applyFont="1" applyFill="1" applyBorder="1" applyAlignment="1">
      <alignment horizontal="right"/>
    </xf>
    <xf numFmtId="0" fontId="25" fillId="4" borderId="0" xfId="0" applyFont="1" applyFill="1" applyBorder="1" applyAlignment="1">
      <alignment horizontal="right"/>
    </xf>
    <xf numFmtId="0" fontId="0" fillId="0" borderId="12" xfId="0" applyBorder="1" applyAlignment="1">
      <alignment wrapText="1"/>
    </xf>
    <xf numFmtId="0" fontId="136" fillId="2" borderId="0" xfId="0" applyFont="1" applyFill="1" applyBorder="1" applyAlignment="1">
      <alignment horizontal="center" vertical="center" wrapText="1"/>
    </xf>
    <xf numFmtId="0" fontId="131" fillId="2" borderId="0" xfId="1" applyFont="1" applyFill="1" applyBorder="1" applyAlignment="1" applyProtection="1">
      <alignment horizontal="left" vertical="center"/>
    </xf>
    <xf numFmtId="0" fontId="0" fillId="0" borderId="0" xfId="0" applyBorder="1" applyAlignment="1">
      <alignment wrapText="1"/>
    </xf>
    <xf numFmtId="0" fontId="103" fillId="26" borderId="0" xfId="1" applyFont="1" applyFill="1" applyBorder="1" applyAlignment="1" applyProtection="1">
      <alignment horizontal="center" vertical="center"/>
    </xf>
    <xf numFmtId="0" fontId="103" fillId="26" borderId="92" xfId="1" applyFont="1" applyFill="1" applyBorder="1" applyAlignment="1" applyProtection="1">
      <alignment horizontal="center" vertical="center"/>
    </xf>
    <xf numFmtId="0" fontId="104" fillId="26" borderId="0" xfId="1" applyFont="1" applyFill="1" applyBorder="1" applyAlignment="1" applyProtection="1">
      <alignment horizontal="center" vertical="center"/>
    </xf>
    <xf numFmtId="0" fontId="109" fillId="26" borderId="92" xfId="1" applyFont="1" applyFill="1" applyBorder="1" applyAlignment="1" applyProtection="1">
      <alignment vertical="center"/>
    </xf>
    <xf numFmtId="0" fontId="104" fillId="26" borderId="93" xfId="1" applyFont="1" applyFill="1" applyBorder="1" applyAlignment="1" applyProtection="1">
      <alignment vertical="center"/>
    </xf>
    <xf numFmtId="0" fontId="0" fillId="0" borderId="105" xfId="0" applyBorder="1" applyAlignment="1">
      <alignment horizontal="center" wrapText="1"/>
    </xf>
    <xf numFmtId="0" fontId="0" fillId="0" borderId="106" xfId="0" applyBorder="1" applyAlignment="1">
      <alignment wrapText="1"/>
    </xf>
    <xf numFmtId="0" fontId="0" fillId="0" borderId="81" xfId="0" applyBorder="1"/>
    <xf numFmtId="0" fontId="0" fillId="0" borderId="88" xfId="0" applyBorder="1"/>
    <xf numFmtId="0" fontId="0" fillId="0" borderId="103" xfId="0" applyBorder="1" applyAlignment="1">
      <alignment wrapText="1"/>
    </xf>
    <xf numFmtId="0" fontId="0" fillId="0" borderId="21" xfId="0" applyBorder="1"/>
    <xf numFmtId="0" fontId="0" fillId="0" borderId="22" xfId="0" applyBorder="1"/>
    <xf numFmtId="0" fontId="0" fillId="0" borderId="23" xfId="0" applyBorder="1"/>
    <xf numFmtId="0" fontId="0" fillId="4" borderId="0" xfId="0" applyFill="1" applyBorder="1" applyAlignment="1">
      <alignment vertical="center" wrapText="1"/>
    </xf>
    <xf numFmtId="0" fontId="104" fillId="26" borderId="93" xfId="1" applyFont="1" applyFill="1" applyBorder="1" applyAlignment="1" applyProtection="1">
      <alignment horizontal="center" vertical="center"/>
    </xf>
    <xf numFmtId="0" fontId="103" fillId="25" borderId="96" xfId="1" applyFont="1" applyFill="1" applyBorder="1" applyAlignment="1" applyProtection="1">
      <alignment horizontal="center" vertical="center"/>
    </xf>
    <xf numFmtId="0" fontId="107" fillId="25" borderId="95" xfId="1" applyFont="1" applyFill="1" applyBorder="1" applyAlignment="1" applyProtection="1">
      <alignment horizontal="left" vertical="center"/>
    </xf>
    <xf numFmtId="0" fontId="134" fillId="2" borderId="0" xfId="0" applyFont="1" applyFill="1" applyBorder="1" applyAlignment="1">
      <alignment horizontal="center" vertical="center"/>
    </xf>
    <xf numFmtId="0" fontId="0" fillId="4" borderId="0" xfId="0" applyFill="1" applyBorder="1" applyAlignment="1"/>
    <xf numFmtId="0" fontId="152" fillId="25" borderId="20" xfId="0" applyFont="1" applyFill="1" applyBorder="1"/>
    <xf numFmtId="0" fontId="153" fillId="25" borderId="20" xfId="0" applyFont="1" applyFill="1" applyBorder="1"/>
    <xf numFmtId="0" fontId="151" fillId="25" borderId="20" xfId="0" applyFont="1" applyFill="1" applyBorder="1"/>
    <xf numFmtId="0" fontId="152" fillId="25" borderId="0" xfId="0" applyFont="1" applyFill="1"/>
    <xf numFmtId="0" fontId="152" fillId="25" borderId="0" xfId="0" applyFont="1" applyFill="1" applyBorder="1"/>
    <xf numFmtId="0" fontId="152" fillId="4" borderId="0" xfId="0" applyFont="1" applyFill="1" applyBorder="1"/>
    <xf numFmtId="0" fontId="133" fillId="2" borderId="0" xfId="0" applyFont="1" applyFill="1"/>
    <xf numFmtId="0" fontId="0" fillId="2" borderId="0" xfId="0" applyFill="1" applyAlignment="1"/>
    <xf numFmtId="0" fontId="24" fillId="25" borderId="0" xfId="0" applyFont="1" applyFill="1"/>
    <xf numFmtId="0" fontId="155" fillId="15" borderId="0" xfId="0" applyFont="1" applyFill="1" applyBorder="1" applyAlignment="1">
      <alignment horizontal="center" vertical="top"/>
    </xf>
    <xf numFmtId="0" fontId="156" fillId="15" borderId="0" xfId="0" applyFont="1" applyFill="1" applyBorder="1" applyAlignment="1">
      <alignment vertical="top"/>
    </xf>
    <xf numFmtId="0" fontId="24" fillId="15" borderId="0" xfId="0" applyFont="1" applyFill="1" applyBorder="1" applyAlignment="1">
      <alignment vertical="top"/>
    </xf>
    <xf numFmtId="0" fontId="93" fillId="15" borderId="0" xfId="0" applyFont="1" applyFill="1" applyBorder="1" applyAlignment="1">
      <alignment vertical="top"/>
    </xf>
    <xf numFmtId="0" fontId="152" fillId="4" borderId="0" xfId="0" applyFont="1" applyFill="1" applyBorder="1" applyAlignment="1">
      <alignment horizontal="center"/>
    </xf>
    <xf numFmtId="0" fontId="48" fillId="7" borderId="15" xfId="0" applyFont="1" applyFill="1" applyBorder="1" applyAlignment="1"/>
    <xf numFmtId="0" fontId="48" fillId="7" borderId="13" xfId="0" applyFont="1" applyFill="1" applyBorder="1" applyAlignment="1">
      <alignment horizontal="left" indent="2"/>
    </xf>
    <xf numFmtId="0" fontId="153" fillId="4" borderId="0" xfId="0" applyFont="1" applyFill="1" applyBorder="1" applyAlignment="1">
      <alignment horizontal="center"/>
    </xf>
    <xf numFmtId="0" fontId="152" fillId="4" borderId="0" xfId="0" applyFont="1" applyFill="1" applyBorder="1" applyAlignment="1"/>
    <xf numFmtId="0" fontId="153" fillId="4" borderId="0" xfId="0" applyFont="1" applyFill="1" applyBorder="1"/>
    <xf numFmtId="0" fontId="46" fillId="0" borderId="16" xfId="0" applyFont="1" applyBorder="1" applyAlignment="1">
      <alignment horizontal="center"/>
    </xf>
    <xf numFmtId="43" fontId="16" fillId="0" borderId="8" xfId="2" applyFont="1" applyFill="1" applyBorder="1" applyAlignment="1">
      <alignment vertical="top" wrapText="1"/>
    </xf>
    <xf numFmtId="167" fontId="16" fillId="0" borderId="9" xfId="4" applyNumberFormat="1" applyFont="1" applyBorder="1" applyAlignment="1">
      <alignment vertical="top"/>
    </xf>
    <xf numFmtId="167" fontId="16" fillId="0" borderId="10" xfId="4" applyNumberFormat="1" applyFont="1" applyBorder="1" applyAlignment="1">
      <alignment vertical="top"/>
    </xf>
    <xf numFmtId="167" fontId="16" fillId="0" borderId="5" xfId="4" applyNumberFormat="1" applyFont="1" applyBorder="1" applyAlignment="1">
      <alignment vertical="top"/>
    </xf>
    <xf numFmtId="43" fontId="11" fillId="4" borderId="12" xfId="4" applyNumberFormat="1" applyFont="1" applyFill="1" applyBorder="1" applyAlignment="1">
      <alignment vertical="top"/>
    </xf>
    <xf numFmtId="0" fontId="0" fillId="0" borderId="0" xfId="0" applyAlignment="1">
      <alignment horizontal="center" wrapText="1"/>
    </xf>
    <xf numFmtId="0" fontId="0" fillId="0" borderId="12" xfId="0" applyBorder="1" applyAlignment="1"/>
    <xf numFmtId="0" fontId="22" fillId="3" borderId="12" xfId="0" applyFont="1" applyFill="1" applyBorder="1" applyAlignment="1">
      <alignment wrapText="1"/>
    </xf>
    <xf numFmtId="0" fontId="0" fillId="3" borderId="12" xfId="0" applyFill="1" applyBorder="1" applyAlignment="1">
      <alignment wrapText="1"/>
    </xf>
    <xf numFmtId="0" fontId="0" fillId="3" borderId="12" xfId="0" applyFill="1" applyBorder="1"/>
    <xf numFmtId="0" fontId="0" fillId="0" borderId="12" xfId="0" applyFill="1" applyBorder="1" applyAlignment="1">
      <alignment wrapText="1"/>
    </xf>
    <xf numFmtId="0" fontId="5" fillId="0" borderId="12" xfId="0" applyFont="1" applyFill="1" applyBorder="1" applyAlignment="1">
      <alignment wrapText="1"/>
    </xf>
    <xf numFmtId="0" fontId="0" fillId="0" borderId="12" xfId="0" applyFill="1" applyBorder="1" applyAlignment="1">
      <alignment horizontal="center" wrapText="1"/>
    </xf>
    <xf numFmtId="0" fontId="0" fillId="0" borderId="21" xfId="0" applyFill="1" applyBorder="1" applyAlignment="1">
      <alignment wrapText="1"/>
    </xf>
    <xf numFmtId="0" fontId="0" fillId="0" borderId="22" xfId="0" applyFill="1" applyBorder="1" applyAlignment="1">
      <alignment wrapText="1"/>
    </xf>
    <xf numFmtId="0" fontId="0" fillId="0" borderId="23" xfId="0" applyFill="1" applyBorder="1" applyAlignment="1">
      <alignment wrapText="1"/>
    </xf>
    <xf numFmtId="0" fontId="0" fillId="0" borderId="25" xfId="0" applyFill="1" applyBorder="1" applyAlignment="1">
      <alignment wrapText="1"/>
    </xf>
    <xf numFmtId="0" fontId="19" fillId="0" borderId="5" xfId="0" applyFont="1" applyFill="1" applyBorder="1" applyAlignment="1">
      <alignment vertical="top" wrapText="1"/>
    </xf>
    <xf numFmtId="0" fontId="0" fillId="0" borderId="5" xfId="0" applyFill="1" applyBorder="1"/>
    <xf numFmtId="0" fontId="46" fillId="0" borderId="2" xfId="0" applyFont="1" applyFill="1" applyBorder="1" applyAlignment="1">
      <alignment vertical="top" wrapText="1"/>
    </xf>
    <xf numFmtId="0" fontId="46" fillId="0" borderId="3" xfId="0" applyFont="1" applyFill="1" applyBorder="1" applyAlignment="1">
      <alignment vertical="top" wrapText="1"/>
    </xf>
    <xf numFmtId="0" fontId="16" fillId="0" borderId="4" xfId="0" applyFont="1" applyFill="1" applyBorder="1" applyAlignment="1"/>
    <xf numFmtId="0" fontId="16" fillId="0" borderId="0" xfId="0" applyFont="1" applyFill="1" applyBorder="1" applyAlignment="1"/>
    <xf numFmtId="0" fontId="16" fillId="0" borderId="5" xfId="0" applyFont="1" applyFill="1" applyBorder="1" applyAlignment="1"/>
    <xf numFmtId="0" fontId="46" fillId="0" borderId="0" xfId="0" applyFont="1" applyFill="1" applyBorder="1" applyAlignment="1">
      <alignment vertical="top" wrapText="1"/>
    </xf>
    <xf numFmtId="0" fontId="46" fillId="0" borderId="5" xfId="0" applyFont="1" applyFill="1" applyBorder="1" applyAlignment="1">
      <alignment vertical="top" wrapText="1"/>
    </xf>
    <xf numFmtId="0" fontId="16" fillId="0" borderId="8" xfId="0" applyFont="1" applyFill="1" applyBorder="1" applyAlignment="1"/>
    <xf numFmtId="0" fontId="16" fillId="0" borderId="9" xfId="0" applyFont="1" applyFill="1" applyBorder="1" applyAlignment="1"/>
    <xf numFmtId="0" fontId="16" fillId="0" borderId="10" xfId="0" applyFont="1" applyFill="1" applyBorder="1" applyAlignment="1"/>
    <xf numFmtId="0" fontId="46" fillId="0" borderId="1" xfId="0" applyFont="1" applyFill="1" applyBorder="1" applyAlignment="1">
      <alignment vertical="top"/>
    </xf>
    <xf numFmtId="0" fontId="46" fillId="0" borderId="4" xfId="0" applyFont="1" applyFill="1" applyBorder="1" applyAlignment="1">
      <alignment vertical="top"/>
    </xf>
    <xf numFmtId="167" fontId="45" fillId="0" borderId="12" xfId="2" applyNumberFormat="1" applyFont="1" applyFill="1" applyBorder="1" applyAlignment="1">
      <alignment horizontal="left" vertical="top"/>
    </xf>
    <xf numFmtId="43" fontId="85" fillId="0" borderId="12" xfId="2" applyFont="1" applyFill="1" applyBorder="1" applyAlignment="1">
      <alignment horizontal="left" vertical="top"/>
    </xf>
    <xf numFmtId="43" fontId="86" fillId="0" borderId="12" xfId="2" applyFont="1" applyFill="1" applyBorder="1" applyAlignment="1">
      <alignment horizontal="left" vertical="top"/>
    </xf>
    <xf numFmtId="10" fontId="85" fillId="0" borderId="12" xfId="5" applyNumberFormat="1" applyFont="1" applyFill="1" applyBorder="1" applyAlignment="1">
      <alignment horizontal="center" vertical="top"/>
    </xf>
    <xf numFmtId="1" fontId="85" fillId="0" borderId="12" xfId="5" applyNumberFormat="1" applyFont="1" applyFill="1" applyBorder="1" applyAlignment="1">
      <alignment horizontal="center" vertical="top"/>
    </xf>
    <xf numFmtId="1" fontId="61" fillId="0" borderId="12" xfId="0" applyNumberFormat="1" applyFont="1" applyBorder="1" applyAlignment="1">
      <alignment horizontal="left" vertical="top"/>
    </xf>
    <xf numFmtId="0" fontId="45" fillId="0" borderId="12" xfId="0" applyFont="1" applyFill="1" applyBorder="1" applyAlignment="1">
      <alignment vertical="top"/>
    </xf>
    <xf numFmtId="2" fontId="33" fillId="0" borderId="12" xfId="5" applyNumberFormat="1" applyFont="1" applyFill="1" applyBorder="1" applyAlignment="1">
      <alignment horizontal="center" vertical="top"/>
    </xf>
    <xf numFmtId="2" fontId="33" fillId="0" borderId="12" xfId="5" applyNumberFormat="1" applyFont="1" applyBorder="1" applyAlignment="1">
      <alignment horizontal="center" vertical="top"/>
    </xf>
    <xf numFmtId="10" fontId="16" fillId="0" borderId="12" xfId="5" applyNumberFormat="1" applyFont="1" applyBorder="1" applyAlignment="1">
      <alignment vertical="top"/>
    </xf>
    <xf numFmtId="0" fontId="33" fillId="19" borderId="14" xfId="0" applyFont="1" applyFill="1" applyBorder="1" applyAlignment="1">
      <alignment vertical="top"/>
    </xf>
    <xf numFmtId="0" fontId="109" fillId="25" borderId="0" xfId="1" applyFont="1" applyFill="1" applyBorder="1" applyAlignment="1" applyProtection="1">
      <alignment vertical="center"/>
    </xf>
    <xf numFmtId="0" fontId="103" fillId="25" borderId="0" xfId="1" applyFont="1" applyFill="1" applyBorder="1" applyAlignment="1" applyProtection="1">
      <alignment horizontal="center" vertical="center"/>
    </xf>
    <xf numFmtId="0" fontId="104" fillId="25" borderId="0" xfId="1" applyFont="1" applyFill="1" applyBorder="1" applyAlignment="1" applyProtection="1">
      <alignment vertical="center"/>
    </xf>
    <xf numFmtId="0" fontId="0" fillId="25" borderId="0" xfId="0" applyFill="1" applyBorder="1" applyAlignment="1"/>
    <xf numFmtId="43" fontId="39" fillId="0" borderId="12" xfId="2" applyNumberFormat="1" applyFont="1" applyFill="1" applyBorder="1" applyAlignment="1">
      <alignment vertical="top"/>
    </xf>
    <xf numFmtId="0" fontId="60" fillId="0" borderId="12" xfId="0" applyFont="1" applyBorder="1" applyAlignment="1">
      <alignment horizontal="center" vertical="center"/>
    </xf>
    <xf numFmtId="0" fontId="26" fillId="4" borderId="0" xfId="0" applyFont="1" applyFill="1" applyBorder="1"/>
    <xf numFmtId="167" fontId="18" fillId="4" borderId="0" xfId="4" applyNumberFormat="1" applyFont="1" applyFill="1" applyBorder="1"/>
    <xf numFmtId="0" fontId="85" fillId="7" borderId="0" xfId="0" applyFont="1" applyFill="1" applyBorder="1" applyAlignment="1">
      <alignment horizontal="right"/>
    </xf>
    <xf numFmtId="0" fontId="39" fillId="0" borderId="12" xfId="0" applyFont="1" applyFill="1" applyBorder="1" applyAlignment="1">
      <alignment vertical="top"/>
    </xf>
    <xf numFmtId="9" fontId="0" fillId="3" borderId="40" xfId="0" applyNumberFormat="1" applyFill="1" applyBorder="1" applyAlignment="1">
      <alignment vertical="center"/>
    </xf>
    <xf numFmtId="43" fontId="39" fillId="0" borderId="12" xfId="4" applyNumberFormat="1" applyFont="1" applyFill="1" applyBorder="1" applyAlignment="1">
      <alignment vertical="top"/>
    </xf>
    <xf numFmtId="9" fontId="60" fillId="0" borderId="12" xfId="0" applyNumberFormat="1" applyFont="1" applyFill="1" applyBorder="1" applyAlignment="1">
      <alignment vertical="top" wrapText="1"/>
    </xf>
    <xf numFmtId="0" fontId="16" fillId="0" borderId="0" xfId="0" applyFont="1" applyFill="1" applyBorder="1"/>
    <xf numFmtId="0" fontId="16" fillId="0" borderId="20" xfId="0" applyFont="1" applyFill="1" applyBorder="1"/>
    <xf numFmtId="0" fontId="0" fillId="0" borderId="0" xfId="0" applyFill="1" applyAlignment="1">
      <alignment wrapText="1"/>
    </xf>
    <xf numFmtId="0" fontId="5" fillId="0" borderId="36" xfId="0" applyFont="1" applyBorder="1"/>
    <xf numFmtId="0" fontId="5" fillId="0" borderId="0" xfId="0" applyFont="1" applyBorder="1"/>
    <xf numFmtId="169" fontId="0" fillId="0" borderId="12" xfId="4" applyNumberFormat="1" applyFont="1" applyFill="1" applyBorder="1" applyAlignment="1">
      <alignment vertical="center"/>
    </xf>
    <xf numFmtId="0" fontId="39" fillId="0" borderId="12" xfId="0" applyFont="1" applyFill="1" applyBorder="1" applyAlignment="1">
      <alignment horizontal="center" vertical="top"/>
    </xf>
    <xf numFmtId="0" fontId="38" fillId="4" borderId="0" xfId="0" applyFont="1" applyFill="1" applyAlignment="1">
      <alignment vertical="top"/>
    </xf>
    <xf numFmtId="0" fontId="38" fillId="29" borderId="12" xfId="0" applyFont="1" applyFill="1" applyBorder="1" applyAlignment="1">
      <alignment vertical="top"/>
    </xf>
    <xf numFmtId="0" fontId="38" fillId="0" borderId="12" xfId="0" applyFont="1" applyBorder="1" applyAlignment="1">
      <alignment vertical="top"/>
    </xf>
    <xf numFmtId="0" fontId="38" fillId="0" borderId="12" xfId="0" applyFont="1" applyFill="1" applyBorder="1" applyAlignment="1">
      <alignment vertical="top"/>
    </xf>
    <xf numFmtId="0" fontId="48" fillId="27" borderId="15" xfId="0" applyFont="1" applyFill="1" applyBorder="1" applyAlignment="1">
      <alignment vertical="top"/>
    </xf>
    <xf numFmtId="167" fontId="38" fillId="0" borderId="12" xfId="2" applyNumberFormat="1" applyFont="1" applyFill="1" applyBorder="1" applyAlignment="1">
      <alignment vertical="top"/>
    </xf>
    <xf numFmtId="0" fontId="27" fillId="0" borderId="0" xfId="0" applyFont="1" applyFill="1" applyAlignment="1">
      <alignment vertical="top"/>
    </xf>
    <xf numFmtId="0" fontId="28" fillId="0" borderId="0" xfId="0" applyFont="1" applyFill="1" applyAlignment="1">
      <alignment vertical="top"/>
    </xf>
    <xf numFmtId="0" fontId="85" fillId="0" borderId="0" xfId="0" applyFont="1" applyBorder="1" applyAlignment="1">
      <alignment vertical="top"/>
    </xf>
    <xf numFmtId="9" fontId="71" fillId="0" borderId="12" xfId="0" applyNumberFormat="1" applyFont="1" applyFill="1" applyBorder="1" applyAlignment="1">
      <alignment vertical="top"/>
    </xf>
    <xf numFmtId="0" fontId="72" fillId="0" borderId="12" xfId="0" applyFont="1" applyFill="1" applyBorder="1" applyAlignment="1">
      <alignment horizontal="right" vertical="top"/>
    </xf>
    <xf numFmtId="0" fontId="0" fillId="25" borderId="0" xfId="0" applyFill="1" applyBorder="1" applyAlignment="1">
      <alignment horizontal="left" indent="1"/>
    </xf>
    <xf numFmtId="0" fontId="162" fillId="4" borderId="0" xfId="0" applyFont="1" applyFill="1" applyBorder="1" applyAlignment="1">
      <alignment horizontal="left" vertical="center"/>
    </xf>
    <xf numFmtId="43" fontId="39" fillId="0" borderId="0" xfId="0" applyNumberFormat="1" applyFont="1" applyFill="1" applyBorder="1" applyAlignment="1">
      <alignment vertical="top"/>
    </xf>
    <xf numFmtId="0" fontId="5" fillId="11" borderId="14" xfId="0" applyFont="1" applyFill="1" applyBorder="1" applyAlignment="1">
      <alignment vertical="center"/>
    </xf>
    <xf numFmtId="0" fontId="5" fillId="11" borderId="15" xfId="0" applyFont="1" applyFill="1" applyBorder="1" applyAlignment="1">
      <alignment vertical="center"/>
    </xf>
    <xf numFmtId="0" fontId="4" fillId="11" borderId="13" xfId="0" applyFont="1" applyFill="1" applyBorder="1" applyAlignment="1">
      <alignment horizontal="center" vertical="center"/>
    </xf>
    <xf numFmtId="0" fontId="83" fillId="26" borderId="0" xfId="0" applyFont="1" applyFill="1" applyBorder="1" applyAlignment="1">
      <alignment vertical="center"/>
    </xf>
    <xf numFmtId="0" fontId="0" fillId="25" borderId="0" xfId="0" applyFill="1"/>
    <xf numFmtId="0" fontId="0" fillId="4" borderId="0" xfId="0" applyFill="1"/>
    <xf numFmtId="0" fontId="0" fillId="4" borderId="0" xfId="0" applyFill="1" applyBorder="1"/>
    <xf numFmtId="0" fontId="0" fillId="25" borderId="0" xfId="0" applyFill="1" applyBorder="1"/>
    <xf numFmtId="0" fontId="101" fillId="26" borderId="0" xfId="0" applyFont="1" applyFill="1" applyBorder="1" applyAlignment="1">
      <alignment horizontal="left" vertical="center"/>
    </xf>
    <xf numFmtId="0" fontId="0" fillId="26" borderId="0" xfId="0" applyFill="1"/>
    <xf numFmtId="0" fontId="6" fillId="26" borderId="0" xfId="0" applyFont="1" applyFill="1" applyBorder="1" applyAlignment="1">
      <alignment vertical="center"/>
    </xf>
    <xf numFmtId="43" fontId="37" fillId="0" borderId="13" xfId="2" applyFont="1" applyFill="1" applyBorder="1" applyAlignment="1">
      <alignment vertical="top"/>
    </xf>
    <xf numFmtId="43" fontId="37" fillId="0" borderId="14" xfId="2" applyFont="1" applyFill="1" applyBorder="1" applyAlignment="1">
      <alignment vertical="top"/>
    </xf>
    <xf numFmtId="43" fontId="37" fillId="0" borderId="15" xfId="2" applyFont="1" applyFill="1" applyBorder="1" applyAlignment="1">
      <alignment vertical="top"/>
    </xf>
    <xf numFmtId="0" fontId="16" fillId="0" borderId="13" xfId="0" applyFont="1" applyBorder="1" applyAlignment="1">
      <alignment vertical="top"/>
    </xf>
    <xf numFmtId="0" fontId="16" fillId="0" borderId="14" xfId="0" applyFont="1" applyBorder="1" applyAlignment="1">
      <alignment vertical="top"/>
    </xf>
    <xf numFmtId="0" fontId="16" fillId="0" borderId="15" xfId="0" applyFont="1" applyBorder="1" applyAlignment="1">
      <alignment vertical="top"/>
    </xf>
    <xf numFmtId="0" fontId="149" fillId="4" borderId="0" xfId="0" applyFont="1" applyFill="1" applyBorder="1" applyAlignment="1">
      <alignment horizontal="left" vertical="center" wrapText="1"/>
    </xf>
    <xf numFmtId="0" fontId="165" fillId="26" borderId="0" xfId="0" applyFont="1" applyFill="1" applyBorder="1" applyAlignment="1">
      <alignment vertical="center"/>
    </xf>
    <xf numFmtId="0" fontId="0" fillId="7" borderId="0" xfId="0" applyFill="1"/>
    <xf numFmtId="0" fontId="111" fillId="7" borderId="0" xfId="0" applyFont="1" applyFill="1" applyBorder="1" applyAlignment="1"/>
    <xf numFmtId="0" fontId="160" fillId="7" borderId="0" xfId="0" applyFont="1" applyFill="1" applyBorder="1" applyAlignment="1"/>
    <xf numFmtId="0" fontId="0" fillId="7" borderId="0" xfId="0" applyFill="1" applyAlignment="1"/>
    <xf numFmtId="0" fontId="10" fillId="7" borderId="0" xfId="0" applyFont="1" applyFill="1" applyBorder="1" applyAlignment="1">
      <alignment vertical="center"/>
    </xf>
    <xf numFmtId="0" fontId="164" fillId="7" borderId="0" xfId="0" applyFont="1" applyFill="1" applyBorder="1" applyAlignment="1">
      <alignment horizontal="left" indent="1"/>
    </xf>
    <xf numFmtId="0" fontId="39" fillId="0" borderId="16" xfId="0" applyFont="1" applyBorder="1" applyAlignment="1">
      <alignment vertical="top"/>
    </xf>
    <xf numFmtId="0" fontId="39" fillId="0" borderId="19" xfId="0" applyFont="1" applyBorder="1" applyAlignment="1">
      <alignment vertical="top"/>
    </xf>
    <xf numFmtId="10" fontId="85" fillId="0" borderId="12" xfId="0" applyNumberFormat="1" applyFont="1" applyBorder="1" applyAlignment="1">
      <alignment horizontal="left" vertical="top"/>
    </xf>
    <xf numFmtId="0" fontId="33" fillId="0" borderId="12" xfId="0" applyFont="1" applyFill="1" applyBorder="1" applyAlignment="1">
      <alignment horizontal="center" vertical="top" wrapText="1"/>
    </xf>
    <xf numFmtId="0" fontId="48" fillId="27" borderId="14" xfId="0" applyFont="1" applyFill="1" applyBorder="1" applyAlignment="1">
      <alignment vertical="top" wrapText="1"/>
    </xf>
    <xf numFmtId="43" fontId="0" fillId="4" borderId="0" xfId="0" applyNumberFormat="1" applyFill="1" applyBorder="1"/>
    <xf numFmtId="0" fontId="110" fillId="26" borderId="92" xfId="1" applyFont="1" applyFill="1" applyBorder="1" applyAlignment="1" applyProtection="1">
      <alignment vertical="center"/>
    </xf>
    <xf numFmtId="9" fontId="0" fillId="19" borderId="0" xfId="5" applyFont="1" applyFill="1" applyBorder="1" applyAlignment="1">
      <alignment vertical="top"/>
    </xf>
    <xf numFmtId="0" fontId="50" fillId="29" borderId="0" xfId="0" applyFont="1" applyFill="1" applyAlignment="1">
      <alignment vertical="top"/>
    </xf>
    <xf numFmtId="0" fontId="50" fillId="29" borderId="12" xfId="0" applyFont="1" applyFill="1" applyBorder="1" applyAlignment="1">
      <alignment vertical="top" wrapText="1"/>
    </xf>
    <xf numFmtId="0" fontId="50" fillId="0" borderId="0" xfId="0" applyFont="1" applyFill="1" applyAlignment="1">
      <alignment vertical="top"/>
    </xf>
    <xf numFmtId="167" fontId="16" fillId="3" borderId="40" xfId="2" applyNumberFormat="1" applyFont="1" applyFill="1" applyBorder="1" applyAlignment="1">
      <alignment horizontal="right" vertical="center"/>
    </xf>
    <xf numFmtId="167" fontId="16" fillId="3" borderId="40" xfId="4" applyNumberFormat="1" applyFont="1" applyFill="1" applyBorder="1" applyAlignment="1">
      <alignment vertical="center"/>
    </xf>
    <xf numFmtId="167" fontId="16" fillId="3" borderId="40" xfId="4" applyNumberFormat="1" applyFont="1" applyFill="1" applyBorder="1" applyAlignment="1">
      <alignment horizontal="right" vertical="center"/>
    </xf>
    <xf numFmtId="0" fontId="114" fillId="26" borderId="0" xfId="1" applyFont="1" applyFill="1" applyBorder="1" applyAlignment="1" applyProtection="1">
      <alignment vertical="center"/>
    </xf>
    <xf numFmtId="168" fontId="0" fillId="0" borderId="0" xfId="0" applyNumberFormat="1" applyBorder="1" applyAlignment="1">
      <alignment vertical="top"/>
    </xf>
    <xf numFmtId="0" fontId="46" fillId="25" borderId="0" xfId="0" applyFont="1" applyFill="1" applyAlignment="1">
      <alignment vertical="center"/>
    </xf>
    <xf numFmtId="9" fontId="46" fillId="4" borderId="0" xfId="5" applyFont="1" applyFill="1" applyAlignment="1">
      <alignment vertical="center"/>
    </xf>
    <xf numFmtId="9" fontId="39" fillId="4" borderId="0" xfId="5" applyFont="1" applyFill="1" applyAlignment="1">
      <alignment vertical="center"/>
    </xf>
    <xf numFmtId="43" fontId="0" fillId="4" borderId="0" xfId="0" applyNumberFormat="1" applyFill="1" applyAlignment="1">
      <alignment vertical="center"/>
    </xf>
    <xf numFmtId="167" fontId="0" fillId="4" borderId="0" xfId="0" applyNumberFormat="1" applyFont="1" applyFill="1" applyAlignment="1">
      <alignment vertical="center"/>
    </xf>
    <xf numFmtId="1" fontId="0" fillId="4" borderId="0" xfId="0" applyNumberFormat="1" applyFont="1" applyFill="1" applyAlignment="1">
      <alignment vertical="center"/>
    </xf>
    <xf numFmtId="1" fontId="25" fillId="4" borderId="0" xfId="0" applyNumberFormat="1" applyFont="1" applyFill="1" applyAlignment="1">
      <alignment vertical="center"/>
    </xf>
    <xf numFmtId="169" fontId="0" fillId="0" borderId="9" xfId="4" applyNumberFormat="1" applyFont="1" applyBorder="1" applyAlignment="1">
      <alignment vertical="top"/>
    </xf>
    <xf numFmtId="169" fontId="0" fillId="0" borderId="10" xfId="4" applyNumberFormat="1" applyFont="1" applyBorder="1" applyAlignment="1">
      <alignment vertical="top"/>
    </xf>
    <xf numFmtId="0" fontId="48" fillId="27" borderId="15" xfId="0" applyFont="1" applyFill="1" applyBorder="1" applyAlignment="1">
      <alignment vertical="top" wrapText="1"/>
    </xf>
    <xf numFmtId="0" fontId="0" fillId="7" borderId="12" xfId="0" applyFill="1" applyBorder="1" applyAlignment="1">
      <alignment horizontal="right" vertical="center"/>
    </xf>
    <xf numFmtId="9" fontId="0" fillId="4" borderId="0" xfId="5" applyFont="1" applyFill="1" applyAlignment="1">
      <alignment vertical="center"/>
    </xf>
    <xf numFmtId="0" fontId="11" fillId="4" borderId="13" xfId="0" applyFont="1" applyFill="1" applyBorder="1" applyAlignment="1">
      <alignment horizontal="left" vertical="center" wrapText="1"/>
    </xf>
    <xf numFmtId="0" fontId="5" fillId="4" borderId="12" xfId="0" applyFont="1" applyFill="1" applyBorder="1" applyAlignment="1">
      <alignment vertical="center"/>
    </xf>
    <xf numFmtId="0" fontId="16" fillId="0" borderId="13" xfId="0" applyFont="1" applyFill="1" applyBorder="1" applyAlignment="1">
      <alignment vertical="center" wrapText="1"/>
    </xf>
    <xf numFmtId="43" fontId="11" fillId="11" borderId="12" xfId="4" applyFont="1" applyFill="1" applyBorder="1" applyAlignment="1">
      <alignment horizontal="center" vertical="center"/>
    </xf>
    <xf numFmtId="0" fontId="166" fillId="5" borderId="12" xfId="0" applyFont="1" applyFill="1" applyBorder="1" applyAlignment="1">
      <alignment horizontal="center" vertical="center"/>
    </xf>
    <xf numFmtId="0" fontId="4" fillId="5" borderId="12" xfId="0" applyFont="1" applyFill="1" applyBorder="1" applyAlignment="1">
      <alignment horizontal="center" vertical="center"/>
    </xf>
    <xf numFmtId="169" fontId="11" fillId="11" borderId="12" xfId="4" applyNumberFormat="1" applyFont="1" applyFill="1" applyBorder="1" applyAlignment="1">
      <alignment vertical="center"/>
    </xf>
    <xf numFmtId="169" fontId="0" fillId="0" borderId="13" xfId="4" applyNumberFormat="1" applyFont="1" applyFill="1" applyBorder="1" applyAlignment="1">
      <alignment vertical="center"/>
    </xf>
    <xf numFmtId="169" fontId="16" fillId="0" borderId="12" xfId="4" applyNumberFormat="1" applyFont="1" applyFill="1" applyBorder="1" applyAlignment="1">
      <alignment vertical="center"/>
    </xf>
    <xf numFmtId="169" fontId="16" fillId="0" borderId="13" xfId="4" applyNumberFormat="1" applyFont="1" applyFill="1" applyBorder="1" applyAlignment="1">
      <alignment vertical="center"/>
    </xf>
    <xf numFmtId="169" fontId="16" fillId="7" borderId="42" xfId="4" applyNumberFormat="1" applyFont="1" applyFill="1" applyBorder="1" applyAlignment="1">
      <alignment vertical="center"/>
    </xf>
    <xf numFmtId="169" fontId="16" fillId="7" borderId="43" xfId="4" applyNumberFormat="1" applyFont="1" applyFill="1" applyBorder="1" applyAlignment="1">
      <alignment vertical="center"/>
    </xf>
    <xf numFmtId="169" fontId="16" fillId="7" borderId="13" xfId="4" applyNumberFormat="1" applyFont="1" applyFill="1" applyBorder="1" applyAlignment="1">
      <alignment vertical="center"/>
    </xf>
    <xf numFmtId="169" fontId="16" fillId="7" borderId="14" xfId="4" applyNumberFormat="1" applyFont="1" applyFill="1" applyBorder="1" applyAlignment="1">
      <alignment vertical="center"/>
    </xf>
    <xf numFmtId="169" fontId="16" fillId="0" borderId="15" xfId="4" applyNumberFormat="1" applyFont="1" applyFill="1" applyBorder="1" applyAlignment="1">
      <alignment vertical="center"/>
    </xf>
    <xf numFmtId="169" fontId="16" fillId="0" borderId="14" xfId="4" applyNumberFormat="1" applyFont="1" applyFill="1" applyBorder="1" applyAlignment="1">
      <alignment vertical="center"/>
    </xf>
    <xf numFmtId="169" fontId="38" fillId="4" borderId="13" xfId="4" applyNumberFormat="1" applyFont="1" applyFill="1" applyBorder="1" applyAlignment="1">
      <alignment vertical="center"/>
    </xf>
    <xf numFmtId="169" fontId="38" fillId="4" borderId="14" xfId="4" applyNumberFormat="1" applyFont="1" applyFill="1" applyBorder="1" applyAlignment="1">
      <alignment vertical="center"/>
    </xf>
    <xf numFmtId="169" fontId="38" fillId="4" borderId="15" xfId="4" applyNumberFormat="1" applyFont="1" applyFill="1" applyBorder="1" applyAlignment="1">
      <alignment vertical="center"/>
    </xf>
    <xf numFmtId="169" fontId="16" fillId="4" borderId="19" xfId="4" applyNumberFormat="1" applyFont="1" applyFill="1" applyBorder="1" applyAlignment="1">
      <alignment vertical="center"/>
    </xf>
    <xf numFmtId="169" fontId="16" fillId="4" borderId="12" xfId="4" applyNumberFormat="1" applyFont="1" applyFill="1" applyBorder="1" applyAlignment="1">
      <alignment vertical="center"/>
    </xf>
    <xf numFmtId="169" fontId="16" fillId="7" borderId="15" xfId="4" applyNumberFormat="1" applyFont="1" applyFill="1" applyBorder="1" applyAlignment="1">
      <alignment vertical="center"/>
    </xf>
    <xf numFmtId="43" fontId="11" fillId="36" borderId="12" xfId="4" applyFont="1" applyFill="1" applyBorder="1" applyAlignment="1">
      <alignment horizontal="center" vertical="center"/>
    </xf>
    <xf numFmtId="169" fontId="11" fillId="36" borderId="12" xfId="4" applyNumberFormat="1" applyFont="1" applyFill="1" applyBorder="1" applyAlignment="1">
      <alignment vertical="center"/>
    </xf>
    <xf numFmtId="0" fontId="0" fillId="4" borderId="0" xfId="0" applyFill="1" applyBorder="1"/>
    <xf numFmtId="0" fontId="0" fillId="4" borderId="0" xfId="0" applyFill="1" applyBorder="1" applyAlignment="1">
      <alignment vertical="top"/>
    </xf>
    <xf numFmtId="0" fontId="0" fillId="4" borderId="0" xfId="0" applyFill="1" applyBorder="1" applyAlignment="1">
      <alignment horizontal="center" vertical="top"/>
    </xf>
    <xf numFmtId="2" fontId="0" fillId="0" borderId="0" xfId="0" applyNumberFormat="1"/>
    <xf numFmtId="0" fontId="25" fillId="4" borderId="0" xfId="0" applyFont="1" applyFill="1" applyBorder="1" applyAlignment="1">
      <alignment horizontal="left" indent="1"/>
    </xf>
    <xf numFmtId="0" fontId="0" fillId="25" borderId="0" xfId="0" applyFill="1" applyAlignment="1">
      <alignment horizontal="left" indent="1"/>
    </xf>
    <xf numFmtId="3" fontId="16" fillId="0" borderId="12" xfId="0" applyNumberFormat="1" applyFont="1" applyFill="1" applyBorder="1" applyAlignment="1">
      <alignment vertical="top"/>
    </xf>
    <xf numFmtId="43" fontId="3" fillId="0" borderId="0" xfId="4" applyFont="1" applyBorder="1" applyAlignment="1">
      <alignment vertical="top"/>
    </xf>
    <xf numFmtId="0" fontId="81" fillId="28" borderId="2" xfId="0" applyFont="1" applyFill="1" applyBorder="1" applyAlignment="1">
      <alignment vertical="top" wrapText="1"/>
    </xf>
    <xf numFmtId="0" fontId="0" fillId="0" borderId="9" xfId="0" applyBorder="1" applyAlignment="1">
      <alignment vertical="top" wrapText="1"/>
    </xf>
    <xf numFmtId="0" fontId="5" fillId="0" borderId="2" xfId="0" applyFont="1" applyBorder="1" applyAlignment="1">
      <alignment vertical="top" wrapText="1"/>
    </xf>
    <xf numFmtId="0" fontId="0" fillId="0" borderId="2" xfId="0" applyBorder="1" applyAlignment="1">
      <alignment vertical="top" wrapText="1"/>
    </xf>
    <xf numFmtId="43" fontId="0" fillId="0" borderId="9" xfId="0" applyNumberFormat="1" applyBorder="1" applyAlignment="1">
      <alignment vertical="top" wrapText="1"/>
    </xf>
    <xf numFmtId="43" fontId="16" fillId="0" borderId="9" xfId="2" applyFont="1" applyFill="1" applyBorder="1" applyAlignment="1">
      <alignment vertical="top" wrapText="1"/>
    </xf>
    <xf numFmtId="0" fontId="16" fillId="0" borderId="0" xfId="0" applyFont="1" applyBorder="1" applyAlignment="1">
      <alignment vertical="top" wrapText="1"/>
    </xf>
    <xf numFmtId="0" fontId="0" fillId="28" borderId="2" xfId="0" applyFill="1" applyBorder="1" applyAlignment="1">
      <alignment vertical="top"/>
    </xf>
    <xf numFmtId="9" fontId="50" fillId="29" borderId="12" xfId="5" applyFont="1" applyFill="1" applyBorder="1" applyAlignment="1">
      <alignment vertical="top"/>
    </xf>
    <xf numFmtId="0" fontId="0" fillId="7" borderId="0" xfId="0" applyFill="1" applyBorder="1" applyAlignment="1">
      <alignment vertical="top"/>
    </xf>
    <xf numFmtId="0" fontId="117" fillId="25" borderId="0" xfId="1" applyFont="1" applyFill="1" applyBorder="1" applyAlignment="1" applyProtection="1">
      <alignment horizontal="right" vertical="center"/>
    </xf>
    <xf numFmtId="0" fontId="0" fillId="2" borderId="0" xfId="0" applyFill="1" applyBorder="1" applyAlignment="1">
      <alignment horizontal="center" vertical="top"/>
    </xf>
    <xf numFmtId="0" fontId="0" fillId="2" borderId="0" xfId="0" applyFill="1" applyBorder="1" applyAlignment="1">
      <alignment horizontal="center"/>
    </xf>
    <xf numFmtId="0" fontId="0" fillId="2" borderId="0" xfId="0" applyFill="1" applyBorder="1" applyAlignment="1">
      <alignment horizontal="left" vertical="center" indent="2"/>
    </xf>
    <xf numFmtId="0" fontId="0" fillId="2" borderId="0" xfId="0" applyFill="1" applyBorder="1" applyAlignment="1">
      <alignment horizontal="left" vertical="center" indent="3"/>
    </xf>
    <xf numFmtId="0" fontId="0" fillId="25" borderId="0" xfId="0" applyFont="1" applyFill="1" applyBorder="1" applyAlignment="1">
      <alignment vertical="center"/>
    </xf>
    <xf numFmtId="0" fontId="0" fillId="4" borderId="0" xfId="0" applyFont="1" applyFill="1" applyBorder="1" applyAlignment="1">
      <alignment horizontal="center" vertical="center"/>
    </xf>
    <xf numFmtId="0" fontId="0" fillId="7" borderId="0" xfId="0" applyFont="1" applyFill="1"/>
    <xf numFmtId="0" fontId="0" fillId="7" borderId="21" xfId="0" applyFill="1" applyBorder="1" applyAlignment="1">
      <alignment horizontal="left" vertical="center" wrapText="1" indent="1"/>
    </xf>
    <xf numFmtId="0" fontId="25" fillId="4" borderId="21" xfId="0" applyFont="1" applyFill="1" applyBorder="1" applyAlignment="1">
      <alignment horizontal="left" vertical="center" wrapText="1"/>
    </xf>
    <xf numFmtId="0" fontId="11" fillId="4" borderId="13" xfId="0" applyFont="1" applyFill="1" applyBorder="1" applyAlignment="1">
      <alignment horizontal="center" vertical="center"/>
    </xf>
    <xf numFmtId="0" fontId="11" fillId="4" borderId="12" xfId="0" applyFont="1" applyFill="1" applyBorder="1" applyAlignment="1">
      <alignment horizontal="center" vertical="center"/>
    </xf>
    <xf numFmtId="0" fontId="11" fillId="4" borderId="35" xfId="0" applyFont="1" applyFill="1" applyBorder="1" applyAlignment="1">
      <alignment horizontal="center" vertical="center"/>
    </xf>
    <xf numFmtId="167" fontId="60" fillId="0" borderId="0" xfId="0" applyNumberFormat="1" applyFont="1" applyFill="1" applyBorder="1"/>
    <xf numFmtId="0" fontId="11" fillId="4" borderId="0" xfId="0" applyFont="1" applyFill="1" applyAlignment="1">
      <alignment vertical="center"/>
    </xf>
    <xf numFmtId="0" fontId="11" fillId="7" borderId="13" xfId="0" applyFont="1" applyFill="1" applyBorder="1" applyAlignment="1">
      <alignment horizontal="left" vertical="center" indent="1"/>
    </xf>
    <xf numFmtId="0" fontId="170" fillId="25" borderId="0" xfId="0" applyFont="1" applyFill="1" applyAlignment="1">
      <alignment vertical="center"/>
    </xf>
    <xf numFmtId="0" fontId="169" fillId="25" borderId="0" xfId="0" applyFont="1" applyFill="1" applyBorder="1" applyAlignment="1">
      <alignment vertical="center"/>
    </xf>
    <xf numFmtId="0" fontId="4" fillId="11" borderId="31" xfId="0" applyFont="1" applyFill="1" applyBorder="1" applyAlignment="1">
      <alignment horizontal="center" vertical="center"/>
    </xf>
    <xf numFmtId="0" fontId="5" fillId="11" borderId="35" xfId="0" applyFont="1" applyFill="1" applyBorder="1" applyAlignment="1">
      <alignment vertical="center"/>
    </xf>
    <xf numFmtId="0" fontId="11" fillId="7" borderId="21" xfId="0" applyFont="1" applyFill="1" applyBorder="1" applyAlignment="1">
      <alignment horizontal="right" vertical="center"/>
    </xf>
    <xf numFmtId="0" fontId="11" fillId="7" borderId="23" xfId="0" applyFont="1" applyFill="1" applyBorder="1" applyAlignment="1">
      <alignment horizontal="right" vertical="center"/>
    </xf>
    <xf numFmtId="0" fontId="11" fillId="7" borderId="120" xfId="0" applyFont="1" applyFill="1" applyBorder="1" applyAlignment="1">
      <alignment horizontal="left" vertical="center" indent="1"/>
    </xf>
    <xf numFmtId="0" fontId="18" fillId="0" borderId="0" xfId="0" applyFont="1" applyAlignment="1">
      <alignment vertical="top"/>
    </xf>
    <xf numFmtId="167" fontId="0" fillId="0" borderId="40" xfId="0" applyNumberFormat="1" applyBorder="1" applyAlignment="1">
      <alignment vertical="top"/>
    </xf>
    <xf numFmtId="167" fontId="33" fillId="0" borderId="12" xfId="0" applyNumberFormat="1" applyFont="1" applyFill="1" applyBorder="1" applyAlignment="1">
      <alignment horizontal="left" vertical="top"/>
    </xf>
    <xf numFmtId="167" fontId="33" fillId="0" borderId="12" xfId="0" applyNumberFormat="1" applyFont="1" applyBorder="1" applyAlignment="1">
      <alignment horizontal="left" vertical="top"/>
    </xf>
    <xf numFmtId="0" fontId="40" fillId="0" borderId="0" xfId="0" applyFont="1" applyAlignment="1">
      <alignment vertical="top" wrapText="1"/>
    </xf>
    <xf numFmtId="43" fontId="3" fillId="19" borderId="0" xfId="2" applyNumberFormat="1" applyFont="1" applyFill="1" applyBorder="1" applyAlignment="1">
      <alignment vertical="top"/>
    </xf>
    <xf numFmtId="43" fontId="11" fillId="29" borderId="12" xfId="4" applyFont="1" applyFill="1" applyBorder="1" applyAlignment="1">
      <alignment horizontal="left" vertical="top"/>
    </xf>
    <xf numFmtId="167" fontId="16" fillId="0" borderId="0" xfId="4" applyNumberFormat="1" applyFont="1" applyFill="1" applyAlignment="1">
      <alignment vertical="top"/>
    </xf>
    <xf numFmtId="0" fontId="0" fillId="0" borderId="0" xfId="0" applyFont="1" applyFill="1"/>
    <xf numFmtId="9" fontId="71" fillId="0" borderId="14" xfId="0" applyNumberFormat="1" applyFont="1" applyFill="1" applyBorder="1" applyAlignment="1">
      <alignment vertical="top"/>
    </xf>
    <xf numFmtId="43" fontId="39" fillId="0" borderId="14" xfId="4" applyFont="1" applyBorder="1" applyAlignment="1">
      <alignment vertical="top"/>
    </xf>
    <xf numFmtId="43" fontId="60" fillId="0" borderId="12" xfId="4" applyFont="1" applyFill="1" applyBorder="1" applyAlignment="1">
      <alignment vertical="top"/>
    </xf>
    <xf numFmtId="43" fontId="61" fillId="0" borderId="12" xfId="4" applyFont="1" applyFill="1" applyBorder="1" applyAlignment="1">
      <alignment vertical="top"/>
    </xf>
    <xf numFmtId="0" fontId="0" fillId="0" borderId="12" xfId="0" applyFont="1" applyFill="1" applyBorder="1"/>
    <xf numFmtId="0" fontId="11" fillId="29" borderId="17" xfId="0" applyFont="1" applyFill="1" applyBorder="1" applyAlignment="1">
      <alignment vertical="top"/>
    </xf>
    <xf numFmtId="166" fontId="33" fillId="0" borderId="0" xfId="0" applyNumberFormat="1" applyFont="1" applyAlignment="1">
      <alignment vertical="top"/>
    </xf>
    <xf numFmtId="169" fontId="33" fillId="0" borderId="0" xfId="0" applyNumberFormat="1" applyFont="1" applyBorder="1" applyAlignment="1">
      <alignment vertical="top"/>
    </xf>
    <xf numFmtId="169" fontId="33" fillId="0" borderId="5" xfId="0" applyNumberFormat="1" applyFont="1" applyBorder="1" applyAlignment="1">
      <alignment vertical="top"/>
    </xf>
    <xf numFmtId="169" fontId="0" fillId="0" borderId="36" xfId="0" applyNumberFormat="1" applyBorder="1" applyAlignment="1">
      <alignment vertical="top"/>
    </xf>
    <xf numFmtId="169" fontId="0" fillId="0" borderId="80" xfId="0" applyNumberFormat="1" applyBorder="1" applyAlignment="1">
      <alignment vertical="top"/>
    </xf>
    <xf numFmtId="169" fontId="0" fillId="0" borderId="5" xfId="4" applyNumberFormat="1" applyFont="1" applyBorder="1" applyAlignment="1">
      <alignment vertical="top"/>
    </xf>
    <xf numFmtId="169" fontId="16" fillId="0" borderId="0" xfId="0" applyNumberFormat="1" applyFont="1" applyBorder="1" applyAlignment="1">
      <alignment vertical="top"/>
    </xf>
    <xf numFmtId="169" fontId="16" fillId="0" borderId="5" xfId="0" applyNumberFormat="1" applyFont="1" applyBorder="1" applyAlignment="1">
      <alignment vertical="top"/>
    </xf>
    <xf numFmtId="169" fontId="16" fillId="0" borderId="9" xfId="0" applyNumberFormat="1" applyFont="1" applyBorder="1" applyAlignment="1">
      <alignment vertical="top"/>
    </xf>
    <xf numFmtId="169" fontId="16" fillId="0" borderId="10" xfId="0" applyNumberFormat="1" applyFont="1" applyBorder="1" applyAlignment="1">
      <alignment vertical="top"/>
    </xf>
    <xf numFmtId="167" fontId="0" fillId="0" borderId="41" xfId="0" applyNumberFormat="1" applyBorder="1" applyAlignment="1">
      <alignment vertical="top"/>
    </xf>
    <xf numFmtId="167" fontId="0" fillId="0" borderId="57" xfId="0" applyNumberFormat="1" applyBorder="1" applyAlignment="1">
      <alignment vertical="top"/>
    </xf>
    <xf numFmtId="0" fontId="21" fillId="4" borderId="0" xfId="0" applyFont="1" applyFill="1" applyAlignment="1">
      <alignment vertical="center"/>
    </xf>
    <xf numFmtId="0" fontId="21" fillId="25" borderId="0" xfId="0" applyFont="1" applyFill="1" applyAlignment="1">
      <alignment vertical="center"/>
    </xf>
    <xf numFmtId="0" fontId="0" fillId="7" borderId="138" xfId="0" applyFont="1" applyFill="1" applyBorder="1" applyAlignment="1">
      <alignment horizontal="right" vertical="center"/>
    </xf>
    <xf numFmtId="167" fontId="0" fillId="7" borderId="16" xfId="0" applyNumberFormat="1" applyFont="1" applyFill="1" applyBorder="1" applyAlignment="1">
      <alignment vertical="center"/>
    </xf>
    <xf numFmtId="167" fontId="0" fillId="7" borderId="119" xfId="0" applyNumberFormat="1" applyFont="1" applyFill="1" applyBorder="1" applyAlignment="1">
      <alignment vertical="center"/>
    </xf>
    <xf numFmtId="0" fontId="0" fillId="7" borderId="145" xfId="0" applyFont="1" applyFill="1" applyBorder="1" applyAlignment="1">
      <alignment horizontal="right" vertical="center"/>
    </xf>
    <xf numFmtId="167" fontId="0" fillId="7" borderId="143" xfId="0" applyNumberFormat="1" applyFont="1" applyFill="1" applyBorder="1" applyAlignment="1">
      <alignment vertical="center"/>
    </xf>
    <xf numFmtId="167" fontId="0" fillId="7" borderId="144" xfId="0" applyNumberFormat="1" applyFont="1" applyFill="1" applyBorder="1" applyAlignment="1">
      <alignment vertical="center"/>
    </xf>
    <xf numFmtId="167" fontId="0" fillId="4" borderId="0" xfId="4" applyNumberFormat="1" applyFont="1" applyFill="1" applyAlignment="1">
      <alignment vertical="center"/>
    </xf>
    <xf numFmtId="167" fontId="0" fillId="25" borderId="0" xfId="0" applyNumberFormat="1" applyFill="1" applyAlignment="1">
      <alignment vertical="center"/>
    </xf>
    <xf numFmtId="0" fontId="11" fillId="11" borderId="14" xfId="0" applyFont="1" applyFill="1" applyBorder="1" applyAlignment="1">
      <alignment vertical="center"/>
    </xf>
    <xf numFmtId="167" fontId="16" fillId="7" borderId="43" xfId="0" applyNumberFormat="1" applyFont="1" applyFill="1" applyBorder="1" applyAlignment="1">
      <alignment vertical="center"/>
    </xf>
    <xf numFmtId="167" fontId="39" fillId="0" borderId="0" xfId="4" applyNumberFormat="1" applyFont="1" applyBorder="1" applyAlignment="1">
      <alignment vertical="top"/>
    </xf>
    <xf numFmtId="0" fontId="50" fillId="0" borderId="12" xfId="0" applyFont="1" applyBorder="1" applyAlignment="1">
      <alignment vertical="top"/>
    </xf>
    <xf numFmtId="0" fontId="50" fillId="0" borderId="12" xfId="0" applyFont="1" applyBorder="1" applyAlignment="1">
      <alignment vertical="top" wrapText="1"/>
    </xf>
    <xf numFmtId="0" fontId="32" fillId="0" borderId="12" xfId="0" applyFont="1" applyBorder="1" applyAlignment="1">
      <alignment horizontal="left" vertical="top"/>
    </xf>
    <xf numFmtId="167" fontId="50" fillId="0" borderId="12" xfId="0" applyNumberFormat="1" applyFont="1" applyBorder="1" applyAlignment="1">
      <alignment vertical="top"/>
    </xf>
    <xf numFmtId="0" fontId="18" fillId="0" borderId="0" xfId="0" applyFont="1" applyFill="1" applyBorder="1" applyAlignment="1">
      <alignment vertical="top"/>
    </xf>
    <xf numFmtId="0" fontId="18" fillId="0" borderId="12" xfId="0" applyFont="1" applyFill="1" applyBorder="1" applyAlignment="1">
      <alignment vertical="top"/>
    </xf>
    <xf numFmtId="169" fontId="50" fillId="0" borderId="12" xfId="0" applyNumberFormat="1" applyFont="1" applyBorder="1" applyAlignment="1">
      <alignment vertical="top"/>
    </xf>
    <xf numFmtId="0" fontId="0" fillId="4" borderId="0" xfId="0" applyFill="1" applyBorder="1" applyAlignment="1">
      <alignment horizontal="center"/>
    </xf>
    <xf numFmtId="0" fontId="0" fillId="7" borderId="0" xfId="0" applyFont="1" applyFill="1" applyAlignment="1">
      <alignment vertical="center"/>
    </xf>
    <xf numFmtId="167" fontId="85" fillId="0" borderId="12" xfId="2" applyNumberFormat="1" applyFont="1" applyBorder="1" applyAlignment="1">
      <alignment vertical="top"/>
    </xf>
    <xf numFmtId="167" fontId="86" fillId="0" borderId="14" xfId="2" applyNumberFormat="1" applyFont="1" applyFill="1" applyBorder="1" applyAlignment="1">
      <alignment vertical="top"/>
    </xf>
    <xf numFmtId="167" fontId="86" fillId="0" borderId="12" xfId="0" applyNumberFormat="1" applyFont="1" applyBorder="1" applyAlignment="1">
      <alignment horizontal="left" vertical="top"/>
    </xf>
    <xf numFmtId="0" fontId="16" fillId="0" borderId="13" xfId="0" applyFont="1" applyFill="1" applyBorder="1" applyAlignment="1">
      <alignment vertical="top"/>
    </xf>
    <xf numFmtId="0" fontId="62" fillId="0" borderId="0" xfId="0" applyFont="1" applyBorder="1" applyAlignment="1">
      <alignment horizontal="left" vertical="top"/>
    </xf>
    <xf numFmtId="167" fontId="11" fillId="0" borderId="0" xfId="2" applyNumberFormat="1" applyFont="1" applyBorder="1" applyAlignment="1">
      <alignment vertical="top"/>
    </xf>
    <xf numFmtId="0" fontId="67" fillId="0" borderId="12" xfId="0" applyFont="1" applyBorder="1" applyAlignment="1">
      <alignment horizontal="left" vertical="top" wrapText="1"/>
    </xf>
    <xf numFmtId="9" fontId="120" fillId="4" borderId="0" xfId="5" applyFont="1" applyFill="1" applyAlignment="1">
      <alignment vertical="center"/>
    </xf>
    <xf numFmtId="167" fontId="0" fillId="4" borderId="0" xfId="4" applyNumberFormat="1" applyFont="1" applyFill="1" applyBorder="1"/>
    <xf numFmtId="172" fontId="0" fillId="4" borderId="0" xfId="0" applyNumberFormat="1" applyFill="1" applyBorder="1"/>
    <xf numFmtId="167" fontId="0" fillId="4" borderId="0" xfId="0" applyNumberFormat="1" applyFill="1" applyBorder="1"/>
    <xf numFmtId="43" fontId="0" fillId="4" borderId="0" xfId="0" applyNumberFormat="1" applyFill="1" applyBorder="1" applyAlignment="1">
      <alignment vertical="center"/>
    </xf>
    <xf numFmtId="0" fontId="39" fillId="4" borderId="0" xfId="0" applyFont="1" applyFill="1" applyBorder="1" applyAlignment="1">
      <alignment wrapText="1"/>
    </xf>
    <xf numFmtId="0" fontId="68" fillId="19" borderId="14" xfId="0" applyFont="1" applyFill="1" applyBorder="1" applyAlignment="1">
      <alignment vertical="top"/>
    </xf>
    <xf numFmtId="9" fontId="16" fillId="0" borderId="12" xfId="0" applyNumberFormat="1" applyFont="1" applyBorder="1" applyAlignment="1">
      <alignment vertical="top"/>
    </xf>
    <xf numFmtId="9" fontId="16" fillId="0" borderId="12" xfId="5" applyFont="1" applyBorder="1" applyAlignment="1">
      <alignment vertical="top"/>
    </xf>
    <xf numFmtId="167" fontId="11" fillId="0" borderId="12" xfId="4" applyNumberFormat="1" applyFont="1" applyBorder="1" applyAlignment="1">
      <alignment vertical="top"/>
    </xf>
    <xf numFmtId="167" fontId="16" fillId="0" borderId="12" xfId="0" applyNumberFormat="1" applyFont="1" applyFill="1" applyBorder="1" applyAlignment="1">
      <alignment vertical="top"/>
    </xf>
    <xf numFmtId="43" fontId="72" fillId="0" borderId="0" xfId="4" applyFont="1" applyFill="1" applyAlignment="1">
      <alignment vertical="top"/>
    </xf>
    <xf numFmtId="9" fontId="72" fillId="0" borderId="0" xfId="4" applyNumberFormat="1" applyFont="1" applyFill="1" applyAlignment="1">
      <alignment vertical="top"/>
    </xf>
    <xf numFmtId="167" fontId="16" fillId="0" borderId="0" xfId="0" applyNumberFormat="1" applyFont="1" applyAlignment="1">
      <alignment vertical="top"/>
    </xf>
    <xf numFmtId="10" fontId="16" fillId="0" borderId="12" xfId="5" applyNumberFormat="1" applyFont="1" applyFill="1" applyBorder="1"/>
    <xf numFmtId="43" fontId="121" fillId="7" borderId="0" xfId="0" applyNumberFormat="1" applyFont="1" applyFill="1" applyBorder="1" applyAlignment="1">
      <alignment vertical="center"/>
    </xf>
    <xf numFmtId="0" fontId="39" fillId="25" borderId="0" xfId="0" applyFont="1" applyFill="1" applyAlignment="1">
      <alignment vertical="center"/>
    </xf>
    <xf numFmtId="166" fontId="0" fillId="4" borderId="0" xfId="0" applyNumberFormat="1" applyFill="1" applyBorder="1" applyAlignment="1">
      <alignment horizontal="left"/>
    </xf>
    <xf numFmtId="167" fontId="39" fillId="4" borderId="0" xfId="4" applyNumberFormat="1" applyFont="1" applyFill="1" applyBorder="1"/>
    <xf numFmtId="167" fontId="39" fillId="4" borderId="0" xfId="4" applyNumberFormat="1" applyFont="1" applyFill="1" applyBorder="1" applyAlignment="1">
      <alignment wrapText="1"/>
    </xf>
    <xf numFmtId="2" fontId="39" fillId="4" borderId="0" xfId="0" applyNumberFormat="1" applyFont="1" applyFill="1" applyBorder="1" applyAlignment="1">
      <alignment horizontal="left"/>
    </xf>
    <xf numFmtId="0" fontId="16" fillId="0" borderId="13" xfId="0" applyFont="1" applyBorder="1" applyAlignment="1">
      <alignment vertical="center" wrapText="1"/>
    </xf>
    <xf numFmtId="167" fontId="0" fillId="4" borderId="0" xfId="4" applyNumberFormat="1" applyFont="1" applyFill="1" applyBorder="1" applyAlignment="1">
      <alignment horizontal="left"/>
    </xf>
    <xf numFmtId="167" fontId="39" fillId="4" borderId="0" xfId="0" applyNumberFormat="1" applyFont="1" applyFill="1" applyAlignment="1">
      <alignment vertical="center"/>
    </xf>
    <xf numFmtId="167" fontId="0" fillId="25" borderId="0" xfId="0" applyNumberFormat="1" applyFill="1" applyBorder="1" applyAlignment="1">
      <alignment vertical="top"/>
    </xf>
    <xf numFmtId="9" fontId="0" fillId="4" borderId="0" xfId="5" applyFont="1" applyFill="1" applyBorder="1" applyAlignment="1">
      <alignment vertical="top"/>
    </xf>
    <xf numFmtId="43" fontId="0" fillId="3" borderId="40" xfId="2" applyFont="1" applyFill="1" applyBorder="1" applyAlignment="1">
      <alignment vertical="top"/>
    </xf>
    <xf numFmtId="1" fontId="0" fillId="4" borderId="0" xfId="0" applyNumberFormat="1" applyFill="1" applyBorder="1" applyAlignment="1">
      <alignment horizontal="center" vertical="top"/>
    </xf>
    <xf numFmtId="0" fontId="0" fillId="6" borderId="89" xfId="0" applyFill="1" applyBorder="1"/>
    <xf numFmtId="0" fontId="0" fillId="6" borderId="90" xfId="0" applyFill="1" applyBorder="1"/>
    <xf numFmtId="0" fontId="0" fillId="6" borderId="91" xfId="0" applyFill="1" applyBorder="1"/>
    <xf numFmtId="0" fontId="0" fillId="6" borderId="92" xfId="0" applyFill="1" applyBorder="1"/>
    <xf numFmtId="0" fontId="0" fillId="6" borderId="93" xfId="0" applyFill="1" applyBorder="1"/>
    <xf numFmtId="0" fontId="6" fillId="6" borderId="0" xfId="0" applyFont="1" applyFill="1" applyBorder="1"/>
    <xf numFmtId="0" fontId="4" fillId="6" borderId="0" xfId="0" applyFont="1" applyFill="1" applyBorder="1" applyAlignment="1"/>
    <xf numFmtId="0" fontId="0" fillId="6" borderId="94" xfId="0" applyFill="1" applyBorder="1"/>
    <xf numFmtId="0" fontId="0" fillId="6" borderId="95" xfId="0" applyFill="1" applyBorder="1"/>
    <xf numFmtId="0" fontId="0" fillId="6" borderId="96" xfId="0" applyFill="1" applyBorder="1"/>
    <xf numFmtId="0" fontId="16" fillId="0" borderId="20" xfId="0" applyFont="1" applyFill="1" applyBorder="1" applyAlignment="1">
      <alignment vertical="center" wrapText="1"/>
    </xf>
    <xf numFmtId="0" fontId="72" fillId="0" borderId="75" xfId="0" applyFont="1" applyFill="1" applyBorder="1" applyAlignment="1">
      <alignment horizontal="left" vertical="center" wrapText="1"/>
    </xf>
    <xf numFmtId="169" fontId="16" fillId="4" borderId="16" xfId="4" applyNumberFormat="1" applyFont="1" applyFill="1" applyBorder="1" applyAlignment="1">
      <alignment horizontal="center"/>
    </xf>
    <xf numFmtId="1" fontId="45" fillId="0" borderId="0" xfId="0" applyNumberFormat="1" applyFont="1" applyFill="1" applyBorder="1" applyAlignment="1">
      <alignment horizontal="center"/>
    </xf>
    <xf numFmtId="167" fontId="39" fillId="19" borderId="0" xfId="2" applyNumberFormat="1" applyFont="1" applyFill="1" applyBorder="1" applyAlignment="1">
      <alignment vertical="top"/>
    </xf>
    <xf numFmtId="9" fontId="33" fillId="0" borderId="0" xfId="0" applyNumberFormat="1" applyFont="1" applyFill="1" applyBorder="1" applyAlignment="1">
      <alignment horizontal="center" vertical="top"/>
    </xf>
    <xf numFmtId="43" fontId="3" fillId="0" borderId="0" xfId="2" applyFont="1" applyFill="1" applyBorder="1" applyAlignment="1">
      <alignment vertical="top"/>
    </xf>
    <xf numFmtId="9" fontId="45" fillId="0" borderId="12" xfId="5" applyFont="1" applyFill="1" applyBorder="1" applyAlignment="1">
      <alignment horizontal="left"/>
    </xf>
    <xf numFmtId="0" fontId="60" fillId="0" borderId="0" xfId="0" applyFont="1" applyFill="1" applyAlignment="1">
      <alignment vertical="top"/>
    </xf>
    <xf numFmtId="43" fontId="60" fillId="0" borderId="12" xfId="4" applyFont="1" applyFill="1" applyBorder="1" applyAlignment="1">
      <alignment vertical="top" wrapText="1"/>
    </xf>
    <xf numFmtId="9" fontId="33" fillId="0" borderId="12" xfId="0" applyNumberFormat="1" applyFont="1" applyBorder="1" applyAlignment="1">
      <alignment vertical="top"/>
    </xf>
    <xf numFmtId="0" fontId="7" fillId="14" borderId="0" xfId="0" applyFont="1" applyFill="1" applyBorder="1" applyAlignment="1" applyProtection="1">
      <alignment horizontal="center" vertical="center"/>
      <protection locked="0"/>
    </xf>
    <xf numFmtId="0" fontId="112" fillId="26" borderId="90" xfId="0" applyFont="1" applyFill="1" applyBorder="1" applyAlignment="1"/>
    <xf numFmtId="0" fontId="0" fillId="4" borderId="0" xfId="0" applyFont="1" applyFill="1" applyBorder="1" applyAlignment="1">
      <alignment horizontal="left" vertical="center"/>
    </xf>
    <xf numFmtId="0" fontId="0" fillId="7" borderId="0" xfId="0" applyFont="1" applyFill="1" applyBorder="1" applyAlignment="1">
      <alignment horizontal="left" vertical="center"/>
    </xf>
    <xf numFmtId="0" fontId="167" fillId="2" borderId="0" xfId="0" applyFont="1" applyFill="1" applyBorder="1" applyAlignment="1">
      <alignment horizontal="center" vertical="center" wrapText="1"/>
    </xf>
    <xf numFmtId="0" fontId="16" fillId="0" borderId="0" xfId="0" applyFont="1"/>
    <xf numFmtId="43" fontId="16" fillId="0" borderId="12" xfId="2" applyNumberFormat="1" applyFont="1" applyFill="1" applyBorder="1" applyAlignment="1">
      <alignment vertical="top"/>
    </xf>
    <xf numFmtId="167" fontId="16" fillId="0" borderId="12" xfId="4" applyNumberFormat="1" applyFont="1" applyFill="1" applyBorder="1" applyAlignment="1">
      <alignment horizontal="right" vertical="top"/>
    </xf>
    <xf numFmtId="43" fontId="3" fillId="0" borderId="12" xfId="4" applyFont="1" applyFill="1" applyBorder="1" applyAlignment="1">
      <alignment vertical="top"/>
    </xf>
    <xf numFmtId="0" fontId="38" fillId="0" borderId="0" xfId="0" applyFont="1"/>
    <xf numFmtId="0" fontId="38" fillId="0" borderId="0" xfId="0" applyFont="1" applyFill="1"/>
    <xf numFmtId="9" fontId="11" fillId="29" borderId="12" xfId="5" applyFont="1" applyFill="1" applyBorder="1" applyAlignment="1">
      <alignment horizontal="right" vertical="center"/>
    </xf>
    <xf numFmtId="0" fontId="11" fillId="0" borderId="0" xfId="0" applyFont="1" applyFill="1"/>
    <xf numFmtId="0" fontId="16" fillId="0" borderId="16" xfId="0" applyFont="1" applyBorder="1" applyAlignment="1">
      <alignment vertical="center" wrapText="1"/>
    </xf>
    <xf numFmtId="0" fontId="16" fillId="0" borderId="19" xfId="0" applyFont="1" applyBorder="1" applyAlignment="1">
      <alignment horizontal="right" vertical="top"/>
    </xf>
    <xf numFmtId="0" fontId="16" fillId="0" borderId="0" xfId="0" applyFont="1" applyFill="1"/>
    <xf numFmtId="43" fontId="85" fillId="29" borderId="12" xfId="4" applyFont="1" applyFill="1" applyBorder="1" applyAlignment="1">
      <alignment horizontal="left" vertical="top"/>
    </xf>
    <xf numFmtId="0" fontId="33" fillId="0" borderId="12" xfId="0" applyFont="1" applyBorder="1" applyAlignment="1">
      <alignment horizontal="center" vertical="top"/>
    </xf>
    <xf numFmtId="0" fontId="57" fillId="0" borderId="12" xfId="0" applyFont="1" applyFill="1" applyBorder="1" applyAlignment="1">
      <alignment vertical="top"/>
    </xf>
    <xf numFmtId="0" fontId="57" fillId="0" borderId="12" xfId="0" applyFont="1" applyBorder="1" applyAlignment="1">
      <alignment horizontal="left" vertical="top" wrapText="1"/>
    </xf>
    <xf numFmtId="0" fontId="45" fillId="0" borderId="12" xfId="0" applyFont="1" applyFill="1" applyBorder="1" applyAlignment="1">
      <alignment horizontal="center" vertical="top"/>
    </xf>
    <xf numFmtId="0" fontId="57" fillId="0" borderId="12" xfId="0" applyFont="1" applyFill="1" applyBorder="1" applyAlignment="1">
      <alignment horizontal="left" vertical="top" wrapText="1"/>
    </xf>
    <xf numFmtId="0" fontId="0" fillId="0" borderId="8" xfId="0" applyBorder="1" applyAlignment="1">
      <alignment vertical="top"/>
    </xf>
    <xf numFmtId="0" fontId="0" fillId="0" borderId="9" xfId="0" applyBorder="1" applyAlignment="1">
      <alignment vertical="top"/>
    </xf>
    <xf numFmtId="0" fontId="0" fillId="0" borderId="4" xfId="0" applyBorder="1" applyAlignment="1">
      <alignment vertical="top"/>
    </xf>
    <xf numFmtId="0" fontId="0" fillId="0" borderId="0" xfId="0" applyBorder="1" applyAlignment="1">
      <alignment vertical="top"/>
    </xf>
    <xf numFmtId="43" fontId="5" fillId="0" borderId="12" xfId="4" applyNumberFormat="1" applyFont="1" applyFill="1" applyBorder="1" applyAlignment="1">
      <alignment vertical="top"/>
    </xf>
    <xf numFmtId="0" fontId="72" fillId="29" borderId="0" xfId="0" applyFont="1" applyFill="1" applyAlignment="1">
      <alignment vertical="top"/>
    </xf>
    <xf numFmtId="167" fontId="72" fillId="29" borderId="12" xfId="2" applyNumberFormat="1" applyFont="1" applyFill="1" applyBorder="1" applyAlignment="1">
      <alignment vertical="top"/>
    </xf>
    <xf numFmtId="0" fontId="72" fillId="29" borderId="12" xfId="0" applyFont="1" applyFill="1" applyBorder="1" applyAlignment="1">
      <alignment vertical="top" wrapText="1"/>
    </xf>
    <xf numFmtId="43" fontId="57" fillId="29" borderId="12" xfId="2" applyFont="1" applyFill="1" applyBorder="1" applyAlignment="1">
      <alignment horizontal="left" vertical="top"/>
    </xf>
    <xf numFmtId="10" fontId="72" fillId="29" borderId="12" xfId="5" applyNumberFormat="1" applyFont="1" applyFill="1" applyBorder="1" applyAlignment="1">
      <alignment vertical="top"/>
    </xf>
    <xf numFmtId="0" fontId="0" fillId="29" borderId="0" xfId="0" applyFill="1" applyAlignment="1">
      <alignment vertical="top"/>
    </xf>
    <xf numFmtId="43" fontId="3" fillId="29" borderId="12" xfId="2" applyFont="1" applyFill="1" applyBorder="1" applyAlignment="1">
      <alignment vertical="top" wrapText="1"/>
    </xf>
    <xf numFmtId="10" fontId="16" fillId="29" borderId="12" xfId="2" applyNumberFormat="1" applyFont="1" applyFill="1" applyBorder="1" applyAlignment="1">
      <alignment vertical="top"/>
    </xf>
    <xf numFmtId="10" fontId="16" fillId="29" borderId="12" xfId="3" applyNumberFormat="1" applyFont="1" applyFill="1" applyBorder="1" applyAlignment="1">
      <alignment vertical="top"/>
    </xf>
    <xf numFmtId="168" fontId="3" fillId="29" borderId="12" xfId="3" applyNumberFormat="1" applyFont="1" applyFill="1" applyBorder="1" applyAlignment="1">
      <alignment vertical="top"/>
    </xf>
    <xf numFmtId="168" fontId="16" fillId="29" borderId="12" xfId="3" applyNumberFormat="1" applyFont="1" applyFill="1" applyBorder="1" applyAlignment="1">
      <alignment vertical="top"/>
    </xf>
    <xf numFmtId="0" fontId="5" fillId="0" borderId="0" xfId="0" applyFont="1" applyAlignment="1">
      <alignment vertical="top" wrapText="1"/>
    </xf>
    <xf numFmtId="0" fontId="0" fillId="29" borderId="1" xfId="0" applyFill="1" applyBorder="1" applyAlignment="1">
      <alignment vertical="top" wrapText="1"/>
    </xf>
    <xf numFmtId="0" fontId="0" fillId="29" borderId="2" xfId="0" applyFill="1" applyBorder="1" applyAlignment="1">
      <alignment vertical="top" wrapText="1"/>
    </xf>
    <xf numFmtId="9" fontId="0" fillId="29" borderId="2" xfId="5" applyFont="1" applyFill="1" applyBorder="1" applyAlignment="1">
      <alignment vertical="top"/>
    </xf>
    <xf numFmtId="9" fontId="0" fillId="29" borderId="3" xfId="5" applyFont="1" applyFill="1" applyBorder="1" applyAlignment="1">
      <alignment vertical="top"/>
    </xf>
    <xf numFmtId="173" fontId="0" fillId="0" borderId="0" xfId="0" applyNumberFormat="1" applyAlignment="1">
      <alignment vertical="top"/>
    </xf>
    <xf numFmtId="0" fontId="11" fillId="0" borderId="13" xfId="0" applyFont="1" applyFill="1" applyBorder="1" applyAlignment="1"/>
    <xf numFmtId="0" fontId="11" fillId="0" borderId="14" xfId="0" applyFont="1" applyFill="1" applyBorder="1" applyAlignment="1"/>
    <xf numFmtId="9" fontId="16" fillId="0" borderId="14" xfId="0" applyNumberFormat="1" applyFont="1" applyFill="1" applyBorder="1" applyAlignment="1">
      <alignment vertical="top"/>
    </xf>
    <xf numFmtId="9" fontId="16" fillId="0" borderId="15" xfId="0" applyNumberFormat="1" applyFont="1" applyFill="1" applyBorder="1" applyAlignment="1">
      <alignment vertical="top"/>
    </xf>
    <xf numFmtId="9" fontId="68" fillId="0" borderId="12" xfId="0" applyNumberFormat="1" applyFont="1" applyFill="1" applyBorder="1" applyAlignment="1">
      <alignment vertical="top"/>
    </xf>
    <xf numFmtId="9" fontId="16" fillId="0" borderId="12" xfId="0" applyNumberFormat="1" applyFont="1" applyFill="1" applyBorder="1" applyAlignment="1">
      <alignment vertical="top"/>
    </xf>
    <xf numFmtId="168" fontId="68" fillId="0" borderId="12" xfId="0" applyNumberFormat="1" applyFont="1" applyFill="1" applyBorder="1" applyAlignment="1">
      <alignment vertical="top"/>
    </xf>
    <xf numFmtId="0" fontId="11" fillId="0" borderId="14" xfId="0" applyFont="1" applyFill="1" applyBorder="1" applyAlignment="1">
      <alignment vertical="top" wrapText="1"/>
    </xf>
    <xf numFmtId="43" fontId="16" fillId="0" borderId="14" xfId="4" applyFont="1" applyBorder="1" applyAlignment="1">
      <alignment vertical="top"/>
    </xf>
    <xf numFmtId="0" fontId="61" fillId="29" borderId="12" xfId="0" applyFont="1" applyFill="1" applyBorder="1" applyAlignment="1">
      <alignment vertical="top"/>
    </xf>
    <xf numFmtId="0" fontId="57" fillId="0" borderId="12" xfId="0" applyFont="1" applyBorder="1" applyAlignment="1">
      <alignment horizontal="center" vertical="top"/>
    </xf>
    <xf numFmtId="43" fontId="3" fillId="19" borderId="0" xfId="2" applyFont="1" applyFill="1" applyBorder="1" applyAlignment="1">
      <alignment vertical="top"/>
    </xf>
    <xf numFmtId="43" fontId="3" fillId="0" borderId="12" xfId="0" applyNumberFormat="1" applyFont="1" applyBorder="1" applyAlignment="1">
      <alignment vertical="top"/>
    </xf>
    <xf numFmtId="9" fontId="3" fillId="19" borderId="0" xfId="2" applyNumberFormat="1" applyFont="1" applyFill="1" applyBorder="1" applyAlignment="1">
      <alignment vertical="top"/>
    </xf>
    <xf numFmtId="2" fontId="5" fillId="0" borderId="0" xfId="0" applyNumberFormat="1" applyFont="1"/>
    <xf numFmtId="9" fontId="3" fillId="0" borderId="12" xfId="2" applyNumberFormat="1" applyFont="1" applyFill="1" applyBorder="1" applyAlignment="1">
      <alignment vertical="top"/>
    </xf>
    <xf numFmtId="9" fontId="3" fillId="0" borderId="12" xfId="5" applyNumberFormat="1" applyFont="1" applyFill="1" applyBorder="1" applyAlignment="1">
      <alignment vertical="top"/>
    </xf>
    <xf numFmtId="43" fontId="5" fillId="0" borderId="12" xfId="2" applyNumberFormat="1" applyFont="1" applyFill="1" applyBorder="1" applyAlignment="1">
      <alignment vertical="top"/>
    </xf>
    <xf numFmtId="169" fontId="5" fillId="4" borderId="12" xfId="2" applyNumberFormat="1" applyFont="1" applyFill="1" applyBorder="1" applyAlignment="1">
      <alignment vertical="top"/>
    </xf>
    <xf numFmtId="0" fontId="189" fillId="0" borderId="12" xfId="0" applyFont="1" applyBorder="1" applyAlignment="1">
      <alignment vertical="top"/>
    </xf>
    <xf numFmtId="1" fontId="5" fillId="0" borderId="12" xfId="0" applyNumberFormat="1" applyFont="1" applyFill="1" applyBorder="1" applyAlignment="1">
      <alignment vertical="top"/>
    </xf>
    <xf numFmtId="43" fontId="189" fillId="29" borderId="12" xfId="0" applyNumberFormat="1" applyFont="1" applyFill="1" applyBorder="1" applyAlignment="1">
      <alignment vertical="top"/>
    </xf>
    <xf numFmtId="0" fontId="26" fillId="0" borderId="0" xfId="0" applyFont="1" applyAlignment="1">
      <alignment vertical="top"/>
    </xf>
    <xf numFmtId="43" fontId="33" fillId="0" borderId="0" xfId="4" applyFont="1" applyAlignment="1">
      <alignment vertical="top"/>
    </xf>
    <xf numFmtId="9" fontId="5" fillId="0" borderId="0" xfId="0" applyNumberFormat="1" applyFont="1" applyAlignment="1">
      <alignment horizontal="right"/>
    </xf>
    <xf numFmtId="0" fontId="11" fillId="29" borderId="12" xfId="2" applyNumberFormat="1" applyFont="1" applyFill="1" applyBorder="1" applyAlignment="1">
      <alignment vertical="top" wrapText="1"/>
    </xf>
    <xf numFmtId="9" fontId="16" fillId="0" borderId="0" xfId="5" applyFont="1" applyFill="1" applyAlignment="1">
      <alignment vertical="top"/>
    </xf>
    <xf numFmtId="9" fontId="16" fillId="0" borderId="0" xfId="0" applyNumberFormat="1" applyFont="1" applyFill="1" applyAlignment="1">
      <alignment vertical="top"/>
    </xf>
    <xf numFmtId="9" fontId="11" fillId="0" borderId="0" xfId="0" applyNumberFormat="1" applyFont="1" applyFill="1" applyAlignment="1">
      <alignment vertical="top"/>
    </xf>
    <xf numFmtId="0" fontId="160" fillId="7" borderId="0" xfId="0" applyFont="1" applyFill="1" applyBorder="1" applyAlignment="1">
      <alignment wrapText="1"/>
    </xf>
    <xf numFmtId="167" fontId="16" fillId="0" borderId="0" xfId="0" applyNumberFormat="1" applyFont="1" applyBorder="1" applyAlignment="1">
      <alignment vertical="top"/>
    </xf>
    <xf numFmtId="167" fontId="16" fillId="0" borderId="5" xfId="0" applyNumberFormat="1" applyFont="1" applyBorder="1" applyAlignment="1">
      <alignment vertical="top"/>
    </xf>
    <xf numFmtId="167" fontId="16" fillId="0" borderId="36" xfId="0" applyNumberFormat="1" applyFont="1" applyBorder="1" applyAlignment="1">
      <alignment vertical="top"/>
    </xf>
    <xf numFmtId="167" fontId="16" fillId="0" borderId="80" xfId="0" applyNumberFormat="1" applyFont="1" applyBorder="1" applyAlignment="1">
      <alignment vertical="top"/>
    </xf>
    <xf numFmtId="167" fontId="16" fillId="0" borderId="36" xfId="4" applyNumberFormat="1" applyFont="1" applyBorder="1" applyAlignment="1">
      <alignment vertical="top"/>
    </xf>
    <xf numFmtId="167" fontId="16" fillId="0" borderId="80" xfId="4" applyNumberFormat="1" applyFont="1" applyBorder="1" applyAlignment="1">
      <alignment vertical="top"/>
    </xf>
    <xf numFmtId="0" fontId="18" fillId="0" borderId="0" xfId="0" applyFont="1" applyAlignment="1">
      <alignment vertical="center"/>
    </xf>
    <xf numFmtId="167" fontId="85" fillId="0" borderId="0" xfId="4" applyNumberFormat="1" applyFont="1" applyBorder="1" applyAlignment="1">
      <alignment vertical="center"/>
    </xf>
    <xf numFmtId="0" fontId="18" fillId="0" borderId="0" xfId="0" applyFont="1" applyFill="1" applyAlignment="1">
      <alignment vertical="center"/>
    </xf>
    <xf numFmtId="0" fontId="104" fillId="26" borderId="0" xfId="1" applyFont="1" applyFill="1" applyBorder="1" applyAlignment="1" applyProtection="1">
      <alignment horizontal="center" vertical="center"/>
    </xf>
    <xf numFmtId="0" fontId="22" fillId="7" borderId="0" xfId="0" applyFont="1" applyFill="1" applyBorder="1" applyAlignment="1">
      <alignment horizontal="center" vertical="center"/>
    </xf>
    <xf numFmtId="0" fontId="103" fillId="26" borderId="92" xfId="1" applyFont="1" applyFill="1" applyBorder="1" applyAlignment="1" applyProtection="1">
      <alignment horizontal="center" vertical="center"/>
    </xf>
    <xf numFmtId="167" fontId="85" fillId="0" borderId="5" xfId="4" applyNumberFormat="1" applyFont="1" applyBorder="1" applyAlignment="1">
      <alignment vertical="center"/>
    </xf>
    <xf numFmtId="9" fontId="11" fillId="0" borderId="0" xfId="5" applyFont="1" applyBorder="1" applyAlignment="1">
      <alignment vertical="top"/>
    </xf>
    <xf numFmtId="9" fontId="11" fillId="0" borderId="5" xfId="5" applyFont="1" applyBorder="1" applyAlignment="1">
      <alignment vertical="top"/>
    </xf>
    <xf numFmtId="9" fontId="11" fillId="0" borderId="9" xfId="5" applyFont="1" applyBorder="1" applyAlignment="1">
      <alignment vertical="top"/>
    </xf>
    <xf numFmtId="9" fontId="11" fillId="0" borderId="10" xfId="5" applyFont="1" applyBorder="1" applyAlignment="1">
      <alignment vertical="top"/>
    </xf>
    <xf numFmtId="9" fontId="5" fillId="0" borderId="0" xfId="5" applyNumberFormat="1" applyFont="1" applyBorder="1" applyAlignment="1">
      <alignment vertical="top"/>
    </xf>
    <xf numFmtId="9" fontId="5" fillId="0" borderId="5" xfId="5" applyNumberFormat="1" applyFont="1" applyBorder="1" applyAlignment="1">
      <alignment vertical="top"/>
    </xf>
    <xf numFmtId="9" fontId="5" fillId="0" borderId="9" xfId="5" applyNumberFormat="1" applyFont="1" applyBorder="1" applyAlignment="1">
      <alignment vertical="top"/>
    </xf>
    <xf numFmtId="9" fontId="5" fillId="0" borderId="10" xfId="5" applyNumberFormat="1" applyFont="1" applyBorder="1" applyAlignment="1">
      <alignment vertical="top"/>
    </xf>
    <xf numFmtId="167" fontId="5" fillId="0" borderId="0" xfId="0" applyNumberFormat="1" applyFont="1" applyBorder="1" applyAlignment="1">
      <alignment vertical="top"/>
    </xf>
    <xf numFmtId="167" fontId="5" fillId="0" borderId="5" xfId="0" applyNumberFormat="1" applyFont="1" applyBorder="1" applyAlignment="1">
      <alignment vertical="top"/>
    </xf>
    <xf numFmtId="167" fontId="5" fillId="0" borderId="9" xfId="4" applyNumberFormat="1" applyFont="1" applyBorder="1" applyAlignment="1">
      <alignment vertical="top"/>
    </xf>
    <xf numFmtId="167" fontId="5" fillId="0" borderId="10" xfId="4" applyNumberFormat="1" applyFont="1" applyBorder="1" applyAlignment="1">
      <alignment vertical="top"/>
    </xf>
    <xf numFmtId="0" fontId="16" fillId="0" borderId="4" xfId="0" applyFont="1" applyBorder="1" applyAlignment="1">
      <alignment vertical="top"/>
    </xf>
    <xf numFmtId="0" fontId="16" fillId="0" borderId="98" xfId="0" applyFont="1" applyBorder="1" applyAlignment="1">
      <alignment vertical="top"/>
    </xf>
    <xf numFmtId="0" fontId="36" fillId="0" borderId="4" xfId="0" applyFont="1" applyBorder="1" applyAlignment="1">
      <alignment vertical="center"/>
    </xf>
    <xf numFmtId="0" fontId="11" fillId="0" borderId="4" xfId="0" applyFont="1" applyBorder="1" applyAlignment="1">
      <alignment vertical="top"/>
    </xf>
    <xf numFmtId="0" fontId="11" fillId="0" borderId="8" xfId="0" applyFont="1" applyBorder="1" applyAlignment="1">
      <alignment vertical="top"/>
    </xf>
    <xf numFmtId="0" fontId="11" fillId="0" borderId="1" xfId="0" applyFont="1" applyBorder="1" applyAlignment="1">
      <alignment vertical="top"/>
    </xf>
    <xf numFmtId="0" fontId="11" fillId="0" borderId="84" xfId="0" applyFont="1" applyBorder="1" applyAlignment="1">
      <alignment vertical="top"/>
    </xf>
    <xf numFmtId="0" fontId="16" fillId="0" borderId="20" xfId="0" applyFont="1" applyBorder="1" applyAlignment="1">
      <alignment vertical="top"/>
    </xf>
    <xf numFmtId="0" fontId="16" fillId="0" borderId="20" xfId="0" applyFont="1" applyFill="1" applyBorder="1" applyAlignment="1">
      <alignment vertical="top"/>
    </xf>
    <xf numFmtId="43" fontId="0" fillId="0" borderId="57" xfId="0" applyNumberFormat="1" applyBorder="1" applyAlignment="1">
      <alignment vertical="top"/>
    </xf>
    <xf numFmtId="0" fontId="43" fillId="25" borderId="92" xfId="0" applyFont="1" applyFill="1" applyBorder="1" applyAlignment="1">
      <alignment vertical="center"/>
    </xf>
    <xf numFmtId="0" fontId="195" fillId="2" borderId="0" xfId="0" applyFont="1" applyFill="1" applyBorder="1" applyAlignment="1">
      <alignment horizontal="center" vertical="center" wrapText="1"/>
    </xf>
    <xf numFmtId="0" fontId="0" fillId="25" borderId="0" xfId="0" applyFont="1" applyFill="1" applyBorder="1" applyAlignment="1">
      <alignment horizontal="left" vertical="center"/>
    </xf>
    <xf numFmtId="0" fontId="85" fillId="0" borderId="0" xfId="0" applyFont="1" applyFill="1"/>
    <xf numFmtId="0" fontId="85" fillId="0" borderId="0" xfId="0" applyFont="1" applyFill="1" applyAlignment="1">
      <alignment wrapText="1"/>
    </xf>
    <xf numFmtId="0" fontId="85" fillId="0" borderId="0" xfId="0" applyFont="1" applyFill="1" applyAlignment="1">
      <alignment horizontal="left"/>
    </xf>
    <xf numFmtId="9" fontId="85" fillId="0" borderId="0" xfId="5" applyFont="1" applyFill="1"/>
    <xf numFmtId="0" fontId="85" fillId="0" borderId="0" xfId="0" applyFont="1" applyFill="1" applyBorder="1"/>
    <xf numFmtId="167" fontId="16" fillId="19" borderId="0" xfId="2" applyNumberFormat="1" applyFont="1" applyFill="1" applyBorder="1" applyAlignment="1">
      <alignment vertical="top"/>
    </xf>
    <xf numFmtId="43" fontId="11" fillId="19" borderId="0" xfId="2" applyFont="1" applyFill="1" applyBorder="1" applyAlignment="1">
      <alignment vertical="top" wrapText="1"/>
    </xf>
    <xf numFmtId="0" fontId="67" fillId="19" borderId="0" xfId="0" applyFont="1" applyFill="1" applyBorder="1" applyAlignment="1">
      <alignment horizontal="left" vertical="top"/>
    </xf>
    <xf numFmtId="0" fontId="57" fillId="0" borderId="12" xfId="0" applyFont="1" applyBorder="1" applyAlignment="1">
      <alignment horizontal="center" vertical="center"/>
    </xf>
    <xf numFmtId="167" fontId="45" fillId="0" borderId="0" xfId="2" applyNumberFormat="1" applyFont="1" applyFill="1" applyBorder="1" applyAlignment="1">
      <alignment vertical="top"/>
    </xf>
    <xf numFmtId="9" fontId="85" fillId="0" borderId="12" xfId="5" applyFont="1" applyFill="1" applyBorder="1" applyAlignment="1">
      <alignment horizontal="center" vertical="top"/>
    </xf>
    <xf numFmtId="0" fontId="33" fillId="0" borderId="0" xfId="0" applyFont="1" applyFill="1" applyBorder="1" applyAlignment="1">
      <alignment horizontal="center" vertical="top"/>
    </xf>
    <xf numFmtId="0" fontId="67" fillId="0" borderId="12" xfId="0" applyFont="1" applyFill="1" applyBorder="1" applyAlignment="1">
      <alignment vertical="top"/>
    </xf>
    <xf numFmtId="0" fontId="67" fillId="0" borderId="12" xfId="0" applyFont="1" applyFill="1" applyBorder="1" applyAlignment="1">
      <alignment horizontal="left" vertical="top" wrapText="1"/>
    </xf>
    <xf numFmtId="0" fontId="67" fillId="0" borderId="12" xfId="0" applyFont="1" applyFill="1" applyBorder="1" applyAlignment="1">
      <alignment horizontal="left" vertical="top"/>
    </xf>
    <xf numFmtId="43" fontId="16" fillId="0" borderId="12" xfId="2" applyNumberFormat="1" applyFont="1" applyFill="1" applyBorder="1" applyAlignment="1">
      <alignment vertical="top" wrapText="1"/>
    </xf>
    <xf numFmtId="43" fontId="67" fillId="0" borderId="12" xfId="0" applyNumberFormat="1" applyFont="1" applyBorder="1" applyAlignment="1">
      <alignment horizontal="left" vertical="top"/>
    </xf>
    <xf numFmtId="43" fontId="67" fillId="0" borderId="12" xfId="0" applyNumberFormat="1" applyFont="1" applyFill="1" applyBorder="1" applyAlignment="1">
      <alignment horizontal="left" vertical="top"/>
    </xf>
    <xf numFmtId="0" fontId="16" fillId="0" borderId="16" xfId="0" applyFont="1" applyFill="1" applyBorder="1" applyAlignment="1">
      <alignment vertical="center" wrapText="1"/>
    </xf>
    <xf numFmtId="0" fontId="33" fillId="0" borderId="12" xfId="0" applyFont="1" applyFill="1" applyBorder="1" applyAlignment="1">
      <alignment horizontal="center" vertical="top"/>
    </xf>
    <xf numFmtId="9" fontId="85" fillId="0" borderId="12" xfId="0" applyNumberFormat="1" applyFont="1" applyBorder="1" applyAlignment="1">
      <alignment horizontal="center" vertical="top"/>
    </xf>
    <xf numFmtId="9" fontId="57" fillId="0" borderId="12" xfId="0" applyNumberFormat="1" applyFont="1" applyBorder="1" applyAlignment="1">
      <alignment horizontal="left" vertical="top" wrapText="1"/>
    </xf>
    <xf numFmtId="9" fontId="57" fillId="0" borderId="12" xfId="0" applyNumberFormat="1" applyFont="1" applyBorder="1" applyAlignment="1">
      <alignment horizontal="left" vertical="top"/>
    </xf>
    <xf numFmtId="43" fontId="16" fillId="0" borderId="12" xfId="4" applyFont="1" applyBorder="1" applyAlignment="1">
      <alignment horizontal="left" vertical="top"/>
    </xf>
    <xf numFmtId="43" fontId="16" fillId="0" borderId="12" xfId="4" applyFont="1" applyFill="1" applyBorder="1" applyAlignment="1">
      <alignment horizontal="left" vertical="top"/>
    </xf>
    <xf numFmtId="167" fontId="16" fillId="0" borderId="12" xfId="4" applyNumberFormat="1" applyFont="1" applyFill="1" applyBorder="1" applyAlignment="1">
      <alignment horizontal="left" vertical="top"/>
    </xf>
    <xf numFmtId="0" fontId="81" fillId="13" borderId="41" xfId="0" applyFont="1" applyFill="1" applyBorder="1" applyAlignment="1">
      <alignment vertical="top" wrapText="1"/>
    </xf>
    <xf numFmtId="0" fontId="81" fillId="13" borderId="42" xfId="0" applyFont="1" applyFill="1" applyBorder="1" applyAlignment="1">
      <alignment vertical="top" wrapText="1"/>
    </xf>
    <xf numFmtId="0" fontId="81" fillId="13" borderId="43" xfId="0" applyFont="1" applyFill="1" applyBorder="1" applyAlignment="1">
      <alignment vertical="top" wrapText="1"/>
    </xf>
    <xf numFmtId="0" fontId="81" fillId="13" borderId="15" xfId="0" applyFont="1" applyFill="1" applyBorder="1" applyAlignment="1">
      <alignment vertical="top" wrapText="1"/>
    </xf>
    <xf numFmtId="0" fontId="81" fillId="13" borderId="14" xfId="0" applyFont="1" applyFill="1" applyBorder="1" applyAlignment="1">
      <alignment vertical="top" wrapText="1"/>
    </xf>
    <xf numFmtId="43" fontId="16" fillId="4" borderId="12" xfId="4" applyFont="1" applyFill="1" applyBorder="1" applyAlignment="1">
      <alignment horizontal="left" vertical="top"/>
    </xf>
    <xf numFmtId="167" fontId="16" fillId="4" borderId="12" xfId="4" applyNumberFormat="1" applyFont="1" applyFill="1" applyBorder="1" applyAlignment="1">
      <alignment horizontal="left" vertical="top"/>
    </xf>
    <xf numFmtId="43" fontId="16" fillId="0" borderId="0" xfId="2" applyFont="1" applyFill="1" applyBorder="1" applyAlignment="1">
      <alignment horizontal="left" vertical="top"/>
    </xf>
    <xf numFmtId="43" fontId="36" fillId="0" borderId="12" xfId="0" applyNumberFormat="1" applyFont="1" applyFill="1" applyBorder="1" applyAlignment="1">
      <alignment horizontal="left" vertical="top"/>
    </xf>
    <xf numFmtId="43" fontId="36" fillId="0" borderId="12" xfId="0" applyNumberFormat="1" applyFont="1" applyBorder="1" applyAlignment="1">
      <alignment horizontal="left" vertical="top"/>
    </xf>
    <xf numFmtId="0" fontId="16" fillId="0" borderId="19" xfId="0" applyFont="1" applyFill="1" applyBorder="1" applyAlignment="1">
      <alignment vertical="top" wrapText="1"/>
    </xf>
    <xf numFmtId="0" fontId="36" fillId="0" borderId="12" xfId="0" applyFont="1" applyBorder="1" applyAlignment="1">
      <alignment horizontal="left" vertical="top"/>
    </xf>
    <xf numFmtId="0" fontId="16" fillId="0" borderId="42" xfId="0" applyFont="1" applyBorder="1" applyAlignment="1">
      <alignment vertical="top"/>
    </xf>
    <xf numFmtId="0" fontId="16" fillId="0" borderId="44" xfId="0" applyFont="1" applyBorder="1" applyAlignment="1">
      <alignment vertical="top"/>
    </xf>
    <xf numFmtId="0" fontId="16" fillId="0" borderId="44" xfId="0" applyFont="1" applyFill="1" applyBorder="1" applyAlignment="1">
      <alignment vertical="top"/>
    </xf>
    <xf numFmtId="0" fontId="16" fillId="0" borderId="43" xfId="0" applyFont="1" applyBorder="1" applyAlignment="1">
      <alignment vertical="top"/>
    </xf>
    <xf numFmtId="0" fontId="16" fillId="0" borderId="41" xfId="0" applyFont="1" applyBorder="1" applyAlignment="1">
      <alignment vertical="top"/>
    </xf>
    <xf numFmtId="167" fontId="16" fillId="0" borderId="40" xfId="0" applyNumberFormat="1" applyFont="1" applyBorder="1" applyAlignment="1">
      <alignment vertical="top"/>
    </xf>
    <xf numFmtId="0" fontId="16" fillId="0" borderId="57" xfId="0" applyFont="1" applyBorder="1" applyAlignment="1">
      <alignment vertical="top"/>
    </xf>
    <xf numFmtId="167" fontId="16" fillId="0" borderId="57" xfId="0" applyNumberFormat="1" applyFont="1" applyBorder="1" applyAlignment="1">
      <alignment vertical="top"/>
    </xf>
    <xf numFmtId="167" fontId="16" fillId="0" borderId="41" xfId="4" applyNumberFormat="1" applyFont="1" applyBorder="1" applyAlignment="1">
      <alignment vertical="top"/>
    </xf>
    <xf numFmtId="169" fontId="16" fillId="0" borderId="40" xfId="4" applyNumberFormat="1" applyFont="1" applyBorder="1" applyAlignment="1">
      <alignment vertical="top"/>
    </xf>
    <xf numFmtId="169" fontId="16" fillId="0" borderId="57" xfId="4" applyNumberFormat="1" applyFont="1" applyBorder="1" applyAlignment="1">
      <alignment vertical="top"/>
    </xf>
    <xf numFmtId="169" fontId="16" fillId="0" borderId="36" xfId="0" applyNumberFormat="1" applyFont="1" applyFill="1" applyBorder="1" applyAlignment="1">
      <alignment vertical="top"/>
    </xf>
    <xf numFmtId="167" fontId="16" fillId="0" borderId="43" xfId="4" applyNumberFormat="1" applyFont="1" applyBorder="1" applyAlignment="1">
      <alignment horizontal="center"/>
    </xf>
    <xf numFmtId="167" fontId="16" fillId="0" borderId="41" xfId="4" applyNumberFormat="1" applyFont="1" applyBorder="1" applyAlignment="1">
      <alignment horizontal="center"/>
    </xf>
    <xf numFmtId="167" fontId="16" fillId="0" borderId="40" xfId="4" applyNumberFormat="1" applyFont="1" applyBorder="1" applyAlignment="1">
      <alignment vertical="top"/>
    </xf>
    <xf numFmtId="167" fontId="16" fillId="0" borderId="57" xfId="4" applyNumberFormat="1" applyFont="1" applyBorder="1" applyAlignment="1">
      <alignment vertical="top"/>
    </xf>
    <xf numFmtId="0" fontId="16" fillId="0" borderId="43" xfId="0" applyFont="1" applyBorder="1" applyAlignment="1">
      <alignment vertical="top" wrapText="1"/>
    </xf>
    <xf numFmtId="0" fontId="16" fillId="0" borderId="43" xfId="0" applyFont="1" applyFill="1" applyBorder="1" applyAlignment="1">
      <alignment vertical="top" wrapText="1"/>
    </xf>
    <xf numFmtId="0" fontId="16" fillId="0" borderId="36" xfId="0" applyFont="1" applyFill="1" applyBorder="1" applyAlignment="1">
      <alignment vertical="top" wrapText="1"/>
    </xf>
    <xf numFmtId="0" fontId="16" fillId="0" borderId="36" xfId="0" applyFont="1" applyBorder="1" applyAlignment="1">
      <alignment vertical="top" wrapText="1"/>
    </xf>
    <xf numFmtId="0" fontId="16" fillId="0" borderId="4" xfId="0" applyFont="1" applyFill="1" applyBorder="1" applyAlignment="1">
      <alignment vertical="top"/>
    </xf>
    <xf numFmtId="167" fontId="0" fillId="0" borderId="5" xfId="0" applyNumberFormat="1" applyFill="1" applyBorder="1" applyAlignment="1">
      <alignment vertical="top"/>
    </xf>
    <xf numFmtId="0" fontId="0" fillId="0" borderId="12" xfId="0" applyFill="1" applyBorder="1"/>
    <xf numFmtId="168" fontId="16" fillId="0" borderId="12" xfId="5" applyNumberFormat="1" applyFont="1" applyFill="1" applyBorder="1" applyAlignment="1">
      <alignment vertical="top" wrapText="1"/>
    </xf>
    <xf numFmtId="0" fontId="0" fillId="25" borderId="0" xfId="0" applyFill="1" applyBorder="1" applyProtection="1"/>
    <xf numFmtId="0" fontId="0" fillId="25" borderId="0" xfId="0" applyFill="1" applyBorder="1" applyAlignment="1" applyProtection="1">
      <alignment vertical="top"/>
    </xf>
    <xf numFmtId="0" fontId="0" fillId="26" borderId="89" xfId="0" applyFill="1" applyBorder="1" applyAlignment="1" applyProtection="1">
      <alignment horizontal="center"/>
    </xf>
    <xf numFmtId="0" fontId="0" fillId="26" borderId="90" xfId="0" applyFill="1" applyBorder="1" applyProtection="1"/>
    <xf numFmtId="0" fontId="0" fillId="26" borderId="91" xfId="0" applyFill="1" applyBorder="1" applyProtection="1"/>
    <xf numFmtId="0" fontId="0" fillId="25" borderId="0" xfId="0" applyFill="1" applyProtection="1"/>
    <xf numFmtId="0" fontId="0" fillId="25" borderId="0" xfId="0" applyFill="1" applyBorder="1" applyAlignment="1" applyProtection="1">
      <alignment vertical="center"/>
    </xf>
    <xf numFmtId="0" fontId="0" fillId="26" borderId="92" xfId="0" applyFill="1" applyBorder="1" applyAlignment="1" applyProtection="1">
      <alignment horizontal="center"/>
    </xf>
    <xf numFmtId="0" fontId="119" fillId="26" borderId="0" xfId="0" applyFont="1" applyFill="1" applyBorder="1" applyAlignment="1" applyProtection="1"/>
    <xf numFmtId="0" fontId="0" fillId="26" borderId="0" xfId="0" applyFill="1" applyBorder="1" applyProtection="1"/>
    <xf numFmtId="0" fontId="0" fillId="26" borderId="93" xfId="0" applyFill="1" applyBorder="1" applyProtection="1"/>
    <xf numFmtId="0" fontId="101" fillId="26" borderId="0" xfId="0" applyFont="1" applyFill="1" applyBorder="1" applyAlignment="1" applyProtection="1">
      <alignment horizontal="left" vertical="center"/>
    </xf>
    <xf numFmtId="0" fontId="101" fillId="25" borderId="0" xfId="0" applyFont="1" applyFill="1" applyBorder="1" applyAlignment="1" applyProtection="1">
      <alignment horizontal="left" vertical="center"/>
    </xf>
    <xf numFmtId="0" fontId="106" fillId="25" borderId="0" xfId="0" applyFont="1" applyFill="1" applyBorder="1" applyAlignment="1" applyProtection="1">
      <alignment vertical="center"/>
    </xf>
    <xf numFmtId="0" fontId="105" fillId="26" borderId="0" xfId="0" applyFont="1" applyFill="1" applyBorder="1" applyAlignment="1" applyProtection="1">
      <alignment vertical="center"/>
    </xf>
    <xf numFmtId="0" fontId="105" fillId="26" borderId="93" xfId="0" applyFont="1" applyFill="1" applyBorder="1" applyAlignment="1" applyProtection="1">
      <alignment vertical="center"/>
    </xf>
    <xf numFmtId="0" fontId="105" fillId="25" borderId="0" xfId="0" applyFont="1" applyFill="1" applyBorder="1" applyAlignment="1" applyProtection="1">
      <alignment vertical="center"/>
    </xf>
    <xf numFmtId="0" fontId="43" fillId="25" borderId="0" xfId="0" applyFont="1" applyFill="1" applyBorder="1" applyAlignment="1" applyProtection="1">
      <alignment vertical="center"/>
    </xf>
    <xf numFmtId="0" fontId="84" fillId="7" borderId="92" xfId="0" applyFont="1" applyFill="1" applyBorder="1" applyAlignment="1" applyProtection="1">
      <alignment horizontal="center" vertical="top"/>
    </xf>
    <xf numFmtId="0" fontId="115" fillId="7" borderId="0" xfId="0" applyFont="1" applyFill="1" applyBorder="1" applyAlignment="1" applyProtection="1">
      <alignment vertical="center"/>
    </xf>
    <xf numFmtId="0" fontId="108" fillId="7" borderId="93" xfId="0" applyFont="1" applyFill="1" applyBorder="1" applyAlignment="1" applyProtection="1">
      <alignment vertical="center"/>
    </xf>
    <xf numFmtId="0" fontId="108" fillId="25" borderId="0" xfId="0" applyFont="1" applyFill="1" applyBorder="1" applyAlignment="1" applyProtection="1">
      <alignment vertical="center"/>
    </xf>
    <xf numFmtId="0" fontId="140" fillId="25" borderId="0" xfId="0" applyFont="1" applyFill="1" applyBorder="1" applyAlignment="1" applyProtection="1">
      <alignment horizontal="right" vertical="center"/>
    </xf>
    <xf numFmtId="0" fontId="140" fillId="25" borderId="94" xfId="0" applyFont="1" applyFill="1" applyBorder="1" applyAlignment="1" applyProtection="1">
      <alignment vertical="center"/>
    </xf>
    <xf numFmtId="0" fontId="104" fillId="25" borderId="95" xfId="1" applyFont="1" applyFill="1" applyBorder="1" applyAlignment="1" applyProtection="1">
      <alignment horizontal="right" vertical="center"/>
    </xf>
    <xf numFmtId="0" fontId="104" fillId="25" borderId="95" xfId="1" applyFont="1" applyFill="1" applyBorder="1" applyAlignment="1" applyProtection="1">
      <alignment vertical="center"/>
    </xf>
    <xf numFmtId="0" fontId="196" fillId="25" borderId="95" xfId="1" applyFont="1" applyFill="1" applyBorder="1" applyAlignment="1" applyProtection="1">
      <alignment vertical="center"/>
    </xf>
    <xf numFmtId="0" fontId="104" fillId="25" borderId="96" xfId="1" applyFont="1" applyFill="1" applyBorder="1" applyAlignment="1" applyProtection="1">
      <alignment vertical="center"/>
    </xf>
    <xf numFmtId="0" fontId="134" fillId="2" borderId="90" xfId="0" applyFont="1" applyFill="1" applyBorder="1" applyAlignment="1" applyProtection="1">
      <alignment vertical="center" wrapText="1"/>
    </xf>
    <xf numFmtId="0" fontId="104" fillId="2" borderId="0" xfId="1" applyFont="1" applyFill="1" applyBorder="1" applyAlignment="1" applyProtection="1">
      <alignment vertical="center"/>
    </xf>
    <xf numFmtId="0" fontId="0" fillId="4" borderId="0" xfId="0" applyFill="1" applyProtection="1"/>
    <xf numFmtId="0" fontId="193" fillId="4" borderId="0" xfId="0" applyFont="1" applyFill="1" applyAlignment="1" applyProtection="1">
      <alignment vertical="center"/>
    </xf>
    <xf numFmtId="0" fontId="0" fillId="25" borderId="0" xfId="0" applyFill="1" applyAlignment="1" applyProtection="1">
      <alignment vertical="center"/>
    </xf>
    <xf numFmtId="0" fontId="139" fillId="25" borderId="0" xfId="0" applyFont="1" applyFill="1" applyProtection="1"/>
    <xf numFmtId="0" fontId="116" fillId="25" borderId="0" xfId="0" applyFont="1" applyFill="1" applyBorder="1" applyAlignment="1" applyProtection="1">
      <alignment vertical="center"/>
    </xf>
    <xf numFmtId="0" fontId="138" fillId="25" borderId="0" xfId="0" applyFont="1" applyFill="1" applyBorder="1" applyAlignment="1" applyProtection="1">
      <alignment horizontal="center" vertical="center" wrapText="1"/>
    </xf>
    <xf numFmtId="0" fontId="154" fillId="4" borderId="0" xfId="0" applyFont="1" applyFill="1" applyAlignment="1" applyProtection="1">
      <alignment wrapText="1"/>
    </xf>
    <xf numFmtId="0" fontId="122" fillId="7" borderId="6" xfId="0" applyFont="1" applyFill="1" applyBorder="1" applyAlignment="1" applyProtection="1">
      <alignment horizontal="center" vertical="center"/>
    </xf>
    <xf numFmtId="0" fontId="38" fillId="4" borderId="0" xfId="0" applyFont="1" applyFill="1" applyAlignment="1" applyProtection="1"/>
    <xf numFmtId="1" fontId="4" fillId="11" borderId="12" xfId="0" applyNumberFormat="1" applyFont="1" applyFill="1" applyBorder="1" applyAlignment="1" applyProtection="1">
      <alignment horizontal="center" vertical="center" wrapText="1"/>
    </xf>
    <xf numFmtId="0" fontId="187" fillId="4" borderId="0" xfId="0" applyFont="1" applyFill="1" applyAlignment="1" applyProtection="1">
      <alignment wrapText="1"/>
    </xf>
    <xf numFmtId="0" fontId="0" fillId="4" borderId="0" xfId="0" applyFill="1" applyAlignment="1" applyProtection="1">
      <alignment vertical="center"/>
    </xf>
    <xf numFmtId="167" fontId="0" fillId="7" borderId="16" xfId="4" applyNumberFormat="1" applyFont="1" applyFill="1" applyBorder="1" applyAlignment="1" applyProtection="1">
      <alignment vertical="center"/>
    </xf>
    <xf numFmtId="167" fontId="5" fillId="7" borderId="16" xfId="4" applyNumberFormat="1" applyFont="1" applyFill="1" applyBorder="1" applyAlignment="1" applyProtection="1">
      <alignment vertical="center"/>
    </xf>
    <xf numFmtId="167" fontId="0" fillId="7" borderId="114" xfId="4" applyNumberFormat="1" applyFont="1" applyFill="1" applyBorder="1" applyAlignment="1" applyProtection="1">
      <alignment vertical="center"/>
    </xf>
    <xf numFmtId="167" fontId="5" fillId="7" borderId="114" xfId="4" applyNumberFormat="1" applyFont="1" applyFill="1" applyBorder="1" applyAlignment="1" applyProtection="1">
      <alignment vertical="center"/>
    </xf>
    <xf numFmtId="43" fontId="0" fillId="25" borderId="0" xfId="0" applyNumberFormat="1" applyFill="1" applyAlignment="1" applyProtection="1">
      <alignment vertical="center"/>
    </xf>
    <xf numFmtId="167" fontId="0" fillId="7" borderId="12" xfId="4" applyNumberFormat="1" applyFont="1" applyFill="1" applyBorder="1" applyAlignment="1" applyProtection="1">
      <alignment vertical="center"/>
    </xf>
    <xf numFmtId="167" fontId="5" fillId="7" borderId="12" xfId="4" applyNumberFormat="1" applyFont="1" applyFill="1" applyBorder="1" applyAlignment="1" applyProtection="1">
      <alignment vertical="center"/>
    </xf>
    <xf numFmtId="0" fontId="186" fillId="4" borderId="0" xfId="0" applyFont="1" applyFill="1" applyProtection="1"/>
    <xf numFmtId="1" fontId="186" fillId="4" borderId="0" xfId="0" applyNumberFormat="1" applyFont="1" applyFill="1" applyProtection="1"/>
    <xf numFmtId="0" fontId="186" fillId="4" borderId="0" xfId="0" applyFont="1" applyFill="1" applyBorder="1" applyProtection="1"/>
    <xf numFmtId="1" fontId="186" fillId="4" borderId="0" xfId="0" applyNumberFormat="1" applyFont="1" applyFill="1" applyBorder="1" applyProtection="1"/>
    <xf numFmtId="0" fontId="0" fillId="4" borderId="0" xfId="0" applyFill="1" applyBorder="1" applyProtection="1"/>
    <xf numFmtId="9" fontId="0" fillId="25" borderId="0" xfId="5" applyFont="1" applyFill="1" applyProtection="1"/>
    <xf numFmtId="0" fontId="38" fillId="4" borderId="0" xfId="0" applyFont="1" applyFill="1" applyAlignment="1" applyProtection="1">
      <alignment vertical="center"/>
    </xf>
    <xf numFmtId="0" fontId="25" fillId="4" borderId="0" xfId="0" applyFont="1" applyFill="1" applyProtection="1"/>
    <xf numFmtId="0" fontId="191" fillId="4" borderId="0" xfId="0" applyFont="1" applyFill="1" applyAlignment="1" applyProtection="1">
      <alignment vertical="center"/>
    </xf>
    <xf numFmtId="0" fontId="7" fillId="2" borderId="162"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163"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xf>
    <xf numFmtId="0" fontId="51" fillId="25" borderId="0" xfId="0" applyFont="1" applyFill="1" applyBorder="1" applyAlignment="1" applyProtection="1">
      <alignment horizontal="center" vertical="center"/>
    </xf>
    <xf numFmtId="0" fontId="51" fillId="25" borderId="0" xfId="0" applyFont="1" applyFill="1" applyBorder="1" applyAlignment="1" applyProtection="1">
      <alignment horizontal="left" vertical="center" wrapText="1"/>
    </xf>
    <xf numFmtId="1" fontId="52" fillId="2" borderId="166" xfId="0" applyNumberFormat="1" applyFont="1" applyFill="1" applyBorder="1" applyAlignment="1" applyProtection="1">
      <alignment horizontal="center" vertical="center" wrapText="1"/>
    </xf>
    <xf numFmtId="0" fontId="51" fillId="25" borderId="0" xfId="0" applyFont="1" applyFill="1" applyAlignment="1" applyProtection="1">
      <alignment horizontal="center" vertical="center"/>
    </xf>
    <xf numFmtId="0" fontId="24" fillId="25" borderId="12" xfId="0" applyFont="1" applyFill="1" applyBorder="1" applyAlignment="1" applyProtection="1">
      <alignment vertical="center"/>
    </xf>
    <xf numFmtId="169" fontId="0" fillId="25" borderId="0" xfId="0" applyNumberFormat="1" applyFill="1" applyProtection="1"/>
    <xf numFmtId="0" fontId="38" fillId="25" borderId="0" xfId="0" applyFont="1" applyFill="1" applyProtection="1"/>
    <xf numFmtId="0" fontId="0" fillId="4" borderId="0" xfId="0" applyFill="1" applyBorder="1" applyAlignment="1" applyProtection="1">
      <alignment wrapText="1"/>
    </xf>
    <xf numFmtId="0" fontId="24" fillId="25" borderId="0" xfId="0" applyFont="1" applyFill="1" applyBorder="1" applyAlignment="1" applyProtection="1">
      <alignment vertical="center"/>
    </xf>
    <xf numFmtId="0" fontId="127" fillId="15" borderId="170" xfId="0" applyFont="1" applyFill="1" applyBorder="1" applyAlignment="1">
      <alignment horizontal="center" vertical="center" wrapText="1"/>
    </xf>
    <xf numFmtId="0" fontId="95" fillId="15" borderId="170" xfId="0" applyFont="1" applyFill="1" applyBorder="1" applyAlignment="1">
      <alignment horizontal="left" vertical="center" wrapText="1"/>
    </xf>
    <xf numFmtId="0" fontId="126" fillId="15" borderId="170" xfId="0" applyFont="1" applyFill="1" applyBorder="1" applyAlignment="1">
      <alignment vertical="center"/>
    </xf>
    <xf numFmtId="0" fontId="96" fillId="15" borderId="170" xfId="0" applyFont="1" applyFill="1" applyBorder="1" applyAlignment="1">
      <alignment vertical="center" wrapText="1"/>
    </xf>
    <xf numFmtId="0" fontId="95" fillId="15" borderId="170" xfId="0" applyFont="1" applyFill="1" applyBorder="1" applyAlignment="1">
      <alignment vertical="center" wrapText="1"/>
    </xf>
    <xf numFmtId="0" fontId="126" fillId="15" borderId="170" xfId="0" applyFont="1" applyFill="1" applyBorder="1" applyAlignment="1" applyProtection="1">
      <alignment horizontal="center" vertical="center" wrapText="1"/>
    </xf>
    <xf numFmtId="0" fontId="126" fillId="15" borderId="170" xfId="0" applyFont="1" applyFill="1" applyBorder="1" applyAlignment="1" applyProtection="1">
      <alignment horizontal="left" vertical="center"/>
    </xf>
    <xf numFmtId="0" fontId="138" fillId="15" borderId="170" xfId="0" applyFont="1" applyFill="1" applyBorder="1" applyAlignment="1" applyProtection="1">
      <alignment horizontal="center" vertical="center" wrapText="1"/>
    </xf>
    <xf numFmtId="0" fontId="95" fillId="15" borderId="170" xfId="0" applyFont="1" applyFill="1" applyBorder="1" applyAlignment="1">
      <alignment vertical="center"/>
    </xf>
    <xf numFmtId="0" fontId="169" fillId="15" borderId="170" xfId="0" applyFont="1" applyFill="1" applyBorder="1" applyAlignment="1">
      <alignment vertical="center"/>
    </xf>
    <xf numFmtId="0" fontId="125" fillId="15" borderId="170" xfId="0" applyFont="1" applyFill="1" applyBorder="1" applyAlignment="1">
      <alignment vertical="center"/>
    </xf>
    <xf numFmtId="0" fontId="125" fillId="15" borderId="170" xfId="0" applyFont="1" applyFill="1" applyBorder="1" applyAlignment="1">
      <alignment horizontal="center" vertical="center"/>
    </xf>
    <xf numFmtId="169" fontId="0" fillId="0" borderId="36" xfId="0" applyNumberFormat="1" applyBorder="1" applyAlignment="1">
      <alignment vertical="top" wrapText="1"/>
    </xf>
    <xf numFmtId="169" fontId="0" fillId="0" borderId="36" xfId="0" applyNumberFormat="1" applyFill="1" applyBorder="1" applyAlignment="1">
      <alignment vertical="top"/>
    </xf>
    <xf numFmtId="169" fontId="0" fillId="0" borderId="57" xfId="0" applyNumberFormat="1" applyFill="1" applyBorder="1" applyAlignment="1">
      <alignment vertical="top" wrapText="1"/>
    </xf>
    <xf numFmtId="167" fontId="3" fillId="0" borderId="9" xfId="4" applyNumberFormat="1" applyFont="1" applyBorder="1" applyAlignment="1">
      <alignment vertical="top"/>
    </xf>
    <xf numFmtId="167" fontId="3" fillId="0" borderId="10" xfId="4" applyNumberFormat="1" applyFont="1" applyBorder="1" applyAlignment="1">
      <alignment vertical="top"/>
    </xf>
    <xf numFmtId="0" fontId="0" fillId="0" borderId="2" xfId="0" applyBorder="1" applyAlignment="1">
      <alignment vertical="top"/>
    </xf>
    <xf numFmtId="0" fontId="4" fillId="28" borderId="1" xfId="0" applyFont="1" applyFill="1" applyBorder="1" applyAlignment="1">
      <alignment vertical="top"/>
    </xf>
    <xf numFmtId="0" fontId="0" fillId="0" borderId="4" xfId="0" applyFill="1" applyBorder="1" applyAlignment="1">
      <alignment vertical="top" wrapText="1"/>
    </xf>
    <xf numFmtId="0" fontId="0" fillId="0" borderId="8" xfId="0" applyFill="1" applyBorder="1" applyAlignment="1">
      <alignment vertical="top" wrapText="1"/>
    </xf>
    <xf numFmtId="0" fontId="7" fillId="2" borderId="162" xfId="0" applyFont="1" applyFill="1" applyBorder="1" applyAlignment="1" applyProtection="1">
      <alignment horizontal="center" vertical="center"/>
    </xf>
    <xf numFmtId="0" fontId="7" fillId="2" borderId="163" xfId="0" applyFont="1" applyFill="1" applyBorder="1" applyAlignment="1" applyProtection="1">
      <alignment horizontal="center" vertical="center"/>
    </xf>
    <xf numFmtId="1" fontId="52" fillId="2" borderId="174" xfId="0" applyNumberFormat="1" applyFont="1" applyFill="1" applyBorder="1" applyAlignment="1" applyProtection="1">
      <alignment horizontal="center" vertical="center" wrapText="1"/>
    </xf>
    <xf numFmtId="1" fontId="52" fillId="2" borderId="175" xfId="0" applyNumberFormat="1" applyFont="1" applyFill="1" applyBorder="1" applyAlignment="1" applyProtection="1">
      <alignment horizontal="center" vertical="center" wrapText="1"/>
    </xf>
    <xf numFmtId="1" fontId="0" fillId="4" borderId="0" xfId="0" applyNumberFormat="1" applyFill="1" applyAlignment="1">
      <alignment horizontal="center" vertical="center"/>
    </xf>
    <xf numFmtId="1" fontId="0" fillId="4" borderId="0" xfId="0" applyNumberFormat="1" applyFill="1" applyBorder="1" applyAlignment="1">
      <alignment horizontal="center" vertical="center"/>
    </xf>
    <xf numFmtId="1" fontId="0" fillId="4" borderId="0" xfId="0" applyNumberFormat="1" applyFill="1" applyBorder="1" applyAlignment="1">
      <alignment horizontal="center" vertical="center" wrapText="1"/>
    </xf>
    <xf numFmtId="1" fontId="0" fillId="25" borderId="0" xfId="0" applyNumberFormat="1" applyFill="1" applyAlignment="1">
      <alignment horizontal="center" vertical="center"/>
    </xf>
    <xf numFmtId="1" fontId="198" fillId="4" borderId="0" xfId="0" applyNumberFormat="1" applyFont="1" applyFill="1" applyBorder="1" applyAlignment="1">
      <alignment horizontal="center" vertical="center" wrapText="1"/>
    </xf>
    <xf numFmtId="1" fontId="198" fillId="4" borderId="0" xfId="4" applyNumberFormat="1" applyFont="1" applyFill="1" applyBorder="1" applyAlignment="1">
      <alignment horizontal="center" vertical="center"/>
    </xf>
    <xf numFmtId="1" fontId="198" fillId="4" borderId="0" xfId="0" applyNumberFormat="1" applyFont="1" applyFill="1" applyBorder="1" applyAlignment="1">
      <alignment horizontal="left" vertical="center" wrapText="1"/>
    </xf>
    <xf numFmtId="1" fontId="198" fillId="4" borderId="0" xfId="5" applyNumberFormat="1" applyFont="1" applyFill="1" applyBorder="1" applyAlignment="1">
      <alignment horizontal="left" vertical="center"/>
    </xf>
    <xf numFmtId="1" fontId="198" fillId="4" borderId="0" xfId="4" applyNumberFormat="1" applyFont="1" applyFill="1" applyBorder="1" applyAlignment="1">
      <alignment horizontal="left" vertical="center"/>
    </xf>
    <xf numFmtId="167" fontId="16" fillId="35" borderId="16" xfId="0" applyNumberFormat="1" applyFont="1" applyFill="1" applyBorder="1" applyAlignment="1">
      <alignment vertical="center"/>
    </xf>
    <xf numFmtId="167" fontId="16" fillId="35" borderId="143" xfId="0" applyNumberFormat="1" applyFont="1" applyFill="1" applyBorder="1" applyAlignment="1">
      <alignment vertical="center"/>
    </xf>
    <xf numFmtId="167" fontId="16" fillId="35" borderId="114" xfId="0" applyNumberFormat="1" applyFont="1" applyFill="1" applyBorder="1" applyAlignment="1">
      <alignment vertical="center"/>
    </xf>
    <xf numFmtId="0" fontId="16" fillId="7" borderId="12" xfId="0" applyFont="1" applyFill="1" applyBorder="1" applyAlignment="1">
      <alignment horizontal="left" vertical="center" wrapText="1" indent="1"/>
    </xf>
    <xf numFmtId="0" fontId="19" fillId="11" borderId="14" xfId="0" applyFont="1" applyFill="1" applyBorder="1" applyAlignment="1">
      <alignment horizontal="left" vertical="center" indent="1"/>
    </xf>
    <xf numFmtId="0" fontId="4" fillId="5" borderId="42" xfId="0" applyFont="1" applyFill="1" applyBorder="1" applyAlignment="1">
      <alignment horizontal="center" vertical="center" wrapText="1"/>
    </xf>
    <xf numFmtId="0" fontId="4" fillId="5" borderId="14" xfId="0" applyFont="1" applyFill="1" applyBorder="1" applyAlignment="1">
      <alignment horizontal="center" vertical="center" wrapText="1"/>
    </xf>
    <xf numFmtId="0" fontId="166" fillId="5" borderId="43" xfId="0" applyFont="1" applyFill="1" applyBorder="1" applyAlignment="1">
      <alignment horizontal="center" vertical="center"/>
    </xf>
    <xf numFmtId="0" fontId="4" fillId="5" borderId="41" xfId="0" applyFont="1" applyFill="1" applyBorder="1" applyAlignment="1">
      <alignment horizontal="center" vertical="center"/>
    </xf>
    <xf numFmtId="0" fontId="101" fillId="26" borderId="90" xfId="0" applyFont="1" applyFill="1" applyBorder="1" applyAlignment="1" applyProtection="1"/>
    <xf numFmtId="0" fontId="140" fillId="25" borderId="94" xfId="0" applyFont="1" applyFill="1" applyBorder="1" applyAlignment="1" applyProtection="1">
      <alignment horizontal="left" vertical="center"/>
    </xf>
    <xf numFmtId="0" fontId="134" fillId="2" borderId="0" xfId="0" applyFont="1" applyFill="1" applyBorder="1" applyAlignment="1" applyProtection="1">
      <alignment vertical="center" wrapText="1"/>
    </xf>
    <xf numFmtId="0" fontId="104" fillId="2" borderId="0" xfId="1" applyFont="1" applyFill="1" applyBorder="1" applyAlignment="1" applyProtection="1">
      <alignment horizontal="center" vertical="center"/>
    </xf>
    <xf numFmtId="0" fontId="137" fillId="25" borderId="0" xfId="0" applyFont="1" applyFill="1" applyBorder="1" applyAlignment="1" applyProtection="1">
      <alignment horizontal="right" vertical="center"/>
    </xf>
    <xf numFmtId="0" fontId="81" fillId="2" borderId="0" xfId="1" applyFont="1" applyFill="1" applyBorder="1" applyAlignment="1" applyProtection="1">
      <alignment horizontal="center" vertical="center"/>
    </xf>
    <xf numFmtId="0" fontId="0" fillId="25" borderId="0" xfId="0" applyFont="1" applyFill="1" applyBorder="1" applyAlignment="1" applyProtection="1">
      <alignment vertical="center"/>
    </xf>
    <xf numFmtId="0" fontId="43" fillId="25" borderId="0" xfId="0" applyFont="1" applyFill="1" applyProtection="1"/>
    <xf numFmtId="0" fontId="43" fillId="4" borderId="0" xfId="0" applyFont="1" applyFill="1" applyProtection="1"/>
    <xf numFmtId="0" fontId="192" fillId="4" borderId="0" xfId="0" applyFont="1" applyFill="1" applyProtection="1"/>
    <xf numFmtId="0" fontId="139" fillId="4" borderId="0" xfId="0" applyFont="1" applyFill="1" applyProtection="1"/>
    <xf numFmtId="0" fontId="160" fillId="4" borderId="0" xfId="0" applyFont="1" applyFill="1" applyAlignment="1" applyProtection="1">
      <alignment horizontal="left" vertical="center" indent="4"/>
    </xf>
    <xf numFmtId="0" fontId="52" fillId="7" borderId="0" xfId="0" applyFont="1" applyFill="1" applyBorder="1" applyAlignment="1" applyProtection="1">
      <alignment horizontal="center" vertical="top"/>
    </xf>
    <xf numFmtId="0" fontId="52" fillId="7" borderId="0" xfId="0" applyFont="1" applyFill="1" applyBorder="1" applyAlignment="1" applyProtection="1">
      <alignment vertical="top" wrapText="1"/>
    </xf>
    <xf numFmtId="0" fontId="121" fillId="7" borderId="0" xfId="0" applyFont="1" applyFill="1" applyBorder="1" applyAlignment="1" applyProtection="1">
      <alignment vertical="top"/>
    </xf>
    <xf numFmtId="0" fontId="122" fillId="7" borderId="0" xfId="0" applyFont="1" applyFill="1" applyBorder="1" applyAlignment="1" applyProtection="1">
      <alignment vertical="top" wrapText="1"/>
    </xf>
    <xf numFmtId="0" fontId="121" fillId="25" borderId="0" xfId="0" applyFont="1" applyFill="1" applyBorder="1" applyAlignment="1" applyProtection="1">
      <alignment vertical="top"/>
    </xf>
    <xf numFmtId="0" fontId="181" fillId="6" borderId="28" xfId="0" applyFont="1" applyFill="1" applyBorder="1" applyAlignment="1" applyProtection="1">
      <alignment horizontal="center" vertical="center"/>
    </xf>
    <xf numFmtId="0" fontId="25" fillId="25" borderId="36" xfId="0" applyFont="1" applyFill="1" applyBorder="1" applyAlignment="1" applyProtection="1">
      <alignment horizontal="left" vertical="center"/>
    </xf>
    <xf numFmtId="0" fontId="25" fillId="25" borderId="80" xfId="0" applyFont="1" applyFill="1" applyBorder="1" applyAlignment="1" applyProtection="1">
      <alignment horizontal="left" vertical="center"/>
    </xf>
    <xf numFmtId="0" fontId="18" fillId="4" borderId="0" xfId="0" applyFont="1" applyFill="1" applyBorder="1" applyAlignment="1" applyProtection="1">
      <alignment vertical="center" wrapText="1"/>
    </xf>
    <xf numFmtId="0" fontId="0" fillId="4" borderId="0" xfId="0" applyFont="1" applyFill="1" applyProtection="1"/>
    <xf numFmtId="0" fontId="181" fillId="25" borderId="28" xfId="0" applyFont="1" applyFill="1" applyBorder="1" applyAlignment="1" applyProtection="1">
      <alignment horizontal="center" vertical="center"/>
    </xf>
    <xf numFmtId="1" fontId="19" fillId="25" borderId="26" xfId="0" applyNumberFormat="1" applyFont="1" applyFill="1" applyBorder="1" applyAlignment="1" applyProtection="1">
      <alignment horizontal="center" vertical="center"/>
    </xf>
    <xf numFmtId="1" fontId="19" fillId="25" borderId="88" xfId="0" applyNumberFormat="1" applyFont="1" applyFill="1" applyBorder="1" applyAlignment="1" applyProtection="1">
      <alignment horizontal="center" vertical="center"/>
    </xf>
    <xf numFmtId="1" fontId="19" fillId="25" borderId="30" xfId="0" applyNumberFormat="1" applyFont="1" applyFill="1" applyBorder="1" applyAlignment="1" applyProtection="1">
      <alignment horizontal="center" vertical="center"/>
    </xf>
    <xf numFmtId="1" fontId="19" fillId="6" borderId="26" xfId="0" applyNumberFormat="1" applyFont="1" applyFill="1" applyBorder="1" applyAlignment="1" applyProtection="1">
      <alignment horizontal="center" vertical="center"/>
    </xf>
    <xf numFmtId="1" fontId="19" fillId="6" borderId="88" xfId="0" applyNumberFormat="1" applyFont="1" applyFill="1" applyBorder="1" applyAlignment="1" applyProtection="1">
      <alignment horizontal="center" vertical="center"/>
    </xf>
    <xf numFmtId="1" fontId="19" fillId="6" borderId="30" xfId="0" applyNumberFormat="1" applyFont="1" applyFill="1" applyBorder="1" applyAlignment="1" applyProtection="1">
      <alignment horizontal="center" vertical="center"/>
    </xf>
    <xf numFmtId="0" fontId="18" fillId="4" borderId="0" xfId="0" applyFont="1" applyFill="1" applyProtection="1"/>
    <xf numFmtId="0" fontId="0" fillId="4" borderId="0" xfId="0" applyFont="1" applyFill="1" applyBorder="1" applyAlignment="1" applyProtection="1">
      <alignment vertical="center"/>
    </xf>
    <xf numFmtId="9" fontId="18" fillId="0" borderId="177" xfId="0" applyNumberFormat="1" applyFont="1" applyFill="1" applyBorder="1" applyAlignment="1" applyProtection="1">
      <alignment horizontal="center" vertical="center"/>
    </xf>
    <xf numFmtId="9" fontId="18" fillId="0" borderId="178" xfId="0" applyNumberFormat="1" applyFont="1" applyFill="1" applyBorder="1" applyAlignment="1" applyProtection="1">
      <alignment horizontal="center" vertical="center"/>
    </xf>
    <xf numFmtId="1" fontId="18" fillId="0" borderId="177" xfId="0" applyNumberFormat="1" applyFont="1" applyFill="1" applyBorder="1" applyAlignment="1" applyProtection="1">
      <alignment horizontal="center" vertical="center"/>
    </xf>
    <xf numFmtId="1" fontId="18" fillId="0" borderId="178" xfId="0" applyNumberFormat="1" applyFont="1" applyFill="1" applyBorder="1" applyAlignment="1" applyProtection="1">
      <alignment horizontal="center" vertical="center"/>
    </xf>
    <xf numFmtId="0" fontId="5" fillId="7" borderId="176" xfId="0" applyFont="1" applyFill="1" applyBorder="1" applyAlignment="1" applyProtection="1">
      <alignment vertical="center" wrapText="1"/>
    </xf>
    <xf numFmtId="0" fontId="0" fillId="4" borderId="2" xfId="0" applyFill="1" applyBorder="1" applyProtection="1"/>
    <xf numFmtId="0" fontId="0" fillId="7" borderId="176" xfId="0" applyFont="1" applyFill="1" applyBorder="1" applyAlignment="1" applyProtection="1">
      <alignment vertical="center" wrapText="1"/>
    </xf>
    <xf numFmtId="0" fontId="181" fillId="25" borderId="8" xfId="0" applyFont="1" applyFill="1" applyBorder="1" applyAlignment="1" applyProtection="1">
      <alignment horizontal="center" vertical="center"/>
    </xf>
    <xf numFmtId="1" fontId="19" fillId="25" borderId="142" xfId="0" applyNumberFormat="1" applyFont="1" applyFill="1" applyBorder="1" applyAlignment="1" applyProtection="1">
      <alignment horizontal="center" vertical="center"/>
    </xf>
    <xf numFmtId="1" fontId="19" fillId="25" borderId="191" xfId="0" applyNumberFormat="1" applyFont="1" applyFill="1" applyBorder="1" applyAlignment="1" applyProtection="1">
      <alignment horizontal="center" vertical="center"/>
    </xf>
    <xf numFmtId="1" fontId="19" fillId="25" borderId="10" xfId="0" applyNumberFormat="1" applyFont="1" applyFill="1" applyBorder="1" applyAlignment="1" applyProtection="1">
      <alignment horizontal="center" vertical="center"/>
    </xf>
    <xf numFmtId="0" fontId="0" fillId="4" borderId="27" xfId="0" applyFill="1" applyBorder="1" applyProtection="1"/>
    <xf numFmtId="0" fontId="5" fillId="25" borderId="0" xfId="0" applyFont="1" applyFill="1" applyProtection="1"/>
    <xf numFmtId="0" fontId="16" fillId="0" borderId="12" xfId="0" applyFont="1" applyFill="1" applyBorder="1" applyProtection="1"/>
    <xf numFmtId="167" fontId="0" fillId="0" borderId="0" xfId="4" applyNumberFormat="1" applyFont="1" applyAlignment="1">
      <alignment vertical="top"/>
    </xf>
    <xf numFmtId="0" fontId="0" fillId="0" borderId="4" xfId="0" applyFill="1" applyBorder="1" applyAlignment="1"/>
    <xf numFmtId="0" fontId="0" fillId="0" borderId="0" xfId="0" applyAlignment="1"/>
    <xf numFmtId="0" fontId="0" fillId="4" borderId="0" xfId="0" applyFont="1" applyFill="1" applyBorder="1" applyAlignment="1" applyProtection="1">
      <alignment horizontal="center"/>
    </xf>
    <xf numFmtId="0" fontId="140" fillId="25" borderId="0" xfId="0" applyFont="1" applyFill="1" applyBorder="1" applyAlignment="1" applyProtection="1">
      <alignment horizontal="center" vertical="center"/>
    </xf>
    <xf numFmtId="0" fontId="134" fillId="2" borderId="0" xfId="0" applyFont="1" applyFill="1" applyBorder="1" applyAlignment="1" applyProtection="1">
      <alignment horizontal="center" vertical="center" wrapText="1"/>
    </xf>
    <xf numFmtId="0" fontId="43" fillId="25" borderId="0" xfId="0" applyFont="1" applyFill="1" applyBorder="1" applyAlignment="1" applyProtection="1">
      <alignment horizontal="center" vertical="center"/>
    </xf>
    <xf numFmtId="0" fontId="0" fillId="25" borderId="0" xfId="0" applyFont="1" applyFill="1" applyBorder="1" applyAlignment="1" applyProtection="1">
      <alignment horizontal="center" vertical="center"/>
    </xf>
    <xf numFmtId="0" fontId="18" fillId="4" borderId="0" xfId="0" applyFont="1" applyFill="1" applyBorder="1" applyAlignment="1" applyProtection="1">
      <alignment vertical="top" wrapText="1"/>
    </xf>
    <xf numFmtId="0" fontId="39" fillId="25" borderId="13" xfId="0" applyFont="1" applyFill="1" applyBorder="1" applyAlignment="1" applyProtection="1">
      <alignment horizontal="center" vertical="center"/>
    </xf>
    <xf numFmtId="0" fontId="200" fillId="25" borderId="193" xfId="0" applyFont="1" applyFill="1" applyBorder="1" applyAlignment="1" applyProtection="1">
      <alignment horizontal="center" vertical="center"/>
    </xf>
    <xf numFmtId="0" fontId="201" fillId="25" borderId="15" xfId="0" applyFont="1" applyFill="1" applyBorder="1" applyAlignment="1" applyProtection="1">
      <alignment horizontal="center" vertical="center"/>
    </xf>
    <xf numFmtId="0" fontId="6" fillId="25" borderId="13"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0" fillId="4" borderId="43" xfId="0" applyFill="1" applyBorder="1" applyProtection="1"/>
    <xf numFmtId="0" fontId="18" fillId="4" borderId="43" xfId="0" applyFont="1" applyFill="1" applyBorder="1" applyProtection="1"/>
    <xf numFmtId="0" fontId="0" fillId="4" borderId="43" xfId="0" applyFill="1" applyBorder="1" applyAlignment="1" applyProtection="1">
      <alignment vertical="center"/>
    </xf>
    <xf numFmtId="0" fontId="18" fillId="4" borderId="43" xfId="0" applyFont="1" applyFill="1" applyBorder="1" applyAlignment="1" applyProtection="1">
      <alignment vertical="center" wrapText="1"/>
    </xf>
    <xf numFmtId="0" fontId="39" fillId="25" borderId="44" xfId="0" applyFont="1" applyFill="1" applyBorder="1" applyAlignment="1" applyProtection="1">
      <alignment horizontal="center" vertical="center"/>
    </xf>
    <xf numFmtId="0" fontId="200" fillId="25" borderId="58" xfId="0" applyFont="1" applyFill="1" applyBorder="1" applyAlignment="1" applyProtection="1">
      <alignment horizontal="center" vertical="center"/>
    </xf>
    <xf numFmtId="0" fontId="201" fillId="25" borderId="57" xfId="0" applyFont="1" applyFill="1" applyBorder="1" applyAlignment="1" applyProtection="1">
      <alignment horizontal="center" vertical="center"/>
    </xf>
    <xf numFmtId="0" fontId="0" fillId="0" borderId="130" xfId="0" applyFont="1" applyFill="1" applyBorder="1" applyAlignment="1" applyProtection="1">
      <alignment vertical="center" wrapText="1"/>
    </xf>
    <xf numFmtId="0" fontId="0" fillId="0" borderId="129" xfId="0" applyFont="1" applyFill="1" applyBorder="1" applyAlignment="1" applyProtection="1">
      <alignment vertical="center" wrapText="1"/>
    </xf>
    <xf numFmtId="0" fontId="0" fillId="0" borderId="137" xfId="0" applyFont="1" applyFill="1" applyBorder="1" applyAlignment="1" applyProtection="1">
      <alignment vertical="center" wrapText="1"/>
    </xf>
    <xf numFmtId="0" fontId="0" fillId="0" borderId="0" xfId="0" applyFill="1" applyBorder="1" applyAlignment="1">
      <alignment wrapText="1"/>
    </xf>
    <xf numFmtId="167" fontId="0" fillId="0" borderId="40" xfId="4" applyNumberFormat="1" applyFont="1" applyFill="1" applyBorder="1"/>
    <xf numFmtId="0" fontId="0" fillId="0" borderId="197" xfId="0" applyFill="1" applyBorder="1" applyAlignment="1" applyProtection="1">
      <alignment vertical="center" wrapText="1"/>
    </xf>
    <xf numFmtId="0" fontId="0" fillId="0" borderId="74" xfId="0" applyFill="1" applyBorder="1" applyAlignment="1" applyProtection="1">
      <alignment vertical="center" wrapText="1"/>
    </xf>
    <xf numFmtId="0" fontId="0" fillId="0" borderId="145" xfId="0" applyFont="1" applyFill="1" applyBorder="1" applyAlignment="1" applyProtection="1">
      <alignment vertical="center" wrapText="1"/>
    </xf>
    <xf numFmtId="0" fontId="0" fillId="0" borderId="65" xfId="0" applyFont="1" applyFill="1" applyBorder="1" applyAlignment="1" applyProtection="1">
      <alignment vertical="center" wrapText="1"/>
    </xf>
    <xf numFmtId="9" fontId="0" fillId="0" borderId="177" xfId="0" applyNumberFormat="1" applyFont="1" applyFill="1" applyBorder="1" applyAlignment="1" applyProtection="1">
      <alignment horizontal="center" vertical="center"/>
    </xf>
    <xf numFmtId="9" fontId="0" fillId="0" borderId="178" xfId="0" applyNumberFormat="1" applyFont="1" applyFill="1" applyBorder="1" applyAlignment="1" applyProtection="1">
      <alignment horizontal="center" vertical="center"/>
    </xf>
    <xf numFmtId="1" fontId="0" fillId="0" borderId="177" xfId="0" applyNumberFormat="1" applyFont="1" applyFill="1" applyBorder="1" applyAlignment="1" applyProtection="1">
      <alignment horizontal="center" vertical="center"/>
    </xf>
    <xf numFmtId="1" fontId="0" fillId="0" borderId="178" xfId="0" applyNumberFormat="1" applyFont="1" applyFill="1" applyBorder="1" applyAlignment="1" applyProtection="1">
      <alignment horizontal="center" vertical="center"/>
    </xf>
    <xf numFmtId="2" fontId="0" fillId="0" borderId="177" xfId="0" applyNumberFormat="1" applyFont="1" applyFill="1" applyBorder="1" applyAlignment="1" applyProtection="1">
      <alignment horizontal="center" vertical="center"/>
    </xf>
    <xf numFmtId="2" fontId="0" fillId="0" borderId="178" xfId="0" applyNumberFormat="1" applyFont="1" applyFill="1" applyBorder="1" applyAlignment="1" applyProtection="1">
      <alignment horizontal="center" vertical="center"/>
    </xf>
    <xf numFmtId="9" fontId="0" fillId="0" borderId="189" xfId="0" applyNumberFormat="1" applyFont="1" applyFill="1" applyBorder="1" applyAlignment="1" applyProtection="1">
      <alignment horizontal="center" vertical="center"/>
    </xf>
    <xf numFmtId="9" fontId="0" fillId="0" borderId="190" xfId="0" applyNumberFormat="1" applyFont="1" applyFill="1" applyBorder="1" applyAlignment="1" applyProtection="1">
      <alignment horizontal="center" vertical="center"/>
    </xf>
    <xf numFmtId="0" fontId="104" fillId="26" borderId="0" xfId="1" applyFont="1" applyFill="1" applyBorder="1" applyAlignment="1" applyProtection="1">
      <alignment horizontal="center" vertical="center"/>
    </xf>
    <xf numFmtId="0" fontId="103" fillId="26" borderId="92" xfId="1" applyFont="1" applyFill="1" applyBorder="1" applyAlignment="1" applyProtection="1">
      <alignment horizontal="center" vertical="center"/>
    </xf>
    <xf numFmtId="0" fontId="5" fillId="35" borderId="176" xfId="0" applyFont="1" applyFill="1" applyBorder="1" applyAlignment="1" applyProtection="1">
      <alignment vertical="center" wrapText="1"/>
    </xf>
    <xf numFmtId="9" fontId="0" fillId="35" borderId="177" xfId="0" applyNumberFormat="1" applyFont="1" applyFill="1" applyBorder="1" applyAlignment="1" applyProtection="1">
      <alignment horizontal="center" vertical="center"/>
    </xf>
    <xf numFmtId="9" fontId="0" fillId="35" borderId="178" xfId="0" applyNumberFormat="1" applyFont="1" applyFill="1" applyBorder="1" applyAlignment="1" applyProtection="1">
      <alignment horizontal="center" vertical="center"/>
    </xf>
    <xf numFmtId="1" fontId="0" fillId="35" borderId="177" xfId="0" applyNumberFormat="1" applyFont="1" applyFill="1" applyBorder="1" applyAlignment="1" applyProtection="1">
      <alignment horizontal="center" vertical="center"/>
    </xf>
    <xf numFmtId="1" fontId="0" fillId="35" borderId="178" xfId="0" applyNumberFormat="1" applyFont="1" applyFill="1" applyBorder="1" applyAlignment="1" applyProtection="1">
      <alignment horizontal="center" vertical="center"/>
    </xf>
    <xf numFmtId="0" fontId="11" fillId="35" borderId="176" xfId="0" applyFont="1" applyFill="1" applyBorder="1" applyAlignment="1" applyProtection="1">
      <alignment vertical="center" wrapText="1"/>
    </xf>
    <xf numFmtId="2" fontId="16" fillId="35" borderId="177" xfId="0" applyNumberFormat="1" applyFont="1" applyFill="1" applyBorder="1" applyAlignment="1" applyProtection="1">
      <alignment horizontal="center" vertical="center"/>
    </xf>
    <xf numFmtId="2" fontId="16" fillId="35" borderId="178" xfId="0" applyNumberFormat="1" applyFont="1" applyFill="1" applyBorder="1" applyAlignment="1" applyProtection="1">
      <alignment horizontal="center" vertical="center"/>
    </xf>
    <xf numFmtId="9" fontId="16" fillId="35" borderId="177" xfId="0" applyNumberFormat="1" applyFont="1" applyFill="1" applyBorder="1" applyAlignment="1" applyProtection="1">
      <alignment horizontal="center" vertical="center"/>
    </xf>
    <xf numFmtId="9" fontId="16" fillId="35" borderId="178" xfId="0" applyNumberFormat="1" applyFont="1" applyFill="1" applyBorder="1" applyAlignment="1" applyProtection="1">
      <alignment horizontal="center" vertical="center"/>
    </xf>
    <xf numFmtId="9" fontId="18" fillId="7" borderId="177" xfId="0" applyNumberFormat="1" applyFont="1" applyFill="1" applyBorder="1" applyAlignment="1" applyProtection="1">
      <alignment horizontal="center" vertical="center"/>
    </xf>
    <xf numFmtId="9" fontId="18" fillId="7" borderId="178" xfId="0" applyNumberFormat="1" applyFont="1" applyFill="1" applyBorder="1" applyAlignment="1" applyProtection="1">
      <alignment horizontal="center" vertical="center"/>
    </xf>
    <xf numFmtId="166" fontId="18" fillId="7" borderId="177" xfId="0" applyNumberFormat="1" applyFont="1" applyFill="1" applyBorder="1" applyAlignment="1" applyProtection="1">
      <alignment horizontal="center" vertical="center"/>
    </xf>
    <xf numFmtId="166" fontId="18" fillId="7" borderId="178" xfId="0" applyNumberFormat="1" applyFont="1" applyFill="1" applyBorder="1" applyAlignment="1" applyProtection="1">
      <alignment horizontal="center" vertical="center"/>
    </xf>
    <xf numFmtId="1" fontId="18" fillId="7" borderId="177" xfId="0" applyNumberFormat="1" applyFont="1" applyFill="1" applyBorder="1" applyAlignment="1" applyProtection="1">
      <alignment horizontal="center" vertical="center"/>
    </xf>
    <xf numFmtId="1" fontId="18" fillId="7" borderId="178" xfId="0" applyNumberFormat="1" applyFont="1" applyFill="1" applyBorder="1" applyAlignment="1" applyProtection="1">
      <alignment horizontal="center" vertical="center"/>
    </xf>
    <xf numFmtId="0" fontId="5" fillId="0" borderId="176" xfId="0" applyFont="1" applyFill="1" applyBorder="1" applyAlignment="1" applyProtection="1">
      <alignment vertical="center" wrapText="1"/>
    </xf>
    <xf numFmtId="166" fontId="0" fillId="0" borderId="177" xfId="0" applyNumberFormat="1" applyFont="1" applyFill="1" applyBorder="1" applyAlignment="1" applyProtection="1">
      <alignment horizontal="center" vertical="center"/>
    </xf>
    <xf numFmtId="166" fontId="0" fillId="0" borderId="178" xfId="0" applyNumberFormat="1" applyFont="1" applyFill="1" applyBorder="1" applyAlignment="1" applyProtection="1">
      <alignment horizontal="center" vertical="center"/>
    </xf>
    <xf numFmtId="43" fontId="11" fillId="0" borderId="12" xfId="2" applyNumberFormat="1" applyFont="1" applyFill="1" applyBorder="1" applyAlignment="1">
      <alignment vertical="top"/>
    </xf>
    <xf numFmtId="0" fontId="147" fillId="4" borderId="0" xfId="0" applyFont="1" applyFill="1" applyBorder="1" applyAlignment="1">
      <alignment vertical="center" wrapText="1"/>
    </xf>
    <xf numFmtId="0" fontId="147" fillId="4" borderId="0" xfId="0" applyFont="1" applyFill="1" applyAlignment="1">
      <alignment vertical="center" wrapText="1"/>
    </xf>
    <xf numFmtId="9" fontId="85" fillId="0" borderId="12" xfId="5" applyFont="1" applyBorder="1" applyAlignment="1">
      <alignment horizontal="left" vertical="top"/>
    </xf>
    <xf numFmtId="43" fontId="0" fillId="0" borderId="44" xfId="0" applyNumberFormat="1" applyFill="1" applyBorder="1" applyAlignment="1">
      <alignment vertical="top"/>
    </xf>
    <xf numFmtId="0" fontId="0" fillId="7" borderId="176" xfId="0" applyFill="1" applyBorder="1" applyAlignment="1" applyProtection="1">
      <alignment vertical="center" wrapText="1"/>
    </xf>
    <xf numFmtId="9" fontId="0" fillId="4" borderId="0" xfId="0" applyNumberFormat="1" applyFill="1" applyProtection="1"/>
    <xf numFmtId="169" fontId="5" fillId="0" borderId="12" xfId="0" applyNumberFormat="1" applyFont="1" applyFill="1" applyBorder="1" applyAlignment="1">
      <alignment vertical="top"/>
    </xf>
    <xf numFmtId="3" fontId="207" fillId="0" borderId="0" xfId="0" applyNumberFormat="1" applyFont="1"/>
    <xf numFmtId="4" fontId="0" fillId="0" borderId="0" xfId="0" applyNumberFormat="1" applyFill="1" applyAlignment="1">
      <alignment vertical="top"/>
    </xf>
    <xf numFmtId="3" fontId="16" fillId="4" borderId="0" xfId="0" applyNumberFormat="1" applyFont="1" applyFill="1" applyBorder="1"/>
    <xf numFmtId="0" fontId="0" fillId="7" borderId="207" xfId="0" applyFont="1" applyFill="1" applyBorder="1" applyAlignment="1" applyProtection="1">
      <alignment vertical="center" wrapText="1"/>
    </xf>
    <xf numFmtId="9" fontId="18" fillId="0" borderId="208" xfId="0" applyNumberFormat="1" applyFont="1" applyFill="1" applyBorder="1" applyAlignment="1" applyProtection="1">
      <alignment horizontal="center" vertical="center"/>
    </xf>
    <xf numFmtId="9" fontId="18" fillId="0" borderId="209" xfId="0" applyNumberFormat="1" applyFont="1" applyFill="1" applyBorder="1" applyAlignment="1" applyProtection="1">
      <alignment horizontal="center" vertical="center"/>
    </xf>
    <xf numFmtId="0" fontId="19" fillId="25" borderId="98" xfId="0" applyFont="1" applyFill="1" applyBorder="1" applyAlignment="1" applyProtection="1">
      <alignment horizontal="left" vertical="center" indent="2"/>
    </xf>
    <xf numFmtId="0" fontId="208" fillId="7" borderId="213" xfId="0" applyFont="1" applyFill="1" applyBorder="1" applyAlignment="1" applyProtection="1">
      <alignment horizontal="center" vertical="center"/>
    </xf>
    <xf numFmtId="0" fontId="209" fillId="7" borderId="214" xfId="0" applyFont="1" applyFill="1" applyBorder="1" applyAlignment="1" applyProtection="1">
      <alignment horizontal="center" vertical="center"/>
    </xf>
    <xf numFmtId="0" fontId="210" fillId="7" borderId="117" xfId="0" applyFont="1" applyFill="1" applyBorder="1" applyAlignment="1" applyProtection="1">
      <alignment horizontal="center" vertical="center"/>
    </xf>
    <xf numFmtId="0" fontId="208" fillId="7" borderId="23" xfId="0" applyFont="1" applyFill="1" applyBorder="1" applyAlignment="1" applyProtection="1">
      <alignment horizontal="center" vertical="center"/>
    </xf>
    <xf numFmtId="0" fontId="209" fillId="7" borderId="24" xfId="0" applyFont="1" applyFill="1" applyBorder="1" applyAlignment="1" applyProtection="1">
      <alignment horizontal="center" vertical="center"/>
    </xf>
    <xf numFmtId="0" fontId="210" fillId="7" borderId="25" xfId="0" applyFont="1" applyFill="1" applyBorder="1" applyAlignment="1" applyProtection="1">
      <alignment horizontal="center" vertical="center"/>
    </xf>
    <xf numFmtId="0" fontId="0" fillId="0" borderId="176" xfId="0" applyFill="1" applyBorder="1" applyAlignment="1" applyProtection="1">
      <alignment vertical="center" wrapText="1"/>
    </xf>
    <xf numFmtId="0" fontId="168" fillId="2" borderId="162" xfId="0" applyFont="1" applyFill="1" applyBorder="1" applyAlignment="1" applyProtection="1">
      <alignment horizontal="center" vertical="center" wrapText="1"/>
    </xf>
    <xf numFmtId="167" fontId="3" fillId="7" borderId="12" xfId="4" applyNumberFormat="1" applyFont="1" applyFill="1" applyBorder="1" applyAlignment="1" applyProtection="1">
      <alignment vertical="center"/>
    </xf>
    <xf numFmtId="0" fontId="0" fillId="7" borderId="13" xfId="0" applyFill="1" applyBorder="1" applyAlignment="1">
      <alignment horizontal="left" vertical="top" wrapText="1"/>
    </xf>
    <xf numFmtId="0" fontId="4" fillId="5" borderId="12" xfId="0" applyFont="1" applyFill="1" applyBorder="1" applyAlignment="1">
      <alignment horizontal="center" vertical="center" wrapText="1"/>
    </xf>
    <xf numFmtId="0" fontId="0" fillId="7" borderId="12" xfId="0" applyFill="1" applyBorder="1" applyAlignment="1">
      <alignment horizontal="left" vertical="center" wrapText="1" indent="1"/>
    </xf>
    <xf numFmtId="9" fontId="25" fillId="25" borderId="36" xfId="5" applyFont="1" applyFill="1" applyBorder="1" applyAlignment="1" applyProtection="1">
      <alignment horizontal="left" vertical="center"/>
    </xf>
    <xf numFmtId="9" fontId="25" fillId="25" borderId="80" xfId="5" applyFont="1" applyFill="1" applyBorder="1" applyAlignment="1" applyProtection="1">
      <alignment horizontal="left" vertical="center"/>
    </xf>
    <xf numFmtId="0" fontId="5" fillId="7" borderId="31" xfId="0" applyFont="1" applyFill="1" applyBorder="1" applyAlignment="1">
      <alignment horizontal="left" vertical="center" wrapText="1"/>
    </xf>
    <xf numFmtId="0" fontId="0" fillId="7" borderId="13" xfId="0" applyFill="1" applyBorder="1" applyAlignment="1">
      <alignment wrapText="1"/>
    </xf>
    <xf numFmtId="0" fontId="4" fillId="5" borderId="28" xfId="0" applyFont="1" applyFill="1" applyBorder="1" applyAlignment="1">
      <alignment horizontal="center" vertical="center" wrapText="1"/>
    </xf>
    <xf numFmtId="0" fontId="4" fillId="5" borderId="29" xfId="0" applyFont="1" applyFill="1" applyBorder="1" applyAlignment="1">
      <alignment horizontal="center" vertical="center"/>
    </xf>
    <xf numFmtId="0" fontId="166" fillId="5" borderId="29" xfId="0" applyFont="1" applyFill="1" applyBorder="1" applyAlignment="1">
      <alignment horizontal="center" vertical="center"/>
    </xf>
    <xf numFmtId="0" fontId="4" fillId="5" borderId="30" xfId="0" applyFont="1" applyFill="1" applyBorder="1" applyAlignment="1">
      <alignment horizontal="center" vertical="center"/>
    </xf>
    <xf numFmtId="9" fontId="0" fillId="35" borderId="12" xfId="5" applyFont="1" applyFill="1" applyBorder="1" applyAlignment="1">
      <alignment horizontal="center" vertical="center"/>
    </xf>
    <xf numFmtId="9" fontId="0" fillId="7" borderId="12" xfId="5" applyFont="1" applyFill="1" applyBorder="1" applyAlignment="1">
      <alignment horizontal="center" vertical="center"/>
    </xf>
    <xf numFmtId="2" fontId="0" fillId="35" borderId="12" xfId="4" applyNumberFormat="1" applyFont="1" applyFill="1" applyBorder="1" applyAlignment="1">
      <alignment horizontal="center" vertical="center"/>
    </xf>
    <xf numFmtId="2" fontId="0" fillId="7" borderId="12" xfId="4" applyNumberFormat="1" applyFont="1" applyFill="1" applyBorder="1" applyAlignment="1">
      <alignment horizontal="center" vertical="center"/>
    </xf>
    <xf numFmtId="0" fontId="0" fillId="7" borderId="23" xfId="0" applyFill="1" applyBorder="1" applyAlignment="1">
      <alignment horizontal="left" vertical="center" wrapText="1" indent="1"/>
    </xf>
    <xf numFmtId="9" fontId="0" fillId="7" borderId="22" xfId="5" applyFont="1" applyFill="1" applyBorder="1" applyAlignment="1">
      <alignment horizontal="center" vertical="center"/>
    </xf>
    <xf numFmtId="0" fontId="5" fillId="7" borderId="14" xfId="0" applyFont="1" applyFill="1" applyBorder="1" applyAlignment="1">
      <alignment horizontal="center" vertical="center" wrapText="1"/>
    </xf>
    <xf numFmtId="0" fontId="5" fillId="7" borderId="35" xfId="0" applyFont="1" applyFill="1" applyBorder="1" applyAlignment="1">
      <alignment horizontal="center" vertical="center" wrapText="1"/>
    </xf>
    <xf numFmtId="1" fontId="0" fillId="7" borderId="12" xfId="4" applyNumberFormat="1" applyFont="1" applyFill="1" applyBorder="1" applyAlignment="1">
      <alignment horizontal="center" vertical="center"/>
    </xf>
    <xf numFmtId="1" fontId="0" fillId="7" borderId="22" xfId="4" applyNumberFormat="1" applyFont="1" applyFill="1" applyBorder="1" applyAlignment="1">
      <alignment horizontal="center" vertical="center"/>
    </xf>
    <xf numFmtId="1" fontId="0" fillId="7" borderId="24" xfId="4" applyNumberFormat="1" applyFont="1" applyFill="1" applyBorder="1" applyAlignment="1">
      <alignment horizontal="center" vertical="center"/>
    </xf>
    <xf numFmtId="1" fontId="0" fillId="7" borderId="25" xfId="4" applyNumberFormat="1" applyFont="1" applyFill="1" applyBorder="1" applyAlignment="1">
      <alignment horizontal="center" vertical="center"/>
    </xf>
    <xf numFmtId="0" fontId="5" fillId="7" borderId="31" xfId="0" applyFont="1" applyFill="1" applyBorder="1" applyAlignment="1">
      <alignment vertical="center" wrapText="1"/>
    </xf>
    <xf numFmtId="0" fontId="5" fillId="7" borderId="14" xfId="0" applyFont="1" applyFill="1" applyBorder="1" applyAlignment="1">
      <alignment vertical="center" wrapText="1"/>
    </xf>
    <xf numFmtId="0" fontId="50" fillId="7" borderId="35" xfId="0" applyFont="1" applyFill="1" applyBorder="1" applyAlignment="1">
      <alignment horizontal="right" vertical="center"/>
    </xf>
    <xf numFmtId="0" fontId="16" fillId="0" borderId="12" xfId="0" applyFont="1" applyBorder="1" applyAlignment="1">
      <alignment wrapText="1"/>
    </xf>
    <xf numFmtId="0" fontId="0" fillId="0" borderId="13" xfId="0" applyFill="1" applyBorder="1" applyAlignment="1">
      <alignment wrapText="1"/>
    </xf>
    <xf numFmtId="0" fontId="0" fillId="7" borderId="13" xfId="0" applyFill="1" applyBorder="1" applyAlignment="1">
      <alignment horizontal="left" vertical="top" wrapText="1"/>
    </xf>
    <xf numFmtId="0" fontId="16" fillId="7" borderId="13" xfId="0" applyFont="1" applyFill="1" applyBorder="1" applyAlignment="1">
      <alignment horizontal="left" vertical="top" wrapText="1"/>
    </xf>
    <xf numFmtId="0" fontId="5" fillId="7" borderId="188" xfId="0" applyFont="1" applyFill="1" applyBorder="1" applyAlignment="1" applyProtection="1">
      <alignment vertical="center" wrapText="1"/>
    </xf>
    <xf numFmtId="0" fontId="103" fillId="26" borderId="0" xfId="1" applyFont="1" applyFill="1" applyBorder="1" applyAlignment="1" applyProtection="1">
      <alignment horizontal="center" vertical="center"/>
    </xf>
    <xf numFmtId="0" fontId="104" fillId="26" borderId="0" xfId="1" applyFont="1" applyFill="1" applyBorder="1" applyAlignment="1" applyProtection="1">
      <alignment horizontal="center" vertical="center"/>
    </xf>
    <xf numFmtId="0" fontId="103" fillId="26" borderId="92" xfId="1" applyFont="1" applyFill="1" applyBorder="1" applyAlignment="1" applyProtection="1">
      <alignment horizontal="center" vertical="center"/>
    </xf>
    <xf numFmtId="0" fontId="104" fillId="25" borderId="0" xfId="1" applyFont="1" applyFill="1" applyBorder="1" applyAlignment="1" applyProtection="1">
      <alignment vertical="center"/>
      <protection locked="0"/>
    </xf>
    <xf numFmtId="0" fontId="0" fillId="25" borderId="0" xfId="0" applyFill="1" applyBorder="1" applyAlignment="1" applyProtection="1">
      <alignment horizontal="left"/>
    </xf>
    <xf numFmtId="0" fontId="0" fillId="26" borderId="91" xfId="0" applyFill="1" applyBorder="1" applyAlignment="1" applyProtection="1">
      <alignment horizontal="left"/>
    </xf>
    <xf numFmtId="0" fontId="0" fillId="26" borderId="93" xfId="0" applyFill="1" applyBorder="1" applyAlignment="1" applyProtection="1">
      <alignment horizontal="left"/>
    </xf>
    <xf numFmtId="0" fontId="105" fillId="26" borderId="93" xfId="0" applyFont="1" applyFill="1" applyBorder="1" applyAlignment="1" applyProtection="1">
      <alignment horizontal="left" vertical="center"/>
    </xf>
    <xf numFmtId="0" fontId="106" fillId="25" borderId="0" xfId="0" applyFont="1" applyFill="1" applyBorder="1" applyAlignment="1" applyProtection="1">
      <alignment vertical="top"/>
    </xf>
    <xf numFmtId="0" fontId="108" fillId="7" borderId="93" xfId="0" applyFont="1" applyFill="1" applyBorder="1" applyAlignment="1" applyProtection="1">
      <alignment horizontal="left" vertical="center"/>
    </xf>
    <xf numFmtId="0" fontId="107" fillId="25" borderId="94" xfId="1" applyFont="1" applyFill="1" applyBorder="1" applyAlignment="1" applyProtection="1">
      <alignment horizontal="center" vertical="center"/>
    </xf>
    <xf numFmtId="0" fontId="103" fillId="25" borderId="95" xfId="1" applyFont="1" applyFill="1" applyBorder="1" applyAlignment="1" applyProtection="1">
      <alignment horizontal="left" vertical="center"/>
    </xf>
    <xf numFmtId="0" fontId="102" fillId="25" borderId="96" xfId="0"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0" fontId="0" fillId="4" borderId="0" xfId="0" applyFill="1" applyBorder="1" applyAlignment="1" applyProtection="1">
      <alignment horizontal="center" vertical="top"/>
    </xf>
    <xf numFmtId="0" fontId="5" fillId="4" borderId="0" xfId="0" applyFont="1" applyFill="1" applyBorder="1" applyAlignment="1" applyProtection="1">
      <alignment vertical="top"/>
    </xf>
    <xf numFmtId="0" fontId="9" fillId="4" borderId="0" xfId="0" applyFont="1" applyFill="1" applyBorder="1" applyAlignment="1" applyProtection="1">
      <alignment vertical="top"/>
    </xf>
    <xf numFmtId="0" fontId="0" fillId="4" borderId="0" xfId="0" applyFill="1" applyBorder="1" applyAlignment="1" applyProtection="1">
      <alignment vertical="top"/>
    </xf>
    <xf numFmtId="0" fontId="0" fillId="4" borderId="0" xfId="0" applyFill="1" applyBorder="1" applyAlignment="1" applyProtection="1">
      <alignment horizontal="left" vertical="top"/>
    </xf>
    <xf numFmtId="0" fontId="34" fillId="15" borderId="170" xfId="0" applyFont="1" applyFill="1" applyBorder="1" applyAlignment="1" applyProtection="1">
      <alignment horizontal="center" vertical="top"/>
    </xf>
    <xf numFmtId="0" fontId="34" fillId="15" borderId="170" xfId="0" applyFont="1" applyFill="1" applyBorder="1" applyAlignment="1" applyProtection="1">
      <alignment vertical="top"/>
    </xf>
    <xf numFmtId="0" fontId="35" fillId="15" borderId="170" xfId="0" applyFont="1" applyFill="1" applyBorder="1" applyAlignment="1" applyProtection="1">
      <alignment vertical="top"/>
    </xf>
    <xf numFmtId="0" fontId="0" fillId="15" borderId="170" xfId="0" applyFill="1" applyBorder="1" applyAlignment="1" applyProtection="1">
      <alignment vertical="top"/>
    </xf>
    <xf numFmtId="0" fontId="0" fillId="15" borderId="170" xfId="0" applyFill="1" applyBorder="1" applyAlignment="1" applyProtection="1">
      <alignment horizontal="left" vertical="top"/>
    </xf>
    <xf numFmtId="0" fontId="48" fillId="25" borderId="0" xfId="0" applyFont="1" applyFill="1" applyBorder="1" applyAlignment="1" applyProtection="1">
      <alignment vertical="top"/>
    </xf>
    <xf numFmtId="0" fontId="46" fillId="7" borderId="0" xfId="0" applyFont="1" applyFill="1" applyBorder="1" applyAlignment="1" applyProtection="1">
      <alignment horizontal="center" vertical="top"/>
    </xf>
    <xf numFmtId="0" fontId="46" fillId="7" borderId="0" xfId="0" applyFont="1" applyFill="1" applyBorder="1" applyAlignment="1" applyProtection="1">
      <alignment vertical="top"/>
    </xf>
    <xf numFmtId="0" fontId="48" fillId="7" borderId="0" xfId="0" applyFont="1" applyFill="1" applyBorder="1" applyAlignment="1" applyProtection="1">
      <alignment vertical="top"/>
    </xf>
    <xf numFmtId="0" fontId="48" fillId="7" borderId="0" xfId="0" applyFont="1" applyFill="1" applyBorder="1" applyAlignment="1" applyProtection="1">
      <alignment horizontal="left" vertical="top"/>
    </xf>
    <xf numFmtId="0" fontId="4" fillId="5" borderId="12" xfId="0" applyFont="1" applyFill="1" applyBorder="1" applyAlignment="1" applyProtection="1">
      <alignment horizontal="center" vertical="top"/>
    </xf>
    <xf numFmtId="0" fontId="4" fillId="5" borderId="12" xfId="0" applyFont="1" applyFill="1" applyBorder="1" applyAlignment="1" applyProtection="1">
      <alignment horizontal="center" vertical="top" wrapText="1"/>
    </xf>
    <xf numFmtId="0" fontId="32" fillId="4" borderId="0" xfId="0" applyFont="1" applyFill="1" applyBorder="1" applyAlignment="1" applyProtection="1">
      <alignment horizontal="left" vertical="center" wrapText="1"/>
    </xf>
    <xf numFmtId="0" fontId="0" fillId="7" borderId="19" xfId="0" applyFill="1" applyBorder="1" applyAlignment="1" applyProtection="1">
      <alignment vertical="center"/>
    </xf>
    <xf numFmtId="0" fontId="36" fillId="4" borderId="0" xfId="0" applyFont="1" applyFill="1" applyBorder="1" applyAlignment="1" applyProtection="1">
      <alignment horizontal="left" vertical="center" wrapText="1"/>
    </xf>
    <xf numFmtId="0" fontId="0" fillId="7" borderId="12" xfId="0" applyFill="1" applyBorder="1" applyAlignment="1" applyProtection="1">
      <alignment vertical="center"/>
    </xf>
    <xf numFmtId="0" fontId="0" fillId="0" borderId="12" xfId="0" applyFill="1" applyBorder="1" applyAlignment="1" applyProtection="1">
      <alignment vertical="center"/>
    </xf>
    <xf numFmtId="0" fontId="16" fillId="0" borderId="13" xfId="0" applyFont="1" applyFill="1" applyBorder="1" applyAlignment="1" applyProtection="1">
      <alignment horizontal="center" vertical="center" wrapText="1"/>
    </xf>
    <xf numFmtId="168" fontId="16" fillId="8" borderId="12" xfId="3" applyNumberFormat="1" applyFont="1" applyFill="1" applyBorder="1" applyAlignment="1" applyProtection="1">
      <alignment horizontal="right" vertical="center"/>
    </xf>
    <xf numFmtId="10" fontId="0" fillId="25" borderId="0" xfId="5" applyNumberFormat="1" applyFont="1" applyFill="1" applyBorder="1" applyAlignment="1" applyProtection="1">
      <alignment vertical="top"/>
    </xf>
    <xf numFmtId="0" fontId="48" fillId="7" borderId="0" xfId="0" applyFont="1" applyFill="1" applyBorder="1" applyAlignment="1" applyProtection="1">
      <alignment vertical="top" wrapText="1"/>
    </xf>
    <xf numFmtId="0" fontId="65" fillId="7" borderId="0" xfId="0" applyFont="1" applyFill="1" applyBorder="1" applyAlignment="1" applyProtection="1">
      <alignment vertical="top" wrapText="1"/>
    </xf>
    <xf numFmtId="0" fontId="48" fillId="7" borderId="0" xfId="0" applyFont="1" applyFill="1" applyBorder="1" applyAlignment="1" applyProtection="1">
      <alignment horizontal="left" vertical="top" wrapText="1"/>
    </xf>
    <xf numFmtId="0" fontId="39" fillId="4" borderId="0" xfId="0" applyFont="1" applyFill="1" applyBorder="1" applyAlignment="1" applyProtection="1">
      <alignment horizontal="center" vertical="top"/>
    </xf>
    <xf numFmtId="0" fontId="4" fillId="5" borderId="12" xfId="0" applyFont="1" applyFill="1" applyBorder="1" applyAlignment="1" applyProtection="1">
      <alignment horizontal="center" vertical="center" wrapText="1"/>
    </xf>
    <xf numFmtId="0" fontId="16" fillId="7" borderId="12" xfId="0" applyFont="1" applyFill="1" applyBorder="1" applyAlignment="1" applyProtection="1">
      <alignment vertical="top"/>
    </xf>
    <xf numFmtId="0" fontId="16" fillId="4" borderId="0" xfId="0" applyFont="1" applyFill="1" applyBorder="1" applyAlignment="1" applyProtection="1">
      <alignment horizontal="left" vertical="top"/>
    </xf>
    <xf numFmtId="0" fontId="39" fillId="4" borderId="0" xfId="0" applyFont="1" applyFill="1" applyBorder="1" applyAlignment="1" applyProtection="1">
      <alignment vertical="top"/>
    </xf>
    <xf numFmtId="9" fontId="48" fillId="25" borderId="0" xfId="5" applyFont="1" applyFill="1" applyBorder="1" applyAlignment="1" applyProtection="1">
      <alignment vertical="top"/>
    </xf>
    <xf numFmtId="0" fontId="0" fillId="0" borderId="12" xfId="0" applyFill="1" applyBorder="1" applyAlignment="1" applyProtection="1">
      <alignment vertical="top"/>
    </xf>
    <xf numFmtId="0" fontId="0" fillId="0" borderId="12" xfId="0" applyFill="1" applyBorder="1" applyAlignment="1" applyProtection="1">
      <alignment horizontal="center" vertical="center" wrapText="1"/>
    </xf>
    <xf numFmtId="0" fontId="5" fillId="4" borderId="0" xfId="0" applyFont="1" applyFill="1" applyBorder="1" applyAlignment="1" applyProtection="1">
      <alignment horizontal="right" vertical="top"/>
    </xf>
    <xf numFmtId="0" fontId="11" fillId="4" borderId="0" xfId="0" applyFont="1" applyFill="1" applyBorder="1" applyAlignment="1" applyProtection="1">
      <alignment vertical="top"/>
    </xf>
    <xf numFmtId="0" fontId="47" fillId="4" borderId="0" xfId="0" applyFont="1" applyFill="1" applyBorder="1" applyAlignment="1" applyProtection="1">
      <alignment vertical="top"/>
    </xf>
    <xf numFmtId="0" fontId="0" fillId="7" borderId="12" xfId="0" applyFill="1" applyBorder="1" applyAlignment="1" applyProtection="1">
      <alignment vertical="top"/>
    </xf>
    <xf numFmtId="0" fontId="5" fillId="7" borderId="12" xfId="0" applyFont="1" applyFill="1" applyBorder="1" applyAlignment="1" applyProtection="1">
      <alignment vertical="top"/>
    </xf>
    <xf numFmtId="43" fontId="3" fillId="8" borderId="12" xfId="4" applyFont="1" applyFill="1" applyBorder="1" applyAlignment="1" applyProtection="1">
      <alignment horizontal="right" vertical="top"/>
    </xf>
    <xf numFmtId="0" fontId="0" fillId="7" borderId="12" xfId="0" applyFont="1" applyFill="1" applyBorder="1" applyAlignment="1" applyProtection="1">
      <alignment vertical="top"/>
    </xf>
    <xf numFmtId="0" fontId="38" fillId="4" borderId="0" xfId="0" applyFont="1" applyFill="1" applyBorder="1" applyAlignment="1" applyProtection="1">
      <alignment vertical="top"/>
    </xf>
    <xf numFmtId="0" fontId="33" fillId="4" borderId="0" xfId="0" applyFont="1" applyFill="1" applyBorder="1" applyAlignment="1" applyProtection="1">
      <alignment vertical="top"/>
    </xf>
    <xf numFmtId="0" fontId="0" fillId="7" borderId="12" xfId="0" applyFill="1" applyBorder="1" applyAlignment="1" applyProtection="1">
      <alignment horizontal="center" vertical="top"/>
    </xf>
    <xf numFmtId="0" fontId="13" fillId="4" borderId="0" xfId="0" applyFont="1" applyFill="1" applyBorder="1" applyAlignment="1" applyProtection="1">
      <alignment vertical="top"/>
    </xf>
    <xf numFmtId="43" fontId="3" fillId="8" borderId="12" xfId="2" applyFont="1" applyFill="1" applyBorder="1" applyAlignment="1" applyProtection="1">
      <alignment vertical="top"/>
    </xf>
    <xf numFmtId="43" fontId="0" fillId="4" borderId="0" xfId="0" applyNumberFormat="1" applyFill="1" applyBorder="1" applyAlignment="1" applyProtection="1">
      <alignment vertical="top"/>
    </xf>
    <xf numFmtId="0" fontId="16" fillId="4" borderId="0" xfId="0" applyFont="1" applyFill="1" applyBorder="1" applyAlignment="1" applyProtection="1">
      <alignment vertical="top"/>
    </xf>
    <xf numFmtId="0" fontId="48" fillId="4" borderId="0" xfId="0" applyFont="1" applyFill="1" applyBorder="1" applyAlignment="1" applyProtection="1">
      <alignment horizontal="left" vertical="top"/>
    </xf>
    <xf numFmtId="0" fontId="0" fillId="7" borderId="12" xfId="0" applyFill="1" applyBorder="1" applyAlignment="1" applyProtection="1">
      <alignment horizontal="right" vertical="center"/>
    </xf>
    <xf numFmtId="0" fontId="0" fillId="7" borderId="12" xfId="0" applyFill="1" applyBorder="1" applyAlignment="1" applyProtection="1">
      <alignment horizontal="center" vertical="center"/>
    </xf>
    <xf numFmtId="0" fontId="16" fillId="4" borderId="0" xfId="0" applyFont="1" applyFill="1" applyBorder="1" applyAlignment="1" applyProtection="1">
      <alignment horizontal="left" vertical="top" wrapText="1"/>
    </xf>
    <xf numFmtId="43" fontId="0" fillId="25" borderId="0" xfId="0" applyNumberFormat="1" applyFill="1" applyBorder="1" applyAlignment="1" applyProtection="1">
      <alignment vertical="top"/>
    </xf>
    <xf numFmtId="0" fontId="4" fillId="5" borderId="12" xfId="0" applyFont="1" applyFill="1" applyBorder="1" applyAlignment="1" applyProtection="1">
      <alignment horizontal="center" vertical="center"/>
    </xf>
    <xf numFmtId="0" fontId="5" fillId="0" borderId="12" xfId="0" applyFont="1" applyFill="1" applyBorder="1" applyAlignment="1" applyProtection="1">
      <alignment vertical="top"/>
    </xf>
    <xf numFmtId="0" fontId="0" fillId="4" borderId="0" xfId="0" applyFill="1" applyBorder="1" applyAlignment="1" applyProtection="1">
      <alignment horizontal="right" vertical="top"/>
    </xf>
    <xf numFmtId="167" fontId="16" fillId="4" borderId="16" xfId="2" applyNumberFormat="1" applyFont="1" applyFill="1" applyBorder="1" applyAlignment="1" applyProtection="1">
      <alignment vertical="top"/>
    </xf>
    <xf numFmtId="167" fontId="16" fillId="4" borderId="17" xfId="2" applyNumberFormat="1" applyFont="1" applyFill="1" applyBorder="1" applyAlignment="1" applyProtection="1">
      <alignment vertical="top"/>
    </xf>
    <xf numFmtId="167" fontId="16" fillId="4" borderId="19" xfId="2" applyNumberFormat="1" applyFont="1" applyFill="1" applyBorder="1" applyAlignment="1" applyProtection="1">
      <alignment vertical="top"/>
    </xf>
    <xf numFmtId="167" fontId="16" fillId="4" borderId="12" xfId="2" applyNumberFormat="1" applyFont="1" applyFill="1" applyBorder="1" applyAlignment="1" applyProtection="1">
      <alignment vertical="top"/>
    </xf>
    <xf numFmtId="0" fontId="5" fillId="4" borderId="0" xfId="0" applyFont="1" applyFill="1" applyBorder="1" applyAlignment="1" applyProtection="1">
      <alignment horizontal="center" vertical="top"/>
    </xf>
    <xf numFmtId="167" fontId="5" fillId="8" borderId="12" xfId="2" applyNumberFormat="1" applyFont="1" applyFill="1" applyBorder="1" applyAlignment="1" applyProtection="1">
      <alignment vertical="top"/>
    </xf>
    <xf numFmtId="0" fontId="5" fillId="4" borderId="0" xfId="0" applyFont="1" applyFill="1" applyBorder="1" applyAlignment="1" applyProtection="1">
      <alignment horizontal="left" vertical="top"/>
    </xf>
    <xf numFmtId="0" fontId="5" fillId="25" borderId="0" xfId="0" applyFont="1" applyFill="1" applyBorder="1" applyAlignment="1" applyProtection="1">
      <alignment vertical="top"/>
    </xf>
    <xf numFmtId="0" fontId="0" fillId="7" borderId="12" xfId="0" applyFont="1" applyFill="1" applyBorder="1" applyAlignment="1" applyProtection="1">
      <alignment horizontal="right" vertical="center"/>
    </xf>
    <xf numFmtId="167" fontId="0" fillId="4" borderId="0" xfId="0" applyNumberFormat="1" applyFill="1" applyBorder="1" applyAlignment="1" applyProtection="1">
      <alignment horizontal="left" vertical="top"/>
    </xf>
    <xf numFmtId="9" fontId="0" fillId="4" borderId="0" xfId="0" applyNumberFormat="1" applyFill="1" applyBorder="1" applyAlignment="1" applyProtection="1">
      <alignment vertical="top"/>
    </xf>
    <xf numFmtId="0" fontId="16" fillId="4" borderId="0" xfId="0" applyFont="1" applyFill="1" applyBorder="1" applyAlignment="1" applyProtection="1">
      <alignment horizontal="center" vertical="top"/>
    </xf>
    <xf numFmtId="0" fontId="48" fillId="7" borderId="0" xfId="0" applyFont="1" applyFill="1" applyBorder="1" applyAlignment="1" applyProtection="1">
      <alignment horizontal="center" vertical="top"/>
    </xf>
    <xf numFmtId="0" fontId="11" fillId="4" borderId="0" xfId="0" applyFont="1" applyFill="1" applyBorder="1" applyAlignment="1" applyProtection="1">
      <alignment horizontal="right" vertical="top"/>
    </xf>
    <xf numFmtId="0" fontId="0" fillId="7" borderId="57" xfId="0" applyFill="1" applyBorder="1" applyAlignment="1" applyProtection="1">
      <alignment vertical="top"/>
    </xf>
    <xf numFmtId="0" fontId="5" fillId="7" borderId="14" xfId="0" applyFont="1" applyFill="1" applyBorder="1" applyAlignment="1" applyProtection="1">
      <alignment vertical="top"/>
    </xf>
    <xf numFmtId="0" fontId="40" fillId="4" borderId="0" xfId="0" applyFont="1" applyFill="1" applyBorder="1" applyAlignment="1" applyProtection="1">
      <alignment vertical="top" wrapText="1"/>
    </xf>
    <xf numFmtId="0" fontId="21" fillId="4" borderId="0" xfId="0" applyFont="1" applyFill="1" applyBorder="1" applyAlignment="1" applyProtection="1">
      <alignment horizontal="right" vertical="top"/>
    </xf>
    <xf numFmtId="0" fontId="21" fillId="4" borderId="0" xfId="0" applyFont="1" applyFill="1" applyBorder="1" applyAlignment="1" applyProtection="1">
      <alignment horizontal="left" vertical="top"/>
    </xf>
    <xf numFmtId="0" fontId="21" fillId="25" borderId="0" xfId="0" applyFont="1" applyFill="1" applyBorder="1" applyAlignment="1" applyProtection="1">
      <alignment vertical="top"/>
    </xf>
    <xf numFmtId="0" fontId="0" fillId="7" borderId="12" xfId="0" applyFill="1" applyBorder="1" applyAlignment="1" applyProtection="1">
      <alignment horizontal="center" vertical="top" wrapText="1"/>
    </xf>
    <xf numFmtId="0" fontId="4" fillId="5" borderId="13" xfId="0" applyFont="1" applyFill="1" applyBorder="1" applyAlignment="1" applyProtection="1">
      <alignment horizontal="center" vertical="center"/>
    </xf>
    <xf numFmtId="0" fontId="16" fillId="7" borderId="13" xfId="0" applyFont="1" applyFill="1" applyBorder="1" applyAlignment="1" applyProtection="1">
      <alignment vertical="top" wrapText="1"/>
    </xf>
    <xf numFmtId="167" fontId="16" fillId="4" borderId="13" xfId="2" applyNumberFormat="1" applyFont="1" applyFill="1" applyBorder="1" applyAlignment="1" applyProtection="1">
      <alignment vertical="top"/>
    </xf>
    <xf numFmtId="0" fontId="11" fillId="7" borderId="13" xfId="0" applyFont="1" applyFill="1" applyBorder="1" applyAlignment="1" applyProtection="1">
      <alignment vertical="top" wrapText="1"/>
    </xf>
    <xf numFmtId="167" fontId="11" fillId="8" borderId="12" xfId="2" applyNumberFormat="1" applyFont="1" applyFill="1" applyBorder="1" applyAlignment="1" applyProtection="1">
      <alignment vertical="top"/>
    </xf>
    <xf numFmtId="0" fontId="16" fillId="7" borderId="12" xfId="0" applyFont="1" applyFill="1" applyBorder="1" applyAlignment="1" applyProtection="1">
      <alignment horizontal="center" vertical="center"/>
    </xf>
    <xf numFmtId="169" fontId="48" fillId="25" borderId="0" xfId="0" applyNumberFormat="1" applyFont="1" applyFill="1" applyBorder="1" applyAlignment="1" applyProtection="1">
      <alignment vertical="top"/>
    </xf>
    <xf numFmtId="0" fontId="16" fillId="7" borderId="12" xfId="0" applyFont="1" applyFill="1" applyBorder="1" applyAlignment="1" applyProtection="1">
      <alignment vertical="center"/>
    </xf>
    <xf numFmtId="43" fontId="0" fillId="4" borderId="0" xfId="4" applyFont="1" applyFill="1" applyBorder="1" applyAlignment="1" applyProtection="1">
      <alignment horizontal="center" vertical="top"/>
    </xf>
    <xf numFmtId="0" fontId="11" fillId="4" borderId="0" xfId="0" applyFont="1" applyFill="1" applyBorder="1" applyAlignment="1" applyProtection="1">
      <alignment horizontal="left" vertical="top"/>
    </xf>
    <xf numFmtId="0" fontId="48" fillId="25" borderId="0" xfId="0" applyFont="1" applyFill="1" applyBorder="1" applyAlignment="1" applyProtection="1">
      <alignment horizontal="center" vertical="center"/>
    </xf>
    <xf numFmtId="0" fontId="0" fillId="4" borderId="0" xfId="0" applyFont="1" applyFill="1" applyBorder="1" applyAlignment="1" applyProtection="1">
      <alignment vertical="top"/>
    </xf>
    <xf numFmtId="0" fontId="0" fillId="4" borderId="0" xfId="0" applyFont="1" applyFill="1" applyBorder="1" applyAlignment="1" applyProtection="1">
      <alignment horizontal="center" vertical="top"/>
    </xf>
    <xf numFmtId="0" fontId="0" fillId="7" borderId="12" xfId="0" applyFont="1" applyFill="1" applyBorder="1" applyAlignment="1" applyProtection="1">
      <alignment vertical="center"/>
    </xf>
    <xf numFmtId="167" fontId="0" fillId="8" borderId="12" xfId="2" applyNumberFormat="1" applyFont="1" applyFill="1" applyBorder="1" applyAlignment="1" applyProtection="1">
      <alignment vertical="center"/>
    </xf>
    <xf numFmtId="167" fontId="0" fillId="8" borderId="12" xfId="4" applyNumberFormat="1" applyFont="1" applyFill="1" applyBorder="1" applyAlignment="1" applyProtection="1">
      <alignment vertical="center"/>
    </xf>
    <xf numFmtId="0" fontId="0" fillId="7" borderId="16" xfId="0" applyFill="1" applyBorder="1" applyAlignment="1" applyProtection="1">
      <alignment vertical="center"/>
    </xf>
    <xf numFmtId="0" fontId="0" fillId="7" borderId="41" xfId="0" applyFill="1" applyBorder="1" applyAlignment="1" applyProtection="1">
      <alignment vertical="top" wrapText="1"/>
    </xf>
    <xf numFmtId="0" fontId="0" fillId="7" borderId="17" xfId="0" applyFill="1" applyBorder="1" applyAlignment="1" applyProtection="1">
      <alignment vertical="center"/>
    </xf>
    <xf numFmtId="0" fontId="0" fillId="7" borderId="49" xfId="0" applyFill="1" applyBorder="1" applyAlignment="1" applyProtection="1">
      <alignment horizontal="left" vertical="top" wrapText="1"/>
    </xf>
    <xf numFmtId="0" fontId="21" fillId="7" borderId="50" xfId="0" applyFont="1" applyFill="1" applyBorder="1" applyAlignment="1" applyProtection="1">
      <alignment horizontal="right" vertical="top" wrapText="1" indent="1"/>
    </xf>
    <xf numFmtId="0" fontId="0" fillId="7" borderId="75" xfId="0" applyFill="1" applyBorder="1" applyAlignment="1" applyProtection="1">
      <alignment horizontal="left" vertical="top" wrapText="1"/>
    </xf>
    <xf numFmtId="0" fontId="21" fillId="7" borderId="79" xfId="0" applyFont="1" applyFill="1" applyBorder="1" applyAlignment="1" applyProtection="1">
      <alignment horizontal="right" vertical="top" wrapText="1" indent="1"/>
    </xf>
    <xf numFmtId="167" fontId="16" fillId="8" borderId="114" xfId="2" applyNumberFormat="1" applyFont="1" applyFill="1" applyBorder="1" applyAlignment="1" applyProtection="1">
      <alignment vertical="center"/>
    </xf>
    <xf numFmtId="0" fontId="188" fillId="4" borderId="0" xfId="0" applyFont="1" applyFill="1" applyBorder="1" applyAlignment="1" applyProtection="1">
      <alignment vertical="top"/>
    </xf>
    <xf numFmtId="0" fontId="0" fillId="7" borderId="12" xfId="0" applyFill="1" applyBorder="1" applyAlignment="1" applyProtection="1">
      <alignment horizontal="center" vertical="center" wrapText="1"/>
    </xf>
    <xf numFmtId="0" fontId="45" fillId="4" borderId="0" xfId="0" applyFont="1" applyFill="1" applyBorder="1" applyAlignment="1" applyProtection="1">
      <alignment vertical="top"/>
    </xf>
    <xf numFmtId="0" fontId="45" fillId="4" borderId="0" xfId="0" applyFont="1" applyFill="1" applyBorder="1" applyAlignment="1" applyProtection="1">
      <alignment horizontal="center" vertical="top"/>
    </xf>
    <xf numFmtId="9" fontId="0" fillId="25" borderId="0" xfId="5" applyFont="1" applyFill="1" applyBorder="1" applyAlignment="1" applyProtection="1">
      <alignment vertical="top"/>
    </xf>
    <xf numFmtId="0" fontId="0" fillId="4" borderId="0" xfId="0" applyFill="1" applyBorder="1" applyAlignment="1" applyProtection="1">
      <alignment horizontal="center" vertical="center"/>
    </xf>
    <xf numFmtId="0" fontId="39" fillId="4" borderId="0" xfId="0" applyFont="1" applyFill="1" applyBorder="1" applyAlignment="1" applyProtection="1">
      <alignment horizontal="center" vertical="center"/>
    </xf>
    <xf numFmtId="0" fontId="39" fillId="4" borderId="0" xfId="0" applyFont="1" applyFill="1" applyBorder="1" applyAlignment="1" applyProtection="1">
      <alignment horizontal="left" vertical="top"/>
    </xf>
    <xf numFmtId="0" fontId="39" fillId="25" borderId="0" xfId="0" applyFont="1" applyFill="1" applyBorder="1" applyAlignment="1" applyProtection="1">
      <alignment vertical="top"/>
    </xf>
    <xf numFmtId="43" fontId="16" fillId="8" borderId="12" xfId="4" applyNumberFormat="1" applyFont="1" applyFill="1" applyBorder="1" applyAlignment="1" applyProtection="1">
      <alignment vertical="top"/>
    </xf>
    <xf numFmtId="0" fontId="205" fillId="4" borderId="0" xfId="0" applyFont="1" applyFill="1" applyBorder="1" applyAlignment="1" applyProtection="1">
      <alignment vertical="top"/>
    </xf>
    <xf numFmtId="0" fontId="16" fillId="7" borderId="12" xfId="0" applyFont="1" applyFill="1" applyBorder="1" applyAlignment="1" applyProtection="1">
      <alignment horizontal="center" vertical="top"/>
    </xf>
    <xf numFmtId="9" fontId="3" fillId="8" borderId="12" xfId="5" applyFont="1" applyFill="1" applyBorder="1" applyAlignment="1" applyProtection="1">
      <alignment horizontal="right" vertical="top"/>
    </xf>
    <xf numFmtId="0" fontId="0" fillId="0" borderId="12" xfId="0" applyFill="1" applyBorder="1" applyAlignment="1" applyProtection="1">
      <alignment horizontal="center" vertical="top"/>
    </xf>
    <xf numFmtId="0" fontId="16" fillId="0" borderId="12" xfId="0" applyFont="1" applyFill="1" applyBorder="1" applyAlignment="1" applyProtection="1">
      <alignment horizontal="center" vertical="top"/>
    </xf>
    <xf numFmtId="0" fontId="16" fillId="0" borderId="12" xfId="0" applyFont="1" applyFill="1" applyBorder="1" applyAlignment="1" applyProtection="1">
      <alignment vertical="top"/>
    </xf>
    <xf numFmtId="0" fontId="12" fillId="4" borderId="0" xfId="0" applyFont="1" applyFill="1" applyBorder="1" applyAlignment="1" applyProtection="1">
      <alignment horizontal="center" vertical="top"/>
    </xf>
    <xf numFmtId="0" fontId="0" fillId="25" borderId="0" xfId="0" applyFill="1" applyAlignment="1" applyProtection="1">
      <alignment horizontal="center" vertical="top"/>
    </xf>
    <xf numFmtId="0" fontId="0" fillId="25" borderId="0" xfId="0" applyFill="1" applyAlignment="1" applyProtection="1">
      <alignment horizontal="left" vertical="top"/>
    </xf>
    <xf numFmtId="0" fontId="0" fillId="25" borderId="0" xfId="0" applyFill="1" applyBorder="1" applyAlignment="1" applyProtection="1">
      <alignment horizontal="center" vertical="top"/>
    </xf>
    <xf numFmtId="0" fontId="0" fillId="25" borderId="0" xfId="0" applyFill="1" applyBorder="1" applyAlignment="1" applyProtection="1">
      <alignment horizontal="left" vertical="top"/>
    </xf>
    <xf numFmtId="0" fontId="84" fillId="7" borderId="109" xfId="0" applyFont="1" applyFill="1" applyBorder="1" applyAlignment="1" applyProtection="1">
      <alignment horizontal="center" vertical="top"/>
    </xf>
    <xf numFmtId="0" fontId="132" fillId="2" borderId="0" xfId="0" applyFont="1" applyFill="1" applyBorder="1" applyAlignment="1" applyProtection="1">
      <alignment vertical="center"/>
    </xf>
    <xf numFmtId="0" fontId="34" fillId="15" borderId="205" xfId="0" applyFont="1" applyFill="1" applyBorder="1" applyAlignment="1" applyProtection="1">
      <alignment vertical="top"/>
    </xf>
    <xf numFmtId="0" fontId="0" fillId="7" borderId="12" xfId="0" applyFill="1" applyBorder="1" applyAlignment="1" applyProtection="1">
      <alignment vertical="top" wrapText="1"/>
    </xf>
    <xf numFmtId="0" fontId="15" fillId="4" borderId="0" xfId="0" applyFont="1" applyFill="1" applyBorder="1" applyAlignment="1" applyProtection="1">
      <alignment vertical="top"/>
    </xf>
    <xf numFmtId="0" fontId="15" fillId="4" borderId="0" xfId="0" applyFont="1" applyFill="1" applyBorder="1" applyAlignment="1" applyProtection="1">
      <alignment vertical="top" wrapText="1"/>
    </xf>
    <xf numFmtId="0" fontId="49" fillId="7" borderId="0" xfId="0" applyFont="1" applyFill="1" applyBorder="1" applyAlignment="1" applyProtection="1">
      <alignment vertical="top" wrapText="1"/>
    </xf>
    <xf numFmtId="0" fontId="0" fillId="25" borderId="0" xfId="0" applyFill="1" applyAlignment="1" applyProtection="1">
      <alignment vertical="top"/>
    </xf>
    <xf numFmtId="43" fontId="16" fillId="8" borderId="12" xfId="4" applyFont="1" applyFill="1" applyBorder="1" applyAlignment="1" applyProtection="1">
      <alignment horizontal="center" vertical="center" wrapText="1"/>
    </xf>
    <xf numFmtId="0" fontId="0" fillId="4" borderId="0" xfId="0" applyFill="1" applyBorder="1" applyAlignment="1" applyProtection="1">
      <alignment vertical="top" wrapText="1"/>
    </xf>
    <xf numFmtId="0" fontId="47" fillId="4" borderId="0" xfId="0" applyFont="1" applyFill="1" applyBorder="1" applyAlignment="1" applyProtection="1">
      <alignment vertical="top" wrapText="1"/>
    </xf>
    <xf numFmtId="0" fontId="50" fillId="4" borderId="0" xfId="0" applyFont="1" applyFill="1" applyBorder="1" applyAlignment="1" applyProtection="1">
      <alignment horizontal="right" vertical="top"/>
    </xf>
    <xf numFmtId="0" fontId="0" fillId="25" borderId="0" xfId="0" applyFill="1" applyBorder="1" applyAlignment="1" applyProtection="1">
      <alignment vertical="top" wrapText="1"/>
    </xf>
    <xf numFmtId="0" fontId="0" fillId="7" borderId="15" xfId="0" applyFill="1" applyBorder="1" applyAlignment="1" applyProtection="1">
      <alignment vertical="top" wrapText="1"/>
    </xf>
    <xf numFmtId="0" fontId="0" fillId="25" borderId="0" xfId="0" applyFill="1" applyAlignment="1" applyProtection="1">
      <alignment vertical="top" wrapText="1"/>
    </xf>
    <xf numFmtId="0" fontId="0" fillId="7" borderId="16" xfId="0" applyFill="1" applyBorder="1" applyAlignment="1" applyProtection="1">
      <alignment vertical="top"/>
    </xf>
    <xf numFmtId="0" fontId="0" fillId="7" borderId="19" xfId="0" applyFill="1" applyBorder="1" applyAlignment="1" applyProtection="1">
      <alignment vertical="top"/>
    </xf>
    <xf numFmtId="0" fontId="18" fillId="7" borderId="79" xfId="0" applyFont="1" applyFill="1" applyBorder="1" applyAlignment="1" applyProtection="1">
      <alignment horizontal="left" vertical="top" wrapText="1"/>
    </xf>
    <xf numFmtId="0" fontId="5" fillId="7" borderId="15" xfId="0" applyFont="1" applyFill="1" applyBorder="1" applyAlignment="1" applyProtection="1">
      <alignment vertical="top" wrapText="1"/>
    </xf>
    <xf numFmtId="0" fontId="0" fillId="7" borderId="12" xfId="0" applyFill="1" applyBorder="1" applyAlignment="1" applyProtection="1">
      <alignment wrapText="1"/>
    </xf>
    <xf numFmtId="0" fontId="5" fillId="7" borderId="12" xfId="0" applyFont="1" applyFill="1" applyBorder="1" applyAlignment="1" applyProtection="1">
      <alignment wrapText="1"/>
    </xf>
    <xf numFmtId="43" fontId="16" fillId="8" borderId="12" xfId="0" applyNumberFormat="1" applyFont="1" applyFill="1" applyBorder="1" applyAlignment="1" applyProtection="1">
      <alignment vertical="top"/>
    </xf>
    <xf numFmtId="43" fontId="16" fillId="8" borderId="13" xfId="0" applyNumberFormat="1" applyFont="1" applyFill="1" applyBorder="1" applyAlignment="1" applyProtection="1">
      <alignment vertical="top"/>
    </xf>
    <xf numFmtId="0" fontId="0" fillId="7" borderId="12" xfId="0" applyFill="1" applyBorder="1" applyAlignment="1" applyProtection="1">
      <alignment horizontal="left" vertical="top" wrapText="1"/>
    </xf>
    <xf numFmtId="0" fontId="5" fillId="7" borderId="12" xfId="0" applyFont="1" applyFill="1" applyBorder="1" applyAlignment="1" applyProtection="1">
      <alignment vertical="top" wrapText="1"/>
    </xf>
    <xf numFmtId="167" fontId="16" fillId="8" borderId="12" xfId="4" applyNumberFormat="1" applyFont="1" applyFill="1" applyBorder="1" applyAlignment="1" applyProtection="1">
      <alignment vertical="top"/>
    </xf>
    <xf numFmtId="167" fontId="16" fillId="8" borderId="13" xfId="4" applyNumberFormat="1" applyFont="1" applyFill="1" applyBorder="1" applyAlignment="1" applyProtection="1">
      <alignment vertical="top"/>
    </xf>
    <xf numFmtId="0" fontId="16" fillId="7" borderId="12" xfId="0" applyFont="1" applyFill="1" applyBorder="1" applyAlignment="1" applyProtection="1">
      <alignment wrapText="1"/>
    </xf>
    <xf numFmtId="0" fontId="39" fillId="25" borderId="0" xfId="0" applyFont="1" applyFill="1" applyAlignment="1" applyProtection="1">
      <alignment vertical="top"/>
    </xf>
    <xf numFmtId="0" fontId="16" fillId="0" borderId="13" xfId="0" applyFont="1" applyFill="1" applyBorder="1" applyAlignment="1" applyProtection="1">
      <alignment vertical="center" wrapText="1"/>
    </xf>
    <xf numFmtId="43" fontId="16" fillId="22" borderId="12" xfId="0" applyNumberFormat="1" applyFont="1" applyFill="1" applyBorder="1" applyAlignment="1" applyProtection="1">
      <alignment vertical="top"/>
    </xf>
    <xf numFmtId="0" fontId="0" fillId="7" borderId="16" xfId="0" applyFill="1" applyBorder="1" applyAlignment="1" applyProtection="1">
      <alignment vertical="top" wrapText="1"/>
    </xf>
    <xf numFmtId="9" fontId="0" fillId="4" borderId="0" xfId="3" applyFont="1" applyFill="1" applyBorder="1" applyAlignment="1" applyProtection="1">
      <alignment vertical="top"/>
    </xf>
    <xf numFmtId="0" fontId="89" fillId="4" borderId="0" xfId="0" applyFont="1" applyFill="1" applyBorder="1" applyAlignment="1" applyProtection="1">
      <alignment horizontal="right" vertical="top"/>
    </xf>
    <xf numFmtId="43" fontId="16" fillId="8" borderId="12" xfId="4" applyFont="1" applyFill="1" applyBorder="1" applyAlignment="1" applyProtection="1">
      <alignment vertical="top"/>
    </xf>
    <xf numFmtId="43" fontId="16" fillId="8" borderId="13" xfId="4" applyFont="1" applyFill="1" applyBorder="1" applyAlignment="1" applyProtection="1">
      <alignment vertical="top"/>
    </xf>
    <xf numFmtId="0" fontId="0" fillId="7" borderId="13" xfId="0" applyFill="1" applyBorder="1" applyAlignment="1" applyProtection="1">
      <alignment vertical="top" wrapText="1"/>
    </xf>
    <xf numFmtId="0" fontId="0" fillId="25" borderId="0" xfId="0" applyFill="1" applyAlignment="1" applyProtection="1">
      <alignment wrapText="1"/>
    </xf>
    <xf numFmtId="0" fontId="16" fillId="27" borderId="14" xfId="0" applyFont="1" applyFill="1" applyBorder="1" applyAlignment="1">
      <alignment vertical="top" wrapText="1"/>
    </xf>
    <xf numFmtId="0" fontId="0" fillId="27" borderId="14" xfId="0" applyFill="1" applyBorder="1" applyAlignment="1">
      <alignment vertical="top" wrapText="1"/>
    </xf>
    <xf numFmtId="0" fontId="16" fillId="25" borderId="0" xfId="0" applyFont="1" applyFill="1" applyBorder="1" applyProtection="1"/>
    <xf numFmtId="0" fontId="112" fillId="26" borderId="90" xfId="0" applyFont="1" applyFill="1" applyBorder="1" applyAlignment="1" applyProtection="1"/>
    <xf numFmtId="0" fontId="102" fillId="25" borderId="94" xfId="0" applyFont="1" applyFill="1" applyBorder="1" applyAlignment="1" applyProtection="1">
      <alignment horizontal="center" vertical="center"/>
    </xf>
    <xf numFmtId="0" fontId="134" fillId="2" borderId="0" xfId="0" applyFont="1" applyFill="1" applyBorder="1" applyAlignment="1" applyProtection="1">
      <alignment vertical="center"/>
    </xf>
    <xf numFmtId="0" fontId="94" fillId="25" borderId="0" xfId="0" applyFont="1" applyFill="1" applyBorder="1" applyAlignment="1" applyProtection="1">
      <alignment vertical="center"/>
    </xf>
    <xf numFmtId="0" fontId="118" fillId="15" borderId="170" xfId="0" applyFont="1" applyFill="1" applyBorder="1" applyAlignment="1" applyProtection="1">
      <alignment horizontal="center" vertical="center" wrapText="1"/>
    </xf>
    <xf numFmtId="0" fontId="0" fillId="0" borderId="12" xfId="0" applyBorder="1" applyAlignment="1" applyProtection="1">
      <alignment horizontal="left" vertical="center" wrapText="1" indent="3"/>
    </xf>
    <xf numFmtId="9" fontId="0" fillId="0" borderId="12" xfId="0" applyNumberFormat="1" applyBorder="1" applyAlignment="1" applyProtection="1">
      <alignment horizontal="center" vertical="center"/>
    </xf>
    <xf numFmtId="1" fontId="0" fillId="0" borderId="12" xfId="0" applyNumberFormat="1" applyBorder="1" applyAlignment="1" applyProtection="1">
      <alignment horizontal="center" vertical="center"/>
    </xf>
    <xf numFmtId="2" fontId="0" fillId="0" borderId="12" xfId="0" applyNumberFormat="1" applyBorder="1" applyAlignment="1" applyProtection="1">
      <alignment horizontal="center" vertical="center"/>
    </xf>
    <xf numFmtId="0" fontId="0" fillId="12" borderId="20" xfId="0" applyFill="1" applyBorder="1" applyAlignment="1" applyProtection="1"/>
    <xf numFmtId="0" fontId="0" fillId="12" borderId="0" xfId="0" applyFill="1" applyBorder="1" applyAlignment="1" applyProtection="1"/>
    <xf numFmtId="0" fontId="0" fillId="12" borderId="15" xfId="0" applyFill="1" applyBorder="1" applyAlignment="1" applyProtection="1"/>
    <xf numFmtId="0" fontId="16" fillId="0" borderId="12" xfId="0" applyFont="1" applyBorder="1" applyAlignment="1" applyProtection="1">
      <alignment horizontal="left" vertical="center" wrapText="1" indent="3"/>
    </xf>
    <xf numFmtId="9" fontId="16" fillId="0" borderId="12" xfId="5" applyFont="1" applyBorder="1" applyAlignment="1" applyProtection="1">
      <alignment horizontal="center" vertical="center" wrapText="1"/>
    </xf>
    <xf numFmtId="0" fontId="72" fillId="24" borderId="14" xfId="0" applyFont="1" applyFill="1" applyBorder="1" applyAlignment="1" applyProtection="1">
      <alignment horizontal="right" vertical="center"/>
    </xf>
    <xf numFmtId="0" fontId="0" fillId="21" borderId="20" xfId="0" applyFill="1" applyBorder="1" applyAlignment="1" applyProtection="1"/>
    <xf numFmtId="0" fontId="0" fillId="21" borderId="0" xfId="0" applyFill="1" applyBorder="1" applyAlignment="1" applyProtection="1"/>
    <xf numFmtId="0" fontId="0" fillId="21" borderId="15" xfId="0" applyFill="1" applyBorder="1" applyAlignment="1" applyProtection="1"/>
    <xf numFmtId="0" fontId="0" fillId="25" borderId="0" xfId="0" applyFill="1" applyBorder="1" applyAlignment="1" applyProtection="1">
      <alignment horizontal="left" indent="1"/>
    </xf>
    <xf numFmtId="0" fontId="0" fillId="4" borderId="0" xfId="0" applyFill="1" applyBorder="1" applyAlignment="1" applyProtection="1">
      <alignment horizontal="left" indent="1"/>
    </xf>
    <xf numFmtId="0" fontId="72" fillId="33" borderId="14" xfId="0" applyFont="1" applyFill="1" applyBorder="1" applyAlignment="1" applyProtection="1">
      <alignment horizontal="right" vertical="center"/>
    </xf>
    <xf numFmtId="0" fontId="0" fillId="34" borderId="20" xfId="0" applyFill="1" applyBorder="1" applyAlignment="1" applyProtection="1"/>
    <xf numFmtId="0" fontId="0" fillId="34" borderId="0" xfId="0" applyFill="1" applyBorder="1" applyAlignment="1" applyProtection="1"/>
    <xf numFmtId="0" fontId="0" fillId="34" borderId="14" xfId="0" applyFill="1" applyBorder="1" applyAlignment="1" applyProtection="1"/>
    <xf numFmtId="0" fontId="0" fillId="34" borderId="15" xfId="0" applyFill="1" applyBorder="1" applyAlignment="1" applyProtection="1"/>
    <xf numFmtId="0" fontId="0" fillId="2" borderId="0" xfId="0" applyFill="1" applyProtection="1"/>
    <xf numFmtId="0" fontId="0" fillId="2" borderId="0" xfId="0" applyFill="1" applyBorder="1" applyProtection="1"/>
    <xf numFmtId="0" fontId="23" fillId="25" borderId="0" xfId="0" applyFont="1" applyFill="1" applyBorder="1" applyAlignment="1" applyProtection="1">
      <alignment vertical="center"/>
    </xf>
    <xf numFmtId="0" fontId="23" fillId="2" borderId="0" xfId="0" applyFont="1" applyFill="1" applyAlignment="1" applyProtection="1">
      <alignment vertical="center"/>
    </xf>
    <xf numFmtId="0" fontId="23" fillId="2" borderId="0" xfId="0" applyFont="1" applyFill="1" applyBorder="1" applyAlignment="1" applyProtection="1">
      <alignment vertical="center"/>
    </xf>
    <xf numFmtId="0" fontId="0" fillId="25" borderId="0" xfId="0" applyFill="1" applyBorder="1" applyAlignment="1" applyProtection="1">
      <alignment horizontal="left" vertical="center"/>
    </xf>
    <xf numFmtId="0" fontId="22" fillId="2" borderId="0" xfId="0" applyFont="1" applyFill="1" applyAlignment="1" applyProtection="1">
      <alignment horizontal="left" vertical="center"/>
    </xf>
    <xf numFmtId="0" fontId="0" fillId="2" borderId="0" xfId="0" applyFill="1" applyBorder="1" applyAlignment="1" applyProtection="1">
      <alignment horizontal="left" vertical="center"/>
    </xf>
    <xf numFmtId="0" fontId="22" fillId="2" borderId="0" xfId="0" applyFont="1" applyFill="1" applyAlignment="1" applyProtection="1">
      <alignment horizontal="left" vertical="center" wrapText="1"/>
    </xf>
    <xf numFmtId="0" fontId="0" fillId="2" borderId="0" xfId="0" applyFill="1" applyBorder="1" applyAlignment="1" applyProtection="1">
      <alignment horizontal="left" vertical="center" wrapText="1"/>
    </xf>
    <xf numFmtId="0" fontId="0" fillId="25" borderId="0" xfId="0" applyFill="1" applyBorder="1" applyAlignment="1" applyProtection="1">
      <alignment horizontal="left" vertical="center" wrapText="1"/>
    </xf>
    <xf numFmtId="0" fontId="0" fillId="2" borderId="0" xfId="0" applyFont="1" applyFill="1" applyProtection="1"/>
    <xf numFmtId="0" fontId="0" fillId="2" borderId="0" xfId="0" applyFont="1" applyFill="1" applyBorder="1" applyProtection="1"/>
    <xf numFmtId="0" fontId="0" fillId="25" borderId="0" xfId="0" applyFont="1" applyFill="1" applyBorder="1" applyProtection="1"/>
    <xf numFmtId="0" fontId="0" fillId="2" borderId="0" xfId="0" applyFont="1" applyFill="1" applyAlignment="1" applyProtection="1"/>
    <xf numFmtId="0" fontId="51" fillId="25" borderId="0" xfId="0" applyFont="1" applyFill="1" applyBorder="1" applyAlignment="1" applyProtection="1">
      <alignment horizontal="center" vertical="center"/>
      <protection locked="0"/>
    </xf>
    <xf numFmtId="0" fontId="0" fillId="26" borderId="0" xfId="0" applyFill="1" applyBorder="1" applyAlignment="1" applyProtection="1">
      <alignment horizontal="center"/>
    </xf>
    <xf numFmtId="0" fontId="84" fillId="7" borderId="94" xfId="0" applyFont="1" applyFill="1" applyBorder="1" applyAlignment="1" applyProtection="1">
      <alignment horizontal="center" vertical="top"/>
    </xf>
    <xf numFmtId="0" fontId="108" fillId="7" borderId="96" xfId="0" applyFont="1" applyFill="1" applyBorder="1" applyAlignment="1" applyProtection="1">
      <alignment vertical="center"/>
    </xf>
    <xf numFmtId="0" fontId="0" fillId="2" borderId="0" xfId="0" applyFill="1" applyAlignment="1" applyProtection="1">
      <alignment vertical="center"/>
    </xf>
    <xf numFmtId="0" fontId="0" fillId="4" borderId="0" xfId="0" applyFill="1" applyAlignment="1" applyProtection="1">
      <alignment horizontal="right"/>
    </xf>
    <xf numFmtId="0" fontId="125" fillId="15" borderId="0" xfId="0" applyFont="1" applyFill="1" applyBorder="1" applyAlignment="1" applyProtection="1">
      <alignment horizontal="center" vertical="center"/>
    </xf>
    <xf numFmtId="0" fontId="127" fillId="15" borderId="0" xfId="0" applyFont="1" applyFill="1" applyBorder="1" applyAlignment="1" applyProtection="1">
      <alignment vertical="center"/>
    </xf>
    <xf numFmtId="0" fontId="138" fillId="15" borderId="0" xfId="0" applyFont="1" applyFill="1" applyBorder="1" applyAlignment="1" applyProtection="1">
      <alignment horizontal="center" vertical="center" wrapText="1"/>
    </xf>
    <xf numFmtId="0" fontId="197" fillId="15" borderId="0" xfId="0" applyFont="1" applyFill="1" applyBorder="1" applyAlignment="1" applyProtection="1">
      <alignment horizontal="left" vertical="center"/>
    </xf>
    <xf numFmtId="0" fontId="126" fillId="15" borderId="0" xfId="0" applyFont="1" applyFill="1" applyBorder="1" applyAlignment="1" applyProtection="1">
      <alignment horizontal="center" vertical="center" wrapText="1"/>
    </xf>
    <xf numFmtId="0" fontId="24" fillId="7" borderId="12" xfId="0" applyFont="1" applyFill="1" applyBorder="1" applyAlignment="1" applyProtection="1">
      <alignment vertical="center"/>
    </xf>
    <xf numFmtId="0" fontId="0" fillId="7" borderId="0" xfId="0" applyFill="1" applyBorder="1" applyProtection="1"/>
    <xf numFmtId="0" fontId="215" fillId="7" borderId="40" xfId="0" applyFont="1" applyFill="1" applyBorder="1" applyAlignment="1" applyProtection="1">
      <alignment horizontal="right" vertical="center" indent="1"/>
    </xf>
    <xf numFmtId="0" fontId="4" fillId="31" borderId="28" xfId="0" applyFont="1" applyFill="1" applyBorder="1" applyAlignment="1" applyProtection="1">
      <alignment horizontal="center" vertical="center"/>
    </xf>
    <xf numFmtId="0" fontId="7" fillId="31" borderId="29" xfId="0" applyFont="1" applyFill="1" applyBorder="1" applyAlignment="1" applyProtection="1"/>
    <xf numFmtId="1" fontId="11" fillId="4" borderId="88" xfId="0" applyNumberFormat="1" applyFont="1" applyFill="1" applyBorder="1" applyAlignment="1" applyProtection="1">
      <alignment horizontal="center" vertical="center"/>
    </xf>
    <xf numFmtId="0" fontId="21" fillId="4" borderId="30" xfId="0" applyFont="1" applyFill="1" applyBorder="1" applyAlignment="1" applyProtection="1">
      <alignment horizontal="center" vertical="center"/>
    </xf>
    <xf numFmtId="0" fontId="0" fillId="45" borderId="0" xfId="0" applyFill="1" applyBorder="1" applyProtection="1"/>
    <xf numFmtId="0" fontId="0" fillId="45" borderId="218" xfId="0" applyFill="1" applyBorder="1" applyProtection="1"/>
    <xf numFmtId="0" fontId="0" fillId="47" borderId="228" xfId="0" applyFill="1" applyBorder="1" applyProtection="1"/>
    <xf numFmtId="0" fontId="0" fillId="47" borderId="0" xfId="0" applyFill="1" applyBorder="1" applyProtection="1"/>
    <xf numFmtId="0" fontId="0" fillId="4" borderId="0" xfId="0" applyFill="1" applyAlignment="1" applyProtection="1">
      <alignment horizontal="center" vertical="center"/>
    </xf>
    <xf numFmtId="0" fontId="0" fillId="7" borderId="31" xfId="0" applyFill="1" applyBorder="1" applyAlignment="1" applyProtection="1">
      <alignment horizontal="left" vertical="center" wrapText="1"/>
    </xf>
    <xf numFmtId="0" fontId="21" fillId="7" borderId="15" xfId="0" applyFont="1" applyFill="1" applyBorder="1" applyAlignment="1" applyProtection="1">
      <alignment horizontal="center" vertical="center"/>
    </xf>
    <xf numFmtId="1" fontId="0" fillId="4" borderId="14" xfId="0" applyNumberFormat="1" applyFont="1" applyFill="1" applyBorder="1" applyAlignment="1" applyProtection="1">
      <alignment horizontal="center" vertical="center"/>
    </xf>
    <xf numFmtId="0" fontId="21" fillId="4" borderId="35" xfId="0" applyFont="1" applyFill="1" applyBorder="1" applyAlignment="1" applyProtection="1">
      <alignment horizontal="center" vertical="center"/>
    </xf>
    <xf numFmtId="0" fontId="217" fillId="45" borderId="64" xfId="0" applyFont="1" applyFill="1" applyBorder="1" applyAlignment="1" applyProtection="1">
      <alignment horizontal="center" vertical="center"/>
    </xf>
    <xf numFmtId="0" fontId="217" fillId="45" borderId="219" xfId="0" applyFont="1" applyFill="1" applyBorder="1" applyAlignment="1" applyProtection="1">
      <alignment horizontal="center" vertical="center"/>
    </xf>
    <xf numFmtId="0" fontId="0" fillId="7" borderId="0" xfId="0" applyFill="1" applyBorder="1" applyAlignment="1" applyProtection="1">
      <alignment vertical="center"/>
    </xf>
    <xf numFmtId="9" fontId="220" fillId="45" borderId="65" xfId="5" applyFont="1" applyFill="1" applyBorder="1" applyAlignment="1" applyProtection="1">
      <alignment horizontal="center" vertical="center"/>
    </xf>
    <xf numFmtId="9" fontId="220" fillId="45" borderId="220" xfId="5" applyFont="1" applyFill="1" applyBorder="1" applyAlignment="1" applyProtection="1">
      <alignment horizontal="center" vertical="center"/>
    </xf>
    <xf numFmtId="0" fontId="21" fillId="7" borderId="15" xfId="0" applyFont="1" applyFill="1" applyBorder="1" applyAlignment="1" applyProtection="1">
      <alignment horizontal="right" vertical="center"/>
    </xf>
    <xf numFmtId="0" fontId="0" fillId="7" borderId="31" xfId="0" applyFill="1" applyBorder="1" applyAlignment="1" applyProtection="1">
      <alignment vertical="center" wrapText="1"/>
    </xf>
    <xf numFmtId="0" fontId="0" fillId="45" borderId="221" xfId="0" applyFill="1" applyBorder="1" applyProtection="1"/>
    <xf numFmtId="0" fontId="0" fillId="45" borderId="222" xfId="0" applyFill="1" applyBorder="1" applyProtection="1"/>
    <xf numFmtId="1" fontId="3" fillId="4" borderId="14" xfId="5" applyNumberFormat="1" applyFont="1" applyFill="1" applyBorder="1" applyAlignment="1" applyProtection="1">
      <alignment horizontal="center" vertical="center"/>
    </xf>
    <xf numFmtId="0" fontId="0" fillId="46" borderId="0" xfId="0" applyFill="1" applyBorder="1" applyProtection="1"/>
    <xf numFmtId="0" fontId="0" fillId="46" borderId="225" xfId="0" applyFill="1" applyBorder="1" applyProtection="1"/>
    <xf numFmtId="0" fontId="217" fillId="46" borderId="64" xfId="0" applyFont="1" applyFill="1" applyBorder="1" applyAlignment="1" applyProtection="1">
      <alignment horizontal="center" vertical="center"/>
    </xf>
    <xf numFmtId="0" fontId="217" fillId="46" borderId="226" xfId="0" applyFont="1" applyFill="1" applyBorder="1" applyAlignment="1" applyProtection="1">
      <alignment horizontal="center" vertical="center"/>
    </xf>
    <xf numFmtId="1" fontId="221" fillId="46" borderId="65" xfId="5" applyNumberFormat="1" applyFont="1" applyFill="1" applyBorder="1" applyAlignment="1" applyProtection="1">
      <alignment horizontal="center" vertical="center"/>
    </xf>
    <xf numFmtId="1" fontId="221" fillId="46" borderId="227" xfId="5" applyNumberFormat="1" applyFont="1" applyFill="1" applyBorder="1" applyAlignment="1" applyProtection="1">
      <alignment horizontal="center" vertical="center"/>
    </xf>
    <xf numFmtId="0" fontId="0" fillId="7" borderId="33" xfId="0" applyFill="1" applyBorder="1" applyAlignment="1" applyProtection="1">
      <alignment vertical="center" wrapText="1"/>
    </xf>
    <xf numFmtId="0" fontId="21" fillId="7" borderId="83" xfId="0" applyFont="1" applyFill="1" applyBorder="1" applyAlignment="1" applyProtection="1">
      <alignment horizontal="right" vertical="center"/>
    </xf>
    <xf numFmtId="1" fontId="0" fillId="4" borderId="34" xfId="0" applyNumberFormat="1" applyFont="1" applyFill="1" applyBorder="1" applyAlignment="1" applyProtection="1">
      <alignment horizontal="center" vertical="center"/>
    </xf>
    <xf numFmtId="0" fontId="21" fillId="4" borderId="121" xfId="0" applyFont="1" applyFill="1" applyBorder="1" applyAlignment="1" applyProtection="1">
      <alignment horizontal="center" vertical="center"/>
    </xf>
    <xf numFmtId="0" fontId="0" fillId="4" borderId="0" xfId="0" applyFill="1" applyAlignment="1" applyProtection="1">
      <alignment vertical="center" wrapText="1"/>
    </xf>
    <xf numFmtId="0" fontId="0" fillId="4" borderId="0" xfId="0" applyFill="1" applyAlignment="1" applyProtection="1">
      <alignment horizontal="right" vertical="center"/>
    </xf>
    <xf numFmtId="1" fontId="5" fillId="4" borderId="88" xfId="0" applyNumberFormat="1" applyFont="1" applyFill="1" applyBorder="1" applyAlignment="1" applyProtection="1">
      <alignment horizontal="center" vertical="center"/>
    </xf>
    <xf numFmtId="0" fontId="21" fillId="7" borderId="14" xfId="0" applyFont="1" applyFill="1" applyBorder="1" applyAlignment="1" applyProtection="1">
      <alignment horizontal="right" vertical="center"/>
    </xf>
    <xf numFmtId="1" fontId="0" fillId="4" borderId="12" xfId="0" applyNumberFormat="1" applyFont="1" applyFill="1" applyBorder="1" applyAlignment="1" applyProtection="1">
      <alignment horizontal="center" vertical="center"/>
    </xf>
    <xf numFmtId="0" fontId="0" fillId="4" borderId="0" xfId="0" applyFill="1" applyAlignment="1" applyProtection="1"/>
    <xf numFmtId="0" fontId="0" fillId="7" borderId="0" xfId="0" applyFill="1" applyBorder="1" applyAlignment="1" applyProtection="1"/>
    <xf numFmtId="0" fontId="217" fillId="46" borderId="64" xfId="0" applyFont="1" applyFill="1" applyBorder="1" applyAlignment="1" applyProtection="1">
      <alignment horizontal="center"/>
    </xf>
    <xf numFmtId="0" fontId="217" fillId="46" borderId="226" xfId="0" applyFont="1" applyFill="1" applyBorder="1" applyAlignment="1" applyProtection="1">
      <alignment horizontal="center"/>
    </xf>
    <xf numFmtId="166" fontId="221" fillId="46" borderId="65" xfId="5" applyNumberFormat="1" applyFont="1" applyFill="1" applyBorder="1" applyAlignment="1" applyProtection="1">
      <alignment horizontal="center" vertical="center"/>
    </xf>
    <xf numFmtId="166" fontId="221" fillId="46" borderId="227" xfId="5" applyNumberFormat="1" applyFont="1" applyFill="1" applyBorder="1" applyAlignment="1" applyProtection="1">
      <alignment horizontal="center" vertical="center"/>
    </xf>
    <xf numFmtId="0" fontId="0" fillId="4" borderId="0" xfId="0" applyFill="1" applyBorder="1" applyAlignment="1" applyProtection="1">
      <alignment horizontal="right"/>
    </xf>
    <xf numFmtId="0" fontId="21" fillId="7" borderId="34" xfId="0" applyFont="1" applyFill="1" applyBorder="1" applyAlignment="1" applyProtection="1">
      <alignment horizontal="right" vertical="center"/>
    </xf>
    <xf numFmtId="1" fontId="0" fillId="4" borderId="24" xfId="0" applyNumberFormat="1" applyFont="1" applyFill="1" applyBorder="1" applyAlignment="1" applyProtection="1">
      <alignment horizontal="center" vertical="center"/>
    </xf>
    <xf numFmtId="0" fontId="83" fillId="10" borderId="0" xfId="0" applyFont="1" applyFill="1" applyBorder="1" applyAlignment="1" applyProtection="1">
      <alignment vertical="center"/>
    </xf>
    <xf numFmtId="0" fontId="4" fillId="33" borderId="28" xfId="0" applyFont="1" applyFill="1" applyBorder="1" applyAlignment="1" applyProtection="1">
      <alignment horizontal="center" vertical="center"/>
    </xf>
    <xf numFmtId="0" fontId="4" fillId="33" borderId="85" xfId="0" applyFont="1" applyFill="1" applyBorder="1" applyAlignment="1" applyProtection="1">
      <alignment horizontal="center" vertical="center"/>
    </xf>
    <xf numFmtId="1" fontId="5" fillId="4" borderId="29" xfId="0" applyNumberFormat="1" applyFont="1" applyFill="1" applyBorder="1" applyAlignment="1" applyProtection="1">
      <alignment horizontal="center" vertical="center"/>
    </xf>
    <xf numFmtId="0" fontId="0" fillId="25" borderId="0" xfId="0" applyFill="1" applyAlignment="1" applyProtection="1">
      <alignment horizontal="right"/>
    </xf>
    <xf numFmtId="0" fontId="101" fillId="26" borderId="91" xfId="0" applyFont="1" applyFill="1" applyBorder="1" applyAlignment="1" applyProtection="1"/>
    <xf numFmtId="0" fontId="94" fillId="25" borderId="0" xfId="0" applyFont="1" applyFill="1" applyBorder="1" applyAlignment="1" applyProtection="1"/>
    <xf numFmtId="0" fontId="7" fillId="17" borderId="12" xfId="0" applyFont="1" applyFill="1" applyBorder="1" applyAlignment="1" applyProtection="1">
      <alignment horizontal="center"/>
    </xf>
    <xf numFmtId="0" fontId="7" fillId="17" borderId="12" xfId="0" applyFont="1" applyFill="1" applyBorder="1" applyAlignment="1" applyProtection="1">
      <alignment horizontal="center" wrapText="1"/>
    </xf>
    <xf numFmtId="0" fontId="25" fillId="4" borderId="13" xfId="0" applyFont="1" applyFill="1" applyBorder="1" applyAlignment="1" applyProtection="1">
      <alignment horizontal="center" vertical="center"/>
    </xf>
    <xf numFmtId="0" fontId="25" fillId="4" borderId="14" xfId="0" applyFont="1" applyFill="1" applyBorder="1" applyAlignment="1" applyProtection="1">
      <alignment vertical="center"/>
    </xf>
    <xf numFmtId="0" fontId="25" fillId="4" borderId="14" xfId="0" applyFont="1" applyFill="1" applyBorder="1" applyAlignment="1" applyProtection="1">
      <alignment vertical="center" wrapText="1"/>
    </xf>
    <xf numFmtId="0" fontId="0" fillId="0" borderId="12" xfId="0" applyBorder="1" applyAlignment="1" applyProtection="1">
      <alignment horizontal="center" vertical="center"/>
    </xf>
    <xf numFmtId="0" fontId="0" fillId="0" borderId="0" xfId="0" applyAlignment="1" applyProtection="1">
      <alignment vertical="center"/>
    </xf>
    <xf numFmtId="0" fontId="0" fillId="0" borderId="12" xfId="0" applyBorder="1" applyAlignment="1" applyProtection="1">
      <alignment vertical="center" wrapText="1"/>
    </xf>
    <xf numFmtId="0" fontId="0" fillId="0" borderId="12" xfId="0" applyBorder="1" applyAlignment="1" applyProtection="1">
      <alignment vertical="center"/>
    </xf>
    <xf numFmtId="0" fontId="0" fillId="0" borderId="12" xfId="0" applyFill="1" applyBorder="1" applyAlignment="1" applyProtection="1">
      <alignment vertical="center" wrapText="1"/>
    </xf>
    <xf numFmtId="0" fontId="0" fillId="0" borderId="12" xfId="0" applyBorder="1" applyAlignment="1" applyProtection="1">
      <alignment vertical="top" wrapText="1"/>
    </xf>
    <xf numFmtId="0" fontId="16" fillId="0" borderId="12" xfId="0" applyFont="1" applyBorder="1" applyAlignment="1" applyProtection="1">
      <alignment vertical="center" wrapText="1"/>
    </xf>
    <xf numFmtId="0" fontId="16" fillId="0" borderId="12" xfId="0" applyFont="1" applyFill="1" applyBorder="1" applyAlignment="1" applyProtection="1">
      <alignment vertical="center" wrapText="1"/>
    </xf>
    <xf numFmtId="0" fontId="16" fillId="0" borderId="12" xfId="0" applyFont="1" applyFill="1" applyBorder="1" applyAlignment="1" applyProtection="1">
      <alignment vertical="center"/>
    </xf>
    <xf numFmtId="0" fontId="16" fillId="0" borderId="19" xfId="0" applyFont="1" applyFill="1" applyBorder="1" applyAlignment="1" applyProtection="1">
      <alignment horizontal="left" vertical="center" wrapText="1"/>
    </xf>
    <xf numFmtId="0" fontId="0" fillId="0" borderId="16" xfId="0" applyFill="1" applyBorder="1" applyAlignment="1" applyProtection="1">
      <alignment vertical="center" wrapText="1"/>
    </xf>
    <xf numFmtId="0" fontId="16" fillId="0" borderId="16" xfId="0" applyFont="1" applyBorder="1" applyAlignment="1" applyProtection="1">
      <alignment vertical="center" wrapText="1"/>
    </xf>
    <xf numFmtId="0" fontId="0" fillId="0" borderId="18" xfId="0" applyFill="1" applyBorder="1" applyAlignment="1" applyProtection="1">
      <alignment horizontal="left" vertical="center" wrapText="1" indent="2"/>
    </xf>
    <xf numFmtId="0" fontId="0" fillId="25" borderId="0" xfId="0" applyFill="1" applyBorder="1" applyAlignment="1" applyProtection="1">
      <alignment vertical="center" wrapText="1"/>
    </xf>
    <xf numFmtId="0" fontId="0" fillId="4" borderId="0" xfId="0" applyFill="1" applyBorder="1" applyAlignment="1" applyProtection="1">
      <alignment vertical="center" wrapText="1"/>
    </xf>
    <xf numFmtId="0" fontId="7" fillId="17" borderId="12" xfId="0" applyFont="1" applyFill="1" applyBorder="1" applyAlignment="1" applyProtection="1">
      <alignment horizontal="center" vertical="center" wrapText="1"/>
    </xf>
    <xf numFmtId="0" fontId="148" fillId="17" borderId="12" xfId="0" applyFont="1" applyFill="1" applyBorder="1" applyAlignment="1" applyProtection="1">
      <alignment horizontal="center"/>
    </xf>
    <xf numFmtId="0" fontId="0" fillId="0" borderId="12" xfId="0" applyBorder="1" applyAlignment="1" applyProtection="1">
      <alignment horizontal="center" vertical="center" wrapText="1"/>
    </xf>
    <xf numFmtId="0" fontId="0" fillId="25" borderId="0" xfId="0" applyFill="1" applyAlignment="1" applyProtection="1">
      <alignment vertical="center" wrapText="1"/>
    </xf>
    <xf numFmtId="0" fontId="0" fillId="0" borderId="16" xfId="0" applyBorder="1" applyAlignment="1" applyProtection="1">
      <alignment vertical="center" wrapText="1"/>
    </xf>
    <xf numFmtId="0" fontId="25" fillId="4" borderId="14" xfId="0" applyFont="1" applyFill="1" applyBorder="1" applyAlignment="1" applyProtection="1">
      <alignment horizontal="left" vertical="center"/>
    </xf>
    <xf numFmtId="0" fontId="16" fillId="0" borderId="12" xfId="0" applyFont="1" applyFill="1" applyBorder="1" applyAlignment="1" applyProtection="1">
      <alignment horizontal="left" vertical="center" wrapText="1"/>
    </xf>
    <xf numFmtId="0" fontId="0" fillId="0" borderId="12" xfId="0" applyBorder="1" applyAlignment="1" applyProtection="1">
      <alignment horizontal="left" vertical="center" wrapText="1"/>
    </xf>
    <xf numFmtId="0" fontId="5" fillId="12" borderId="12" xfId="0" applyFont="1" applyFill="1" applyBorder="1" applyAlignment="1" applyProtection="1">
      <alignment vertical="center"/>
    </xf>
    <xf numFmtId="0" fontId="5" fillId="12" borderId="12" xfId="0" applyFont="1" applyFill="1" applyBorder="1" applyAlignment="1" applyProtection="1">
      <alignment horizontal="center" vertical="center"/>
    </xf>
    <xf numFmtId="0" fontId="0" fillId="0" borderId="12" xfId="0" applyFont="1" applyBorder="1" applyAlignment="1" applyProtection="1">
      <alignment horizontal="center" vertical="center"/>
    </xf>
    <xf numFmtId="3" fontId="0" fillId="0" borderId="12" xfId="8" applyNumberFormat="1" applyFont="1" applyBorder="1" applyAlignment="1" applyProtection="1">
      <alignment horizontal="center" vertical="center"/>
    </xf>
    <xf numFmtId="3" fontId="0" fillId="0" borderId="12" xfId="0" applyNumberFormat="1" applyFont="1" applyBorder="1" applyAlignment="1" applyProtection="1">
      <alignment horizontal="center" vertical="center"/>
    </xf>
    <xf numFmtId="0" fontId="24" fillId="4" borderId="0" xfId="0" applyFont="1" applyFill="1" applyProtection="1"/>
    <xf numFmtId="0" fontId="191" fillId="0" borderId="12" xfId="0" applyFont="1" applyBorder="1" applyAlignment="1" applyProtection="1">
      <alignment horizontal="left" vertical="center"/>
    </xf>
    <xf numFmtId="0" fontId="24" fillId="0" borderId="12" xfId="0" applyFont="1" applyBorder="1" applyAlignment="1" applyProtection="1">
      <alignment horizontal="center" vertical="center"/>
    </xf>
    <xf numFmtId="3" fontId="24" fillId="0" borderId="12" xfId="0" applyNumberFormat="1" applyFont="1" applyBorder="1" applyAlignment="1" applyProtection="1">
      <alignment horizontal="center" vertical="center"/>
    </xf>
    <xf numFmtId="0" fontId="24" fillId="25" borderId="0" xfId="0" applyFont="1" applyFill="1" applyProtection="1"/>
    <xf numFmtId="0" fontId="0" fillId="4" borderId="0" xfId="0" applyFill="1" applyAlignment="1" applyProtection="1">
      <alignment wrapText="1"/>
    </xf>
    <xf numFmtId="165" fontId="57" fillId="0" borderId="0" xfId="0" applyNumberFormat="1" applyFont="1" applyAlignment="1">
      <alignment horizontal="left" vertical="top"/>
    </xf>
    <xf numFmtId="43" fontId="16" fillId="0" borderId="14" xfId="4" applyFont="1" applyFill="1" applyBorder="1" applyAlignment="1">
      <alignment vertical="top"/>
    </xf>
    <xf numFmtId="0" fontId="11" fillId="2" borderId="174" xfId="0" applyFont="1" applyFill="1" applyBorder="1" applyAlignment="1" applyProtection="1">
      <alignment horizontal="center" vertical="center" wrapText="1"/>
    </xf>
    <xf numFmtId="0" fontId="0" fillId="19" borderId="0" xfId="0" applyFill="1" applyBorder="1" applyAlignment="1">
      <alignment horizontal="center"/>
    </xf>
    <xf numFmtId="0" fontId="5" fillId="19" borderId="0" xfId="0" applyFont="1" applyFill="1" applyBorder="1" applyAlignment="1">
      <alignment horizontal="left" vertical="center"/>
    </xf>
    <xf numFmtId="167" fontId="0" fillId="19" borderId="0" xfId="0" applyNumberFormat="1" applyFill="1" applyBorder="1"/>
    <xf numFmtId="0" fontId="11" fillId="0" borderId="4" xfId="0" applyFont="1" applyFill="1" applyBorder="1" applyAlignment="1">
      <alignment vertical="top"/>
    </xf>
    <xf numFmtId="167" fontId="16" fillId="0" borderId="5" xfId="4" applyNumberFormat="1" applyFont="1" applyFill="1" applyBorder="1" applyAlignment="1">
      <alignment vertical="top"/>
    </xf>
    <xf numFmtId="9" fontId="11" fillId="0" borderId="0" xfId="5" applyNumberFormat="1" applyFont="1" applyFill="1" applyBorder="1" applyAlignment="1">
      <alignment vertical="top"/>
    </xf>
    <xf numFmtId="9" fontId="11" fillId="0" borderId="5" xfId="5" applyNumberFormat="1" applyFont="1" applyFill="1" applyBorder="1" applyAlignment="1">
      <alignment vertical="top"/>
    </xf>
    <xf numFmtId="167" fontId="85" fillId="0" borderId="2" xfId="4" applyNumberFormat="1" applyFont="1" applyBorder="1" applyAlignment="1">
      <alignment vertical="top"/>
    </xf>
    <xf numFmtId="167" fontId="85" fillId="0" borderId="3" xfId="4" applyNumberFormat="1" applyFont="1" applyBorder="1" applyAlignment="1">
      <alignment vertical="top"/>
    </xf>
    <xf numFmtId="9" fontId="11" fillId="0" borderId="43" xfId="5" applyNumberFormat="1" applyFont="1" applyFill="1" applyBorder="1" applyAlignment="1">
      <alignment vertical="top"/>
    </xf>
    <xf numFmtId="9" fontId="11" fillId="0" borderId="82" xfId="5" applyNumberFormat="1" applyFont="1" applyFill="1" applyBorder="1" applyAlignment="1">
      <alignment vertical="top"/>
    </xf>
    <xf numFmtId="0" fontId="39" fillId="4" borderId="0" xfId="0" applyFont="1" applyFill="1" applyBorder="1" applyAlignment="1">
      <alignment horizontal="left"/>
    </xf>
    <xf numFmtId="9" fontId="21" fillId="0" borderId="0" xfId="5" applyFont="1" applyFill="1" applyBorder="1" applyAlignment="1">
      <alignment vertical="top"/>
    </xf>
    <xf numFmtId="0" fontId="4" fillId="5" borderId="12" xfId="0" applyFont="1" applyFill="1" applyBorder="1" applyAlignment="1" applyProtection="1">
      <alignment horizontal="center" vertical="center" wrapText="1"/>
    </xf>
    <xf numFmtId="168" fontId="3" fillId="3" borderId="40" xfId="3" applyNumberFormat="1" applyFont="1" applyFill="1" applyBorder="1" applyAlignment="1">
      <alignment vertical="center"/>
    </xf>
    <xf numFmtId="0" fontId="0" fillId="7" borderId="0" xfId="0" applyFill="1" applyAlignment="1">
      <alignment vertical="center"/>
    </xf>
    <xf numFmtId="0" fontId="24" fillId="7" borderId="0" xfId="0" applyFont="1" applyFill="1" applyBorder="1" applyAlignment="1">
      <alignment vertical="center" wrapText="1"/>
    </xf>
    <xf numFmtId="0" fontId="228" fillId="4" borderId="0" xfId="0" applyFont="1" applyFill="1" applyBorder="1" applyAlignment="1">
      <alignment horizontal="center"/>
    </xf>
    <xf numFmtId="0" fontId="228" fillId="4" borderId="0" xfId="0" applyFont="1" applyFill="1" applyBorder="1" applyAlignment="1">
      <alignment vertical="center"/>
    </xf>
    <xf numFmtId="0" fontId="191" fillId="4" borderId="0" xfId="0" applyFont="1" applyFill="1" applyBorder="1" applyAlignment="1">
      <alignment horizontal="right" vertical="top"/>
    </xf>
    <xf numFmtId="0" fontId="0" fillId="7" borderId="0" xfId="0" applyFill="1" applyProtection="1"/>
    <xf numFmtId="0" fontId="0" fillId="7" borderId="0" xfId="0" applyFill="1" applyAlignment="1" applyProtection="1">
      <alignment horizontal="right"/>
    </xf>
    <xf numFmtId="0" fontId="181" fillId="4" borderId="0" xfId="0" applyFont="1" applyFill="1" applyAlignment="1" applyProtection="1">
      <alignment horizontal="center" vertical="center"/>
    </xf>
    <xf numFmtId="0" fontId="181" fillId="7" borderId="0" xfId="0" applyFont="1" applyFill="1" applyAlignment="1" applyProtection="1">
      <alignment horizontal="center" vertical="center"/>
    </xf>
    <xf numFmtId="0" fontId="181" fillId="25" borderId="0" xfId="0" applyFont="1" applyFill="1" applyAlignment="1" applyProtection="1">
      <alignment horizontal="center" vertical="center"/>
    </xf>
    <xf numFmtId="0" fontId="163" fillId="21" borderId="14" xfId="0" applyFont="1" applyFill="1" applyBorder="1" applyAlignment="1" applyProtection="1">
      <alignment horizontal="left" vertical="center" indent="2"/>
    </xf>
    <xf numFmtId="0" fontId="163" fillId="21" borderId="35" xfId="0" applyFont="1" applyFill="1" applyBorder="1" applyAlignment="1" applyProtection="1">
      <alignment horizontal="left" vertical="center" indent="2"/>
    </xf>
    <xf numFmtId="166" fontId="229" fillId="47" borderId="0" xfId="0" applyNumberFormat="1" applyFont="1" applyFill="1" applyBorder="1" applyAlignment="1" applyProtection="1">
      <alignment horizontal="left"/>
    </xf>
    <xf numFmtId="0" fontId="0" fillId="25" borderId="0" xfId="0" applyFill="1" applyBorder="1" applyAlignment="1" applyProtection="1">
      <alignment horizontal="right"/>
    </xf>
    <xf numFmtId="0" fontId="0" fillId="25" borderId="0" xfId="0" applyFill="1" applyBorder="1" applyAlignment="1" applyProtection="1">
      <alignment horizontal="right" vertical="center"/>
    </xf>
    <xf numFmtId="9" fontId="218" fillId="4" borderId="0" xfId="5" applyFont="1" applyFill="1" applyBorder="1" applyAlignment="1" applyProtection="1">
      <alignment horizontal="left" vertical="center"/>
    </xf>
    <xf numFmtId="0" fontId="104" fillId="25" borderId="231" xfId="1" applyFont="1" applyFill="1" applyBorder="1" applyAlignment="1" applyProtection="1">
      <alignment vertical="center"/>
    </xf>
    <xf numFmtId="0" fontId="104" fillId="25" borderId="232" xfId="1" applyFont="1" applyFill="1" applyBorder="1" applyAlignment="1" applyProtection="1">
      <alignment vertical="center"/>
    </xf>
    <xf numFmtId="1" fontId="219" fillId="47" borderId="0" xfId="5" applyNumberFormat="1" applyFont="1" applyFill="1" applyBorder="1" applyAlignment="1" applyProtection="1">
      <alignment horizontal="center" vertical="center"/>
    </xf>
    <xf numFmtId="0" fontId="216" fillId="47" borderId="228" xfId="0" applyFont="1" applyFill="1" applyBorder="1" applyAlignment="1" applyProtection="1"/>
    <xf numFmtId="0" fontId="216" fillId="47" borderId="0" xfId="0" applyFont="1" applyFill="1" applyBorder="1" applyAlignment="1" applyProtection="1"/>
    <xf numFmtId="9" fontId="219" fillId="47" borderId="228" xfId="5" applyFont="1" applyFill="1" applyBorder="1" applyAlignment="1" applyProtection="1">
      <alignment horizontal="left" vertical="center" indent="1"/>
    </xf>
    <xf numFmtId="0" fontId="217" fillId="47" borderId="228" xfId="0" applyFont="1" applyFill="1" applyBorder="1" applyAlignment="1" applyProtection="1">
      <alignment horizontal="left" indent="1"/>
    </xf>
    <xf numFmtId="9" fontId="234" fillId="47" borderId="230" xfId="5" applyFont="1" applyFill="1" applyBorder="1" applyAlignment="1" applyProtection="1">
      <alignment horizontal="left" vertical="center" indent="1"/>
    </xf>
    <xf numFmtId="1" fontId="234" fillId="47" borderId="65" xfId="5" applyNumberFormat="1" applyFont="1" applyFill="1" applyBorder="1" applyAlignment="1" applyProtection="1">
      <alignment horizontal="center" vertical="center"/>
    </xf>
    <xf numFmtId="166" fontId="235" fillId="47" borderId="0" xfId="0" applyNumberFormat="1" applyFont="1" applyFill="1" applyBorder="1" applyAlignment="1" applyProtection="1">
      <alignment horizontal="left"/>
    </xf>
    <xf numFmtId="0" fontId="0" fillId="7" borderId="235" xfId="0" applyFill="1" applyBorder="1" applyProtection="1"/>
    <xf numFmtId="0" fontId="0" fillId="7" borderId="236" xfId="0" applyFill="1" applyBorder="1" applyProtection="1"/>
    <xf numFmtId="0" fontId="0" fillId="7" borderId="237" xfId="0" applyFill="1" applyBorder="1" applyProtection="1"/>
    <xf numFmtId="0" fontId="0" fillId="7" borderId="238" xfId="0" applyFill="1" applyBorder="1" applyProtection="1"/>
    <xf numFmtId="0" fontId="0" fillId="7" borderId="239" xfId="0" applyFill="1" applyBorder="1" applyProtection="1"/>
    <xf numFmtId="0" fontId="0" fillId="7" borderId="238" xfId="0" applyFill="1" applyBorder="1" applyAlignment="1" applyProtection="1">
      <alignment vertical="center"/>
    </xf>
    <xf numFmtId="0" fontId="0" fillId="7" borderId="239" xfId="0" applyFill="1" applyBorder="1" applyAlignment="1" applyProtection="1">
      <alignment vertical="center"/>
    </xf>
    <xf numFmtId="0" fontId="0" fillId="7" borderId="238" xfId="0" applyFill="1" applyBorder="1" applyAlignment="1" applyProtection="1"/>
    <xf numFmtId="0" fontId="0" fillId="7" borderId="239" xfId="0" applyFill="1" applyBorder="1" applyAlignment="1" applyProtection="1"/>
    <xf numFmtId="0" fontId="0" fillId="7" borderId="240" xfId="0" applyFill="1" applyBorder="1" applyProtection="1"/>
    <xf numFmtId="9" fontId="218" fillId="7" borderId="241" xfId="5" applyFont="1" applyFill="1" applyBorder="1" applyAlignment="1" applyProtection="1">
      <alignment horizontal="left" vertical="center"/>
    </xf>
    <xf numFmtId="0" fontId="0" fillId="7" borderId="241" xfId="0" applyFill="1" applyBorder="1" applyProtection="1"/>
    <xf numFmtId="0" fontId="0" fillId="7" borderId="242" xfId="0" applyFill="1" applyBorder="1" applyProtection="1"/>
    <xf numFmtId="166" fontId="229" fillId="47" borderId="244" xfId="0" applyNumberFormat="1" applyFont="1" applyFill="1" applyBorder="1" applyAlignment="1" applyProtection="1">
      <alignment horizontal="left"/>
    </xf>
    <xf numFmtId="0" fontId="0" fillId="47" borderId="244" xfId="0" applyFill="1" applyBorder="1" applyProtection="1"/>
    <xf numFmtId="166" fontId="235" fillId="47" borderId="244" xfId="0" applyNumberFormat="1" applyFont="1" applyFill="1" applyBorder="1" applyAlignment="1" applyProtection="1">
      <alignment horizontal="left"/>
    </xf>
    <xf numFmtId="1" fontId="219" fillId="47" borderId="244" xfId="5" applyNumberFormat="1" applyFont="1" applyFill="1" applyBorder="1" applyAlignment="1" applyProtection="1">
      <alignment horizontal="center" vertical="center"/>
    </xf>
    <xf numFmtId="0" fontId="217" fillId="47" borderId="246" xfId="0" applyFont="1" applyFill="1" applyBorder="1" applyAlignment="1" applyProtection="1">
      <alignment horizontal="center"/>
    </xf>
    <xf numFmtId="1" fontId="234" fillId="47" borderId="245" xfId="5" applyNumberFormat="1" applyFont="1" applyFill="1" applyBorder="1" applyAlignment="1" applyProtection="1">
      <alignment horizontal="center" vertical="center"/>
    </xf>
    <xf numFmtId="0" fontId="25" fillId="45" borderId="250" xfId="0" applyFont="1" applyFill="1" applyBorder="1" applyProtection="1"/>
    <xf numFmtId="9" fontId="220" fillId="45" borderId="252" xfId="5" applyFont="1" applyFill="1" applyBorder="1" applyAlignment="1" applyProtection="1">
      <alignment horizontal="left" vertical="center" indent="1"/>
    </xf>
    <xf numFmtId="0" fontId="25" fillId="46" borderId="255" xfId="0" applyFont="1" applyFill="1" applyBorder="1" applyProtection="1"/>
    <xf numFmtId="0" fontId="217" fillId="46" borderId="256" xfId="0" applyFont="1" applyFill="1" applyBorder="1" applyAlignment="1" applyProtection="1">
      <alignment horizontal="center" vertical="center" wrapText="1"/>
    </xf>
    <xf numFmtId="9" fontId="221" fillId="46" borderId="257" xfId="5" applyFont="1" applyFill="1" applyBorder="1" applyAlignment="1" applyProtection="1">
      <alignment horizontal="left" vertical="center" indent="1"/>
    </xf>
    <xf numFmtId="0" fontId="0" fillId="46" borderId="255" xfId="0" applyFill="1" applyBorder="1" applyAlignment="1" applyProtection="1">
      <alignment horizontal="left"/>
    </xf>
    <xf numFmtId="0" fontId="217" fillId="46" borderId="256" xfId="0" applyFont="1" applyFill="1" applyBorder="1" applyAlignment="1" applyProtection="1">
      <alignment horizontal="center" wrapText="1"/>
    </xf>
    <xf numFmtId="9" fontId="221" fillId="46" borderId="258" xfId="5" applyFont="1" applyFill="1" applyBorder="1" applyAlignment="1" applyProtection="1">
      <alignment horizontal="left" vertical="center" indent="1"/>
    </xf>
    <xf numFmtId="166" fontId="221" fillId="46" borderId="259" xfId="5" applyNumberFormat="1" applyFont="1" applyFill="1" applyBorder="1" applyAlignment="1" applyProtection="1">
      <alignment horizontal="center" vertical="center"/>
    </xf>
    <xf numFmtId="166" fontId="221" fillId="46" borderId="260" xfId="5" applyNumberFormat="1" applyFont="1" applyFill="1" applyBorder="1" applyAlignment="1" applyProtection="1">
      <alignment horizontal="center" vertical="center"/>
    </xf>
    <xf numFmtId="1" fontId="235" fillId="47" borderId="0" xfId="5" applyNumberFormat="1" applyFont="1" applyFill="1" applyBorder="1" applyAlignment="1" applyProtection="1">
      <alignment horizontal="left" vertical="center"/>
    </xf>
    <xf numFmtId="1" fontId="235" fillId="47" borderId="244" xfId="5" applyNumberFormat="1" applyFont="1" applyFill="1" applyBorder="1" applyAlignment="1" applyProtection="1">
      <alignment horizontal="left" vertical="center"/>
    </xf>
    <xf numFmtId="0" fontId="0" fillId="7" borderId="0" xfId="0" applyFill="1" applyAlignment="1" applyProtection="1">
      <alignment vertical="center"/>
    </xf>
    <xf numFmtId="0" fontId="236" fillId="21" borderId="31" xfId="0" applyFont="1" applyFill="1" applyBorder="1" applyAlignment="1" applyProtection="1">
      <alignment horizontal="left" vertical="center" indent="2"/>
    </xf>
    <xf numFmtId="0" fontId="21" fillId="4" borderId="0" xfId="0" applyFont="1" applyFill="1" applyAlignment="1" applyProtection="1">
      <alignment horizontal="right" vertical="top"/>
    </xf>
    <xf numFmtId="49" fontId="10" fillId="6" borderId="12" xfId="0" applyNumberFormat="1" applyFont="1" applyFill="1" applyBorder="1" applyAlignment="1" applyProtection="1">
      <alignment horizontal="center" vertical="center" wrapText="1"/>
    </xf>
    <xf numFmtId="0" fontId="150" fillId="21" borderId="14" xfId="0" applyFont="1" applyFill="1" applyBorder="1" applyAlignment="1" applyProtection="1">
      <alignment horizontal="left" vertical="center" indent="2"/>
    </xf>
    <xf numFmtId="9" fontId="0" fillId="25" borderId="0" xfId="0" applyNumberFormat="1" applyFill="1" applyProtection="1"/>
    <xf numFmtId="0" fontId="25" fillId="7" borderId="138" xfId="0" applyFont="1" applyFill="1" applyBorder="1" applyAlignment="1" applyProtection="1">
      <alignment horizontal="left" indent="1"/>
    </xf>
    <xf numFmtId="9" fontId="24" fillId="4" borderId="16" xfId="0" applyNumberFormat="1" applyFont="1" applyFill="1" applyBorder="1" applyAlignment="1" applyProtection="1">
      <alignment horizontal="center" vertical="center"/>
    </xf>
    <xf numFmtId="0" fontId="25" fillId="7" borderId="37" xfId="0" applyFont="1" applyFill="1" applyBorder="1" applyAlignment="1" applyProtection="1">
      <alignment horizontal="left" indent="1"/>
    </xf>
    <xf numFmtId="9" fontId="24" fillId="4" borderId="19" xfId="0" applyNumberFormat="1" applyFont="1" applyFill="1" applyBorder="1" applyAlignment="1" applyProtection="1">
      <alignment horizontal="center" vertical="center"/>
    </xf>
    <xf numFmtId="0" fontId="25" fillId="7" borderId="145" xfId="0" applyFont="1" applyFill="1" applyBorder="1" applyAlignment="1" applyProtection="1">
      <alignment horizontal="left" indent="1"/>
    </xf>
    <xf numFmtId="9" fontId="24" fillId="4" borderId="18" xfId="0" applyNumberFormat="1" applyFont="1" applyFill="1" applyBorder="1" applyAlignment="1" applyProtection="1">
      <alignment horizontal="center" vertical="center"/>
    </xf>
    <xf numFmtId="9" fontId="24" fillId="7" borderId="49" xfId="0" applyNumberFormat="1" applyFont="1" applyFill="1" applyBorder="1" applyAlignment="1" applyProtection="1">
      <alignment horizontal="center" vertical="center"/>
    </xf>
    <xf numFmtId="0" fontId="24" fillId="4" borderId="16" xfId="0" applyFont="1" applyFill="1" applyBorder="1" applyAlignment="1" applyProtection="1">
      <alignment horizontal="center" vertical="center"/>
    </xf>
    <xf numFmtId="0" fontId="24" fillId="4" borderId="19" xfId="0" applyFont="1" applyFill="1" applyBorder="1" applyAlignment="1" applyProtection="1">
      <alignment horizontal="center" vertical="center"/>
    </xf>
    <xf numFmtId="0" fontId="24" fillId="4" borderId="18" xfId="0" applyFont="1" applyFill="1" applyBorder="1" applyAlignment="1" applyProtection="1">
      <alignment horizontal="center" vertical="center"/>
    </xf>
    <xf numFmtId="0" fontId="25" fillId="7" borderId="145" xfId="0" applyFont="1" applyFill="1" applyBorder="1" applyAlignment="1" applyProtection="1">
      <alignment horizontal="left" wrapText="1" indent="1"/>
    </xf>
    <xf numFmtId="1" fontId="24" fillId="4" borderId="16" xfId="0" applyNumberFormat="1" applyFont="1" applyFill="1" applyBorder="1" applyAlignment="1" applyProtection="1">
      <alignment horizontal="center" vertical="center"/>
    </xf>
    <xf numFmtId="1" fontId="24" fillId="4" borderId="18" xfId="0" applyNumberFormat="1" applyFont="1" applyFill="1" applyBorder="1" applyAlignment="1" applyProtection="1">
      <alignment horizontal="center" vertical="center"/>
    </xf>
    <xf numFmtId="0" fontId="238" fillId="45" borderId="253" xfId="0" applyFont="1" applyFill="1" applyBorder="1" applyAlignment="1" applyProtection="1">
      <alignment vertical="top"/>
    </xf>
    <xf numFmtId="0" fontId="217" fillId="45" borderId="251" xfId="0" applyFont="1" applyFill="1" applyBorder="1" applyAlignment="1" applyProtection="1">
      <alignment horizontal="left" vertical="center" wrapText="1" indent="2"/>
    </xf>
    <xf numFmtId="0" fontId="25" fillId="7" borderId="145" xfId="0" applyFont="1" applyFill="1" applyBorder="1" applyAlignment="1" applyProtection="1">
      <alignment horizontal="right" indent="2"/>
    </xf>
    <xf numFmtId="0" fontId="25" fillId="7" borderId="203" xfId="0" applyFont="1" applyFill="1" applyBorder="1" applyAlignment="1" applyProtection="1">
      <alignment horizontal="right" indent="2"/>
    </xf>
    <xf numFmtId="0" fontId="5" fillId="4" borderId="0" xfId="0" applyFont="1" applyFill="1" applyProtection="1"/>
    <xf numFmtId="0" fontId="5" fillId="7" borderId="0" xfId="0" applyFont="1" applyFill="1" applyProtection="1"/>
    <xf numFmtId="0" fontId="25" fillId="4" borderId="18" xfId="0" applyFont="1" applyFill="1" applyBorder="1" applyAlignment="1" applyProtection="1">
      <alignment horizontal="center" vertical="center"/>
    </xf>
    <xf numFmtId="1" fontId="25" fillId="7" borderId="18" xfId="0" applyNumberFormat="1" applyFont="1" applyFill="1" applyBorder="1" applyAlignment="1" applyProtection="1">
      <alignment horizontal="center" vertical="center"/>
    </xf>
    <xf numFmtId="1" fontId="25" fillId="7" borderId="124" xfId="0" applyNumberFormat="1" applyFont="1" applyFill="1" applyBorder="1" applyAlignment="1" applyProtection="1">
      <alignment horizontal="center" vertical="center"/>
    </xf>
    <xf numFmtId="1" fontId="24" fillId="7" borderId="16" xfId="0" applyNumberFormat="1" applyFont="1" applyFill="1" applyBorder="1" applyAlignment="1" applyProtection="1">
      <alignment horizontal="center" vertical="center"/>
    </xf>
    <xf numFmtId="1" fontId="24" fillId="7" borderId="18" xfId="0" applyNumberFormat="1" applyFont="1" applyFill="1" applyBorder="1" applyAlignment="1" applyProtection="1">
      <alignment horizontal="center" vertical="center"/>
    </xf>
    <xf numFmtId="0" fontId="51" fillId="6" borderId="88" xfId="0" applyFont="1" applyFill="1" applyBorder="1" applyAlignment="1" applyProtection="1">
      <alignment horizontal="center"/>
    </xf>
    <xf numFmtId="1" fontId="24" fillId="7" borderId="19" xfId="0" applyNumberFormat="1" applyFont="1" applyFill="1" applyBorder="1" applyAlignment="1" applyProtection="1">
      <alignment horizontal="center" vertical="center"/>
    </xf>
    <xf numFmtId="9" fontId="24" fillId="7" borderId="16" xfId="0" applyNumberFormat="1" applyFont="1" applyFill="1" applyBorder="1" applyAlignment="1" applyProtection="1">
      <alignment horizontal="center" vertical="center"/>
    </xf>
    <xf numFmtId="9" fontId="24" fillId="7" borderId="18" xfId="0" applyNumberFormat="1" applyFont="1" applyFill="1" applyBorder="1" applyAlignment="1" applyProtection="1">
      <alignment horizontal="center" vertical="center"/>
    </xf>
    <xf numFmtId="9" fontId="24" fillId="7" borderId="19" xfId="0" applyNumberFormat="1" applyFont="1" applyFill="1" applyBorder="1" applyAlignment="1" applyProtection="1">
      <alignment horizontal="center" vertical="center"/>
    </xf>
    <xf numFmtId="0" fontId="239" fillId="25" borderId="0" xfId="0" applyFont="1" applyFill="1" applyAlignment="1" applyProtection="1">
      <alignment horizontal="center" vertical="center"/>
    </xf>
    <xf numFmtId="1" fontId="181" fillId="25" borderId="0" xfId="0" applyNumberFormat="1" applyFont="1" applyFill="1" applyAlignment="1" applyProtection="1">
      <alignment horizontal="center" vertical="center"/>
    </xf>
    <xf numFmtId="1" fontId="0" fillId="25" borderId="0" xfId="0" applyNumberFormat="1" applyFill="1" applyProtection="1"/>
    <xf numFmtId="1" fontId="181" fillId="25" borderId="0" xfId="0" applyNumberFormat="1" applyFont="1" applyFill="1" applyAlignment="1" applyProtection="1">
      <alignment vertical="center"/>
    </xf>
    <xf numFmtId="0" fontId="181" fillId="25" borderId="0" xfId="0" applyFont="1" applyFill="1" applyAlignment="1" applyProtection="1">
      <alignment vertical="center"/>
    </xf>
    <xf numFmtId="0" fontId="0" fillId="25" borderId="0" xfId="0" applyFill="1" applyAlignment="1" applyProtection="1"/>
    <xf numFmtId="1" fontId="0" fillId="25" borderId="0" xfId="0" applyNumberFormat="1" applyFill="1" applyAlignment="1" applyProtection="1"/>
    <xf numFmtId="0" fontId="217" fillId="47" borderId="228" xfId="0" applyFont="1" applyFill="1" applyBorder="1" applyAlignment="1" applyProtection="1"/>
    <xf numFmtId="0" fontId="217" fillId="47" borderId="0" xfId="0" applyFont="1" applyFill="1" applyBorder="1" applyAlignment="1" applyProtection="1"/>
    <xf numFmtId="0" fontId="186" fillId="47" borderId="228" xfId="0" applyFont="1" applyFill="1" applyBorder="1" applyAlignment="1" applyProtection="1"/>
    <xf numFmtId="0" fontId="186" fillId="47" borderId="0" xfId="0" applyFont="1" applyFill="1" applyBorder="1" applyAlignment="1" applyProtection="1"/>
    <xf numFmtId="0" fontId="234" fillId="47" borderId="228" xfId="0" applyFont="1" applyFill="1" applyBorder="1" applyAlignment="1" applyProtection="1"/>
    <xf numFmtId="0" fontId="240" fillId="47" borderId="0" xfId="0" applyFont="1" applyFill="1" applyBorder="1" applyAlignment="1" applyProtection="1"/>
    <xf numFmtId="167" fontId="240" fillId="47" borderId="0" xfId="4" applyNumberFormat="1" applyFont="1" applyFill="1" applyBorder="1" applyAlignment="1" applyProtection="1">
      <alignment horizontal="left" wrapText="1"/>
    </xf>
    <xf numFmtId="167" fontId="240" fillId="47" borderId="0" xfId="4" applyNumberFormat="1" applyFont="1" applyFill="1" applyBorder="1" applyAlignment="1" applyProtection="1"/>
    <xf numFmtId="1" fontId="234" fillId="47" borderId="244" xfId="0" applyNumberFormat="1" applyFont="1" applyFill="1" applyBorder="1" applyAlignment="1" applyProtection="1">
      <alignment horizontal="left" wrapText="1"/>
    </xf>
    <xf numFmtId="1" fontId="217" fillId="47" borderId="0" xfId="0" applyNumberFormat="1" applyFont="1" applyFill="1" applyBorder="1" applyAlignment="1" applyProtection="1">
      <alignment horizontal="left"/>
    </xf>
    <xf numFmtId="1" fontId="217" fillId="47" borderId="244" xfId="0" applyNumberFormat="1" applyFont="1" applyFill="1" applyBorder="1" applyAlignment="1" applyProtection="1">
      <alignment horizontal="left"/>
    </xf>
    <xf numFmtId="1" fontId="241" fillId="47" borderId="244" xfId="0" applyNumberFormat="1" applyFont="1" applyFill="1" applyBorder="1" applyAlignment="1" applyProtection="1">
      <alignment horizontal="left"/>
    </xf>
    <xf numFmtId="0" fontId="217" fillId="47" borderId="244" xfId="0" applyFont="1" applyFill="1" applyBorder="1" applyAlignment="1" applyProtection="1">
      <alignment horizontal="center"/>
    </xf>
    <xf numFmtId="9" fontId="234" fillId="47" borderId="261" xfId="5" applyFont="1" applyFill="1" applyBorder="1" applyAlignment="1" applyProtection="1">
      <alignment horizontal="left" vertical="center" indent="1"/>
    </xf>
    <xf numFmtId="1" fontId="234" fillId="47" borderId="262" xfId="5" applyNumberFormat="1" applyFont="1" applyFill="1" applyBorder="1" applyAlignment="1" applyProtection="1">
      <alignment horizontal="center" vertical="center"/>
    </xf>
    <xf numFmtId="1" fontId="234" fillId="47" borderId="263" xfId="5" applyNumberFormat="1" applyFont="1" applyFill="1" applyBorder="1" applyAlignment="1" applyProtection="1">
      <alignment horizontal="center" vertical="center"/>
    </xf>
    <xf numFmtId="0" fontId="219" fillId="47" borderId="0" xfId="0" applyFont="1" applyFill="1" applyBorder="1" applyAlignment="1" applyProtection="1">
      <alignment horizontal="center"/>
    </xf>
    <xf numFmtId="0" fontId="242" fillId="47" borderId="0" xfId="0" applyFont="1" applyFill="1" applyBorder="1" applyProtection="1"/>
    <xf numFmtId="1" fontId="242" fillId="47" borderId="0" xfId="4" applyNumberFormat="1" applyFont="1" applyFill="1" applyBorder="1" applyAlignment="1" applyProtection="1">
      <alignment horizontal="left"/>
    </xf>
    <xf numFmtId="0" fontId="242" fillId="47" borderId="0" xfId="0" applyFont="1" applyFill="1" applyBorder="1" applyAlignment="1" applyProtection="1"/>
    <xf numFmtId="167" fontId="242" fillId="47" borderId="0" xfId="4" applyNumberFormat="1" applyFont="1" applyFill="1" applyBorder="1" applyAlignment="1" applyProtection="1"/>
    <xf numFmtId="1" fontId="24" fillId="7" borderId="49" xfId="0" applyNumberFormat="1" applyFont="1" applyFill="1" applyBorder="1" applyAlignment="1" applyProtection="1">
      <alignment horizontal="center" vertical="center"/>
    </xf>
    <xf numFmtId="1" fontId="25" fillId="4" borderId="124" xfId="0" applyNumberFormat="1" applyFont="1" applyFill="1" applyBorder="1" applyAlignment="1" applyProtection="1">
      <alignment horizontal="center" vertical="center"/>
    </xf>
    <xf numFmtId="0" fontId="48" fillId="27" borderId="14" xfId="0" applyFont="1" applyFill="1" applyBorder="1" applyAlignment="1">
      <alignment horizontal="left" vertical="top" wrapText="1"/>
    </xf>
    <xf numFmtId="0" fontId="39" fillId="7" borderId="12" xfId="0" applyFont="1" applyFill="1" applyBorder="1" applyAlignment="1" applyProtection="1">
      <alignment vertical="top"/>
    </xf>
    <xf numFmtId="167" fontId="0" fillId="0" borderId="16" xfId="4" applyNumberFormat="1" applyFont="1" applyBorder="1" applyAlignment="1">
      <alignment vertical="top"/>
    </xf>
    <xf numFmtId="167" fontId="0" fillId="0" borderId="114" xfId="4" applyNumberFormat="1" applyFont="1" applyBorder="1" applyAlignment="1">
      <alignment vertical="top"/>
    </xf>
    <xf numFmtId="0" fontId="85" fillId="0" borderId="16" xfId="0" applyFont="1" applyFill="1" applyBorder="1" applyAlignment="1">
      <alignment horizontal="left"/>
    </xf>
    <xf numFmtId="0" fontId="85" fillId="0" borderId="114" xfId="0" applyFont="1" applyFill="1" applyBorder="1" applyAlignment="1">
      <alignment horizontal="left"/>
    </xf>
    <xf numFmtId="0" fontId="16" fillId="0" borderId="0" xfId="0" applyFont="1" applyFill="1" applyBorder="1" applyAlignment="1">
      <alignment wrapText="1"/>
    </xf>
    <xf numFmtId="0" fontId="16" fillId="0" borderId="12" xfId="0" applyFont="1" applyFill="1" applyBorder="1" applyAlignment="1">
      <alignment wrapText="1"/>
    </xf>
    <xf numFmtId="167" fontId="16" fillId="0" borderId="0" xfId="4" applyNumberFormat="1" applyFont="1" applyFill="1" applyBorder="1"/>
    <xf numFmtId="0" fontId="4" fillId="5" borderId="12" xfId="0" applyFont="1" applyFill="1" applyBorder="1" applyAlignment="1" applyProtection="1">
      <alignment horizontal="center" vertical="center" wrapText="1"/>
    </xf>
    <xf numFmtId="167" fontId="39" fillId="7" borderId="12" xfId="4" applyNumberFormat="1" applyFont="1" applyFill="1" applyBorder="1" applyAlignment="1" applyProtection="1">
      <alignment vertical="center"/>
      <protection locked="0"/>
    </xf>
    <xf numFmtId="0" fontId="11" fillId="7" borderId="13" xfId="0" applyFont="1" applyFill="1" applyBorder="1" applyAlignment="1" applyProtection="1">
      <alignment horizontal="center" vertical="top" wrapText="1"/>
    </xf>
    <xf numFmtId="0" fontId="16" fillId="7" borderId="14" xfId="0" applyFont="1" applyFill="1" applyBorder="1" applyAlignment="1" applyProtection="1">
      <alignment horizontal="left" vertical="top" wrapText="1"/>
    </xf>
    <xf numFmtId="0" fontId="11" fillId="7" borderId="54" xfId="0" applyFont="1" applyFill="1" applyBorder="1" applyAlignment="1" applyProtection="1">
      <alignment horizontal="center" vertical="top" wrapText="1"/>
    </xf>
    <xf numFmtId="0" fontId="16" fillId="7" borderId="54" xfId="0" applyFont="1" applyFill="1" applyBorder="1" applyAlignment="1" applyProtection="1">
      <alignment horizontal="left" vertical="top" wrapText="1"/>
    </xf>
    <xf numFmtId="167" fontId="39" fillId="7" borderId="13" xfId="4" applyNumberFormat="1" applyFont="1" applyFill="1" applyBorder="1" applyAlignment="1" applyProtection="1">
      <alignment vertical="center"/>
      <protection locked="0"/>
    </xf>
    <xf numFmtId="0" fontId="85" fillId="0" borderId="36" xfId="0" applyFont="1" applyBorder="1" applyAlignment="1">
      <alignment vertical="top"/>
    </xf>
    <xf numFmtId="0" fontId="5" fillId="0" borderId="42" xfId="0" applyFont="1" applyBorder="1" applyAlignment="1">
      <alignment vertical="top"/>
    </xf>
    <xf numFmtId="0" fontId="5" fillId="0" borderId="43" xfId="0" applyFont="1" applyBorder="1" applyAlignment="1">
      <alignment vertical="top"/>
    </xf>
    <xf numFmtId="0" fontId="5" fillId="0" borderId="41" xfId="0" applyFont="1" applyBorder="1" applyAlignment="1">
      <alignment vertical="top"/>
    </xf>
    <xf numFmtId="0" fontId="5" fillId="0" borderId="44" xfId="0" applyFont="1" applyBorder="1" applyAlignment="1">
      <alignment vertical="top"/>
    </xf>
    <xf numFmtId="0" fontId="0" fillId="0" borderId="20" xfId="0" applyBorder="1" applyAlignment="1">
      <alignment vertical="top"/>
    </xf>
    <xf numFmtId="0" fontId="85" fillId="0" borderId="20" xfId="0" applyFont="1" applyBorder="1" applyAlignment="1">
      <alignment vertical="top" wrapText="1"/>
    </xf>
    <xf numFmtId="0" fontId="85" fillId="0" borderId="20" xfId="0" applyFont="1" applyBorder="1" applyAlignment="1">
      <alignment vertical="top"/>
    </xf>
    <xf numFmtId="0" fontId="85" fillId="0" borderId="44" xfId="0" applyFont="1" applyBorder="1" applyAlignment="1">
      <alignment vertical="top"/>
    </xf>
    <xf numFmtId="9" fontId="85" fillId="0" borderId="0" xfId="0" applyNumberFormat="1" applyFont="1" applyBorder="1" applyAlignment="1">
      <alignment vertical="top"/>
    </xf>
    <xf numFmtId="9" fontId="85" fillId="0" borderId="40" xfId="0" applyNumberFormat="1" applyFont="1" applyBorder="1" applyAlignment="1">
      <alignment vertical="top"/>
    </xf>
    <xf numFmtId="0" fontId="33" fillId="0" borderId="20" xfId="0" applyFont="1" applyBorder="1" applyAlignment="1">
      <alignment vertical="top"/>
    </xf>
    <xf numFmtId="0" fontId="33" fillId="0" borderId="44" xfId="0" applyFont="1" applyBorder="1" applyAlignment="1">
      <alignment vertical="top"/>
    </xf>
    <xf numFmtId="0" fontId="33" fillId="0" borderId="36" xfId="0" applyFont="1" applyBorder="1" applyAlignment="1">
      <alignment vertical="top"/>
    </xf>
    <xf numFmtId="9" fontId="33" fillId="0" borderId="20" xfId="0" applyNumberFormat="1" applyFont="1" applyBorder="1" applyAlignment="1">
      <alignment vertical="top"/>
    </xf>
    <xf numFmtId="9" fontId="33" fillId="0" borderId="0" xfId="0" applyNumberFormat="1" applyFont="1" applyBorder="1" applyAlignment="1">
      <alignment vertical="top"/>
    </xf>
    <xf numFmtId="9" fontId="33" fillId="0" borderId="40" xfId="0" applyNumberFormat="1" applyFont="1" applyBorder="1" applyAlignment="1">
      <alignment vertical="top"/>
    </xf>
    <xf numFmtId="0" fontId="5" fillId="0" borderId="42" xfId="0" applyFont="1" applyBorder="1"/>
    <xf numFmtId="0" fontId="5" fillId="0" borderId="43" xfId="0" applyFont="1" applyBorder="1"/>
    <xf numFmtId="0" fontId="5" fillId="0" borderId="41" xfId="0" applyFont="1" applyBorder="1"/>
    <xf numFmtId="0" fontId="33" fillId="0" borderId="43" xfId="0" applyFont="1" applyBorder="1" applyAlignment="1">
      <alignment vertical="top"/>
    </xf>
    <xf numFmtId="0" fontId="31" fillId="0" borderId="0" xfId="0" applyFont="1" applyBorder="1" applyAlignment="1">
      <alignment vertical="top"/>
    </xf>
    <xf numFmtId="43" fontId="0" fillId="0" borderId="57" xfId="4" applyFont="1" applyBorder="1" applyAlignment="1">
      <alignment vertical="top"/>
    </xf>
    <xf numFmtId="167" fontId="0" fillId="0" borderId="0" xfId="4" applyNumberFormat="1" applyFont="1" applyBorder="1"/>
    <xf numFmtId="167" fontId="31" fillId="0" borderId="0" xfId="4" applyNumberFormat="1" applyFont="1" applyBorder="1" applyAlignment="1">
      <alignment vertical="top"/>
    </xf>
    <xf numFmtId="167" fontId="31" fillId="0" borderId="40" xfId="4" applyNumberFormat="1" applyFont="1" applyBorder="1" applyAlignment="1">
      <alignment vertical="top"/>
    </xf>
    <xf numFmtId="167" fontId="0" fillId="0" borderId="40" xfId="4" applyNumberFormat="1" applyFont="1" applyBorder="1"/>
    <xf numFmtId="167" fontId="0" fillId="0" borderId="43" xfId="0" applyNumberFormat="1" applyBorder="1" applyAlignment="1">
      <alignment vertical="top"/>
    </xf>
    <xf numFmtId="167" fontId="0" fillId="0" borderId="43" xfId="4" applyNumberFormat="1" applyFont="1" applyBorder="1" applyAlignment="1">
      <alignment vertical="top"/>
    </xf>
    <xf numFmtId="0" fontId="5" fillId="0" borderId="42" xfId="0" applyFont="1" applyFill="1" applyBorder="1" applyAlignment="1">
      <alignment vertical="top"/>
    </xf>
    <xf numFmtId="0" fontId="5" fillId="0" borderId="20" xfId="0" applyFont="1" applyBorder="1" applyAlignment="1">
      <alignment vertical="top"/>
    </xf>
    <xf numFmtId="167" fontId="5" fillId="0" borderId="36" xfId="0" applyNumberFormat="1" applyFont="1" applyBorder="1" applyAlignment="1">
      <alignment vertical="top"/>
    </xf>
    <xf numFmtId="167" fontId="5" fillId="0" borderId="57" xfId="0" applyNumberFormat="1" applyFont="1" applyBorder="1" applyAlignment="1">
      <alignment vertical="top"/>
    </xf>
    <xf numFmtId="43" fontId="0" fillId="0" borderId="0" xfId="4" applyFont="1" applyFill="1" applyBorder="1" applyAlignment="1">
      <alignment vertical="top"/>
    </xf>
    <xf numFmtId="167" fontId="0" fillId="0" borderId="0" xfId="4" applyNumberFormat="1" applyFont="1" applyFill="1" applyBorder="1" applyAlignment="1">
      <alignment vertical="top"/>
    </xf>
    <xf numFmtId="167" fontId="0" fillId="0" borderId="40" xfId="4" applyNumberFormat="1" applyFont="1" applyFill="1" applyBorder="1" applyAlignment="1">
      <alignment vertical="top"/>
    </xf>
    <xf numFmtId="0" fontId="0" fillId="0" borderId="44" xfId="0" applyFill="1" applyBorder="1" applyAlignment="1">
      <alignment vertical="top"/>
    </xf>
    <xf numFmtId="43" fontId="0" fillId="0" borderId="36" xfId="4" applyFont="1" applyFill="1" applyBorder="1" applyAlignment="1">
      <alignment vertical="top"/>
    </xf>
    <xf numFmtId="167" fontId="0" fillId="0" borderId="36" xfId="4" applyNumberFormat="1" applyFont="1" applyFill="1" applyBorder="1" applyAlignment="1">
      <alignment vertical="top"/>
    </xf>
    <xf numFmtId="167" fontId="0" fillId="0" borderId="57" xfId="4" applyNumberFormat="1" applyFont="1" applyFill="1" applyBorder="1" applyAlignment="1">
      <alignment vertical="top"/>
    </xf>
    <xf numFmtId="167" fontId="5" fillId="0" borderId="43" xfId="4" applyNumberFormat="1" applyFont="1" applyBorder="1"/>
    <xf numFmtId="167" fontId="5" fillId="0" borderId="41" xfId="4" applyNumberFormat="1" applyFont="1" applyBorder="1"/>
    <xf numFmtId="167" fontId="5" fillId="0" borderId="36" xfId="4" applyNumberFormat="1" applyFont="1" applyBorder="1" applyAlignment="1">
      <alignment vertical="top"/>
    </xf>
    <xf numFmtId="167" fontId="5" fillId="0" borderId="57" xfId="4" applyNumberFormat="1" applyFont="1" applyBorder="1" applyAlignment="1">
      <alignment vertical="top"/>
    </xf>
    <xf numFmtId="0" fontId="31" fillId="0" borderId="36" xfId="0" applyFont="1" applyBorder="1" applyAlignment="1">
      <alignment vertical="top"/>
    </xf>
    <xf numFmtId="167" fontId="31" fillId="0" borderId="36" xfId="4" applyNumberFormat="1" applyFont="1" applyBorder="1" applyAlignment="1">
      <alignment vertical="top"/>
    </xf>
    <xf numFmtId="167" fontId="31" fillId="0" borderId="57" xfId="4" applyNumberFormat="1" applyFont="1" applyBorder="1" applyAlignment="1">
      <alignment vertical="top"/>
    </xf>
    <xf numFmtId="43" fontId="0" fillId="0" borderId="0" xfId="0" applyNumberFormat="1" applyFill="1" applyAlignment="1">
      <alignment vertical="top"/>
    </xf>
    <xf numFmtId="1" fontId="45" fillId="19" borderId="0" xfId="0" applyNumberFormat="1" applyFont="1" applyFill="1" applyBorder="1" applyAlignment="1">
      <alignment horizontal="center"/>
    </xf>
    <xf numFmtId="9" fontId="0" fillId="0" borderId="40" xfId="5" applyFont="1" applyFill="1" applyBorder="1" applyAlignment="1">
      <alignment vertical="top"/>
    </xf>
    <xf numFmtId="0" fontId="0" fillId="0" borderId="43" xfId="0" applyFont="1" applyBorder="1" applyAlignment="1">
      <alignment vertical="top"/>
    </xf>
    <xf numFmtId="167" fontId="0" fillId="0" borderId="43" xfId="0" applyNumberFormat="1" applyFont="1" applyBorder="1" applyAlignment="1">
      <alignment vertical="top"/>
    </xf>
    <xf numFmtId="167" fontId="0" fillId="0" borderId="41" xfId="0" applyNumberFormat="1" applyFont="1" applyBorder="1" applyAlignment="1">
      <alignment vertical="top"/>
    </xf>
    <xf numFmtId="0" fontId="0" fillId="0" borderId="62" xfId="0" applyFont="1" applyBorder="1" applyAlignment="1">
      <alignment vertical="top"/>
    </xf>
    <xf numFmtId="167" fontId="0" fillId="0" borderId="66" xfId="4" applyNumberFormat="1" applyFont="1" applyBorder="1" applyAlignment="1">
      <alignment vertical="top"/>
    </xf>
    <xf numFmtId="167" fontId="0" fillId="0" borderId="86" xfId="4" applyNumberFormat="1" applyFont="1" applyBorder="1" applyAlignment="1">
      <alignment vertical="top"/>
    </xf>
    <xf numFmtId="167" fontId="33" fillId="0" borderId="40" xfId="4" applyNumberFormat="1" applyFont="1" applyBorder="1" applyAlignment="1">
      <alignment vertical="top"/>
    </xf>
    <xf numFmtId="167" fontId="85" fillId="0" borderId="0" xfId="0" applyNumberFormat="1" applyFont="1" applyBorder="1" applyAlignment="1">
      <alignment vertical="top"/>
    </xf>
    <xf numFmtId="167" fontId="85" fillId="0" borderId="40" xfId="0" applyNumberFormat="1" applyFont="1" applyBorder="1" applyAlignment="1">
      <alignment vertical="top"/>
    </xf>
    <xf numFmtId="0" fontId="85" fillId="0" borderId="62" xfId="0" applyFont="1" applyBorder="1" applyAlignment="1">
      <alignment vertical="top"/>
    </xf>
    <xf numFmtId="167" fontId="85" fillId="0" borderId="66" xfId="4" applyNumberFormat="1" applyFont="1" applyBorder="1" applyAlignment="1">
      <alignment vertical="top"/>
    </xf>
    <xf numFmtId="167" fontId="85" fillId="0" borderId="86" xfId="4" applyNumberFormat="1" applyFont="1" applyBorder="1" applyAlignment="1">
      <alignment vertical="top"/>
    </xf>
    <xf numFmtId="167" fontId="85" fillId="0" borderId="36" xfId="4" applyNumberFormat="1" applyFont="1" applyBorder="1" applyAlignment="1">
      <alignment vertical="top"/>
    </xf>
    <xf numFmtId="167" fontId="85" fillId="0" borderId="57" xfId="4" applyNumberFormat="1" applyFont="1" applyBorder="1" applyAlignment="1">
      <alignment vertical="top"/>
    </xf>
    <xf numFmtId="0" fontId="33" fillId="0" borderId="20" xfId="0" applyFont="1" applyFill="1" applyBorder="1" applyAlignment="1">
      <alignment vertical="top"/>
    </xf>
    <xf numFmtId="43" fontId="33" fillId="0" borderId="0" xfId="4" applyFont="1" applyFill="1" applyBorder="1" applyAlignment="1">
      <alignment vertical="top"/>
    </xf>
    <xf numFmtId="167" fontId="33" fillId="0" borderId="0" xfId="4" applyNumberFormat="1" applyFont="1" applyFill="1" applyBorder="1" applyAlignment="1">
      <alignment vertical="top"/>
    </xf>
    <xf numFmtId="167" fontId="33" fillId="0" borderId="40" xfId="4" applyNumberFormat="1" applyFont="1" applyFill="1" applyBorder="1" applyAlignment="1">
      <alignment vertical="top"/>
    </xf>
    <xf numFmtId="167" fontId="39" fillId="0" borderId="0" xfId="0" applyNumberFormat="1" applyFont="1" applyFill="1" applyAlignment="1">
      <alignment vertical="top"/>
    </xf>
    <xf numFmtId="167" fontId="0" fillId="0" borderId="64" xfId="4" applyNumberFormat="1" applyFont="1" applyBorder="1" applyAlignment="1">
      <alignment vertical="top"/>
    </xf>
    <xf numFmtId="167" fontId="0" fillId="0" borderId="60" xfId="4" applyNumberFormat="1" applyFont="1" applyBorder="1" applyAlignment="1">
      <alignment vertical="top"/>
    </xf>
    <xf numFmtId="0" fontId="33" fillId="0" borderId="62" xfId="0" applyFont="1" applyBorder="1"/>
    <xf numFmtId="167" fontId="33" fillId="0" borderId="66" xfId="4" applyNumberFormat="1" applyFont="1" applyBorder="1" applyAlignment="1">
      <alignment vertical="top"/>
    </xf>
    <xf numFmtId="167" fontId="33" fillId="0" borderId="86" xfId="4" applyNumberFormat="1" applyFont="1" applyBorder="1" applyAlignment="1">
      <alignment vertical="top"/>
    </xf>
    <xf numFmtId="0" fontId="45" fillId="0" borderId="46" xfId="0" applyFont="1" applyBorder="1"/>
    <xf numFmtId="167" fontId="33" fillId="0" borderId="64" xfId="4" applyNumberFormat="1" applyFont="1" applyBorder="1" applyAlignment="1">
      <alignment vertical="top"/>
    </xf>
    <xf numFmtId="167" fontId="33" fillId="0" borderId="60" xfId="4" applyNumberFormat="1" applyFont="1" applyBorder="1" applyAlignment="1">
      <alignment vertical="top"/>
    </xf>
    <xf numFmtId="0" fontId="0" fillId="0" borderId="20" xfId="0" applyFont="1" applyBorder="1"/>
    <xf numFmtId="0" fontId="0" fillId="0" borderId="46" xfId="0" applyBorder="1" applyAlignment="1">
      <alignment vertical="top"/>
    </xf>
    <xf numFmtId="0" fontId="39" fillId="0" borderId="43" xfId="0" applyFont="1" applyBorder="1" applyAlignment="1">
      <alignment vertical="top"/>
    </xf>
    <xf numFmtId="0" fontId="39" fillId="0" borderId="41" xfId="0" applyFont="1" applyBorder="1" applyAlignment="1">
      <alignment vertical="top"/>
    </xf>
    <xf numFmtId="0" fontId="11" fillId="0" borderId="42" xfId="0" applyFont="1" applyFill="1" applyBorder="1" applyAlignment="1">
      <alignment vertical="top"/>
    </xf>
    <xf numFmtId="0" fontId="5" fillId="0" borderId="42" xfId="0" applyFont="1" applyFill="1" applyBorder="1"/>
    <xf numFmtId="0" fontId="33" fillId="0" borderId="42" xfId="0" applyFont="1" applyBorder="1" applyAlignment="1">
      <alignment vertical="top"/>
    </xf>
    <xf numFmtId="167" fontId="33" fillId="0" borderId="43" xfId="4" applyNumberFormat="1" applyFont="1" applyBorder="1" applyAlignment="1">
      <alignment vertical="top"/>
    </xf>
    <xf numFmtId="167" fontId="33" fillId="0" borderId="41" xfId="4" applyNumberFormat="1" applyFont="1" applyBorder="1" applyAlignment="1">
      <alignment vertical="top"/>
    </xf>
    <xf numFmtId="0" fontId="85" fillId="0" borderId="0" xfId="0" applyFont="1" applyFill="1" applyBorder="1" applyAlignment="1">
      <alignment vertical="top"/>
    </xf>
    <xf numFmtId="0" fontId="33" fillId="0" borderId="62" xfId="0" applyFont="1" applyBorder="1" applyAlignment="1">
      <alignment vertical="top"/>
    </xf>
    <xf numFmtId="167" fontId="33" fillId="0" borderId="66" xfId="0" applyNumberFormat="1" applyFont="1" applyBorder="1" applyAlignment="1">
      <alignment vertical="top"/>
    </xf>
    <xf numFmtId="167" fontId="33" fillId="0" borderId="86" xfId="0" applyNumberFormat="1" applyFont="1" applyBorder="1" applyAlignment="1">
      <alignment vertical="top"/>
    </xf>
    <xf numFmtId="167" fontId="33" fillId="0" borderId="36" xfId="0" applyNumberFormat="1" applyFont="1" applyBorder="1" applyAlignment="1">
      <alignment vertical="top"/>
    </xf>
    <xf numFmtId="167" fontId="33" fillId="0" borderId="57" xfId="0" applyNumberFormat="1" applyFont="1" applyBorder="1" applyAlignment="1">
      <alignment vertical="top"/>
    </xf>
    <xf numFmtId="167" fontId="33" fillId="0" borderId="66" xfId="0" applyNumberFormat="1" applyFont="1" applyFill="1" applyBorder="1" applyAlignment="1">
      <alignment vertical="top"/>
    </xf>
    <xf numFmtId="167" fontId="33" fillId="0" borderId="86" xfId="0" applyNumberFormat="1" applyFont="1" applyFill="1" applyBorder="1" applyAlignment="1">
      <alignment vertical="top"/>
    </xf>
    <xf numFmtId="0" fontId="33" fillId="0" borderId="46" xfId="0" applyFont="1" applyBorder="1" applyAlignment="1">
      <alignment vertical="top"/>
    </xf>
    <xf numFmtId="167" fontId="33" fillId="0" borderId="64" xfId="0" applyNumberFormat="1" applyFont="1" applyFill="1" applyBorder="1" applyAlignment="1">
      <alignment vertical="top"/>
    </xf>
    <xf numFmtId="167" fontId="33" fillId="0" borderId="60" xfId="0" applyNumberFormat="1" applyFont="1" applyFill="1" applyBorder="1" applyAlignment="1">
      <alignment vertical="top"/>
    </xf>
    <xf numFmtId="0" fontId="0" fillId="0" borderId="16" xfId="0" applyBorder="1" applyAlignment="1">
      <alignment vertical="top"/>
    </xf>
    <xf numFmtId="0" fontId="0" fillId="0" borderId="17" xfId="0" applyBorder="1" applyAlignment="1">
      <alignment vertical="top"/>
    </xf>
    <xf numFmtId="0" fontId="0" fillId="0" borderId="19" xfId="0" applyBorder="1" applyAlignment="1">
      <alignment vertical="top"/>
    </xf>
    <xf numFmtId="0" fontId="5" fillId="0" borderId="36" xfId="0" applyFont="1" applyFill="1" applyBorder="1" applyAlignment="1">
      <alignment vertical="top"/>
    </xf>
    <xf numFmtId="1" fontId="0" fillId="0" borderId="0" xfId="0" applyNumberFormat="1" applyFill="1" applyAlignment="1">
      <alignment vertical="top"/>
    </xf>
    <xf numFmtId="0" fontId="5" fillId="19" borderId="0" xfId="0" applyFont="1" applyFill="1" applyAlignment="1">
      <alignment vertical="top"/>
    </xf>
    <xf numFmtId="167" fontId="39" fillId="0" borderId="0" xfId="0" applyNumberFormat="1" applyFont="1" applyAlignment="1">
      <alignment vertical="top"/>
    </xf>
    <xf numFmtId="0" fontId="5" fillId="0" borderId="20" xfId="0" applyFont="1" applyFill="1" applyBorder="1" applyAlignment="1">
      <alignment vertical="top"/>
    </xf>
    <xf numFmtId="0" fontId="85" fillId="0" borderId="0" xfId="0" applyFont="1" applyFill="1" applyAlignment="1">
      <alignment vertical="top"/>
    </xf>
    <xf numFmtId="43" fontId="85" fillId="0" borderId="36" xfId="0" applyNumberFormat="1" applyFont="1" applyBorder="1" applyAlignment="1">
      <alignment vertical="top"/>
    </xf>
    <xf numFmtId="43" fontId="85" fillId="0" borderId="57" xfId="0" applyNumberFormat="1" applyFont="1" applyBorder="1" applyAlignment="1">
      <alignment vertical="top"/>
    </xf>
    <xf numFmtId="167" fontId="0" fillId="0" borderId="74" xfId="0" applyNumberFormat="1" applyBorder="1" applyAlignment="1">
      <alignment vertical="top"/>
    </xf>
    <xf numFmtId="167" fontId="0" fillId="0" borderId="47" xfId="0" applyNumberFormat="1" applyBorder="1" applyAlignment="1">
      <alignment vertical="top"/>
    </xf>
    <xf numFmtId="0" fontId="245" fillId="7" borderId="0" xfId="0" applyFont="1" applyFill="1" applyBorder="1" applyAlignment="1">
      <alignment vertical="center" wrapText="1"/>
    </xf>
    <xf numFmtId="0" fontId="246" fillId="7" borderId="0" xfId="0" applyFont="1" applyFill="1" applyBorder="1" applyAlignment="1">
      <alignment horizontal="left" vertical="center" wrapText="1" indent="1"/>
    </xf>
    <xf numFmtId="0" fontId="250" fillId="7" borderId="0" xfId="0" applyFont="1" applyFill="1" applyBorder="1" applyAlignment="1">
      <alignment horizontal="left" vertical="center" wrapText="1" indent="1"/>
    </xf>
    <xf numFmtId="0" fontId="251" fillId="7" borderId="0" xfId="0" applyFont="1" applyFill="1" applyBorder="1" applyAlignment="1">
      <alignment vertical="center" wrapText="1"/>
    </xf>
    <xf numFmtId="0" fontId="0" fillId="7" borderId="0" xfId="0" applyFont="1" applyFill="1" applyBorder="1" applyAlignment="1">
      <alignment vertical="center"/>
    </xf>
    <xf numFmtId="0" fontId="149" fillId="4" borderId="0" xfId="0" applyFont="1" applyFill="1" applyBorder="1" applyAlignment="1">
      <alignment horizontal="left" vertical="top"/>
    </xf>
    <xf numFmtId="0" fontId="16" fillId="0" borderId="0" xfId="0" applyFont="1" applyFill="1" applyBorder="1" applyAlignment="1">
      <alignment vertical="top" wrapText="1"/>
    </xf>
    <xf numFmtId="169" fontId="3" fillId="3" borderId="40" xfId="2" applyNumberFormat="1" applyFont="1" applyFill="1" applyBorder="1" applyAlignment="1">
      <alignment horizontal="center" vertical="center"/>
    </xf>
    <xf numFmtId="0" fontId="5" fillId="0" borderId="0" xfId="0" applyFont="1" applyBorder="1" applyAlignment="1">
      <alignment horizontal="right" vertical="top"/>
    </xf>
    <xf numFmtId="167" fontId="5" fillId="0" borderId="0" xfId="4" applyNumberFormat="1" applyFont="1" applyBorder="1" applyAlignment="1">
      <alignment vertical="top"/>
    </xf>
    <xf numFmtId="167" fontId="5" fillId="0" borderId="40" xfId="4" applyNumberFormat="1" applyFont="1" applyBorder="1" applyAlignment="1">
      <alignment vertical="top"/>
    </xf>
    <xf numFmtId="0" fontId="0" fillId="0" borderId="36" xfId="0" applyFill="1" applyBorder="1" applyAlignment="1">
      <alignment vertical="top"/>
    </xf>
    <xf numFmtId="167" fontId="0" fillId="0" borderId="43" xfId="4" applyNumberFormat="1" applyFont="1" applyFill="1" applyBorder="1" applyAlignment="1">
      <alignment vertical="top"/>
    </xf>
    <xf numFmtId="172" fontId="0" fillId="0" borderId="43" xfId="0" applyNumberFormat="1" applyFill="1" applyBorder="1" applyAlignment="1">
      <alignment vertical="top"/>
    </xf>
    <xf numFmtId="1" fontId="0" fillId="0" borderId="43" xfId="0" applyNumberFormat="1" applyFill="1" applyBorder="1" applyAlignment="1">
      <alignment vertical="top"/>
    </xf>
    <xf numFmtId="0" fontId="0" fillId="7" borderId="125" xfId="0" applyFill="1" applyBorder="1" applyAlignment="1" applyProtection="1">
      <alignment vertical="top" wrapText="1"/>
    </xf>
    <xf numFmtId="1" fontId="0" fillId="0" borderId="0" xfId="0" applyNumberFormat="1" applyFill="1" applyBorder="1" applyAlignment="1">
      <alignment vertical="top"/>
    </xf>
    <xf numFmtId="43" fontId="0" fillId="0" borderId="0" xfId="0" applyNumberFormat="1" applyFont="1" applyFill="1"/>
    <xf numFmtId="0" fontId="0" fillId="0" borderId="0" xfId="0" applyFill="1" applyBorder="1" applyAlignment="1">
      <alignment horizontal="left" vertical="top" wrapText="1"/>
    </xf>
    <xf numFmtId="167" fontId="85" fillId="0" borderId="0" xfId="4" applyNumberFormat="1" applyFont="1" applyFill="1" applyBorder="1" applyAlignment="1">
      <alignment vertical="top"/>
    </xf>
    <xf numFmtId="0" fontId="0" fillId="0" borderId="0" xfId="0" applyFill="1" applyAlignment="1">
      <alignment vertical="center"/>
    </xf>
    <xf numFmtId="0" fontId="0" fillId="0" borderId="0" xfId="0" applyFill="1" applyAlignment="1">
      <alignment horizontal="center" vertical="top" wrapText="1"/>
    </xf>
    <xf numFmtId="43" fontId="0" fillId="0" borderId="0" xfId="4" applyNumberFormat="1" applyFont="1" applyFill="1" applyBorder="1" applyAlignment="1">
      <alignment vertical="top"/>
    </xf>
    <xf numFmtId="167" fontId="0" fillId="0" borderId="43" xfId="0" applyNumberFormat="1" applyBorder="1" applyAlignment="1">
      <alignment vertical="center"/>
    </xf>
    <xf numFmtId="167" fontId="0" fillId="0" borderId="41" xfId="0" applyNumberFormat="1" applyBorder="1" applyAlignment="1">
      <alignment vertical="center"/>
    </xf>
    <xf numFmtId="167" fontId="0" fillId="0" borderId="0" xfId="0" applyNumberFormat="1" applyBorder="1" applyAlignment="1">
      <alignment vertical="center"/>
    </xf>
    <xf numFmtId="167" fontId="0" fillId="0" borderId="40" xfId="0" applyNumberFormat="1" applyBorder="1" applyAlignment="1">
      <alignment vertical="center"/>
    </xf>
    <xf numFmtId="166" fontId="0" fillId="0" borderId="43" xfId="0" applyNumberFormat="1" applyFill="1" applyBorder="1" applyAlignment="1">
      <alignment vertical="top"/>
    </xf>
    <xf numFmtId="166" fontId="16" fillId="0" borderId="43" xfId="4" applyNumberFormat="1" applyFont="1" applyBorder="1" applyAlignment="1">
      <alignment vertical="top"/>
    </xf>
    <xf numFmtId="166" fontId="16" fillId="0" borderId="41" xfId="4" applyNumberFormat="1" applyFont="1" applyBorder="1" applyAlignment="1">
      <alignment vertical="top"/>
    </xf>
    <xf numFmtId="0" fontId="5" fillId="0" borderId="40" xfId="0" applyFont="1" applyFill="1" applyBorder="1" applyAlignment="1">
      <alignment vertical="top"/>
    </xf>
    <xf numFmtId="0" fontId="5" fillId="0" borderId="57" xfId="0" applyFont="1" applyFill="1" applyBorder="1" applyAlignment="1">
      <alignment vertical="top"/>
    </xf>
    <xf numFmtId="167" fontId="5" fillId="0" borderId="0" xfId="4" applyNumberFormat="1" applyFont="1" applyFill="1" applyBorder="1" applyAlignment="1">
      <alignment vertical="top"/>
    </xf>
    <xf numFmtId="167" fontId="5" fillId="0" borderId="40" xfId="4" applyNumberFormat="1" applyFont="1" applyFill="1" applyBorder="1" applyAlignment="1">
      <alignment vertical="top"/>
    </xf>
    <xf numFmtId="0" fontId="0" fillId="0" borderId="44" xfId="0" applyFont="1" applyFill="1" applyBorder="1" applyAlignment="1">
      <alignment vertical="top"/>
    </xf>
    <xf numFmtId="0" fontId="5" fillId="0" borderId="42" xfId="0" applyFont="1" applyFill="1" applyBorder="1" applyAlignment="1">
      <alignment horizontal="left" vertical="top" wrapText="1"/>
    </xf>
    <xf numFmtId="0" fontId="0" fillId="0" borderId="20" xfId="0" applyFill="1" applyBorder="1" applyAlignment="1">
      <alignment horizontal="left" vertical="top" wrapText="1"/>
    </xf>
    <xf numFmtId="172" fontId="0" fillId="0" borderId="41" xfId="0" applyNumberFormat="1" applyFill="1" applyBorder="1" applyAlignment="1">
      <alignment vertical="top"/>
    </xf>
    <xf numFmtId="167" fontId="0" fillId="0" borderId="40" xfId="0" applyNumberFormat="1" applyFill="1" applyBorder="1" applyAlignment="1">
      <alignment vertical="top"/>
    </xf>
    <xf numFmtId="43" fontId="0" fillId="0" borderId="40" xfId="4" applyNumberFormat="1" applyFont="1" applyFill="1" applyBorder="1" applyAlignment="1">
      <alignment vertical="top"/>
    </xf>
    <xf numFmtId="0" fontId="85" fillId="0" borderId="20" xfId="0" applyFont="1" applyFill="1" applyBorder="1" applyAlignment="1">
      <alignment horizontal="left" vertical="top" wrapText="1"/>
    </xf>
    <xf numFmtId="167" fontId="85" fillId="0" borderId="40" xfId="4" applyNumberFormat="1" applyFont="1" applyFill="1" applyBorder="1" applyAlignment="1">
      <alignment vertical="top"/>
    </xf>
    <xf numFmtId="1" fontId="0" fillId="0" borderId="40" xfId="0" applyNumberFormat="1" applyFill="1" applyBorder="1" applyAlignment="1">
      <alignment vertical="top"/>
    </xf>
    <xf numFmtId="0" fontId="16" fillId="0" borderId="20" xfId="0" applyFont="1" applyFill="1" applyBorder="1" applyAlignment="1">
      <alignment horizontal="left" vertical="top" wrapText="1"/>
    </xf>
    <xf numFmtId="0" fontId="33" fillId="0" borderId="20" xfId="0" applyFont="1" applyFill="1" applyBorder="1" applyAlignment="1">
      <alignment horizontal="left" vertical="top" wrapText="1"/>
    </xf>
    <xf numFmtId="167" fontId="85" fillId="0" borderId="0" xfId="4" applyNumberFormat="1" applyFont="1" applyFill="1" applyBorder="1" applyAlignment="1">
      <alignment vertical="center"/>
    </xf>
    <xf numFmtId="167" fontId="85" fillId="0" borderId="40" xfId="4" applyNumberFormat="1" applyFont="1" applyFill="1" applyBorder="1" applyAlignment="1">
      <alignment vertical="center"/>
    </xf>
    <xf numFmtId="0" fontId="5" fillId="0" borderId="13" xfId="0" applyFont="1" applyBorder="1" applyAlignment="1">
      <alignment horizontal="left" vertical="center" wrapText="1"/>
    </xf>
    <xf numFmtId="169" fontId="5" fillId="0" borderId="14" xfId="4" applyNumberFormat="1" applyFont="1" applyFill="1" applyBorder="1" applyAlignment="1">
      <alignment vertical="center"/>
    </xf>
    <xf numFmtId="169" fontId="5" fillId="0" borderId="15" xfId="4" applyNumberFormat="1" applyFont="1" applyFill="1" applyBorder="1" applyAlignment="1">
      <alignment vertical="center"/>
    </xf>
    <xf numFmtId="0" fontId="225" fillId="0" borderId="0" xfId="0" applyFont="1" applyFill="1" applyBorder="1" applyAlignment="1">
      <alignment horizontal="left" vertical="top" wrapText="1"/>
    </xf>
    <xf numFmtId="169" fontId="225" fillId="0" borderId="0" xfId="0" applyNumberFormat="1" applyFont="1" applyFill="1" applyBorder="1" applyAlignment="1">
      <alignment vertical="top"/>
    </xf>
    <xf numFmtId="0" fontId="0" fillId="0" borderId="20" xfId="0" applyFont="1" applyFill="1" applyBorder="1" applyAlignment="1">
      <alignment horizontal="left" vertical="top" wrapText="1"/>
    </xf>
    <xf numFmtId="9" fontId="0" fillId="0" borderId="0" xfId="5" applyFont="1" applyAlignment="1">
      <alignment vertical="top"/>
    </xf>
    <xf numFmtId="0" fontId="226" fillId="0" borderId="0" xfId="0" applyFont="1" applyFill="1" applyAlignment="1">
      <alignment vertical="top"/>
    </xf>
    <xf numFmtId="0" fontId="11" fillId="0" borderId="42" xfId="0" applyFont="1" applyFill="1" applyBorder="1" applyAlignment="1">
      <alignment horizontal="left" vertical="top" wrapText="1"/>
    </xf>
    <xf numFmtId="0" fontId="11" fillId="0" borderId="43" xfId="0" applyFont="1" applyFill="1" applyBorder="1" applyAlignment="1">
      <alignment vertical="top"/>
    </xf>
    <xf numFmtId="167" fontId="11" fillId="0" borderId="43" xfId="4" applyNumberFormat="1" applyFont="1" applyFill="1" applyBorder="1" applyAlignment="1">
      <alignment vertical="top"/>
    </xf>
    <xf numFmtId="167" fontId="11" fillId="0" borderId="41" xfId="4" applyNumberFormat="1" applyFont="1" applyFill="1" applyBorder="1" applyAlignment="1">
      <alignment vertical="top"/>
    </xf>
    <xf numFmtId="9" fontId="16" fillId="0" borderId="40" xfId="5" applyFont="1" applyFill="1" applyBorder="1" applyAlignment="1">
      <alignment vertical="top"/>
    </xf>
    <xf numFmtId="0" fontId="16" fillId="0" borderId="44" xfId="0" applyFont="1" applyFill="1" applyBorder="1" applyAlignment="1">
      <alignment horizontal="left" vertical="top" wrapText="1"/>
    </xf>
    <xf numFmtId="9" fontId="16" fillId="0" borderId="36" xfId="5" applyFont="1" applyFill="1" applyBorder="1" applyAlignment="1">
      <alignment vertical="top"/>
    </xf>
    <xf numFmtId="9" fontId="16" fillId="0" borderId="57" xfId="5" applyFont="1" applyFill="1" applyBorder="1" applyAlignment="1">
      <alignment vertical="top"/>
    </xf>
    <xf numFmtId="167" fontId="3" fillId="0" borderId="0" xfId="4" applyNumberFormat="1" applyFont="1" applyFill="1" applyBorder="1" applyAlignment="1">
      <alignment vertical="center"/>
    </xf>
    <xf numFmtId="167" fontId="3" fillId="0" borderId="40" xfId="4" applyNumberFormat="1" applyFont="1" applyFill="1" applyBorder="1" applyAlignment="1">
      <alignment vertical="center"/>
    </xf>
    <xf numFmtId="167" fontId="0" fillId="0" borderId="0" xfId="0" applyNumberFormat="1" applyFont="1" applyFill="1" applyBorder="1" applyAlignment="1">
      <alignment vertical="top"/>
    </xf>
    <xf numFmtId="167" fontId="0" fillId="0" borderId="40" xfId="0" applyNumberFormat="1" applyFont="1" applyFill="1" applyBorder="1" applyAlignment="1">
      <alignment vertical="top"/>
    </xf>
    <xf numFmtId="0" fontId="0" fillId="0" borderId="36" xfId="0" applyFont="1" applyFill="1" applyBorder="1" applyAlignment="1">
      <alignment vertical="top"/>
    </xf>
    <xf numFmtId="167" fontId="0" fillId="0" borderId="36" xfId="0" applyNumberFormat="1" applyFont="1" applyFill="1" applyBorder="1" applyAlignment="1">
      <alignment vertical="top"/>
    </xf>
    <xf numFmtId="167" fontId="0" fillId="0" borderId="57" xfId="0" applyNumberFormat="1" applyFont="1" applyFill="1" applyBorder="1" applyAlignment="1">
      <alignment vertical="top"/>
    </xf>
    <xf numFmtId="167" fontId="0" fillId="0" borderId="43" xfId="0" applyNumberFormat="1" applyFont="1" applyFill="1" applyBorder="1" applyAlignment="1">
      <alignment vertical="top"/>
    </xf>
    <xf numFmtId="167" fontId="0" fillId="0" borderId="41" xfId="0" applyNumberFormat="1" applyFont="1" applyFill="1" applyBorder="1" applyAlignment="1">
      <alignment vertical="top"/>
    </xf>
    <xf numFmtId="0" fontId="0" fillId="0" borderId="44" xfId="0" applyFill="1" applyBorder="1" applyAlignment="1">
      <alignment horizontal="left" vertical="top" wrapText="1"/>
    </xf>
    <xf numFmtId="9" fontId="11" fillId="29" borderId="12" xfId="5" applyNumberFormat="1" applyFont="1" applyFill="1" applyBorder="1" applyAlignment="1">
      <alignment horizontal="right" vertical="top"/>
    </xf>
    <xf numFmtId="0" fontId="18" fillId="0" borderId="0" xfId="0" applyFont="1" applyFill="1" applyAlignment="1">
      <alignment horizontal="center" vertical="top" wrapText="1"/>
    </xf>
    <xf numFmtId="0" fontId="85" fillId="0" borderId="0" xfId="0" applyFont="1" applyFill="1" applyBorder="1" applyAlignment="1">
      <alignment horizontal="left" vertical="top"/>
    </xf>
    <xf numFmtId="167" fontId="36" fillId="0" borderId="0" xfId="4" applyNumberFormat="1" applyFont="1" applyBorder="1" applyAlignment="1">
      <alignment horizontal="center" vertical="top" wrapText="1"/>
    </xf>
    <xf numFmtId="0" fontId="85" fillId="0" borderId="0" xfId="0" applyFont="1" applyFill="1" applyBorder="1" applyAlignment="1">
      <alignment horizontal="center" vertical="top"/>
    </xf>
    <xf numFmtId="167" fontId="36" fillId="0" borderId="0" xfId="4" applyNumberFormat="1" applyFont="1" applyBorder="1" applyAlignment="1">
      <alignment vertical="top"/>
    </xf>
    <xf numFmtId="43" fontId="16" fillId="0" borderId="0" xfId="4" applyFont="1" applyBorder="1" applyAlignment="1">
      <alignment vertical="top"/>
    </xf>
    <xf numFmtId="43" fontId="16" fillId="0" borderId="66" xfId="4" applyFont="1" applyBorder="1" applyAlignment="1">
      <alignment vertical="top"/>
    </xf>
    <xf numFmtId="167" fontId="16" fillId="0" borderId="62" xfId="4" applyNumberFormat="1" applyFont="1" applyBorder="1" applyAlignment="1">
      <alignment vertical="top" wrapText="1"/>
    </xf>
    <xf numFmtId="167" fontId="16" fillId="0" borderId="20" xfId="4" applyNumberFormat="1" applyFont="1" applyBorder="1" applyAlignment="1">
      <alignment vertical="top" wrapText="1"/>
    </xf>
    <xf numFmtId="167" fontId="16" fillId="0" borderId="44" xfId="4" applyNumberFormat="1" applyFont="1" applyBorder="1" applyAlignment="1">
      <alignment vertical="top" wrapText="1"/>
    </xf>
    <xf numFmtId="43" fontId="16" fillId="0" borderId="36" xfId="4" applyFont="1" applyBorder="1" applyAlignment="1">
      <alignment vertical="top"/>
    </xf>
    <xf numFmtId="43" fontId="16" fillId="0" borderId="57" xfId="4" applyFont="1" applyBorder="1" applyAlignment="1">
      <alignment vertical="top"/>
    </xf>
    <xf numFmtId="0" fontId="256" fillId="0" borderId="42" xfId="0" applyFont="1" applyFill="1" applyBorder="1" applyAlignment="1">
      <alignment vertical="top"/>
    </xf>
    <xf numFmtId="0" fontId="256" fillId="0" borderId="20" xfId="0" applyFont="1" applyFill="1" applyBorder="1" applyAlignment="1">
      <alignment vertical="top"/>
    </xf>
    <xf numFmtId="167" fontId="39" fillId="0" borderId="0" xfId="4" applyNumberFormat="1" applyFont="1" applyAlignment="1">
      <alignment vertical="top"/>
    </xf>
    <xf numFmtId="167" fontId="39" fillId="0" borderId="0" xfId="4" applyNumberFormat="1" applyFont="1" applyFill="1" applyAlignment="1">
      <alignment vertical="top"/>
    </xf>
    <xf numFmtId="169" fontId="5" fillId="0" borderId="15" xfId="0" applyNumberFormat="1" applyFont="1" applyFill="1" applyBorder="1" applyAlignment="1">
      <alignment vertical="top"/>
    </xf>
    <xf numFmtId="167" fontId="16" fillId="0" borderId="0" xfId="0" applyNumberFormat="1" applyFont="1" applyFill="1" applyBorder="1" applyAlignment="1">
      <alignment vertical="top"/>
    </xf>
    <xf numFmtId="169" fontId="16" fillId="0" borderId="0" xfId="0" applyNumberFormat="1" applyFont="1" applyFill="1" applyBorder="1" applyAlignment="1">
      <alignment vertical="top"/>
    </xf>
    <xf numFmtId="167" fontId="16" fillId="0" borderId="43" xfId="0" applyNumberFormat="1" applyFont="1" applyFill="1" applyBorder="1" applyAlignment="1">
      <alignment vertical="top"/>
    </xf>
    <xf numFmtId="169" fontId="16" fillId="0" borderId="43" xfId="0" applyNumberFormat="1" applyFont="1" applyFill="1" applyBorder="1" applyAlignment="1">
      <alignment vertical="top"/>
    </xf>
    <xf numFmtId="169" fontId="16" fillId="0" borderId="40" xfId="0" applyNumberFormat="1" applyFont="1" applyFill="1" applyBorder="1" applyAlignment="1">
      <alignment vertical="top"/>
    </xf>
    <xf numFmtId="167" fontId="11" fillId="29" borderId="19" xfId="2" applyNumberFormat="1" applyFont="1" applyFill="1" applyBorder="1" applyAlignment="1">
      <alignment vertical="top"/>
    </xf>
    <xf numFmtId="43" fontId="58" fillId="29" borderId="19" xfId="2" applyFont="1" applyFill="1" applyBorder="1" applyAlignment="1">
      <alignment horizontal="left" vertical="top"/>
    </xf>
    <xf numFmtId="167" fontId="16" fillId="0" borderId="41" xfId="0" applyNumberFormat="1" applyFont="1" applyFill="1" applyBorder="1" applyAlignment="1">
      <alignment vertical="top"/>
    </xf>
    <xf numFmtId="43" fontId="16" fillId="0" borderId="40" xfId="4" applyFont="1" applyFill="1" applyBorder="1" applyAlignment="1">
      <alignment vertical="top"/>
    </xf>
    <xf numFmtId="167" fontId="16" fillId="0" borderId="40" xfId="4" applyNumberFormat="1" applyFont="1" applyFill="1" applyBorder="1" applyAlignment="1">
      <alignment vertical="top"/>
    </xf>
    <xf numFmtId="167" fontId="16" fillId="0" borderId="36" xfId="0" applyNumberFormat="1" applyFont="1" applyFill="1" applyBorder="1" applyAlignment="1">
      <alignment vertical="top"/>
    </xf>
    <xf numFmtId="167" fontId="16" fillId="0" borderId="36" xfId="4" applyNumberFormat="1" applyFont="1" applyFill="1" applyBorder="1" applyAlignment="1">
      <alignment vertical="top"/>
    </xf>
    <xf numFmtId="0" fontId="11" fillId="29" borderId="19" xfId="0" applyFont="1" applyFill="1" applyBorder="1" applyAlignment="1">
      <alignment vertical="top" wrapText="1"/>
    </xf>
    <xf numFmtId="43" fontId="5" fillId="0" borderId="43" xfId="4" applyNumberFormat="1" applyFont="1" applyFill="1" applyBorder="1" applyAlignment="1">
      <alignment vertical="center"/>
    </xf>
    <xf numFmtId="43" fontId="5" fillId="0" borderId="41" xfId="4" applyNumberFormat="1" applyFont="1" applyFill="1" applyBorder="1" applyAlignment="1">
      <alignment vertical="center"/>
    </xf>
    <xf numFmtId="0" fontId="0" fillId="0" borderId="75" xfId="0" applyFont="1" applyFill="1" applyBorder="1" applyAlignment="1">
      <alignment horizontal="left" vertical="top" wrapText="1"/>
    </xf>
    <xf numFmtId="173" fontId="3" fillId="0" borderId="76" xfId="4" applyNumberFormat="1" applyFont="1" applyFill="1" applyBorder="1" applyAlignment="1">
      <alignment vertical="center"/>
    </xf>
    <xf numFmtId="173" fontId="3" fillId="0" borderId="79" xfId="4" applyNumberFormat="1" applyFont="1" applyFill="1" applyBorder="1" applyAlignment="1">
      <alignment vertical="center"/>
    </xf>
    <xf numFmtId="169" fontId="85" fillId="0" borderId="0" xfId="4" applyNumberFormat="1" applyFont="1" applyFill="1" applyBorder="1" applyAlignment="1">
      <alignment vertical="top"/>
    </xf>
    <xf numFmtId="169" fontId="85" fillId="0" borderId="40" xfId="4" applyNumberFormat="1" applyFont="1" applyFill="1" applyBorder="1" applyAlignment="1">
      <alignment vertical="top"/>
    </xf>
    <xf numFmtId="169" fontId="16" fillId="0" borderId="0" xfId="2" applyNumberFormat="1" applyFont="1" applyFill="1" applyBorder="1" applyAlignment="1">
      <alignment vertical="top"/>
    </xf>
    <xf numFmtId="0" fontId="16" fillId="0" borderId="42" xfId="0" applyFont="1" applyFill="1" applyBorder="1" applyAlignment="1">
      <alignment vertical="top" wrapText="1"/>
    </xf>
    <xf numFmtId="43" fontId="16" fillId="0" borderId="43" xfId="2" applyFont="1" applyFill="1" applyBorder="1" applyAlignment="1">
      <alignment vertical="top"/>
    </xf>
    <xf numFmtId="0" fontId="16" fillId="0" borderId="44" xfId="0" applyFont="1" applyFill="1" applyBorder="1" applyAlignment="1">
      <alignment vertical="top" wrapText="1"/>
    </xf>
    <xf numFmtId="43" fontId="16" fillId="0" borderId="36" xfId="2" applyFont="1" applyFill="1" applyBorder="1" applyAlignment="1">
      <alignment vertical="top"/>
    </xf>
    <xf numFmtId="43" fontId="16" fillId="0" borderId="57" xfId="2" applyFont="1" applyFill="1" applyBorder="1" applyAlignment="1">
      <alignment vertical="top"/>
    </xf>
    <xf numFmtId="43" fontId="16" fillId="0" borderId="0" xfId="2" applyNumberFormat="1" applyFont="1" applyFill="1" applyBorder="1" applyAlignment="1">
      <alignment vertical="top"/>
    </xf>
    <xf numFmtId="43" fontId="16" fillId="0" borderId="41" xfId="2" applyFont="1" applyFill="1" applyBorder="1" applyAlignment="1">
      <alignment vertical="top"/>
    </xf>
    <xf numFmtId="43" fontId="16" fillId="0" borderId="40" xfId="2" applyNumberFormat="1" applyFont="1" applyFill="1" applyBorder="1" applyAlignment="1">
      <alignment vertical="top"/>
    </xf>
    <xf numFmtId="43" fontId="16" fillId="0" borderId="40" xfId="2" applyFont="1" applyFill="1" applyBorder="1" applyAlignment="1">
      <alignment vertical="top"/>
    </xf>
    <xf numFmtId="0" fontId="0" fillId="4" borderId="0" xfId="0" applyFont="1" applyFill="1" applyBorder="1" applyAlignment="1" applyProtection="1">
      <alignment horizontal="left" vertical="top"/>
    </xf>
    <xf numFmtId="0" fontId="39" fillId="0" borderId="20" xfId="0" applyFont="1" applyBorder="1" applyAlignment="1">
      <alignment vertical="top"/>
    </xf>
    <xf numFmtId="0" fontId="16" fillId="0" borderId="20" xfId="0" applyFont="1" applyFill="1" applyBorder="1" applyAlignment="1">
      <alignment vertical="top" wrapText="1"/>
    </xf>
    <xf numFmtId="173" fontId="0" fillId="0" borderId="0" xfId="4" applyNumberFormat="1" applyFont="1" applyAlignment="1">
      <alignment vertical="top"/>
    </xf>
    <xf numFmtId="0" fontId="85" fillId="0" borderId="42" xfId="0" applyFont="1" applyFill="1" applyBorder="1" applyAlignment="1">
      <alignment vertical="top" wrapText="1"/>
    </xf>
    <xf numFmtId="43" fontId="85" fillId="0" borderId="43" xfId="5" applyNumberFormat="1" applyFont="1" applyBorder="1" applyAlignment="1">
      <alignment vertical="top"/>
    </xf>
    <xf numFmtId="43" fontId="85" fillId="0" borderId="41" xfId="5" applyNumberFormat="1" applyFont="1" applyBorder="1" applyAlignment="1">
      <alignment vertical="top"/>
    </xf>
    <xf numFmtId="43" fontId="85" fillId="0" borderId="43" xfId="2" applyFont="1" applyFill="1" applyBorder="1" applyAlignment="1">
      <alignment vertical="top"/>
    </xf>
    <xf numFmtId="0" fontId="11" fillId="0" borderId="44" xfId="0" applyFont="1" applyBorder="1" applyAlignment="1">
      <alignment vertical="top"/>
    </xf>
    <xf numFmtId="0" fontId="11" fillId="0" borderId="36" xfId="0" applyFont="1" applyFill="1" applyBorder="1" applyAlignment="1">
      <alignment vertical="top"/>
    </xf>
    <xf numFmtId="43" fontId="11" fillId="0" borderId="36" xfId="2" applyFont="1" applyFill="1" applyBorder="1" applyAlignment="1">
      <alignment vertical="top"/>
    </xf>
    <xf numFmtId="43" fontId="11" fillId="0" borderId="57" xfId="2" applyFont="1" applyFill="1" applyBorder="1" applyAlignment="1">
      <alignment vertical="top"/>
    </xf>
    <xf numFmtId="0" fontId="39" fillId="0" borderId="42" xfId="0" applyFont="1" applyBorder="1" applyAlignment="1">
      <alignment vertical="top"/>
    </xf>
    <xf numFmtId="0" fontId="39" fillId="0" borderId="44" xfId="0" applyFont="1" applyBorder="1" applyAlignment="1">
      <alignment vertical="top"/>
    </xf>
    <xf numFmtId="0" fontId="33" fillId="0" borderId="20" xfId="0" applyFont="1" applyBorder="1" applyAlignment="1">
      <alignment vertical="top" wrapText="1"/>
    </xf>
    <xf numFmtId="0" fontId="85" fillId="0" borderId="43" xfId="0" applyFont="1" applyFill="1" applyBorder="1" applyAlignment="1">
      <alignment vertical="top" wrapText="1"/>
    </xf>
    <xf numFmtId="0" fontId="16" fillId="0" borderId="36" xfId="0" applyFont="1" applyFill="1" applyBorder="1"/>
    <xf numFmtId="0" fontId="0" fillId="0" borderId="62" xfId="0" applyFill="1" applyBorder="1" applyAlignment="1">
      <alignment vertical="top"/>
    </xf>
    <xf numFmtId="0" fontId="85" fillId="0" borderId="66" xfId="0" applyFont="1" applyFill="1" applyBorder="1" applyAlignment="1">
      <alignment vertical="top" wrapText="1"/>
    </xf>
    <xf numFmtId="43" fontId="85" fillId="0" borderId="66" xfId="5" applyNumberFormat="1" applyFont="1" applyBorder="1" applyAlignment="1">
      <alignment vertical="top"/>
    </xf>
    <xf numFmtId="43" fontId="85" fillId="0" borderId="86" xfId="5" applyNumberFormat="1" applyFont="1" applyBorder="1" applyAlignment="1">
      <alignment vertical="top"/>
    </xf>
    <xf numFmtId="0" fontId="11" fillId="29" borderId="40" xfId="0" applyFont="1" applyFill="1" applyBorder="1" applyAlignment="1">
      <alignment vertical="top"/>
    </xf>
    <xf numFmtId="43" fontId="16" fillId="0" borderId="36" xfId="4" applyFont="1" applyFill="1" applyBorder="1" applyAlignment="1">
      <alignment vertical="top"/>
    </xf>
    <xf numFmtId="43" fontId="16" fillId="0" borderId="43" xfId="4" applyFont="1" applyFill="1" applyBorder="1" applyAlignment="1">
      <alignment vertical="top"/>
    </xf>
    <xf numFmtId="43" fontId="16" fillId="0" borderId="41" xfId="4" applyFont="1" applyFill="1" applyBorder="1" applyAlignment="1">
      <alignment vertical="top"/>
    </xf>
    <xf numFmtId="43" fontId="16" fillId="0" borderId="57" xfId="4" applyFont="1" applyFill="1" applyBorder="1" applyAlignment="1">
      <alignment vertical="top"/>
    </xf>
    <xf numFmtId="43" fontId="16" fillId="0" borderId="0" xfId="5" applyNumberFormat="1" applyFont="1" applyFill="1" applyBorder="1" applyAlignment="1">
      <alignment vertical="top"/>
    </xf>
    <xf numFmtId="0" fontId="72" fillId="0" borderId="20" xfId="0" applyFont="1" applyFill="1" applyBorder="1" applyAlignment="1">
      <alignment horizontal="right" vertical="center" wrapText="1"/>
    </xf>
    <xf numFmtId="43" fontId="16" fillId="0" borderId="36" xfId="4" applyNumberFormat="1" applyFont="1" applyFill="1" applyBorder="1" applyAlignment="1">
      <alignment vertical="top"/>
    </xf>
    <xf numFmtId="43" fontId="16" fillId="0" borderId="57" xfId="4" applyNumberFormat="1" applyFont="1" applyFill="1" applyBorder="1" applyAlignment="1">
      <alignment vertical="top"/>
    </xf>
    <xf numFmtId="167" fontId="16" fillId="0" borderId="40" xfId="2" applyNumberFormat="1" applyFont="1" applyFill="1" applyBorder="1" applyAlignment="1">
      <alignment vertical="top"/>
    </xf>
    <xf numFmtId="9" fontId="32" fillId="0" borderId="0" xfId="5" applyFont="1" applyFill="1" applyBorder="1" applyAlignment="1">
      <alignment vertical="top"/>
    </xf>
    <xf numFmtId="9" fontId="32" fillId="0" borderId="40" xfId="5" applyFont="1" applyFill="1" applyBorder="1" applyAlignment="1">
      <alignment vertical="top"/>
    </xf>
    <xf numFmtId="9" fontId="32" fillId="0" borderId="36" xfId="5" applyFont="1" applyFill="1" applyBorder="1" applyAlignment="1">
      <alignment vertical="top"/>
    </xf>
    <xf numFmtId="9" fontId="32" fillId="0" borderId="57" xfId="5" applyFont="1" applyFill="1" applyBorder="1" applyAlignment="1">
      <alignment vertical="top"/>
    </xf>
    <xf numFmtId="0" fontId="32" fillId="0" borderId="42" xfId="0" applyFont="1" applyBorder="1" applyAlignment="1">
      <alignment vertical="top"/>
    </xf>
    <xf numFmtId="0" fontId="32" fillId="0" borderId="43" xfId="0" applyFont="1" applyFill="1" applyBorder="1" applyAlignment="1">
      <alignment vertical="top" wrapText="1"/>
    </xf>
    <xf numFmtId="43" fontId="32" fillId="0" borderId="43" xfId="4" applyFont="1" applyFill="1" applyBorder="1" applyAlignment="1">
      <alignment vertical="top"/>
    </xf>
    <xf numFmtId="43" fontId="32" fillId="0" borderId="41" xfId="4" applyFont="1" applyFill="1" applyBorder="1" applyAlignment="1">
      <alignment vertical="top"/>
    </xf>
    <xf numFmtId="0" fontId="32" fillId="0" borderId="20" xfId="0" applyFont="1" applyBorder="1" applyAlignment="1">
      <alignment vertical="top"/>
    </xf>
    <xf numFmtId="0" fontId="32" fillId="0" borderId="0" xfId="0" applyFont="1" applyFill="1" applyBorder="1" applyAlignment="1">
      <alignment vertical="top" wrapText="1"/>
    </xf>
    <xf numFmtId="43" fontId="32" fillId="0" borderId="0" xfId="4" applyFont="1" applyFill="1" applyBorder="1" applyAlignment="1">
      <alignment vertical="top"/>
    </xf>
    <xf numFmtId="43" fontId="32" fillId="0" borderId="40" xfId="4" applyFont="1" applyFill="1" applyBorder="1" applyAlignment="1">
      <alignment vertical="top"/>
    </xf>
    <xf numFmtId="0" fontId="32" fillId="0" borderId="44" xfId="0" applyFont="1" applyBorder="1" applyAlignment="1">
      <alignment vertical="top"/>
    </xf>
    <xf numFmtId="0" fontId="32" fillId="0" borderId="36" xfId="0" applyFont="1" applyFill="1" applyBorder="1" applyAlignment="1">
      <alignment vertical="top" wrapText="1"/>
    </xf>
    <xf numFmtId="9" fontId="0" fillId="0" borderId="43" xfId="5" applyFont="1" applyFill="1" applyBorder="1" applyAlignment="1">
      <alignment vertical="top"/>
    </xf>
    <xf numFmtId="9" fontId="0" fillId="0" borderId="41" xfId="5" applyFont="1" applyFill="1" applyBorder="1" applyAlignment="1">
      <alignment vertical="top"/>
    </xf>
    <xf numFmtId="9" fontId="0" fillId="0" borderId="36" xfId="5" applyFont="1" applyFill="1" applyBorder="1" applyAlignment="1">
      <alignment vertical="top"/>
    </xf>
    <xf numFmtId="9" fontId="0" fillId="0" borderId="57" xfId="5" applyFont="1" applyFill="1" applyBorder="1" applyAlignment="1">
      <alignment vertical="top"/>
    </xf>
    <xf numFmtId="0" fontId="54" fillId="0" borderId="0" xfId="0" applyFont="1" applyFill="1" applyAlignment="1">
      <alignment vertical="top"/>
    </xf>
    <xf numFmtId="0" fontId="5" fillId="0" borderId="43" xfId="0" applyFont="1" applyFill="1" applyBorder="1"/>
    <xf numFmtId="0" fontId="9" fillId="0" borderId="0" xfId="0" applyFont="1"/>
    <xf numFmtId="0" fontId="9" fillId="0" borderId="0" xfId="0" applyFont="1" applyFill="1"/>
    <xf numFmtId="167" fontId="0" fillId="0" borderId="0" xfId="4" applyNumberFormat="1" applyFont="1" applyFill="1" applyBorder="1"/>
    <xf numFmtId="0" fontId="9" fillId="0" borderId="0" xfId="0" applyFont="1" applyFill="1" applyBorder="1" applyAlignment="1">
      <alignment horizontal="right"/>
    </xf>
    <xf numFmtId="0" fontId="11" fillId="0" borderId="42" xfId="0" applyFont="1" applyFill="1" applyBorder="1"/>
    <xf numFmtId="0" fontId="11" fillId="0" borderId="43" xfId="0" applyFont="1" applyFill="1" applyBorder="1" applyAlignment="1"/>
    <xf numFmtId="0" fontId="11" fillId="0" borderId="41" xfId="0" applyFont="1" applyFill="1" applyBorder="1" applyAlignment="1"/>
    <xf numFmtId="0" fontId="0" fillId="0" borderId="20" xfId="0" applyFill="1" applyBorder="1"/>
    <xf numFmtId="0" fontId="9" fillId="0" borderId="20" xfId="0" applyFont="1" applyFill="1" applyBorder="1"/>
    <xf numFmtId="0" fontId="9" fillId="0" borderId="44" xfId="0" applyFont="1" applyFill="1" applyBorder="1"/>
    <xf numFmtId="0" fontId="9" fillId="0" borderId="36" xfId="0" applyFont="1" applyFill="1" applyBorder="1" applyAlignment="1">
      <alignment horizontal="right"/>
    </xf>
    <xf numFmtId="0" fontId="11" fillId="0" borderId="62" xfId="0" applyFont="1" applyFill="1" applyBorder="1"/>
    <xf numFmtId="0" fontId="11" fillId="0" borderId="66" xfId="0" applyFont="1" applyFill="1" applyBorder="1" applyAlignment="1"/>
    <xf numFmtId="0" fontId="11" fillId="0" borderId="86" xfId="0" applyFont="1" applyFill="1" applyBorder="1" applyAlignment="1"/>
    <xf numFmtId="0" fontId="36" fillId="0" borderId="12" xfId="0" applyFont="1" applyFill="1" applyBorder="1" applyAlignment="1">
      <alignment wrapText="1"/>
    </xf>
    <xf numFmtId="0" fontId="21" fillId="0" borderId="66" xfId="0" applyFont="1" applyFill="1" applyBorder="1" applyAlignment="1">
      <alignment vertical="top"/>
    </xf>
    <xf numFmtId="0" fontId="5" fillId="0" borderId="36" xfId="0" applyFont="1" applyBorder="1" applyAlignment="1">
      <alignment vertical="top"/>
    </xf>
    <xf numFmtId="43" fontId="5" fillId="0" borderId="36" xfId="0" applyNumberFormat="1" applyFont="1" applyBorder="1" applyAlignment="1">
      <alignment vertical="top"/>
    </xf>
    <xf numFmtId="43" fontId="5" fillId="0" borderId="57" xfId="0" applyNumberFormat="1" applyFont="1" applyBorder="1" applyAlignment="1">
      <alignment vertical="top"/>
    </xf>
    <xf numFmtId="0" fontId="85" fillId="0" borderId="143" xfId="0" applyFont="1" applyFill="1" applyBorder="1" applyAlignment="1">
      <alignment horizontal="left"/>
    </xf>
    <xf numFmtId="167" fontId="0" fillId="0" borderId="143" xfId="4" applyNumberFormat="1" applyFont="1" applyBorder="1" applyAlignment="1">
      <alignment vertical="top"/>
    </xf>
    <xf numFmtId="0" fontId="16" fillId="0" borderId="44" xfId="0" applyFont="1" applyFill="1" applyBorder="1"/>
    <xf numFmtId="0" fontId="16" fillId="0" borderId="36" xfId="0" applyFont="1" applyFill="1" applyBorder="1" applyAlignment="1">
      <alignment wrapText="1"/>
    </xf>
    <xf numFmtId="169" fontId="16" fillId="0" borderId="36" xfId="4" applyNumberFormat="1" applyFont="1" applyFill="1" applyBorder="1"/>
    <xf numFmtId="169" fontId="16" fillId="0" borderId="57" xfId="4" applyNumberFormat="1" applyFont="1" applyFill="1" applyBorder="1"/>
    <xf numFmtId="0" fontId="11" fillId="0" borderId="0" xfId="0" applyFont="1" applyFill="1" applyBorder="1" applyAlignment="1">
      <alignment horizontal="center"/>
    </xf>
    <xf numFmtId="0" fontId="11" fillId="0" borderId="0" xfId="0" applyFont="1" applyFill="1" applyBorder="1" applyAlignment="1">
      <alignment horizontal="left" vertical="center" wrapText="1"/>
    </xf>
    <xf numFmtId="43" fontId="16" fillId="0" borderId="0" xfId="4" applyNumberFormat="1" applyFont="1" applyBorder="1" applyAlignment="1">
      <alignment vertical="top"/>
    </xf>
    <xf numFmtId="0" fontId="39" fillId="0" borderId="20" xfId="0" applyFont="1" applyFill="1" applyBorder="1" applyAlignment="1">
      <alignment vertical="top"/>
    </xf>
    <xf numFmtId="0" fontId="16" fillId="0" borderId="42" xfId="0" applyFont="1" applyFill="1" applyBorder="1"/>
    <xf numFmtId="0" fontId="16" fillId="0" borderId="43" xfId="0" applyFont="1" applyFill="1" applyBorder="1" applyAlignment="1">
      <alignment wrapText="1"/>
    </xf>
    <xf numFmtId="0" fontId="16" fillId="0" borderId="43" xfId="0" applyFont="1" applyFill="1" applyBorder="1"/>
    <xf numFmtId="169" fontId="16" fillId="0" borderId="43" xfId="4" applyNumberFormat="1" applyFont="1" applyFill="1" applyBorder="1"/>
    <xf numFmtId="169" fontId="16" fillId="0" borderId="41" xfId="4" applyNumberFormat="1" applyFont="1" applyFill="1" applyBorder="1"/>
    <xf numFmtId="169" fontId="16" fillId="0" borderId="0" xfId="4" applyNumberFormat="1" applyFont="1" applyFill="1" applyBorder="1"/>
    <xf numFmtId="169" fontId="16" fillId="0" borderId="40" xfId="4" applyNumberFormat="1" applyFont="1" applyFill="1" applyBorder="1"/>
    <xf numFmtId="169" fontId="16" fillId="0" borderId="0" xfId="4" applyNumberFormat="1" applyFont="1" applyFill="1" applyBorder="1" applyAlignment="1">
      <alignment vertical="top"/>
    </xf>
    <xf numFmtId="169" fontId="16" fillId="0" borderId="40" xfId="4" applyNumberFormat="1" applyFont="1" applyFill="1" applyBorder="1" applyAlignment="1">
      <alignment vertical="top"/>
    </xf>
    <xf numFmtId="169" fontId="16" fillId="0" borderId="36" xfId="4" applyNumberFormat="1" applyFont="1" applyFill="1" applyBorder="1" applyAlignment="1">
      <alignment vertical="top"/>
    </xf>
    <xf numFmtId="169" fontId="16" fillId="0" borderId="57" xfId="4" applyNumberFormat="1" applyFont="1" applyFill="1" applyBorder="1" applyAlignment="1">
      <alignment vertical="top"/>
    </xf>
    <xf numFmtId="43" fontId="0" fillId="0" borderId="40" xfId="4" applyFont="1" applyFill="1" applyBorder="1" applyAlignment="1">
      <alignment vertical="top"/>
    </xf>
    <xf numFmtId="0" fontId="0" fillId="0" borderId="66" xfId="0" applyFill="1" applyBorder="1" applyAlignment="1">
      <alignment vertical="top"/>
    </xf>
    <xf numFmtId="0" fontId="222" fillId="0" borderId="0" xfId="0" applyFont="1" applyFill="1" applyBorder="1" applyAlignment="1">
      <alignment vertical="top"/>
    </xf>
    <xf numFmtId="0" fontId="0" fillId="0" borderId="0" xfId="0" applyFont="1" applyBorder="1" applyAlignment="1">
      <alignment vertical="top"/>
    </xf>
    <xf numFmtId="43" fontId="3" fillId="0" borderId="36" xfId="4" applyNumberFormat="1" applyFont="1" applyBorder="1" applyAlignment="1">
      <alignment vertical="top"/>
    </xf>
    <xf numFmtId="0" fontId="39" fillId="25" borderId="0" xfId="0" applyFont="1" applyFill="1" applyProtection="1"/>
    <xf numFmtId="0" fontId="68" fillId="0" borderId="12" xfId="0" applyFont="1" applyFill="1" applyBorder="1" applyAlignment="1">
      <alignment vertical="top"/>
    </xf>
    <xf numFmtId="0" fontId="11" fillId="0" borderId="12" xfId="0" applyFont="1" applyFill="1" applyBorder="1" applyAlignment="1">
      <alignment vertical="center" wrapText="1"/>
    </xf>
    <xf numFmtId="0" fontId="63" fillId="0" borderId="12" xfId="0" applyFont="1" applyFill="1" applyBorder="1" applyAlignment="1">
      <alignment vertical="center"/>
    </xf>
    <xf numFmtId="167" fontId="11" fillId="0" borderId="12" xfId="4" applyNumberFormat="1" applyFont="1" applyFill="1" applyBorder="1" applyAlignment="1">
      <alignment vertical="center"/>
    </xf>
    <xf numFmtId="168" fontId="16" fillId="0" borderId="12" xfId="5" applyNumberFormat="1" applyFont="1" applyFill="1" applyBorder="1" applyAlignment="1">
      <alignment vertical="top"/>
    </xf>
    <xf numFmtId="43" fontId="11" fillId="0" borderId="12" xfId="0" applyNumberFormat="1" applyFont="1" applyFill="1" applyBorder="1" applyAlignment="1">
      <alignment vertical="top"/>
    </xf>
    <xf numFmtId="0" fontId="21" fillId="0" borderId="0" xfId="0" applyFont="1" applyFill="1"/>
    <xf numFmtId="169" fontId="3" fillId="3" borderId="41" xfId="4" applyNumberFormat="1" applyFont="1" applyFill="1" applyBorder="1" applyAlignment="1">
      <alignment vertical="top"/>
    </xf>
    <xf numFmtId="9" fontId="85" fillId="0" borderId="0" xfId="5" applyFont="1" applyBorder="1" applyAlignment="1">
      <alignment vertical="top"/>
    </xf>
    <xf numFmtId="9" fontId="85" fillId="0" borderId="40" xfId="5" applyFont="1" applyBorder="1" applyAlignment="1">
      <alignment vertical="top"/>
    </xf>
    <xf numFmtId="167" fontId="32" fillId="0" borderId="0" xfId="5" applyNumberFormat="1" applyFont="1" applyBorder="1" applyAlignment="1">
      <alignment vertical="top"/>
    </xf>
    <xf numFmtId="167" fontId="0" fillId="0" borderId="66" xfId="4" applyNumberFormat="1" applyFont="1" applyFill="1" applyBorder="1" applyAlignment="1">
      <alignment vertical="top"/>
    </xf>
    <xf numFmtId="167" fontId="0" fillId="0" borderId="86" xfId="4" applyNumberFormat="1" applyFont="1" applyFill="1" applyBorder="1" applyAlignment="1">
      <alignment vertical="top"/>
    </xf>
    <xf numFmtId="167" fontId="5" fillId="0" borderId="0" xfId="0" applyNumberFormat="1" applyFont="1" applyFill="1" applyBorder="1" applyAlignment="1">
      <alignment vertical="top"/>
    </xf>
    <xf numFmtId="167" fontId="5" fillId="0" borderId="40" xfId="0" applyNumberFormat="1" applyFont="1" applyFill="1" applyBorder="1" applyAlignment="1">
      <alignment vertical="top"/>
    </xf>
    <xf numFmtId="167" fontId="16" fillId="0" borderId="5" xfId="0" applyNumberFormat="1" applyFont="1" applyFill="1" applyBorder="1" applyAlignment="1">
      <alignment vertical="top"/>
    </xf>
    <xf numFmtId="167" fontId="33" fillId="0" borderId="0" xfId="0" applyNumberFormat="1" applyFont="1" applyFill="1" applyBorder="1"/>
    <xf numFmtId="0" fontId="45" fillId="0" borderId="0" xfId="0" applyFont="1" applyFill="1" applyAlignment="1">
      <alignment vertical="top"/>
    </xf>
    <xf numFmtId="43" fontId="45" fillId="0" borderId="0" xfId="0" applyNumberFormat="1" applyFont="1" applyFill="1" applyAlignment="1">
      <alignment vertical="top"/>
    </xf>
    <xf numFmtId="167" fontId="0" fillId="0" borderId="0" xfId="0" applyNumberFormat="1" applyFont="1" applyBorder="1" applyAlignment="1">
      <alignment vertical="top"/>
    </xf>
    <xf numFmtId="167" fontId="0" fillId="0" borderId="40" xfId="0" applyNumberFormat="1" applyFont="1" applyBorder="1" applyAlignment="1">
      <alignment vertical="top"/>
    </xf>
    <xf numFmtId="167" fontId="33" fillId="0" borderId="0" xfId="0" applyNumberFormat="1" applyFont="1" applyBorder="1" applyAlignment="1">
      <alignment vertical="top"/>
    </xf>
    <xf numFmtId="167" fontId="33" fillId="0" borderId="40" xfId="0" applyNumberFormat="1" applyFont="1" applyBorder="1" applyAlignment="1">
      <alignment vertical="top"/>
    </xf>
    <xf numFmtId="0" fontId="45" fillId="0" borderId="0" xfId="0" applyFont="1" applyFill="1" applyBorder="1" applyAlignment="1">
      <alignment vertical="top" wrapText="1"/>
    </xf>
    <xf numFmtId="167" fontId="16" fillId="0" borderId="0" xfId="0" applyNumberFormat="1" applyFont="1" applyFill="1" applyBorder="1"/>
    <xf numFmtId="0" fontId="16" fillId="0" borderId="98" xfId="0" applyFont="1" applyFill="1" applyBorder="1" applyAlignment="1">
      <alignment vertical="top"/>
    </xf>
    <xf numFmtId="167" fontId="16" fillId="0" borderId="80" xfId="0" applyNumberFormat="1" applyFont="1" applyFill="1" applyBorder="1" applyAlignment="1">
      <alignment vertical="top"/>
    </xf>
    <xf numFmtId="167" fontId="0" fillId="0" borderId="16" xfId="4" applyNumberFormat="1" applyFont="1" applyFill="1" applyBorder="1" applyAlignment="1">
      <alignment vertical="top"/>
    </xf>
    <xf numFmtId="167" fontId="0" fillId="0" borderId="114" xfId="4" applyNumberFormat="1" applyFont="1" applyFill="1" applyBorder="1" applyAlignment="1">
      <alignment vertical="top"/>
    </xf>
    <xf numFmtId="167" fontId="0" fillId="0" borderId="5" xfId="4" applyNumberFormat="1" applyFont="1" applyFill="1" applyBorder="1" applyAlignment="1">
      <alignment vertical="top"/>
    </xf>
    <xf numFmtId="0" fontId="5" fillId="4" borderId="43" xfId="0" applyFont="1" applyFill="1" applyBorder="1" applyAlignment="1">
      <alignment vertical="top"/>
    </xf>
    <xf numFmtId="0" fontId="11" fillId="4" borderId="0" xfId="0" applyFont="1" applyFill="1" applyBorder="1" applyAlignment="1">
      <alignment vertical="top" wrapText="1"/>
    </xf>
    <xf numFmtId="0" fontId="11" fillId="4" borderId="43" xfId="0" applyFont="1" applyFill="1" applyBorder="1" applyAlignment="1">
      <alignment vertical="top" wrapText="1"/>
    </xf>
    <xf numFmtId="10" fontId="0" fillId="0" borderId="43" xfId="0" applyNumberFormat="1" applyBorder="1" applyAlignment="1">
      <alignment vertical="top"/>
    </xf>
    <xf numFmtId="10" fontId="0" fillId="0" borderId="41" xfId="0" applyNumberFormat="1" applyBorder="1" applyAlignment="1">
      <alignment vertical="top"/>
    </xf>
    <xf numFmtId="0" fontId="0" fillId="0" borderId="264" xfId="0" applyBorder="1" applyAlignment="1">
      <alignment vertical="top"/>
    </xf>
    <xf numFmtId="0" fontId="5" fillId="0" borderId="265" xfId="0" applyFont="1" applyBorder="1" applyAlignment="1">
      <alignment vertical="top"/>
    </xf>
    <xf numFmtId="167" fontId="5" fillId="0" borderId="265" xfId="4" applyNumberFormat="1" applyFont="1" applyBorder="1" applyAlignment="1">
      <alignment vertical="top"/>
    </xf>
    <xf numFmtId="167" fontId="5" fillId="0" borderId="266" xfId="4" applyNumberFormat="1" applyFont="1" applyBorder="1" applyAlignment="1">
      <alignment vertical="top"/>
    </xf>
    <xf numFmtId="0" fontId="0" fillId="0" borderId="267" xfId="0" applyBorder="1" applyAlignment="1">
      <alignment vertical="top"/>
    </xf>
    <xf numFmtId="0" fontId="5" fillId="0" borderId="268" xfId="0" applyFont="1" applyBorder="1" applyAlignment="1">
      <alignment vertical="top"/>
    </xf>
    <xf numFmtId="167" fontId="5" fillId="0" borderId="268" xfId="4" applyNumberFormat="1" applyFont="1" applyBorder="1" applyAlignment="1">
      <alignment vertical="top"/>
    </xf>
    <xf numFmtId="167" fontId="5" fillId="0" borderId="269" xfId="4" applyNumberFormat="1" applyFont="1" applyBorder="1" applyAlignment="1">
      <alignment vertical="top"/>
    </xf>
    <xf numFmtId="43" fontId="3" fillId="0" borderId="0" xfId="4" applyNumberFormat="1" applyFont="1" applyBorder="1" applyAlignment="1">
      <alignment vertical="top"/>
    </xf>
    <xf numFmtId="167" fontId="39" fillId="0" borderId="43" xfId="4" applyNumberFormat="1" applyFont="1" applyBorder="1" applyAlignment="1">
      <alignment vertical="top"/>
    </xf>
    <xf numFmtId="167" fontId="16" fillId="0" borderId="43" xfId="4" applyNumberFormat="1" applyFont="1" applyBorder="1" applyAlignment="1">
      <alignment vertical="top"/>
    </xf>
    <xf numFmtId="0" fontId="33" fillId="0" borderId="264" xfId="0" applyFont="1" applyBorder="1" applyAlignment="1">
      <alignment vertical="top"/>
    </xf>
    <xf numFmtId="0" fontId="33" fillId="0" borderId="265" xfId="0" applyFont="1" applyBorder="1" applyAlignment="1">
      <alignment vertical="top"/>
    </xf>
    <xf numFmtId="167" fontId="33" fillId="0" borderId="265" xfId="4" applyNumberFormat="1" applyFont="1" applyBorder="1" applyAlignment="1">
      <alignment vertical="top"/>
    </xf>
    <xf numFmtId="167" fontId="33" fillId="0" borderId="266" xfId="4" applyNumberFormat="1" applyFont="1" applyBorder="1" applyAlignment="1">
      <alignment vertical="top"/>
    </xf>
    <xf numFmtId="0" fontId="33" fillId="0" borderId="267" xfId="0" applyFont="1" applyBorder="1" applyAlignment="1">
      <alignment vertical="top"/>
    </xf>
    <xf numFmtId="0" fontId="33" fillId="0" borderId="268" xfId="0" applyFont="1" applyBorder="1" applyAlignment="1">
      <alignment vertical="top"/>
    </xf>
    <xf numFmtId="167" fontId="33" fillId="0" borderId="268" xfId="4" applyNumberFormat="1" applyFont="1" applyBorder="1" applyAlignment="1">
      <alignment vertical="top"/>
    </xf>
    <xf numFmtId="167" fontId="33" fillId="0" borderId="269" xfId="4" applyNumberFormat="1" applyFont="1" applyBorder="1" applyAlignment="1">
      <alignment vertical="top"/>
    </xf>
    <xf numFmtId="9" fontId="33" fillId="0" borderId="0" xfId="5" applyFont="1" applyFill="1" applyBorder="1" applyAlignment="1">
      <alignment vertical="top"/>
    </xf>
    <xf numFmtId="9" fontId="33" fillId="0" borderId="20" xfId="5" applyFont="1" applyFill="1" applyBorder="1" applyAlignment="1">
      <alignment vertical="top"/>
    </xf>
    <xf numFmtId="0" fontId="16" fillId="0" borderId="0" xfId="0" applyFont="1" applyFill="1" applyBorder="1" applyAlignment="1">
      <alignment horizontal="right" vertical="top" wrapText="1"/>
    </xf>
    <xf numFmtId="0" fontId="33" fillId="0" borderId="265" xfId="0" applyFont="1" applyFill="1" applyBorder="1" applyAlignment="1">
      <alignment vertical="top"/>
    </xf>
    <xf numFmtId="0" fontId="33" fillId="0" borderId="268" xfId="0" applyFont="1" applyFill="1" applyBorder="1" applyAlignment="1">
      <alignment vertical="top"/>
    </xf>
    <xf numFmtId="0" fontId="5" fillId="0" borderId="265" xfId="0" applyFont="1" applyFill="1" applyBorder="1" applyAlignment="1">
      <alignment vertical="top"/>
    </xf>
    <xf numFmtId="0" fontId="5" fillId="0" borderId="268" xfId="0" applyFont="1" applyFill="1" applyBorder="1" applyAlignment="1">
      <alignment vertical="top"/>
    </xf>
    <xf numFmtId="0" fontId="11" fillId="0" borderId="44" xfId="0" applyFont="1" applyFill="1" applyBorder="1"/>
    <xf numFmtId="167" fontId="16" fillId="0" borderId="0" xfId="0" applyNumberFormat="1" applyFont="1" applyFill="1" applyBorder="1" applyAlignment="1">
      <alignment vertical="center"/>
    </xf>
    <xf numFmtId="167" fontId="16" fillId="0" borderId="0" xfId="2" applyNumberFormat="1" applyFont="1" applyBorder="1" applyAlignment="1">
      <alignment vertical="top"/>
    </xf>
    <xf numFmtId="167" fontId="16" fillId="0" borderId="40" xfId="2" applyNumberFormat="1" applyFont="1" applyBorder="1" applyAlignment="1">
      <alignment vertical="top"/>
    </xf>
    <xf numFmtId="0" fontId="38" fillId="0" borderId="20" xfId="0" applyFont="1" applyFill="1" applyBorder="1" applyAlignment="1">
      <alignment vertical="top"/>
    </xf>
    <xf numFmtId="167" fontId="11" fillId="0" borderId="40" xfId="0" applyNumberFormat="1" applyFont="1" applyFill="1" applyBorder="1"/>
    <xf numFmtId="0" fontId="39" fillId="0" borderId="270" xfId="0" applyFont="1" applyFill="1" applyBorder="1" applyAlignment="1">
      <alignment vertical="top"/>
    </xf>
    <xf numFmtId="0" fontId="16" fillId="0" borderId="271" xfId="0" applyFont="1" applyFill="1" applyBorder="1" applyAlignment="1">
      <alignment vertical="top" wrapText="1"/>
    </xf>
    <xf numFmtId="167" fontId="16" fillId="0" borderId="271" xfId="0" applyNumberFormat="1" applyFont="1" applyFill="1" applyBorder="1" applyAlignment="1">
      <alignment vertical="center"/>
    </xf>
    <xf numFmtId="167" fontId="16" fillId="0" borderId="272" xfId="0" applyNumberFormat="1" applyFont="1" applyFill="1" applyBorder="1" applyAlignment="1">
      <alignment vertical="center"/>
    </xf>
    <xf numFmtId="172" fontId="16" fillId="0" borderId="0" xfId="2" applyNumberFormat="1" applyFont="1" applyFill="1" applyBorder="1" applyAlignment="1">
      <alignment vertical="top"/>
    </xf>
    <xf numFmtId="172" fontId="16" fillId="0" borderId="40" xfId="2" applyNumberFormat="1" applyFont="1" applyFill="1" applyBorder="1" applyAlignment="1">
      <alignment vertical="top"/>
    </xf>
    <xf numFmtId="167" fontId="16" fillId="0" borderId="40" xfId="0" applyNumberFormat="1" applyFont="1" applyFill="1" applyBorder="1" applyAlignment="1">
      <alignment vertical="center"/>
    </xf>
    <xf numFmtId="167" fontId="16" fillId="0" borderId="40" xfId="0" applyNumberFormat="1" applyFont="1" applyFill="1" applyBorder="1" applyAlignment="1">
      <alignment vertical="top"/>
    </xf>
    <xf numFmtId="0" fontId="0" fillId="0" borderId="264" xfId="0" applyFont="1" applyBorder="1" applyAlignment="1">
      <alignment vertical="top"/>
    </xf>
    <xf numFmtId="167" fontId="16" fillId="0" borderId="265" xfId="2" applyNumberFormat="1" applyFont="1" applyFill="1" applyBorder="1" applyAlignment="1">
      <alignment vertical="top"/>
    </xf>
    <xf numFmtId="167" fontId="16" fillId="0" borderId="265" xfId="2" applyNumberFormat="1" applyFont="1" applyBorder="1" applyAlignment="1">
      <alignment vertical="top"/>
    </xf>
    <xf numFmtId="167" fontId="16" fillId="0" borderId="266" xfId="2" applyNumberFormat="1" applyFont="1" applyBorder="1" applyAlignment="1">
      <alignment vertical="top"/>
    </xf>
    <xf numFmtId="0" fontId="33" fillId="0" borderId="267" xfId="0" applyFont="1" applyFill="1" applyBorder="1" applyAlignment="1">
      <alignment vertical="top"/>
    </xf>
    <xf numFmtId="0" fontId="16" fillId="0" borderId="268" xfId="0" applyFont="1" applyFill="1" applyBorder="1" applyAlignment="1">
      <alignment vertical="top" wrapText="1"/>
    </xf>
    <xf numFmtId="167" fontId="16" fillId="0" borderId="268" xfId="0" applyNumberFormat="1" applyFont="1" applyFill="1" applyBorder="1" applyAlignment="1">
      <alignment vertical="top"/>
    </xf>
    <xf numFmtId="167" fontId="16" fillId="0" borderId="269" xfId="0" applyNumberFormat="1" applyFont="1" applyFill="1" applyBorder="1" applyAlignment="1">
      <alignment vertical="top"/>
    </xf>
    <xf numFmtId="0" fontId="11" fillId="4" borderId="0" xfId="0" applyFont="1" applyFill="1" applyBorder="1" applyAlignment="1">
      <alignment wrapText="1"/>
    </xf>
    <xf numFmtId="0" fontId="45" fillId="0" borderId="265" xfId="0" applyFont="1" applyFill="1" applyBorder="1" applyAlignment="1">
      <alignment vertical="top" wrapText="1"/>
    </xf>
    <xf numFmtId="0" fontId="0" fillId="0" borderId="0" xfId="0" applyFill="1" applyAlignment="1">
      <alignment horizontal="left" vertical="top"/>
    </xf>
    <xf numFmtId="0" fontId="190" fillId="13" borderId="0" xfId="0" applyFont="1" applyFill="1" applyAlignment="1">
      <alignment horizontal="left" vertical="top"/>
    </xf>
    <xf numFmtId="0" fontId="33" fillId="0" borderId="43" xfId="0" applyFont="1" applyBorder="1" applyAlignment="1">
      <alignment horizontal="left" vertical="top"/>
    </xf>
    <xf numFmtId="0" fontId="33" fillId="0" borderId="0" xfId="0" applyFont="1" applyFill="1" applyBorder="1" applyAlignment="1">
      <alignment horizontal="left" vertical="top"/>
    </xf>
    <xf numFmtId="0" fontId="45" fillId="0" borderId="265" xfId="0" applyFont="1" applyBorder="1" applyAlignment="1">
      <alignment horizontal="left" vertical="top"/>
    </xf>
    <xf numFmtId="0" fontId="45" fillId="0" borderId="0" xfId="0" applyFont="1" applyBorder="1" applyAlignment="1">
      <alignment horizontal="left" vertical="top"/>
    </xf>
    <xf numFmtId="0" fontId="45" fillId="0" borderId="268" xfId="0" applyFont="1" applyBorder="1" applyAlignment="1">
      <alignment horizontal="left" vertical="top"/>
    </xf>
    <xf numFmtId="0" fontId="85" fillId="0" borderId="0" xfId="0" applyFont="1" applyBorder="1" applyAlignment="1">
      <alignment horizontal="left" vertical="top"/>
    </xf>
    <xf numFmtId="0" fontId="85" fillId="0" borderId="36" xfId="0" applyFont="1" applyBorder="1" applyAlignment="1">
      <alignment horizontal="left" vertical="top"/>
    </xf>
    <xf numFmtId="0" fontId="33" fillId="0" borderId="0" xfId="0" applyFont="1" applyBorder="1" applyAlignment="1">
      <alignment horizontal="left" vertical="top"/>
    </xf>
    <xf numFmtId="0" fontId="21" fillId="0" borderId="265" xfId="0" applyFont="1" applyBorder="1" applyAlignment="1">
      <alignment horizontal="left" vertical="top"/>
    </xf>
    <xf numFmtId="0" fontId="21" fillId="0" borderId="0" xfId="0" applyFont="1" applyBorder="1" applyAlignment="1">
      <alignment horizontal="left" vertical="top"/>
    </xf>
    <xf numFmtId="0" fontId="21" fillId="0" borderId="36" xfId="0" applyFont="1" applyBorder="1" applyAlignment="1">
      <alignment horizontal="left" vertical="top"/>
    </xf>
    <xf numFmtId="0" fontId="85" fillId="0" borderId="43" xfId="0" applyFont="1" applyFill="1" applyBorder="1" applyAlignment="1">
      <alignment horizontal="left" vertical="top"/>
    </xf>
    <xf numFmtId="9" fontId="33" fillId="0" borderId="265" xfId="5" applyFont="1" applyBorder="1" applyAlignment="1">
      <alignment horizontal="left" vertical="top"/>
    </xf>
    <xf numFmtId="9" fontId="33" fillId="0" borderId="0" xfId="5" applyFont="1" applyBorder="1" applyAlignment="1">
      <alignment horizontal="left" vertical="top"/>
    </xf>
    <xf numFmtId="0" fontId="85" fillId="0" borderId="268" xfId="0" applyFont="1" applyBorder="1" applyAlignment="1">
      <alignment horizontal="left" vertical="top"/>
    </xf>
    <xf numFmtId="0" fontId="31" fillId="0" borderId="0" xfId="0" applyFont="1" applyBorder="1" applyAlignment="1">
      <alignment horizontal="left" vertical="top"/>
    </xf>
    <xf numFmtId="0" fontId="31" fillId="0" borderId="268" xfId="0" applyFont="1" applyBorder="1" applyAlignment="1">
      <alignment horizontal="left" vertical="top"/>
    </xf>
    <xf numFmtId="3" fontId="32" fillId="0" borderId="0" xfId="0" applyNumberFormat="1" applyFont="1" applyBorder="1" applyAlignment="1">
      <alignment horizontal="left" vertical="top"/>
    </xf>
    <xf numFmtId="3" fontId="32" fillId="0" borderId="36" xfId="0" applyNumberFormat="1" applyFont="1" applyBorder="1" applyAlignment="1">
      <alignment horizontal="left" vertical="top"/>
    </xf>
    <xf numFmtId="9" fontId="33" fillId="0" borderId="43" xfId="0" applyNumberFormat="1" applyFont="1" applyFill="1" applyBorder="1" applyAlignment="1">
      <alignment horizontal="left" vertical="top"/>
    </xf>
    <xf numFmtId="9" fontId="33" fillId="0" borderId="0" xfId="0" applyNumberFormat="1" applyFont="1" applyFill="1" applyBorder="1" applyAlignment="1">
      <alignment horizontal="left" vertical="top"/>
    </xf>
    <xf numFmtId="9" fontId="33" fillId="0" borderId="43" xfId="0" applyNumberFormat="1" applyFont="1" applyBorder="1" applyAlignment="1">
      <alignment horizontal="left" vertical="top"/>
    </xf>
    <xf numFmtId="9" fontId="33" fillId="0" borderId="0" xfId="0" applyNumberFormat="1" applyFont="1" applyBorder="1" applyAlignment="1">
      <alignment horizontal="left" vertical="top"/>
    </xf>
    <xf numFmtId="0" fontId="85" fillId="0" borderId="265" xfId="0" applyFont="1" applyBorder="1" applyAlignment="1">
      <alignment horizontal="left" vertical="top"/>
    </xf>
    <xf numFmtId="0" fontId="33" fillId="19" borderId="0" xfId="0" applyFont="1" applyFill="1" applyBorder="1" applyAlignment="1">
      <alignment horizontal="left"/>
    </xf>
    <xf numFmtId="0" fontId="33" fillId="0" borderId="0" xfId="0" applyFont="1" applyFill="1" applyBorder="1" applyAlignment="1">
      <alignment horizontal="left"/>
    </xf>
    <xf numFmtId="167" fontId="11" fillId="4" borderId="0" xfId="2" applyNumberFormat="1" applyFont="1" applyFill="1" applyBorder="1" applyAlignment="1">
      <alignment horizontal="left" vertical="top"/>
    </xf>
    <xf numFmtId="167" fontId="33" fillId="0" borderId="271" xfId="2" applyNumberFormat="1" applyFont="1" applyFill="1" applyBorder="1" applyAlignment="1">
      <alignment horizontal="left" vertical="top"/>
    </xf>
    <xf numFmtId="167" fontId="33" fillId="0" borderId="0" xfId="2" applyNumberFormat="1" applyFont="1" applyFill="1" applyBorder="1" applyAlignment="1">
      <alignment horizontal="left" vertical="top"/>
    </xf>
    <xf numFmtId="1" fontId="87" fillId="0" borderId="0" xfId="0" applyNumberFormat="1" applyFont="1" applyFill="1" applyBorder="1" applyAlignment="1">
      <alignment horizontal="left"/>
    </xf>
    <xf numFmtId="0" fontId="16" fillId="0" borderId="0" xfId="0" applyFont="1" applyBorder="1" applyAlignment="1">
      <alignment horizontal="left" vertical="top"/>
    </xf>
    <xf numFmtId="0" fontId="16" fillId="0" borderId="265" xfId="0" applyFont="1" applyBorder="1" applyAlignment="1">
      <alignment horizontal="left" vertical="top"/>
    </xf>
    <xf numFmtId="43" fontId="16" fillId="0" borderId="0" xfId="4" applyFont="1" applyFill="1" applyBorder="1" applyAlignment="1">
      <alignment horizontal="left" vertical="top"/>
    </xf>
    <xf numFmtId="0" fontId="16" fillId="0" borderId="0" xfId="0" applyFont="1" applyFill="1" applyBorder="1" applyAlignment="1">
      <alignment horizontal="left" vertical="top"/>
    </xf>
    <xf numFmtId="1" fontId="87" fillId="0" borderId="268" xfId="0" applyNumberFormat="1" applyFont="1" applyFill="1" applyBorder="1" applyAlignment="1">
      <alignment horizontal="left"/>
    </xf>
    <xf numFmtId="167" fontId="45" fillId="0" borderId="0" xfId="2" applyNumberFormat="1" applyFont="1" applyFill="1" applyBorder="1" applyAlignment="1">
      <alignment horizontal="left" vertical="top"/>
    </xf>
    <xf numFmtId="167" fontId="0" fillId="0" borderId="0" xfId="2" applyNumberFormat="1" applyFont="1" applyFill="1" applyBorder="1" applyAlignment="1">
      <alignment horizontal="left" vertical="top"/>
    </xf>
    <xf numFmtId="167" fontId="0" fillId="0" borderId="36" xfId="2" applyNumberFormat="1" applyFont="1" applyFill="1" applyBorder="1" applyAlignment="1">
      <alignment horizontal="left" vertical="top"/>
    </xf>
    <xf numFmtId="0" fontId="11" fillId="4" borderId="0" xfId="0" applyFont="1" applyFill="1" applyAlignment="1">
      <alignment horizontal="left"/>
    </xf>
    <xf numFmtId="0" fontId="33" fillId="0" borderId="0" xfId="0" applyFont="1" applyFill="1" applyBorder="1" applyAlignment="1">
      <alignment horizontal="left" vertical="center"/>
    </xf>
    <xf numFmtId="0" fontId="33" fillId="0" borderId="0" xfId="0" applyFont="1" applyFill="1" applyAlignment="1">
      <alignment horizontal="left"/>
    </xf>
    <xf numFmtId="0" fontId="45" fillId="0" borderId="0" xfId="0" applyFont="1" applyAlignment="1">
      <alignment horizontal="left"/>
    </xf>
    <xf numFmtId="167" fontId="0" fillId="19" borderId="0" xfId="0" applyNumberFormat="1" applyFill="1" applyBorder="1" applyAlignment="1">
      <alignment horizontal="left"/>
    </xf>
    <xf numFmtId="0" fontId="0" fillId="0" borderId="20" xfId="0" applyBorder="1" applyAlignment="1">
      <alignment horizontal="left" vertical="top"/>
    </xf>
    <xf numFmtId="9" fontId="85" fillId="0" borderId="20" xfId="0" applyNumberFormat="1" applyFont="1" applyBorder="1" applyAlignment="1">
      <alignment horizontal="left" vertical="top"/>
    </xf>
    <xf numFmtId="0" fontId="0" fillId="0" borderId="0" xfId="0" applyAlignment="1">
      <alignment horizontal="left" vertical="top"/>
    </xf>
    <xf numFmtId="0" fontId="85" fillId="0" borderId="36" xfId="0" applyFont="1" applyFill="1" applyBorder="1" applyAlignment="1">
      <alignment horizontal="left" vertical="top"/>
    </xf>
    <xf numFmtId="0" fontId="85" fillId="0" borderId="43" xfId="0" applyFont="1" applyBorder="1" applyAlignment="1">
      <alignment horizontal="left" vertical="top"/>
    </xf>
    <xf numFmtId="0" fontId="85" fillId="0" borderId="66" xfId="0" applyFont="1" applyFill="1" applyBorder="1" applyAlignment="1">
      <alignment horizontal="left" vertical="top"/>
    </xf>
    <xf numFmtId="0" fontId="21" fillId="0" borderId="0" xfId="0" applyFont="1" applyFill="1" applyBorder="1" applyAlignment="1">
      <alignment horizontal="left" vertical="top"/>
    </xf>
    <xf numFmtId="0" fontId="0" fillId="0" borderId="43" xfId="0" applyFill="1" applyBorder="1" applyAlignment="1">
      <alignment horizontal="left" vertical="top"/>
    </xf>
    <xf numFmtId="0" fontId="0" fillId="0" borderId="0" xfId="0" applyBorder="1" applyAlignment="1">
      <alignment horizontal="left" vertical="top"/>
    </xf>
    <xf numFmtId="0" fontId="0" fillId="0" borderId="36" xfId="0" applyBorder="1" applyAlignment="1">
      <alignment horizontal="left" vertical="top"/>
    </xf>
    <xf numFmtId="167" fontId="45" fillId="0" borderId="0" xfId="4" applyNumberFormat="1" applyFont="1" applyFill="1" applyBorder="1" applyAlignment="1">
      <alignment horizontal="left"/>
    </xf>
    <xf numFmtId="0" fontId="0" fillId="0" borderId="43" xfId="0" applyBorder="1" applyAlignment="1">
      <alignment horizontal="left" vertical="top"/>
    </xf>
    <xf numFmtId="0" fontId="85" fillId="0" borderId="64" xfId="0" applyFont="1" applyFill="1" applyBorder="1" applyAlignment="1">
      <alignment horizontal="left" vertical="top"/>
    </xf>
    <xf numFmtId="0" fontId="36" fillId="0" borderId="0" xfId="0" applyFont="1" applyFill="1" applyBorder="1" applyAlignment="1">
      <alignment horizontal="left" vertical="top"/>
    </xf>
    <xf numFmtId="0" fontId="5" fillId="0" borderId="43" xfId="0" applyFont="1" applyBorder="1" applyAlignment="1">
      <alignment horizontal="left"/>
    </xf>
    <xf numFmtId="9" fontId="85" fillId="0" borderId="0" xfId="0" applyNumberFormat="1" applyFont="1" applyBorder="1" applyAlignment="1">
      <alignment horizontal="left" vertical="top"/>
    </xf>
    <xf numFmtId="9" fontId="85" fillId="0" borderId="36" xfId="0" applyNumberFormat="1" applyFont="1" applyBorder="1" applyAlignment="1">
      <alignment horizontal="left" vertical="top"/>
    </xf>
    <xf numFmtId="0" fontId="5" fillId="0" borderId="0" xfId="0" applyFont="1" applyFill="1" applyAlignment="1">
      <alignment horizontal="left" vertical="top"/>
    </xf>
    <xf numFmtId="167" fontId="36" fillId="0" borderId="43" xfId="4" applyNumberFormat="1" applyFont="1" applyFill="1" applyBorder="1" applyAlignment="1">
      <alignment horizontal="left" vertical="top"/>
    </xf>
    <xf numFmtId="167" fontId="36" fillId="0" borderId="0" xfId="4" applyNumberFormat="1" applyFont="1" applyFill="1" applyBorder="1" applyAlignment="1">
      <alignment horizontal="left" vertical="top"/>
    </xf>
    <xf numFmtId="167" fontId="36" fillId="0" borderId="36" xfId="4" applyNumberFormat="1" applyFont="1" applyFill="1" applyBorder="1" applyAlignment="1">
      <alignment horizontal="left" vertical="top"/>
    </xf>
    <xf numFmtId="9" fontId="86" fillId="0" borderId="0" xfId="0" applyNumberFormat="1" applyFont="1" applyBorder="1" applyAlignment="1">
      <alignment horizontal="left" vertical="top"/>
    </xf>
    <xf numFmtId="0" fontId="33" fillId="0" borderId="36" xfId="0" applyFont="1" applyFill="1" applyBorder="1" applyAlignment="1">
      <alignment horizontal="left" vertical="top"/>
    </xf>
    <xf numFmtId="0" fontId="33" fillId="0" borderId="36" xfId="0" applyFont="1" applyBorder="1" applyAlignment="1">
      <alignment horizontal="left" vertical="top"/>
    </xf>
    <xf numFmtId="9" fontId="33" fillId="0" borderId="36" xfId="0" applyNumberFormat="1" applyFont="1" applyBorder="1" applyAlignment="1">
      <alignment horizontal="left" vertical="top"/>
    </xf>
    <xf numFmtId="9" fontId="33" fillId="0" borderId="0" xfId="0" applyNumberFormat="1" applyFont="1" applyAlignment="1">
      <alignment horizontal="left" vertical="top"/>
    </xf>
    <xf numFmtId="0" fontId="45" fillId="0" borderId="43" xfId="0" applyFont="1" applyBorder="1" applyAlignment="1">
      <alignment horizontal="left" vertical="top"/>
    </xf>
    <xf numFmtId="0" fontId="45" fillId="0" borderId="36" xfId="0" applyFont="1" applyBorder="1" applyAlignment="1">
      <alignment horizontal="left" vertical="top"/>
    </xf>
    <xf numFmtId="9" fontId="36" fillId="0" borderId="0" xfId="5" applyFont="1" applyFill="1" applyBorder="1" applyAlignment="1">
      <alignment horizontal="left" vertical="top"/>
    </xf>
    <xf numFmtId="0" fontId="0" fillId="0" borderId="43" xfId="0" applyFont="1" applyBorder="1" applyAlignment="1">
      <alignment horizontal="left" vertical="top"/>
    </xf>
    <xf numFmtId="0" fontId="16" fillId="0" borderId="43" xfId="0" applyFont="1" applyBorder="1" applyAlignment="1">
      <alignment horizontal="left" vertical="top"/>
    </xf>
    <xf numFmtId="0" fontId="0" fillId="0" borderId="66" xfId="0" applyFont="1" applyFill="1" applyBorder="1" applyAlignment="1">
      <alignment horizontal="left" vertical="top"/>
    </xf>
    <xf numFmtId="0" fontId="0" fillId="0" borderId="36" xfId="0" applyFont="1" applyBorder="1" applyAlignment="1">
      <alignment horizontal="left" vertical="top"/>
    </xf>
    <xf numFmtId="0" fontId="0" fillId="0" borderId="0" xfId="0" applyFill="1" applyBorder="1" applyAlignment="1">
      <alignment horizontal="left" vertical="top"/>
    </xf>
    <xf numFmtId="0" fontId="33" fillId="0" borderId="66" xfId="0" applyFont="1" applyBorder="1" applyAlignment="1">
      <alignment horizontal="left" vertical="top"/>
    </xf>
    <xf numFmtId="0" fontId="33" fillId="0" borderId="64" xfId="0" applyFont="1" applyBorder="1" applyAlignment="1">
      <alignment horizontal="left" vertical="top"/>
    </xf>
    <xf numFmtId="9" fontId="33" fillId="0" borderId="64" xfId="0" applyNumberFormat="1" applyFont="1" applyBorder="1" applyAlignment="1">
      <alignment horizontal="left" vertical="top"/>
    </xf>
    <xf numFmtId="43" fontId="33" fillId="0" borderId="43" xfId="0" applyNumberFormat="1" applyFont="1" applyFill="1" applyBorder="1" applyAlignment="1">
      <alignment horizontal="left"/>
    </xf>
    <xf numFmtId="43" fontId="33" fillId="0" borderId="0" xfId="0" applyNumberFormat="1" applyFont="1" applyFill="1" applyBorder="1" applyAlignment="1">
      <alignment horizontal="left"/>
    </xf>
    <xf numFmtId="0" fontId="173" fillId="0" borderId="0" xfId="0" applyFont="1" applyFill="1" applyBorder="1" applyAlignment="1">
      <alignment horizontal="left"/>
    </xf>
    <xf numFmtId="0" fontId="11" fillId="0" borderId="66" xfId="0" applyFont="1" applyFill="1" applyBorder="1" applyAlignment="1">
      <alignment horizontal="left"/>
    </xf>
    <xf numFmtId="0" fontId="173" fillId="0" borderId="36" xfId="0" applyFont="1" applyFill="1" applyBorder="1" applyAlignment="1">
      <alignment horizontal="left"/>
    </xf>
    <xf numFmtId="0" fontId="33" fillId="19" borderId="0" xfId="0" applyFont="1" applyFill="1" applyAlignment="1">
      <alignment horizontal="left" vertical="top"/>
    </xf>
    <xf numFmtId="169" fontId="33" fillId="0" borderId="36" xfId="4" applyNumberFormat="1" applyFont="1" applyBorder="1" applyAlignment="1">
      <alignment horizontal="left" vertical="top"/>
    </xf>
    <xf numFmtId="0" fontId="86" fillId="0" borderId="43" xfId="0" applyFont="1" applyFill="1" applyBorder="1" applyAlignment="1">
      <alignment horizontal="left" vertical="top"/>
    </xf>
    <xf numFmtId="0" fontId="86" fillId="0" borderId="0" xfId="0" applyFont="1" applyFill="1" applyBorder="1" applyAlignment="1">
      <alignment horizontal="left" vertical="top"/>
    </xf>
    <xf numFmtId="0" fontId="86" fillId="0" borderId="36" xfId="0" applyFont="1" applyFill="1" applyBorder="1" applyAlignment="1">
      <alignment horizontal="left" vertical="top"/>
    </xf>
    <xf numFmtId="167" fontId="85" fillId="0" borderId="0" xfId="4" applyNumberFormat="1" applyFont="1" applyBorder="1" applyAlignment="1">
      <alignment horizontal="left" vertical="top"/>
    </xf>
    <xf numFmtId="0" fontId="33" fillId="0" borderId="14" xfId="0" applyFont="1" applyBorder="1" applyAlignment="1">
      <alignment horizontal="left" vertical="top"/>
    </xf>
    <xf numFmtId="0" fontId="33" fillId="0" borderId="74" xfId="0" applyFont="1" applyBorder="1" applyAlignment="1">
      <alignment horizontal="left" vertical="top"/>
    </xf>
    <xf numFmtId="0" fontId="33" fillId="0" borderId="0" xfId="0" applyFont="1" applyFill="1" applyAlignment="1">
      <alignment horizontal="left" vertical="top"/>
    </xf>
    <xf numFmtId="0" fontId="18" fillId="0" borderId="0" xfId="0" applyFont="1" applyFill="1" applyBorder="1" applyAlignment="1">
      <alignment horizontal="left" vertical="top"/>
    </xf>
    <xf numFmtId="0" fontId="5" fillId="0" borderId="0" xfId="0" applyFont="1" applyFill="1" applyBorder="1" applyAlignment="1">
      <alignment horizontal="left" vertical="top"/>
    </xf>
    <xf numFmtId="167" fontId="16" fillId="0" borderId="66" xfId="4" applyNumberFormat="1" applyFont="1" applyBorder="1" applyAlignment="1">
      <alignment horizontal="left" vertical="top"/>
    </xf>
    <xf numFmtId="167" fontId="33" fillId="0" borderId="0" xfId="4" applyNumberFormat="1" applyFont="1" applyBorder="1" applyAlignment="1">
      <alignment horizontal="left" vertical="top"/>
    </xf>
    <xf numFmtId="0" fontId="0" fillId="0" borderId="36" xfId="0" applyFill="1" applyBorder="1" applyAlignment="1">
      <alignment horizontal="left" vertical="top"/>
    </xf>
    <xf numFmtId="0" fontId="45" fillId="0" borderId="0" xfId="0" applyFont="1" applyFill="1" applyBorder="1" applyAlignment="1">
      <alignment horizontal="left" vertical="top"/>
    </xf>
    <xf numFmtId="9" fontId="85" fillId="0" borderId="0" xfId="5" applyFont="1" applyFill="1" applyBorder="1" applyAlignment="1">
      <alignment horizontal="left" vertical="top"/>
    </xf>
    <xf numFmtId="0" fontId="33" fillId="0" borderId="43" xfId="0" applyFont="1" applyFill="1" applyBorder="1" applyAlignment="1">
      <alignment horizontal="left" vertical="top"/>
    </xf>
    <xf numFmtId="9" fontId="16" fillId="0" borderId="0" xfId="0" applyNumberFormat="1" applyFont="1" applyFill="1" applyBorder="1" applyAlignment="1">
      <alignment horizontal="left" vertical="top"/>
    </xf>
    <xf numFmtId="0" fontId="11" fillId="0" borderId="43" xfId="0" applyFont="1" applyFill="1" applyBorder="1" applyAlignment="1">
      <alignment horizontal="left" vertical="top"/>
    </xf>
    <xf numFmtId="0" fontId="225" fillId="0" borderId="0" xfId="0" applyFont="1" applyFill="1" applyBorder="1" applyAlignment="1">
      <alignment horizontal="left" vertical="top"/>
    </xf>
    <xf numFmtId="0" fontId="85" fillId="0" borderId="43" xfId="0" applyFont="1" applyFill="1" applyBorder="1" applyAlignment="1">
      <alignment horizontal="left" vertical="center"/>
    </xf>
    <xf numFmtId="0" fontId="85" fillId="0" borderId="76" xfId="0" applyFont="1" applyFill="1" applyBorder="1" applyAlignment="1">
      <alignment horizontal="left" vertical="center"/>
    </xf>
    <xf numFmtId="0" fontId="85" fillId="0" borderId="0" xfId="0" applyFont="1" applyFill="1" applyBorder="1" applyAlignment="1">
      <alignment horizontal="left" vertical="center"/>
    </xf>
    <xf numFmtId="0" fontId="0" fillId="0" borderId="36" xfId="0" applyFont="1" applyFill="1" applyBorder="1" applyAlignment="1">
      <alignment horizontal="left" vertical="top"/>
    </xf>
    <xf numFmtId="167" fontId="32" fillId="0" borderId="43" xfId="4" applyNumberFormat="1" applyFont="1" applyFill="1" applyBorder="1" applyAlignment="1">
      <alignment horizontal="left" vertical="top"/>
    </xf>
    <xf numFmtId="167" fontId="32" fillId="0" borderId="0" xfId="4" applyNumberFormat="1" applyFont="1" applyFill="1" applyBorder="1" applyAlignment="1">
      <alignment horizontal="left" vertical="top"/>
    </xf>
    <xf numFmtId="167" fontId="32" fillId="0" borderId="36" xfId="4" applyNumberFormat="1" applyFont="1" applyFill="1" applyBorder="1" applyAlignment="1">
      <alignment horizontal="left" vertical="top"/>
    </xf>
    <xf numFmtId="0" fontId="45" fillId="19" borderId="0" xfId="0" applyFont="1" applyFill="1" applyAlignment="1">
      <alignment horizontal="left"/>
    </xf>
    <xf numFmtId="0" fontId="16" fillId="0" borderId="36" xfId="0" applyFont="1" applyBorder="1" applyAlignment="1">
      <alignment horizontal="left" vertical="top"/>
    </xf>
    <xf numFmtId="0" fontId="33" fillId="29" borderId="12" xfId="0" applyFont="1" applyFill="1" applyBorder="1" applyAlignment="1">
      <alignment horizontal="left" vertical="top"/>
    </xf>
    <xf numFmtId="0" fontId="173" fillId="0" borderId="0" xfId="0" applyFont="1" applyAlignment="1">
      <alignment horizontal="left" vertical="top"/>
    </xf>
    <xf numFmtId="0" fontId="33" fillId="0" borderId="0" xfId="0" applyFont="1" applyAlignment="1">
      <alignment horizontal="left"/>
    </xf>
    <xf numFmtId="0" fontId="33" fillId="19" borderId="0" xfId="0" applyFont="1" applyFill="1" applyBorder="1" applyAlignment="1">
      <alignment horizontal="left" vertical="top"/>
    </xf>
    <xf numFmtId="0" fontId="16" fillId="0" borderId="12" xfId="0" applyFont="1" applyFill="1" applyBorder="1" applyAlignment="1">
      <alignment horizontal="left" wrapText="1"/>
    </xf>
    <xf numFmtId="43" fontId="45" fillId="0" borderId="0" xfId="0" applyNumberFormat="1" applyFont="1" applyFill="1" applyBorder="1" applyAlignment="1">
      <alignment horizontal="left" vertical="top"/>
    </xf>
    <xf numFmtId="0" fontId="45" fillId="29" borderId="12" xfId="0" applyFont="1" applyFill="1" applyBorder="1" applyAlignment="1">
      <alignment horizontal="left" vertical="top"/>
    </xf>
    <xf numFmtId="0" fontId="33" fillId="6" borderId="0" xfId="0" applyFont="1" applyFill="1" applyAlignment="1">
      <alignment horizontal="left" vertical="top"/>
    </xf>
    <xf numFmtId="0" fontId="29" fillId="13" borderId="2" xfId="0" applyFont="1" applyFill="1" applyBorder="1" applyAlignment="1">
      <alignment horizontal="left" vertical="top"/>
    </xf>
    <xf numFmtId="0" fontId="0" fillId="0" borderId="2" xfId="0" applyBorder="1" applyAlignment="1">
      <alignment horizontal="left" vertical="top"/>
    </xf>
    <xf numFmtId="167" fontId="0" fillId="0" borderId="0" xfId="0" applyNumberFormat="1" applyFill="1" applyBorder="1" applyAlignment="1">
      <alignment horizontal="left" vertical="top"/>
    </xf>
    <xf numFmtId="167" fontId="16" fillId="0" borderId="0" xfId="0" applyNumberFormat="1" applyFont="1" applyFill="1" applyBorder="1" applyAlignment="1">
      <alignment horizontal="left" vertical="top"/>
    </xf>
    <xf numFmtId="167" fontId="16" fillId="0" borderId="0" xfId="0" applyNumberFormat="1" applyFont="1" applyBorder="1" applyAlignment="1">
      <alignment horizontal="left" vertical="top"/>
    </xf>
    <xf numFmtId="167" fontId="16" fillId="0" borderId="36" xfId="0" applyNumberFormat="1" applyFont="1" applyFill="1" applyBorder="1" applyAlignment="1">
      <alignment horizontal="left" vertical="top"/>
    </xf>
    <xf numFmtId="167" fontId="85" fillId="0" borderId="0" xfId="4" applyNumberFormat="1" applyFont="1" applyBorder="1" applyAlignment="1">
      <alignment horizontal="left" vertical="center"/>
    </xf>
    <xf numFmtId="167" fontId="16" fillId="0" borderId="36" xfId="0" applyNumberFormat="1" applyFont="1" applyBorder="1" applyAlignment="1">
      <alignment horizontal="left" vertical="top"/>
    </xf>
    <xf numFmtId="167" fontId="0" fillId="0" borderId="0" xfId="0" applyNumberFormat="1" applyBorder="1" applyAlignment="1">
      <alignment horizontal="left" vertical="top"/>
    </xf>
    <xf numFmtId="167" fontId="16" fillId="0" borderId="36" xfId="4" applyNumberFormat="1" applyFont="1" applyBorder="1" applyAlignment="1">
      <alignment horizontal="left" vertical="top"/>
    </xf>
    <xf numFmtId="167" fontId="0" fillId="0" borderId="0" xfId="4" applyNumberFormat="1" applyFont="1" applyBorder="1" applyAlignment="1">
      <alignment horizontal="left" vertical="top"/>
    </xf>
    <xf numFmtId="167" fontId="16" fillId="0" borderId="0" xfId="4" applyNumberFormat="1" applyFont="1" applyFill="1" applyBorder="1" applyAlignment="1">
      <alignment horizontal="left" vertical="top"/>
    </xf>
    <xf numFmtId="167" fontId="85" fillId="0" borderId="2" xfId="4" applyNumberFormat="1" applyFont="1" applyBorder="1" applyAlignment="1">
      <alignment horizontal="left" vertical="top"/>
    </xf>
    <xf numFmtId="167" fontId="0" fillId="0" borderId="0" xfId="4" applyNumberFormat="1" applyFont="1" applyFill="1" applyBorder="1" applyAlignment="1">
      <alignment horizontal="left" vertical="top"/>
    </xf>
    <xf numFmtId="167" fontId="5" fillId="0" borderId="0" xfId="0" applyNumberFormat="1" applyFont="1" applyBorder="1" applyAlignment="1">
      <alignment horizontal="left" vertical="top"/>
    </xf>
    <xf numFmtId="43" fontId="5" fillId="0" borderId="9" xfId="4" applyNumberFormat="1" applyFont="1" applyBorder="1" applyAlignment="1">
      <alignment horizontal="left" vertical="top"/>
    </xf>
    <xf numFmtId="167" fontId="0" fillId="0" borderId="9" xfId="4" applyNumberFormat="1" applyFont="1" applyBorder="1" applyAlignment="1">
      <alignment horizontal="left" vertical="top"/>
    </xf>
    <xf numFmtId="43" fontId="0" fillId="0" borderId="2" xfId="0" applyNumberFormat="1" applyBorder="1" applyAlignment="1">
      <alignment horizontal="left" vertical="top"/>
    </xf>
    <xf numFmtId="167" fontId="3" fillId="0" borderId="9" xfId="4" applyNumberFormat="1" applyFont="1" applyBorder="1" applyAlignment="1">
      <alignment horizontal="left" vertical="top"/>
    </xf>
    <xf numFmtId="0" fontId="81" fillId="13" borderId="2" xfId="0" applyFont="1" applyFill="1" applyBorder="1" applyAlignment="1">
      <alignment horizontal="left" vertical="top"/>
    </xf>
    <xf numFmtId="1" fontId="16" fillId="0" borderId="0" xfId="0" applyNumberFormat="1" applyFont="1" applyBorder="1" applyAlignment="1">
      <alignment horizontal="left" vertical="top"/>
    </xf>
    <xf numFmtId="1" fontId="16" fillId="0" borderId="36" xfId="0" applyNumberFormat="1" applyFont="1" applyBorder="1" applyAlignment="1">
      <alignment horizontal="left" vertical="top"/>
    </xf>
    <xf numFmtId="0" fontId="16" fillId="0" borderId="0" xfId="0" applyFont="1" applyAlignment="1">
      <alignment horizontal="left" vertical="top"/>
    </xf>
    <xf numFmtId="169" fontId="16" fillId="0" borderId="43" xfId="4" applyNumberFormat="1" applyFont="1" applyBorder="1" applyAlignment="1">
      <alignment horizontal="left" vertical="top"/>
    </xf>
    <xf numFmtId="169" fontId="16" fillId="0" borderId="0" xfId="4" applyNumberFormat="1" applyFont="1" applyBorder="1" applyAlignment="1">
      <alignment horizontal="left" vertical="top"/>
    </xf>
    <xf numFmtId="169" fontId="16" fillId="0" borderId="36" xfId="4" applyNumberFormat="1" applyFont="1" applyBorder="1" applyAlignment="1">
      <alignment horizontal="left" vertical="top"/>
    </xf>
    <xf numFmtId="43" fontId="16" fillId="0" borderId="36" xfId="0" applyNumberFormat="1" applyFont="1" applyBorder="1" applyAlignment="1">
      <alignment horizontal="left" vertical="top"/>
    </xf>
    <xf numFmtId="169" fontId="16" fillId="0" borderId="43" xfId="4" applyNumberFormat="1" applyFont="1" applyBorder="1" applyAlignment="1">
      <alignment horizontal="left" wrapText="1"/>
    </xf>
    <xf numFmtId="167" fontId="16" fillId="0" borderId="0" xfId="4" applyNumberFormat="1" applyFont="1" applyBorder="1" applyAlignment="1">
      <alignment horizontal="left" vertical="top"/>
    </xf>
    <xf numFmtId="172" fontId="16" fillId="0" borderId="0" xfId="0" applyNumberFormat="1" applyFont="1" applyFill="1" applyBorder="1" applyAlignment="1">
      <alignment vertical="top"/>
    </xf>
    <xf numFmtId="167" fontId="16" fillId="0" borderId="43" xfId="2" applyNumberFormat="1" applyFont="1" applyFill="1" applyBorder="1" applyAlignment="1">
      <alignment vertical="top"/>
    </xf>
    <xf numFmtId="167" fontId="16" fillId="0" borderId="41" xfId="2" applyNumberFormat="1" applyFont="1" applyFill="1" applyBorder="1" applyAlignment="1">
      <alignment vertical="top"/>
    </xf>
    <xf numFmtId="172" fontId="16" fillId="0" borderId="40" xfId="0" applyNumberFormat="1" applyFont="1" applyFill="1" applyBorder="1" applyAlignment="1">
      <alignment vertical="top"/>
    </xf>
    <xf numFmtId="0" fontId="11" fillId="0" borderId="20" xfId="0" applyFont="1" applyFill="1" applyBorder="1" applyAlignment="1">
      <alignment vertical="top"/>
    </xf>
    <xf numFmtId="0" fontId="11" fillId="0" borderId="44" xfId="0" applyFont="1" applyFill="1" applyBorder="1" applyAlignment="1">
      <alignment vertical="top"/>
    </xf>
    <xf numFmtId="0" fontId="45" fillId="0" borderId="36" xfId="0" applyFont="1" applyFill="1" applyBorder="1" applyAlignment="1">
      <alignment horizontal="left" vertical="top"/>
    </xf>
    <xf numFmtId="167" fontId="11" fillId="0" borderId="36" xfId="0" applyNumberFormat="1" applyFont="1" applyFill="1" applyBorder="1"/>
    <xf numFmtId="167" fontId="11" fillId="0" borderId="57" xfId="0" applyNumberFormat="1" applyFont="1" applyFill="1" applyBorder="1"/>
    <xf numFmtId="0" fontId="45" fillId="0" borderId="265" xfId="0" applyFont="1" applyFill="1" applyBorder="1" applyAlignment="1">
      <alignment horizontal="left" vertical="top"/>
    </xf>
    <xf numFmtId="167" fontId="16" fillId="0" borderId="36" xfId="2" applyNumberFormat="1" applyFont="1" applyFill="1" applyBorder="1" applyAlignment="1">
      <alignment vertical="top"/>
    </xf>
    <xf numFmtId="167" fontId="16" fillId="0" borderId="57" xfId="2" applyNumberFormat="1" applyFont="1" applyFill="1" applyBorder="1" applyAlignment="1">
      <alignment vertical="top"/>
    </xf>
    <xf numFmtId="0" fontId="5" fillId="0" borderId="264" xfId="0" applyFont="1" applyFill="1" applyBorder="1" applyAlignment="1">
      <alignment vertical="top"/>
    </xf>
    <xf numFmtId="0" fontId="11" fillId="0" borderId="265" xfId="0" applyFont="1" applyFill="1" applyBorder="1" applyAlignment="1">
      <alignment horizontal="left" vertical="top" wrapText="1"/>
    </xf>
    <xf numFmtId="167" fontId="11" fillId="0" borderId="265" xfId="2" applyNumberFormat="1" applyFont="1" applyFill="1" applyBorder="1" applyAlignment="1">
      <alignment vertical="top"/>
    </xf>
    <xf numFmtId="167" fontId="11" fillId="0" borderId="266" xfId="2" applyNumberFormat="1" applyFont="1" applyFill="1" applyBorder="1" applyAlignment="1">
      <alignment vertical="top"/>
    </xf>
    <xf numFmtId="0" fontId="11" fillId="0" borderId="43" xfId="0" applyFont="1" applyFill="1" applyBorder="1" applyAlignment="1">
      <alignment vertical="top" wrapText="1"/>
    </xf>
    <xf numFmtId="0" fontId="11" fillId="0" borderId="36" xfId="0" applyFont="1" applyFill="1" applyBorder="1" applyAlignment="1">
      <alignment vertical="top" wrapText="1"/>
    </xf>
    <xf numFmtId="0" fontId="243" fillId="4" borderId="42" xfId="0" applyFont="1" applyFill="1" applyBorder="1" applyAlignment="1">
      <alignment vertical="top"/>
    </xf>
    <xf numFmtId="167" fontId="60" fillId="0" borderId="0" xfId="4" applyNumberFormat="1" applyFont="1" applyFill="1" applyBorder="1" applyAlignment="1">
      <alignment horizontal="left" vertical="top"/>
    </xf>
    <xf numFmtId="167" fontId="60" fillId="0" borderId="43" xfId="4" applyNumberFormat="1" applyFont="1" applyFill="1" applyBorder="1" applyAlignment="1">
      <alignment horizontal="left" vertical="top"/>
    </xf>
    <xf numFmtId="167" fontId="39" fillId="0" borderId="44" xfId="2" applyNumberFormat="1" applyFont="1" applyFill="1" applyBorder="1" applyAlignment="1">
      <alignment vertical="top"/>
    </xf>
    <xf numFmtId="167" fontId="60" fillId="0" borderId="36" xfId="4" applyNumberFormat="1" applyFont="1" applyFill="1" applyBorder="1" applyAlignment="1">
      <alignment horizontal="left" vertical="top"/>
    </xf>
    <xf numFmtId="0" fontId="0" fillId="0" borderId="62" xfId="0" applyBorder="1" applyAlignment="1">
      <alignment vertical="top"/>
    </xf>
    <xf numFmtId="0" fontId="0" fillId="0" borderId="66" xfId="0" applyBorder="1" applyAlignment="1">
      <alignment vertical="top"/>
    </xf>
    <xf numFmtId="0" fontId="85" fillId="0" borderId="66" xfId="0" applyFont="1" applyBorder="1" applyAlignment="1">
      <alignment horizontal="left" vertical="top"/>
    </xf>
    <xf numFmtId="167" fontId="0" fillId="0" borderId="66" xfId="0" applyNumberFormat="1" applyBorder="1" applyAlignment="1">
      <alignment vertical="top"/>
    </xf>
    <xf numFmtId="167" fontId="0" fillId="0" borderId="86" xfId="0" applyNumberFormat="1" applyBorder="1" applyAlignment="1">
      <alignment vertical="top"/>
    </xf>
    <xf numFmtId="0" fontId="5" fillId="0" borderId="43" xfId="0" applyFont="1" applyFill="1" applyBorder="1" applyAlignment="1">
      <alignment vertical="top"/>
    </xf>
    <xf numFmtId="0" fontId="5" fillId="4" borderId="43" xfId="0" applyFont="1" applyFill="1" applyBorder="1"/>
    <xf numFmtId="0" fontId="5" fillId="4" borderId="42" xfId="0" applyFont="1" applyFill="1" applyBorder="1"/>
    <xf numFmtId="0" fontId="5" fillId="0" borderId="265" xfId="0" applyFont="1" applyBorder="1"/>
    <xf numFmtId="0" fontId="33" fillId="0" borderId="265" xfId="0" applyFont="1" applyBorder="1" applyAlignment="1">
      <alignment horizontal="left" vertical="top"/>
    </xf>
    <xf numFmtId="167" fontId="0" fillId="0" borderId="265" xfId="0" applyNumberFormat="1" applyBorder="1" applyAlignment="1">
      <alignment vertical="top"/>
    </xf>
    <xf numFmtId="167" fontId="0" fillId="0" borderId="266" xfId="0" applyNumberFormat="1" applyBorder="1" applyAlignment="1">
      <alignment vertical="top"/>
    </xf>
    <xf numFmtId="9" fontId="33" fillId="0" borderId="265" xfId="0" applyNumberFormat="1" applyFont="1" applyBorder="1" applyAlignment="1">
      <alignment horizontal="left" vertical="top"/>
    </xf>
    <xf numFmtId="167" fontId="0" fillId="0" borderId="265" xfId="4" applyNumberFormat="1" applyFont="1" applyBorder="1" applyAlignment="1">
      <alignment vertical="top"/>
    </xf>
    <xf numFmtId="167" fontId="0" fillId="0" borderId="266" xfId="4" applyNumberFormat="1" applyFont="1" applyBorder="1" applyAlignment="1">
      <alignment vertical="top"/>
    </xf>
    <xf numFmtId="9" fontId="33" fillId="0" borderId="268" xfId="0" applyNumberFormat="1" applyFont="1" applyBorder="1" applyAlignment="1">
      <alignment horizontal="left" vertical="top"/>
    </xf>
    <xf numFmtId="0" fontId="0" fillId="0" borderId="265" xfId="0" applyBorder="1" applyAlignment="1">
      <alignment vertical="top"/>
    </xf>
    <xf numFmtId="0" fontId="0" fillId="0" borderId="266" xfId="0" applyBorder="1" applyAlignment="1">
      <alignment vertical="top"/>
    </xf>
    <xf numFmtId="0" fontId="33" fillId="4" borderId="43" xfId="0" applyFont="1" applyFill="1" applyBorder="1" applyAlignment="1">
      <alignment horizontal="left" vertical="top"/>
    </xf>
    <xf numFmtId="0" fontId="5" fillId="4" borderId="42" xfId="0" applyFont="1" applyFill="1" applyBorder="1" applyAlignment="1">
      <alignment vertical="top"/>
    </xf>
    <xf numFmtId="0" fontId="11" fillId="4" borderId="42" xfId="0" applyFont="1" applyFill="1" applyBorder="1" applyAlignment="1">
      <alignment vertical="top"/>
    </xf>
    <xf numFmtId="0" fontId="16" fillId="4" borderId="43" xfId="0" applyFont="1" applyFill="1" applyBorder="1" applyAlignment="1">
      <alignment horizontal="left" vertical="top"/>
    </xf>
    <xf numFmtId="0" fontId="16" fillId="4" borderId="43" xfId="0" applyFont="1" applyFill="1" applyBorder="1" applyAlignment="1">
      <alignment vertical="top"/>
    </xf>
    <xf numFmtId="0" fontId="11" fillId="4" borderId="43" xfId="0" applyFont="1" applyFill="1" applyBorder="1" applyAlignment="1"/>
    <xf numFmtId="0" fontId="11" fillId="4" borderId="66" xfId="0" applyFont="1" applyFill="1" applyBorder="1" applyAlignment="1"/>
    <xf numFmtId="169" fontId="33" fillId="0" borderId="265" xfId="4" applyNumberFormat="1" applyFont="1" applyBorder="1" applyAlignment="1">
      <alignment horizontal="left" vertical="top"/>
    </xf>
    <xf numFmtId="0" fontId="85" fillId="0" borderId="267" xfId="0" applyFont="1" applyBorder="1" applyAlignment="1">
      <alignment vertical="top"/>
    </xf>
    <xf numFmtId="0" fontId="85" fillId="0" borderId="268" xfId="0" applyFont="1" applyBorder="1" applyAlignment="1">
      <alignment vertical="top"/>
    </xf>
    <xf numFmtId="43" fontId="85" fillId="0" borderId="268" xfId="0" applyNumberFormat="1" applyFont="1" applyBorder="1" applyAlignment="1">
      <alignment vertical="top"/>
    </xf>
    <xf numFmtId="43" fontId="85" fillId="0" borderId="269" xfId="0" applyNumberFormat="1" applyFont="1" applyBorder="1" applyAlignment="1">
      <alignment vertical="top"/>
    </xf>
    <xf numFmtId="167" fontId="0" fillId="0" borderId="268" xfId="0" applyNumberFormat="1" applyBorder="1" applyAlignment="1">
      <alignment vertical="top"/>
    </xf>
    <xf numFmtId="167" fontId="0" fillId="0" borderId="269" xfId="0" applyNumberFormat="1" applyBorder="1" applyAlignment="1">
      <alignment vertical="top"/>
    </xf>
    <xf numFmtId="0" fontId="5" fillId="4" borderId="264" xfId="0" applyFont="1" applyFill="1" applyBorder="1" applyAlignment="1">
      <alignment vertical="top"/>
    </xf>
    <xf numFmtId="0" fontId="5" fillId="4" borderId="20" xfId="0" applyFont="1" applyFill="1" applyBorder="1" applyAlignment="1">
      <alignment vertical="top"/>
    </xf>
    <xf numFmtId="0" fontId="32" fillId="0" borderId="265" xfId="0" applyFont="1" applyFill="1" applyBorder="1" applyAlignment="1">
      <alignment horizontal="left" vertical="top"/>
    </xf>
    <xf numFmtId="167" fontId="21" fillId="0" borderId="265" xfId="0" applyNumberFormat="1" applyFont="1" applyFill="1" applyBorder="1" applyAlignment="1">
      <alignment vertical="top"/>
    </xf>
    <xf numFmtId="167" fontId="21" fillId="0" borderId="266" xfId="0" applyNumberFormat="1" applyFont="1" applyFill="1" applyBorder="1" applyAlignment="1">
      <alignment vertical="top"/>
    </xf>
    <xf numFmtId="0" fontId="21" fillId="0" borderId="44" xfId="0" applyFont="1" applyFill="1" applyBorder="1" applyAlignment="1">
      <alignment vertical="top"/>
    </xf>
    <xf numFmtId="0" fontId="32" fillId="0" borderId="36" xfId="0" applyFont="1" applyFill="1" applyBorder="1" applyAlignment="1">
      <alignment horizontal="left" vertical="top"/>
    </xf>
    <xf numFmtId="167" fontId="21" fillId="0" borderId="36" xfId="0" applyNumberFormat="1" applyFont="1" applyFill="1" applyBorder="1" applyAlignment="1">
      <alignment vertical="top"/>
    </xf>
    <xf numFmtId="167" fontId="21" fillId="0" borderId="57" xfId="0" applyNumberFormat="1" applyFont="1" applyFill="1" applyBorder="1" applyAlignment="1">
      <alignment vertical="top"/>
    </xf>
    <xf numFmtId="167" fontId="5" fillId="0" borderId="43" xfId="4" applyNumberFormat="1" applyFont="1" applyFill="1" applyBorder="1" applyAlignment="1">
      <alignment vertical="top"/>
    </xf>
    <xf numFmtId="167" fontId="5" fillId="0" borderId="41" xfId="4" applyNumberFormat="1" applyFont="1" applyFill="1" applyBorder="1" applyAlignment="1">
      <alignment vertical="top"/>
    </xf>
    <xf numFmtId="0" fontId="5" fillId="0" borderId="267" xfId="0" applyFont="1" applyFill="1" applyBorder="1" applyAlignment="1">
      <alignment vertical="top"/>
    </xf>
    <xf numFmtId="0" fontId="86" fillId="0" borderId="268" xfId="0" applyFont="1" applyFill="1" applyBorder="1" applyAlignment="1">
      <alignment horizontal="left" vertical="top"/>
    </xf>
    <xf numFmtId="167" fontId="5" fillId="0" borderId="268" xfId="4" applyNumberFormat="1" applyFont="1" applyFill="1" applyBorder="1" applyAlignment="1">
      <alignment vertical="top"/>
    </xf>
    <xf numFmtId="167" fontId="5" fillId="0" borderId="269" xfId="4" applyNumberFormat="1" applyFont="1" applyFill="1" applyBorder="1" applyAlignment="1">
      <alignment vertical="top"/>
    </xf>
    <xf numFmtId="1" fontId="0" fillId="0" borderId="43" xfId="0" applyNumberFormat="1" applyBorder="1" applyAlignment="1">
      <alignment vertical="top"/>
    </xf>
    <xf numFmtId="0" fontId="5" fillId="4" borderId="125" xfId="0" applyFont="1" applyFill="1" applyBorder="1" applyAlignment="1">
      <alignment vertical="top"/>
    </xf>
    <xf numFmtId="43" fontId="3" fillId="0" borderId="0" xfId="2" applyFont="1" applyBorder="1" applyAlignment="1">
      <alignment vertical="top"/>
    </xf>
    <xf numFmtId="43" fontId="3" fillId="0" borderId="0" xfId="4" applyFont="1" applyFill="1" applyBorder="1" applyAlignment="1">
      <alignment vertical="top"/>
    </xf>
    <xf numFmtId="0" fontId="45" fillId="0" borderId="43" xfId="0" applyFont="1" applyBorder="1" applyAlignment="1">
      <alignment horizontal="left"/>
    </xf>
    <xf numFmtId="43" fontId="3" fillId="0" borderId="40" xfId="2" applyFont="1" applyBorder="1" applyAlignment="1">
      <alignment vertical="top"/>
    </xf>
    <xf numFmtId="43" fontId="3" fillId="0" borderId="36" xfId="4" applyFont="1" applyFill="1" applyBorder="1" applyAlignment="1">
      <alignment vertical="top"/>
    </xf>
    <xf numFmtId="43" fontId="3" fillId="0" borderId="57" xfId="4" applyFont="1" applyFill="1" applyBorder="1" applyAlignment="1">
      <alignment vertical="top"/>
    </xf>
    <xf numFmtId="43" fontId="3" fillId="0" borderId="40" xfId="4" applyFont="1" applyFill="1" applyBorder="1" applyAlignment="1">
      <alignment vertical="top"/>
    </xf>
    <xf numFmtId="0" fontId="45" fillId="0" borderId="43" xfId="0" applyFont="1" applyFill="1" applyBorder="1" applyAlignment="1">
      <alignment horizontal="left"/>
    </xf>
    <xf numFmtId="0" fontId="5" fillId="0" borderId="41" xfId="0" applyFont="1" applyFill="1" applyBorder="1"/>
    <xf numFmtId="43" fontId="3" fillId="0" borderId="40" xfId="2" applyFont="1" applyFill="1" applyBorder="1" applyAlignment="1">
      <alignment vertical="top"/>
    </xf>
    <xf numFmtId="43" fontId="0" fillId="0" borderId="36" xfId="0" applyNumberFormat="1" applyFill="1" applyBorder="1" applyAlignment="1">
      <alignment vertical="top"/>
    </xf>
    <xf numFmtId="43" fontId="0" fillId="0" borderId="57" xfId="0" applyNumberFormat="1" applyFill="1" applyBorder="1" applyAlignment="1">
      <alignment vertical="top"/>
    </xf>
    <xf numFmtId="9" fontId="16" fillId="0" borderId="0" xfId="2" applyNumberFormat="1" applyFont="1" applyFill="1" applyBorder="1" applyAlignment="1">
      <alignment vertical="top"/>
    </xf>
    <xf numFmtId="168" fontId="16" fillId="0" borderId="0" xfId="3" applyNumberFormat="1" applyFont="1" applyFill="1" applyBorder="1" applyAlignment="1">
      <alignment vertical="top"/>
    </xf>
    <xf numFmtId="0" fontId="60" fillId="0" borderId="0" xfId="0" applyFont="1" applyFill="1" applyBorder="1" applyAlignment="1">
      <alignment horizontal="left" vertical="top"/>
    </xf>
    <xf numFmtId="43" fontId="3" fillId="0" borderId="43" xfId="2" applyFont="1" applyFill="1" applyBorder="1" applyAlignment="1">
      <alignment vertical="top"/>
    </xf>
    <xf numFmtId="168" fontId="16" fillId="0" borderId="40" xfId="3" applyNumberFormat="1" applyFont="1" applyFill="1" applyBorder="1" applyAlignment="1">
      <alignment vertical="top"/>
    </xf>
    <xf numFmtId="0" fontId="60" fillId="0" borderId="36" xfId="0" applyFont="1" applyFill="1" applyBorder="1" applyAlignment="1">
      <alignment horizontal="left" vertical="top"/>
    </xf>
    <xf numFmtId="43" fontId="3" fillId="0" borderId="36" xfId="2" applyFont="1" applyFill="1" applyBorder="1" applyAlignment="1">
      <alignment vertical="top"/>
    </xf>
    <xf numFmtId="43" fontId="3" fillId="0" borderId="57" xfId="2" applyFont="1" applyFill="1" applyBorder="1" applyAlignment="1">
      <alignment vertical="top"/>
    </xf>
    <xf numFmtId="9" fontId="16" fillId="0" borderId="0" xfId="0" applyNumberFormat="1" applyFont="1" applyFill="1" applyBorder="1" applyAlignment="1">
      <alignment vertical="top"/>
    </xf>
    <xf numFmtId="9" fontId="16" fillId="0" borderId="43" xfId="0" applyNumberFormat="1" applyFont="1" applyFill="1" applyBorder="1" applyAlignment="1">
      <alignment vertical="top"/>
    </xf>
    <xf numFmtId="9" fontId="16" fillId="0" borderId="41" xfId="0" applyNumberFormat="1" applyFont="1" applyFill="1" applyBorder="1" applyAlignment="1">
      <alignment vertical="top"/>
    </xf>
    <xf numFmtId="9" fontId="16" fillId="0" borderId="40" xfId="0" applyNumberFormat="1" applyFont="1" applyFill="1" applyBorder="1" applyAlignment="1">
      <alignment vertical="top"/>
    </xf>
    <xf numFmtId="9" fontId="16" fillId="0" borderId="36" xfId="0" applyNumberFormat="1" applyFont="1" applyFill="1" applyBorder="1" applyAlignment="1">
      <alignment vertical="top"/>
    </xf>
    <xf numFmtId="9" fontId="16" fillId="0" borderId="57" xfId="0" applyNumberFormat="1" applyFont="1" applyFill="1" applyBorder="1" applyAlignment="1">
      <alignment vertical="top"/>
    </xf>
    <xf numFmtId="43" fontId="11" fillId="0" borderId="0" xfId="4" applyFont="1" applyFill="1" applyBorder="1" applyAlignment="1">
      <alignment vertical="top"/>
    </xf>
    <xf numFmtId="43" fontId="11" fillId="0" borderId="40" xfId="4" applyFont="1" applyFill="1" applyBorder="1" applyAlignment="1">
      <alignment vertical="top"/>
    </xf>
    <xf numFmtId="43" fontId="11" fillId="0" borderId="36" xfId="4" applyFont="1" applyFill="1" applyBorder="1" applyAlignment="1">
      <alignment vertical="top"/>
    </xf>
    <xf numFmtId="43" fontId="11" fillId="0" borderId="57" xfId="4" applyFont="1" applyFill="1" applyBorder="1" applyAlignment="1">
      <alignment vertical="top"/>
    </xf>
    <xf numFmtId="0" fontId="45" fillId="0" borderId="43" xfId="0" applyFont="1" applyFill="1" applyBorder="1" applyAlignment="1">
      <alignment horizontal="left" vertical="top"/>
    </xf>
    <xf numFmtId="43" fontId="5" fillId="0" borderId="43" xfId="4" applyFont="1" applyFill="1" applyBorder="1" applyAlignment="1">
      <alignment vertical="top"/>
    </xf>
    <xf numFmtId="43" fontId="5" fillId="0" borderId="41" xfId="4" applyFont="1" applyFill="1" applyBorder="1" applyAlignment="1">
      <alignment vertical="top"/>
    </xf>
    <xf numFmtId="0" fontId="0" fillId="0" borderId="36" xfId="0" applyFont="1" applyFill="1" applyBorder="1" applyAlignment="1">
      <alignment vertical="top" wrapText="1"/>
    </xf>
    <xf numFmtId="167" fontId="85" fillId="0" borderId="0" xfId="5" applyNumberFormat="1" applyFont="1" applyFill="1" applyBorder="1" applyAlignment="1">
      <alignment horizontal="left" vertical="top"/>
    </xf>
    <xf numFmtId="9" fontId="85" fillId="0" borderId="43" xfId="5" applyFont="1" applyFill="1" applyBorder="1" applyAlignment="1">
      <alignment horizontal="left" vertical="top"/>
    </xf>
    <xf numFmtId="167" fontId="85" fillId="0" borderId="36" xfId="4" applyNumberFormat="1" applyFont="1" applyFill="1" applyBorder="1" applyAlignment="1">
      <alignment horizontal="left" vertical="top"/>
    </xf>
    <xf numFmtId="0" fontId="86" fillId="0" borderId="0" xfId="0" applyFont="1" applyFill="1" applyAlignment="1">
      <alignment horizontal="left"/>
    </xf>
    <xf numFmtId="0" fontId="5" fillId="4" borderId="0" xfId="0" applyFont="1" applyFill="1"/>
    <xf numFmtId="0" fontId="11" fillId="4" borderId="0" xfId="0" applyFont="1" applyFill="1"/>
    <xf numFmtId="0" fontId="86" fillId="0" borderId="0" xfId="0" applyFont="1" applyAlignment="1">
      <alignment horizontal="left"/>
    </xf>
    <xf numFmtId="0" fontId="60" fillId="0" borderId="43" xfId="0" applyFont="1" applyBorder="1" applyAlignment="1">
      <alignment horizontal="left" vertical="top"/>
    </xf>
    <xf numFmtId="0" fontId="60" fillId="0" borderId="0" xfId="0" applyFont="1" applyBorder="1" applyAlignment="1">
      <alignment horizontal="left" vertical="top"/>
    </xf>
    <xf numFmtId="0" fontId="60" fillId="0" borderId="36" xfId="0" applyFont="1" applyBorder="1" applyAlignment="1">
      <alignment horizontal="left" vertical="top"/>
    </xf>
    <xf numFmtId="0" fontId="31" fillId="0" borderId="43" xfId="0" applyFont="1" applyBorder="1" applyAlignment="1">
      <alignment horizontal="left" vertical="top"/>
    </xf>
    <xf numFmtId="0" fontId="32" fillId="0" borderId="43" xfId="0" applyFont="1" applyBorder="1" applyAlignment="1">
      <alignment horizontal="left" vertical="top"/>
    </xf>
    <xf numFmtId="43" fontId="0" fillId="0" borderId="40" xfId="0" applyNumberFormat="1" applyFill="1" applyBorder="1" applyAlignment="1">
      <alignment vertical="top"/>
    </xf>
    <xf numFmtId="43" fontId="85" fillId="29" borderId="19" xfId="4" applyFont="1" applyFill="1" applyBorder="1" applyAlignment="1">
      <alignment horizontal="left" vertical="top"/>
    </xf>
    <xf numFmtId="43" fontId="11" fillId="29" borderId="19" xfId="4" applyFont="1" applyFill="1" applyBorder="1" applyAlignment="1">
      <alignment horizontal="left" vertical="top"/>
    </xf>
    <xf numFmtId="0" fontId="16" fillId="0" borderId="36" xfId="0" applyFont="1" applyBorder="1" applyAlignment="1">
      <alignment vertical="top"/>
    </xf>
    <xf numFmtId="0" fontId="33" fillId="19" borderId="0" xfId="0" applyFont="1" applyFill="1" applyBorder="1" applyAlignment="1">
      <alignment horizontal="center" vertical="top"/>
    </xf>
    <xf numFmtId="0" fontId="21" fillId="0" borderId="0" xfId="0" applyFont="1" applyFill="1" applyBorder="1" applyAlignment="1">
      <alignment horizontal="right" vertical="top"/>
    </xf>
    <xf numFmtId="169" fontId="3" fillId="0" borderId="0" xfId="2" applyNumberFormat="1" applyFont="1" applyFill="1" applyBorder="1" applyAlignment="1">
      <alignment vertical="top"/>
    </xf>
    <xf numFmtId="169" fontId="3" fillId="0" borderId="0" xfId="2" applyNumberFormat="1" applyFont="1" applyBorder="1" applyAlignment="1">
      <alignment vertical="top"/>
    </xf>
    <xf numFmtId="169" fontId="16" fillId="0" borderId="0" xfId="2" applyNumberFormat="1" applyFont="1" applyBorder="1" applyAlignment="1">
      <alignment vertical="top"/>
    </xf>
    <xf numFmtId="0" fontId="5" fillId="4" borderId="19" xfId="0" applyFont="1" applyFill="1" applyBorder="1" applyAlignment="1">
      <alignment vertical="top"/>
    </xf>
    <xf numFmtId="0" fontId="45" fillId="4" borderId="19" xfId="0" applyFont="1" applyFill="1" applyBorder="1" applyAlignment="1">
      <alignment horizontal="center" vertical="top"/>
    </xf>
    <xf numFmtId="43" fontId="5" fillId="4" borderId="19" xfId="2" applyFont="1" applyFill="1" applyBorder="1" applyAlignment="1">
      <alignment vertical="top"/>
    </xf>
    <xf numFmtId="43" fontId="5" fillId="0" borderId="43" xfId="2" applyFont="1" applyBorder="1" applyAlignment="1">
      <alignment vertical="top"/>
    </xf>
    <xf numFmtId="43" fontId="3" fillId="0" borderId="43" xfId="2" applyFont="1" applyBorder="1" applyAlignment="1">
      <alignment vertical="top"/>
    </xf>
    <xf numFmtId="43" fontId="3" fillId="0" borderId="41" xfId="2" applyFont="1" applyBorder="1" applyAlignment="1">
      <alignment vertical="top"/>
    </xf>
    <xf numFmtId="169" fontId="3" fillId="0" borderId="40" xfId="2" applyNumberFormat="1" applyFont="1" applyBorder="1" applyAlignment="1">
      <alignment vertical="top"/>
    </xf>
    <xf numFmtId="169" fontId="16" fillId="0" borderId="40" xfId="2" applyNumberFormat="1" applyFont="1" applyBorder="1" applyAlignment="1">
      <alignment vertical="top"/>
    </xf>
    <xf numFmtId="43" fontId="16" fillId="0" borderId="36" xfId="2" applyFont="1" applyBorder="1" applyAlignment="1">
      <alignment vertical="top"/>
    </xf>
    <xf numFmtId="43" fontId="16" fillId="0" borderId="57" xfId="2" applyFont="1" applyBorder="1" applyAlignment="1">
      <alignment vertical="top"/>
    </xf>
    <xf numFmtId="0" fontId="16" fillId="0" borderId="273" xfId="0" applyFont="1" applyBorder="1" applyAlignment="1">
      <alignment vertical="top"/>
    </xf>
    <xf numFmtId="0" fontId="5" fillId="0" borderId="274" xfId="0" applyFont="1" applyFill="1" applyBorder="1" applyAlignment="1">
      <alignment vertical="top" wrapText="1"/>
    </xf>
    <xf numFmtId="43" fontId="16" fillId="0" borderId="274" xfId="2" applyFont="1" applyBorder="1" applyAlignment="1">
      <alignment vertical="top"/>
    </xf>
    <xf numFmtId="43" fontId="16" fillId="0" borderId="275" xfId="2" applyFont="1" applyBorder="1" applyAlignment="1">
      <alignment vertical="top"/>
    </xf>
    <xf numFmtId="0" fontId="57" fillId="0" borderId="265" xfId="0" applyFont="1" applyFill="1" applyBorder="1" applyAlignment="1">
      <alignment horizontal="left" vertical="top"/>
    </xf>
    <xf numFmtId="43" fontId="16" fillId="0" borderId="265" xfId="2" applyFont="1" applyBorder="1" applyAlignment="1">
      <alignment vertical="top"/>
    </xf>
    <xf numFmtId="43" fontId="16" fillId="0" borderId="265" xfId="2" applyFont="1" applyFill="1" applyBorder="1" applyAlignment="1">
      <alignment vertical="top"/>
    </xf>
    <xf numFmtId="0" fontId="16" fillId="0" borderId="0" xfId="0" applyFont="1" applyFill="1" applyBorder="1" applyAlignment="1">
      <alignment horizontal="right" vertical="top"/>
    </xf>
    <xf numFmtId="167" fontId="16" fillId="0" borderId="0" xfId="2" applyNumberFormat="1" applyFont="1" applyBorder="1" applyAlignment="1">
      <alignment horizontal="right" vertical="top" indent="2"/>
    </xf>
    <xf numFmtId="0" fontId="57" fillId="0" borderId="43" xfId="0" applyFont="1" applyFill="1" applyBorder="1" applyAlignment="1">
      <alignment horizontal="left" vertical="top"/>
    </xf>
    <xf numFmtId="167" fontId="16" fillId="0" borderId="43" xfId="2" applyNumberFormat="1" applyFont="1" applyBorder="1" applyAlignment="1">
      <alignment horizontal="right" vertical="top" indent="2"/>
    </xf>
    <xf numFmtId="0" fontId="57" fillId="0" borderId="0" xfId="0" applyFont="1" applyFill="1" applyBorder="1" applyAlignment="1">
      <alignment horizontal="left" vertical="top"/>
    </xf>
    <xf numFmtId="0" fontId="33" fillId="0" borderId="0" xfId="0" applyFont="1" applyBorder="1" applyAlignment="1">
      <alignment vertical="center" wrapText="1"/>
    </xf>
    <xf numFmtId="0" fontId="11" fillId="0" borderId="265" xfId="0" applyFont="1" applyBorder="1"/>
    <xf numFmtId="9" fontId="16" fillId="0" borderId="265" xfId="2" applyNumberFormat="1" applyFont="1" applyBorder="1" applyAlignment="1">
      <alignment vertical="top"/>
    </xf>
    <xf numFmtId="9" fontId="16" fillId="0" borderId="265" xfId="5" applyNumberFormat="1" applyFont="1" applyFill="1" applyBorder="1" applyAlignment="1">
      <alignment vertical="top"/>
    </xf>
    <xf numFmtId="0" fontId="32" fillId="0" borderId="0" xfId="0" applyFont="1" applyBorder="1" applyAlignment="1">
      <alignment vertical="top" wrapText="1"/>
    </xf>
    <xf numFmtId="0" fontId="45" fillId="4" borderId="19" xfId="0" applyFont="1" applyFill="1" applyBorder="1" applyAlignment="1">
      <alignment vertical="top"/>
    </xf>
    <xf numFmtId="0" fontId="11" fillId="4" borderId="19" xfId="0" applyFont="1" applyFill="1" applyBorder="1" applyAlignment="1">
      <alignment vertical="top"/>
    </xf>
    <xf numFmtId="0" fontId="45" fillId="4" borderId="19" xfId="0" applyFont="1" applyFill="1" applyBorder="1" applyAlignment="1">
      <alignment horizontal="left" vertical="top"/>
    </xf>
    <xf numFmtId="0" fontId="11" fillId="0" borderId="43" xfId="0" applyFont="1" applyBorder="1"/>
    <xf numFmtId="9" fontId="16" fillId="0" borderId="266" xfId="5" applyNumberFormat="1" applyFont="1" applyFill="1" applyBorder="1" applyAlignment="1">
      <alignment vertical="top"/>
    </xf>
    <xf numFmtId="9" fontId="16" fillId="0" borderId="40" xfId="5" applyNumberFormat="1" applyFont="1" applyFill="1" applyBorder="1" applyAlignment="1">
      <alignment vertical="top"/>
    </xf>
    <xf numFmtId="43" fontId="16" fillId="0" borderId="266" xfId="2" applyFont="1" applyFill="1" applyBorder="1" applyAlignment="1">
      <alignment vertical="top"/>
    </xf>
    <xf numFmtId="0" fontId="38" fillId="0" borderId="44" xfId="0" applyFont="1" applyBorder="1" applyAlignment="1">
      <alignment vertical="top"/>
    </xf>
    <xf numFmtId="0" fontId="32" fillId="0" borderId="36" xfId="0" applyFont="1" applyBorder="1" applyAlignment="1">
      <alignment vertical="top" wrapText="1"/>
    </xf>
    <xf numFmtId="0" fontId="0" fillId="0" borderId="20" xfId="0" applyFont="1" applyBorder="1" applyAlignment="1">
      <alignment horizontal="center" vertical="top"/>
    </xf>
    <xf numFmtId="0" fontId="0" fillId="0" borderId="264" xfId="0" applyFont="1" applyBorder="1"/>
    <xf numFmtId="0" fontId="16" fillId="0" borderId="267" xfId="0" applyFont="1" applyBorder="1" applyAlignment="1">
      <alignment vertical="top"/>
    </xf>
    <xf numFmtId="0" fontId="45" fillId="0" borderId="268" xfId="0" applyFont="1" applyBorder="1" applyAlignment="1">
      <alignment horizontal="center" vertical="top"/>
    </xf>
    <xf numFmtId="43" fontId="16" fillId="0" borderId="268" xfId="2" applyFont="1" applyBorder="1" applyAlignment="1">
      <alignment vertical="top"/>
    </xf>
    <xf numFmtId="43" fontId="16" fillId="0" borderId="269" xfId="2" applyFont="1" applyBorder="1" applyAlignment="1">
      <alignment vertical="top"/>
    </xf>
    <xf numFmtId="0" fontId="50" fillId="29" borderId="16" xfId="0" applyFont="1" applyFill="1" applyBorder="1" applyAlignment="1">
      <alignment vertical="top"/>
    </xf>
    <xf numFmtId="0" fontId="50" fillId="29" borderId="16" xfId="0" applyFont="1" applyFill="1" applyBorder="1" applyAlignment="1">
      <alignment vertical="top" wrapText="1"/>
    </xf>
    <xf numFmtId="0" fontId="32" fillId="29" borderId="16" xfId="0" applyFont="1" applyFill="1" applyBorder="1" applyAlignment="1">
      <alignment horizontal="left" vertical="top"/>
    </xf>
    <xf numFmtId="9" fontId="50" fillId="29" borderId="16" xfId="0" applyNumberFormat="1" applyFont="1" applyFill="1" applyBorder="1" applyAlignment="1">
      <alignment vertical="top"/>
    </xf>
    <xf numFmtId="43" fontId="0" fillId="0" borderId="43" xfId="0" applyNumberFormat="1" applyBorder="1" applyAlignment="1">
      <alignment vertical="top"/>
    </xf>
    <xf numFmtId="43" fontId="0" fillId="0" borderId="41" xfId="0" applyNumberFormat="1" applyBorder="1" applyAlignment="1">
      <alignment vertical="top"/>
    </xf>
    <xf numFmtId="0" fontId="0" fillId="0" borderId="36" xfId="0" applyFont="1" applyBorder="1" applyAlignment="1">
      <alignment vertical="top"/>
    </xf>
    <xf numFmtId="0" fontId="0" fillId="4" borderId="12" xfId="0" applyFont="1" applyFill="1" applyBorder="1" applyAlignment="1">
      <alignment vertical="center"/>
    </xf>
    <xf numFmtId="0" fontId="5" fillId="29" borderId="16" xfId="0" applyFont="1" applyFill="1" applyBorder="1" applyAlignment="1">
      <alignment vertical="top"/>
    </xf>
    <xf numFmtId="0" fontId="5" fillId="29" borderId="16" xfId="0" applyFont="1" applyFill="1" applyBorder="1" applyAlignment="1">
      <alignment vertical="top" wrapText="1"/>
    </xf>
    <xf numFmtId="0" fontId="45" fillId="29" borderId="16" xfId="0" applyFont="1" applyFill="1" applyBorder="1" applyAlignment="1">
      <alignment horizontal="left" vertical="top"/>
    </xf>
    <xf numFmtId="9" fontId="5" fillId="29" borderId="16" xfId="0" applyNumberFormat="1" applyFont="1" applyFill="1" applyBorder="1" applyAlignment="1">
      <alignment vertical="top"/>
    </xf>
    <xf numFmtId="9" fontId="5" fillId="29" borderId="16" xfId="5" applyFont="1" applyFill="1" applyBorder="1" applyAlignment="1">
      <alignment vertical="top"/>
    </xf>
    <xf numFmtId="0" fontId="0" fillId="0" borderId="0" xfId="0" applyFont="1" applyBorder="1" applyAlignment="1">
      <alignment vertical="top" wrapText="1"/>
    </xf>
    <xf numFmtId="0" fontId="45" fillId="0" borderId="42" xfId="0" applyFont="1" applyBorder="1"/>
    <xf numFmtId="0" fontId="45" fillId="0" borderId="43" xfId="0" applyFont="1" applyBorder="1"/>
    <xf numFmtId="0" fontId="45" fillId="0" borderId="41" xfId="0" applyFont="1" applyBorder="1"/>
    <xf numFmtId="0" fontId="0" fillId="0" borderId="36" xfId="0" applyFont="1" applyBorder="1" applyAlignment="1">
      <alignment vertical="top" wrapText="1"/>
    </xf>
    <xf numFmtId="0" fontId="0" fillId="0" borderId="14" xfId="0" applyFont="1" applyBorder="1" applyAlignment="1">
      <alignment vertical="top"/>
    </xf>
    <xf numFmtId="43" fontId="16" fillId="0" borderId="14" xfId="2" applyFont="1" applyBorder="1" applyAlignment="1">
      <alignment vertical="top"/>
    </xf>
    <xf numFmtId="43" fontId="16" fillId="0" borderId="15" xfId="2" applyFont="1" applyBorder="1" applyAlignment="1">
      <alignment vertical="top"/>
    </xf>
    <xf numFmtId="0" fontId="5" fillId="19" borderId="0" xfId="0" applyFont="1" applyFill="1" applyBorder="1" applyAlignment="1">
      <alignment vertical="top" wrapText="1"/>
    </xf>
    <xf numFmtId="9" fontId="3" fillId="0" borderId="0" xfId="5" applyFont="1" applyFill="1" applyBorder="1" applyAlignment="1">
      <alignment vertical="top"/>
    </xf>
    <xf numFmtId="167" fontId="33" fillId="0" borderId="0" xfId="0" applyNumberFormat="1" applyFont="1" applyBorder="1" applyAlignment="1">
      <alignment horizontal="left" vertical="top"/>
    </xf>
    <xf numFmtId="9" fontId="3" fillId="0" borderId="43" xfId="5" applyFont="1" applyFill="1" applyBorder="1" applyAlignment="1">
      <alignment vertical="top"/>
    </xf>
    <xf numFmtId="43" fontId="3" fillId="0" borderId="43" xfId="4" applyFont="1" applyFill="1" applyBorder="1" applyAlignment="1">
      <alignment vertical="top"/>
    </xf>
    <xf numFmtId="43" fontId="3" fillId="0" borderId="41" xfId="4" applyFont="1" applyFill="1" applyBorder="1" applyAlignment="1">
      <alignment vertical="top"/>
    </xf>
    <xf numFmtId="0" fontId="45" fillId="0" borderId="44" xfId="0" applyFont="1" applyBorder="1" applyAlignment="1">
      <alignment vertical="top"/>
    </xf>
    <xf numFmtId="9" fontId="5" fillId="0" borderId="36" xfId="5" applyFont="1" applyFill="1" applyBorder="1" applyAlignment="1">
      <alignment vertical="top"/>
    </xf>
    <xf numFmtId="0" fontId="39" fillId="0" borderId="42" xfId="0" applyFont="1" applyFill="1" applyBorder="1" applyAlignment="1">
      <alignment vertical="top"/>
    </xf>
    <xf numFmtId="0" fontId="45" fillId="0" borderId="44" xfId="0" applyFont="1" applyFill="1" applyBorder="1" applyAlignment="1">
      <alignment vertical="top"/>
    </xf>
    <xf numFmtId="0" fontId="39" fillId="0" borderId="264" xfId="0" applyFont="1" applyFill="1" applyBorder="1" applyAlignment="1">
      <alignment vertical="top"/>
    </xf>
    <xf numFmtId="9" fontId="3" fillId="0" borderId="265" xfId="5" applyFont="1" applyFill="1" applyBorder="1" applyAlignment="1">
      <alignment vertical="top"/>
    </xf>
    <xf numFmtId="43" fontId="3" fillId="0" borderId="265" xfId="4" applyFont="1" applyFill="1" applyBorder="1" applyAlignment="1">
      <alignment vertical="top"/>
    </xf>
    <xf numFmtId="0" fontId="39" fillId="0" borderId="267" xfId="0" applyFont="1" applyFill="1" applyBorder="1" applyAlignment="1">
      <alignment vertical="top"/>
    </xf>
    <xf numFmtId="9" fontId="3" fillId="0" borderId="268" xfId="5" applyFont="1" applyFill="1" applyBorder="1" applyAlignment="1">
      <alignment vertical="top" wrapText="1"/>
    </xf>
    <xf numFmtId="43" fontId="3" fillId="0" borderId="268" xfId="4" applyFont="1" applyFill="1" applyBorder="1" applyAlignment="1">
      <alignment vertical="top"/>
    </xf>
    <xf numFmtId="0" fontId="57" fillId="0" borderId="0" xfId="0" applyFont="1" applyFill="1" applyBorder="1" applyAlignment="1">
      <alignment horizontal="left" vertical="top" wrapText="1"/>
    </xf>
    <xf numFmtId="167" fontId="3" fillId="0" borderId="43" xfId="2" applyNumberFormat="1" applyFont="1" applyFill="1" applyBorder="1" applyAlignment="1">
      <alignment vertical="top"/>
    </xf>
    <xf numFmtId="167" fontId="3" fillId="0" borderId="41" xfId="2" applyNumberFormat="1" applyFont="1" applyFill="1" applyBorder="1" applyAlignment="1">
      <alignment vertical="top"/>
    </xf>
    <xf numFmtId="167" fontId="3" fillId="0" borderId="40" xfId="2" applyNumberFormat="1" applyFont="1" applyFill="1" applyBorder="1" applyAlignment="1">
      <alignment vertical="top"/>
    </xf>
    <xf numFmtId="0" fontId="57" fillId="0" borderId="36" xfId="0" applyFont="1" applyFill="1" applyBorder="1" applyAlignment="1">
      <alignment horizontal="left" vertical="top" wrapText="1"/>
    </xf>
    <xf numFmtId="167" fontId="3" fillId="0" borderId="36" xfId="2" applyNumberFormat="1" applyFont="1" applyFill="1" applyBorder="1" applyAlignment="1">
      <alignment vertical="top"/>
    </xf>
    <xf numFmtId="9" fontId="39" fillId="0" borderId="42" xfId="5" applyFont="1" applyFill="1" applyBorder="1" applyAlignment="1">
      <alignment horizontal="center" vertical="top"/>
    </xf>
    <xf numFmtId="9" fontId="5" fillId="4" borderId="43" xfId="5" applyFont="1" applyFill="1" applyBorder="1" applyAlignment="1">
      <alignment horizontal="left" vertical="top"/>
    </xf>
    <xf numFmtId="167" fontId="3" fillId="0" borderId="265" xfId="2" applyNumberFormat="1" applyFont="1" applyFill="1" applyBorder="1" applyAlignment="1">
      <alignment vertical="top"/>
    </xf>
    <xf numFmtId="167" fontId="3" fillId="0" borderId="266" xfId="2" applyNumberFormat="1" applyFont="1" applyFill="1" applyBorder="1" applyAlignment="1">
      <alignment vertical="top"/>
    </xf>
    <xf numFmtId="0" fontId="57" fillId="0" borderId="268" xfId="0" applyFont="1" applyFill="1" applyBorder="1" applyAlignment="1">
      <alignment horizontal="left" vertical="top" wrapText="1"/>
    </xf>
    <xf numFmtId="167" fontId="3" fillId="0" borderId="268" xfId="2" applyNumberFormat="1" applyFont="1" applyFill="1" applyBorder="1" applyAlignment="1">
      <alignment vertical="top"/>
    </xf>
    <xf numFmtId="0" fontId="57" fillId="0" borderId="43" xfId="0" applyFont="1" applyFill="1" applyBorder="1" applyAlignment="1">
      <alignment horizontal="left" vertical="top" wrapText="1"/>
    </xf>
    <xf numFmtId="0" fontId="33" fillId="0" borderId="265" xfId="0" applyFont="1" applyFill="1" applyBorder="1" applyAlignment="1">
      <alignment horizontal="left" vertical="top"/>
    </xf>
    <xf numFmtId="0" fontId="45" fillId="0" borderId="276" xfId="0" applyFont="1" applyFill="1" applyBorder="1" applyAlignment="1">
      <alignment vertical="top"/>
    </xf>
    <xf numFmtId="9" fontId="11" fillId="0" borderId="277" xfId="5" applyFont="1" applyFill="1" applyBorder="1" applyAlignment="1">
      <alignment vertical="top"/>
    </xf>
    <xf numFmtId="0" fontId="45" fillId="0" borderId="277" xfId="0" applyFont="1" applyFill="1" applyBorder="1" applyAlignment="1">
      <alignment horizontal="left" vertical="top"/>
    </xf>
    <xf numFmtId="43" fontId="11" fillId="0" borderId="277" xfId="4" applyFont="1" applyFill="1" applyBorder="1" applyAlignment="1">
      <alignment vertical="top"/>
    </xf>
    <xf numFmtId="43" fontId="11" fillId="0" borderId="278" xfId="4" applyFont="1" applyFill="1" applyBorder="1" applyAlignment="1">
      <alignment vertical="top"/>
    </xf>
    <xf numFmtId="0" fontId="5" fillId="4" borderId="16" xfId="0" applyFont="1" applyFill="1" applyBorder="1" applyAlignment="1">
      <alignment vertical="top"/>
    </xf>
    <xf numFmtId="0" fontId="5" fillId="4" borderId="16" xfId="0" applyFont="1" applyFill="1" applyBorder="1" applyAlignment="1">
      <alignment vertical="top" wrapText="1"/>
    </xf>
    <xf numFmtId="0" fontId="58" fillId="4" borderId="16" xfId="0" applyFont="1" applyFill="1" applyBorder="1" applyAlignment="1">
      <alignment horizontal="left" vertical="top"/>
    </xf>
    <xf numFmtId="43" fontId="5" fillId="4" borderId="16" xfId="0" applyNumberFormat="1" applyFont="1" applyFill="1" applyBorder="1" applyAlignment="1">
      <alignment vertical="top"/>
    </xf>
    <xf numFmtId="0" fontId="50" fillId="0" borderId="42" xfId="0" applyFont="1" applyBorder="1" applyAlignment="1">
      <alignment vertical="top"/>
    </xf>
    <xf numFmtId="0" fontId="50" fillId="0" borderId="43" xfId="0" applyFont="1" applyBorder="1" applyAlignment="1">
      <alignment vertical="top" wrapText="1"/>
    </xf>
    <xf numFmtId="167" fontId="50" fillId="0" borderId="43" xfId="0" applyNumberFormat="1" applyFont="1" applyBorder="1" applyAlignment="1">
      <alignment vertical="top"/>
    </xf>
    <xf numFmtId="167" fontId="50" fillId="0" borderId="41" xfId="0" applyNumberFormat="1" applyFont="1" applyBorder="1" applyAlignment="1">
      <alignment vertical="top"/>
    </xf>
    <xf numFmtId="0" fontId="50" fillId="0" borderId="44" xfId="0" applyFont="1" applyBorder="1" applyAlignment="1">
      <alignment vertical="top"/>
    </xf>
    <xf numFmtId="0" fontId="50" fillId="0" borderId="36" xfId="0" applyFont="1" applyBorder="1" applyAlignment="1">
      <alignment vertical="top" wrapText="1"/>
    </xf>
    <xf numFmtId="0" fontId="32" fillId="0" borderId="36" xfId="0" applyFont="1" applyBorder="1" applyAlignment="1">
      <alignment horizontal="left" vertical="top"/>
    </xf>
    <xf numFmtId="167" fontId="50" fillId="0" borderId="36" xfId="0" applyNumberFormat="1" applyFont="1" applyBorder="1" applyAlignment="1">
      <alignment vertical="top"/>
    </xf>
    <xf numFmtId="167" fontId="50" fillId="0" borderId="57" xfId="0" applyNumberFormat="1" applyFont="1" applyBorder="1" applyAlignment="1">
      <alignment vertical="top"/>
    </xf>
    <xf numFmtId="167" fontId="85" fillId="0" borderId="43" xfId="0" applyNumberFormat="1" applyFont="1" applyFill="1" applyBorder="1" applyAlignment="1">
      <alignment horizontal="left" vertical="top"/>
    </xf>
    <xf numFmtId="167" fontId="85" fillId="0" borderId="0" xfId="0" applyNumberFormat="1" applyFont="1" applyFill="1" applyBorder="1" applyAlignment="1">
      <alignment horizontal="left" vertical="top"/>
    </xf>
    <xf numFmtId="167" fontId="85" fillId="0" borderId="265" xfId="0" applyNumberFormat="1" applyFont="1" applyFill="1" applyBorder="1" applyAlignment="1">
      <alignment horizontal="left" vertical="top"/>
    </xf>
    <xf numFmtId="167" fontId="85" fillId="0" borderId="268" xfId="0" applyNumberFormat="1" applyFont="1" applyFill="1" applyBorder="1" applyAlignment="1">
      <alignment horizontal="left" vertical="top"/>
    </xf>
    <xf numFmtId="0" fontId="5" fillId="0" borderId="62" xfId="0" applyFont="1" applyBorder="1" applyAlignment="1">
      <alignment vertical="top"/>
    </xf>
    <xf numFmtId="0" fontId="16" fillId="0" borderId="84" xfId="0" applyFont="1" applyBorder="1" applyAlignment="1">
      <alignment vertical="top"/>
    </xf>
    <xf numFmtId="167" fontId="16" fillId="0" borderId="43" xfId="4" applyNumberFormat="1" applyFont="1" applyFill="1" applyBorder="1" applyAlignment="1">
      <alignment horizontal="left" vertical="top"/>
    </xf>
    <xf numFmtId="167" fontId="16" fillId="0" borderId="43" xfId="4" applyNumberFormat="1" applyFont="1" applyFill="1" applyBorder="1" applyAlignment="1">
      <alignment vertical="top"/>
    </xf>
    <xf numFmtId="167" fontId="16" fillId="0" borderId="82" xfId="4" applyNumberFormat="1" applyFont="1" applyFill="1" applyBorder="1" applyAlignment="1">
      <alignment vertical="top"/>
    </xf>
    <xf numFmtId="9" fontId="11" fillId="0" borderId="0" xfId="5" applyFont="1" applyBorder="1" applyAlignment="1">
      <alignment horizontal="right" vertical="top"/>
    </xf>
    <xf numFmtId="9" fontId="11" fillId="0" borderId="9" xfId="5" applyFont="1" applyBorder="1" applyAlignment="1">
      <alignment horizontal="right" vertical="top"/>
    </xf>
    <xf numFmtId="9" fontId="11" fillId="0" borderId="43" xfId="5" applyNumberFormat="1" applyFont="1" applyFill="1" applyBorder="1" applyAlignment="1">
      <alignment horizontal="right" vertical="top"/>
    </xf>
    <xf numFmtId="9" fontId="11" fillId="0" borderId="0" xfId="5" applyNumberFormat="1" applyFont="1" applyFill="1" applyBorder="1" applyAlignment="1">
      <alignment horizontal="right" vertical="top"/>
    </xf>
    <xf numFmtId="9" fontId="5" fillId="0" borderId="9" xfId="5" applyNumberFormat="1" applyFont="1" applyBorder="1" applyAlignment="1">
      <alignment horizontal="right" vertical="top"/>
    </xf>
    <xf numFmtId="167" fontId="0" fillId="0" borderId="43" xfId="4" applyNumberFormat="1" applyFont="1" applyFill="1" applyBorder="1" applyAlignment="1">
      <alignment horizontal="left" vertical="top"/>
    </xf>
    <xf numFmtId="167" fontId="0" fillId="0" borderId="82" xfId="4" applyNumberFormat="1" applyFont="1" applyFill="1" applyBorder="1" applyAlignment="1">
      <alignment vertical="top"/>
    </xf>
    <xf numFmtId="9" fontId="5" fillId="0" borderId="0" xfId="5" applyNumberFormat="1" applyFont="1" applyBorder="1" applyAlignment="1">
      <alignment horizontal="right" vertical="top"/>
    </xf>
    <xf numFmtId="0" fontId="64" fillId="2" borderId="1" xfId="0" applyFont="1" applyFill="1" applyBorder="1" applyAlignment="1">
      <alignment vertical="top" wrapText="1"/>
    </xf>
    <xf numFmtId="0" fontId="64" fillId="2" borderId="84" xfId="0" applyFont="1" applyFill="1" applyBorder="1" applyAlignment="1">
      <alignment vertical="top" wrapText="1"/>
    </xf>
    <xf numFmtId="0" fontId="29" fillId="13" borderId="43" xfId="0" applyFont="1" applyFill="1" applyBorder="1" applyAlignment="1">
      <alignment horizontal="left" vertical="top"/>
    </xf>
    <xf numFmtId="0" fontId="29" fillId="13" borderId="43" xfId="0" applyFont="1" applyFill="1" applyBorder="1" applyAlignment="1">
      <alignment vertical="top"/>
    </xf>
    <xf numFmtId="0" fontId="29" fillId="13" borderId="82" xfId="0" applyFont="1" applyFill="1" applyBorder="1" applyAlignment="1">
      <alignment vertical="top"/>
    </xf>
    <xf numFmtId="167" fontId="0" fillId="0" borderId="5" xfId="4" applyNumberFormat="1" applyFont="1" applyBorder="1" applyAlignment="1">
      <alignment horizontal="left" vertical="top"/>
    </xf>
    <xf numFmtId="167" fontId="16" fillId="0" borderId="5" xfId="0" applyNumberFormat="1" applyFont="1" applyBorder="1" applyAlignment="1">
      <alignment horizontal="left" vertical="top"/>
    </xf>
    <xf numFmtId="167" fontId="0" fillId="0" borderId="10" xfId="4" applyNumberFormat="1" applyFont="1" applyBorder="1" applyAlignment="1">
      <alignment horizontal="left" vertical="top"/>
    </xf>
    <xf numFmtId="167" fontId="33" fillId="0" borderId="43" xfId="0" applyNumberFormat="1" applyFont="1" applyBorder="1" applyAlignment="1">
      <alignment horizontal="left" vertical="top"/>
    </xf>
    <xf numFmtId="167" fontId="33" fillId="0" borderId="82" xfId="0" applyNumberFormat="1" applyFont="1" applyBorder="1" applyAlignment="1">
      <alignment horizontal="left" vertical="top"/>
    </xf>
    <xf numFmtId="43" fontId="0" fillId="0" borderId="0" xfId="0" applyNumberFormat="1" applyBorder="1" applyAlignment="1">
      <alignment horizontal="left" vertical="top"/>
    </xf>
    <xf numFmtId="0" fontId="5" fillId="2" borderId="1" xfId="0" applyFont="1" applyFill="1" applyBorder="1" applyAlignment="1">
      <alignment vertical="top"/>
    </xf>
    <xf numFmtId="169" fontId="0" fillId="0" borderId="2" xfId="0" applyNumberFormat="1" applyFont="1" applyBorder="1" applyAlignment="1">
      <alignment horizontal="left" vertical="top"/>
    </xf>
    <xf numFmtId="169" fontId="0" fillId="0" borderId="2" xfId="0" applyNumberFormat="1" applyFont="1" applyBorder="1" applyAlignment="1">
      <alignment vertical="top"/>
    </xf>
    <xf numFmtId="169" fontId="0" fillId="0" borderId="3" xfId="0" applyNumberFormat="1" applyFont="1" applyBorder="1" applyAlignment="1">
      <alignment vertical="top"/>
    </xf>
    <xf numFmtId="0" fontId="0" fillId="0" borderId="4" xfId="0" applyFont="1" applyBorder="1" applyAlignment="1">
      <alignment vertical="top"/>
    </xf>
    <xf numFmtId="0" fontId="0" fillId="0" borderId="4" xfId="0" applyFont="1" applyFill="1" applyBorder="1" applyAlignment="1">
      <alignment vertical="top"/>
    </xf>
    <xf numFmtId="0" fontId="0" fillId="0" borderId="8" xfId="0" applyFont="1" applyFill="1" applyBorder="1" applyAlignment="1">
      <alignment vertical="top"/>
    </xf>
    <xf numFmtId="167" fontId="0" fillId="0" borderId="9" xfId="4" applyNumberFormat="1" applyFont="1" applyFill="1" applyBorder="1" applyAlignment="1">
      <alignment horizontal="left" vertical="top"/>
    </xf>
    <xf numFmtId="167" fontId="0" fillId="0" borderId="10" xfId="4" applyNumberFormat="1" applyFont="1" applyFill="1" applyBorder="1" applyAlignment="1">
      <alignment vertical="top"/>
    </xf>
    <xf numFmtId="0" fontId="0" fillId="0" borderId="4" xfId="0" applyFont="1" applyBorder="1" applyAlignment="1">
      <alignment vertical="top" wrapText="1"/>
    </xf>
    <xf numFmtId="0" fontId="0" fillId="0" borderId="8" xfId="0" applyFont="1" applyBorder="1" applyAlignment="1">
      <alignment vertical="top" wrapText="1"/>
    </xf>
    <xf numFmtId="0" fontId="0" fillId="0" borderId="8" xfId="0" applyFont="1" applyBorder="1" applyAlignment="1">
      <alignment vertical="top"/>
    </xf>
    <xf numFmtId="43" fontId="0" fillId="0" borderId="0" xfId="0" applyNumberFormat="1" applyAlignment="1">
      <alignment horizontal="left" vertical="top"/>
    </xf>
    <xf numFmtId="0" fontId="16" fillId="0" borderId="8" xfId="0" applyFont="1" applyFill="1" applyBorder="1" applyAlignment="1">
      <alignment vertical="top"/>
    </xf>
    <xf numFmtId="43" fontId="16" fillId="0" borderId="0" xfId="5" applyNumberFormat="1" applyFont="1" applyFill="1" applyBorder="1" applyAlignment="1">
      <alignment horizontal="left" vertical="top"/>
    </xf>
    <xf numFmtId="43" fontId="16" fillId="0" borderId="5" xfId="4" applyNumberFormat="1" applyFont="1" applyFill="1" applyBorder="1" applyAlignment="1">
      <alignment vertical="top"/>
    </xf>
    <xf numFmtId="43" fontId="16" fillId="0" borderId="0" xfId="0" applyNumberFormat="1" applyFont="1" applyFill="1" applyBorder="1" applyAlignment="1">
      <alignment horizontal="left" vertical="top"/>
    </xf>
    <xf numFmtId="43" fontId="16" fillId="0" borderId="5" xfId="0" applyNumberFormat="1" applyFont="1" applyFill="1" applyBorder="1" applyAlignment="1">
      <alignment vertical="top"/>
    </xf>
    <xf numFmtId="0" fontId="8" fillId="21" borderId="12" xfId="1" applyFill="1" applyBorder="1" applyAlignment="1" applyProtection="1">
      <alignment horizontal="center" vertical="center" wrapText="1"/>
    </xf>
    <xf numFmtId="43" fontId="16" fillId="0" borderId="0" xfId="0" applyNumberFormat="1" applyFont="1" applyBorder="1" applyAlignment="1">
      <alignment vertical="top"/>
    </xf>
    <xf numFmtId="0" fontId="85" fillId="0" borderId="0" xfId="0" applyFont="1" applyBorder="1" applyAlignment="1">
      <alignment vertical="top" wrapText="1"/>
    </xf>
    <xf numFmtId="43" fontId="85" fillId="0" borderId="0" xfId="2" applyFont="1" applyFill="1" applyBorder="1" applyAlignment="1">
      <alignment vertical="top"/>
    </xf>
    <xf numFmtId="43" fontId="85" fillId="0" borderId="40" xfId="2" applyFont="1" applyFill="1" applyBorder="1" applyAlignment="1">
      <alignment vertical="top"/>
    </xf>
    <xf numFmtId="0" fontId="60" fillId="0" borderId="43" xfId="0" applyFont="1" applyFill="1" applyBorder="1" applyAlignment="1">
      <alignment horizontal="left" vertical="top"/>
    </xf>
    <xf numFmtId="0" fontId="11" fillId="0" borderId="0" xfId="0" applyFont="1" applyBorder="1" applyAlignment="1">
      <alignment vertical="top"/>
    </xf>
    <xf numFmtId="0" fontId="16" fillId="0" borderId="40" xfId="0" applyFont="1" applyBorder="1" applyAlignment="1">
      <alignment vertical="top"/>
    </xf>
    <xf numFmtId="169" fontId="16" fillId="0" borderId="36" xfId="0" applyNumberFormat="1" applyFont="1" applyBorder="1" applyAlignment="1">
      <alignment vertical="top"/>
    </xf>
    <xf numFmtId="0" fontId="16" fillId="0" borderId="43" xfId="0" applyFont="1" applyBorder="1" applyAlignment="1">
      <alignment horizontal="left" vertical="top" wrapText="1"/>
    </xf>
    <xf numFmtId="0" fontId="16" fillId="0" borderId="41" xfId="0" applyFont="1" applyBorder="1" applyAlignment="1">
      <alignment vertical="top" wrapText="1"/>
    </xf>
    <xf numFmtId="0" fontId="16" fillId="0" borderId="20" xfId="0" applyFont="1" applyBorder="1" applyAlignment="1">
      <alignment vertical="top" wrapText="1"/>
    </xf>
    <xf numFmtId="0" fontId="16" fillId="0" borderId="44" xfId="0" applyFont="1" applyBorder="1" applyAlignment="1">
      <alignment vertical="top" wrapText="1"/>
    </xf>
    <xf numFmtId="0" fontId="67" fillId="0" borderId="0" xfId="0" applyFont="1" applyBorder="1" applyAlignment="1">
      <alignment horizontal="left" vertical="top"/>
    </xf>
    <xf numFmtId="0" fontId="16" fillId="0" borderId="43" xfId="0" applyFont="1" applyFill="1" applyBorder="1" applyAlignment="1">
      <alignment horizontal="left" vertical="top" wrapText="1"/>
    </xf>
    <xf numFmtId="0" fontId="16" fillId="0" borderId="41" xfId="0" applyFont="1" applyFill="1" applyBorder="1" applyAlignment="1">
      <alignment vertical="top" wrapText="1"/>
    </xf>
    <xf numFmtId="43" fontId="16" fillId="0" borderId="40" xfId="0" applyNumberFormat="1" applyFont="1" applyBorder="1" applyAlignment="1">
      <alignment horizontal="left" vertical="top"/>
    </xf>
    <xf numFmtId="0" fontId="11" fillId="4" borderId="43" xfId="0" applyFont="1" applyFill="1" applyBorder="1" applyAlignment="1">
      <alignment vertical="top"/>
    </xf>
    <xf numFmtId="0" fontId="18" fillId="49" borderId="0" xfId="0" applyFont="1" applyFill="1" applyAlignment="1">
      <alignment horizontal="center" vertical="top"/>
    </xf>
    <xf numFmtId="1" fontId="18" fillId="49" borderId="0" xfId="4" applyNumberFormat="1" applyFont="1" applyFill="1" applyAlignment="1">
      <alignment horizontal="center" vertical="top"/>
    </xf>
    <xf numFmtId="0" fontId="60" fillId="50" borderId="0" xfId="0" applyFont="1" applyFill="1" applyBorder="1" applyAlignment="1">
      <alignment horizontal="left" vertical="top"/>
    </xf>
    <xf numFmtId="0" fontId="16" fillId="0" borderId="12" xfId="0" applyFont="1" applyFill="1" applyBorder="1" applyAlignment="1" applyProtection="1">
      <alignment horizontal="center" vertical="center"/>
    </xf>
    <xf numFmtId="0" fontId="16" fillId="0" borderId="16" xfId="0" applyFont="1" applyFill="1" applyBorder="1" applyAlignment="1" applyProtection="1">
      <alignment horizontal="center" vertical="top"/>
    </xf>
    <xf numFmtId="0" fontId="16" fillId="0" borderId="17" xfId="0" applyFont="1" applyFill="1" applyBorder="1" applyAlignment="1" applyProtection="1">
      <alignment horizontal="center" vertical="center"/>
    </xf>
    <xf numFmtId="0" fontId="16" fillId="0" borderId="143" xfId="0" applyFont="1" applyFill="1" applyBorder="1" applyAlignment="1" applyProtection="1">
      <alignment horizontal="center" vertical="top"/>
    </xf>
    <xf numFmtId="0" fontId="87" fillId="0" borderId="19" xfId="0" applyFont="1" applyFill="1" applyBorder="1" applyAlignment="1" applyProtection="1">
      <alignment horizontal="center" vertical="top"/>
    </xf>
    <xf numFmtId="43" fontId="11" fillId="29" borderId="12" xfId="2" applyFont="1" applyFill="1" applyBorder="1" applyAlignment="1">
      <alignment horizontal="center" vertical="center"/>
    </xf>
    <xf numFmtId="0" fontId="16" fillId="7" borderId="176" xfId="0" applyFont="1" applyFill="1" applyBorder="1" applyAlignment="1" applyProtection="1">
      <alignment vertical="center" wrapText="1"/>
    </xf>
    <xf numFmtId="0" fontId="0" fillId="29" borderId="12" xfId="0" applyFill="1" applyBorder="1" applyAlignment="1">
      <alignment vertical="top"/>
    </xf>
    <xf numFmtId="9" fontId="0" fillId="29" borderId="12" xfId="5" applyFont="1" applyFill="1" applyBorder="1" applyAlignment="1">
      <alignment vertical="top"/>
    </xf>
    <xf numFmtId="0" fontId="0" fillId="7" borderId="176" xfId="0" applyFill="1" applyBorder="1" applyAlignment="1" applyProtection="1">
      <alignment vertical="center"/>
    </xf>
    <xf numFmtId="9" fontId="16" fillId="50" borderId="0" xfId="0" applyNumberFormat="1" applyFont="1" applyFill="1" applyBorder="1" applyAlignment="1">
      <alignment horizontal="left" vertical="top"/>
    </xf>
    <xf numFmtId="0" fontId="16" fillId="0" borderId="143" xfId="0" applyFont="1" applyFill="1" applyBorder="1" applyAlignment="1" applyProtection="1">
      <alignment vertical="center" wrapText="1"/>
    </xf>
    <xf numFmtId="0" fontId="0" fillId="0" borderId="195" xfId="0" applyFill="1" applyBorder="1" applyAlignment="1" applyProtection="1">
      <alignment horizontal="left" vertical="center" wrapText="1" indent="2"/>
    </xf>
    <xf numFmtId="0" fontId="16" fillId="7" borderId="12" xfId="0" applyFont="1" applyFill="1" applyBorder="1" applyAlignment="1">
      <alignment vertical="top"/>
    </xf>
    <xf numFmtId="0" fontId="11" fillId="7" borderId="12" xfId="0" applyFont="1" applyFill="1" applyBorder="1" applyAlignment="1">
      <alignment vertical="top"/>
    </xf>
    <xf numFmtId="0" fontId="11" fillId="7" borderId="0" xfId="0" applyFont="1" applyFill="1" applyBorder="1"/>
    <xf numFmtId="0" fontId="16" fillId="7" borderId="0" xfId="0" applyFont="1" applyFill="1" applyBorder="1" applyAlignment="1">
      <alignment vertical="top"/>
    </xf>
    <xf numFmtId="167" fontId="0" fillId="0" borderId="0" xfId="4" applyNumberFormat="1" applyFont="1" applyBorder="1" applyAlignment="1">
      <alignment vertical="top" wrapText="1"/>
    </xf>
    <xf numFmtId="0" fontId="0" fillId="7" borderId="0" xfId="0" quotePrefix="1" applyFill="1" applyBorder="1" applyAlignment="1">
      <alignment vertical="top" wrapText="1"/>
    </xf>
    <xf numFmtId="0" fontId="0" fillId="7" borderId="36" xfId="0" quotePrefix="1" applyFill="1" applyBorder="1" applyAlignment="1">
      <alignment vertical="center" wrapText="1"/>
    </xf>
    <xf numFmtId="0" fontId="0" fillId="7" borderId="43" xfId="0" quotePrefix="1" applyFill="1" applyBorder="1" applyAlignment="1">
      <alignment vertical="top" wrapText="1"/>
    </xf>
    <xf numFmtId="0" fontId="0" fillId="7" borderId="36" xfId="0" quotePrefix="1" applyFill="1" applyBorder="1" applyAlignment="1">
      <alignment vertical="center"/>
    </xf>
    <xf numFmtId="0" fontId="16" fillId="7" borderId="0" xfId="0" quotePrefix="1" applyFont="1" applyFill="1" applyBorder="1" applyAlignment="1">
      <alignment vertical="top" wrapText="1"/>
    </xf>
    <xf numFmtId="0" fontId="0" fillId="7" borderId="53" xfId="0" quotePrefix="1" applyFill="1" applyBorder="1"/>
    <xf numFmtId="0" fontId="50" fillId="7" borderId="71" xfId="0" applyFont="1" applyFill="1" applyBorder="1" applyAlignment="1">
      <alignment horizontal="right"/>
    </xf>
    <xf numFmtId="0" fontId="50" fillId="7" borderId="0" xfId="0" applyFont="1" applyFill="1" applyBorder="1" applyAlignment="1">
      <alignment horizontal="right" vertical="top"/>
    </xf>
    <xf numFmtId="0" fontId="48" fillId="7" borderId="20" xfId="0" applyFont="1" applyFill="1" applyBorder="1" applyAlignment="1">
      <alignment horizontal="center" vertical="top"/>
    </xf>
    <xf numFmtId="0" fontId="48" fillId="7" borderId="0" xfId="0" applyFont="1" applyFill="1" applyBorder="1" applyAlignment="1">
      <alignment horizontal="center" vertical="top"/>
    </xf>
    <xf numFmtId="0" fontId="16" fillId="7" borderId="0" xfId="2" quotePrefix="1" applyNumberFormat="1" applyFont="1" applyFill="1" applyBorder="1" applyAlignment="1">
      <alignment horizontal="left" vertical="top" wrapText="1"/>
    </xf>
    <xf numFmtId="0" fontId="0" fillId="7" borderId="285" xfId="0" quotePrefix="1" applyFill="1" applyBorder="1" applyAlignment="1">
      <alignment vertical="top" wrapText="1"/>
    </xf>
    <xf numFmtId="0" fontId="0" fillId="7" borderId="286" xfId="0" quotePrefix="1" applyFill="1" applyBorder="1" applyAlignment="1">
      <alignment vertical="top" wrapText="1"/>
    </xf>
    <xf numFmtId="0" fontId="50" fillId="7" borderId="43" xfId="0" applyFont="1" applyFill="1" applyBorder="1" applyAlignment="1">
      <alignment horizontal="right" vertical="center"/>
    </xf>
    <xf numFmtId="0" fontId="50" fillId="7" borderId="287" xfId="0" applyFont="1" applyFill="1" applyBorder="1" applyAlignment="1">
      <alignment horizontal="right" vertical="top"/>
    </xf>
    <xf numFmtId="0" fontId="50" fillId="7" borderId="288" xfId="0" applyFont="1" applyFill="1" applyBorder="1" applyAlignment="1">
      <alignment horizontal="right" vertical="top"/>
    </xf>
    <xf numFmtId="0" fontId="0" fillId="7" borderId="297" xfId="0" quotePrefix="1" applyFill="1" applyBorder="1"/>
    <xf numFmtId="0" fontId="50" fillId="7" borderId="43" xfId="0" applyFont="1" applyFill="1" applyBorder="1" applyAlignment="1">
      <alignment horizontal="right" vertical="top"/>
    </xf>
    <xf numFmtId="0" fontId="50" fillId="7" borderId="297" xfId="0" applyFont="1" applyFill="1" applyBorder="1" applyAlignment="1">
      <alignment horizontal="right" vertical="top"/>
    </xf>
    <xf numFmtId="0" fontId="0" fillId="7" borderId="300" xfId="0" quotePrefix="1" applyFill="1" applyBorder="1" applyAlignment="1">
      <alignment vertical="top" wrapText="1"/>
    </xf>
    <xf numFmtId="0" fontId="0" fillId="7" borderId="302" xfId="0" quotePrefix="1" applyFill="1" applyBorder="1" applyAlignment="1">
      <alignment vertical="top" wrapText="1"/>
    </xf>
    <xf numFmtId="0" fontId="19" fillId="17" borderId="11" xfId="6" applyFont="1" applyFill="1" applyBorder="1" applyAlignment="1" applyProtection="1">
      <alignment horizontal="center" vertical="center"/>
      <protection locked="0"/>
    </xf>
    <xf numFmtId="0" fontId="19" fillId="17" borderId="14" xfId="0" applyFont="1" applyFill="1" applyBorder="1" applyAlignment="1">
      <alignment vertical="center" wrapText="1"/>
    </xf>
    <xf numFmtId="0" fontId="19" fillId="17" borderId="31" xfId="0" applyFont="1" applyFill="1" applyBorder="1" applyAlignment="1">
      <alignment vertical="center" wrapText="1"/>
    </xf>
    <xf numFmtId="0" fontId="19" fillId="17" borderId="11" xfId="6" applyFont="1" applyFill="1" applyBorder="1" applyAlignment="1" applyProtection="1">
      <alignment horizontal="center" vertical="top"/>
      <protection locked="0"/>
    </xf>
    <xf numFmtId="0" fontId="19" fillId="17" borderId="11" xfId="0" applyFont="1" applyFill="1" applyBorder="1" applyAlignment="1" applyProtection="1">
      <alignment horizontal="center" vertical="center"/>
      <protection locked="0"/>
    </xf>
    <xf numFmtId="0" fontId="19" fillId="17" borderId="7" xfId="6" applyFont="1" applyFill="1" applyBorder="1" applyAlignment="1" applyProtection="1">
      <alignment vertical="center"/>
      <protection locked="0"/>
    </xf>
    <xf numFmtId="0" fontId="19" fillId="17" borderId="42" xfId="0" applyFont="1" applyFill="1" applyBorder="1" applyAlignment="1">
      <alignment vertical="center" wrapText="1"/>
    </xf>
    <xf numFmtId="0" fontId="19" fillId="17" borderId="84" xfId="0" applyFont="1" applyFill="1" applyBorder="1" applyAlignment="1">
      <alignment vertical="center"/>
    </xf>
    <xf numFmtId="0" fontId="19" fillId="17" borderId="14" xfId="0" applyFont="1" applyFill="1" applyBorder="1" applyAlignment="1">
      <alignment vertical="top" wrapText="1"/>
    </xf>
    <xf numFmtId="0" fontId="19" fillId="17" borderId="98" xfId="0" applyFont="1" applyFill="1" applyBorder="1" applyAlignment="1">
      <alignment vertical="center"/>
    </xf>
    <xf numFmtId="0" fontId="19" fillId="17" borderId="36" xfId="0" applyFont="1" applyFill="1" applyBorder="1" applyAlignment="1">
      <alignment vertical="center"/>
    </xf>
    <xf numFmtId="0" fontId="19" fillId="17" borderId="15" xfId="0" applyFont="1" applyFill="1" applyBorder="1" applyAlignment="1">
      <alignment vertical="center"/>
    </xf>
    <xf numFmtId="0" fontId="19" fillId="17" borderId="31" xfId="0" applyFont="1" applyFill="1" applyBorder="1" applyAlignment="1">
      <alignment vertical="center"/>
    </xf>
    <xf numFmtId="0" fontId="19" fillId="17" borderId="43" xfId="0" applyFont="1" applyFill="1" applyBorder="1" applyAlignment="1">
      <alignment vertical="top" wrapText="1"/>
    </xf>
    <xf numFmtId="0" fontId="16" fillId="7" borderId="0" xfId="0" quotePrefix="1" applyFont="1" applyFill="1" applyBorder="1" applyAlignment="1">
      <alignment wrapText="1"/>
    </xf>
    <xf numFmtId="0" fontId="16" fillId="7" borderId="297" xfId="0" quotePrefix="1" applyFont="1" applyFill="1" applyBorder="1" applyAlignment="1">
      <alignment vertical="top" wrapText="1"/>
    </xf>
    <xf numFmtId="0" fontId="16" fillId="7" borderId="43" xfId="0" quotePrefix="1" applyFont="1" applyFill="1" applyBorder="1" applyAlignment="1">
      <alignment wrapText="1"/>
    </xf>
    <xf numFmtId="0" fontId="16" fillId="7" borderId="0" xfId="2" quotePrefix="1" applyNumberFormat="1" applyFont="1" applyFill="1" applyBorder="1" applyAlignment="1">
      <alignment horizontal="left" vertical="top"/>
    </xf>
    <xf numFmtId="0" fontId="16" fillId="7" borderId="306" xfId="2" quotePrefix="1" applyNumberFormat="1" applyFont="1" applyFill="1" applyBorder="1" applyAlignment="1">
      <alignment horizontal="left" vertical="top" wrapText="1"/>
    </xf>
    <xf numFmtId="167" fontId="16" fillId="3" borderId="308" xfId="4" applyNumberFormat="1" applyFont="1" applyFill="1" applyBorder="1" applyAlignment="1">
      <alignment vertical="center"/>
    </xf>
    <xf numFmtId="167" fontId="16" fillId="3" borderId="309" xfId="4" applyNumberFormat="1" applyFont="1" applyFill="1" applyBorder="1" applyAlignment="1">
      <alignment vertical="center"/>
    </xf>
    <xf numFmtId="9" fontId="16" fillId="48" borderId="313" xfId="5" applyFont="1" applyFill="1" applyBorder="1" applyAlignment="1" applyProtection="1">
      <alignment horizontal="right" vertical="center"/>
      <protection locked="0"/>
    </xf>
    <xf numFmtId="9" fontId="16" fillId="48" borderId="314" xfId="5" applyFont="1" applyFill="1" applyBorder="1" applyAlignment="1" applyProtection="1">
      <alignment horizontal="right" vertical="center"/>
      <protection locked="0"/>
    </xf>
    <xf numFmtId="9" fontId="16" fillId="48" borderId="315" xfId="0" applyNumberFormat="1" applyFont="1" applyFill="1" applyBorder="1" applyAlignment="1" applyProtection="1">
      <alignment vertical="center"/>
      <protection locked="0"/>
    </xf>
    <xf numFmtId="9" fontId="16" fillId="48" borderId="304" xfId="0" applyNumberFormat="1" applyFont="1" applyFill="1" applyBorder="1" applyAlignment="1" applyProtection="1">
      <alignment vertical="center"/>
      <protection locked="0"/>
    </xf>
    <xf numFmtId="9" fontId="0" fillId="48" borderId="290" xfId="0" applyNumberFormat="1" applyFill="1" applyBorder="1" applyAlignment="1" applyProtection="1">
      <alignment vertical="center"/>
      <protection locked="0"/>
    </xf>
    <xf numFmtId="167" fontId="0" fillId="48" borderId="290" xfId="2" applyNumberFormat="1" applyFont="1" applyFill="1" applyBorder="1" applyAlignment="1" applyProtection="1">
      <alignment vertical="center"/>
      <protection locked="0"/>
    </xf>
    <xf numFmtId="167" fontId="16" fillId="48" borderId="40" xfId="4" applyNumberFormat="1" applyFont="1" applyFill="1" applyBorder="1" applyAlignment="1" applyProtection="1">
      <alignment vertical="center"/>
      <protection locked="0"/>
    </xf>
    <xf numFmtId="167" fontId="16" fillId="48" borderId="57" xfId="4" applyNumberFormat="1" applyFont="1" applyFill="1" applyBorder="1" applyAlignment="1" applyProtection="1">
      <alignment vertical="center"/>
      <protection locked="0"/>
    </xf>
    <xf numFmtId="43" fontId="3" fillId="48" borderId="57" xfId="4" applyFont="1" applyFill="1" applyBorder="1" applyAlignment="1" applyProtection="1">
      <alignment vertical="top"/>
      <protection locked="0"/>
    </xf>
    <xf numFmtId="0" fontId="172" fillId="7" borderId="307" xfId="0" applyFont="1" applyFill="1" applyBorder="1" applyAlignment="1">
      <alignment horizontal="left" wrapText="1" indent="1"/>
    </xf>
    <xf numFmtId="0" fontId="16" fillId="7" borderId="308" xfId="0" quotePrefix="1" applyFont="1" applyFill="1" applyBorder="1" applyAlignment="1">
      <alignment vertical="top" wrapText="1"/>
    </xf>
    <xf numFmtId="0" fontId="16" fillId="7" borderId="316" xfId="0" quotePrefix="1" applyFont="1" applyFill="1" applyBorder="1" applyAlignment="1">
      <alignment vertical="top" wrapText="1"/>
    </xf>
    <xf numFmtId="0" fontId="16" fillId="7" borderId="311" xfId="0" quotePrefix="1" applyFont="1" applyFill="1" applyBorder="1" applyAlignment="1">
      <alignment vertical="top" wrapText="1"/>
    </xf>
    <xf numFmtId="0" fontId="16" fillId="7" borderId="310" xfId="0" quotePrefix="1" applyFont="1" applyFill="1" applyBorder="1" applyAlignment="1">
      <alignment vertical="top" wrapText="1"/>
    </xf>
    <xf numFmtId="167" fontId="16" fillId="48" borderId="321" xfId="2" applyNumberFormat="1" applyFont="1" applyFill="1" applyBorder="1" applyAlignment="1" applyProtection="1">
      <alignment vertical="center"/>
      <protection locked="0"/>
    </xf>
    <xf numFmtId="167" fontId="16" fillId="48" borderId="322" xfId="4" applyNumberFormat="1" applyFont="1" applyFill="1" applyBorder="1" applyAlignment="1" applyProtection="1">
      <alignment vertical="center"/>
      <protection locked="0"/>
    </xf>
    <xf numFmtId="0" fontId="87" fillId="3" borderId="323" xfId="0" applyFont="1" applyFill="1" applyBorder="1" applyAlignment="1">
      <alignment horizontal="right" vertical="center"/>
    </xf>
    <xf numFmtId="167" fontId="16" fillId="48" borderId="324" xfId="2" applyNumberFormat="1" applyFont="1" applyFill="1" applyBorder="1" applyAlignment="1" applyProtection="1">
      <alignment vertical="center"/>
      <protection locked="0"/>
    </xf>
    <xf numFmtId="0" fontId="87" fillId="3" borderId="325" xfId="0" applyFont="1" applyFill="1" applyBorder="1" applyAlignment="1">
      <alignment horizontal="right" vertical="center"/>
    </xf>
    <xf numFmtId="167" fontId="16" fillId="48" borderId="326" xfId="2" applyNumberFormat="1" applyFont="1" applyFill="1" applyBorder="1" applyAlignment="1" applyProtection="1">
      <alignment vertical="center"/>
      <protection locked="0"/>
    </xf>
    <xf numFmtId="167" fontId="16" fillId="3" borderId="330" xfId="2" applyNumberFormat="1" applyFont="1" applyFill="1" applyBorder="1" applyAlignment="1">
      <alignment horizontal="right" vertical="center"/>
    </xf>
    <xf numFmtId="167" fontId="16" fillId="3" borderId="331" xfId="2" applyNumberFormat="1" applyFont="1" applyFill="1" applyBorder="1" applyAlignment="1">
      <alignment horizontal="right" vertical="center"/>
    </xf>
    <xf numFmtId="0" fontId="16" fillId="7" borderId="308" xfId="2" quotePrefix="1" applyNumberFormat="1" applyFont="1" applyFill="1" applyBorder="1" applyAlignment="1">
      <alignment horizontal="left" vertical="top" wrapText="1"/>
    </xf>
    <xf numFmtId="0" fontId="87" fillId="3" borderId="308" xfId="0" applyFont="1" applyFill="1" applyBorder="1" applyAlignment="1">
      <alignment horizontal="right" vertical="center"/>
    </xf>
    <xf numFmtId="0" fontId="87" fillId="3" borderId="316" xfId="0" applyFont="1" applyFill="1" applyBorder="1" applyAlignment="1">
      <alignment horizontal="right" vertical="center"/>
    </xf>
    <xf numFmtId="0" fontId="16" fillId="7" borderId="310" xfId="2" quotePrefix="1" applyNumberFormat="1" applyFont="1" applyFill="1" applyBorder="1" applyAlignment="1">
      <alignment horizontal="left" vertical="top" wrapText="1"/>
    </xf>
    <xf numFmtId="167" fontId="16" fillId="48" borderId="332" xfId="2" applyNumberFormat="1" applyFont="1" applyFill="1" applyBorder="1" applyAlignment="1" applyProtection="1">
      <alignment vertical="center"/>
      <protection locked="0"/>
    </xf>
    <xf numFmtId="167" fontId="16" fillId="48" borderId="333" xfId="4" applyNumberFormat="1" applyFont="1" applyFill="1" applyBorder="1" applyAlignment="1" applyProtection="1">
      <alignment vertical="center"/>
      <protection locked="0"/>
    </xf>
    <xf numFmtId="9" fontId="16" fillId="48" borderId="334" xfId="5" applyFont="1" applyFill="1" applyBorder="1" applyAlignment="1" applyProtection="1">
      <alignment horizontal="right" vertical="center"/>
      <protection locked="0"/>
    </xf>
    <xf numFmtId="167" fontId="16" fillId="48" borderId="328" xfId="4" applyNumberFormat="1" applyFont="1" applyFill="1" applyBorder="1" applyAlignment="1" applyProtection="1">
      <alignment vertical="center"/>
      <protection locked="0"/>
    </xf>
    <xf numFmtId="167" fontId="16" fillId="48" borderId="314" xfId="4" applyNumberFormat="1" applyFont="1" applyFill="1" applyBorder="1" applyAlignment="1" applyProtection="1">
      <alignment vertical="center"/>
      <protection locked="0"/>
    </xf>
    <xf numFmtId="0" fontId="48" fillId="2" borderId="15" xfId="0" applyFont="1" applyFill="1" applyBorder="1" applyAlignment="1">
      <alignment vertical="top"/>
    </xf>
    <xf numFmtId="0" fontId="16" fillId="7" borderId="300" xfId="0" quotePrefix="1" applyFont="1" applyFill="1" applyBorder="1" applyAlignment="1">
      <alignment vertical="top" wrapText="1"/>
    </xf>
    <xf numFmtId="0" fontId="87" fillId="7" borderId="301" xfId="0" applyFont="1" applyFill="1" applyBorder="1" applyAlignment="1">
      <alignment horizontal="right" vertical="center"/>
    </xf>
    <xf numFmtId="0" fontId="16" fillId="7" borderId="337" xfId="0" quotePrefix="1" applyFont="1" applyFill="1" applyBorder="1" applyAlignment="1">
      <alignment vertical="top" wrapText="1"/>
    </xf>
    <xf numFmtId="0" fontId="87" fillId="7" borderId="305" xfId="0" applyFont="1" applyFill="1" applyBorder="1" applyAlignment="1">
      <alignment horizontal="right" vertical="center"/>
    </xf>
    <xf numFmtId="0" fontId="16" fillId="7" borderId="302" xfId="0" quotePrefix="1" applyFont="1" applyFill="1" applyBorder="1" applyAlignment="1">
      <alignment vertical="top" wrapText="1"/>
    </xf>
    <xf numFmtId="0" fontId="87" fillId="7" borderId="303" xfId="0" applyFont="1" applyFill="1" applyBorder="1" applyAlignment="1">
      <alignment horizontal="right" vertical="center"/>
    </xf>
    <xf numFmtId="0" fontId="16" fillId="7" borderId="300" xfId="0" quotePrefix="1" applyFont="1" applyFill="1" applyBorder="1" applyAlignment="1">
      <alignment vertical="center" wrapText="1"/>
    </xf>
    <xf numFmtId="167" fontId="16" fillId="7" borderId="305" xfId="2" applyNumberFormat="1" applyFont="1" applyFill="1" applyBorder="1" applyAlignment="1" applyProtection="1">
      <alignment vertical="center"/>
      <protection locked="0"/>
    </xf>
    <xf numFmtId="0" fontId="16" fillId="7" borderId="337" xfId="2" quotePrefix="1" applyNumberFormat="1" applyFont="1" applyFill="1" applyBorder="1" applyAlignment="1">
      <alignment horizontal="left" vertical="top" wrapText="1"/>
    </xf>
    <xf numFmtId="9" fontId="16" fillId="7" borderId="305" xfId="5" applyFont="1" applyFill="1" applyBorder="1" applyAlignment="1" applyProtection="1">
      <alignment horizontal="right" vertical="center"/>
      <protection locked="0"/>
    </xf>
    <xf numFmtId="0" fontId="87" fillId="7" borderId="305" xfId="0" applyFont="1" applyFill="1" applyBorder="1" applyAlignment="1">
      <alignment horizontal="right"/>
    </xf>
    <xf numFmtId="0" fontId="16" fillId="7" borderId="339" xfId="0" quotePrefix="1" applyFont="1" applyFill="1" applyBorder="1" applyAlignment="1">
      <alignment vertical="top" wrapText="1"/>
    </xf>
    <xf numFmtId="0" fontId="87" fillId="7" borderId="282" xfId="0" applyFont="1" applyFill="1" applyBorder="1" applyAlignment="1">
      <alignment horizontal="right" vertical="top"/>
    </xf>
    <xf numFmtId="0" fontId="16" fillId="7" borderId="340" xfId="0" quotePrefix="1" applyFont="1" applyFill="1" applyBorder="1" applyAlignment="1">
      <alignment vertical="top" wrapText="1"/>
    </xf>
    <xf numFmtId="0" fontId="87" fillId="7" borderId="298" xfId="0" applyFont="1" applyFill="1" applyBorder="1" applyAlignment="1">
      <alignment horizontal="right" vertical="center"/>
    </xf>
    <xf numFmtId="167" fontId="16" fillId="48" borderId="341" xfId="2" applyNumberFormat="1" applyFont="1" applyFill="1" applyBorder="1" applyAlignment="1" applyProtection="1">
      <alignment vertical="center"/>
      <protection locked="0"/>
    </xf>
    <xf numFmtId="0" fontId="16" fillId="7" borderId="342" xfId="2" quotePrefix="1" applyNumberFormat="1" applyFont="1" applyFill="1" applyBorder="1" applyAlignment="1">
      <alignment horizontal="left" vertical="top" wrapText="1"/>
    </xf>
    <xf numFmtId="9" fontId="16" fillId="7" borderId="295" xfId="5" applyFont="1" applyFill="1" applyBorder="1" applyAlignment="1" applyProtection="1">
      <alignment horizontal="right" vertical="center"/>
      <protection locked="0"/>
    </xf>
    <xf numFmtId="167" fontId="16" fillId="48" borderId="328" xfId="2" applyNumberFormat="1" applyFont="1" applyFill="1" applyBorder="1" applyAlignment="1" applyProtection="1">
      <alignment horizontal="right" vertical="top"/>
      <protection locked="0"/>
    </xf>
    <xf numFmtId="167" fontId="16" fillId="48" borderId="314" xfId="4" applyNumberFormat="1" applyFont="1" applyFill="1" applyBorder="1" applyProtection="1">
      <protection locked="0"/>
    </xf>
    <xf numFmtId="167" fontId="16" fillId="48" borderId="314" xfId="2" applyNumberFormat="1" applyFont="1" applyFill="1" applyBorder="1" applyAlignment="1" applyProtection="1">
      <alignment vertical="top"/>
      <protection locked="0"/>
    </xf>
    <xf numFmtId="167" fontId="16" fillId="48" borderId="304" xfId="2" applyNumberFormat="1" applyFont="1" applyFill="1" applyBorder="1" applyAlignment="1" applyProtection="1">
      <alignment vertical="center"/>
      <protection locked="0"/>
    </xf>
    <xf numFmtId="167" fontId="16" fillId="48" borderId="328" xfId="2" applyNumberFormat="1" applyFont="1" applyFill="1" applyBorder="1" applyAlignment="1" applyProtection="1">
      <alignment vertical="center"/>
      <protection locked="0"/>
    </xf>
    <xf numFmtId="0" fontId="48" fillId="2" borderId="14" xfId="0" applyFont="1" applyFill="1" applyBorder="1" applyAlignment="1">
      <alignment vertical="top"/>
    </xf>
    <xf numFmtId="0" fontId="16" fillId="7" borderId="307" xfId="0" quotePrefix="1" applyFont="1" applyFill="1" applyBorder="1" applyAlignment="1">
      <alignment wrapText="1"/>
    </xf>
    <xf numFmtId="0" fontId="16" fillId="7" borderId="308" xfId="0" quotePrefix="1" applyFont="1" applyFill="1" applyBorder="1" applyAlignment="1">
      <alignment horizontal="left" wrapText="1"/>
    </xf>
    <xf numFmtId="0" fontId="16" fillId="7" borderId="308" xfId="0" quotePrefix="1" applyFont="1" applyFill="1" applyBorder="1" applyAlignment="1">
      <alignment wrapText="1"/>
    </xf>
    <xf numFmtId="9" fontId="16" fillId="48" borderId="325" xfId="0" applyNumberFormat="1" applyFont="1" applyFill="1" applyBorder="1" applyAlignment="1" applyProtection="1">
      <alignment horizontal="center" vertical="center"/>
      <protection locked="0"/>
    </xf>
    <xf numFmtId="9" fontId="16" fillId="48" borderId="326" xfId="0" applyNumberFormat="1" applyFont="1" applyFill="1" applyBorder="1" applyAlignment="1" applyProtection="1">
      <alignment horizontal="center" vertical="center"/>
      <protection locked="0"/>
    </xf>
    <xf numFmtId="9" fontId="16" fillId="48" borderId="40" xfId="5" applyFont="1" applyFill="1" applyBorder="1" applyAlignment="1" applyProtection="1">
      <alignment vertical="center"/>
      <protection locked="0"/>
    </xf>
    <xf numFmtId="0" fontId="16" fillId="7" borderId="307" xfId="2" quotePrefix="1" applyNumberFormat="1" applyFont="1" applyFill="1" applyBorder="1" applyAlignment="1">
      <alignment vertical="top" wrapText="1"/>
    </xf>
    <xf numFmtId="0" fontId="16" fillId="7" borderId="308" xfId="2" quotePrefix="1" applyNumberFormat="1" applyFont="1" applyFill="1" applyBorder="1" applyAlignment="1">
      <alignment vertical="top" wrapText="1"/>
    </xf>
    <xf numFmtId="167" fontId="16" fillId="3" borderId="308" xfId="4" applyNumberFormat="1" applyFont="1" applyFill="1" applyBorder="1" applyAlignment="1" applyProtection="1">
      <alignment horizontal="right" vertical="center"/>
    </xf>
    <xf numFmtId="0" fontId="16" fillId="7" borderId="316" xfId="2" quotePrefix="1" applyNumberFormat="1" applyFont="1" applyFill="1" applyBorder="1" applyAlignment="1">
      <alignment horizontal="left" vertical="top" wrapText="1"/>
    </xf>
    <xf numFmtId="0" fontId="16" fillId="7" borderId="307" xfId="0" quotePrefix="1" applyFont="1" applyFill="1" applyBorder="1" applyAlignment="1">
      <alignment vertical="center" wrapText="1"/>
    </xf>
    <xf numFmtId="167" fontId="16" fillId="3" borderId="307" xfId="4" applyNumberFormat="1" applyFont="1" applyFill="1" applyBorder="1" applyAlignment="1">
      <alignment horizontal="right" vertical="center"/>
    </xf>
    <xf numFmtId="9" fontId="16" fillId="48" borderId="316" xfId="5" applyFont="1" applyFill="1" applyBorder="1" applyAlignment="1" applyProtection="1">
      <alignment vertical="center"/>
      <protection locked="0"/>
    </xf>
    <xf numFmtId="0" fontId="16" fillId="7" borderId="307" xfId="0" quotePrefix="1" applyFont="1" applyFill="1" applyBorder="1" applyAlignment="1">
      <alignment vertical="top" wrapText="1"/>
    </xf>
    <xf numFmtId="9" fontId="16" fillId="48" borderId="307" xfId="5" applyFont="1" applyFill="1" applyBorder="1" applyAlignment="1" applyProtection="1">
      <alignment vertical="center"/>
      <protection locked="0"/>
    </xf>
    <xf numFmtId="0" fontId="172" fillId="7" borderId="307" xfId="0" applyFont="1" applyFill="1" applyBorder="1" applyAlignment="1">
      <alignment vertical="top" wrapText="1"/>
    </xf>
    <xf numFmtId="0" fontId="16" fillId="7" borderId="308" xfId="0" quotePrefix="1" applyFont="1" applyFill="1" applyBorder="1"/>
    <xf numFmtId="167" fontId="16" fillId="3" borderId="308" xfId="4" applyNumberFormat="1" applyFont="1" applyFill="1" applyBorder="1" applyAlignment="1">
      <alignment horizontal="right" vertical="center"/>
    </xf>
    <xf numFmtId="0" fontId="48" fillId="27" borderId="43" xfId="0" applyFont="1" applyFill="1" applyBorder="1" applyAlignment="1">
      <alignment horizontal="left" vertical="top" wrapText="1"/>
    </xf>
    <xf numFmtId="0" fontId="0" fillId="7" borderId="316" xfId="0" quotePrefix="1" applyFill="1" applyBorder="1" applyAlignment="1">
      <alignment vertical="top" wrapText="1"/>
    </xf>
    <xf numFmtId="9" fontId="16" fillId="48" borderId="344" xfId="5" applyFont="1" applyFill="1" applyBorder="1" applyAlignment="1" applyProtection="1">
      <alignment vertical="center"/>
      <protection locked="0"/>
    </xf>
    <xf numFmtId="9" fontId="16" fillId="48" borderId="293" xfId="5" applyFont="1" applyFill="1" applyBorder="1" applyAlignment="1" applyProtection="1">
      <alignment vertical="center"/>
      <protection locked="0"/>
    </xf>
    <xf numFmtId="167" fontId="16" fillId="3" borderId="309" xfId="4" applyNumberFormat="1" applyFont="1" applyFill="1" applyBorder="1" applyAlignment="1">
      <alignment horizontal="right" vertical="center"/>
    </xf>
    <xf numFmtId="167" fontId="16" fillId="3" borderId="293" xfId="4" applyNumberFormat="1" applyFont="1" applyFill="1" applyBorder="1" applyAlignment="1">
      <alignment horizontal="right" vertical="center"/>
    </xf>
    <xf numFmtId="9" fontId="16" fillId="48" borderId="312" xfId="5" applyFont="1" applyFill="1" applyBorder="1" applyAlignment="1" applyProtection="1">
      <alignment vertical="center"/>
      <protection locked="0"/>
    </xf>
    <xf numFmtId="0" fontId="16" fillId="7" borderId="342" xfId="0" quotePrefix="1" applyFont="1" applyFill="1" applyBorder="1" applyAlignment="1">
      <alignment vertical="top" wrapText="1"/>
    </xf>
    <xf numFmtId="9" fontId="16" fillId="48" borderId="311" xfId="5" applyFont="1" applyFill="1" applyBorder="1" applyAlignment="1" applyProtection="1">
      <alignment vertical="center"/>
      <protection locked="0"/>
    </xf>
    <xf numFmtId="167" fontId="16" fillId="4" borderId="313" xfId="4" applyNumberFormat="1" applyFont="1" applyFill="1" applyBorder="1" applyAlignment="1" applyProtection="1">
      <alignment vertical="center"/>
    </xf>
    <xf numFmtId="167" fontId="16" fillId="4" borderId="314" xfId="4" applyNumberFormat="1" applyFont="1" applyFill="1" applyBorder="1" applyAlignment="1" applyProtection="1">
      <alignment vertical="center"/>
    </xf>
    <xf numFmtId="9" fontId="16" fillId="48" borderId="313" xfId="5" applyFont="1" applyFill="1" applyBorder="1" applyAlignment="1" applyProtection="1">
      <alignment vertical="center"/>
      <protection locked="0"/>
    </xf>
    <xf numFmtId="9" fontId="16" fillId="48" borderId="314" xfId="5" applyFont="1" applyFill="1" applyBorder="1" applyAlignment="1" applyProtection="1">
      <alignment vertical="center"/>
      <protection locked="0"/>
    </xf>
    <xf numFmtId="0" fontId="16" fillId="7" borderId="311" xfId="2" quotePrefix="1" applyNumberFormat="1" applyFont="1" applyFill="1" applyBorder="1" applyAlignment="1">
      <alignment horizontal="left" vertical="top" wrapText="1"/>
    </xf>
    <xf numFmtId="167" fontId="16" fillId="48" borderId="311" xfId="4" applyNumberFormat="1" applyFont="1" applyFill="1" applyBorder="1" applyAlignment="1" applyProtection="1">
      <alignment horizontal="right" vertical="center"/>
      <protection locked="0"/>
    </xf>
    <xf numFmtId="167" fontId="16" fillId="48" borderId="341" xfId="4" applyNumberFormat="1" applyFont="1" applyFill="1" applyBorder="1" applyAlignment="1" applyProtection="1">
      <alignment vertical="center"/>
      <protection locked="0"/>
    </xf>
    <xf numFmtId="167" fontId="16" fillId="48" borderId="315" xfId="4" applyNumberFormat="1" applyFont="1" applyFill="1" applyBorder="1" applyAlignment="1" applyProtection="1">
      <alignment horizontal="right" vertical="center"/>
      <protection locked="0"/>
    </xf>
    <xf numFmtId="167" fontId="16" fillId="48" borderId="345" xfId="4" applyNumberFormat="1" applyFont="1" applyFill="1" applyBorder="1" applyAlignment="1" applyProtection="1">
      <alignment vertical="center"/>
      <protection locked="0"/>
    </xf>
    <xf numFmtId="167" fontId="16" fillId="4" borderId="332" xfId="5" applyNumberFormat="1" applyFont="1" applyFill="1" applyBorder="1" applyAlignment="1" applyProtection="1">
      <alignment vertical="center"/>
    </xf>
    <xf numFmtId="167" fontId="16" fillId="4" borderId="328" xfId="4" applyNumberFormat="1" applyFont="1" applyFill="1" applyBorder="1" applyAlignment="1" applyProtection="1">
      <alignment vertical="center"/>
    </xf>
    <xf numFmtId="0" fontId="172" fillId="3" borderId="313" xfId="0" applyFont="1" applyFill="1" applyBorder="1" applyAlignment="1">
      <alignment vertical="top" wrapText="1"/>
    </xf>
    <xf numFmtId="0" fontId="172" fillId="3" borderId="314" xfId="0" applyFont="1" applyFill="1" applyBorder="1" applyAlignment="1">
      <alignment vertical="top" wrapText="1"/>
    </xf>
    <xf numFmtId="9" fontId="16" fillId="4" borderId="313" xfId="5" applyFont="1" applyFill="1" applyBorder="1" applyAlignment="1" applyProtection="1">
      <alignment vertical="center"/>
    </xf>
    <xf numFmtId="9" fontId="16" fillId="4" borderId="314" xfId="5" applyFont="1" applyFill="1" applyBorder="1" applyAlignment="1" applyProtection="1">
      <alignment vertical="center"/>
    </xf>
    <xf numFmtId="9" fontId="16" fillId="48" borderId="315" xfId="5" applyFont="1" applyFill="1" applyBorder="1" applyAlignment="1" applyProtection="1">
      <alignment vertical="center"/>
      <protection locked="0"/>
    </xf>
    <xf numFmtId="9" fontId="16" fillId="48" borderId="304" xfId="5" applyFont="1" applyFill="1" applyBorder="1" applyAlignment="1" applyProtection="1">
      <alignment vertical="center"/>
      <protection locked="0"/>
    </xf>
    <xf numFmtId="9" fontId="16" fillId="48" borderId="346" xfId="5" applyFont="1" applyFill="1" applyBorder="1" applyAlignment="1" applyProtection="1">
      <alignment vertical="center"/>
      <protection locked="0"/>
    </xf>
    <xf numFmtId="9" fontId="16" fillId="48" borderId="347" xfId="5" applyFont="1" applyFill="1" applyBorder="1" applyAlignment="1" applyProtection="1">
      <alignment vertical="center"/>
      <protection locked="0"/>
    </xf>
    <xf numFmtId="0" fontId="16" fillId="7" borderId="310" xfId="0" quotePrefix="1" applyFont="1" applyFill="1" applyBorder="1" applyAlignment="1">
      <alignment vertical="center" wrapText="1"/>
    </xf>
    <xf numFmtId="167" fontId="16" fillId="48" borderId="313" xfId="2" applyNumberFormat="1" applyFont="1" applyFill="1" applyBorder="1" applyAlignment="1" applyProtection="1">
      <alignment vertical="center"/>
      <protection locked="0"/>
    </xf>
    <xf numFmtId="167" fontId="16" fillId="48" borderId="314" xfId="2" applyNumberFormat="1" applyFont="1" applyFill="1" applyBorder="1" applyAlignment="1" applyProtection="1">
      <alignment vertical="center"/>
      <protection locked="0"/>
    </xf>
    <xf numFmtId="0" fontId="87" fillId="3" borderId="313" xfId="0" applyFont="1" applyFill="1" applyBorder="1" applyAlignment="1">
      <alignment horizontal="right" vertical="center"/>
    </xf>
    <xf numFmtId="0" fontId="87" fillId="3" borderId="315" xfId="0" applyFont="1" applyFill="1" applyBorder="1" applyAlignment="1">
      <alignment horizontal="right" vertical="center"/>
    </xf>
    <xf numFmtId="9" fontId="16" fillId="48" borderId="348" xfId="5" applyFont="1" applyFill="1" applyBorder="1" applyAlignment="1" applyProtection="1">
      <alignment vertical="center"/>
      <protection locked="0"/>
    </xf>
    <xf numFmtId="9" fontId="16" fillId="48" borderId="349" xfId="5" applyFont="1" applyFill="1" applyBorder="1" applyAlignment="1" applyProtection="1">
      <alignment vertical="center"/>
      <protection locked="0"/>
    </xf>
    <xf numFmtId="167" fontId="16" fillId="48" borderId="304" xfId="4" applyNumberFormat="1" applyFont="1" applyFill="1" applyBorder="1" applyAlignment="1" applyProtection="1">
      <alignment vertical="center"/>
      <protection locked="0"/>
    </xf>
    <xf numFmtId="9" fontId="16" fillId="4" borderId="348" xfId="5" applyFont="1" applyFill="1" applyBorder="1" applyAlignment="1" applyProtection="1">
      <alignment vertical="center"/>
    </xf>
    <xf numFmtId="9" fontId="16" fillId="4" borderId="349" xfId="5" applyFont="1" applyFill="1" applyBorder="1" applyAlignment="1" applyProtection="1">
      <alignment vertical="center"/>
    </xf>
    <xf numFmtId="49" fontId="16" fillId="7" borderId="300" xfId="0" quotePrefix="1" applyNumberFormat="1" applyFont="1" applyFill="1" applyBorder="1" applyAlignment="1">
      <alignment vertical="top" wrapText="1"/>
    </xf>
    <xf numFmtId="0" fontId="0" fillId="7" borderId="337" xfId="0" quotePrefix="1" applyFill="1" applyBorder="1" applyAlignment="1">
      <alignment vertical="top" wrapText="1"/>
    </xf>
    <xf numFmtId="0" fontId="50" fillId="7" borderId="305" xfId="0" applyFont="1" applyFill="1" applyBorder="1" applyAlignment="1">
      <alignment horizontal="right" vertical="center"/>
    </xf>
    <xf numFmtId="0" fontId="50" fillId="7" borderId="303" xfId="0" applyFont="1" applyFill="1" applyBorder="1" applyAlignment="1">
      <alignment horizontal="right" vertical="center"/>
    </xf>
    <xf numFmtId="0" fontId="50" fillId="7" borderId="301" xfId="0" applyFont="1" applyFill="1" applyBorder="1" applyAlignment="1">
      <alignment horizontal="right" vertical="center"/>
    </xf>
    <xf numFmtId="0" fontId="87" fillId="7" borderId="295" xfId="0" applyFont="1" applyFill="1" applyBorder="1" applyAlignment="1">
      <alignment horizontal="right" vertical="center"/>
    </xf>
    <xf numFmtId="9" fontId="16" fillId="4" borderId="41" xfId="5" applyFont="1" applyFill="1" applyBorder="1" applyAlignment="1" applyProtection="1">
      <alignment vertical="center"/>
    </xf>
    <xf numFmtId="0" fontId="16" fillId="48" borderId="57" xfId="0" applyNumberFormat="1" applyFont="1" applyFill="1" applyBorder="1" applyAlignment="1" applyProtection="1">
      <alignment vertical="center"/>
      <protection locked="0"/>
    </xf>
    <xf numFmtId="168" fontId="16" fillId="48" borderId="350" xfId="5" applyNumberFormat="1" applyFont="1" applyFill="1" applyBorder="1" applyAlignment="1" applyProtection="1">
      <alignment vertical="center"/>
      <protection locked="0"/>
    </xf>
    <xf numFmtId="0" fontId="0" fillId="7" borderId="300" xfId="0" quotePrefix="1" applyFill="1" applyBorder="1" applyAlignment="1">
      <alignment horizontal="left" vertical="center" wrapText="1"/>
    </xf>
    <xf numFmtId="0" fontId="50" fillId="7" borderId="301" xfId="0" applyFont="1" applyFill="1" applyBorder="1" applyAlignment="1">
      <alignment horizontal="right" vertical="center" wrapText="1"/>
    </xf>
    <xf numFmtId="0" fontId="0" fillId="7" borderId="339" xfId="0" quotePrefix="1" applyFill="1" applyBorder="1" applyAlignment="1">
      <alignment horizontal="left" vertical="center" wrapText="1"/>
    </xf>
    <xf numFmtId="0" fontId="50" fillId="7" borderId="282" xfId="0" applyFont="1" applyFill="1" applyBorder="1" applyAlignment="1">
      <alignment horizontal="right" vertical="center" wrapText="1"/>
    </xf>
    <xf numFmtId="43" fontId="16" fillId="3" borderId="323" xfId="4" applyFont="1" applyFill="1" applyBorder="1" applyAlignment="1">
      <alignment horizontal="right" vertical="center"/>
    </xf>
    <xf numFmtId="43" fontId="16" fillId="3" borderId="324" xfId="4" applyFont="1" applyFill="1" applyBorder="1" applyAlignment="1">
      <alignment horizontal="right" vertical="center"/>
    </xf>
    <xf numFmtId="167" fontId="16" fillId="4" borderId="323" xfId="4" applyNumberFormat="1" applyFont="1" applyFill="1" applyBorder="1" applyAlignment="1">
      <alignment horizontal="right" vertical="center"/>
    </xf>
    <xf numFmtId="167" fontId="16" fillId="4" borderId="324" xfId="4" applyNumberFormat="1" applyFont="1" applyFill="1" applyBorder="1" applyAlignment="1">
      <alignment horizontal="right" vertical="center"/>
    </xf>
    <xf numFmtId="167" fontId="16" fillId="48" borderId="323" xfId="4" applyNumberFormat="1" applyFont="1" applyFill="1" applyBorder="1" applyAlignment="1" applyProtection="1">
      <alignment horizontal="right" vertical="center"/>
      <protection locked="0"/>
    </xf>
    <xf numFmtId="167" fontId="16" fillId="48" borderId="324" xfId="4" applyNumberFormat="1" applyFont="1" applyFill="1" applyBorder="1" applyAlignment="1" applyProtection="1">
      <alignment horizontal="right" vertical="center"/>
      <protection locked="0"/>
    </xf>
    <xf numFmtId="167" fontId="16" fillId="48" borderId="325" xfId="4" applyNumberFormat="1" applyFont="1" applyFill="1" applyBorder="1" applyAlignment="1" applyProtection="1">
      <alignment vertical="center"/>
      <protection locked="0"/>
    </xf>
    <xf numFmtId="167" fontId="16" fillId="48" borderId="326" xfId="4" applyNumberFormat="1" applyFont="1" applyFill="1" applyBorder="1" applyAlignment="1" applyProtection="1">
      <alignment vertical="center"/>
      <protection locked="0"/>
    </xf>
    <xf numFmtId="0" fontId="50" fillId="7" borderId="301" xfId="0" applyFont="1" applyFill="1" applyBorder="1" applyAlignment="1">
      <alignment horizontal="right" vertical="top"/>
    </xf>
    <xf numFmtId="0" fontId="50" fillId="7" borderId="303" xfId="0" applyFont="1" applyFill="1" applyBorder="1" applyAlignment="1">
      <alignment horizontal="right" vertical="top"/>
    </xf>
    <xf numFmtId="0" fontId="0" fillId="7" borderId="305" xfId="0" applyFont="1" applyFill="1" applyBorder="1" applyAlignment="1">
      <alignment horizontal="right" vertical="top"/>
    </xf>
    <xf numFmtId="0" fontId="0" fillId="7" borderId="298" xfId="0" applyFont="1" applyFill="1" applyBorder="1" applyAlignment="1">
      <alignment horizontal="right" vertical="top"/>
    </xf>
    <xf numFmtId="43" fontId="0" fillId="48" borderId="333" xfId="2" applyFont="1" applyFill="1" applyBorder="1" applyAlignment="1" applyProtection="1">
      <alignment vertical="top"/>
      <protection locked="0"/>
    </xf>
    <xf numFmtId="0" fontId="0" fillId="7" borderId="295" xfId="0" applyFont="1" applyFill="1" applyBorder="1" applyAlignment="1">
      <alignment horizontal="right" vertical="top"/>
    </xf>
    <xf numFmtId="9" fontId="0" fillId="48" borderId="336" xfId="0" applyNumberFormat="1" applyFont="1" applyFill="1" applyBorder="1" applyAlignment="1" applyProtection="1">
      <alignment vertical="top"/>
      <protection locked="0"/>
    </xf>
    <xf numFmtId="9" fontId="0" fillId="3" borderId="353" xfId="0" applyNumberFormat="1" applyFont="1" applyFill="1" applyBorder="1" applyAlignment="1">
      <alignment vertical="top"/>
    </xf>
    <xf numFmtId="169" fontId="0" fillId="3" borderId="41" xfId="2" applyNumberFormat="1" applyFont="1" applyFill="1" applyBorder="1" applyAlignment="1" applyProtection="1">
      <alignment vertical="top"/>
    </xf>
    <xf numFmtId="169" fontId="0" fillId="3" borderId="40" xfId="2" applyNumberFormat="1" applyFont="1" applyFill="1" applyBorder="1" applyAlignment="1" applyProtection="1">
      <alignment vertical="top"/>
    </xf>
    <xf numFmtId="169" fontId="0" fillId="3" borderId="40" xfId="2" applyNumberFormat="1" applyFont="1" applyFill="1" applyBorder="1" applyAlignment="1" applyProtection="1">
      <alignment vertical="center"/>
    </xf>
    <xf numFmtId="0" fontId="50" fillId="7" borderId="305" xfId="0" applyFont="1" applyFill="1" applyBorder="1" applyAlignment="1">
      <alignment horizontal="right" vertical="top"/>
    </xf>
    <xf numFmtId="0" fontId="0" fillId="7" borderId="340" xfId="0" quotePrefix="1" applyFill="1" applyBorder="1" applyAlignment="1">
      <alignment vertical="top" wrapText="1"/>
    </xf>
    <xf numFmtId="0" fontId="50" fillId="7" borderId="298" xfId="0" applyFont="1" applyFill="1" applyBorder="1" applyAlignment="1">
      <alignment horizontal="right" vertical="top"/>
    </xf>
    <xf numFmtId="0" fontId="0" fillId="7" borderId="342" xfId="0" quotePrefix="1" applyFill="1" applyBorder="1" applyAlignment="1">
      <alignment vertical="top" wrapText="1"/>
    </xf>
    <xf numFmtId="0" fontId="50" fillId="7" borderId="295" xfId="0" applyFont="1" applyFill="1" applyBorder="1" applyAlignment="1">
      <alignment horizontal="right" vertical="center"/>
    </xf>
    <xf numFmtId="43" fontId="0" fillId="48" borderId="328" xfId="2" applyFont="1" applyFill="1" applyBorder="1" applyAlignment="1" applyProtection="1">
      <alignment vertical="top"/>
      <protection locked="0"/>
    </xf>
    <xf numFmtId="167" fontId="0" fillId="48" borderId="314" xfId="2" applyNumberFormat="1" applyFont="1" applyFill="1" applyBorder="1" applyAlignment="1" applyProtection="1">
      <alignment horizontal="right" vertical="top"/>
      <protection locked="0"/>
    </xf>
    <xf numFmtId="167" fontId="0" fillId="48" borderId="314" xfId="2" applyNumberFormat="1" applyFont="1" applyFill="1" applyBorder="1" applyAlignment="1" applyProtection="1">
      <alignment horizontal="right" vertical="center"/>
      <protection locked="0"/>
    </xf>
    <xf numFmtId="167" fontId="0" fillId="48" borderId="304" xfId="2" applyNumberFormat="1" applyFont="1" applyFill="1" applyBorder="1" applyAlignment="1" applyProtection="1">
      <alignment vertical="top"/>
      <protection locked="0"/>
    </xf>
    <xf numFmtId="0" fontId="50" fillId="7" borderId="298" xfId="0" applyFont="1" applyFill="1" applyBorder="1" applyAlignment="1">
      <alignment horizontal="right" vertical="center"/>
    </xf>
    <xf numFmtId="0" fontId="50" fillId="7" borderId="295" xfId="0" applyFont="1" applyFill="1" applyBorder="1" applyAlignment="1">
      <alignment horizontal="right" vertical="top"/>
    </xf>
    <xf numFmtId="9" fontId="0" fillId="3" borderId="41" xfId="0" applyNumberFormat="1" applyFont="1" applyFill="1" applyBorder="1" applyAlignment="1">
      <alignment horizontal="right" vertical="center"/>
    </xf>
    <xf numFmtId="9" fontId="0" fillId="3" borderId="40" xfId="0" applyNumberFormat="1" applyFont="1" applyFill="1" applyBorder="1" applyAlignment="1">
      <alignment horizontal="right" vertical="center"/>
    </xf>
    <xf numFmtId="9" fontId="0" fillId="3" borderId="341" xfId="0" applyNumberFormat="1" applyFont="1" applyFill="1" applyBorder="1" applyAlignment="1">
      <alignment horizontal="right" vertical="center"/>
    </xf>
    <xf numFmtId="0" fontId="87" fillId="7" borderId="305" xfId="0" applyFont="1" applyFill="1" applyBorder="1" applyAlignment="1">
      <alignment horizontal="right" vertical="top"/>
    </xf>
    <xf numFmtId="169" fontId="0" fillId="48" borderId="314" xfId="2" applyNumberFormat="1" applyFont="1" applyFill="1" applyBorder="1" applyAlignment="1" applyProtection="1">
      <alignment vertical="center"/>
      <protection locked="0"/>
    </xf>
    <xf numFmtId="9" fontId="0" fillId="3" borderId="314" xfId="0" applyNumberFormat="1" applyFont="1" applyFill="1" applyBorder="1" applyAlignment="1">
      <alignment horizontal="right" vertical="center"/>
    </xf>
    <xf numFmtId="43" fontId="3" fillId="48" borderId="314" xfId="2" applyFont="1" applyFill="1" applyBorder="1" applyAlignment="1" applyProtection="1">
      <alignment vertical="top"/>
      <protection locked="0"/>
    </xf>
    <xf numFmtId="167" fontId="3" fillId="48" borderId="314" xfId="2" applyNumberFormat="1" applyFont="1" applyFill="1" applyBorder="1" applyAlignment="1" applyProtection="1">
      <alignment vertical="top"/>
      <protection locked="0"/>
    </xf>
    <xf numFmtId="167" fontId="3" fillId="48" borderId="304" xfId="2" applyNumberFormat="1" applyFont="1" applyFill="1" applyBorder="1" applyAlignment="1" applyProtection="1">
      <alignment vertical="top"/>
      <protection locked="0"/>
    </xf>
    <xf numFmtId="169" fontId="0" fillId="48" borderId="304" xfId="4" applyNumberFormat="1" applyFont="1" applyFill="1" applyBorder="1" applyProtection="1">
      <protection locked="0"/>
    </xf>
    <xf numFmtId="43" fontId="3" fillId="48" borderId="314" xfId="4" applyFont="1" applyFill="1" applyBorder="1" applyAlignment="1" applyProtection="1">
      <alignment vertical="top"/>
      <protection locked="0"/>
    </xf>
    <xf numFmtId="167" fontId="3" fillId="48" borderId="304" xfId="4" applyNumberFormat="1" applyFont="1" applyFill="1" applyBorder="1" applyAlignment="1" applyProtection="1">
      <alignment vertical="top"/>
      <protection locked="0"/>
    </xf>
    <xf numFmtId="43" fontId="3" fillId="3" borderId="293" xfId="2" applyFont="1" applyFill="1" applyBorder="1" applyAlignment="1">
      <alignment vertical="top"/>
    </xf>
    <xf numFmtId="43" fontId="3" fillId="3" borderId="354" xfId="2" applyFont="1" applyFill="1" applyBorder="1" applyAlignment="1">
      <alignment vertical="top"/>
    </xf>
    <xf numFmtId="0" fontId="46" fillId="2" borderId="11" xfId="6" applyFont="1" applyFill="1" applyBorder="1" applyAlignment="1" applyProtection="1">
      <alignment horizontal="center" vertical="center"/>
      <protection locked="0"/>
    </xf>
    <xf numFmtId="0" fontId="48" fillId="2" borderId="14" xfId="0" applyFont="1" applyFill="1" applyBorder="1" applyAlignment="1">
      <alignment vertical="center" wrapText="1"/>
    </xf>
    <xf numFmtId="1" fontId="33" fillId="19" borderId="0" xfId="0" applyNumberFormat="1" applyFont="1" applyFill="1" applyBorder="1" applyAlignment="1">
      <alignment horizontal="left"/>
    </xf>
    <xf numFmtId="0" fontId="33" fillId="0" borderId="76" xfId="0" applyFont="1" applyBorder="1" applyAlignment="1">
      <alignment horizontal="left" vertical="top"/>
    </xf>
    <xf numFmtId="167" fontId="33" fillId="0" borderId="0" xfId="0" applyNumberFormat="1" applyFont="1" applyFill="1" applyBorder="1" applyAlignment="1">
      <alignment horizontal="left" vertical="top"/>
    </xf>
    <xf numFmtId="0" fontId="45" fillId="0" borderId="75" xfId="0" applyFont="1" applyBorder="1" applyAlignment="1">
      <alignment vertical="top"/>
    </xf>
    <xf numFmtId="167" fontId="33" fillId="0" borderId="76" xfId="0" applyNumberFormat="1" applyFont="1" applyBorder="1" applyAlignment="1">
      <alignment vertical="top"/>
    </xf>
    <xf numFmtId="167" fontId="33" fillId="0" borderId="79" xfId="0" applyNumberFormat="1" applyFont="1" applyBorder="1" applyAlignment="1">
      <alignment vertical="top"/>
    </xf>
    <xf numFmtId="167" fontId="11" fillId="11" borderId="14" xfId="0" applyNumberFormat="1" applyFont="1" applyFill="1" applyBorder="1" applyAlignment="1">
      <alignment vertical="center"/>
    </xf>
    <xf numFmtId="0" fontId="16" fillId="0" borderId="66" xfId="0" applyFont="1" applyFill="1" applyBorder="1" applyAlignment="1">
      <alignment horizontal="left" vertical="top" wrapText="1"/>
    </xf>
    <xf numFmtId="0" fontId="16"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167" fontId="0" fillId="0" borderId="268" xfId="4" applyNumberFormat="1" applyFont="1" applyFill="1" applyBorder="1" applyAlignment="1">
      <alignment vertical="top"/>
    </xf>
    <xf numFmtId="0" fontId="16" fillId="29" borderId="17" xfId="0" applyFont="1" applyFill="1" applyBorder="1" applyAlignment="1">
      <alignment vertical="top"/>
    </xf>
    <xf numFmtId="43" fontId="11" fillId="29" borderId="19" xfId="2" applyFont="1" applyFill="1" applyBorder="1" applyAlignment="1">
      <alignment horizontal="center" vertical="center"/>
    </xf>
    <xf numFmtId="0" fontId="16" fillId="29" borderId="19" xfId="0" applyFont="1" applyFill="1" applyBorder="1" applyAlignment="1">
      <alignment vertical="top"/>
    </xf>
    <xf numFmtId="167" fontId="5" fillId="29" borderId="19" xfId="2" applyNumberFormat="1" applyFont="1" applyFill="1" applyBorder="1" applyAlignment="1">
      <alignment vertical="top"/>
    </xf>
    <xf numFmtId="0" fontId="5" fillId="29" borderId="19" xfId="2" applyNumberFormat="1" applyFont="1" applyFill="1" applyBorder="1" applyAlignment="1">
      <alignment vertical="top" wrapText="1"/>
    </xf>
    <xf numFmtId="9" fontId="66" fillId="29" borderId="19" xfId="0" applyNumberFormat="1" applyFont="1" applyFill="1" applyBorder="1" applyAlignment="1">
      <alignment horizontal="left" vertical="top"/>
    </xf>
    <xf numFmtId="9" fontId="5" fillId="29" borderId="19" xfId="5" applyFont="1" applyFill="1" applyBorder="1" applyAlignment="1">
      <alignment vertical="top"/>
    </xf>
    <xf numFmtId="9" fontId="5" fillId="29" borderId="19" xfId="3" applyNumberFormat="1" applyFont="1" applyFill="1" applyBorder="1" applyAlignment="1">
      <alignment vertical="top"/>
    </xf>
    <xf numFmtId="9" fontId="5" fillId="29" borderId="12" xfId="3" applyNumberFormat="1" applyFont="1" applyFill="1" applyBorder="1" applyAlignment="1">
      <alignment vertical="top"/>
    </xf>
    <xf numFmtId="0" fontId="16" fillId="0" borderId="308" xfId="0" quotePrefix="1" applyFont="1" applyFill="1" applyBorder="1" applyAlignment="1">
      <alignment vertical="top" wrapText="1"/>
    </xf>
    <xf numFmtId="0" fontId="19" fillId="17" borderId="6" xfId="0" applyFont="1" applyFill="1" applyBorder="1" applyAlignment="1">
      <alignment vertical="top" wrapText="1"/>
    </xf>
    <xf numFmtId="0" fontId="16" fillId="7" borderId="307" xfId="0" applyFont="1" applyFill="1" applyBorder="1" applyAlignment="1">
      <alignment vertical="top" wrapText="1"/>
    </xf>
    <xf numFmtId="0" fontId="16" fillId="7" borderId="308" xfId="0" quotePrefix="1" applyFont="1" applyFill="1" applyBorder="1" applyAlignment="1">
      <alignment vertical="center" wrapText="1"/>
    </xf>
    <xf numFmtId="0" fontId="16" fillId="7" borderId="316" xfId="2" quotePrefix="1" applyNumberFormat="1" applyFont="1" applyFill="1" applyBorder="1" applyAlignment="1">
      <alignment horizontal="left" vertical="center" wrapText="1"/>
    </xf>
    <xf numFmtId="0" fontId="0" fillId="7" borderId="337" xfId="2" quotePrefix="1" applyNumberFormat="1" applyFont="1" applyFill="1" applyBorder="1" applyAlignment="1">
      <alignment horizontal="left" vertical="top" wrapText="1"/>
    </xf>
    <xf numFmtId="0" fontId="16" fillId="7" borderId="302" xfId="2" quotePrefix="1" applyNumberFormat="1" applyFont="1" applyFill="1" applyBorder="1" applyAlignment="1">
      <alignment horizontal="left" vertical="top" wrapText="1"/>
    </xf>
    <xf numFmtId="0" fontId="87" fillId="7" borderId="303" xfId="0" applyFont="1" applyFill="1" applyBorder="1" applyAlignment="1">
      <alignment horizontal="right" vertical="top" wrapText="1"/>
    </xf>
    <xf numFmtId="0" fontId="16" fillId="7" borderId="302" xfId="2" quotePrefix="1" applyNumberFormat="1" applyFont="1" applyFill="1" applyBorder="1" applyAlignment="1">
      <alignment horizontal="left" vertical="center" wrapText="1"/>
    </xf>
    <xf numFmtId="0" fontId="87" fillId="7" borderId="303" xfId="0" applyFont="1" applyFill="1" applyBorder="1" applyAlignment="1">
      <alignment horizontal="right" vertical="center" wrapText="1"/>
    </xf>
    <xf numFmtId="0" fontId="0" fillId="7" borderId="302" xfId="2" quotePrefix="1" applyNumberFormat="1" applyFont="1" applyFill="1" applyBorder="1" applyAlignment="1">
      <alignment horizontal="left" vertical="top" wrapText="1"/>
    </xf>
    <xf numFmtId="43" fontId="16" fillId="3" borderId="41" xfId="4" applyFont="1" applyFill="1" applyBorder="1" applyAlignment="1" applyProtection="1">
      <alignment vertical="top"/>
    </xf>
    <xf numFmtId="43" fontId="16" fillId="3" borderId="40" xfId="4" applyFont="1" applyFill="1" applyBorder="1" applyAlignment="1" applyProtection="1">
      <alignment vertical="top"/>
    </xf>
    <xf numFmtId="0" fontId="87" fillId="7" borderId="301" xfId="0" applyFont="1" applyFill="1" applyBorder="1" applyAlignment="1">
      <alignment horizontal="right" vertical="top"/>
    </xf>
    <xf numFmtId="0" fontId="87" fillId="7" borderId="303" xfId="0" applyFont="1" applyFill="1" applyBorder="1" applyAlignment="1">
      <alignment horizontal="right" vertical="top"/>
    </xf>
    <xf numFmtId="43" fontId="16" fillId="3" borderId="41" xfId="4" applyFont="1" applyFill="1" applyBorder="1" applyAlignment="1" applyProtection="1">
      <alignment vertical="center"/>
    </xf>
    <xf numFmtId="0" fontId="0" fillId="48" borderId="41" xfId="0" applyNumberFormat="1" applyFill="1" applyBorder="1" applyAlignment="1" applyProtection="1">
      <alignment vertical="center"/>
      <protection locked="0"/>
    </xf>
    <xf numFmtId="0" fontId="21" fillId="48" borderId="301" xfId="0" applyFont="1" applyFill="1" applyBorder="1" applyAlignment="1" applyProtection="1">
      <alignment horizontal="right" vertical="center"/>
      <protection locked="0"/>
    </xf>
    <xf numFmtId="0" fontId="0" fillId="7" borderId="337" xfId="0" quotePrefix="1" applyFill="1" applyBorder="1" applyAlignment="1">
      <alignment vertical="center" wrapText="1"/>
    </xf>
    <xf numFmtId="0" fontId="0" fillId="7" borderId="302" xfId="0" quotePrefix="1" applyFill="1" applyBorder="1" applyAlignment="1">
      <alignment vertical="center" wrapText="1"/>
    </xf>
    <xf numFmtId="0" fontId="0" fillId="7" borderId="308" xfId="0" quotePrefix="1" applyFill="1" applyBorder="1" applyAlignment="1">
      <alignment vertical="center" wrapText="1"/>
    </xf>
    <xf numFmtId="0" fontId="0" fillId="7" borderId="316" xfId="0" quotePrefix="1" applyFill="1" applyBorder="1" applyAlignment="1">
      <alignment vertical="center" wrapText="1"/>
    </xf>
    <xf numFmtId="0" fontId="16" fillId="7" borderId="311" xfId="0" quotePrefix="1" applyFont="1" applyFill="1" applyBorder="1" applyAlignment="1">
      <alignment vertical="center" wrapText="1"/>
    </xf>
    <xf numFmtId="0" fontId="0" fillId="7" borderId="340" xfId="0" quotePrefix="1" applyFill="1" applyBorder="1" applyAlignment="1">
      <alignment vertical="center" wrapText="1"/>
    </xf>
    <xf numFmtId="0" fontId="87" fillId="7" borderId="295" xfId="0" applyFont="1" applyFill="1" applyBorder="1" applyAlignment="1">
      <alignment horizontal="right" vertical="top"/>
    </xf>
    <xf numFmtId="0" fontId="87" fillId="7" borderId="282" xfId="0" applyFont="1" applyFill="1" applyBorder="1" applyAlignment="1">
      <alignment horizontal="right" vertical="center"/>
    </xf>
    <xf numFmtId="43" fontId="16" fillId="48" borderId="350" xfId="4" applyFont="1" applyFill="1" applyBorder="1" applyAlignment="1" applyProtection="1">
      <alignment vertical="center"/>
      <protection locked="0"/>
    </xf>
    <xf numFmtId="167" fontId="16" fillId="48" borderId="57" xfId="4" applyNumberFormat="1" applyFont="1" applyFill="1" applyBorder="1" applyAlignment="1" applyProtection="1">
      <alignment vertical="top"/>
      <protection locked="0"/>
    </xf>
    <xf numFmtId="0" fontId="50" fillId="7" borderId="282" xfId="0" applyFont="1" applyFill="1" applyBorder="1" applyAlignment="1">
      <alignment horizontal="right" vertical="center"/>
    </xf>
    <xf numFmtId="9" fontId="0" fillId="48" borderId="350" xfId="0" applyNumberFormat="1" applyFill="1" applyBorder="1" applyAlignment="1" applyProtection="1">
      <alignment vertical="top"/>
      <protection locked="0"/>
    </xf>
    <xf numFmtId="0" fontId="0" fillId="7" borderId="300" xfId="0" quotePrefix="1" applyFill="1" applyBorder="1" applyAlignment="1">
      <alignment vertical="center" wrapText="1"/>
    </xf>
    <xf numFmtId="9" fontId="0" fillId="3" borderId="41" xfId="0" applyNumberFormat="1" applyFont="1" applyFill="1" applyBorder="1" applyAlignment="1">
      <alignment vertical="center"/>
    </xf>
    <xf numFmtId="0" fontId="16" fillId="7" borderId="339" xfId="0" quotePrefix="1" applyFont="1" applyFill="1" applyBorder="1" applyAlignment="1">
      <alignment vertical="center" wrapText="1"/>
    </xf>
    <xf numFmtId="9" fontId="16" fillId="48" borderId="350" xfId="3" applyFont="1" applyFill="1" applyBorder="1" applyAlignment="1" applyProtection="1">
      <alignment vertical="center"/>
      <protection locked="0"/>
    </xf>
    <xf numFmtId="0" fontId="16" fillId="7" borderId="342" xfId="0" quotePrefix="1" applyNumberFormat="1" applyFont="1" applyFill="1" applyBorder="1" applyAlignment="1" applyProtection="1">
      <alignment vertical="top" wrapText="1"/>
    </xf>
    <xf numFmtId="0" fontId="21" fillId="48" borderId="282" xfId="0" applyFont="1" applyFill="1" applyBorder="1" applyAlignment="1" applyProtection="1">
      <alignment horizontal="right" vertical="center"/>
      <protection locked="0"/>
    </xf>
    <xf numFmtId="43" fontId="0" fillId="48" borderId="350" xfId="4" applyFont="1" applyFill="1" applyBorder="1" applyAlignment="1" applyProtection="1">
      <alignment vertical="center"/>
      <protection locked="0"/>
    </xf>
    <xf numFmtId="0" fontId="0" fillId="48" borderId="350" xfId="0" applyNumberFormat="1" applyFill="1" applyBorder="1" applyAlignment="1" applyProtection="1">
      <alignment vertical="center"/>
      <protection locked="0"/>
    </xf>
    <xf numFmtId="0" fontId="18" fillId="48" borderId="321" xfId="0" applyFont="1" applyFill="1" applyBorder="1" applyAlignment="1" applyProtection="1">
      <alignment horizontal="right" vertical="center" wrapText="1"/>
      <protection locked="0"/>
    </xf>
    <xf numFmtId="43" fontId="0" fillId="48" borderId="322" xfId="4" applyFont="1" applyFill="1" applyBorder="1" applyAlignment="1" applyProtection="1">
      <alignment vertical="center"/>
      <protection locked="0"/>
    </xf>
    <xf numFmtId="0" fontId="50" fillId="3" borderId="323" xfId="0" applyFont="1" applyFill="1" applyBorder="1" applyAlignment="1">
      <alignment horizontal="right" vertical="center"/>
    </xf>
    <xf numFmtId="0" fontId="50" fillId="3" borderId="325" xfId="0" applyFont="1" applyFill="1" applyBorder="1" applyAlignment="1">
      <alignment horizontal="right" vertical="center" wrapText="1"/>
    </xf>
    <xf numFmtId="10" fontId="0" fillId="48" borderId="326" xfId="5" applyNumberFormat="1" applyFont="1" applyFill="1" applyBorder="1" applyAlignment="1" applyProtection="1">
      <alignment vertical="center"/>
      <protection locked="0"/>
    </xf>
    <xf numFmtId="9" fontId="0" fillId="48" borderId="328" xfId="0" applyNumberFormat="1" applyFill="1" applyBorder="1" applyAlignment="1" applyProtection="1">
      <alignment vertical="top"/>
      <protection locked="0"/>
    </xf>
    <xf numFmtId="9" fontId="16" fillId="48" borderId="314" xfId="0" applyNumberFormat="1" applyFont="1" applyFill="1" applyBorder="1" applyAlignment="1" applyProtection="1">
      <alignment vertical="top"/>
      <protection locked="0"/>
    </xf>
    <xf numFmtId="43" fontId="0" fillId="48" borderId="304" xfId="4" applyNumberFormat="1" applyFont="1" applyFill="1" applyBorder="1" applyAlignment="1" applyProtection="1">
      <alignment vertical="top"/>
      <protection locked="0"/>
    </xf>
    <xf numFmtId="167" fontId="16" fillId="48" borderId="304" xfId="2" applyNumberFormat="1" applyFont="1" applyFill="1" applyBorder="1" applyAlignment="1" applyProtection="1">
      <alignment vertical="top"/>
      <protection locked="0"/>
    </xf>
    <xf numFmtId="43" fontId="3" fillId="48" borderId="328" xfId="2" applyFont="1" applyFill="1" applyBorder="1" applyAlignment="1" applyProtection="1">
      <alignment vertical="top"/>
      <protection locked="0"/>
    </xf>
    <xf numFmtId="43" fontId="3" fillId="48" borderId="314" xfId="2" applyNumberFormat="1" applyFont="1" applyFill="1" applyBorder="1" applyAlignment="1" applyProtection="1">
      <alignment vertical="top"/>
      <protection locked="0"/>
    </xf>
    <xf numFmtId="9" fontId="0" fillId="48" borderId="304" xfId="5" applyFont="1" applyFill="1" applyBorder="1" applyAlignment="1" applyProtection="1">
      <alignment horizontal="right" vertical="top"/>
      <protection locked="0"/>
    </xf>
    <xf numFmtId="1" fontId="16" fillId="48" borderId="314" xfId="2" applyNumberFormat="1" applyFont="1" applyFill="1" applyBorder="1" applyAlignment="1" applyProtection="1">
      <alignment vertical="top"/>
      <protection locked="0"/>
    </xf>
    <xf numFmtId="43" fontId="3" fillId="48" borderId="314" xfId="2" applyFont="1" applyFill="1" applyBorder="1" applyAlignment="1" applyProtection="1">
      <alignment vertical="center"/>
      <protection locked="0"/>
    </xf>
    <xf numFmtId="9" fontId="0" fillId="48" borderId="314" xfId="5" applyFont="1" applyFill="1" applyBorder="1" applyAlignment="1" applyProtection="1">
      <alignment horizontal="right" vertical="top"/>
      <protection locked="0"/>
    </xf>
    <xf numFmtId="9" fontId="3" fillId="48" borderId="314" xfId="5" applyFont="1" applyFill="1" applyBorder="1" applyAlignment="1" applyProtection="1">
      <alignment horizontal="right" vertical="center"/>
      <protection locked="0"/>
    </xf>
    <xf numFmtId="9" fontId="16" fillId="48" borderId="314" xfId="5" applyFont="1" applyFill="1" applyBorder="1" applyAlignment="1" applyProtection="1">
      <alignment horizontal="right" vertical="top"/>
      <protection locked="0"/>
    </xf>
    <xf numFmtId="167" fontId="3" fillId="48" borderId="314" xfId="2" applyNumberFormat="1" applyFont="1" applyFill="1" applyBorder="1" applyAlignment="1" applyProtection="1">
      <alignment vertical="center"/>
      <protection locked="0"/>
    </xf>
    <xf numFmtId="9" fontId="16" fillId="48" borderId="314" xfId="5" applyFont="1" applyFill="1" applyBorder="1" applyAlignment="1" applyProtection="1">
      <alignment vertical="top"/>
      <protection locked="0"/>
    </xf>
    <xf numFmtId="1" fontId="16" fillId="48" borderId="314" xfId="4" applyNumberFormat="1" applyFont="1" applyFill="1" applyBorder="1" applyAlignment="1" applyProtection="1">
      <alignment vertical="top"/>
      <protection locked="0"/>
    </xf>
    <xf numFmtId="169" fontId="3" fillId="48" borderId="314" xfId="4" applyNumberFormat="1" applyFont="1" applyFill="1" applyBorder="1" applyAlignment="1" applyProtection="1">
      <alignment vertical="top"/>
      <protection locked="0"/>
    </xf>
    <xf numFmtId="169" fontId="3" fillId="48" borderId="314" xfId="4" applyNumberFormat="1" applyFont="1" applyFill="1" applyBorder="1" applyAlignment="1" applyProtection="1">
      <alignment vertical="center"/>
      <protection locked="0"/>
    </xf>
    <xf numFmtId="167" fontId="0" fillId="48" borderId="314" xfId="4" applyNumberFormat="1" applyFont="1" applyFill="1" applyBorder="1" applyAlignment="1" applyProtection="1">
      <alignment vertical="top"/>
      <protection locked="0"/>
    </xf>
    <xf numFmtId="167" fontId="16" fillId="48" borderId="323" xfId="4" applyNumberFormat="1" applyFont="1" applyFill="1" applyBorder="1" applyAlignment="1" applyProtection="1">
      <alignment vertical="center"/>
      <protection locked="0"/>
    </xf>
    <xf numFmtId="167" fontId="16" fillId="48" borderId="324" xfId="4" applyNumberFormat="1" applyFont="1" applyFill="1" applyBorder="1" applyAlignment="1" applyProtection="1">
      <alignment vertical="center"/>
      <protection locked="0"/>
    </xf>
    <xf numFmtId="9" fontId="16" fillId="48" borderId="325" xfId="5" applyFont="1" applyFill="1" applyBorder="1" applyAlignment="1" applyProtection="1">
      <alignment vertical="center"/>
      <protection locked="0"/>
    </xf>
    <xf numFmtId="9" fontId="16" fillId="48" borderId="326" xfId="5" applyFont="1" applyFill="1" applyBorder="1" applyAlignment="1" applyProtection="1">
      <alignment vertical="center"/>
      <protection locked="0"/>
    </xf>
    <xf numFmtId="0" fontId="50" fillId="7" borderId="36" xfId="0" applyFont="1" applyFill="1" applyBorder="1" applyAlignment="1">
      <alignment horizontal="right" vertical="top"/>
    </xf>
    <xf numFmtId="0" fontId="0" fillId="7" borderId="337" xfId="0" quotePrefix="1" applyFill="1" applyBorder="1" applyAlignment="1">
      <alignment vertical="top"/>
    </xf>
    <xf numFmtId="0" fontId="0" fillId="7" borderId="337" xfId="0" quotePrefix="1" applyFill="1" applyBorder="1" applyAlignment="1">
      <alignment horizontal="left" vertical="center" wrapText="1"/>
    </xf>
    <xf numFmtId="0" fontId="50" fillId="7" borderId="303" xfId="0" applyFont="1" applyFill="1" applyBorder="1" applyAlignment="1">
      <alignment horizontal="right" vertical="top" wrapText="1"/>
    </xf>
    <xf numFmtId="0" fontId="50" fillId="7" borderId="305" xfId="0" applyFont="1" applyFill="1" applyBorder="1" applyAlignment="1">
      <alignment horizontal="right" vertical="center" wrapText="1"/>
    </xf>
    <xf numFmtId="43" fontId="16" fillId="3" borderId="41" xfId="4" applyFont="1" applyFill="1" applyBorder="1" applyAlignment="1">
      <alignment horizontal="right" vertical="center"/>
    </xf>
    <xf numFmtId="0" fontId="50" fillId="7" borderId="303" xfId="0" applyFont="1" applyFill="1" applyBorder="1" applyAlignment="1">
      <alignment horizontal="right" vertical="center" wrapText="1"/>
    </xf>
    <xf numFmtId="43" fontId="16" fillId="3" borderId="41" xfId="4" applyFont="1" applyFill="1" applyBorder="1" applyAlignment="1">
      <alignment vertical="center"/>
    </xf>
    <xf numFmtId="43" fontId="16" fillId="3" borderId="41" xfId="5" applyNumberFormat="1" applyFont="1" applyFill="1" applyBorder="1" applyAlignment="1">
      <alignment horizontal="right" vertical="center"/>
    </xf>
    <xf numFmtId="43" fontId="0" fillId="3" borderId="40" xfId="0" applyNumberFormat="1" applyFill="1" applyBorder="1" applyAlignment="1">
      <alignment vertical="top"/>
    </xf>
    <xf numFmtId="0" fontId="0" fillId="7" borderId="360" xfId="0" quotePrefix="1" applyFill="1" applyBorder="1" applyAlignment="1">
      <alignment vertical="top" wrapText="1"/>
    </xf>
    <xf numFmtId="0" fontId="50" fillId="7" borderId="361" xfId="0" applyFont="1" applyFill="1" applyBorder="1" applyAlignment="1">
      <alignment horizontal="right" vertical="top"/>
    </xf>
    <xf numFmtId="0" fontId="0" fillId="7" borderId="355" xfId="2" quotePrefix="1" applyNumberFormat="1" applyFont="1" applyFill="1" applyBorder="1" applyAlignment="1">
      <alignment horizontal="left" vertical="top" wrapText="1"/>
    </xf>
    <xf numFmtId="0" fontId="50" fillId="7" borderId="356" xfId="0" applyFont="1" applyFill="1" applyBorder="1" applyAlignment="1">
      <alignment horizontal="right" vertical="top" wrapText="1"/>
    </xf>
    <xf numFmtId="43" fontId="0" fillId="3" borderId="41" xfId="0" applyNumberFormat="1" applyFill="1" applyBorder="1" applyAlignment="1">
      <alignment vertical="center"/>
    </xf>
    <xf numFmtId="43" fontId="0" fillId="3" borderId="41" xfId="0" applyNumberFormat="1" applyFill="1" applyBorder="1" applyAlignment="1">
      <alignment vertical="top"/>
    </xf>
    <xf numFmtId="167" fontId="0" fillId="3" borderId="41" xfId="4" applyNumberFormat="1" applyFont="1" applyFill="1" applyBorder="1" applyAlignment="1">
      <alignment vertical="top"/>
    </xf>
    <xf numFmtId="0" fontId="0" fillId="7" borderId="308" xfId="0" quotePrefix="1" applyFill="1" applyBorder="1" applyAlignment="1">
      <alignment vertical="top" wrapText="1"/>
    </xf>
    <xf numFmtId="0" fontId="0" fillId="7" borderId="308" xfId="0" quotePrefix="1" applyFill="1" applyBorder="1" applyAlignment="1">
      <alignment vertical="top"/>
    </xf>
    <xf numFmtId="0" fontId="87" fillId="7" borderId="305" xfId="0" applyFont="1" applyFill="1" applyBorder="1" applyAlignment="1">
      <alignment horizontal="right" vertical="top" wrapText="1"/>
    </xf>
    <xf numFmtId="167" fontId="3" fillId="3" borderId="41" xfId="4" applyNumberFormat="1" applyFont="1" applyFill="1" applyBorder="1" applyAlignment="1">
      <alignment vertical="center"/>
    </xf>
    <xf numFmtId="168" fontId="50" fillId="7" borderId="305" xfId="3" applyNumberFormat="1" applyFont="1" applyFill="1" applyBorder="1" applyAlignment="1">
      <alignment horizontal="right" vertical="center"/>
    </xf>
    <xf numFmtId="168" fontId="50" fillId="7" borderId="303" xfId="3" applyNumberFormat="1" applyFont="1" applyFill="1" applyBorder="1" applyAlignment="1">
      <alignment horizontal="right" vertical="center"/>
    </xf>
    <xf numFmtId="2" fontId="0" fillId="3" borderId="40" xfId="0" applyNumberFormat="1" applyFill="1" applyBorder="1" applyAlignment="1">
      <alignment vertical="center"/>
    </xf>
    <xf numFmtId="9" fontId="0" fillId="3" borderId="40" xfId="5" applyFont="1" applyFill="1" applyBorder="1" applyAlignment="1">
      <alignment vertical="center"/>
    </xf>
    <xf numFmtId="0" fontId="50" fillId="7" borderId="301" xfId="0" applyNumberFormat="1" applyFont="1" applyFill="1" applyBorder="1" applyAlignment="1" applyProtection="1">
      <alignment horizontal="right" vertical="center"/>
    </xf>
    <xf numFmtId="0" fontId="0" fillId="7" borderId="339" xfId="0" quotePrefix="1" applyFill="1" applyBorder="1" applyAlignment="1">
      <alignment vertical="top" wrapText="1"/>
    </xf>
    <xf numFmtId="0" fontId="50" fillId="7" borderId="282" xfId="0" applyFont="1" applyFill="1" applyBorder="1" applyAlignment="1">
      <alignment horizontal="right" vertical="top"/>
    </xf>
    <xf numFmtId="0" fontId="0" fillId="7" borderId="364" xfId="0" quotePrefix="1" applyFill="1" applyBorder="1" applyAlignment="1">
      <alignment vertical="top" wrapText="1"/>
    </xf>
    <xf numFmtId="0" fontId="50" fillId="7" borderId="365" xfId="0" applyFont="1" applyFill="1" applyBorder="1" applyAlignment="1">
      <alignment horizontal="right" vertical="top"/>
    </xf>
    <xf numFmtId="0" fontId="0" fillId="7" borderId="342" xfId="0" quotePrefix="1" applyNumberFormat="1" applyFill="1" applyBorder="1" applyAlignment="1" applyProtection="1">
      <alignment vertical="top" wrapText="1"/>
    </xf>
    <xf numFmtId="0" fontId="0" fillId="7" borderId="339" xfId="0" quotePrefix="1" applyFill="1" applyBorder="1" applyAlignment="1">
      <alignment vertical="center" wrapText="1"/>
    </xf>
    <xf numFmtId="168" fontId="50" fillId="7" borderId="282" xfId="3" applyNumberFormat="1" applyFont="1" applyFill="1" applyBorder="1" applyAlignment="1">
      <alignment horizontal="right" vertical="center"/>
    </xf>
    <xf numFmtId="49" fontId="0" fillId="7" borderId="300" xfId="0" quotePrefix="1" applyNumberFormat="1" applyFill="1" applyBorder="1" applyAlignment="1">
      <alignment horizontal="left" vertical="center" wrapText="1"/>
    </xf>
    <xf numFmtId="9" fontId="0" fillId="3" borderId="41" xfId="0" applyNumberFormat="1" applyFill="1" applyBorder="1" applyAlignment="1">
      <alignment vertical="center"/>
    </xf>
    <xf numFmtId="0" fontId="0" fillId="7" borderId="302" xfId="0" quotePrefix="1" applyFill="1" applyBorder="1" applyAlignment="1">
      <alignment horizontal="left" vertical="center" wrapText="1"/>
    </xf>
    <xf numFmtId="0" fontId="16" fillId="7" borderId="339" xfId="0" quotePrefix="1" applyFont="1" applyFill="1" applyBorder="1" applyAlignment="1">
      <alignment horizontal="left" vertical="center" wrapText="1"/>
    </xf>
    <xf numFmtId="9" fontId="3" fillId="3" borderId="41" xfId="3" applyFont="1" applyFill="1" applyBorder="1" applyAlignment="1">
      <alignment vertical="top"/>
    </xf>
    <xf numFmtId="43" fontId="3" fillId="3" borderId="41" xfId="3" applyNumberFormat="1" applyFont="1" applyFill="1" applyBorder="1" applyAlignment="1">
      <alignment vertical="center"/>
    </xf>
    <xf numFmtId="9" fontId="16" fillId="3" borderId="40" xfId="5" applyFont="1" applyFill="1" applyBorder="1" applyAlignment="1">
      <alignment vertical="center"/>
    </xf>
    <xf numFmtId="0" fontId="0" fillId="7" borderId="342" xfId="0" quotePrefix="1" applyFill="1" applyBorder="1" applyAlignment="1">
      <alignment vertical="center" wrapText="1"/>
    </xf>
    <xf numFmtId="9" fontId="16" fillId="3" borderId="40" xfId="5" applyFont="1" applyFill="1" applyBorder="1" applyAlignment="1">
      <alignment horizontal="right" vertical="center"/>
    </xf>
    <xf numFmtId="0" fontId="0" fillId="7" borderId="300" xfId="0" quotePrefix="1" applyFill="1" applyBorder="1" applyAlignment="1">
      <alignment vertical="top"/>
    </xf>
    <xf numFmtId="0" fontId="0" fillId="7" borderId="340" xfId="0" quotePrefix="1" applyFill="1" applyBorder="1" applyAlignment="1">
      <alignment vertical="top"/>
    </xf>
    <xf numFmtId="0" fontId="0" fillId="7" borderId="342" xfId="0" quotePrefix="1" applyFill="1" applyBorder="1" applyAlignment="1">
      <alignment horizontal="left" vertical="center" wrapText="1"/>
    </xf>
    <xf numFmtId="167" fontId="0" fillId="3" borderId="41" xfId="4" applyNumberFormat="1" applyFont="1" applyFill="1" applyBorder="1" applyAlignment="1">
      <alignment horizontal="right" vertical="center"/>
    </xf>
    <xf numFmtId="0" fontId="50" fillId="7" borderId="365" xfId="0" applyFont="1" applyFill="1" applyBorder="1" applyAlignment="1">
      <alignment horizontal="right" vertical="center"/>
    </xf>
    <xf numFmtId="0" fontId="50" fillId="7" borderId="305" xfId="0" applyFont="1" applyFill="1" applyBorder="1" applyAlignment="1">
      <alignment horizontal="right" vertical="top" wrapText="1"/>
    </xf>
    <xf numFmtId="0" fontId="0" fillId="7" borderId="300" xfId="0" quotePrefix="1" applyNumberFormat="1" applyFill="1" applyBorder="1" applyAlignment="1" applyProtection="1"/>
    <xf numFmtId="0" fontId="50" fillId="7" borderId="301" xfId="0" applyFont="1" applyFill="1" applyBorder="1" applyAlignment="1">
      <alignment horizontal="right" vertical="top" wrapText="1"/>
    </xf>
    <xf numFmtId="0" fontId="87" fillId="7" borderId="298" xfId="0" applyFont="1" applyFill="1" applyBorder="1" applyAlignment="1">
      <alignment horizontal="right" vertical="top"/>
    </xf>
    <xf numFmtId="0" fontId="0" fillId="7" borderId="340" xfId="2" quotePrefix="1" applyNumberFormat="1" applyFont="1" applyFill="1" applyBorder="1" applyAlignment="1">
      <alignment horizontal="left" vertical="top" wrapText="1"/>
    </xf>
    <xf numFmtId="37" fontId="16" fillId="3" borderId="323" xfId="4" applyNumberFormat="1" applyFont="1" applyFill="1" applyBorder="1" applyAlignment="1" applyProtection="1">
      <alignment horizontal="center" vertical="center"/>
    </xf>
    <xf numFmtId="0" fontId="87" fillId="3" borderId="323" xfId="0" applyFont="1" applyFill="1" applyBorder="1" applyAlignment="1">
      <alignment horizontal="right" vertical="top" wrapText="1"/>
    </xf>
    <xf numFmtId="0" fontId="87" fillId="3" borderId="325" xfId="0" applyFont="1" applyFill="1" applyBorder="1" applyAlignment="1">
      <alignment horizontal="right" vertical="top" wrapText="1"/>
    </xf>
    <xf numFmtId="168" fontId="3" fillId="3" borderId="40" xfId="5" applyNumberFormat="1" applyFont="1" applyFill="1" applyBorder="1" applyAlignment="1">
      <alignment vertical="top"/>
    </xf>
    <xf numFmtId="0" fontId="0" fillId="7" borderId="364" xfId="0" quotePrefix="1" applyNumberFormat="1" applyFill="1" applyBorder="1" applyAlignment="1" applyProtection="1">
      <alignment vertical="top" wrapText="1"/>
    </xf>
    <xf numFmtId="168" fontId="0" fillId="3" borderId="40" xfId="0" applyNumberFormat="1" applyFill="1" applyBorder="1" applyAlignment="1">
      <alignment vertical="top"/>
    </xf>
    <xf numFmtId="168" fontId="0" fillId="3" borderId="366" xfId="0" applyNumberFormat="1" applyFill="1" applyBorder="1" applyAlignment="1">
      <alignment vertical="center"/>
    </xf>
    <xf numFmtId="167" fontId="3" fillId="3" borderId="293" xfId="4" applyNumberFormat="1" applyFont="1" applyFill="1" applyBorder="1" applyAlignment="1">
      <alignment horizontal="right" vertical="center"/>
    </xf>
    <xf numFmtId="9" fontId="3" fillId="3" borderId="354" xfId="2" applyNumberFormat="1" applyFont="1" applyFill="1" applyBorder="1" applyAlignment="1">
      <alignment horizontal="right" vertical="center"/>
    </xf>
    <xf numFmtId="0" fontId="50" fillId="3" borderId="301" xfId="0" applyFont="1" applyFill="1" applyBorder="1" applyAlignment="1">
      <alignment horizontal="right" vertical="center"/>
    </xf>
    <xf numFmtId="0" fontId="50" fillId="3" borderId="303" xfId="0" applyFont="1" applyFill="1" applyBorder="1" applyAlignment="1">
      <alignment horizontal="right" vertical="top"/>
    </xf>
    <xf numFmtId="167" fontId="16" fillId="3" borderId="41" xfId="4" applyNumberFormat="1" applyFont="1" applyFill="1" applyBorder="1" applyAlignment="1" applyProtection="1">
      <alignment horizontal="right" vertical="top"/>
    </xf>
    <xf numFmtId="0" fontId="50" fillId="3" borderId="305" xfId="0" applyFont="1" applyFill="1" applyBorder="1" applyAlignment="1">
      <alignment horizontal="right" vertical="top"/>
    </xf>
    <xf numFmtId="167" fontId="0" fillId="3" borderId="41" xfId="0" applyNumberFormat="1" applyFill="1" applyBorder="1"/>
    <xf numFmtId="169" fontId="3" fillId="3" borderId="40" xfId="4" applyNumberFormat="1" applyFont="1" applyFill="1" applyBorder="1" applyAlignment="1">
      <alignment vertical="top"/>
    </xf>
    <xf numFmtId="0" fontId="50" fillId="3" borderId="295" xfId="0" applyFont="1" applyFill="1" applyBorder="1" applyAlignment="1">
      <alignment horizontal="right" vertical="top"/>
    </xf>
    <xf numFmtId="167" fontId="16" fillId="3" borderId="40" xfId="4" applyNumberFormat="1" applyFont="1" applyFill="1" applyBorder="1" applyAlignment="1" applyProtection="1">
      <alignment horizontal="right" vertical="top"/>
    </xf>
    <xf numFmtId="0" fontId="50" fillId="3" borderId="305" xfId="0" applyFont="1" applyFill="1" applyBorder="1" applyAlignment="1">
      <alignment vertical="top"/>
    </xf>
    <xf numFmtId="0" fontId="72" fillId="3" borderId="314" xfId="0" applyFont="1" applyFill="1" applyBorder="1" applyAlignment="1">
      <alignment horizontal="center" vertical="top" wrapText="1"/>
    </xf>
    <xf numFmtId="167" fontId="0" fillId="3" borderId="354" xfId="4" applyNumberFormat="1" applyFont="1" applyFill="1" applyBorder="1" applyAlignment="1">
      <alignment vertical="center"/>
    </xf>
    <xf numFmtId="0" fontId="0" fillId="3" borderId="354" xfId="0" applyNumberFormat="1" applyFill="1" applyBorder="1" applyAlignment="1" applyProtection="1">
      <alignment vertical="center"/>
      <protection locked="0"/>
    </xf>
    <xf numFmtId="0" fontId="87" fillId="7" borderId="301" xfId="0" applyFont="1" applyFill="1" applyBorder="1" applyAlignment="1">
      <alignment horizontal="right" vertical="top" wrapText="1"/>
    </xf>
    <xf numFmtId="0" fontId="87" fillId="7" borderId="298" xfId="0" applyFont="1" applyFill="1" applyBorder="1" applyAlignment="1">
      <alignment horizontal="right" vertical="top" wrapText="1"/>
    </xf>
    <xf numFmtId="0" fontId="87" fillId="7" borderId="306" xfId="0" applyFont="1" applyFill="1" applyBorder="1" applyAlignment="1">
      <alignment horizontal="right" vertical="top" wrapText="1"/>
    </xf>
    <xf numFmtId="0" fontId="0" fillId="7" borderId="302" xfId="2" quotePrefix="1" applyNumberFormat="1" applyFont="1" applyFill="1" applyBorder="1" applyAlignment="1">
      <alignment horizontal="left" vertical="center" wrapText="1"/>
    </xf>
    <xf numFmtId="0" fontId="87" fillId="7" borderId="301" xfId="0" applyFont="1" applyFill="1" applyBorder="1" applyAlignment="1">
      <alignment horizontal="right" vertical="center" wrapText="1"/>
    </xf>
    <xf numFmtId="0" fontId="87" fillId="7" borderId="298" xfId="0" applyFont="1" applyFill="1" applyBorder="1" applyAlignment="1">
      <alignment horizontal="right" vertical="center" wrapText="1"/>
    </xf>
    <xf numFmtId="0" fontId="0" fillId="7" borderId="360" xfId="0" quotePrefix="1" applyFill="1" applyBorder="1" applyAlignment="1">
      <alignment vertical="center" wrapText="1"/>
    </xf>
    <xf numFmtId="0" fontId="0" fillId="7" borderId="372" xfId="0" quotePrefix="1" applyFill="1" applyBorder="1" applyAlignment="1">
      <alignment vertical="top" wrapText="1"/>
    </xf>
    <xf numFmtId="0" fontId="50" fillId="7" borderId="373" xfId="0" applyFont="1" applyFill="1" applyBorder="1" applyAlignment="1">
      <alignment horizontal="right" vertical="top"/>
    </xf>
    <xf numFmtId="0" fontId="87" fillId="7" borderId="295" xfId="0" applyFont="1" applyFill="1" applyBorder="1" applyAlignment="1">
      <alignment horizontal="right" vertical="center" wrapText="1"/>
    </xf>
    <xf numFmtId="0" fontId="16" fillId="7" borderId="337" xfId="0" quotePrefix="1" applyFont="1" applyFill="1" applyBorder="1" applyAlignment="1">
      <alignment horizontal="left" vertical="center" wrapText="1"/>
    </xf>
    <xf numFmtId="0" fontId="0" fillId="7" borderId="300" xfId="0" quotePrefix="1" applyFill="1" applyBorder="1"/>
    <xf numFmtId="0" fontId="0" fillId="7" borderId="340" xfId="0" quotePrefix="1" applyFill="1" applyBorder="1" applyAlignment="1">
      <alignment wrapText="1"/>
    </xf>
    <xf numFmtId="0" fontId="0" fillId="7" borderId="342" xfId="0" quotePrefix="1" applyFill="1" applyBorder="1" applyAlignment="1">
      <alignment vertical="top"/>
    </xf>
    <xf numFmtId="0" fontId="0" fillId="7" borderId="307" xfId="0" quotePrefix="1" applyFill="1" applyBorder="1" applyAlignment="1">
      <alignment wrapText="1"/>
    </xf>
    <xf numFmtId="0" fontId="0" fillId="7" borderId="310" xfId="0" quotePrefix="1" applyFill="1" applyBorder="1" applyAlignment="1">
      <alignment vertical="top"/>
    </xf>
    <xf numFmtId="0" fontId="0" fillId="7" borderId="316" xfId="2" quotePrefix="1" applyNumberFormat="1" applyFont="1" applyFill="1" applyBorder="1" applyAlignment="1">
      <alignment horizontal="left" vertical="top" wrapText="1"/>
    </xf>
    <xf numFmtId="0" fontId="0" fillId="7" borderId="340" xfId="0" quotePrefix="1" applyFill="1" applyBorder="1"/>
    <xf numFmtId="0" fontId="16" fillId="7" borderId="337" xfId="0" quotePrefix="1" applyFont="1" applyFill="1" applyBorder="1" applyAlignment="1">
      <alignment wrapText="1"/>
    </xf>
    <xf numFmtId="0" fontId="16" fillId="7" borderId="337" xfId="0" quotePrefix="1" applyFont="1" applyFill="1" applyBorder="1"/>
    <xf numFmtId="0" fontId="16" fillId="7" borderId="337" xfId="0" quotePrefix="1" applyFont="1" applyFill="1" applyBorder="1" applyAlignment="1">
      <alignment vertical="center" wrapText="1"/>
    </xf>
    <xf numFmtId="0" fontId="16" fillId="7" borderId="342" xfId="0" quotePrefix="1" applyFont="1" applyFill="1" applyBorder="1" applyAlignment="1">
      <alignment wrapText="1"/>
    </xf>
    <xf numFmtId="0" fontId="16" fillId="7" borderId="360" xfId="0" quotePrefix="1" applyFont="1" applyFill="1" applyBorder="1" applyAlignment="1">
      <alignment vertical="top" wrapText="1"/>
    </xf>
    <xf numFmtId="0" fontId="19" fillId="17" borderId="21" xfId="0" applyFont="1" applyFill="1" applyBorder="1" applyAlignment="1">
      <alignment vertical="top" wrapText="1"/>
    </xf>
    <xf numFmtId="0" fontId="19" fillId="11" borderId="11" xfId="6" applyFont="1" applyFill="1" applyBorder="1" applyAlignment="1" applyProtection="1">
      <alignment horizontal="center" vertical="center"/>
      <protection locked="0"/>
    </xf>
    <xf numFmtId="0" fontId="19" fillId="11" borderId="42" xfId="0" applyFont="1" applyFill="1" applyBorder="1" applyAlignment="1">
      <alignment vertical="top"/>
    </xf>
    <xf numFmtId="0" fontId="19" fillId="17" borderId="21" xfId="0" applyFont="1" applyFill="1" applyBorder="1" applyAlignment="1">
      <alignment vertical="center"/>
    </xf>
    <xf numFmtId="0" fontId="19" fillId="17" borderId="31" xfId="0" applyFont="1" applyFill="1" applyBorder="1" applyAlignment="1">
      <alignment vertical="top" wrapText="1"/>
    </xf>
    <xf numFmtId="0" fontId="19" fillId="17" borderId="21" xfId="0" applyFont="1" applyFill="1" applyBorder="1" applyAlignment="1">
      <alignment vertical="center" wrapText="1"/>
    </xf>
    <xf numFmtId="0" fontId="48" fillId="2" borderId="21" xfId="0" applyFont="1" applyFill="1" applyBorder="1" applyAlignment="1">
      <alignment vertical="center"/>
    </xf>
    <xf numFmtId="0" fontId="25" fillId="2" borderId="11" xfId="6" applyFont="1" applyFill="1" applyBorder="1" applyAlignment="1" applyProtection="1">
      <alignment horizontal="center" vertical="center"/>
      <protection locked="0"/>
    </xf>
    <xf numFmtId="0" fontId="19" fillId="17" borderId="42" xfId="0" applyFont="1" applyFill="1" applyBorder="1" applyAlignment="1">
      <alignment vertical="top"/>
    </xf>
    <xf numFmtId="0" fontId="19" fillId="17" borderId="42" xfId="0" applyFont="1" applyFill="1" applyBorder="1" applyAlignment="1">
      <alignment vertical="center"/>
    </xf>
    <xf numFmtId="0" fontId="19" fillId="17" borderId="21" xfId="0" applyFont="1" applyFill="1" applyBorder="1" applyAlignment="1">
      <alignment vertical="top"/>
    </xf>
    <xf numFmtId="0" fontId="48" fillId="2" borderId="41" xfId="0" applyFont="1" applyFill="1" applyBorder="1" applyAlignment="1">
      <alignment vertical="top"/>
    </xf>
    <xf numFmtId="0" fontId="48" fillId="2" borderId="57" xfId="0" applyFont="1" applyFill="1" applyBorder="1" applyAlignment="1">
      <alignment vertical="top"/>
    </xf>
    <xf numFmtId="0" fontId="5" fillId="25" borderId="0" xfId="0" applyFont="1" applyFill="1" applyBorder="1"/>
    <xf numFmtId="0" fontId="5" fillId="25" borderId="0" xfId="0" applyFont="1" applyFill="1"/>
    <xf numFmtId="0" fontId="19" fillId="17" borderId="6" xfId="6" applyFont="1" applyFill="1" applyBorder="1" applyAlignment="1" applyProtection="1">
      <alignment horizontal="center" vertical="center"/>
      <protection locked="0"/>
    </xf>
    <xf numFmtId="0" fontId="19" fillId="17" borderId="6" xfId="0" applyFont="1" applyFill="1" applyBorder="1" applyAlignment="1">
      <alignment vertical="center" wrapText="1"/>
    </xf>
    <xf numFmtId="0" fontId="19" fillId="17" borderId="43" xfId="0" applyFont="1" applyFill="1" applyBorder="1" applyAlignment="1">
      <alignment vertical="center" wrapText="1"/>
    </xf>
    <xf numFmtId="0" fontId="19" fillId="17" borderId="13" xfId="0" applyFont="1" applyFill="1" applyBorder="1" applyAlignment="1">
      <alignment vertical="top" wrapText="1"/>
    </xf>
    <xf numFmtId="0" fontId="19" fillId="17" borderId="0" xfId="0" applyFont="1" applyFill="1" applyBorder="1" applyAlignment="1">
      <alignment vertical="top" wrapText="1"/>
    </xf>
    <xf numFmtId="0" fontId="16" fillId="7" borderId="364" xfId="0" quotePrefix="1" applyFont="1" applyFill="1" applyBorder="1" applyAlignment="1">
      <alignment vertical="top" wrapText="1"/>
    </xf>
    <xf numFmtId="0" fontId="18" fillId="7" borderId="298" xfId="0" applyFont="1" applyFill="1" applyBorder="1" applyAlignment="1">
      <alignment horizontal="right" vertical="center"/>
    </xf>
    <xf numFmtId="0" fontId="50" fillId="3" borderId="307" xfId="0" applyFont="1" applyFill="1" applyBorder="1" applyAlignment="1">
      <alignment horizontal="right" vertical="top"/>
    </xf>
    <xf numFmtId="0" fontId="50" fillId="3" borderId="311" xfId="0" applyFont="1" applyFill="1" applyBorder="1" applyAlignment="1">
      <alignment horizontal="right" vertical="center"/>
    </xf>
    <xf numFmtId="166" fontId="0" fillId="3" borderId="308" xfId="0" applyNumberFormat="1" applyFont="1" applyFill="1" applyBorder="1" applyAlignment="1">
      <alignment horizontal="center" vertical="top"/>
    </xf>
    <xf numFmtId="166" fontId="0" fillId="3" borderId="310" xfId="0" applyNumberFormat="1" applyFont="1" applyFill="1" applyBorder="1" applyAlignment="1">
      <alignment horizontal="center" vertical="top"/>
    </xf>
    <xf numFmtId="0" fontId="50" fillId="3" borderId="308" xfId="0" applyFont="1" applyFill="1" applyBorder="1" applyAlignment="1">
      <alignment horizontal="right" vertical="top"/>
    </xf>
    <xf numFmtId="0" fontId="104" fillId="26" borderId="0" xfId="1" applyFont="1" applyFill="1" applyBorder="1" applyAlignment="1" applyProtection="1">
      <alignment horizontal="center" vertical="center"/>
    </xf>
    <xf numFmtId="0" fontId="0" fillId="7" borderId="12" xfId="0" applyFill="1" applyBorder="1" applyAlignment="1">
      <alignment vertical="center"/>
    </xf>
    <xf numFmtId="0" fontId="16" fillId="7" borderId="13" xfId="0" applyFont="1" applyFill="1" applyBorder="1" applyAlignment="1">
      <alignment vertical="center" wrapText="1"/>
    </xf>
    <xf numFmtId="169" fontId="0" fillId="7" borderId="12" xfId="4" applyNumberFormat="1" applyFont="1" applyFill="1" applyBorder="1" applyAlignment="1">
      <alignment vertical="center"/>
    </xf>
    <xf numFmtId="169" fontId="0" fillId="7" borderId="13" xfId="4" applyNumberFormat="1" applyFont="1" applyFill="1" applyBorder="1" applyAlignment="1">
      <alignment vertical="center"/>
    </xf>
    <xf numFmtId="0" fontId="0" fillId="7" borderId="13" xfId="0" applyFill="1" applyBorder="1" applyAlignment="1">
      <alignment vertical="center" wrapText="1"/>
    </xf>
    <xf numFmtId="0" fontId="16" fillId="7" borderId="13" xfId="0" applyFont="1" applyFill="1" applyBorder="1" applyAlignment="1">
      <alignment vertical="center"/>
    </xf>
    <xf numFmtId="0" fontId="16" fillId="0" borderId="16" xfId="0" applyFont="1" applyFill="1" applyBorder="1" applyAlignment="1" applyProtection="1">
      <alignment vertical="center" wrapText="1"/>
    </xf>
    <xf numFmtId="2" fontId="16" fillId="0" borderId="143" xfId="0" applyNumberFormat="1" applyFont="1" applyFill="1" applyBorder="1" applyAlignment="1" applyProtection="1">
      <alignment horizontal="left" vertical="center" wrapText="1"/>
    </xf>
    <xf numFmtId="167" fontId="3" fillId="3" borderId="328" xfId="2" applyNumberFormat="1" applyFont="1" applyFill="1" applyBorder="1" applyAlignment="1">
      <alignment horizontal="center" vertical="center"/>
    </xf>
    <xf numFmtId="0" fontId="103" fillId="26" borderId="0" xfId="1" applyFont="1" applyFill="1" applyBorder="1" applyAlignment="1" applyProtection="1">
      <alignment horizontal="center" vertical="center"/>
    </xf>
    <xf numFmtId="0" fontId="104" fillId="26" borderId="0" xfId="1" applyFont="1" applyFill="1" applyBorder="1" applyAlignment="1" applyProtection="1">
      <alignment horizontal="center" vertical="center"/>
    </xf>
    <xf numFmtId="0" fontId="113" fillId="6" borderId="0" xfId="0" applyFont="1" applyFill="1" applyBorder="1" applyAlignment="1" applyProtection="1">
      <alignment horizontal="center" vertical="center"/>
    </xf>
    <xf numFmtId="0" fontId="114" fillId="26" borderId="0" xfId="1" applyFont="1" applyFill="1" applyBorder="1" applyAlignment="1" applyProtection="1">
      <alignment horizontal="center" vertical="center"/>
    </xf>
    <xf numFmtId="0" fontId="11" fillId="2" borderId="167" xfId="0" applyFont="1" applyFill="1" applyBorder="1" applyAlignment="1" applyProtection="1">
      <alignment horizontal="center" vertical="center" wrapText="1"/>
    </xf>
    <xf numFmtId="0" fontId="217" fillId="47" borderId="0" xfId="0" applyFont="1" applyFill="1" applyBorder="1" applyAlignment="1" applyProtection="1">
      <alignment horizontal="center"/>
    </xf>
    <xf numFmtId="0" fontId="217" fillId="47" borderId="64" xfId="0" applyFont="1" applyFill="1" applyBorder="1" applyAlignment="1" applyProtection="1">
      <alignment horizontal="center"/>
    </xf>
    <xf numFmtId="0" fontId="96" fillId="15" borderId="170" xfId="0" applyFont="1" applyFill="1" applyBorder="1" applyAlignment="1" applyProtection="1">
      <alignment horizontal="center" wrapText="1"/>
    </xf>
    <xf numFmtId="0" fontId="16" fillId="0" borderId="12" xfId="0" applyFont="1" applyBorder="1" applyAlignment="1" applyProtection="1">
      <alignment horizontal="left" vertical="center" wrapText="1"/>
    </xf>
    <xf numFmtId="0" fontId="0" fillId="0" borderId="16" xfId="0" applyBorder="1" applyAlignment="1" applyProtection="1">
      <alignment horizontal="left" vertical="center" wrapText="1"/>
    </xf>
    <xf numFmtId="0" fontId="103" fillId="26" borderId="92" xfId="1" applyFont="1" applyFill="1" applyBorder="1" applyAlignment="1" applyProtection="1">
      <alignment horizontal="center" vertical="center"/>
    </xf>
    <xf numFmtId="0" fontId="6" fillId="25" borderId="0" xfId="0" applyFont="1" applyFill="1" applyBorder="1" applyAlignment="1" applyProtection="1">
      <alignment vertical="top"/>
      <protection locked="0"/>
    </xf>
    <xf numFmtId="0" fontId="6" fillId="25" borderId="0" xfId="0" applyFont="1" applyFill="1" applyProtection="1">
      <protection locked="0"/>
    </xf>
    <xf numFmtId="167" fontId="0" fillId="3" borderId="349" xfId="4" applyNumberFormat="1" applyFont="1" applyFill="1" applyBorder="1" applyAlignment="1" applyProtection="1">
      <alignment vertical="center"/>
    </xf>
    <xf numFmtId="0" fontId="260" fillId="10" borderId="11" xfId="1" applyFont="1" applyFill="1" applyBorder="1" applyAlignment="1" applyProtection="1">
      <alignment horizontal="center" vertical="center" wrapText="1"/>
    </xf>
    <xf numFmtId="0" fontId="261" fillId="10" borderId="11" xfId="1" applyFont="1" applyFill="1" applyBorder="1" applyAlignment="1" applyProtection="1">
      <alignment horizontal="center" vertical="center" wrapText="1"/>
    </xf>
    <xf numFmtId="0" fontId="24" fillId="2" borderId="11" xfId="6" applyFont="1" applyFill="1" applyBorder="1" applyAlignment="1" applyProtection="1">
      <alignment horizontal="center" vertical="center"/>
      <protection locked="0"/>
    </xf>
    <xf numFmtId="0" fontId="19" fillId="17" borderId="14" xfId="0" applyFont="1" applyFill="1" applyBorder="1" applyAlignment="1" applyProtection="1">
      <alignment vertical="top" wrapText="1"/>
    </xf>
    <xf numFmtId="167" fontId="0" fillId="3" borderId="289" xfId="4" applyNumberFormat="1" applyFont="1" applyFill="1" applyBorder="1" applyAlignment="1" applyProtection="1">
      <alignment vertical="center"/>
    </xf>
    <xf numFmtId="167" fontId="16" fillId="3" borderId="308" xfId="4" applyNumberFormat="1" applyFont="1" applyFill="1" applyBorder="1" applyAlignment="1" applyProtection="1">
      <alignment vertical="center"/>
    </xf>
    <xf numFmtId="167" fontId="16" fillId="3" borderId="309" xfId="4" applyNumberFormat="1" applyFont="1" applyFill="1" applyBorder="1" applyAlignment="1" applyProtection="1">
      <alignment vertical="center"/>
    </xf>
    <xf numFmtId="167" fontId="16" fillId="4" borderId="308" xfId="4" applyNumberFormat="1" applyFont="1" applyFill="1" applyBorder="1" applyAlignment="1" applyProtection="1">
      <alignment vertical="center"/>
    </xf>
    <xf numFmtId="167" fontId="16" fillId="4" borderId="309" xfId="4" applyNumberFormat="1" applyFont="1" applyFill="1" applyBorder="1" applyAlignment="1" applyProtection="1">
      <alignment vertical="center"/>
    </xf>
    <xf numFmtId="167" fontId="39" fillId="3" borderId="313" xfId="2" applyNumberFormat="1" applyFont="1" applyFill="1" applyBorder="1" applyAlignment="1" applyProtection="1">
      <alignment vertical="center"/>
    </xf>
    <xf numFmtId="167" fontId="39" fillId="3" borderId="314" xfId="4" applyNumberFormat="1" applyFont="1" applyFill="1" applyBorder="1" applyAlignment="1" applyProtection="1">
      <alignment vertical="center"/>
    </xf>
    <xf numFmtId="9" fontId="16" fillId="4" borderId="313" xfId="5" applyFont="1" applyFill="1" applyBorder="1" applyAlignment="1" applyProtection="1">
      <alignment horizontal="right" vertical="center"/>
    </xf>
    <xf numFmtId="9" fontId="16" fillId="4" borderId="314" xfId="5" applyFont="1" applyFill="1" applyBorder="1" applyAlignment="1" applyProtection="1">
      <alignment horizontal="right" vertical="center"/>
    </xf>
    <xf numFmtId="167" fontId="16" fillId="3" borderId="308" xfId="4" applyNumberFormat="1" applyFont="1" applyFill="1" applyBorder="1" applyAlignment="1" applyProtection="1">
      <alignment horizontal="right"/>
    </xf>
    <xf numFmtId="167" fontId="16" fillId="3" borderId="40" xfId="4" applyNumberFormat="1" applyFont="1" applyFill="1" applyBorder="1" applyAlignment="1" applyProtection="1">
      <alignment horizontal="right"/>
    </xf>
    <xf numFmtId="167" fontId="16" fillId="3" borderId="313" xfId="2" applyNumberFormat="1" applyFont="1" applyFill="1" applyBorder="1" applyAlignment="1" applyProtection="1">
      <alignment vertical="center"/>
    </xf>
    <xf numFmtId="167" fontId="16" fillId="3" borderId="334" xfId="4" applyNumberFormat="1" applyFont="1" applyFill="1" applyBorder="1" applyAlignment="1" applyProtection="1">
      <alignment vertical="center"/>
    </xf>
    <xf numFmtId="9" fontId="16" fillId="4" borderId="335" xfId="5" applyFont="1" applyFill="1" applyBorder="1" applyAlignment="1" applyProtection="1">
      <alignment horizontal="right" vertical="center"/>
    </xf>
    <xf numFmtId="9" fontId="16" fillId="4" borderId="336" xfId="5" applyFont="1" applyFill="1" applyBorder="1" applyAlignment="1" applyProtection="1">
      <alignment horizontal="right" vertical="center"/>
    </xf>
    <xf numFmtId="167" fontId="16" fillId="3" borderId="41" xfId="2" applyNumberFormat="1" applyFont="1" applyFill="1" applyBorder="1" applyAlignment="1" applyProtection="1">
      <alignment horizontal="right" vertical="center"/>
    </xf>
    <xf numFmtId="167" fontId="16" fillId="3" borderId="40" xfId="2" applyNumberFormat="1" applyFont="1" applyFill="1" applyBorder="1" applyAlignment="1" applyProtection="1">
      <alignment horizontal="right" vertical="center"/>
    </xf>
    <xf numFmtId="167" fontId="16" fillId="3" borderId="314" xfId="4" applyNumberFormat="1" applyFont="1" applyFill="1" applyBorder="1" applyAlignment="1" applyProtection="1">
      <alignment vertical="center"/>
    </xf>
    <xf numFmtId="0" fontId="258" fillId="10" borderId="7" xfId="1" applyFont="1" applyFill="1" applyBorder="1" applyAlignment="1" applyProtection="1">
      <alignment horizontal="center" vertical="center" wrapText="1"/>
    </xf>
    <xf numFmtId="0" fontId="87" fillId="3" borderId="315" xfId="0" applyFont="1" applyFill="1" applyBorder="1" applyAlignment="1" applyProtection="1">
      <alignment horizontal="right" vertical="center"/>
    </xf>
    <xf numFmtId="167" fontId="16" fillId="3" borderId="40" xfId="2" applyNumberFormat="1" applyFont="1" applyFill="1" applyBorder="1" applyAlignment="1" applyProtection="1">
      <alignment vertical="center"/>
    </xf>
    <xf numFmtId="168" fontId="16" fillId="3" borderId="323" xfId="5" applyNumberFormat="1" applyFont="1" applyFill="1" applyBorder="1" applyAlignment="1" applyProtection="1">
      <alignment horizontal="right" vertical="center"/>
    </xf>
    <xf numFmtId="168" fontId="16" fillId="3" borderId="324" xfId="5" applyNumberFormat="1" applyFont="1" applyFill="1" applyBorder="1" applyAlignment="1" applyProtection="1">
      <alignment horizontal="right" vertical="center"/>
    </xf>
    <xf numFmtId="167" fontId="16" fillId="4" borderId="323" xfId="4" applyNumberFormat="1" applyFont="1" applyFill="1" applyBorder="1" applyAlignment="1" applyProtection="1">
      <alignment vertical="center"/>
    </xf>
    <xf numFmtId="167" fontId="16" fillId="4" borderId="324" xfId="4" applyNumberFormat="1" applyFont="1" applyFill="1" applyBorder="1" applyAlignment="1" applyProtection="1">
      <alignment vertical="center"/>
    </xf>
    <xf numFmtId="167" fontId="16" fillId="3" borderId="323" xfId="2" applyNumberFormat="1" applyFont="1" applyFill="1" applyBorder="1" applyAlignment="1" applyProtection="1">
      <alignment horizontal="right" vertical="center" indent="1"/>
    </xf>
    <xf numFmtId="167" fontId="16" fillId="3" borderId="324" xfId="4" applyNumberFormat="1" applyFont="1" applyFill="1" applyBorder="1" applyAlignment="1" applyProtection="1">
      <alignment horizontal="right" vertical="center" indent="1"/>
    </xf>
    <xf numFmtId="167" fontId="3" fillId="3" borderId="41" xfId="2" applyNumberFormat="1" applyFont="1" applyFill="1" applyBorder="1" applyAlignment="1" applyProtection="1">
      <alignment vertical="top"/>
    </xf>
    <xf numFmtId="167" fontId="3" fillId="3" borderId="40" xfId="2" applyNumberFormat="1" applyFont="1" applyFill="1" applyBorder="1" applyAlignment="1" applyProtection="1">
      <alignment vertical="top"/>
    </xf>
    <xf numFmtId="43" fontId="3" fillId="3" borderId="328" xfId="2" applyFont="1" applyFill="1" applyBorder="1" applyAlignment="1" applyProtection="1">
      <alignment vertical="top"/>
    </xf>
    <xf numFmtId="43" fontId="3" fillId="3" borderId="314" xfId="2" applyFont="1" applyFill="1" applyBorder="1" applyAlignment="1" applyProtection="1">
      <alignment vertical="top"/>
    </xf>
    <xf numFmtId="169" fontId="3" fillId="3" borderId="40" xfId="2" applyNumberFormat="1" applyFont="1" applyFill="1" applyBorder="1" applyAlignment="1" applyProtection="1">
      <alignment horizontal="center" vertical="center"/>
    </xf>
    <xf numFmtId="0" fontId="0" fillId="48" borderId="301" xfId="0" applyFont="1" applyFill="1" applyBorder="1" applyAlignment="1" applyProtection="1">
      <alignment horizontal="left" vertical="center"/>
      <protection locked="0"/>
    </xf>
    <xf numFmtId="0" fontId="0" fillId="48" borderId="282" xfId="0" applyFont="1" applyFill="1" applyBorder="1" applyAlignment="1" applyProtection="1">
      <alignment horizontal="left" vertical="center"/>
      <protection locked="0"/>
    </xf>
    <xf numFmtId="0" fontId="0" fillId="48" borderId="301" xfId="0" applyFill="1" applyBorder="1" applyAlignment="1" applyProtection="1">
      <alignment horizontal="left" vertical="center"/>
      <protection locked="0"/>
    </xf>
    <xf numFmtId="167" fontId="0" fillId="3" borderId="41" xfId="4" applyNumberFormat="1" applyFont="1" applyFill="1" applyBorder="1" applyAlignment="1" applyProtection="1">
      <alignment vertical="center"/>
    </xf>
    <xf numFmtId="167" fontId="16" fillId="3" borderId="314" xfId="4" applyNumberFormat="1" applyFont="1" applyFill="1" applyBorder="1" applyAlignment="1" applyProtection="1">
      <alignment vertical="top"/>
    </xf>
    <xf numFmtId="167" fontId="16" fillId="3" borderId="40" xfId="4" applyNumberFormat="1" applyFont="1" applyFill="1" applyBorder="1" applyAlignment="1" applyProtection="1">
      <alignment vertical="center"/>
    </xf>
    <xf numFmtId="43" fontId="16" fillId="3" borderId="40" xfId="4" applyFont="1" applyFill="1" applyBorder="1" applyAlignment="1" applyProtection="1">
      <alignment vertical="center"/>
    </xf>
    <xf numFmtId="43" fontId="16" fillId="3" borderId="314" xfId="4" applyFont="1" applyFill="1" applyBorder="1" applyAlignment="1" applyProtection="1">
      <alignment vertical="center"/>
    </xf>
    <xf numFmtId="43" fontId="16" fillId="3" borderId="40" xfId="0" applyNumberFormat="1" applyFont="1" applyFill="1" applyBorder="1" applyAlignment="1" applyProtection="1">
      <alignment vertical="top"/>
    </xf>
    <xf numFmtId="43" fontId="3" fillId="3" borderId="41" xfId="4" applyFont="1" applyFill="1" applyBorder="1" applyAlignment="1" applyProtection="1">
      <alignment vertical="top"/>
    </xf>
    <xf numFmtId="0" fontId="72" fillId="3" borderId="314" xfId="0" applyFont="1" applyFill="1" applyBorder="1" applyAlignment="1" applyProtection="1">
      <alignment horizontal="center" vertical="top" wrapText="1"/>
    </xf>
    <xf numFmtId="0" fontId="19" fillId="17" borderId="15" xfId="0" applyFont="1" applyFill="1" applyBorder="1" applyAlignment="1" applyProtection="1">
      <alignment vertical="center" wrapText="1"/>
    </xf>
    <xf numFmtId="0" fontId="0" fillId="26" borderId="90" xfId="0" applyFill="1" applyBorder="1" applyAlignment="1" applyProtection="1">
      <alignment horizontal="center"/>
    </xf>
    <xf numFmtId="0" fontId="84" fillId="7" borderId="0" xfId="0" applyFont="1" applyFill="1" applyBorder="1" applyAlignment="1" applyProtection="1">
      <alignment horizontal="center" vertical="top"/>
    </xf>
    <xf numFmtId="0" fontId="43" fillId="7" borderId="0" xfId="0" applyFont="1" applyFill="1" applyBorder="1" applyAlignment="1" applyProtection="1">
      <alignment vertical="center"/>
    </xf>
    <xf numFmtId="0" fontId="103" fillId="25" borderId="94" xfId="1" applyFont="1" applyFill="1" applyBorder="1" applyAlignment="1" applyProtection="1">
      <alignment horizontal="left" vertical="center"/>
    </xf>
    <xf numFmtId="0" fontId="0" fillId="2" borderId="0" xfId="0" applyFill="1" applyBorder="1" applyAlignment="1" applyProtection="1">
      <alignment horizontal="center" vertical="top"/>
    </xf>
    <xf numFmtId="0" fontId="168" fillId="2" borderId="90" xfId="0" applyFont="1" applyFill="1" applyBorder="1" applyAlignment="1" applyProtection="1">
      <alignment vertical="center"/>
    </xf>
    <xf numFmtId="167" fontId="0" fillId="4" borderId="0" xfId="4" applyNumberFormat="1" applyFont="1" applyFill="1" applyBorder="1" applyAlignment="1" applyProtection="1">
      <alignment vertical="top"/>
    </xf>
    <xf numFmtId="167" fontId="0" fillId="4" borderId="0" xfId="4" applyNumberFormat="1" applyFont="1" applyFill="1" applyBorder="1" applyAlignment="1" applyProtection="1">
      <alignment horizontal="center" vertical="top"/>
    </xf>
    <xf numFmtId="167" fontId="0" fillId="4" borderId="0" xfId="4" applyNumberFormat="1" applyFont="1" applyFill="1" applyBorder="1" applyAlignment="1" applyProtection="1">
      <alignment horizontal="right" vertical="top"/>
    </xf>
    <xf numFmtId="0" fontId="125" fillId="15" borderId="170" xfId="0" applyFont="1" applyFill="1" applyBorder="1" applyAlignment="1" applyProtection="1">
      <alignment horizontal="center" vertical="center"/>
    </xf>
    <xf numFmtId="0" fontId="174" fillId="15" borderId="170" xfId="0" applyFont="1" applyFill="1" applyBorder="1" applyAlignment="1" applyProtection="1">
      <alignment vertical="center"/>
    </xf>
    <xf numFmtId="0" fontId="124" fillId="15" borderId="170" xfId="0" applyFont="1" applyFill="1" applyBorder="1" applyAlignment="1" applyProtection="1">
      <alignment vertical="center"/>
    </xf>
    <xf numFmtId="0" fontId="0" fillId="7" borderId="0" xfId="0" applyFill="1" applyBorder="1" applyAlignment="1" applyProtection="1">
      <alignment horizontal="center" vertical="top"/>
    </xf>
    <xf numFmtId="167" fontId="0" fillId="7" borderId="0" xfId="4" applyNumberFormat="1" applyFont="1" applyFill="1" applyBorder="1" applyAlignment="1" applyProtection="1">
      <alignment vertical="top"/>
    </xf>
    <xf numFmtId="167" fontId="0" fillId="7" borderId="0" xfId="4" applyNumberFormat="1" applyFont="1" applyFill="1" applyBorder="1" applyAlignment="1" applyProtection="1">
      <alignment horizontal="center" vertical="top"/>
    </xf>
    <xf numFmtId="167" fontId="0" fillId="7" borderId="0" xfId="4" applyNumberFormat="1" applyFont="1" applyFill="1" applyBorder="1" applyAlignment="1" applyProtection="1">
      <alignment horizontal="right" vertical="top"/>
    </xf>
    <xf numFmtId="0" fontId="0" fillId="7" borderId="0" xfId="0" applyFill="1" applyBorder="1" applyAlignment="1" applyProtection="1">
      <alignment vertical="top"/>
    </xf>
    <xf numFmtId="0" fontId="176" fillId="7" borderId="0" xfId="0" applyFont="1" applyFill="1" applyBorder="1" applyAlignment="1" applyProtection="1">
      <alignment horizontal="left" indent="5"/>
    </xf>
    <xf numFmtId="167" fontId="176" fillId="7" borderId="0" xfId="0" applyNumberFormat="1" applyFont="1" applyFill="1" applyBorder="1" applyProtection="1"/>
    <xf numFmtId="0" fontId="176" fillId="7" borderId="0" xfId="0" applyFont="1" applyFill="1" applyBorder="1" applyAlignment="1" applyProtection="1"/>
    <xf numFmtId="167" fontId="176" fillId="7" borderId="0" xfId="4" applyNumberFormat="1" applyFont="1" applyFill="1" applyBorder="1" applyProtection="1"/>
    <xf numFmtId="0" fontId="0" fillId="7" borderId="0" xfId="0" applyFill="1" applyBorder="1" applyAlignment="1" applyProtection="1">
      <alignment horizontal="center" vertical="center"/>
    </xf>
    <xf numFmtId="0" fontId="5" fillId="21" borderId="12" xfId="0" applyFont="1" applyFill="1" applyBorder="1" applyAlignment="1" applyProtection="1">
      <alignment horizontal="center" vertical="center" wrapText="1"/>
    </xf>
    <xf numFmtId="1" fontId="0" fillId="21" borderId="12" xfId="0" applyNumberFormat="1" applyFont="1" applyFill="1" applyBorder="1" applyAlignment="1" applyProtection="1">
      <alignment horizontal="center" vertical="center"/>
    </xf>
    <xf numFmtId="167" fontId="0" fillId="7" borderId="0" xfId="4" applyNumberFormat="1" applyFont="1" applyFill="1" applyBorder="1" applyAlignment="1" applyProtection="1">
      <alignment vertical="center"/>
    </xf>
    <xf numFmtId="0" fontId="16" fillId="8" borderId="16" xfId="0" applyFont="1" applyFill="1" applyBorder="1" applyAlignment="1" applyProtection="1">
      <alignment horizontal="left" vertical="center" wrapText="1"/>
    </xf>
    <xf numFmtId="1" fontId="16" fillId="8" borderId="16" xfId="0" applyNumberFormat="1" applyFont="1" applyFill="1" applyBorder="1" applyAlignment="1" applyProtection="1">
      <alignment horizontal="center" vertical="center"/>
    </xf>
    <xf numFmtId="1" fontId="16" fillId="8" borderId="16" xfId="4" applyNumberFormat="1" applyFont="1" applyFill="1" applyBorder="1" applyAlignment="1" applyProtection="1">
      <alignment horizontal="center" vertical="center"/>
    </xf>
    <xf numFmtId="0" fontId="16" fillId="8" borderId="18" xfId="0" applyFont="1" applyFill="1" applyBorder="1" applyAlignment="1" applyProtection="1">
      <alignment horizontal="left" vertical="center" wrapText="1"/>
    </xf>
    <xf numFmtId="1" fontId="16" fillId="8" borderId="18" xfId="0" applyNumberFormat="1" applyFont="1" applyFill="1" applyBorder="1" applyAlignment="1" applyProtection="1">
      <alignment horizontal="center" vertical="center"/>
    </xf>
    <xf numFmtId="1" fontId="16" fillId="8" borderId="18" xfId="4" applyNumberFormat="1" applyFont="1" applyFill="1" applyBorder="1" applyAlignment="1" applyProtection="1">
      <alignment horizontal="center" vertical="center"/>
    </xf>
    <xf numFmtId="1" fontId="16" fillId="8" borderId="19" xfId="4" applyNumberFormat="1" applyFont="1" applyFill="1" applyBorder="1" applyAlignment="1" applyProtection="1">
      <alignment horizontal="center" vertical="center"/>
    </xf>
    <xf numFmtId="1" fontId="16" fillId="8" borderId="17" xfId="4" applyNumberFormat="1" applyFont="1" applyFill="1" applyBorder="1" applyAlignment="1" applyProtection="1">
      <alignment horizontal="center" vertical="center"/>
    </xf>
    <xf numFmtId="0" fontId="182" fillId="8" borderId="18" xfId="0" applyFont="1" applyFill="1" applyBorder="1" applyAlignment="1" applyProtection="1">
      <alignment horizontal="right" vertical="center" wrapText="1"/>
    </xf>
    <xf numFmtId="1" fontId="182" fillId="8" borderId="18" xfId="0" applyNumberFormat="1" applyFont="1" applyFill="1" applyBorder="1" applyAlignment="1" applyProtection="1">
      <alignment horizontal="center" vertical="center"/>
    </xf>
    <xf numFmtId="9" fontId="182" fillId="8" borderId="18" xfId="5" quotePrefix="1" applyFont="1" applyFill="1" applyBorder="1" applyAlignment="1" applyProtection="1">
      <alignment horizontal="center" vertical="center"/>
    </xf>
    <xf numFmtId="9" fontId="182" fillId="8" borderId="18" xfId="5" applyFont="1" applyFill="1" applyBorder="1" applyAlignment="1" applyProtection="1">
      <alignment horizontal="center" vertical="center"/>
    </xf>
    <xf numFmtId="0" fontId="182" fillId="8" borderId="19" xfId="0" applyFont="1" applyFill="1" applyBorder="1" applyAlignment="1" applyProtection="1">
      <alignment horizontal="right" vertical="center" wrapText="1"/>
    </xf>
    <xf numFmtId="0" fontId="42" fillId="8" borderId="114" xfId="0" applyFont="1" applyFill="1" applyBorder="1" applyAlignment="1" applyProtection="1">
      <alignment horizontal="center" vertical="center"/>
    </xf>
    <xf numFmtId="0" fontId="42" fillId="8" borderId="19" xfId="0" quotePrefix="1" applyFont="1" applyFill="1" applyBorder="1" applyAlignment="1" applyProtection="1">
      <alignment horizontal="center" vertical="center"/>
    </xf>
    <xf numFmtId="0" fontId="42" fillId="8" borderId="19" xfId="0" applyFont="1" applyFill="1" applyBorder="1" applyAlignment="1" applyProtection="1">
      <alignment horizontal="center" vertical="center"/>
    </xf>
    <xf numFmtId="1" fontId="0" fillId="7" borderId="0" xfId="0" applyNumberFormat="1" applyFill="1" applyBorder="1" applyAlignment="1" applyProtection="1">
      <alignment vertical="top"/>
    </xf>
    <xf numFmtId="1" fontId="0" fillId="4" borderId="0" xfId="0" quotePrefix="1" applyNumberFormat="1" applyFill="1" applyBorder="1" applyAlignment="1" applyProtection="1">
      <alignment vertical="top"/>
    </xf>
    <xf numFmtId="1" fontId="0" fillId="4" borderId="0" xfId="0" applyNumberFormat="1" applyFill="1" applyBorder="1" applyAlignment="1" applyProtection="1">
      <alignment vertical="top"/>
    </xf>
    <xf numFmtId="9" fontId="0" fillId="4" borderId="0" xfId="5" applyFont="1" applyFill="1" applyBorder="1" applyAlignment="1" applyProtection="1">
      <alignment vertical="top"/>
    </xf>
    <xf numFmtId="0" fontId="0" fillId="4" borderId="0" xfId="5" applyNumberFormat="1" applyFont="1" applyFill="1" applyBorder="1" applyAlignment="1" applyProtection="1">
      <alignment vertical="top"/>
    </xf>
    <xf numFmtId="0" fontId="43" fillId="7" borderId="0" xfId="0" applyFont="1" applyFill="1" applyBorder="1" applyAlignment="1" applyProtection="1">
      <alignment vertical="top"/>
    </xf>
    <xf numFmtId="0" fontId="0" fillId="4" borderId="0" xfId="0" applyFill="1" applyBorder="1" applyAlignment="1" applyProtection="1">
      <alignment vertical="center"/>
    </xf>
    <xf numFmtId="1" fontId="4" fillId="6" borderId="147" xfId="0" applyNumberFormat="1" applyFont="1" applyFill="1" applyBorder="1" applyAlignment="1" applyProtection="1">
      <alignment horizontal="center" vertical="center" wrapText="1"/>
    </xf>
    <xf numFmtId="1" fontId="4" fillId="6" borderId="147" xfId="0" applyNumberFormat="1" applyFont="1" applyFill="1" applyBorder="1" applyAlignment="1" applyProtection="1">
      <alignment horizontal="center" vertical="center"/>
    </xf>
    <xf numFmtId="1" fontId="4" fillId="6" borderId="148" xfId="0" applyNumberFormat="1" applyFont="1" applyFill="1" applyBorder="1" applyAlignment="1" applyProtection="1">
      <alignment horizontal="center" vertical="center" wrapText="1"/>
    </xf>
    <xf numFmtId="0" fontId="46" fillId="7" borderId="4" xfId="0" applyFont="1" applyFill="1" applyBorder="1" applyAlignment="1" applyProtection="1">
      <alignment horizontal="center" vertical="center" wrapText="1"/>
    </xf>
    <xf numFmtId="0" fontId="46" fillId="7" borderId="0" xfId="0" applyFont="1" applyFill="1" applyBorder="1" applyAlignment="1" applyProtection="1">
      <alignment horizontal="center" vertical="center" wrapText="1"/>
    </xf>
    <xf numFmtId="0" fontId="46" fillId="7" borderId="5" xfId="0" applyFont="1" applyFill="1" applyBorder="1" applyAlignment="1" applyProtection="1">
      <alignment horizontal="center" vertical="center" wrapText="1"/>
    </xf>
    <xf numFmtId="0" fontId="0" fillId="4" borderId="0" xfId="0" applyFill="1" applyBorder="1" applyAlignment="1" applyProtection="1">
      <alignment horizontal="center"/>
    </xf>
    <xf numFmtId="0" fontId="175" fillId="7" borderId="0" xfId="0" applyFont="1" applyFill="1" applyBorder="1" applyAlignment="1" applyProtection="1">
      <alignment horizontal="right"/>
    </xf>
    <xf numFmtId="43" fontId="0" fillId="4" borderId="0" xfId="4" applyFont="1" applyFill="1" applyBorder="1" applyAlignment="1" applyProtection="1"/>
    <xf numFmtId="167" fontId="0" fillId="7" borderId="0" xfId="0" applyNumberFormat="1" applyFill="1" applyBorder="1" applyAlignment="1" applyProtection="1">
      <alignment vertical="top"/>
    </xf>
    <xf numFmtId="0" fontId="70" fillId="7" borderId="0" xfId="0" applyFont="1" applyFill="1" applyBorder="1" applyAlignment="1" applyProtection="1">
      <alignment horizontal="right" vertical="top"/>
    </xf>
    <xf numFmtId="0" fontId="0" fillId="7" borderId="0" xfId="0" applyFill="1" applyBorder="1" applyAlignment="1" applyProtection="1">
      <alignment horizontal="center"/>
    </xf>
    <xf numFmtId="0" fontId="70" fillId="7" borderId="0" xfId="0" applyFont="1" applyFill="1" applyBorder="1" applyAlignment="1" applyProtection="1">
      <alignment horizontal="right"/>
    </xf>
    <xf numFmtId="0" fontId="0" fillId="7" borderId="4" xfId="0" applyFont="1" applyFill="1" applyBorder="1" applyAlignment="1" applyProtection="1">
      <alignment vertical="top"/>
    </xf>
    <xf numFmtId="0" fontId="0" fillId="7" borderId="0" xfId="0" applyFont="1" applyFill="1" applyBorder="1" applyAlignment="1" applyProtection="1">
      <alignment vertical="top"/>
    </xf>
    <xf numFmtId="167" fontId="39" fillId="7" borderId="0" xfId="0" applyNumberFormat="1" applyFont="1" applyFill="1" applyBorder="1" applyAlignment="1" applyProtection="1">
      <alignment vertical="top"/>
    </xf>
    <xf numFmtId="167" fontId="39" fillId="7" borderId="5" xfId="0" applyNumberFormat="1" applyFont="1" applyFill="1" applyBorder="1" applyAlignment="1" applyProtection="1">
      <alignment vertical="top"/>
    </xf>
    <xf numFmtId="0" fontId="0" fillId="7" borderId="0" xfId="0" applyFill="1" applyBorder="1" applyAlignment="1" applyProtection="1">
      <alignment horizontal="left" vertical="top"/>
    </xf>
    <xf numFmtId="0" fontId="70" fillId="7" borderId="0" xfId="0" applyFont="1" applyFill="1" applyBorder="1" applyAlignment="1" applyProtection="1">
      <alignment horizontal="right" vertical="center"/>
    </xf>
    <xf numFmtId="0" fontId="11" fillId="7" borderId="4" xfId="0" applyFont="1" applyFill="1" applyBorder="1" applyAlignment="1" applyProtection="1">
      <alignment vertical="center" wrapText="1"/>
    </xf>
    <xf numFmtId="0" fontId="11" fillId="7" borderId="5" xfId="0" applyFont="1" applyFill="1" applyBorder="1" applyAlignment="1" applyProtection="1">
      <alignment vertical="center" wrapText="1"/>
    </xf>
    <xf numFmtId="0" fontId="11" fillId="7" borderId="0" xfId="0" applyFont="1" applyFill="1" applyBorder="1" applyAlignment="1" applyProtection="1">
      <alignment vertical="center" wrapText="1"/>
    </xf>
    <xf numFmtId="0" fontId="175" fillId="7" borderId="0" xfId="0" applyFont="1" applyFill="1" applyBorder="1" applyAlignment="1" applyProtection="1">
      <alignment horizontal="right" vertical="top"/>
    </xf>
    <xf numFmtId="0" fontId="175" fillId="7" borderId="5" xfId="0" applyFont="1" applyFill="1" applyBorder="1" applyAlignment="1" applyProtection="1">
      <alignment horizontal="right" vertical="top"/>
    </xf>
    <xf numFmtId="167" fontId="0" fillId="4" borderId="0" xfId="0" applyNumberFormat="1" applyFill="1" applyBorder="1" applyAlignment="1" applyProtection="1">
      <alignment vertical="top"/>
    </xf>
    <xf numFmtId="0" fontId="70" fillId="7" borderId="5" xfId="0" applyFont="1" applyFill="1" applyBorder="1" applyAlignment="1" applyProtection="1">
      <alignment horizontal="right" vertical="top"/>
    </xf>
    <xf numFmtId="0" fontId="33" fillId="7" borderId="0" xfId="0" applyFont="1" applyFill="1" applyBorder="1" applyAlignment="1" applyProtection="1">
      <alignment vertical="top"/>
    </xf>
    <xf numFmtId="0" fontId="11" fillId="7" borderId="8" xfId="0" applyFont="1" applyFill="1" applyBorder="1" applyAlignment="1" applyProtection="1">
      <alignment vertical="center" wrapText="1"/>
    </xf>
    <xf numFmtId="0" fontId="11" fillId="7" borderId="9" xfId="0" applyFont="1" applyFill="1" applyBorder="1" applyAlignment="1" applyProtection="1">
      <alignment vertical="center" wrapText="1"/>
    </xf>
    <xf numFmtId="0" fontId="11" fillId="7" borderId="10" xfId="0" applyFont="1" applyFill="1" applyBorder="1" applyAlignment="1" applyProtection="1">
      <alignment vertical="center" wrapText="1"/>
    </xf>
    <xf numFmtId="167" fontId="0" fillId="7" borderId="0" xfId="0" applyNumberFormat="1" applyFill="1" applyBorder="1" applyAlignment="1" applyProtection="1">
      <alignment horizontal="center" vertical="center"/>
    </xf>
    <xf numFmtId="2" fontId="0" fillId="4" borderId="0" xfId="0" applyNumberFormat="1" applyFill="1" applyBorder="1" applyAlignment="1" applyProtection="1">
      <alignment horizontal="center" vertical="top"/>
    </xf>
    <xf numFmtId="167" fontId="0" fillId="4" borderId="0" xfId="0" applyNumberFormat="1" applyFill="1" applyBorder="1" applyAlignment="1" applyProtection="1">
      <alignment horizontal="center" vertical="top"/>
    </xf>
    <xf numFmtId="0" fontId="0" fillId="7" borderId="105" xfId="0" applyFill="1" applyBorder="1" applyAlignment="1" applyProtection="1">
      <alignment horizontal="center" vertical="center"/>
    </xf>
    <xf numFmtId="0" fontId="50" fillId="7" borderId="152" xfId="0" applyFont="1" applyFill="1" applyBorder="1" applyAlignment="1" applyProtection="1">
      <alignment horizontal="right" vertical="center"/>
    </xf>
    <xf numFmtId="0" fontId="0" fillId="7" borderId="105" xfId="0" applyFill="1" applyBorder="1" applyProtection="1"/>
    <xf numFmtId="0" fontId="25" fillId="4" borderId="0" xfId="0" applyFont="1" applyFill="1" applyBorder="1" applyAlignment="1" applyProtection="1">
      <alignment horizontal="right"/>
    </xf>
    <xf numFmtId="0" fontId="25" fillId="7" borderId="0" xfId="0" applyFont="1" applyFill="1" applyBorder="1" applyAlignment="1" applyProtection="1">
      <alignment horizontal="right"/>
    </xf>
    <xf numFmtId="0" fontId="25" fillId="7" borderId="42" xfId="0" applyFont="1" applyFill="1" applyBorder="1" applyAlignment="1" applyProtection="1">
      <alignment horizontal="left" indent="3"/>
    </xf>
    <xf numFmtId="0" fontId="0" fillId="7" borderId="43" xfId="0" applyFill="1" applyBorder="1" applyProtection="1"/>
    <xf numFmtId="0" fontId="0" fillId="7" borderId="41" xfId="0" applyFill="1" applyBorder="1" applyProtection="1"/>
    <xf numFmtId="0" fontId="25" fillId="7" borderId="20" xfId="0" applyFont="1" applyFill="1" applyBorder="1" applyAlignment="1" applyProtection="1">
      <alignment horizontal="left" indent="3"/>
    </xf>
    <xf numFmtId="0" fontId="0" fillId="7" borderId="40" xfId="0" applyFill="1" applyBorder="1" applyProtection="1"/>
    <xf numFmtId="0" fontId="0" fillId="4" borderId="0" xfId="0" applyFill="1" applyBorder="1" applyAlignment="1" applyProtection="1">
      <alignment horizontal="left"/>
    </xf>
    <xf numFmtId="0" fontId="46" fillId="7" borderId="20" xfId="0" applyFont="1" applyFill="1" applyBorder="1" applyAlignment="1" applyProtection="1">
      <alignment horizontal="left" indent="3"/>
    </xf>
    <xf numFmtId="0" fontId="16" fillId="7" borderId="0" xfId="0" applyFont="1" applyFill="1" applyBorder="1" applyProtection="1"/>
    <xf numFmtId="0" fontId="16" fillId="7" borderId="40" xfId="0" applyFont="1" applyFill="1" applyBorder="1" applyProtection="1"/>
    <xf numFmtId="0" fontId="38" fillId="4" borderId="0" xfId="0" applyFont="1" applyFill="1" applyBorder="1" applyProtection="1"/>
    <xf numFmtId="0" fontId="0" fillId="4" borderId="0"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5" fillId="7" borderId="0" xfId="0" applyFont="1" applyFill="1" applyBorder="1" applyAlignment="1" applyProtection="1">
      <alignment horizontal="center" vertical="center"/>
    </xf>
    <xf numFmtId="0" fontId="50" fillId="7" borderId="0" xfId="0" applyFont="1" applyFill="1" applyBorder="1" applyAlignment="1" applyProtection="1">
      <alignment horizontal="right" vertical="center"/>
    </xf>
    <xf numFmtId="0" fontId="0" fillId="4" borderId="0" xfId="0" applyFont="1" applyFill="1" applyBorder="1" applyAlignment="1" applyProtection="1">
      <alignment horizontal="right"/>
    </xf>
    <xf numFmtId="0" fontId="0" fillId="4" borderId="0" xfId="0" applyFont="1" applyFill="1" applyBorder="1" applyProtection="1"/>
    <xf numFmtId="0" fontId="25" fillId="4" borderId="0" xfId="0" applyFont="1" applyFill="1" applyBorder="1" applyAlignment="1" applyProtection="1">
      <alignment horizontal="left" indent="1"/>
    </xf>
    <xf numFmtId="0" fontId="0" fillId="4" borderId="0" xfId="0" applyFill="1" applyAlignment="1" applyProtection="1">
      <alignment horizontal="left" indent="1"/>
    </xf>
    <xf numFmtId="0" fontId="0" fillId="7" borderId="0" xfId="0" applyFont="1" applyFill="1" applyBorder="1" applyProtection="1"/>
    <xf numFmtId="0" fontId="0" fillId="7" borderId="0" xfId="0" applyFill="1" applyBorder="1" applyAlignment="1" applyProtection="1">
      <alignment horizontal="left" indent="1"/>
    </xf>
    <xf numFmtId="0" fontId="0" fillId="7" borderId="235" xfId="0" applyFill="1" applyBorder="1" applyProtection="1">
      <protection locked="0"/>
    </xf>
    <xf numFmtId="0" fontId="0" fillId="7" borderId="236" xfId="0" applyFill="1" applyBorder="1" applyProtection="1">
      <protection locked="0"/>
    </xf>
    <xf numFmtId="0" fontId="0" fillId="7" borderId="237" xfId="0" applyFill="1" applyBorder="1" applyProtection="1">
      <protection locked="0"/>
    </xf>
    <xf numFmtId="0" fontId="0" fillId="7" borderId="238" xfId="0" applyFill="1" applyBorder="1" applyProtection="1">
      <protection locked="0"/>
    </xf>
    <xf numFmtId="0" fontId="215" fillId="7" borderId="40" xfId="0" applyFont="1" applyFill="1" applyBorder="1" applyAlignment="1" applyProtection="1">
      <alignment horizontal="right" vertical="center" indent="1"/>
      <protection locked="0"/>
    </xf>
    <xf numFmtId="0" fontId="0" fillId="7" borderId="239" xfId="0" applyFill="1" applyBorder="1" applyProtection="1">
      <protection locked="0"/>
    </xf>
    <xf numFmtId="0" fontId="0" fillId="7" borderId="0" xfId="0" applyFill="1" applyBorder="1" applyProtection="1">
      <protection locked="0"/>
    </xf>
    <xf numFmtId="0" fontId="25" fillId="45" borderId="250" xfId="0" applyFont="1" applyFill="1" applyBorder="1" applyProtection="1">
      <protection locked="0"/>
    </xf>
    <xf numFmtId="0" fontId="0" fillId="45" borderId="0" xfId="0" applyFill="1" applyBorder="1" applyProtection="1">
      <protection locked="0"/>
    </xf>
    <xf numFmtId="0" fontId="0" fillId="45" borderId="218" xfId="0" applyFill="1" applyBorder="1" applyProtection="1">
      <protection locked="0"/>
    </xf>
    <xf numFmtId="0" fontId="216" fillId="47" borderId="228" xfId="0" applyFont="1" applyFill="1" applyBorder="1" applyAlignment="1" applyProtection="1">
      <protection locked="0"/>
    </xf>
    <xf numFmtId="0" fontId="219" fillId="47" borderId="0" xfId="0" applyFont="1" applyFill="1" applyBorder="1" applyAlignment="1" applyProtection="1">
      <alignment horizontal="center"/>
      <protection locked="0"/>
    </xf>
    <xf numFmtId="166" fontId="229" fillId="47" borderId="0" xfId="0" applyNumberFormat="1" applyFont="1" applyFill="1" applyBorder="1" applyAlignment="1" applyProtection="1">
      <alignment horizontal="left"/>
      <protection locked="0"/>
    </xf>
    <xf numFmtId="0" fontId="216" fillId="47" borderId="0" xfId="0" applyFont="1" applyFill="1" applyBorder="1" applyAlignment="1" applyProtection="1">
      <protection locked="0"/>
    </xf>
    <xf numFmtId="166" fontId="229" fillId="47" borderId="244" xfId="0" applyNumberFormat="1" applyFont="1" applyFill="1" applyBorder="1" applyAlignment="1" applyProtection="1">
      <alignment horizontal="left"/>
      <protection locked="0"/>
    </xf>
    <xf numFmtId="0" fontId="217" fillId="45" borderId="251" xfId="0" applyFont="1" applyFill="1" applyBorder="1" applyAlignment="1" applyProtection="1">
      <alignment horizontal="left" vertical="center" wrapText="1" indent="2"/>
      <protection locked="0"/>
    </xf>
    <xf numFmtId="0" fontId="217" fillId="45" borderId="64" xfId="0" applyFont="1" applyFill="1" applyBorder="1" applyAlignment="1" applyProtection="1">
      <alignment horizontal="center" vertical="center"/>
      <protection locked="0"/>
    </xf>
    <xf numFmtId="0" fontId="217" fillId="45" borderId="219" xfId="0" applyFont="1" applyFill="1" applyBorder="1" applyAlignment="1" applyProtection="1">
      <alignment horizontal="center" vertical="center"/>
      <protection locked="0"/>
    </xf>
    <xf numFmtId="0" fontId="0" fillId="47" borderId="228" xfId="0" applyFill="1" applyBorder="1" applyProtection="1">
      <protection locked="0"/>
    </xf>
    <xf numFmtId="0" fontId="0" fillId="47" borderId="0" xfId="0" applyFill="1" applyBorder="1" applyProtection="1">
      <protection locked="0"/>
    </xf>
    <xf numFmtId="0" fontId="0" fillId="47" borderId="244" xfId="0" applyFill="1" applyBorder="1" applyProtection="1">
      <protection locked="0"/>
    </xf>
    <xf numFmtId="0" fontId="0" fillId="7" borderId="238" xfId="0" applyFill="1" applyBorder="1" applyAlignment="1" applyProtection="1">
      <alignment vertical="center"/>
      <protection locked="0"/>
    </xf>
    <xf numFmtId="9" fontId="220" fillId="45" borderId="252" xfId="5" applyFont="1" applyFill="1" applyBorder="1" applyAlignment="1" applyProtection="1">
      <alignment horizontal="left" vertical="center" indent="1"/>
      <protection locked="0"/>
    </xf>
    <xf numFmtId="9" fontId="220" fillId="45" borderId="65" xfId="5" applyFont="1" applyFill="1" applyBorder="1" applyAlignment="1" applyProtection="1">
      <alignment horizontal="center" vertical="center"/>
      <protection locked="0"/>
    </xf>
    <xf numFmtId="9" fontId="220" fillId="45" borderId="220" xfId="5" applyFont="1" applyFill="1" applyBorder="1" applyAlignment="1" applyProtection="1">
      <alignment horizontal="center" vertical="center"/>
      <protection locked="0"/>
    </xf>
    <xf numFmtId="0" fontId="217" fillId="47" borderId="228" xfId="0" applyFont="1" applyFill="1" applyBorder="1" applyAlignment="1" applyProtection="1">
      <alignment horizontal="left" indent="1"/>
      <protection locked="0"/>
    </xf>
    <xf numFmtId="0" fontId="242" fillId="47" borderId="0" xfId="0" applyFont="1" applyFill="1" applyBorder="1" applyProtection="1">
      <protection locked="0"/>
    </xf>
    <xf numFmtId="1" fontId="242" fillId="47" borderId="0" xfId="4" applyNumberFormat="1" applyFont="1" applyFill="1" applyBorder="1" applyAlignment="1" applyProtection="1">
      <alignment horizontal="left"/>
      <protection locked="0"/>
    </xf>
    <xf numFmtId="1" fontId="241" fillId="47" borderId="244" xfId="0" applyNumberFormat="1" applyFont="1" applyFill="1" applyBorder="1" applyAlignment="1" applyProtection="1">
      <alignment horizontal="left"/>
      <protection locked="0"/>
    </xf>
    <xf numFmtId="0" fontId="0" fillId="7" borderId="23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234" fillId="47" borderId="228" xfId="0" applyFont="1" applyFill="1" applyBorder="1" applyAlignment="1" applyProtection="1">
      <protection locked="0"/>
    </xf>
    <xf numFmtId="0" fontId="242" fillId="47" borderId="0" xfId="0" applyFont="1" applyFill="1" applyBorder="1" applyAlignment="1" applyProtection="1">
      <protection locked="0"/>
    </xf>
    <xf numFmtId="0" fontId="238" fillId="45" borderId="253" xfId="0" applyFont="1" applyFill="1" applyBorder="1" applyAlignment="1" applyProtection="1">
      <alignment vertical="top"/>
      <protection locked="0"/>
    </xf>
    <xf numFmtId="0" fontId="0" fillId="45" borderId="221" xfId="0" applyFill="1" applyBorder="1" applyProtection="1">
      <protection locked="0"/>
    </xf>
    <xf numFmtId="0" fontId="0" fillId="45" borderId="222" xfId="0" applyFill="1" applyBorder="1" applyProtection="1">
      <protection locked="0"/>
    </xf>
    <xf numFmtId="167" fontId="242" fillId="47" borderId="0" xfId="4" applyNumberFormat="1" applyFont="1" applyFill="1" applyBorder="1" applyAlignment="1" applyProtection="1">
      <protection locked="0"/>
    </xf>
    <xf numFmtId="1" fontId="234" fillId="47" borderId="244" xfId="0" applyNumberFormat="1" applyFont="1" applyFill="1" applyBorder="1" applyAlignment="1" applyProtection="1">
      <alignment horizontal="left" wrapText="1"/>
      <protection locked="0"/>
    </xf>
    <xf numFmtId="0" fontId="25" fillId="46" borderId="255" xfId="0" applyFont="1" applyFill="1" applyBorder="1" applyProtection="1">
      <protection locked="0"/>
    </xf>
    <xf numFmtId="0" fontId="0" fillId="46" borderId="0" xfId="0" applyFill="1" applyBorder="1" applyProtection="1">
      <protection locked="0"/>
    </xf>
    <xf numFmtId="0" fontId="0" fillId="46" borderId="225" xfId="0" applyFill="1" applyBorder="1" applyProtection="1">
      <protection locked="0"/>
    </xf>
    <xf numFmtId="0" fontId="217" fillId="46" borderId="256" xfId="0" applyFont="1" applyFill="1" applyBorder="1" applyAlignment="1" applyProtection="1">
      <alignment horizontal="center" vertical="center" wrapText="1"/>
      <protection locked="0"/>
    </xf>
    <xf numFmtId="0" fontId="217" fillId="46" borderId="64" xfId="0" applyFont="1" applyFill="1" applyBorder="1" applyAlignment="1" applyProtection="1">
      <alignment horizontal="center" vertical="center"/>
      <protection locked="0"/>
    </xf>
    <xf numFmtId="0" fontId="217" fillId="46" borderId="226" xfId="0" applyFont="1" applyFill="1" applyBorder="1" applyAlignment="1" applyProtection="1">
      <alignment horizontal="center" vertical="center"/>
      <protection locked="0"/>
    </xf>
    <xf numFmtId="0" fontId="240" fillId="47" borderId="0" xfId="0" applyFont="1" applyFill="1" applyBorder="1" applyAlignment="1" applyProtection="1">
      <protection locked="0"/>
    </xf>
    <xf numFmtId="167" fontId="240" fillId="47" borderId="0" xfId="4" applyNumberFormat="1" applyFont="1" applyFill="1" applyBorder="1" applyAlignment="1" applyProtection="1">
      <alignment horizontal="left" wrapText="1"/>
      <protection locked="0"/>
    </xf>
    <xf numFmtId="167" fontId="240" fillId="47" borderId="0" xfId="4" applyNumberFormat="1" applyFont="1" applyFill="1" applyBorder="1" applyAlignment="1" applyProtection="1">
      <protection locked="0"/>
    </xf>
    <xf numFmtId="9" fontId="221" fillId="46" borderId="257" xfId="5" applyFont="1" applyFill="1" applyBorder="1" applyAlignment="1" applyProtection="1">
      <alignment horizontal="left" vertical="center" indent="1"/>
      <protection locked="0"/>
    </xf>
    <xf numFmtId="1" fontId="221" fillId="46" borderId="65" xfId="5" applyNumberFormat="1" applyFont="1" applyFill="1" applyBorder="1" applyAlignment="1" applyProtection="1">
      <alignment horizontal="center" vertical="center"/>
      <protection locked="0"/>
    </xf>
    <xf numFmtId="1" fontId="221" fillId="46" borderId="227" xfId="5" applyNumberFormat="1" applyFont="1" applyFill="1" applyBorder="1" applyAlignment="1" applyProtection="1">
      <alignment horizontal="center" vertical="center"/>
      <protection locked="0"/>
    </xf>
    <xf numFmtId="0" fontId="217" fillId="47" borderId="228" xfId="0" applyFont="1" applyFill="1" applyBorder="1" applyAlignment="1" applyProtection="1">
      <protection locked="0"/>
    </xf>
    <xf numFmtId="0" fontId="217" fillId="47" borderId="0" xfId="0" applyFont="1" applyFill="1" applyBorder="1" applyAlignment="1" applyProtection="1">
      <protection locked="0"/>
    </xf>
    <xf numFmtId="1" fontId="217" fillId="47" borderId="0" xfId="0" applyNumberFormat="1" applyFont="1" applyFill="1" applyBorder="1" applyAlignment="1" applyProtection="1">
      <alignment horizontal="left"/>
      <protection locked="0"/>
    </xf>
    <xf numFmtId="1" fontId="217" fillId="47" borderId="244" xfId="0" applyNumberFormat="1" applyFont="1" applyFill="1" applyBorder="1" applyAlignment="1" applyProtection="1">
      <alignment horizontal="left"/>
      <protection locked="0"/>
    </xf>
    <xf numFmtId="0" fontId="186" fillId="47" borderId="228" xfId="0" applyFont="1" applyFill="1" applyBorder="1" applyAlignment="1" applyProtection="1">
      <protection locked="0"/>
    </xf>
    <xf numFmtId="0" fontId="186" fillId="47" borderId="0" xfId="0" applyFont="1" applyFill="1" applyBorder="1" applyAlignment="1" applyProtection="1">
      <protection locked="0"/>
    </xf>
    <xf numFmtId="166" fontId="235" fillId="47" borderId="0" xfId="0" applyNumberFormat="1" applyFont="1" applyFill="1" applyBorder="1" applyAlignment="1" applyProtection="1">
      <alignment horizontal="left"/>
      <protection locked="0"/>
    </xf>
    <xf numFmtId="166" fontId="235" fillId="47" borderId="244" xfId="0" applyNumberFormat="1" applyFont="1" applyFill="1" applyBorder="1" applyAlignment="1" applyProtection="1">
      <alignment horizontal="left"/>
      <protection locked="0"/>
    </xf>
    <xf numFmtId="1" fontId="235" fillId="47" borderId="0" xfId="5" applyNumberFormat="1" applyFont="1" applyFill="1" applyBorder="1" applyAlignment="1" applyProtection="1">
      <alignment horizontal="left" vertical="center"/>
      <protection locked="0"/>
    </xf>
    <xf numFmtId="1" fontId="235" fillId="47" borderId="244" xfId="5" applyNumberFormat="1" applyFont="1" applyFill="1" applyBorder="1" applyAlignment="1" applyProtection="1">
      <alignment horizontal="left" vertical="center"/>
      <protection locked="0"/>
    </xf>
    <xf numFmtId="9" fontId="219" fillId="47" borderId="228" xfId="5" applyFont="1" applyFill="1" applyBorder="1" applyAlignment="1" applyProtection="1">
      <alignment horizontal="left" vertical="center" indent="1"/>
      <protection locked="0"/>
    </xf>
    <xf numFmtId="1" fontId="219" fillId="47" borderId="0" xfId="5" applyNumberFormat="1" applyFont="1" applyFill="1" applyBorder="1" applyAlignment="1" applyProtection="1">
      <alignment horizontal="center" vertical="center"/>
      <protection locked="0"/>
    </xf>
    <xf numFmtId="1" fontId="219" fillId="47" borderId="244" xfId="5" applyNumberFormat="1" applyFont="1" applyFill="1" applyBorder="1" applyAlignment="1" applyProtection="1">
      <alignment horizontal="center" vertical="center"/>
      <protection locked="0"/>
    </xf>
    <xf numFmtId="0" fontId="0" fillId="46" borderId="255" xfId="0" applyFill="1" applyBorder="1" applyAlignment="1" applyProtection="1">
      <alignment horizontal="left"/>
      <protection locked="0"/>
    </xf>
    <xf numFmtId="0" fontId="0" fillId="7" borderId="238" xfId="0" applyFill="1" applyBorder="1" applyAlignment="1" applyProtection="1">
      <protection locked="0"/>
    </xf>
    <xf numFmtId="0" fontId="217" fillId="46" borderId="256" xfId="0" applyFont="1" applyFill="1" applyBorder="1" applyAlignment="1" applyProtection="1">
      <alignment horizontal="center" wrapText="1"/>
      <protection locked="0"/>
    </xf>
    <xf numFmtId="0" fontId="217" fillId="46" borderId="64" xfId="0" applyFont="1" applyFill="1" applyBorder="1" applyAlignment="1" applyProtection="1">
      <alignment horizontal="center"/>
      <protection locked="0"/>
    </xf>
    <xf numFmtId="0" fontId="217" fillId="46" borderId="226" xfId="0" applyFont="1" applyFill="1" applyBorder="1" applyAlignment="1" applyProtection="1">
      <alignment horizontal="center"/>
      <protection locked="0"/>
    </xf>
    <xf numFmtId="0" fontId="0" fillId="7" borderId="0" xfId="0" applyFill="1" applyBorder="1" applyAlignment="1" applyProtection="1">
      <protection locked="0"/>
    </xf>
    <xf numFmtId="0" fontId="217" fillId="47" borderId="244" xfId="0" applyFont="1" applyFill="1" applyBorder="1" applyAlignment="1" applyProtection="1">
      <alignment horizontal="center"/>
      <protection locked="0"/>
    </xf>
    <xf numFmtId="0" fontId="0" fillId="7" borderId="239" xfId="0" applyFill="1" applyBorder="1" applyAlignment="1" applyProtection="1">
      <protection locked="0"/>
    </xf>
    <xf numFmtId="0" fontId="217" fillId="47" borderId="246" xfId="0" applyFont="1" applyFill="1" applyBorder="1" applyAlignment="1" applyProtection="1">
      <alignment horizontal="center"/>
      <protection locked="0"/>
    </xf>
    <xf numFmtId="166" fontId="221" fillId="46" borderId="65" xfId="5" applyNumberFormat="1" applyFont="1" applyFill="1" applyBorder="1" applyAlignment="1" applyProtection="1">
      <alignment horizontal="center" vertical="center"/>
      <protection locked="0"/>
    </xf>
    <xf numFmtId="166" fontId="221" fillId="46" borderId="227" xfId="5" applyNumberFormat="1" applyFont="1" applyFill="1" applyBorder="1" applyAlignment="1" applyProtection="1">
      <alignment horizontal="center" vertical="center"/>
      <protection locked="0"/>
    </xf>
    <xf numFmtId="9" fontId="234" fillId="47" borderId="230" xfId="5" applyFont="1" applyFill="1" applyBorder="1" applyAlignment="1" applyProtection="1">
      <alignment horizontal="left" vertical="center" indent="1"/>
      <protection locked="0"/>
    </xf>
    <xf numFmtId="1" fontId="234" fillId="47" borderId="65" xfId="5" applyNumberFormat="1" applyFont="1" applyFill="1" applyBorder="1" applyAlignment="1" applyProtection="1">
      <alignment horizontal="center" vertical="center"/>
      <protection locked="0"/>
    </xf>
    <xf numFmtId="1" fontId="234" fillId="47" borderId="245" xfId="5" applyNumberFormat="1" applyFont="1" applyFill="1" applyBorder="1" applyAlignment="1" applyProtection="1">
      <alignment horizontal="center" vertical="center"/>
      <protection locked="0"/>
    </xf>
    <xf numFmtId="9" fontId="221" fillId="46" borderId="258" xfId="5" applyFont="1" applyFill="1" applyBorder="1" applyAlignment="1" applyProtection="1">
      <alignment horizontal="left" vertical="center" indent="1"/>
      <protection locked="0"/>
    </xf>
    <xf numFmtId="166" fontId="221" fillId="46" borderId="259" xfId="5" applyNumberFormat="1" applyFont="1" applyFill="1" applyBorder="1" applyAlignment="1" applyProtection="1">
      <alignment horizontal="center" vertical="center"/>
      <protection locked="0"/>
    </xf>
    <xf numFmtId="166" fontId="221" fillId="46" borderId="260" xfId="5" applyNumberFormat="1" applyFont="1" applyFill="1" applyBorder="1" applyAlignment="1" applyProtection="1">
      <alignment horizontal="center" vertical="center"/>
      <protection locked="0"/>
    </xf>
    <xf numFmtId="9" fontId="234" fillId="47" borderId="261" xfId="5" applyFont="1" applyFill="1" applyBorder="1" applyAlignment="1" applyProtection="1">
      <alignment horizontal="left" vertical="center" indent="1"/>
      <protection locked="0"/>
    </xf>
    <xf numFmtId="1" fontId="234" fillId="47" borderId="262" xfId="5" applyNumberFormat="1" applyFont="1" applyFill="1" applyBorder="1" applyAlignment="1" applyProtection="1">
      <alignment horizontal="center" vertical="center"/>
      <protection locked="0"/>
    </xf>
    <xf numFmtId="1" fontId="234" fillId="47" borderId="263" xfId="5" applyNumberFormat="1" applyFont="1" applyFill="1" applyBorder="1" applyAlignment="1" applyProtection="1">
      <alignment horizontal="center" vertical="center"/>
      <protection locked="0"/>
    </xf>
    <xf numFmtId="0" fontId="0" fillId="7" borderId="240" xfId="0" applyFill="1" applyBorder="1" applyProtection="1">
      <protection locked="0"/>
    </xf>
    <xf numFmtId="9" fontId="218" fillId="7" borderId="241" xfId="5" applyFont="1" applyFill="1" applyBorder="1" applyAlignment="1" applyProtection="1">
      <alignment horizontal="left" vertical="center"/>
      <protection locked="0"/>
    </xf>
    <xf numFmtId="0" fontId="0" fillId="7" borderId="241" xfId="0" applyFill="1" applyBorder="1" applyProtection="1">
      <protection locked="0"/>
    </xf>
    <xf numFmtId="0" fontId="0" fillId="7" borderId="242" xfId="0" applyFill="1" applyBorder="1" applyProtection="1">
      <protection locked="0"/>
    </xf>
    <xf numFmtId="0" fontId="215" fillId="7" borderId="0" xfId="0" applyFont="1" applyFill="1" applyBorder="1" applyAlignment="1" applyProtection="1">
      <alignment horizontal="right" vertical="center" indent="1"/>
      <protection locked="0"/>
    </xf>
    <xf numFmtId="0" fontId="102" fillId="25" borderId="95" xfId="0" applyFont="1" applyFill="1" applyBorder="1" applyAlignment="1" applyProtection="1">
      <alignment vertical="center"/>
    </xf>
    <xf numFmtId="0" fontId="137" fillId="25" borderId="96" xfId="0" applyFont="1" applyFill="1" applyBorder="1" applyAlignment="1" applyProtection="1">
      <alignment horizontal="right" vertical="center"/>
    </xf>
    <xf numFmtId="0" fontId="103" fillId="25" borderId="111" xfId="1" applyFont="1" applyFill="1" applyBorder="1" applyAlignment="1" applyProtection="1">
      <alignment horizontal="center" vertical="center"/>
    </xf>
    <xf numFmtId="0" fontId="108" fillId="7" borderId="0" xfId="0" applyFont="1" applyFill="1" applyBorder="1" applyAlignment="1" applyProtection="1">
      <alignment vertical="center"/>
    </xf>
    <xf numFmtId="0" fontId="104" fillId="26" borderId="0" xfId="1" applyFont="1" applyFill="1" applyBorder="1" applyAlignment="1" applyProtection="1">
      <alignment horizontal="center" vertical="center"/>
    </xf>
    <xf numFmtId="0" fontId="115" fillId="7" borderId="0" xfId="0" applyFont="1" applyFill="1" applyBorder="1" applyAlignment="1" applyProtection="1">
      <alignment horizontal="center" vertical="center"/>
    </xf>
    <xf numFmtId="0" fontId="0" fillId="25" borderId="0" xfId="0" applyFill="1" applyBorder="1" applyAlignment="1" applyProtection="1">
      <alignment horizontal="center"/>
    </xf>
    <xf numFmtId="0" fontId="145" fillId="6" borderId="0" xfId="0" applyFont="1" applyFill="1" applyBorder="1" applyAlignment="1" applyProtection="1">
      <alignment horizontal="center" vertical="center"/>
    </xf>
    <xf numFmtId="0" fontId="144" fillId="26" borderId="90" xfId="0" applyFont="1" applyFill="1" applyBorder="1" applyAlignment="1" applyProtection="1">
      <alignment horizontal="center"/>
    </xf>
    <xf numFmtId="0" fontId="146" fillId="26" borderId="0" xfId="1" applyFont="1" applyFill="1" applyBorder="1" applyAlignment="1" applyProtection="1">
      <alignment horizontal="center" vertical="center"/>
    </xf>
    <xf numFmtId="0" fontId="109" fillId="25" borderId="95" xfId="1" applyFont="1" applyFill="1" applyBorder="1" applyAlignment="1" applyProtection="1">
      <alignment horizontal="center" vertical="center"/>
    </xf>
    <xf numFmtId="0" fontId="104" fillId="25" borderId="95" xfId="1" applyFont="1" applyFill="1" applyBorder="1" applyAlignment="1" applyProtection="1">
      <alignment vertical="center"/>
      <protection locked="0"/>
    </xf>
    <xf numFmtId="0" fontId="104" fillId="25" borderId="96" xfId="1" applyFont="1" applyFill="1" applyBorder="1" applyAlignment="1" applyProtection="1">
      <alignment vertical="center"/>
      <protection locked="0"/>
    </xf>
    <xf numFmtId="0" fontId="11" fillId="7" borderId="4" xfId="0" applyFont="1" applyFill="1" applyBorder="1" applyAlignment="1" applyProtection="1">
      <alignment horizontal="left" indent="3"/>
    </xf>
    <xf numFmtId="0" fontId="11" fillId="7" borderId="0" xfId="0" applyFont="1" applyFill="1" applyBorder="1" applyAlignment="1" applyProtection="1"/>
    <xf numFmtId="167" fontId="0" fillId="3" borderId="375" xfId="4" applyNumberFormat="1" applyFont="1" applyFill="1" applyBorder="1" applyAlignment="1" applyProtection="1">
      <alignment vertical="top" wrapText="1"/>
    </xf>
    <xf numFmtId="167" fontId="16" fillId="3" borderId="206" xfId="4" applyNumberFormat="1" applyFont="1" applyFill="1" applyBorder="1" applyAlignment="1" applyProtection="1">
      <alignment vertical="center"/>
    </xf>
    <xf numFmtId="0" fontId="11" fillId="7" borderId="4" xfId="0" applyFont="1" applyFill="1" applyBorder="1" applyAlignment="1" applyProtection="1">
      <alignment horizontal="left" vertical="center" indent="3"/>
    </xf>
    <xf numFmtId="0" fontId="11" fillId="7" borderId="0" xfId="0" applyFont="1" applyFill="1" applyBorder="1" applyAlignment="1" applyProtection="1">
      <alignment vertical="center"/>
    </xf>
    <xf numFmtId="167" fontId="0" fillId="3" borderId="375" xfId="4" applyNumberFormat="1" applyFont="1" applyFill="1" applyBorder="1" applyAlignment="1" applyProtection="1">
      <alignment vertical="top"/>
    </xf>
    <xf numFmtId="167" fontId="3" fillId="3" borderId="375" xfId="4" applyNumberFormat="1" applyFont="1" applyFill="1" applyBorder="1" applyAlignment="1" applyProtection="1">
      <alignment vertical="center" wrapText="1"/>
    </xf>
    <xf numFmtId="167" fontId="0" fillId="3" borderId="377" xfId="4" applyNumberFormat="1" applyFont="1" applyFill="1" applyBorder="1" applyAlignment="1" applyProtection="1">
      <alignment vertical="center" wrapText="1"/>
    </xf>
    <xf numFmtId="167" fontId="16" fillId="3" borderId="311" xfId="4" applyNumberFormat="1" applyFont="1" applyFill="1" applyBorder="1" applyAlignment="1" applyProtection="1">
      <alignment horizontal="right" vertical="center"/>
    </xf>
    <xf numFmtId="9" fontId="16" fillId="3" borderId="308" xfId="5" applyFont="1" applyFill="1" applyBorder="1" applyAlignment="1" applyProtection="1">
      <alignment horizontal="right" vertical="center"/>
    </xf>
    <xf numFmtId="0" fontId="0" fillId="3" borderId="375" xfId="0" applyFill="1" applyBorder="1" applyAlignment="1" applyProtection="1">
      <alignment horizontal="left" vertical="center" wrapText="1"/>
    </xf>
    <xf numFmtId="167" fontId="16" fillId="3" borderId="206" xfId="0" applyNumberFormat="1" applyFont="1" applyFill="1" applyBorder="1" applyAlignment="1" applyProtection="1">
      <alignment vertical="center"/>
    </xf>
    <xf numFmtId="167" fontId="0" fillId="3" borderId="375" xfId="4" applyNumberFormat="1" applyFont="1" applyFill="1" applyBorder="1" applyAlignment="1" applyProtection="1">
      <alignment vertical="center" wrapText="1"/>
    </xf>
    <xf numFmtId="0" fontId="16" fillId="3" borderId="206" xfId="0" applyFont="1" applyFill="1" applyBorder="1" applyAlignment="1" applyProtection="1">
      <alignment horizontal="left" indent="1"/>
    </xf>
    <xf numFmtId="169" fontId="16" fillId="3" borderId="206" xfId="4" applyNumberFormat="1" applyFont="1" applyFill="1" applyBorder="1" applyAlignment="1" applyProtection="1">
      <alignment horizontal="center" vertical="center"/>
    </xf>
    <xf numFmtId="167" fontId="16" fillId="3" borderId="206" xfId="4" applyNumberFormat="1" applyFont="1" applyFill="1" applyBorder="1" applyAlignment="1" applyProtection="1">
      <alignment horizontal="center" vertical="center"/>
    </xf>
    <xf numFmtId="3" fontId="16" fillId="4" borderId="206" xfId="0" applyNumberFormat="1" applyFont="1" applyFill="1" applyBorder="1" applyAlignment="1" applyProtection="1">
      <alignment horizontal="center"/>
    </xf>
    <xf numFmtId="1" fontId="72" fillId="4" borderId="290" xfId="4" applyNumberFormat="1" applyFont="1" applyFill="1" applyBorder="1" applyAlignment="1" applyProtection="1">
      <alignment horizontal="left"/>
    </xf>
    <xf numFmtId="167" fontId="16" fillId="4" borderId="206" xfId="4" applyNumberFormat="1" applyFont="1" applyFill="1" applyBorder="1" applyAlignment="1" applyProtection="1">
      <alignment horizontal="center"/>
    </xf>
    <xf numFmtId="0" fontId="16" fillId="4" borderId="206" xfId="0" applyFont="1" applyFill="1" applyBorder="1" applyAlignment="1" applyProtection="1">
      <alignment horizontal="center" vertical="center"/>
    </xf>
    <xf numFmtId="166" fontId="16" fillId="4" borderId="311" xfId="4" applyNumberFormat="1" applyFont="1" applyFill="1" applyBorder="1" applyAlignment="1" applyProtection="1">
      <alignment horizontal="center" vertical="center"/>
    </xf>
    <xf numFmtId="166" fontId="16" fillId="4" borderId="312" xfId="4" applyNumberFormat="1" applyFont="1" applyFill="1" applyBorder="1" applyAlignment="1" applyProtection="1">
      <alignment horizontal="center" vertical="center"/>
    </xf>
    <xf numFmtId="9" fontId="16" fillId="3" borderId="310" xfId="5" applyFont="1" applyFill="1" applyBorder="1" applyAlignment="1" applyProtection="1">
      <alignment horizontal="right" vertical="center"/>
    </xf>
    <xf numFmtId="167" fontId="16" fillId="3" borderId="311" xfId="4" applyNumberFormat="1" applyFont="1" applyFill="1" applyBorder="1" applyAlignment="1" applyProtection="1">
      <alignment vertical="top"/>
    </xf>
    <xf numFmtId="167" fontId="0" fillId="3" borderId="390" xfId="4" applyNumberFormat="1" applyFont="1" applyFill="1" applyBorder="1" applyAlignment="1" applyProtection="1">
      <alignment vertical="top" wrapText="1"/>
    </xf>
    <xf numFmtId="167" fontId="16" fillId="3" borderId="311" xfId="0" applyNumberFormat="1" applyFont="1" applyFill="1" applyBorder="1" applyAlignment="1" applyProtection="1">
      <alignment vertical="center"/>
    </xf>
    <xf numFmtId="0" fontId="16" fillId="3" borderId="310" xfId="0" applyFont="1" applyFill="1" applyBorder="1" applyAlignment="1" applyProtection="1">
      <alignment horizontal="left" indent="1"/>
    </xf>
    <xf numFmtId="0" fontId="16" fillId="3" borderId="342" xfId="0" applyFont="1" applyFill="1" applyBorder="1" applyAlignment="1" applyProtection="1">
      <alignment horizontal="left" indent="1"/>
    </xf>
    <xf numFmtId="0" fontId="16" fillId="3" borderId="339" xfId="0" applyFont="1" applyFill="1" applyBorder="1" applyAlignment="1" applyProtection="1">
      <alignment horizontal="left" indent="1"/>
    </xf>
    <xf numFmtId="167" fontId="16" fillId="3" borderId="310" xfId="4" applyNumberFormat="1" applyFont="1" applyFill="1" applyBorder="1" applyAlignment="1" applyProtection="1">
      <alignment vertical="center"/>
    </xf>
    <xf numFmtId="167" fontId="16" fillId="7" borderId="206" xfId="4" applyNumberFormat="1" applyFont="1" applyFill="1" applyBorder="1" applyAlignment="1" applyProtection="1">
      <alignment vertical="center"/>
    </xf>
    <xf numFmtId="167" fontId="16" fillId="7" borderId="376" xfId="4" applyNumberFormat="1" applyFont="1" applyFill="1" applyBorder="1" applyAlignment="1" applyProtection="1">
      <alignment vertical="center"/>
    </xf>
    <xf numFmtId="167" fontId="16" fillId="38" borderId="206" xfId="4" applyNumberFormat="1" applyFont="1" applyFill="1" applyBorder="1" applyAlignment="1" applyProtection="1">
      <alignment horizontal="center" vertical="center"/>
    </xf>
    <xf numFmtId="167" fontId="16" fillId="38" borderId="376" xfId="4" applyNumberFormat="1" applyFont="1" applyFill="1" applyBorder="1" applyAlignment="1" applyProtection="1">
      <alignment horizontal="center" vertical="center"/>
    </xf>
    <xf numFmtId="167" fontId="16" fillId="41" borderId="206" xfId="4" applyNumberFormat="1" applyFont="1" applyFill="1" applyBorder="1" applyAlignment="1" applyProtection="1">
      <alignment horizontal="center" vertical="center"/>
    </xf>
    <xf numFmtId="167" fontId="16" fillId="41" borderId="376" xfId="4" applyNumberFormat="1" applyFont="1" applyFill="1" applyBorder="1" applyAlignment="1" applyProtection="1">
      <alignment horizontal="center" vertical="center"/>
    </xf>
    <xf numFmtId="167" fontId="0" fillId="7" borderId="0" xfId="0" applyNumberFormat="1" applyFont="1" applyFill="1" applyBorder="1" applyAlignment="1" applyProtection="1">
      <alignment vertical="top"/>
    </xf>
    <xf numFmtId="167" fontId="0" fillId="7" borderId="5" xfId="0" applyNumberFormat="1" applyFont="1" applyFill="1" applyBorder="1" applyAlignment="1" applyProtection="1">
      <alignment vertical="top"/>
    </xf>
    <xf numFmtId="0" fontId="0" fillId="7" borderId="5" xfId="0" applyFont="1" applyFill="1" applyBorder="1" applyAlignment="1" applyProtection="1">
      <alignment vertical="top"/>
    </xf>
    <xf numFmtId="167" fontId="11" fillId="7" borderId="206" xfId="4" applyNumberFormat="1" applyFont="1" applyFill="1" applyBorder="1" applyAlignment="1" applyProtection="1">
      <alignment vertical="center"/>
    </xf>
    <xf numFmtId="167" fontId="11" fillId="7" borderId="376" xfId="4" applyNumberFormat="1" applyFont="1" applyFill="1" applyBorder="1" applyAlignment="1" applyProtection="1">
      <alignment vertical="center"/>
    </xf>
    <xf numFmtId="3" fontId="16" fillId="0" borderId="401" xfId="0" applyNumberFormat="1" applyFont="1" applyFill="1" applyBorder="1" applyAlignment="1" applyProtection="1">
      <alignment horizontal="center" vertical="center" wrapText="1"/>
    </xf>
    <xf numFmtId="9" fontId="16" fillId="0" borderId="402" xfId="5" applyFont="1" applyFill="1" applyBorder="1" applyAlignment="1" applyProtection="1">
      <alignment horizontal="center" vertical="center"/>
      <protection locked="0"/>
    </xf>
    <xf numFmtId="9" fontId="6" fillId="0" borderId="394" xfId="5" applyFont="1" applyFill="1" applyBorder="1" applyAlignment="1" applyProtection="1">
      <alignment horizontal="center" vertical="center"/>
    </xf>
    <xf numFmtId="3" fontId="16" fillId="0" borderId="403" xfId="0" applyNumberFormat="1" applyFont="1" applyFill="1" applyBorder="1" applyAlignment="1" applyProtection="1">
      <alignment horizontal="center" vertical="center" wrapText="1"/>
    </xf>
    <xf numFmtId="9" fontId="16" fillId="0" borderId="404" xfId="5" applyFont="1" applyFill="1" applyBorder="1" applyAlignment="1" applyProtection="1">
      <alignment horizontal="center" vertical="center"/>
      <protection locked="0"/>
    </xf>
    <xf numFmtId="9" fontId="6" fillId="0" borderId="399" xfId="5" applyFont="1" applyFill="1" applyBorder="1" applyAlignment="1" applyProtection="1">
      <alignment horizontal="center" vertical="center"/>
    </xf>
    <xf numFmtId="3" fontId="0" fillId="0" borderId="403" xfId="0" applyNumberFormat="1" applyFont="1" applyFill="1" applyBorder="1" applyAlignment="1" applyProtection="1">
      <alignment horizontal="center" vertical="center" wrapText="1"/>
    </xf>
    <xf numFmtId="9" fontId="16" fillId="0" borderId="405" xfId="5" applyFont="1" applyFill="1" applyBorder="1" applyAlignment="1" applyProtection="1">
      <alignment horizontal="center" vertical="center"/>
      <protection locked="0"/>
    </xf>
    <xf numFmtId="9" fontId="16" fillId="0" borderId="406" xfId="5" applyFont="1" applyFill="1" applyBorder="1" applyAlignment="1" applyProtection="1">
      <alignment horizontal="center" vertical="center"/>
      <protection locked="0"/>
    </xf>
    <xf numFmtId="9" fontId="16" fillId="0" borderId="407" xfId="5" applyFont="1" applyFill="1" applyBorder="1" applyAlignment="1" applyProtection="1">
      <alignment horizontal="center" vertical="center"/>
      <protection locked="0"/>
    </xf>
    <xf numFmtId="9" fontId="16" fillId="0" borderId="408" xfId="5" applyFont="1" applyFill="1" applyBorder="1" applyAlignment="1" applyProtection="1">
      <alignment horizontal="center" vertical="center"/>
      <protection locked="0"/>
    </xf>
    <xf numFmtId="9" fontId="6" fillId="0" borderId="409" xfId="5" applyFont="1" applyFill="1" applyBorder="1" applyAlignment="1" applyProtection="1">
      <alignment horizontal="center" vertical="center"/>
    </xf>
    <xf numFmtId="9" fontId="6" fillId="0" borderId="410" xfId="5" applyFont="1" applyFill="1" applyBorder="1" applyAlignment="1" applyProtection="1">
      <alignment horizontal="center" vertical="center"/>
    </xf>
    <xf numFmtId="1" fontId="6" fillId="0" borderId="411" xfId="5" applyNumberFormat="1" applyFont="1" applyFill="1" applyBorder="1" applyAlignment="1" applyProtection="1">
      <alignment horizontal="center" vertical="center"/>
    </xf>
    <xf numFmtId="1" fontId="6" fillId="0" borderId="412" xfId="5" applyNumberFormat="1" applyFont="1" applyFill="1" applyBorder="1" applyAlignment="1" applyProtection="1">
      <alignment horizontal="center" vertical="center"/>
    </xf>
    <xf numFmtId="1" fontId="6" fillId="0" borderId="413" xfId="4" applyNumberFormat="1" applyFont="1" applyFill="1" applyBorder="1" applyAlignment="1" applyProtection="1">
      <alignment horizontal="center" vertical="center"/>
    </xf>
    <xf numFmtId="1" fontId="6" fillId="0" borderId="407" xfId="4" applyNumberFormat="1" applyFont="1" applyFill="1" applyBorder="1" applyAlignment="1" applyProtection="1">
      <alignment horizontal="center" vertical="center"/>
    </xf>
    <xf numFmtId="1" fontId="6" fillId="0" borderId="411" xfId="4" applyNumberFormat="1" applyFont="1" applyFill="1" applyBorder="1" applyAlignment="1" applyProtection="1">
      <alignment horizontal="center" vertical="center"/>
    </xf>
    <xf numFmtId="1" fontId="6" fillId="0" borderId="414" xfId="4" applyNumberFormat="1" applyFont="1" applyFill="1" applyBorder="1" applyAlignment="1" applyProtection="1">
      <alignment horizontal="center" vertical="center"/>
    </xf>
    <xf numFmtId="1" fontId="6" fillId="0" borderId="408" xfId="4" applyNumberFormat="1" applyFont="1" applyFill="1" applyBorder="1" applyAlignment="1" applyProtection="1">
      <alignment horizontal="center" vertical="center"/>
    </xf>
    <xf numFmtId="1" fontId="6" fillId="0" borderId="412" xfId="4" applyNumberFormat="1" applyFont="1" applyFill="1" applyBorder="1" applyAlignment="1" applyProtection="1">
      <alignment horizontal="center" vertical="center"/>
    </xf>
    <xf numFmtId="0" fontId="101" fillId="26" borderId="0" xfId="0" applyFont="1" applyFill="1" applyBorder="1" applyAlignment="1" applyProtection="1">
      <alignment horizontal="center" vertical="center"/>
    </xf>
    <xf numFmtId="0" fontId="25" fillId="4" borderId="15" xfId="0" applyFont="1" applyFill="1" applyBorder="1" applyAlignment="1" applyProtection="1">
      <alignment horizontal="center" vertical="center"/>
    </xf>
    <xf numFmtId="0" fontId="0" fillId="4" borderId="0" xfId="0" applyFill="1" applyBorder="1" applyAlignment="1" applyProtection="1">
      <alignment horizontal="center" vertical="center" wrapText="1"/>
    </xf>
    <xf numFmtId="0" fontId="0" fillId="4" borderId="0" xfId="0" applyFill="1" applyAlignment="1" applyProtection="1">
      <alignment horizontal="center" vertical="center" wrapText="1"/>
    </xf>
    <xf numFmtId="0" fontId="0" fillId="4" borderId="0" xfId="0" applyFill="1" applyAlignment="1" applyProtection="1">
      <alignment horizontal="center"/>
    </xf>
    <xf numFmtId="0" fontId="24" fillId="4" borderId="0" xfId="0" applyFont="1" applyFill="1" applyAlignment="1" applyProtection="1">
      <alignment horizontal="center"/>
    </xf>
    <xf numFmtId="0" fontId="0" fillId="25" borderId="0" xfId="0" applyFill="1" applyAlignment="1" applyProtection="1">
      <alignment horizontal="center"/>
    </xf>
    <xf numFmtId="169" fontId="5" fillId="0" borderId="16" xfId="0" applyNumberFormat="1" applyFont="1" applyFill="1" applyBorder="1" applyAlignment="1">
      <alignment vertical="top"/>
    </xf>
    <xf numFmtId="169" fontId="5" fillId="0" borderId="19" xfId="0" applyNumberFormat="1" applyFont="1" applyFill="1" applyBorder="1" applyAlignment="1">
      <alignment vertical="top"/>
    </xf>
    <xf numFmtId="43" fontId="33" fillId="0" borderId="36" xfId="4" applyFont="1" applyFill="1" applyBorder="1" applyAlignment="1">
      <alignment horizontal="left" vertical="top"/>
    </xf>
    <xf numFmtId="43" fontId="33" fillId="0" borderId="13" xfId="0" applyNumberFormat="1" applyFont="1" applyBorder="1" applyAlignment="1">
      <alignment horizontal="left" vertical="top"/>
    </xf>
    <xf numFmtId="43" fontId="33" fillId="0" borderId="15" xfId="0" applyNumberFormat="1" applyFont="1" applyBorder="1" applyAlignment="1">
      <alignment horizontal="left" vertical="top"/>
    </xf>
    <xf numFmtId="43" fontId="33" fillId="0" borderId="36" xfId="4" applyFont="1" applyBorder="1" applyAlignment="1">
      <alignment horizontal="left" vertical="top"/>
    </xf>
    <xf numFmtId="9" fontId="45" fillId="52" borderId="14" xfId="5" applyFont="1" applyFill="1" applyBorder="1" applyAlignment="1">
      <alignment horizontal="left" vertical="center"/>
    </xf>
    <xf numFmtId="0" fontId="85" fillId="52" borderId="0" xfId="0" applyFont="1" applyFill="1" applyBorder="1" applyAlignment="1">
      <alignment horizontal="left" vertical="top"/>
    </xf>
    <xf numFmtId="43" fontId="0" fillId="19" borderId="0" xfId="0" applyNumberFormat="1" applyFill="1" applyAlignment="1">
      <alignment vertical="top"/>
    </xf>
    <xf numFmtId="0" fontId="19" fillId="17" borderId="7" xfId="0" applyFont="1" applyFill="1" applyBorder="1" applyAlignment="1" applyProtection="1">
      <alignment vertical="center" wrapText="1"/>
      <protection locked="0"/>
    </xf>
    <xf numFmtId="0" fontId="6" fillId="25" borderId="0" xfId="0" applyFont="1" applyFill="1" applyBorder="1" applyProtection="1"/>
    <xf numFmtId="0" fontId="102" fillId="25" borderId="0" xfId="0" applyFont="1" applyFill="1" applyBorder="1" applyAlignment="1" applyProtection="1">
      <alignment vertical="center"/>
    </xf>
    <xf numFmtId="0" fontId="6" fillId="25" borderId="0" xfId="0" applyFont="1" applyFill="1" applyBorder="1" applyAlignment="1" applyProtection="1">
      <alignment vertical="top"/>
    </xf>
    <xf numFmtId="0" fontId="259" fillId="25" borderId="0" xfId="0" applyFont="1" applyFill="1" applyBorder="1" applyAlignment="1" applyProtection="1">
      <alignment vertical="center"/>
    </xf>
    <xf numFmtId="0" fontId="6" fillId="25" borderId="0" xfId="0" applyFont="1" applyFill="1" applyProtection="1"/>
    <xf numFmtId="0" fontId="6" fillId="25" borderId="0" xfId="0" applyFont="1" applyFill="1" applyBorder="1" applyAlignment="1" applyProtection="1">
      <alignment vertical="center"/>
    </xf>
    <xf numFmtId="0" fontId="182" fillId="25" borderId="0" xfId="0" applyFont="1" applyFill="1" applyBorder="1" applyProtection="1"/>
    <xf numFmtId="0" fontId="39" fillId="25" borderId="0" xfId="0" applyFont="1" applyFill="1" applyBorder="1" applyProtection="1"/>
    <xf numFmtId="9" fontId="6" fillId="25" borderId="0" xfId="0" applyNumberFormat="1" applyFont="1" applyFill="1" applyProtection="1"/>
    <xf numFmtId="0" fontId="29" fillId="13" borderId="0" xfId="0" applyFont="1" applyFill="1" applyAlignment="1">
      <alignment horizontal="center" vertical="top"/>
    </xf>
    <xf numFmtId="0" fontId="16" fillId="25" borderId="0" xfId="0" applyFont="1" applyFill="1" applyProtection="1"/>
    <xf numFmtId="0" fontId="182" fillId="25" borderId="0" xfId="0" applyFont="1" applyFill="1" applyProtection="1"/>
    <xf numFmtId="0" fontId="43" fillId="25" borderId="92" xfId="0" applyFont="1" applyFill="1" applyBorder="1" applyAlignment="1" applyProtection="1">
      <alignment vertical="center"/>
    </xf>
    <xf numFmtId="0" fontId="6" fillId="25" borderId="0" xfId="0" applyFont="1" applyFill="1" applyBorder="1" applyAlignment="1" applyProtection="1">
      <alignment vertical="top" wrapText="1"/>
    </xf>
    <xf numFmtId="0" fontId="0" fillId="25" borderId="0" xfId="0" applyFont="1" applyFill="1" applyBorder="1" applyAlignment="1" applyProtection="1">
      <alignment vertical="top"/>
    </xf>
    <xf numFmtId="0" fontId="6" fillId="25" borderId="0" xfId="0" applyFont="1" applyFill="1" applyAlignment="1" applyProtection="1">
      <alignment vertical="center"/>
    </xf>
    <xf numFmtId="0" fontId="18" fillId="25" borderId="0" xfId="0" applyFont="1" applyFill="1" applyBorder="1" applyProtection="1"/>
    <xf numFmtId="0" fontId="18" fillId="25" borderId="0" xfId="0" applyFont="1" applyFill="1" applyProtection="1"/>
    <xf numFmtId="0" fontId="6" fillId="25" borderId="0" xfId="0" applyFont="1" applyFill="1" applyBorder="1" applyAlignment="1" applyProtection="1">
      <alignment vertical="center"/>
      <protection locked="0"/>
    </xf>
    <xf numFmtId="9" fontId="0" fillId="48" borderId="314" xfId="0" applyNumberFormat="1" applyFill="1" applyBorder="1" applyAlignment="1" applyProtection="1">
      <alignment vertical="center"/>
      <protection locked="0"/>
    </xf>
    <xf numFmtId="167" fontId="0" fillId="48" borderId="314" xfId="2" applyNumberFormat="1" applyFont="1" applyFill="1" applyBorder="1" applyAlignment="1" applyProtection="1">
      <alignment vertical="center"/>
      <protection locked="0"/>
    </xf>
    <xf numFmtId="2" fontId="0" fillId="48" borderId="349" xfId="2" applyNumberFormat="1" applyFont="1" applyFill="1" applyBorder="1" applyAlignment="1" applyProtection="1">
      <alignment vertical="top"/>
      <protection locked="0"/>
    </xf>
    <xf numFmtId="167" fontId="0" fillId="48" borderId="314" xfId="4" applyNumberFormat="1" applyFont="1" applyFill="1" applyBorder="1" applyAlignment="1" applyProtection="1">
      <alignment horizontal="right" vertical="center"/>
      <protection locked="0"/>
    </xf>
    <xf numFmtId="167" fontId="0" fillId="48" borderId="304" xfId="4" applyNumberFormat="1" applyFont="1" applyFill="1" applyBorder="1" applyAlignment="1" applyProtection="1">
      <alignment horizontal="right" vertical="center"/>
      <protection locked="0"/>
    </xf>
    <xf numFmtId="167" fontId="16" fillId="48" borderId="366" xfId="4" applyNumberFormat="1" applyFont="1" applyFill="1" applyBorder="1" applyAlignment="1" applyProtection="1">
      <alignment horizontal="right" vertical="center"/>
      <protection locked="0"/>
    </xf>
    <xf numFmtId="167" fontId="3" fillId="48" borderId="314" xfId="2" applyNumberFormat="1" applyFont="1" applyFill="1" applyBorder="1" applyAlignment="1" applyProtection="1">
      <alignment horizontal="right" vertical="center"/>
      <protection locked="0"/>
    </xf>
    <xf numFmtId="43" fontId="3" fillId="48" borderId="314" xfId="2" applyNumberFormat="1" applyFont="1" applyFill="1" applyBorder="1" applyAlignment="1" applyProtection="1">
      <alignment horizontal="right" vertical="center"/>
      <protection locked="0"/>
    </xf>
    <xf numFmtId="9" fontId="0" fillId="48" borderId="304" xfId="5" applyFont="1" applyFill="1" applyBorder="1" applyAlignment="1" applyProtection="1">
      <alignment horizontal="right" vertical="center"/>
      <protection locked="0"/>
    </xf>
    <xf numFmtId="0" fontId="0" fillId="48" borderId="314" xfId="0" applyNumberFormat="1" applyFill="1" applyBorder="1" applyAlignment="1" applyProtection="1">
      <alignment horizontal="right" vertical="center"/>
      <protection locked="0"/>
    </xf>
    <xf numFmtId="43" fontId="16" fillId="48" borderId="341" xfId="4" applyFont="1" applyFill="1" applyBorder="1" applyAlignment="1" applyProtection="1">
      <alignment vertical="center"/>
      <protection locked="0"/>
    </xf>
    <xf numFmtId="43" fontId="16" fillId="48" borderId="314" xfId="4" applyFont="1" applyFill="1" applyBorder="1" applyAlignment="1" applyProtection="1">
      <alignment vertical="center"/>
      <protection locked="0"/>
    </xf>
    <xf numFmtId="167" fontId="0" fillId="48" borderId="57" xfId="4" applyNumberFormat="1" applyFont="1" applyFill="1" applyBorder="1" applyAlignment="1" applyProtection="1">
      <alignment vertical="center"/>
      <protection locked="0"/>
    </xf>
    <xf numFmtId="0" fontId="0" fillId="48" borderId="349" xfId="2" applyNumberFormat="1" applyFont="1" applyFill="1" applyBorder="1" applyAlignment="1" applyProtection="1">
      <alignment vertical="top"/>
      <protection locked="0"/>
    </xf>
    <xf numFmtId="0" fontId="0" fillId="48" borderId="314" xfId="2" applyNumberFormat="1" applyFont="1" applyFill="1" applyBorder="1" applyAlignment="1" applyProtection="1">
      <alignment horizontal="right" vertical="center"/>
      <protection locked="0"/>
    </xf>
    <xf numFmtId="10" fontId="0" fillId="48" borderId="304" xfId="5" applyNumberFormat="1" applyFont="1" applyFill="1" applyBorder="1" applyAlignment="1" applyProtection="1">
      <alignment horizontal="right" vertical="top"/>
      <protection locked="0"/>
    </xf>
    <xf numFmtId="0" fontId="0" fillId="48" borderId="314" xfId="2" applyNumberFormat="1" applyFont="1" applyFill="1" applyBorder="1" applyAlignment="1" applyProtection="1">
      <alignment vertical="top"/>
      <protection locked="0"/>
    </xf>
    <xf numFmtId="0" fontId="0" fillId="48" borderId="354" xfId="2" applyNumberFormat="1" applyFont="1" applyFill="1" applyBorder="1" applyAlignment="1" applyProtection="1">
      <alignment vertical="top"/>
      <protection locked="0"/>
    </xf>
    <xf numFmtId="10" fontId="0" fillId="48" borderId="314" xfId="5" applyNumberFormat="1" applyFont="1" applyFill="1" applyBorder="1" applyAlignment="1" applyProtection="1">
      <alignment horizontal="right" vertical="top"/>
      <protection locked="0"/>
    </xf>
    <xf numFmtId="167" fontId="0" fillId="48" borderId="304" xfId="4" applyNumberFormat="1" applyFont="1" applyFill="1" applyBorder="1" applyAlignment="1" applyProtection="1">
      <alignment vertical="top"/>
      <protection locked="0"/>
    </xf>
    <xf numFmtId="43" fontId="0" fillId="48" borderId="41" xfId="4" applyFont="1" applyFill="1" applyBorder="1" applyAlignment="1" applyProtection="1">
      <protection locked="0"/>
    </xf>
    <xf numFmtId="43" fontId="0" fillId="48" borderId="328" xfId="4" applyFont="1" applyFill="1" applyBorder="1" applyAlignment="1" applyProtection="1">
      <alignment vertical="top"/>
      <protection locked="0"/>
    </xf>
    <xf numFmtId="43" fontId="3" fillId="48" borderId="350" xfId="2" applyFont="1" applyFill="1" applyBorder="1" applyAlignment="1" applyProtection="1">
      <alignment vertical="top"/>
      <protection locked="0"/>
    </xf>
    <xf numFmtId="168" fontId="0" fillId="48" borderId="40" xfId="0" applyNumberFormat="1" applyFill="1" applyBorder="1" applyAlignment="1" applyProtection="1">
      <alignment vertical="top"/>
      <protection locked="0"/>
    </xf>
    <xf numFmtId="167" fontId="3" fillId="48" borderId="349" xfId="2" applyNumberFormat="1" applyFont="1" applyFill="1" applyBorder="1" applyAlignment="1" applyProtection="1">
      <alignment vertical="top"/>
      <protection locked="0"/>
    </xf>
    <xf numFmtId="168" fontId="0" fillId="48" borderId="314" xfId="0" applyNumberFormat="1" applyFill="1" applyBorder="1" applyAlignment="1" applyProtection="1">
      <alignment vertical="top"/>
      <protection locked="0"/>
    </xf>
    <xf numFmtId="168" fontId="0" fillId="48" borderId="357" xfId="0" applyNumberFormat="1" applyFill="1" applyBorder="1" applyAlignment="1" applyProtection="1">
      <alignment vertical="top"/>
      <protection locked="0"/>
    </xf>
    <xf numFmtId="167" fontId="16" fillId="48" borderId="324" xfId="4" applyNumberFormat="1" applyFont="1" applyFill="1" applyBorder="1" applyAlignment="1" applyProtection="1">
      <alignment vertical="top"/>
      <protection locked="0"/>
    </xf>
    <xf numFmtId="9" fontId="16" fillId="48" borderId="326" xfId="5" applyNumberFormat="1" applyFont="1" applyFill="1" applyBorder="1" applyAlignment="1" applyProtection="1">
      <alignment vertical="top"/>
      <protection locked="0"/>
    </xf>
    <xf numFmtId="168" fontId="0" fillId="48" borderId="350" xfId="0" applyNumberFormat="1" applyFill="1" applyBorder="1" applyAlignment="1" applyProtection="1">
      <alignment vertical="center"/>
      <protection locked="0"/>
    </xf>
    <xf numFmtId="167" fontId="0" fillId="48" borderId="328" xfId="4" applyNumberFormat="1" applyFont="1" applyFill="1" applyBorder="1" applyAlignment="1" applyProtection="1">
      <alignment vertical="center"/>
      <protection locked="0"/>
    </xf>
    <xf numFmtId="0" fontId="50" fillId="48" borderId="301" xfId="0" applyFont="1" applyFill="1" applyBorder="1" applyAlignment="1" applyProtection="1">
      <alignment horizontal="right" vertical="center"/>
      <protection locked="0"/>
    </xf>
    <xf numFmtId="0" fontId="50" fillId="48" borderId="282" xfId="0" applyFont="1" applyFill="1" applyBorder="1" applyAlignment="1" applyProtection="1">
      <alignment horizontal="right" vertical="center"/>
      <protection locked="0"/>
    </xf>
    <xf numFmtId="9" fontId="0" fillId="48" borderId="328" xfId="0" applyNumberFormat="1" applyFill="1" applyBorder="1" applyAlignment="1" applyProtection="1">
      <alignment vertical="center"/>
      <protection locked="0"/>
    </xf>
    <xf numFmtId="167" fontId="0" fillId="48" borderId="334" xfId="4" applyNumberFormat="1" applyFont="1" applyFill="1" applyBorder="1" applyAlignment="1" applyProtection="1">
      <alignment vertical="top"/>
      <protection locked="0"/>
    </xf>
    <xf numFmtId="167" fontId="0" fillId="48" borderId="369" xfId="4" applyNumberFormat="1" applyFont="1" applyFill="1" applyBorder="1" applyAlignment="1" applyProtection="1">
      <alignment vertical="top"/>
      <protection locked="0"/>
    </xf>
    <xf numFmtId="43" fontId="0" fillId="48" borderId="369" xfId="4" applyNumberFormat="1" applyFont="1" applyFill="1" applyBorder="1" applyAlignment="1" applyProtection="1">
      <alignment vertical="top"/>
      <protection locked="0"/>
    </xf>
    <xf numFmtId="9" fontId="0" fillId="48" borderId="368" xfId="5" applyFont="1" applyFill="1" applyBorder="1" applyAlignment="1" applyProtection="1">
      <alignment horizontal="right" vertical="top"/>
      <protection locked="0"/>
    </xf>
    <xf numFmtId="43" fontId="0" fillId="48" borderId="40" xfId="4" applyNumberFormat="1" applyFont="1" applyFill="1" applyBorder="1" applyAlignment="1" applyProtection="1">
      <alignment vertical="top"/>
      <protection locked="0"/>
    </xf>
    <xf numFmtId="167" fontId="0" fillId="48" borderId="40" xfId="4" applyNumberFormat="1" applyFont="1" applyFill="1" applyBorder="1" applyAlignment="1" applyProtection="1">
      <alignment vertical="center"/>
      <protection locked="0"/>
    </xf>
    <xf numFmtId="167" fontId="0" fillId="48" borderId="347" xfId="4" applyNumberFormat="1" applyFont="1" applyFill="1" applyBorder="1" applyAlignment="1" applyProtection="1">
      <alignment vertical="center"/>
      <protection locked="0"/>
    </xf>
    <xf numFmtId="43" fontId="0" fillId="48" borderId="328" xfId="4" applyNumberFormat="1" applyFont="1" applyFill="1" applyBorder="1" applyAlignment="1" applyProtection="1">
      <alignment vertical="center"/>
      <protection locked="0"/>
    </xf>
    <xf numFmtId="43" fontId="0" fillId="48" borderId="15" xfId="4" applyFont="1" applyFill="1" applyBorder="1" applyAlignment="1" applyProtection="1">
      <alignment vertical="center"/>
      <protection locked="0"/>
    </xf>
    <xf numFmtId="167" fontId="0" fillId="48" borderId="349" xfId="4" applyNumberFormat="1" applyFont="1" applyFill="1" applyBorder="1" applyAlignment="1" applyProtection="1">
      <alignment vertical="top"/>
      <protection locked="0"/>
    </xf>
    <xf numFmtId="167" fontId="16" fillId="48" borderId="304" xfId="4" applyNumberFormat="1" applyFont="1" applyFill="1" applyBorder="1" applyAlignment="1" applyProtection="1">
      <alignment vertical="top"/>
      <protection locked="0"/>
    </xf>
    <xf numFmtId="167" fontId="16" fillId="48" borderId="347" xfId="4" applyNumberFormat="1" applyFont="1" applyFill="1" applyBorder="1" applyAlignment="1" applyProtection="1">
      <alignment vertical="top"/>
      <protection locked="0"/>
    </xf>
    <xf numFmtId="167" fontId="16" fillId="48" borderId="354" xfId="4" applyNumberFormat="1" applyFont="1" applyFill="1" applyBorder="1" applyAlignment="1" applyProtection="1">
      <alignment vertical="center"/>
      <protection locked="0"/>
    </xf>
    <xf numFmtId="167" fontId="16" fillId="48" borderId="347" xfId="4" applyNumberFormat="1" applyFont="1" applyFill="1" applyBorder="1" applyAlignment="1" applyProtection="1">
      <alignment vertical="center"/>
      <protection locked="0"/>
    </xf>
    <xf numFmtId="167" fontId="0" fillId="48" borderId="314" xfId="4" applyNumberFormat="1" applyFont="1" applyFill="1" applyBorder="1" applyAlignment="1" applyProtection="1">
      <alignment vertical="center"/>
      <protection locked="0"/>
    </xf>
    <xf numFmtId="167" fontId="16" fillId="48" borderId="314" xfId="4" applyNumberFormat="1" applyFont="1" applyFill="1" applyBorder="1" applyAlignment="1" applyProtection="1">
      <alignment vertical="top"/>
      <protection locked="0"/>
    </xf>
    <xf numFmtId="43" fontId="16" fillId="48" borderId="314" xfId="4" applyNumberFormat="1" applyFont="1" applyFill="1" applyBorder="1" applyAlignment="1" applyProtection="1">
      <alignment vertical="top"/>
      <protection locked="0"/>
    </xf>
    <xf numFmtId="0" fontId="0" fillId="48" borderId="314" xfId="0" applyFill="1" applyBorder="1" applyProtection="1">
      <protection locked="0"/>
    </xf>
    <xf numFmtId="166" fontId="16" fillId="48" borderId="314" xfId="4" applyNumberFormat="1" applyFont="1" applyFill="1" applyBorder="1" applyAlignment="1" applyProtection="1">
      <alignment horizontal="center" vertical="top"/>
      <protection locked="0"/>
    </xf>
    <xf numFmtId="169" fontId="0" fillId="48" borderId="341" xfId="4" applyNumberFormat="1" applyFont="1" applyFill="1" applyBorder="1" applyAlignment="1" applyProtection="1">
      <alignment vertical="center"/>
      <protection locked="0"/>
    </xf>
    <xf numFmtId="43" fontId="0" fillId="48" borderId="324" xfId="4" applyFont="1" applyFill="1" applyBorder="1" applyAlignment="1" applyProtection="1">
      <alignment vertical="top"/>
      <protection locked="0"/>
    </xf>
    <xf numFmtId="167" fontId="0" fillId="48" borderId="323" xfId="4" applyNumberFormat="1" applyFont="1" applyFill="1" applyBorder="1" applyProtection="1">
      <protection locked="0"/>
    </xf>
    <xf numFmtId="0" fontId="16" fillId="48" borderId="328" xfId="0" applyNumberFormat="1" applyFont="1" applyFill="1" applyBorder="1" applyAlignment="1" applyProtection="1">
      <alignment vertical="top"/>
      <protection locked="0"/>
    </xf>
    <xf numFmtId="0" fontId="16" fillId="48" borderId="314" xfId="0" applyNumberFormat="1" applyFont="1" applyFill="1" applyBorder="1" applyAlignment="1" applyProtection="1">
      <alignment vertical="top"/>
      <protection locked="0"/>
    </xf>
    <xf numFmtId="43" fontId="0" fillId="48" borderId="41" xfId="4" applyFont="1" applyFill="1" applyBorder="1" applyAlignment="1" applyProtection="1">
      <alignment vertical="top"/>
      <protection locked="0"/>
    </xf>
    <xf numFmtId="9" fontId="0" fillId="48" borderId="314" xfId="5" applyFont="1" applyFill="1" applyBorder="1" applyAlignment="1" applyProtection="1">
      <alignment vertical="center"/>
      <protection locked="0"/>
    </xf>
    <xf numFmtId="9" fontId="0" fillId="48" borderId="314" xfId="5" applyFont="1" applyFill="1" applyBorder="1" applyAlignment="1" applyProtection="1">
      <alignment vertical="top"/>
      <protection locked="0"/>
    </xf>
    <xf numFmtId="0" fontId="16" fillId="48" borderId="314" xfId="0" applyFont="1" applyFill="1" applyBorder="1" applyAlignment="1" applyProtection="1">
      <alignment vertical="center"/>
      <protection locked="0"/>
    </xf>
    <xf numFmtId="167" fontId="16" fillId="48" borderId="328" xfId="4" applyNumberFormat="1" applyFont="1" applyFill="1" applyBorder="1" applyAlignment="1" applyProtection="1">
      <alignment vertical="top"/>
      <protection locked="0"/>
    </xf>
    <xf numFmtId="167" fontId="16" fillId="48" borderId="15" xfId="4" applyNumberFormat="1" applyFont="1" applyFill="1" applyBorder="1" applyAlignment="1" applyProtection="1">
      <alignment vertical="top"/>
      <protection locked="0"/>
    </xf>
    <xf numFmtId="9" fontId="0" fillId="48" borderId="314" xfId="0" applyNumberFormat="1" applyFill="1" applyBorder="1" applyAlignment="1" applyProtection="1">
      <alignment vertical="top"/>
      <protection locked="0"/>
    </xf>
    <xf numFmtId="0" fontId="0" fillId="48" borderId="338" xfId="0" applyNumberFormat="1" applyFill="1" applyBorder="1" applyAlignment="1" applyProtection="1">
      <alignment vertical="center"/>
      <protection locked="0"/>
    </xf>
    <xf numFmtId="0" fontId="0" fillId="48" borderId="374" xfId="0" applyNumberFormat="1" applyFill="1" applyBorder="1" applyAlignment="1" applyProtection="1">
      <alignment vertical="center"/>
      <protection locked="0"/>
    </xf>
    <xf numFmtId="0" fontId="0" fillId="48" borderId="206" xfId="0" applyNumberFormat="1" applyFill="1" applyBorder="1" applyAlignment="1" applyProtection="1">
      <alignment vertical="center"/>
      <protection locked="0"/>
    </xf>
    <xf numFmtId="0" fontId="48" fillId="48" borderId="12" xfId="0" applyFont="1" applyFill="1" applyBorder="1" applyAlignment="1" applyProtection="1">
      <alignment horizontal="left" wrapText="1"/>
      <protection locked="0"/>
    </xf>
    <xf numFmtId="0" fontId="48" fillId="48" borderId="12" xfId="0" applyFont="1" applyFill="1" applyBorder="1" applyAlignment="1" applyProtection="1">
      <alignment horizontal="center"/>
      <protection locked="0"/>
    </xf>
    <xf numFmtId="0" fontId="157" fillId="48" borderId="12" xfId="1" applyFont="1" applyFill="1" applyBorder="1" applyAlignment="1" applyProtection="1">
      <protection locked="0"/>
    </xf>
    <xf numFmtId="0" fontId="48" fillId="48" borderId="12" xfId="0" applyFont="1" applyFill="1" applyBorder="1" applyProtection="1">
      <protection locked="0"/>
    </xf>
    <xf numFmtId="168" fontId="16" fillId="48" borderId="12" xfId="0" applyNumberFormat="1" applyFont="1" applyFill="1" applyBorder="1" applyAlignment="1" applyProtection="1">
      <alignment horizontal="right" vertical="center"/>
      <protection locked="0"/>
    </xf>
    <xf numFmtId="167" fontId="16" fillId="48" borderId="12" xfId="4" applyNumberFormat="1" applyFont="1" applyFill="1" applyBorder="1" applyAlignment="1" applyProtection="1">
      <alignment vertical="top"/>
      <protection locked="0"/>
    </xf>
    <xf numFmtId="167" fontId="16" fillId="48" borderId="12" xfId="4" applyNumberFormat="1" applyFont="1" applyFill="1" applyBorder="1" applyAlignment="1" applyProtection="1">
      <alignment vertical="center"/>
      <protection locked="0"/>
    </xf>
    <xf numFmtId="167" fontId="16" fillId="48" borderId="12" xfId="4" applyNumberFormat="1" applyFont="1" applyFill="1" applyBorder="1" applyAlignment="1" applyProtection="1">
      <alignment horizontal="center" vertical="top"/>
      <protection locked="0"/>
    </xf>
    <xf numFmtId="43" fontId="3" fillId="48" borderId="12" xfId="4" applyFont="1" applyFill="1" applyBorder="1" applyAlignment="1" applyProtection="1">
      <alignment horizontal="right" vertical="top"/>
      <protection locked="0"/>
    </xf>
    <xf numFmtId="43" fontId="16" fillId="48" borderId="12" xfId="4" applyFont="1" applyFill="1" applyBorder="1" applyAlignment="1" applyProtection="1">
      <alignment vertical="top"/>
      <protection locked="0"/>
    </xf>
    <xf numFmtId="10" fontId="16" fillId="48" borderId="12" xfId="0" applyNumberFormat="1" applyFont="1" applyFill="1" applyBorder="1" applyAlignment="1" applyProtection="1">
      <alignment vertical="top"/>
      <protection locked="0"/>
    </xf>
    <xf numFmtId="43" fontId="16" fillId="48" borderId="12" xfId="2" applyFont="1" applyFill="1" applyBorder="1" applyAlignment="1" applyProtection="1">
      <alignment vertical="top"/>
      <protection locked="0"/>
    </xf>
    <xf numFmtId="10" fontId="16" fillId="48" borderId="12" xfId="2" applyNumberFormat="1" applyFont="1" applyFill="1" applyBorder="1" applyAlignment="1" applyProtection="1">
      <alignment vertical="top"/>
      <protection locked="0"/>
    </xf>
    <xf numFmtId="43" fontId="3" fillId="48" borderId="12" xfId="2" applyFont="1" applyFill="1" applyBorder="1" applyAlignment="1" applyProtection="1">
      <alignment vertical="top"/>
      <protection locked="0"/>
    </xf>
    <xf numFmtId="10" fontId="3" fillId="48" borderId="12" xfId="2" applyNumberFormat="1" applyFont="1" applyFill="1" applyBorder="1" applyAlignment="1" applyProtection="1">
      <alignment vertical="top"/>
      <protection locked="0"/>
    </xf>
    <xf numFmtId="43" fontId="16" fillId="48" borderId="12" xfId="2" applyFont="1" applyFill="1" applyBorder="1" applyAlignment="1" applyProtection="1">
      <alignment horizontal="center" vertical="center"/>
      <protection locked="0"/>
    </xf>
    <xf numFmtId="167" fontId="16" fillId="48" borderId="12" xfId="2" applyNumberFormat="1" applyFont="1" applyFill="1" applyBorder="1" applyAlignment="1" applyProtection="1">
      <alignment vertical="center"/>
      <protection locked="0"/>
    </xf>
    <xf numFmtId="167" fontId="16" fillId="48" borderId="12" xfId="2" applyNumberFormat="1" applyFont="1" applyFill="1" applyBorder="1" applyAlignment="1" applyProtection="1">
      <alignment vertical="top"/>
      <protection locked="0"/>
    </xf>
    <xf numFmtId="167" fontId="3" fillId="48" borderId="12" xfId="2" applyNumberFormat="1" applyFont="1" applyFill="1" applyBorder="1" applyAlignment="1" applyProtection="1">
      <alignment vertical="top"/>
      <protection locked="0"/>
    </xf>
    <xf numFmtId="168" fontId="16" fillId="48" borderId="12" xfId="5" applyNumberFormat="1" applyFont="1" applyFill="1" applyBorder="1" applyAlignment="1" applyProtection="1">
      <alignment vertical="center"/>
      <protection locked="0"/>
    </xf>
    <xf numFmtId="43" fontId="16" fillId="48" borderId="12" xfId="2" applyFont="1" applyFill="1" applyBorder="1" applyAlignment="1" applyProtection="1">
      <alignment vertical="center"/>
      <protection locked="0"/>
    </xf>
    <xf numFmtId="167" fontId="16" fillId="48" borderId="12" xfId="2" applyNumberFormat="1" applyFont="1" applyFill="1" applyBorder="1" applyAlignment="1" applyProtection="1">
      <alignment horizontal="center" vertical="top"/>
      <protection locked="0"/>
    </xf>
    <xf numFmtId="10" fontId="16" fillId="48" borderId="12" xfId="5" applyNumberFormat="1" applyFont="1" applyFill="1" applyBorder="1" applyAlignment="1" applyProtection="1">
      <alignment vertical="top"/>
      <protection locked="0"/>
    </xf>
    <xf numFmtId="168" fontId="16" fillId="48" borderId="12" xfId="2" applyNumberFormat="1" applyFont="1" applyFill="1" applyBorder="1" applyAlignment="1" applyProtection="1">
      <alignment vertical="top"/>
      <protection locked="0"/>
    </xf>
    <xf numFmtId="1" fontId="16" fillId="48" borderId="12" xfId="4" applyNumberFormat="1" applyFont="1" applyFill="1" applyBorder="1" applyAlignment="1" applyProtection="1">
      <protection locked="0"/>
    </xf>
    <xf numFmtId="168" fontId="16" fillId="48" borderId="13" xfId="5" applyNumberFormat="1" applyFont="1" applyFill="1" applyBorder="1" applyAlignment="1" applyProtection="1">
      <alignment vertical="center"/>
      <protection locked="0"/>
    </xf>
    <xf numFmtId="169" fontId="16" fillId="48" borderId="12" xfId="4" applyNumberFormat="1" applyFont="1" applyFill="1" applyBorder="1" applyAlignment="1" applyProtection="1">
      <alignment vertical="top"/>
      <protection locked="0"/>
    </xf>
    <xf numFmtId="169" fontId="16" fillId="48" borderId="17" xfId="4" applyNumberFormat="1" applyFont="1" applyFill="1" applyBorder="1" applyAlignment="1" applyProtection="1">
      <alignment vertical="center"/>
      <protection locked="0"/>
    </xf>
    <xf numFmtId="9" fontId="16" fillId="48" borderId="12" xfId="5" applyFont="1" applyFill="1" applyBorder="1" applyAlignment="1" applyProtection="1">
      <alignment vertical="center"/>
      <protection locked="0"/>
    </xf>
    <xf numFmtId="169" fontId="16" fillId="48" borderId="12" xfId="4" applyNumberFormat="1" applyFont="1" applyFill="1" applyBorder="1" applyAlignment="1" applyProtection="1">
      <alignment vertical="center"/>
      <protection locked="0"/>
    </xf>
    <xf numFmtId="167" fontId="16" fillId="48" borderId="12" xfId="2" applyNumberFormat="1" applyFont="1" applyFill="1" applyBorder="1" applyAlignment="1" applyProtection="1">
      <alignment horizontal="right" vertical="center"/>
      <protection locked="0"/>
    </xf>
    <xf numFmtId="169" fontId="16" fillId="48" borderId="12" xfId="2" applyNumberFormat="1" applyFont="1" applyFill="1" applyBorder="1" applyAlignment="1" applyProtection="1">
      <alignment vertical="center"/>
      <protection locked="0"/>
    </xf>
    <xf numFmtId="167" fontId="16" fillId="48" borderId="18" xfId="2" applyNumberFormat="1" applyFont="1" applyFill="1" applyBorder="1" applyAlignment="1" applyProtection="1">
      <alignment vertical="center"/>
      <protection locked="0"/>
    </xf>
    <xf numFmtId="167" fontId="16" fillId="48" borderId="12" xfId="2" applyNumberFormat="1" applyFont="1" applyFill="1" applyBorder="1" applyAlignment="1" applyProtection="1">
      <alignment horizontal="center" vertical="center" wrapText="1"/>
      <protection locked="0"/>
    </xf>
    <xf numFmtId="167" fontId="16" fillId="48" borderId="116" xfId="2" applyNumberFormat="1" applyFont="1" applyFill="1" applyBorder="1" applyAlignment="1" applyProtection="1">
      <alignment horizontal="center" vertical="top"/>
      <protection locked="0"/>
    </xf>
    <xf numFmtId="167" fontId="16" fillId="48" borderId="17" xfId="2" applyNumberFormat="1" applyFont="1" applyFill="1" applyBorder="1" applyAlignment="1" applyProtection="1">
      <alignment horizontal="center" vertical="center" wrapText="1"/>
      <protection locked="0"/>
    </xf>
    <xf numFmtId="167" fontId="16" fillId="48" borderId="15" xfId="2" applyNumberFormat="1" applyFont="1" applyFill="1" applyBorder="1" applyAlignment="1" applyProtection="1">
      <alignment horizontal="center" vertical="top"/>
      <protection locked="0"/>
    </xf>
    <xf numFmtId="9" fontId="16" fillId="48" borderId="12" xfId="3" applyFont="1" applyFill="1" applyBorder="1" applyAlignment="1" applyProtection="1">
      <alignment vertical="center"/>
      <protection locked="0"/>
    </xf>
    <xf numFmtId="167" fontId="3" fillId="48" borderId="12" xfId="4" applyNumberFormat="1" applyFont="1" applyFill="1" applyBorder="1" applyAlignment="1" applyProtection="1">
      <alignment vertical="top"/>
      <protection locked="0"/>
    </xf>
    <xf numFmtId="167" fontId="0" fillId="48" borderId="12" xfId="2" applyNumberFormat="1" applyFont="1" applyFill="1" applyBorder="1" applyAlignment="1" applyProtection="1">
      <alignment vertical="top"/>
      <protection locked="0"/>
    </xf>
    <xf numFmtId="9" fontId="16" fillId="48" borderId="12" xfId="0" applyNumberFormat="1" applyFont="1" applyFill="1" applyBorder="1" applyAlignment="1" applyProtection="1">
      <alignment vertical="center"/>
      <protection locked="0"/>
    </xf>
    <xf numFmtId="169" fontId="3" fillId="48" borderId="12" xfId="4" applyNumberFormat="1" applyFont="1" applyFill="1" applyBorder="1" applyAlignment="1" applyProtection="1">
      <alignment horizontal="center" vertical="top"/>
      <protection locked="0"/>
    </xf>
    <xf numFmtId="167" fontId="3" fillId="48" borderId="12" xfId="4" applyNumberFormat="1" applyFont="1" applyFill="1" applyBorder="1" applyAlignment="1" applyProtection="1">
      <alignment horizontal="center" vertical="top"/>
      <protection locked="0"/>
    </xf>
    <xf numFmtId="1" fontId="16" fillId="48" borderId="12" xfId="4" applyNumberFormat="1" applyFont="1" applyFill="1" applyBorder="1" applyAlignment="1" applyProtection="1">
      <alignment horizontal="center" vertical="top"/>
      <protection locked="0"/>
    </xf>
    <xf numFmtId="43" fontId="16" fillId="48" borderId="12" xfId="4" applyFont="1" applyFill="1" applyBorder="1" applyAlignment="1" applyProtection="1">
      <alignment horizontal="center" vertical="center"/>
      <protection locked="0"/>
    </xf>
    <xf numFmtId="169" fontId="3" fillId="48" borderId="12" xfId="4" applyNumberFormat="1" applyFont="1" applyFill="1" applyBorder="1" applyAlignment="1" applyProtection="1">
      <alignment vertical="top"/>
      <protection locked="0"/>
    </xf>
    <xf numFmtId="9" fontId="3" fillId="48" borderId="12" xfId="5" applyFont="1" applyFill="1" applyBorder="1" applyAlignment="1" applyProtection="1">
      <alignment horizontal="right" vertical="center"/>
      <protection locked="0"/>
    </xf>
    <xf numFmtId="9" fontId="16" fillId="48" borderId="12" xfId="5" applyFont="1" applyFill="1" applyBorder="1" applyAlignment="1" applyProtection="1">
      <alignment horizontal="right" vertical="center"/>
      <protection locked="0"/>
    </xf>
    <xf numFmtId="0" fontId="0" fillId="48" borderId="12" xfId="0" applyFill="1" applyBorder="1" applyAlignment="1" applyProtection="1">
      <alignment horizontal="right" vertical="top"/>
      <protection locked="0"/>
    </xf>
    <xf numFmtId="167" fontId="16" fillId="48" borderId="16" xfId="2" applyNumberFormat="1" applyFont="1" applyFill="1" applyBorder="1" applyAlignment="1" applyProtection="1">
      <alignment horizontal="center" vertical="top"/>
      <protection locked="0"/>
    </xf>
    <xf numFmtId="167" fontId="16" fillId="48" borderId="114" xfId="2" applyNumberFormat="1" applyFont="1" applyFill="1" applyBorder="1" applyAlignment="1" applyProtection="1">
      <alignment horizontal="center" vertical="top" wrapText="1"/>
      <protection locked="0"/>
    </xf>
    <xf numFmtId="168" fontId="16" fillId="48" borderId="12" xfId="0" applyNumberFormat="1" applyFont="1" applyFill="1" applyBorder="1" applyAlignment="1" applyProtection="1">
      <alignment vertical="top"/>
      <protection locked="0"/>
    </xf>
    <xf numFmtId="43" fontId="36" fillId="48" borderId="12" xfId="4" applyFont="1" applyFill="1" applyBorder="1" applyAlignment="1" applyProtection="1">
      <alignment horizontal="center" vertical="center"/>
      <protection locked="0"/>
    </xf>
    <xf numFmtId="43" fontId="53" fillId="48" borderId="12" xfId="4" applyFont="1" applyFill="1" applyBorder="1" applyAlignment="1" applyProtection="1">
      <alignment vertical="top"/>
      <protection locked="0"/>
    </xf>
    <xf numFmtId="0" fontId="6" fillId="25" borderId="0" xfId="0" applyFont="1" applyFill="1" applyBorder="1" applyProtection="1">
      <protection locked="0"/>
    </xf>
    <xf numFmtId="0" fontId="259" fillId="25" borderId="0" xfId="0" applyFont="1" applyFill="1" applyBorder="1" applyAlignment="1" applyProtection="1">
      <alignment vertical="center"/>
      <protection locked="0"/>
    </xf>
    <xf numFmtId="0" fontId="6" fillId="25" borderId="0" xfId="0" applyFont="1" applyFill="1" applyBorder="1" applyAlignment="1" applyProtection="1">
      <alignment horizontal="left" indent="1"/>
      <protection locked="0"/>
    </xf>
    <xf numFmtId="0" fontId="6" fillId="25" borderId="0" xfId="0" applyFont="1" applyFill="1" applyBorder="1" applyAlignment="1" applyProtection="1">
      <alignment horizontal="left" indent="1"/>
    </xf>
    <xf numFmtId="0" fontId="7" fillId="25" borderId="0" xfId="0" applyFont="1" applyFill="1" applyBorder="1" applyAlignment="1" applyProtection="1">
      <alignment vertical="center"/>
    </xf>
    <xf numFmtId="0" fontId="6" fillId="25" borderId="12" xfId="0" applyFont="1" applyFill="1" applyBorder="1" applyAlignment="1" applyProtection="1">
      <alignment horizontal="left" vertical="center"/>
    </xf>
    <xf numFmtId="0" fontId="6" fillId="25" borderId="0" xfId="0" applyFont="1" applyFill="1" applyBorder="1" applyAlignment="1" applyProtection="1">
      <alignment horizontal="left" vertical="center"/>
    </xf>
    <xf numFmtId="0" fontId="6" fillId="25" borderId="0" xfId="0" applyFont="1" applyFill="1" applyBorder="1" applyAlignment="1" applyProtection="1">
      <alignment horizontal="left" vertical="center" wrapText="1"/>
    </xf>
    <xf numFmtId="0" fontId="6" fillId="25" borderId="12" xfId="0" applyFont="1" applyFill="1" applyBorder="1" applyAlignment="1" applyProtection="1">
      <alignment horizontal="left" vertical="center" wrapText="1"/>
    </xf>
    <xf numFmtId="0" fontId="11" fillId="48" borderId="165" xfId="0" applyFont="1" applyFill="1" applyBorder="1" applyAlignment="1" applyProtection="1">
      <alignment horizontal="center" vertical="center" wrapText="1"/>
    </xf>
    <xf numFmtId="0" fontId="11" fillId="48" borderId="166" xfId="0" applyFont="1" applyFill="1" applyBorder="1" applyAlignment="1" applyProtection="1">
      <alignment horizontal="center" vertical="center" wrapText="1"/>
    </xf>
    <xf numFmtId="169" fontId="3" fillId="48" borderId="114" xfId="4" applyNumberFormat="1" applyFont="1" applyFill="1" applyBorder="1" applyAlignment="1" applyProtection="1">
      <alignment vertical="center"/>
      <protection locked="0"/>
    </xf>
    <xf numFmtId="169" fontId="3" fillId="48" borderId="12" xfId="4" applyNumberFormat="1" applyFont="1" applyFill="1" applyBorder="1" applyAlignment="1" applyProtection="1">
      <alignment vertical="center"/>
      <protection locked="0"/>
    </xf>
    <xf numFmtId="167" fontId="3" fillId="48" borderId="381" xfId="4" applyNumberFormat="1" applyFont="1" applyFill="1" applyBorder="1" applyAlignment="1" applyProtection="1">
      <alignment horizontal="right" vertical="center"/>
      <protection locked="0"/>
    </xf>
    <xf numFmtId="167" fontId="16" fillId="48" borderId="381" xfId="4" applyNumberFormat="1" applyFont="1" applyFill="1" applyBorder="1" applyAlignment="1" applyProtection="1">
      <alignment horizontal="right" vertical="center"/>
      <protection locked="0"/>
    </xf>
    <xf numFmtId="167" fontId="3" fillId="48" borderId="381" xfId="4" applyNumberFormat="1" applyFont="1" applyFill="1" applyBorder="1" applyAlignment="1" applyProtection="1">
      <alignment vertical="top"/>
      <protection locked="0"/>
    </xf>
    <xf numFmtId="167" fontId="16" fillId="48" borderId="381" xfId="0" applyNumberFormat="1" applyFont="1" applyFill="1" applyBorder="1" applyAlignment="1" applyProtection="1">
      <alignment vertical="center"/>
      <protection locked="0"/>
    </xf>
    <xf numFmtId="9" fontId="16" fillId="48" borderId="381" xfId="0" applyNumberFormat="1" applyFont="1" applyFill="1" applyBorder="1" applyAlignment="1" applyProtection="1">
      <alignment horizontal="center" vertical="center"/>
      <protection locked="0"/>
    </xf>
    <xf numFmtId="0" fontId="16" fillId="48" borderId="381" xfId="0" applyFont="1" applyFill="1" applyBorder="1" applyAlignment="1" applyProtection="1">
      <alignment horizontal="center" vertical="center"/>
      <protection locked="0"/>
    </xf>
    <xf numFmtId="9" fontId="53" fillId="48" borderId="335" xfId="5" applyFont="1" applyFill="1" applyBorder="1" applyAlignment="1" applyProtection="1">
      <alignment horizontal="center" vertical="center" wrapText="1"/>
      <protection locked="0"/>
    </xf>
    <xf numFmtId="9" fontId="53" fillId="48" borderId="335" xfId="5" applyFont="1" applyFill="1" applyBorder="1" applyAlignment="1" applyProtection="1">
      <alignment horizontal="center" vertical="center"/>
      <protection locked="0"/>
    </xf>
    <xf numFmtId="9" fontId="16" fillId="48" borderId="335" xfId="5" applyFont="1" applyFill="1" applyBorder="1" applyAlignment="1" applyProtection="1">
      <alignment horizontal="center" vertical="center"/>
      <protection locked="0"/>
    </xf>
    <xf numFmtId="9" fontId="16" fillId="48" borderId="387" xfId="5" applyFont="1" applyFill="1" applyBorder="1" applyAlignment="1" applyProtection="1">
      <alignment horizontal="center" vertical="center"/>
      <protection locked="0"/>
    </xf>
    <xf numFmtId="0" fontId="90" fillId="48" borderId="315" xfId="0" applyFont="1" applyFill="1" applyBorder="1" applyAlignment="1" applyProtection="1">
      <alignment vertical="center" wrapText="1"/>
      <protection locked="0"/>
    </xf>
    <xf numFmtId="0" fontId="90" fillId="48" borderId="315" xfId="0" applyFont="1" applyFill="1" applyBorder="1" applyAlignment="1" applyProtection="1">
      <protection locked="0"/>
    </xf>
    <xf numFmtId="1" fontId="0" fillId="48" borderId="315" xfId="2" applyNumberFormat="1" applyFont="1" applyFill="1" applyBorder="1" applyAlignment="1" applyProtection="1">
      <alignment vertical="center"/>
      <protection locked="0"/>
    </xf>
    <xf numFmtId="1" fontId="0" fillId="48" borderId="304" xfId="2" applyNumberFormat="1" applyFont="1" applyFill="1" applyBorder="1" applyAlignment="1" applyProtection="1">
      <alignment vertical="center"/>
      <protection locked="0"/>
    </xf>
    <xf numFmtId="9" fontId="53" fillId="48" borderId="313" xfId="5" applyFont="1" applyFill="1" applyBorder="1" applyAlignment="1" applyProtection="1">
      <alignment horizontal="center" vertical="center" wrapText="1"/>
      <protection locked="0"/>
    </xf>
    <xf numFmtId="9" fontId="53" fillId="48" borderId="313" xfId="5" applyNumberFormat="1" applyFont="1" applyFill="1" applyBorder="1" applyAlignment="1" applyProtection="1">
      <alignment horizontal="center" vertical="center"/>
      <protection locked="0"/>
    </xf>
    <xf numFmtId="9" fontId="53" fillId="48" borderId="313" xfId="5" applyFont="1" applyFill="1" applyBorder="1" applyAlignment="1" applyProtection="1">
      <alignment horizontal="center"/>
      <protection locked="0"/>
    </xf>
    <xf numFmtId="9" fontId="16" fillId="48" borderId="313" xfId="5" applyNumberFormat="1" applyFont="1" applyFill="1" applyBorder="1" applyAlignment="1" applyProtection="1">
      <alignment horizontal="center" vertical="center"/>
      <protection locked="0"/>
    </xf>
    <xf numFmtId="9" fontId="53" fillId="48" borderId="310" xfId="5" applyNumberFormat="1" applyFont="1" applyFill="1" applyBorder="1" applyAlignment="1" applyProtection="1">
      <alignment horizontal="center" vertical="center" wrapText="1"/>
      <protection locked="0"/>
    </xf>
    <xf numFmtId="9" fontId="53" fillId="48" borderId="310" xfId="5" applyNumberFormat="1" applyFont="1" applyFill="1" applyBorder="1" applyAlignment="1" applyProtection="1">
      <alignment horizontal="center" vertical="center"/>
      <protection locked="0"/>
    </xf>
    <xf numFmtId="9" fontId="16" fillId="48" borderId="310" xfId="5" applyNumberFormat="1" applyFont="1" applyFill="1" applyBorder="1" applyAlignment="1" applyProtection="1">
      <alignment horizontal="center" vertical="center"/>
      <protection locked="0"/>
    </xf>
    <xf numFmtId="9" fontId="16" fillId="48" borderId="353" xfId="5" applyNumberFormat="1" applyFont="1" applyFill="1" applyBorder="1" applyAlignment="1" applyProtection="1">
      <alignment horizontal="center" vertical="center"/>
      <protection locked="0"/>
    </xf>
    <xf numFmtId="9" fontId="53" fillId="48" borderId="314" xfId="5" applyFont="1" applyFill="1" applyBorder="1" applyAlignment="1" applyProtection="1">
      <alignment horizontal="center" vertical="center" wrapText="1"/>
      <protection locked="0"/>
    </xf>
    <xf numFmtId="9" fontId="53" fillId="48" borderId="315" xfId="5" applyFont="1" applyFill="1" applyBorder="1" applyAlignment="1" applyProtection="1">
      <alignment horizontal="center" vertical="center" wrapText="1"/>
      <protection locked="0"/>
    </xf>
    <xf numFmtId="9" fontId="53" fillId="48" borderId="304" xfId="5" applyFont="1" applyFill="1" applyBorder="1" applyAlignment="1" applyProtection="1">
      <alignment horizontal="center" vertical="center" wrapText="1"/>
      <protection locked="0"/>
    </xf>
    <xf numFmtId="9" fontId="53" fillId="48" borderId="323" xfId="5" applyFont="1" applyFill="1" applyBorder="1" applyAlignment="1" applyProtection="1">
      <alignment horizontal="center" vertical="center" wrapText="1"/>
      <protection locked="0"/>
    </xf>
    <xf numFmtId="9" fontId="53" fillId="48" borderId="388" xfId="5" applyFont="1" applyFill="1" applyBorder="1" applyAlignment="1" applyProtection="1">
      <alignment horizontal="center" vertical="center" wrapText="1"/>
      <protection locked="0"/>
    </xf>
    <xf numFmtId="9" fontId="53" fillId="48" borderId="324" xfId="5" applyFont="1" applyFill="1" applyBorder="1" applyAlignment="1" applyProtection="1">
      <alignment horizontal="center" vertical="center" wrapText="1"/>
      <protection locked="0"/>
    </xf>
    <xf numFmtId="9" fontId="53" fillId="48" borderId="206" xfId="5" applyFont="1" applyFill="1" applyBorder="1" applyAlignment="1" applyProtection="1">
      <alignment horizontal="center" vertical="center" wrapText="1"/>
      <protection locked="0"/>
    </xf>
    <xf numFmtId="9" fontId="53" fillId="48" borderId="290" xfId="5" applyFont="1" applyFill="1" applyBorder="1" applyAlignment="1" applyProtection="1">
      <alignment horizontal="center" vertical="center" wrapText="1"/>
      <protection locked="0"/>
    </xf>
    <xf numFmtId="9" fontId="53" fillId="48" borderId="325" xfId="5" applyFont="1" applyFill="1" applyBorder="1" applyAlignment="1" applyProtection="1">
      <alignment horizontal="center" vertical="center" wrapText="1"/>
      <protection locked="0"/>
    </xf>
    <xf numFmtId="9" fontId="53" fillId="48" borderId="389" xfId="5" applyFont="1" applyFill="1" applyBorder="1" applyAlignment="1" applyProtection="1">
      <alignment horizontal="center" vertical="center" wrapText="1"/>
      <protection locked="0"/>
    </xf>
    <xf numFmtId="9" fontId="53" fillId="48" borderId="326" xfId="5" applyFont="1" applyFill="1" applyBorder="1" applyAlignment="1" applyProtection="1">
      <alignment horizontal="center" vertical="center" wrapText="1"/>
      <protection locked="0"/>
    </xf>
    <xf numFmtId="0" fontId="25" fillId="53" borderId="13" xfId="2" applyNumberFormat="1" applyFont="1" applyFill="1" applyBorder="1" applyAlignment="1" applyProtection="1">
      <alignment horizontal="left" vertical="center" indent="1"/>
      <protection locked="0"/>
    </xf>
    <xf numFmtId="0" fontId="25" fillId="54" borderId="15" xfId="2" applyNumberFormat="1" applyFont="1" applyFill="1" applyBorder="1" applyAlignment="1" applyProtection="1">
      <alignment horizontal="right" vertical="center" indent="1"/>
      <protection locked="0"/>
    </xf>
    <xf numFmtId="0" fontId="25" fillId="53" borderId="14" xfId="2" applyNumberFormat="1" applyFont="1" applyFill="1" applyBorder="1" applyAlignment="1" applyProtection="1">
      <alignment horizontal="left" vertical="center"/>
      <protection locked="0"/>
    </xf>
    <xf numFmtId="0" fontId="25" fillId="53" borderId="13" xfId="2" applyNumberFormat="1" applyFont="1" applyFill="1" applyBorder="1" applyAlignment="1" applyProtection="1">
      <alignment horizontal="left" vertical="center"/>
      <protection locked="0"/>
    </xf>
    <xf numFmtId="0" fontId="25" fillId="53" borderId="14" xfId="2" applyNumberFormat="1" applyFont="1" applyFill="1" applyBorder="1" applyAlignment="1" applyProtection="1">
      <alignment horizontal="left" vertical="center" indent="1"/>
      <protection locked="0"/>
    </xf>
    <xf numFmtId="0" fontId="25" fillId="53" borderId="42" xfId="2" applyNumberFormat="1" applyFont="1" applyFill="1" applyBorder="1" applyAlignment="1" applyProtection="1">
      <alignment horizontal="left" vertical="center" indent="1"/>
      <protection locked="0"/>
    </xf>
    <xf numFmtId="0" fontId="25" fillId="53" borderId="20" xfId="2" applyNumberFormat="1" applyFont="1" applyFill="1" applyBorder="1" applyAlignment="1" applyProtection="1">
      <alignment horizontal="left" vertical="center" indent="1"/>
      <protection locked="0"/>
    </xf>
    <xf numFmtId="0" fontId="25" fillId="54" borderId="57" xfId="2" applyNumberFormat="1" applyFont="1" applyFill="1" applyBorder="1" applyAlignment="1" applyProtection="1">
      <alignment horizontal="right" vertical="center" indent="1"/>
      <protection locked="0"/>
    </xf>
    <xf numFmtId="0" fontId="25" fillId="54" borderId="15" xfId="2" applyNumberFormat="1" applyFont="1" applyFill="1" applyBorder="1" applyAlignment="1" applyProtection="1">
      <alignment horizontal="right" vertical="center"/>
      <protection locked="0"/>
    </xf>
    <xf numFmtId="0" fontId="25" fillId="54" borderId="57" xfId="2" applyNumberFormat="1" applyFont="1" applyFill="1" applyBorder="1" applyAlignment="1" applyProtection="1">
      <alignment horizontal="right" vertical="center"/>
      <protection locked="0"/>
    </xf>
    <xf numFmtId="0" fontId="25" fillId="54" borderId="41" xfId="2" applyNumberFormat="1" applyFont="1" applyFill="1" applyBorder="1" applyAlignment="1" applyProtection="1">
      <alignment horizontal="right" vertical="center" indent="1"/>
      <protection locked="0"/>
    </xf>
    <xf numFmtId="0" fontId="25" fillId="54" borderId="40" xfId="2" applyNumberFormat="1" applyFont="1" applyFill="1" applyBorder="1" applyAlignment="1" applyProtection="1">
      <alignment horizontal="right" vertical="center" indent="1"/>
      <protection locked="0"/>
    </xf>
    <xf numFmtId="0" fontId="46" fillId="53" borderId="13" xfId="2" applyNumberFormat="1" applyFont="1" applyFill="1" applyBorder="1" applyAlignment="1" applyProtection="1">
      <alignment horizontal="left" vertical="center" indent="1"/>
      <protection locked="0"/>
    </xf>
    <xf numFmtId="0" fontId="25" fillId="53" borderId="44" xfId="2" applyNumberFormat="1" applyFont="1" applyFill="1" applyBorder="1" applyAlignment="1" applyProtection="1">
      <alignment horizontal="left" vertical="center" indent="1"/>
      <protection locked="0"/>
    </xf>
    <xf numFmtId="166" fontId="16" fillId="48" borderId="313" xfId="4" applyNumberFormat="1" applyFont="1" applyFill="1" applyBorder="1" applyAlignment="1" applyProtection="1">
      <alignment horizontal="center" vertical="center"/>
      <protection locked="0"/>
    </xf>
    <xf numFmtId="166" fontId="16" fillId="48" borderId="314" xfId="4" applyNumberFormat="1" applyFont="1" applyFill="1" applyBorder="1" applyAlignment="1" applyProtection="1">
      <alignment horizontal="center" vertical="center"/>
      <protection locked="0"/>
    </xf>
    <xf numFmtId="1" fontId="264" fillId="3" borderId="311" xfId="0" applyNumberFormat="1" applyFont="1" applyFill="1" applyBorder="1" applyAlignment="1" applyProtection="1">
      <alignment horizontal="center"/>
    </xf>
    <xf numFmtId="1" fontId="264" fillId="3" borderId="308" xfId="0" applyNumberFormat="1" applyFont="1" applyFill="1" applyBorder="1" applyAlignment="1" applyProtection="1">
      <alignment horizontal="center"/>
    </xf>
    <xf numFmtId="1" fontId="264" fillId="3" borderId="309" xfId="0" applyNumberFormat="1" applyFont="1" applyFill="1" applyBorder="1" applyAlignment="1" applyProtection="1">
      <alignment horizontal="center"/>
    </xf>
    <xf numFmtId="0" fontId="265" fillId="3" borderId="339" xfId="0" applyFont="1" applyFill="1" applyBorder="1" applyAlignment="1" applyProtection="1">
      <alignment horizontal="right" vertical="center" wrapText="1"/>
    </xf>
    <xf numFmtId="1" fontId="264" fillId="3" borderId="206" xfId="0" applyNumberFormat="1" applyFont="1" applyFill="1" applyBorder="1" applyAlignment="1" applyProtection="1">
      <alignment horizontal="center"/>
    </xf>
    <xf numFmtId="1" fontId="264" fillId="3" borderId="310" xfId="0" applyNumberFormat="1" applyFont="1" applyFill="1" applyBorder="1" applyAlignment="1" applyProtection="1">
      <alignment horizontal="center"/>
    </xf>
    <xf numFmtId="1" fontId="264" fillId="3" borderId="353" xfId="0" applyNumberFormat="1" applyFont="1" applyFill="1" applyBorder="1" applyAlignment="1" applyProtection="1">
      <alignment horizontal="center"/>
    </xf>
    <xf numFmtId="1" fontId="264" fillId="3" borderId="311" xfId="0" applyNumberFormat="1" applyFont="1" applyFill="1" applyBorder="1" applyAlignment="1" applyProtection="1">
      <alignment horizontal="center" vertical="center"/>
    </xf>
    <xf numFmtId="1" fontId="264" fillId="3" borderId="312" xfId="0" applyNumberFormat="1" applyFont="1" applyFill="1" applyBorder="1" applyAlignment="1" applyProtection="1">
      <alignment horizontal="center" vertical="center"/>
    </xf>
    <xf numFmtId="0" fontId="199" fillId="3" borderId="206" xfId="0" applyFont="1" applyFill="1" applyBorder="1" applyAlignment="1" applyProtection="1">
      <alignment horizontal="center" vertical="center"/>
    </xf>
    <xf numFmtId="0" fontId="265" fillId="3" borderId="339" xfId="0" applyFont="1" applyFill="1" applyBorder="1" applyAlignment="1" applyProtection="1">
      <alignment horizontal="right" wrapText="1"/>
    </xf>
    <xf numFmtId="43" fontId="199" fillId="3" borderId="206" xfId="0" applyNumberFormat="1" applyFont="1" applyFill="1" applyBorder="1" applyAlignment="1" applyProtection="1">
      <alignment horizontal="center" vertical="center" wrapText="1"/>
    </xf>
    <xf numFmtId="43" fontId="199" fillId="3" borderId="290" xfId="0" applyNumberFormat="1" applyFont="1" applyFill="1" applyBorder="1" applyAlignment="1" applyProtection="1">
      <alignment horizontal="center" vertical="center" wrapText="1"/>
    </xf>
    <xf numFmtId="0" fontId="265" fillId="3" borderId="206" xfId="0" applyFont="1" applyFill="1" applyBorder="1" applyAlignment="1" applyProtection="1">
      <alignment horizontal="right" wrapText="1"/>
    </xf>
    <xf numFmtId="1" fontId="264" fillId="3" borderId="312" xfId="0" applyNumberFormat="1" applyFont="1" applyFill="1" applyBorder="1" applyAlignment="1" applyProtection="1">
      <alignment horizontal="center"/>
    </xf>
    <xf numFmtId="0" fontId="266" fillId="3" borderId="206" xfId="0" applyFont="1" applyFill="1" applyBorder="1" applyAlignment="1" applyProtection="1">
      <alignment horizontal="center" vertical="center" wrapText="1"/>
    </xf>
    <xf numFmtId="0" fontId="46" fillId="53" borderId="13" xfId="2" applyNumberFormat="1" applyFont="1" applyFill="1" applyBorder="1" applyAlignment="1" applyProtection="1">
      <alignment horizontal="left" vertical="center"/>
      <protection locked="0"/>
    </xf>
    <xf numFmtId="43" fontId="0" fillId="48" borderId="12" xfId="2" applyFont="1" applyFill="1" applyBorder="1" applyAlignment="1" applyProtection="1">
      <alignment vertical="top"/>
      <protection locked="0"/>
    </xf>
    <xf numFmtId="0" fontId="0" fillId="3" borderId="312" xfId="0" applyNumberFormat="1" applyFill="1" applyBorder="1" applyAlignment="1" applyProtection="1">
      <alignment vertical="center"/>
    </xf>
    <xf numFmtId="0" fontId="11" fillId="0" borderId="20" xfId="0" applyFont="1" applyFill="1" applyBorder="1"/>
    <xf numFmtId="0" fontId="11" fillId="0" borderId="264" xfId="0" applyFont="1" applyFill="1" applyBorder="1"/>
    <xf numFmtId="0" fontId="45" fillId="0" borderId="265" xfId="0" applyFont="1" applyFill="1" applyBorder="1" applyAlignment="1">
      <alignment horizontal="left"/>
    </xf>
    <xf numFmtId="0" fontId="11" fillId="0" borderId="265" xfId="0" applyFont="1" applyFill="1" applyBorder="1"/>
    <xf numFmtId="167" fontId="11" fillId="0" borderId="265" xfId="4" applyNumberFormat="1" applyFont="1" applyFill="1" applyBorder="1"/>
    <xf numFmtId="167" fontId="11" fillId="0" borderId="266" xfId="4" applyNumberFormat="1" applyFont="1" applyFill="1" applyBorder="1"/>
    <xf numFmtId="0" fontId="11" fillId="0" borderId="267" xfId="0" applyFont="1" applyFill="1" applyBorder="1"/>
    <xf numFmtId="0" fontId="45" fillId="0" borderId="268" xfId="0" applyFont="1" applyFill="1" applyBorder="1" applyAlignment="1">
      <alignment horizontal="left"/>
    </xf>
    <xf numFmtId="167" fontId="11" fillId="0" borderId="268" xfId="0" applyNumberFormat="1" applyFont="1" applyFill="1" applyBorder="1"/>
    <xf numFmtId="167" fontId="11" fillId="0" borderId="269" xfId="0" applyNumberFormat="1" applyFont="1" applyFill="1" applyBorder="1"/>
    <xf numFmtId="9" fontId="71" fillId="0" borderId="12" xfId="0" applyNumberFormat="1" applyFont="1" applyFill="1" applyBorder="1" applyAlignment="1">
      <alignment vertical="center" wrapText="1"/>
    </xf>
    <xf numFmtId="9" fontId="60" fillId="0" borderId="12" xfId="0" applyNumberFormat="1" applyFont="1" applyFill="1" applyBorder="1" applyAlignment="1">
      <alignment vertical="center" wrapText="1"/>
    </xf>
    <xf numFmtId="43" fontId="0" fillId="0" borderId="43" xfId="4" applyFont="1" applyFill="1" applyBorder="1" applyAlignment="1">
      <alignment vertical="top"/>
    </xf>
    <xf numFmtId="1" fontId="0" fillId="0" borderId="43" xfId="4" applyNumberFormat="1" applyFont="1" applyFill="1" applyBorder="1" applyAlignment="1">
      <alignment vertical="top"/>
    </xf>
    <xf numFmtId="43" fontId="11" fillId="3" borderId="375" xfId="4" applyFont="1" applyFill="1" applyBorder="1" applyAlignment="1" applyProtection="1">
      <alignment vertical="center"/>
    </xf>
    <xf numFmtId="169" fontId="5" fillId="3" borderId="206" xfId="4" applyNumberFormat="1" applyFont="1" applyFill="1" applyBorder="1" applyAlignment="1" applyProtection="1">
      <alignment horizontal="right" vertical="center" indent="1"/>
    </xf>
    <xf numFmtId="0" fontId="92" fillId="0" borderId="20" xfId="0" applyFont="1" applyFill="1" applyBorder="1" applyAlignment="1">
      <alignment vertical="top"/>
    </xf>
    <xf numFmtId="0" fontId="92" fillId="0" borderId="0" xfId="0" applyFont="1" applyFill="1" applyBorder="1" applyAlignment="1">
      <alignment vertical="top"/>
    </xf>
    <xf numFmtId="167" fontId="16" fillId="0" borderId="41" xfId="4" applyNumberFormat="1" applyFont="1" applyFill="1" applyBorder="1" applyAlignment="1">
      <alignment vertical="top"/>
    </xf>
    <xf numFmtId="0" fontId="39" fillId="0" borderId="264" xfId="0" applyFont="1" applyBorder="1" applyAlignment="1">
      <alignment vertical="top"/>
    </xf>
    <xf numFmtId="0" fontId="39" fillId="0" borderId="267" xfId="0" applyFont="1" applyBorder="1" applyAlignment="1">
      <alignment vertical="top"/>
    </xf>
    <xf numFmtId="167" fontId="5" fillId="0" borderId="43" xfId="0" applyNumberFormat="1" applyFont="1" applyBorder="1" applyAlignment="1">
      <alignment vertical="top"/>
    </xf>
    <xf numFmtId="0" fontId="92" fillId="0" borderId="20" xfId="0" applyFont="1" applyBorder="1" applyAlignment="1">
      <alignment vertical="top"/>
    </xf>
    <xf numFmtId="167" fontId="9" fillId="0" borderId="36" xfId="4" applyNumberFormat="1" applyFont="1" applyFill="1" applyBorder="1"/>
    <xf numFmtId="167" fontId="9" fillId="0" borderId="57" xfId="4" applyNumberFormat="1" applyFont="1" applyFill="1" applyBorder="1"/>
    <xf numFmtId="0" fontId="267" fillId="4" borderId="0" xfId="0" applyFont="1" applyFill="1" applyBorder="1"/>
    <xf numFmtId="0" fontId="81" fillId="13" borderId="0" xfId="0" applyFont="1" applyFill="1" applyAlignment="1">
      <alignment horizontal="left" vertical="top"/>
    </xf>
    <xf numFmtId="0" fontId="16" fillId="0" borderId="359" xfId="0" applyFont="1" applyFill="1" applyBorder="1" applyAlignment="1">
      <alignment vertical="top" wrapText="1"/>
    </xf>
    <xf numFmtId="0" fontId="225" fillId="0" borderId="0" xfId="0" applyFont="1" applyFill="1" applyBorder="1"/>
    <xf numFmtId="167" fontId="33" fillId="0" borderId="0" xfId="0" applyNumberFormat="1" applyFont="1" applyFill="1" applyAlignment="1">
      <alignment vertical="top"/>
    </xf>
    <xf numFmtId="0" fontId="268" fillId="0" borderId="0" xfId="0" applyFont="1" applyFill="1" applyAlignment="1">
      <alignment vertical="top"/>
    </xf>
    <xf numFmtId="43" fontId="268" fillId="0" borderId="0" xfId="0" applyNumberFormat="1" applyFont="1" applyFill="1" applyAlignment="1">
      <alignment vertical="top"/>
    </xf>
    <xf numFmtId="169" fontId="268" fillId="0" borderId="0" xfId="0" applyNumberFormat="1" applyFont="1" applyFill="1" applyAlignment="1">
      <alignment vertical="top"/>
    </xf>
    <xf numFmtId="0" fontId="268" fillId="0" borderId="0" xfId="0" applyFont="1" applyFill="1"/>
    <xf numFmtId="0" fontId="269" fillId="0" borderId="0" xfId="0" applyFont="1" applyFill="1" applyBorder="1"/>
    <xf numFmtId="167" fontId="268" fillId="0" borderId="0" xfId="0" applyNumberFormat="1" applyFont="1" applyFill="1" applyBorder="1"/>
    <xf numFmtId="0" fontId="269" fillId="0" borderId="0" xfId="0" applyFont="1" applyFill="1" applyAlignment="1">
      <alignment vertical="top"/>
    </xf>
    <xf numFmtId="0" fontId="268" fillId="0" borderId="0" xfId="0" applyFont="1"/>
    <xf numFmtId="167" fontId="268" fillId="0" borderId="0" xfId="0" applyNumberFormat="1" applyFont="1" applyFill="1" applyAlignment="1">
      <alignment vertical="top"/>
    </xf>
    <xf numFmtId="0" fontId="269" fillId="0" borderId="0" xfId="0" applyFont="1" applyFill="1"/>
    <xf numFmtId="0" fontId="269" fillId="0" borderId="0" xfId="0" applyFont="1" applyFill="1" applyBorder="1" applyAlignment="1">
      <alignment vertical="top"/>
    </xf>
    <xf numFmtId="0" fontId="268" fillId="0" borderId="0" xfId="0" applyFont="1" applyAlignment="1">
      <alignment vertical="top"/>
    </xf>
    <xf numFmtId="0" fontId="268" fillId="0" borderId="0" xfId="0" applyFont="1" applyFill="1" applyBorder="1" applyAlignment="1">
      <alignment vertical="top"/>
    </xf>
    <xf numFmtId="0" fontId="269" fillId="0" borderId="0" xfId="0" applyFont="1"/>
    <xf numFmtId="0" fontId="270" fillId="0" borderId="0" xfId="0" applyFont="1" applyFill="1"/>
    <xf numFmtId="0" fontId="271" fillId="0" borderId="0" xfId="0" applyFont="1" applyFill="1" applyAlignment="1">
      <alignment vertical="top"/>
    </xf>
    <xf numFmtId="0" fontId="272" fillId="0" borderId="0" xfId="0" applyFont="1" applyFill="1" applyAlignment="1">
      <alignment vertical="top"/>
    </xf>
    <xf numFmtId="0" fontId="268" fillId="0" borderId="0" xfId="0" applyFont="1" applyFill="1" applyAlignment="1">
      <alignment horizontal="center" vertical="top" wrapText="1"/>
    </xf>
    <xf numFmtId="167" fontId="268" fillId="0" borderId="0" xfId="4" applyNumberFormat="1" applyFont="1" applyFill="1" applyAlignment="1">
      <alignment vertical="top"/>
    </xf>
    <xf numFmtId="167" fontId="268" fillId="0" borderId="0" xfId="4" applyNumberFormat="1" applyFont="1" applyFill="1" applyBorder="1" applyAlignment="1">
      <alignment vertical="top"/>
    </xf>
    <xf numFmtId="9" fontId="268" fillId="0" borderId="0" xfId="5" applyFont="1" applyFill="1" applyBorder="1" applyAlignment="1">
      <alignment vertical="top"/>
    </xf>
    <xf numFmtId="0" fontId="273" fillId="0" borderId="0" xfId="0" applyFont="1" applyFill="1" applyAlignment="1">
      <alignment vertical="top"/>
    </xf>
    <xf numFmtId="0" fontId="271" fillId="0" borderId="0" xfId="0" applyFont="1" applyFill="1" applyBorder="1" applyAlignment="1">
      <alignment vertical="top"/>
    </xf>
    <xf numFmtId="0" fontId="271" fillId="0" borderId="0" xfId="0" applyFont="1" applyFill="1" applyAlignment="1">
      <alignment vertical="center"/>
    </xf>
    <xf numFmtId="167" fontId="33" fillId="0" borderId="265" xfId="4" applyNumberFormat="1" applyFont="1" applyFill="1" applyBorder="1" applyAlignment="1">
      <alignment vertical="top"/>
    </xf>
    <xf numFmtId="0" fontId="31" fillId="0" borderId="265" xfId="0" applyFont="1" applyFill="1" applyBorder="1" applyAlignment="1">
      <alignment horizontal="left" vertical="top"/>
    </xf>
    <xf numFmtId="0" fontId="0" fillId="0" borderId="102" xfId="0" applyFont="1" applyBorder="1" applyAlignment="1">
      <alignment vertical="top"/>
    </xf>
    <xf numFmtId="0" fontId="0" fillId="0" borderId="359" xfId="0" applyFill="1" applyBorder="1" applyAlignment="1">
      <alignment vertical="top"/>
    </xf>
    <xf numFmtId="3" fontId="32" fillId="0" borderId="359" xfId="0" applyNumberFormat="1" applyFont="1" applyBorder="1" applyAlignment="1">
      <alignment horizontal="left" vertical="top"/>
    </xf>
    <xf numFmtId="167" fontId="3" fillId="0" borderId="359" xfId="4" applyNumberFormat="1" applyFont="1" applyBorder="1" applyAlignment="1">
      <alignment vertical="top"/>
    </xf>
    <xf numFmtId="43" fontId="3" fillId="0" borderId="359" xfId="4" applyNumberFormat="1" applyFont="1" applyBorder="1" applyAlignment="1">
      <alignment vertical="top"/>
    </xf>
    <xf numFmtId="167" fontId="39" fillId="0" borderId="0" xfId="4" applyNumberFormat="1" applyFont="1"/>
    <xf numFmtId="167" fontId="269" fillId="0" borderId="0" xfId="0" applyNumberFormat="1" applyFont="1" applyFill="1" applyBorder="1" applyAlignment="1">
      <alignment vertical="top"/>
    </xf>
    <xf numFmtId="167" fontId="38" fillId="0" borderId="0" xfId="0" applyNumberFormat="1" applyFont="1" applyFill="1" applyBorder="1" applyAlignment="1">
      <alignment vertical="top"/>
    </xf>
    <xf numFmtId="0" fontId="5" fillId="0" borderId="20" xfId="0" applyFont="1" applyFill="1" applyBorder="1" applyAlignment="1">
      <alignment wrapText="1"/>
    </xf>
    <xf numFmtId="9" fontId="85" fillId="0" borderId="0" xfId="5" applyFont="1" applyFill="1" applyBorder="1" applyAlignment="1">
      <alignment vertical="top"/>
    </xf>
    <xf numFmtId="9" fontId="85" fillId="0" borderId="40" xfId="5" applyFont="1" applyFill="1" applyBorder="1" applyAlignment="1">
      <alignment vertical="top"/>
    </xf>
    <xf numFmtId="167" fontId="274" fillId="0" borderId="0" xfId="5" applyNumberFormat="1" applyFont="1" applyFill="1" applyBorder="1" applyAlignment="1">
      <alignment vertical="top"/>
    </xf>
    <xf numFmtId="167" fontId="274" fillId="0" borderId="40" xfId="5" applyNumberFormat="1" applyFont="1" applyFill="1" applyBorder="1" applyAlignment="1">
      <alignment vertical="top"/>
    </xf>
    <xf numFmtId="167" fontId="274" fillId="0" borderId="36" xfId="5" applyNumberFormat="1" applyFont="1" applyFill="1" applyBorder="1" applyAlignment="1">
      <alignment vertical="top"/>
    </xf>
    <xf numFmtId="167" fontId="274" fillId="0" borderId="57" xfId="5" applyNumberFormat="1" applyFont="1" applyFill="1" applyBorder="1" applyAlignment="1">
      <alignment vertical="top"/>
    </xf>
    <xf numFmtId="0" fontId="11" fillId="0" borderId="265" xfId="0" applyFont="1" applyFill="1" applyBorder="1" applyAlignment="1">
      <alignment vertical="top"/>
    </xf>
    <xf numFmtId="0" fontId="16" fillId="0" borderId="268" xfId="0" applyFont="1" applyFill="1" applyBorder="1" applyAlignment="1">
      <alignment vertical="top"/>
    </xf>
    <xf numFmtId="0" fontId="0" fillId="0" borderId="43" xfId="0" applyFont="1" applyFill="1" applyBorder="1" applyAlignment="1">
      <alignment vertical="top"/>
    </xf>
    <xf numFmtId="43" fontId="85" fillId="0" borderId="0" xfId="4" applyFont="1" applyFill="1" applyBorder="1" applyAlignment="1">
      <alignment horizontal="left" vertical="top"/>
    </xf>
    <xf numFmtId="0" fontId="0" fillId="0" borderId="17" xfId="0" applyFill="1" applyBorder="1" applyAlignment="1">
      <alignment vertical="top"/>
    </xf>
    <xf numFmtId="0" fontId="0" fillId="0" borderId="20" xfId="0" applyFont="1" applyFill="1" applyBorder="1"/>
    <xf numFmtId="0" fontId="0" fillId="0" borderId="46" xfId="0" applyFill="1" applyBorder="1" applyAlignment="1">
      <alignment vertical="top"/>
    </xf>
    <xf numFmtId="9" fontId="33" fillId="0" borderId="64" xfId="0" applyNumberFormat="1" applyFont="1" applyFill="1" applyBorder="1" applyAlignment="1">
      <alignment horizontal="left" vertical="top"/>
    </xf>
    <xf numFmtId="167" fontId="0" fillId="0" borderId="64" xfId="4" applyNumberFormat="1" applyFont="1" applyFill="1" applyBorder="1" applyAlignment="1">
      <alignment vertical="top"/>
    </xf>
    <xf numFmtId="167" fontId="0" fillId="0" borderId="60" xfId="4" applyNumberFormat="1" applyFont="1" applyFill="1" applyBorder="1" applyAlignment="1">
      <alignment vertical="top"/>
    </xf>
    <xf numFmtId="43" fontId="16" fillId="0" borderId="0" xfId="0" applyNumberFormat="1" applyFont="1" applyFill="1" applyBorder="1" applyAlignment="1">
      <alignment horizontal="left"/>
    </xf>
    <xf numFmtId="43" fontId="33" fillId="0" borderId="43" xfId="4" applyFont="1" applyFill="1" applyBorder="1" applyAlignment="1">
      <alignment horizontal="left" vertical="top"/>
    </xf>
    <xf numFmtId="0" fontId="16" fillId="0" borderId="12" xfId="0" applyFont="1" applyFill="1" applyBorder="1" applyAlignment="1">
      <alignment horizontal="left"/>
    </xf>
    <xf numFmtId="9" fontId="16" fillId="0" borderId="0" xfId="5" applyFont="1" applyAlignment="1">
      <alignment vertical="top"/>
    </xf>
    <xf numFmtId="0" fontId="268" fillId="0" borderId="43" xfId="0" applyFont="1" applyBorder="1" applyAlignment="1">
      <alignment vertical="top"/>
    </xf>
    <xf numFmtId="0" fontId="268" fillId="0" borderId="41" xfId="0" applyFont="1" applyBorder="1" applyAlignment="1">
      <alignment vertical="top"/>
    </xf>
    <xf numFmtId="0" fontId="268" fillId="0" borderId="20" xfId="0" applyFont="1" applyBorder="1" applyAlignment="1">
      <alignment vertical="top"/>
    </xf>
    <xf numFmtId="0" fontId="269" fillId="0" borderId="20" xfId="0" applyFont="1" applyFill="1" applyBorder="1" applyAlignment="1">
      <alignment wrapText="1"/>
    </xf>
    <xf numFmtId="0" fontId="268" fillId="0" borderId="102" xfId="0" applyFont="1" applyBorder="1" applyAlignment="1">
      <alignment vertical="top"/>
    </xf>
    <xf numFmtId="0" fontId="268" fillId="0" borderId="101" xfId="0" applyFont="1" applyBorder="1" applyAlignment="1">
      <alignment vertical="top"/>
    </xf>
    <xf numFmtId="0" fontId="268" fillId="0" borderId="42" xfId="0" applyFont="1" applyBorder="1" applyAlignment="1">
      <alignment vertical="top"/>
    </xf>
    <xf numFmtId="0" fontId="268" fillId="0" borderId="44" xfId="0" applyFont="1" applyBorder="1" applyAlignment="1">
      <alignment vertical="top"/>
    </xf>
    <xf numFmtId="0" fontId="5" fillId="0" borderId="102" xfId="0" applyFont="1" applyBorder="1" applyAlignment="1">
      <alignment vertical="top"/>
    </xf>
    <xf numFmtId="0" fontId="11" fillId="0" borderId="359" xfId="0" applyFont="1" applyFill="1" applyBorder="1" applyAlignment="1">
      <alignment vertical="top" wrapText="1"/>
    </xf>
    <xf numFmtId="0" fontId="5" fillId="0" borderId="101" xfId="0" applyFont="1" applyBorder="1" applyAlignment="1">
      <alignment vertical="top"/>
    </xf>
    <xf numFmtId="3" fontId="33" fillId="0" borderId="36" xfId="0" applyNumberFormat="1" applyFont="1" applyBorder="1" applyAlignment="1">
      <alignment horizontal="left" vertical="top"/>
    </xf>
    <xf numFmtId="43" fontId="3" fillId="0" borderId="359" xfId="4" applyFont="1" applyBorder="1" applyAlignment="1">
      <alignment vertical="top"/>
    </xf>
    <xf numFmtId="43" fontId="3" fillId="0" borderId="36" xfId="4" applyFont="1" applyBorder="1" applyAlignment="1">
      <alignment vertical="top"/>
    </xf>
    <xf numFmtId="0" fontId="39" fillId="0" borderId="0" xfId="0" applyFont="1" applyAlignment="1">
      <alignment horizontal="left" vertical="top"/>
    </xf>
    <xf numFmtId="0" fontId="5" fillId="0" borderId="358" xfId="0" applyFont="1" applyBorder="1" applyAlignment="1">
      <alignment horizontal="right" vertical="top"/>
    </xf>
    <xf numFmtId="9" fontId="86" fillId="0" borderId="359" xfId="0" applyNumberFormat="1" applyFont="1" applyFill="1" applyBorder="1" applyAlignment="1">
      <alignment horizontal="left" vertical="top"/>
    </xf>
    <xf numFmtId="9" fontId="86" fillId="0" borderId="358" xfId="0" applyNumberFormat="1" applyFont="1" applyFill="1" applyBorder="1" applyAlignment="1">
      <alignment horizontal="left" vertical="top"/>
    </xf>
    <xf numFmtId="9" fontId="86" fillId="0" borderId="359" xfId="5" applyFont="1" applyFill="1" applyBorder="1" applyAlignment="1">
      <alignment horizontal="left" vertical="top"/>
    </xf>
    <xf numFmtId="9" fontId="86" fillId="0" borderId="358" xfId="5" applyFont="1" applyFill="1" applyBorder="1" applyAlignment="1">
      <alignment horizontal="left" vertical="top"/>
    </xf>
    <xf numFmtId="167" fontId="268" fillId="0" borderId="0" xfId="0" applyNumberFormat="1" applyFont="1" applyAlignment="1">
      <alignment vertical="top"/>
    </xf>
    <xf numFmtId="0" fontId="0" fillId="19" borderId="42" xfId="0" applyFill="1" applyBorder="1" applyAlignment="1">
      <alignment horizontal="center"/>
    </xf>
    <xf numFmtId="0" fontId="5" fillId="19" borderId="43" xfId="0" applyFont="1" applyFill="1" applyBorder="1" applyAlignment="1">
      <alignment horizontal="left" vertical="center"/>
    </xf>
    <xf numFmtId="0" fontId="33" fillId="19" borderId="43" xfId="0" applyFont="1" applyFill="1" applyBorder="1" applyAlignment="1">
      <alignment horizontal="left"/>
    </xf>
    <xf numFmtId="167" fontId="0" fillId="19" borderId="43" xfId="0" applyNumberFormat="1" applyFill="1" applyBorder="1"/>
    <xf numFmtId="167" fontId="0" fillId="19" borderId="41" xfId="0" applyNumberFormat="1" applyFill="1" applyBorder="1"/>
    <xf numFmtId="167" fontId="16" fillId="0" borderId="40" xfId="4" applyNumberFormat="1" applyFont="1" applyFill="1" applyBorder="1"/>
    <xf numFmtId="0" fontId="269" fillId="0" borderId="20" xfId="0" applyFont="1" applyFill="1" applyBorder="1"/>
    <xf numFmtId="0" fontId="0" fillId="0" borderId="0" xfId="0" applyFill="1" applyAlignment="1" applyProtection="1">
      <alignment vertical="top"/>
    </xf>
    <xf numFmtId="0" fontId="0" fillId="0" borderId="0" xfId="0" applyAlignment="1" applyProtection="1">
      <alignment vertical="top"/>
    </xf>
    <xf numFmtId="0" fontId="16" fillId="7" borderId="13" xfId="0" applyFont="1" applyFill="1" applyBorder="1" applyAlignment="1" applyProtection="1">
      <alignment vertical="center"/>
    </xf>
    <xf numFmtId="167" fontId="16" fillId="0" borderId="12" xfId="4" applyNumberFormat="1" applyFont="1" applyFill="1" applyBorder="1" applyAlignment="1" applyProtection="1">
      <alignment vertical="top"/>
    </xf>
    <xf numFmtId="167" fontId="11" fillId="0" borderId="12" xfId="4" applyNumberFormat="1" applyFont="1" applyFill="1" applyBorder="1" applyAlignment="1" applyProtection="1">
      <alignment vertical="top"/>
    </xf>
    <xf numFmtId="0" fontId="16" fillId="7" borderId="12" xfId="0" applyFont="1" applyFill="1" applyBorder="1" applyAlignment="1" applyProtection="1">
      <alignment horizontal="left" vertical="center"/>
    </xf>
    <xf numFmtId="0" fontId="0" fillId="0" borderId="0" xfId="0" applyProtection="1"/>
    <xf numFmtId="0" fontId="11" fillId="0" borderId="0" xfId="0" applyFont="1" applyFill="1" applyBorder="1" applyAlignment="1" applyProtection="1">
      <alignment vertical="top"/>
    </xf>
    <xf numFmtId="0" fontId="0" fillId="0" borderId="0" xfId="0" applyAlignment="1" applyProtection="1">
      <alignment wrapText="1"/>
    </xf>
    <xf numFmtId="0" fontId="22" fillId="17" borderId="0" xfId="0" applyFont="1" applyFill="1" applyProtection="1"/>
    <xf numFmtId="0" fontId="5" fillId="8" borderId="12" xfId="0" applyFont="1" applyFill="1" applyBorder="1" applyProtection="1"/>
    <xf numFmtId="0" fontId="5" fillId="8" borderId="12" xfId="0" applyFont="1" applyFill="1" applyBorder="1" applyAlignment="1" applyProtection="1">
      <alignment horizontal="right" wrapText="1"/>
    </xf>
    <xf numFmtId="0" fontId="5" fillId="8" borderId="12" xfId="0" applyFont="1" applyFill="1" applyBorder="1" applyAlignment="1" applyProtection="1">
      <alignment horizontal="right"/>
    </xf>
    <xf numFmtId="167" fontId="0" fillId="0" borderId="12" xfId="0" applyNumberFormat="1" applyBorder="1" applyAlignment="1" applyProtection="1">
      <alignment wrapText="1"/>
    </xf>
    <xf numFmtId="167" fontId="16" fillId="0" borderId="12" xfId="0" applyNumberFormat="1" applyFont="1" applyFill="1" applyBorder="1" applyAlignment="1" applyProtection="1">
      <alignment vertical="top"/>
    </xf>
    <xf numFmtId="169" fontId="16" fillId="0" borderId="12" xfId="4" applyNumberFormat="1" applyFont="1" applyFill="1" applyBorder="1" applyAlignment="1" applyProtection="1">
      <alignment vertical="top" wrapText="1"/>
    </xf>
    <xf numFmtId="0" fontId="128" fillId="0" borderId="0" xfId="0" applyFont="1" applyAlignment="1" applyProtection="1">
      <alignment vertical="top" wrapText="1"/>
    </xf>
    <xf numFmtId="0" fontId="33" fillId="0" borderId="0" xfId="0" applyFont="1" applyAlignment="1" applyProtection="1">
      <alignment vertical="top"/>
    </xf>
    <xf numFmtId="43" fontId="0" fillId="0" borderId="0" xfId="2" applyFont="1" applyAlignment="1" applyProtection="1">
      <alignment vertical="top"/>
    </xf>
    <xf numFmtId="0" fontId="34" fillId="20" borderId="0" xfId="0" applyFont="1" applyFill="1" applyBorder="1" applyAlignment="1" applyProtection="1">
      <alignment vertical="top"/>
    </xf>
    <xf numFmtId="0" fontId="83" fillId="20" borderId="0" xfId="0" applyFont="1" applyFill="1" applyBorder="1" applyAlignment="1" applyProtection="1">
      <alignment vertical="top"/>
    </xf>
    <xf numFmtId="0" fontId="128" fillId="20" borderId="0" xfId="0" applyFont="1" applyFill="1" applyBorder="1" applyAlignment="1" applyProtection="1">
      <alignment vertical="top" wrapText="1"/>
    </xf>
    <xf numFmtId="0" fontId="0" fillId="20" borderId="0" xfId="0" applyFill="1" applyBorder="1" applyAlignment="1" applyProtection="1">
      <alignment vertical="top"/>
    </xf>
    <xf numFmtId="0" fontId="0" fillId="0" borderId="0" xfId="0" applyFill="1" applyBorder="1" applyAlignment="1" applyProtection="1">
      <alignment vertical="top"/>
    </xf>
    <xf numFmtId="0" fontId="84" fillId="4" borderId="0" xfId="0" applyFont="1" applyFill="1" applyBorder="1" applyAlignment="1" applyProtection="1">
      <alignment vertical="top"/>
    </xf>
    <xf numFmtId="0" fontId="52" fillId="4" borderId="0" xfId="0" applyFont="1" applyFill="1" applyBorder="1" applyAlignment="1" applyProtection="1">
      <alignment vertical="top"/>
    </xf>
    <xf numFmtId="0" fontId="52" fillId="4" borderId="0" xfId="0" applyFont="1" applyFill="1" applyBorder="1" applyAlignment="1" applyProtection="1">
      <alignment vertical="top" wrapText="1"/>
    </xf>
    <xf numFmtId="0" fontId="16" fillId="0" borderId="0" xfId="0" applyFont="1" applyFill="1" applyBorder="1" applyAlignment="1" applyProtection="1">
      <alignment vertical="top"/>
    </xf>
    <xf numFmtId="0" fontId="29" fillId="13" borderId="0" xfId="0" applyFont="1" applyFill="1" applyAlignment="1" applyProtection="1">
      <alignment vertical="top"/>
    </xf>
    <xf numFmtId="0" fontId="129" fillId="13" borderId="0" xfId="0" applyFont="1" applyFill="1" applyAlignment="1" applyProtection="1">
      <alignment vertical="top" wrapText="1"/>
    </xf>
    <xf numFmtId="0" fontId="29" fillId="13" borderId="11" xfId="0" applyFont="1" applyFill="1" applyBorder="1" applyAlignment="1" applyProtection="1">
      <alignment horizontal="center" vertical="top"/>
    </xf>
    <xf numFmtId="164" fontId="16" fillId="0" borderId="12" xfId="0" applyNumberFormat="1" applyFont="1" applyFill="1" applyBorder="1" applyAlignment="1" applyProtection="1">
      <alignment vertical="top"/>
    </xf>
    <xf numFmtId="167" fontId="3" fillId="19" borderId="12" xfId="2" applyNumberFormat="1" applyFont="1" applyFill="1" applyBorder="1" applyAlignment="1" applyProtection="1">
      <alignment vertical="top"/>
    </xf>
    <xf numFmtId="0" fontId="0" fillId="19" borderId="16" xfId="0" applyFill="1" applyBorder="1" applyAlignment="1" applyProtection="1">
      <alignment vertical="top" wrapText="1"/>
    </xf>
    <xf numFmtId="43" fontId="128" fillId="19" borderId="12" xfId="2" applyFont="1" applyFill="1" applyBorder="1" applyAlignment="1" applyProtection="1">
      <alignment horizontal="right" vertical="top" wrapText="1"/>
    </xf>
    <xf numFmtId="43" fontId="39" fillId="19" borderId="12" xfId="2" applyFont="1" applyFill="1" applyBorder="1" applyAlignment="1" applyProtection="1">
      <alignment vertical="top"/>
    </xf>
    <xf numFmtId="43" fontId="3" fillId="19" borderId="12" xfId="2" applyFont="1" applyFill="1" applyBorder="1" applyAlignment="1" applyProtection="1">
      <alignment vertical="top"/>
    </xf>
    <xf numFmtId="43" fontId="60" fillId="19" borderId="12" xfId="2" applyFont="1" applyFill="1" applyBorder="1" applyAlignment="1" applyProtection="1"/>
    <xf numFmtId="0" fontId="161" fillId="0" borderId="127" xfId="0" applyFont="1" applyFill="1" applyBorder="1" applyAlignment="1" applyProtection="1">
      <alignment horizontal="center" vertical="top" wrapText="1"/>
    </xf>
    <xf numFmtId="0" fontId="161" fillId="0" borderId="52" xfId="0" applyFont="1" applyFill="1" applyBorder="1" applyAlignment="1" applyProtection="1">
      <alignment horizontal="center" vertical="top" wrapText="1"/>
    </xf>
    <xf numFmtId="0" fontId="39" fillId="0" borderId="12" xfId="0" applyFont="1" applyFill="1" applyBorder="1" applyAlignment="1" applyProtection="1">
      <alignment vertical="top"/>
    </xf>
    <xf numFmtId="43" fontId="16" fillId="0" borderId="12" xfId="2" applyFont="1" applyFill="1" applyBorder="1" applyAlignment="1" applyProtection="1">
      <alignment vertical="top" wrapText="1"/>
    </xf>
    <xf numFmtId="43" fontId="16" fillId="0" borderId="15" xfId="2" applyFont="1" applyFill="1" applyBorder="1" applyAlignment="1" applyProtection="1">
      <alignment vertical="top" wrapText="1"/>
    </xf>
    <xf numFmtId="43" fontId="16" fillId="0" borderId="12" xfId="2" applyFont="1" applyFill="1" applyBorder="1" applyAlignment="1" applyProtection="1">
      <alignment vertical="top"/>
    </xf>
    <xf numFmtId="43" fontId="16" fillId="0" borderId="12" xfId="2" applyNumberFormat="1" applyFont="1" applyFill="1" applyBorder="1" applyAlignment="1" applyProtection="1">
      <alignment vertical="top"/>
    </xf>
    <xf numFmtId="9" fontId="161" fillId="0" borderId="51" xfId="5" applyFont="1" applyFill="1" applyBorder="1" applyAlignment="1" applyProtection="1">
      <alignment vertical="top"/>
    </xf>
    <xf numFmtId="9" fontId="161" fillId="0" borderId="52" xfId="5" applyFont="1" applyFill="1" applyBorder="1" applyAlignment="1" applyProtection="1">
      <alignment vertical="top"/>
    </xf>
    <xf numFmtId="9" fontId="39" fillId="0" borderId="0" xfId="0" applyNumberFormat="1" applyFont="1" applyFill="1" applyAlignment="1" applyProtection="1">
      <alignment vertical="top"/>
    </xf>
    <xf numFmtId="0" fontId="39" fillId="0" borderId="0" xfId="0" applyFont="1" applyFill="1" applyAlignment="1" applyProtection="1">
      <alignment vertical="top"/>
    </xf>
    <xf numFmtId="43" fontId="128" fillId="0" borderId="15" xfId="2" applyFont="1" applyFill="1" applyBorder="1" applyAlignment="1" applyProtection="1">
      <alignment vertical="top" wrapText="1"/>
    </xf>
    <xf numFmtId="43" fontId="33" fillId="0" borderId="12" xfId="2" applyFont="1" applyFill="1" applyBorder="1" applyAlignment="1" applyProtection="1">
      <alignment vertical="top"/>
    </xf>
    <xf numFmtId="43" fontId="3" fillId="0" borderId="12" xfId="2" applyFont="1" applyFill="1" applyBorder="1" applyAlignment="1" applyProtection="1">
      <alignment vertical="top"/>
    </xf>
    <xf numFmtId="43" fontId="3" fillId="0" borderId="12" xfId="2" applyNumberFormat="1" applyFont="1" applyFill="1" applyBorder="1" applyAlignment="1" applyProtection="1">
      <alignment vertical="top"/>
    </xf>
    <xf numFmtId="0" fontId="16" fillId="7" borderId="12" xfId="0" applyFont="1" applyFill="1" applyBorder="1" applyAlignment="1" applyProtection="1">
      <alignment vertical="top" wrapText="1"/>
    </xf>
    <xf numFmtId="43" fontId="0" fillId="0" borderId="12" xfId="0" applyNumberFormat="1" applyFill="1" applyBorder="1" applyAlignment="1" applyProtection="1">
      <alignment vertical="top"/>
    </xf>
    <xf numFmtId="167" fontId="0" fillId="19" borderId="12" xfId="2" applyNumberFormat="1" applyFont="1" applyFill="1" applyBorder="1" applyAlignment="1" applyProtection="1">
      <alignment vertical="top"/>
    </xf>
    <xf numFmtId="0" fontId="16" fillId="19" borderId="12" xfId="0" applyFont="1" applyFill="1" applyBorder="1" applyAlignment="1" applyProtection="1">
      <alignment vertical="top" wrapText="1"/>
    </xf>
    <xf numFmtId="43" fontId="128" fillId="19" borderId="12" xfId="2" applyFont="1" applyFill="1" applyBorder="1" applyAlignment="1" applyProtection="1">
      <alignment vertical="top" wrapText="1"/>
    </xf>
    <xf numFmtId="43" fontId="33" fillId="19" borderId="12" xfId="2" applyFont="1" applyFill="1" applyBorder="1" applyAlignment="1" applyProtection="1">
      <alignment vertical="top"/>
    </xf>
    <xf numFmtId="167" fontId="3" fillId="0" borderId="12" xfId="2" applyNumberFormat="1" applyFont="1" applyFill="1" applyBorder="1" applyAlignment="1" applyProtection="1">
      <alignment vertical="top"/>
    </xf>
    <xf numFmtId="0" fontId="16" fillId="0" borderId="12" xfId="0" applyFont="1" applyFill="1" applyBorder="1" applyAlignment="1" applyProtection="1">
      <alignment vertical="top" wrapText="1"/>
    </xf>
    <xf numFmtId="43" fontId="128" fillId="0" borderId="12" xfId="2" applyFont="1" applyFill="1" applyBorder="1" applyAlignment="1" applyProtection="1">
      <alignment vertical="top" wrapText="1"/>
    </xf>
    <xf numFmtId="43" fontId="128" fillId="0" borderId="12" xfId="0" applyNumberFormat="1" applyFont="1" applyFill="1" applyBorder="1" applyAlignment="1" applyProtection="1">
      <alignment vertical="top" wrapText="1"/>
    </xf>
    <xf numFmtId="167" fontId="39" fillId="0" borderId="12" xfId="2" applyNumberFormat="1" applyFont="1" applyFill="1" applyBorder="1" applyAlignment="1" applyProtection="1">
      <alignment vertical="top"/>
    </xf>
    <xf numFmtId="43" fontId="16" fillId="0" borderId="12" xfId="0" applyNumberFormat="1" applyFont="1" applyFill="1" applyBorder="1" applyAlignment="1" applyProtection="1">
      <alignment vertical="top"/>
    </xf>
    <xf numFmtId="43" fontId="0" fillId="0" borderId="12" xfId="2" applyFont="1" applyFill="1" applyBorder="1" applyAlignment="1" applyProtection="1">
      <alignment vertical="top"/>
    </xf>
    <xf numFmtId="0" fontId="16" fillId="19" borderId="19" xfId="0" applyFont="1" applyFill="1" applyBorder="1" applyAlignment="1" applyProtection="1">
      <alignment vertical="top" wrapText="1"/>
    </xf>
    <xf numFmtId="43" fontId="128" fillId="0" borderId="12" xfId="0" quotePrefix="1" applyNumberFormat="1" applyFont="1" applyFill="1" applyBorder="1" applyAlignment="1" applyProtection="1">
      <alignment vertical="top" wrapText="1"/>
    </xf>
    <xf numFmtId="9" fontId="33" fillId="0" borderId="52" xfId="5" applyFont="1" applyFill="1" applyBorder="1" applyAlignment="1" applyProtection="1">
      <alignment vertical="top"/>
    </xf>
    <xf numFmtId="43" fontId="26" fillId="0" borderId="12" xfId="0" applyNumberFormat="1" applyFont="1" applyFill="1" applyBorder="1" applyAlignment="1" applyProtection="1">
      <alignment vertical="top"/>
    </xf>
    <xf numFmtId="43" fontId="128" fillId="0" borderId="12" xfId="2" applyFont="1" applyFill="1" applyBorder="1" applyAlignment="1" applyProtection="1">
      <alignment vertical="top"/>
    </xf>
    <xf numFmtId="167" fontId="5" fillId="9" borderId="12" xfId="2" applyNumberFormat="1" applyFont="1" applyFill="1" applyBorder="1" applyAlignment="1" applyProtection="1">
      <alignment vertical="top"/>
    </xf>
    <xf numFmtId="43" fontId="5" fillId="9" borderId="12" xfId="2" applyFont="1" applyFill="1" applyBorder="1" applyAlignment="1" applyProtection="1">
      <alignment vertical="top" wrapText="1"/>
    </xf>
    <xf numFmtId="43" fontId="130" fillId="9" borderId="12" xfId="2" applyFont="1" applyFill="1" applyBorder="1" applyAlignment="1" applyProtection="1">
      <alignment vertical="top" wrapText="1"/>
    </xf>
    <xf numFmtId="43" fontId="45" fillId="9" borderId="12" xfId="2" applyFont="1" applyFill="1" applyBorder="1" applyAlignment="1" applyProtection="1">
      <alignment vertical="top"/>
    </xf>
    <xf numFmtId="43" fontId="5" fillId="9" borderId="12" xfId="0" applyNumberFormat="1" applyFont="1" applyFill="1" applyBorder="1" applyAlignment="1" applyProtection="1">
      <alignment vertical="top"/>
    </xf>
    <xf numFmtId="0" fontId="5" fillId="0" borderId="51" xfId="0" applyFont="1" applyFill="1" applyBorder="1" applyAlignment="1" applyProtection="1">
      <alignment vertical="top"/>
    </xf>
    <xf numFmtId="0" fontId="161" fillId="0" borderId="52" xfId="0" applyFont="1" applyFill="1" applyBorder="1" applyAlignment="1" applyProtection="1">
      <alignment horizontal="center" vertical="top"/>
    </xf>
    <xf numFmtId="0" fontId="5" fillId="0" borderId="0" xfId="0" applyFont="1" applyFill="1" applyAlignment="1" applyProtection="1">
      <alignment vertical="top"/>
    </xf>
    <xf numFmtId="43" fontId="0" fillId="0" borderId="12" xfId="2" applyFont="1" applyFill="1" applyBorder="1" applyAlignment="1" applyProtection="1">
      <alignment vertical="top" wrapText="1"/>
    </xf>
    <xf numFmtId="43" fontId="16" fillId="0" borderId="12" xfId="4" applyFont="1" applyFill="1" applyBorder="1" applyAlignment="1" applyProtection="1">
      <alignment vertical="top"/>
    </xf>
    <xf numFmtId="0" fontId="16" fillId="0" borderId="0" xfId="0" applyFont="1" applyFill="1" applyAlignment="1" applyProtection="1">
      <alignment vertical="top"/>
    </xf>
    <xf numFmtId="0" fontId="0" fillId="7" borderId="12" xfId="0" applyFont="1" applyFill="1" applyBorder="1" applyAlignment="1" applyProtection="1">
      <alignment vertical="top" wrapText="1"/>
    </xf>
    <xf numFmtId="168" fontId="128" fillId="0" borderId="15" xfId="5" applyNumberFormat="1" applyFont="1" applyFill="1" applyBorder="1" applyAlignment="1" applyProtection="1">
      <alignment vertical="top" wrapText="1"/>
    </xf>
    <xf numFmtId="43" fontId="60" fillId="0" borderId="12" xfId="2" applyFont="1" applyFill="1" applyBorder="1" applyAlignment="1" applyProtection="1">
      <alignment vertical="top"/>
    </xf>
    <xf numFmtId="0" fontId="161" fillId="0" borderId="0" xfId="0" applyFont="1" applyFill="1" applyAlignment="1" applyProtection="1">
      <alignment vertical="top"/>
    </xf>
    <xf numFmtId="0" fontId="0" fillId="19" borderId="12" xfId="0" applyFill="1" applyBorder="1" applyAlignment="1" applyProtection="1">
      <alignment vertical="top" wrapText="1"/>
    </xf>
    <xf numFmtId="9" fontId="128" fillId="0" borderId="12" xfId="0" applyNumberFormat="1" applyFont="1" applyFill="1" applyBorder="1" applyAlignment="1" applyProtection="1">
      <alignment vertical="top" wrapText="1"/>
    </xf>
    <xf numFmtId="167" fontId="128" fillId="0" borderId="12" xfId="0" applyNumberFormat="1" applyFont="1" applyFill="1" applyBorder="1" applyAlignment="1" applyProtection="1">
      <alignment vertical="top" wrapText="1"/>
    </xf>
    <xf numFmtId="167" fontId="128" fillId="0" borderId="12" xfId="4" applyNumberFormat="1" applyFont="1" applyFill="1" applyBorder="1" applyAlignment="1" applyProtection="1">
      <alignment vertical="top" wrapText="1"/>
    </xf>
    <xf numFmtId="168" fontId="128" fillId="0" borderId="12" xfId="5" applyNumberFormat="1" applyFont="1" applyFill="1" applyBorder="1" applyAlignment="1" applyProtection="1">
      <alignment vertical="top" wrapText="1"/>
    </xf>
    <xf numFmtId="43" fontId="60" fillId="0" borderId="12" xfId="0" applyNumberFormat="1" applyFont="1" applyFill="1" applyBorder="1" applyAlignment="1" applyProtection="1">
      <alignment vertical="top"/>
    </xf>
    <xf numFmtId="167" fontId="16" fillId="0" borderId="12" xfId="2" applyNumberFormat="1" applyFont="1" applyFill="1" applyBorder="1" applyAlignment="1" applyProtection="1">
      <alignment vertical="top"/>
    </xf>
    <xf numFmtId="43" fontId="68" fillId="0" borderId="12" xfId="0" applyNumberFormat="1" applyFont="1" applyFill="1" applyBorder="1" applyAlignment="1" applyProtection="1">
      <alignment vertical="top"/>
    </xf>
    <xf numFmtId="0" fontId="0" fillId="19" borderId="19" xfId="0" applyFill="1" applyBorder="1" applyAlignment="1" applyProtection="1">
      <alignment vertical="top" wrapText="1"/>
    </xf>
    <xf numFmtId="10" fontId="128" fillId="0" borderId="12" xfId="5" applyNumberFormat="1" applyFont="1" applyFill="1" applyBorder="1" applyAlignment="1" applyProtection="1">
      <alignment vertical="top" wrapText="1"/>
    </xf>
    <xf numFmtId="0" fontId="0" fillId="0" borderId="12" xfId="0" applyFont="1" applyFill="1" applyBorder="1" applyAlignment="1" applyProtection="1">
      <alignment vertical="top" wrapText="1"/>
    </xf>
    <xf numFmtId="0" fontId="0" fillId="0" borderId="12" xfId="0" applyFill="1" applyBorder="1" applyAlignment="1" applyProtection="1">
      <alignment vertical="top" wrapText="1"/>
    </xf>
    <xf numFmtId="167" fontId="16" fillId="19" borderId="12" xfId="2" applyNumberFormat="1" applyFont="1" applyFill="1" applyBorder="1" applyAlignment="1" applyProtection="1">
      <alignment vertical="top"/>
    </xf>
    <xf numFmtId="43" fontId="16" fillId="19" borderId="12" xfId="2" applyFont="1" applyFill="1" applyBorder="1" applyAlignment="1" applyProtection="1">
      <alignment vertical="top" wrapText="1"/>
    </xf>
    <xf numFmtId="43" fontId="16" fillId="19" borderId="12" xfId="2" applyFont="1" applyFill="1" applyBorder="1" applyAlignment="1" applyProtection="1">
      <alignment vertical="top"/>
    </xf>
    <xf numFmtId="9" fontId="16" fillId="0" borderId="12" xfId="5" applyFont="1" applyFill="1" applyBorder="1" applyAlignment="1" applyProtection="1">
      <alignment vertical="top" wrapText="1"/>
    </xf>
    <xf numFmtId="0" fontId="128" fillId="0" borderId="0" xfId="0" applyFont="1" applyAlignment="1" applyProtection="1">
      <alignment wrapText="1"/>
    </xf>
    <xf numFmtId="0" fontId="0" fillId="0" borderId="0" xfId="0" applyFill="1" applyProtection="1"/>
    <xf numFmtId="9" fontId="128" fillId="0" borderId="15" xfId="2" applyNumberFormat="1" applyFont="1" applyFill="1" applyBorder="1" applyAlignment="1" applyProtection="1">
      <alignment vertical="top" wrapText="1"/>
    </xf>
    <xf numFmtId="43" fontId="39" fillId="0" borderId="12" xfId="2" applyFont="1" applyFill="1" applyBorder="1" applyAlignment="1" applyProtection="1">
      <alignment vertical="top"/>
    </xf>
    <xf numFmtId="43" fontId="71" fillId="0" borderId="12" xfId="0" applyNumberFormat="1" applyFont="1" applyFill="1" applyBorder="1" applyAlignment="1" applyProtection="1">
      <alignment vertical="top"/>
    </xf>
    <xf numFmtId="10" fontId="128" fillId="0" borderId="12" xfId="2" applyNumberFormat="1" applyFont="1" applyFill="1" applyBorder="1" applyAlignment="1" applyProtection="1">
      <alignment vertical="top" wrapText="1"/>
    </xf>
    <xf numFmtId="10" fontId="0" fillId="0" borderId="12" xfId="5" applyNumberFormat="1" applyFont="1" applyFill="1" applyBorder="1" applyAlignment="1" applyProtection="1">
      <alignment vertical="top"/>
    </xf>
    <xf numFmtId="0" fontId="0" fillId="10" borderId="0" xfId="0" applyFill="1" applyProtection="1"/>
    <xf numFmtId="0" fontId="128" fillId="10" borderId="0" xfId="0" applyFont="1" applyFill="1" applyAlignment="1" applyProtection="1">
      <alignment wrapText="1"/>
    </xf>
    <xf numFmtId="0" fontId="161" fillId="0" borderId="51" xfId="0" applyFont="1" applyFill="1" applyBorder="1" applyAlignment="1" applyProtection="1">
      <alignment horizontal="center" vertical="top" wrapText="1"/>
    </xf>
    <xf numFmtId="0" fontId="33" fillId="0" borderId="52" xfId="0" applyFont="1" applyFill="1" applyBorder="1" applyAlignment="1" applyProtection="1">
      <alignment horizontal="center" vertical="top" wrapText="1"/>
    </xf>
    <xf numFmtId="167" fontId="16" fillId="0" borderId="12" xfId="2" applyNumberFormat="1" applyFont="1" applyFill="1" applyBorder="1" applyAlignment="1" applyProtection="1">
      <alignment vertical="top" wrapText="1"/>
    </xf>
    <xf numFmtId="0" fontId="16" fillId="0" borderId="141" xfId="0" applyFont="1" applyFill="1" applyBorder="1" applyAlignment="1" applyProtection="1">
      <alignment vertical="top"/>
    </xf>
    <xf numFmtId="43" fontId="3" fillId="0" borderId="12" xfId="4" applyFont="1" applyFill="1" applyBorder="1" applyAlignment="1" applyProtection="1">
      <alignment vertical="top"/>
    </xf>
    <xf numFmtId="43" fontId="130" fillId="9" borderId="12" xfId="0" applyNumberFormat="1" applyFont="1" applyFill="1" applyBorder="1" applyAlignment="1" applyProtection="1">
      <alignment vertical="top" wrapText="1"/>
    </xf>
    <xf numFmtId="167" fontId="45" fillId="9" borderId="12" xfId="0" applyNumberFormat="1" applyFont="1" applyFill="1" applyBorder="1" applyAlignment="1" applyProtection="1">
      <alignment vertical="top"/>
    </xf>
    <xf numFmtId="167" fontId="5" fillId="9" borderId="12" xfId="0" applyNumberFormat="1" applyFont="1" applyFill="1" applyBorder="1" applyAlignment="1" applyProtection="1">
      <alignment vertical="top"/>
    </xf>
    <xf numFmtId="0" fontId="5" fillId="0" borderId="52" xfId="0" applyFont="1" applyFill="1" applyBorder="1" applyAlignment="1" applyProtection="1">
      <alignment vertical="top"/>
    </xf>
    <xf numFmtId="43" fontId="16" fillId="0" borderId="12" xfId="4" applyFont="1" applyFill="1" applyBorder="1" applyAlignment="1" applyProtection="1">
      <alignment vertical="top" wrapText="1"/>
    </xf>
    <xf numFmtId="43" fontId="16" fillId="0" borderId="12" xfId="0" applyNumberFormat="1" applyFont="1" applyFill="1" applyBorder="1" applyAlignment="1" applyProtection="1">
      <alignment vertical="top" wrapText="1"/>
    </xf>
    <xf numFmtId="0" fontId="16" fillId="0" borderId="0" xfId="0" applyFont="1" applyAlignment="1" applyProtection="1">
      <alignment vertical="top" wrapText="1"/>
    </xf>
    <xf numFmtId="0" fontId="0" fillId="0" borderId="12" xfId="0" applyBorder="1" applyAlignment="1" applyProtection="1">
      <alignment vertical="top"/>
    </xf>
    <xf numFmtId="0" fontId="16" fillId="0" borderId="51" xfId="0" applyFont="1" applyFill="1" applyBorder="1" applyAlignment="1" applyProtection="1">
      <alignment vertical="top" wrapText="1"/>
    </xf>
    <xf numFmtId="0" fontId="39" fillId="0" borderId="0" xfId="0" applyFont="1" applyFill="1" applyAlignment="1" applyProtection="1">
      <alignment vertical="top" wrapText="1"/>
    </xf>
    <xf numFmtId="43" fontId="16" fillId="0" borderId="12" xfId="2" applyFont="1" applyFill="1" applyBorder="1" applyAlignment="1" applyProtection="1">
      <alignment horizontal="left" vertical="top" wrapText="1"/>
    </xf>
    <xf numFmtId="167" fontId="16" fillId="0" borderId="12" xfId="4" applyNumberFormat="1" applyFont="1" applyFill="1" applyBorder="1" applyAlignment="1" applyProtection="1">
      <alignment vertical="top" wrapText="1"/>
    </xf>
    <xf numFmtId="165" fontId="16" fillId="0" borderId="12" xfId="2" applyNumberFormat="1" applyFont="1" applyFill="1" applyBorder="1" applyAlignment="1" applyProtection="1">
      <alignment vertical="top"/>
    </xf>
    <xf numFmtId="43" fontId="39" fillId="0" borderId="12" xfId="0" applyNumberFormat="1" applyFont="1" applyFill="1" applyBorder="1" applyAlignment="1" applyProtection="1">
      <alignment vertical="top"/>
    </xf>
    <xf numFmtId="43" fontId="45" fillId="9" borderId="12" xfId="0" applyNumberFormat="1" applyFont="1" applyFill="1" applyBorder="1" applyAlignment="1" applyProtection="1">
      <alignment vertical="top"/>
    </xf>
    <xf numFmtId="43" fontId="60" fillId="19" borderId="13" xfId="2" applyFont="1" applyFill="1" applyBorder="1" applyAlignment="1" applyProtection="1"/>
    <xf numFmtId="43" fontId="128" fillId="0" borderId="12" xfId="4" applyFont="1" applyFill="1" applyBorder="1" applyAlignment="1" applyProtection="1">
      <alignment vertical="top" wrapText="1"/>
    </xf>
    <xf numFmtId="43" fontId="16" fillId="0" borderId="13" xfId="2" applyNumberFormat="1" applyFont="1" applyFill="1" applyBorder="1" applyAlignment="1" applyProtection="1">
      <alignment vertical="top"/>
    </xf>
    <xf numFmtId="43" fontId="0" fillId="0" borderId="13" xfId="0" applyNumberFormat="1" applyFill="1" applyBorder="1" applyAlignment="1" applyProtection="1">
      <alignment vertical="top"/>
    </xf>
    <xf numFmtId="43" fontId="16" fillId="0" borderId="13" xfId="0" applyNumberFormat="1" applyFont="1" applyFill="1" applyBorder="1" applyAlignment="1" applyProtection="1">
      <alignment vertical="top"/>
    </xf>
    <xf numFmtId="43" fontId="0" fillId="0" borderId="12" xfId="0" applyNumberFormat="1" applyFont="1" applyFill="1" applyBorder="1" applyAlignment="1" applyProtection="1">
      <alignment vertical="top"/>
    </xf>
    <xf numFmtId="0" fontId="0" fillId="0" borderId="0" xfId="0" applyFont="1" applyFill="1" applyAlignment="1" applyProtection="1">
      <alignment vertical="top"/>
    </xf>
    <xf numFmtId="43" fontId="3" fillId="19" borderId="13" xfId="2" applyFont="1" applyFill="1" applyBorder="1" applyAlignment="1" applyProtection="1">
      <alignment vertical="top"/>
    </xf>
    <xf numFmtId="0" fontId="16" fillId="7" borderId="12" xfId="0" applyFont="1" applyFill="1" applyBorder="1" applyAlignment="1" applyProtection="1">
      <alignment horizontal="left" vertical="center" wrapText="1"/>
    </xf>
    <xf numFmtId="43" fontId="3" fillId="0" borderId="13" xfId="2" applyFont="1" applyFill="1" applyBorder="1" applyAlignment="1" applyProtection="1">
      <alignment vertical="top"/>
    </xf>
    <xf numFmtId="43" fontId="0" fillId="0" borderId="13" xfId="0" applyNumberFormat="1" applyFont="1" applyFill="1" applyBorder="1" applyAlignment="1" applyProtection="1">
      <alignment vertical="top"/>
    </xf>
    <xf numFmtId="0" fontId="16" fillId="0" borderId="12" xfId="0" applyFont="1" applyFill="1" applyBorder="1" applyAlignment="1" applyProtection="1">
      <alignment horizontal="left" vertical="center"/>
    </xf>
    <xf numFmtId="0" fontId="5" fillId="9" borderId="12" xfId="0" applyFont="1" applyFill="1" applyBorder="1" applyAlignment="1" applyProtection="1">
      <alignment vertical="top"/>
    </xf>
    <xf numFmtId="43" fontId="5" fillId="9" borderId="13" xfId="0" applyNumberFormat="1" applyFont="1" applyFill="1" applyBorder="1" applyAlignment="1" applyProtection="1">
      <alignment vertical="top"/>
    </xf>
    <xf numFmtId="10" fontId="33" fillId="0" borderId="12" xfId="5" applyNumberFormat="1" applyFont="1" applyFill="1" applyBorder="1" applyAlignment="1" applyProtection="1">
      <alignment vertical="top"/>
    </xf>
    <xf numFmtId="43" fontId="33" fillId="0" borderId="12" xfId="4" applyFont="1" applyFill="1" applyBorder="1" applyAlignment="1" applyProtection="1">
      <alignment vertical="top"/>
    </xf>
    <xf numFmtId="167" fontId="3" fillId="19" borderId="12" xfId="2" applyNumberFormat="1" applyFont="1" applyFill="1" applyBorder="1" applyAlignment="1" applyProtection="1">
      <alignment vertical="top" wrapText="1"/>
    </xf>
    <xf numFmtId="10" fontId="128" fillId="19" borderId="12" xfId="5" applyNumberFormat="1" applyFont="1" applyFill="1" applyBorder="1" applyAlignment="1" applyProtection="1">
      <alignment vertical="top" wrapText="1"/>
    </xf>
    <xf numFmtId="0" fontId="0" fillId="0" borderId="12" xfId="0" applyFont="1" applyFill="1" applyBorder="1" applyAlignment="1" applyProtection="1">
      <alignment horizontal="left" vertical="center" wrapText="1"/>
    </xf>
    <xf numFmtId="10" fontId="33" fillId="0" borderId="12" xfId="5" applyNumberFormat="1" applyFont="1" applyFill="1" applyBorder="1" applyAlignment="1" applyProtection="1">
      <alignment vertical="top" wrapText="1"/>
    </xf>
    <xf numFmtId="43" fontId="128" fillId="0" borderId="12" xfId="4" applyNumberFormat="1" applyFont="1" applyFill="1" applyBorder="1" applyAlignment="1" applyProtection="1">
      <alignment vertical="top" wrapText="1"/>
    </xf>
    <xf numFmtId="10" fontId="16" fillId="0" borderId="12" xfId="5" applyNumberFormat="1" applyFont="1" applyFill="1" applyBorder="1" applyAlignment="1" applyProtection="1">
      <alignment vertical="top" wrapText="1"/>
    </xf>
    <xf numFmtId="167" fontId="3" fillId="0" borderId="12" xfId="2" applyNumberFormat="1" applyFont="1" applyFill="1" applyBorder="1" applyAlignment="1" applyProtection="1">
      <alignment vertical="top" wrapText="1"/>
    </xf>
    <xf numFmtId="10" fontId="16" fillId="0" borderId="12" xfId="5" applyNumberFormat="1" applyFont="1" applyFill="1" applyBorder="1" applyAlignment="1" applyProtection="1">
      <alignment vertical="top"/>
    </xf>
    <xf numFmtId="43" fontId="11" fillId="9" borderId="12" xfId="2" applyFont="1" applyFill="1" applyBorder="1" applyAlignment="1" applyProtection="1">
      <alignment vertical="top"/>
    </xf>
    <xf numFmtId="0" fontId="0" fillId="7" borderId="12" xfId="0" applyFont="1" applyFill="1" applyBorder="1" applyAlignment="1" applyProtection="1">
      <alignment horizontal="left" vertical="center" wrapText="1"/>
    </xf>
    <xf numFmtId="0" fontId="0" fillId="20" borderId="0" xfId="0" applyFill="1" applyBorder="1" applyAlignment="1" applyProtection="1">
      <alignment vertical="top" wrapText="1"/>
    </xf>
    <xf numFmtId="0" fontId="22" fillId="0" borderId="0" xfId="0" applyFont="1" applyProtection="1"/>
    <xf numFmtId="0" fontId="52" fillId="9" borderId="0" xfId="0" applyFont="1" applyFill="1" applyBorder="1" applyAlignment="1" applyProtection="1">
      <alignment vertical="top" wrapText="1"/>
    </xf>
    <xf numFmtId="0" fontId="29" fillId="13" borderId="0" xfId="0" applyFont="1" applyFill="1" applyAlignment="1" applyProtection="1">
      <alignment horizontal="right" vertical="top"/>
    </xf>
    <xf numFmtId="0" fontId="29" fillId="13" borderId="0" xfId="0" applyFont="1" applyFill="1" applyAlignment="1" applyProtection="1">
      <alignment horizontal="left" vertical="top"/>
    </xf>
    <xf numFmtId="43" fontId="0" fillId="2" borderId="13" xfId="0" applyNumberFormat="1" applyFill="1" applyBorder="1" applyAlignment="1" applyProtection="1">
      <alignment vertical="top" wrapText="1"/>
    </xf>
    <xf numFmtId="43" fontId="0" fillId="2" borderId="14" xfId="0" applyNumberFormat="1" applyFill="1" applyBorder="1" applyAlignment="1" applyProtection="1">
      <alignment vertical="top" wrapText="1"/>
    </xf>
    <xf numFmtId="43" fontId="0" fillId="2" borderId="15" xfId="0" applyNumberFormat="1" applyFill="1" applyBorder="1" applyAlignment="1" applyProtection="1">
      <alignment vertical="top" wrapText="1"/>
    </xf>
    <xf numFmtId="43" fontId="0" fillId="2" borderId="12" xfId="0" applyNumberFormat="1" applyFill="1" applyBorder="1" applyAlignment="1" applyProtection="1">
      <alignment vertical="top" wrapText="1"/>
    </xf>
    <xf numFmtId="43" fontId="0" fillId="0" borderId="12" xfId="0" applyNumberFormat="1" applyBorder="1" applyAlignment="1" applyProtection="1">
      <alignment vertical="top"/>
    </xf>
    <xf numFmtId="0" fontId="16" fillId="0" borderId="12" xfId="0" applyFont="1" applyBorder="1" applyAlignment="1" applyProtection="1">
      <alignment vertical="top" wrapText="1"/>
    </xf>
    <xf numFmtId="43" fontId="16" fillId="0" borderId="12" xfId="4" applyFont="1" applyBorder="1" applyAlignment="1" applyProtection="1">
      <alignment vertical="top"/>
    </xf>
    <xf numFmtId="169" fontId="16" fillId="0" borderId="12" xfId="4" applyNumberFormat="1" applyFont="1" applyBorder="1" applyAlignment="1" applyProtection="1">
      <alignment vertical="top"/>
    </xf>
    <xf numFmtId="1" fontId="16" fillId="0" borderId="12" xfId="0" applyNumberFormat="1" applyFont="1" applyBorder="1" applyAlignment="1" applyProtection="1">
      <alignment horizontal="center" vertical="top"/>
    </xf>
    <xf numFmtId="169" fontId="16" fillId="0" borderId="12" xfId="0" applyNumberFormat="1" applyFont="1" applyBorder="1" applyAlignment="1" applyProtection="1">
      <alignment horizontal="center" vertical="top"/>
    </xf>
    <xf numFmtId="169" fontId="16" fillId="0" borderId="13" xfId="4" applyNumberFormat="1" applyFont="1" applyBorder="1" applyAlignment="1" applyProtection="1">
      <alignment vertical="top"/>
    </xf>
    <xf numFmtId="43" fontId="0" fillId="0" borderId="12" xfId="0" applyNumberFormat="1" applyBorder="1" applyAlignment="1" applyProtection="1">
      <alignment vertical="top" wrapText="1"/>
    </xf>
    <xf numFmtId="43" fontId="16" fillId="0" borderId="12" xfId="0" applyNumberFormat="1" applyFont="1" applyBorder="1" applyAlignment="1" applyProtection="1">
      <alignment vertical="top"/>
    </xf>
    <xf numFmtId="169" fontId="16" fillId="0" borderId="13" xfId="0" applyNumberFormat="1" applyFont="1" applyBorder="1" applyAlignment="1" applyProtection="1">
      <alignment vertical="top"/>
    </xf>
    <xf numFmtId="1" fontId="16" fillId="0" borderId="13" xfId="0" applyNumberFormat="1" applyFont="1" applyBorder="1" applyAlignment="1" applyProtection="1">
      <alignment horizontal="center" vertical="top"/>
    </xf>
    <xf numFmtId="169" fontId="16" fillId="0" borderId="12" xfId="0" applyNumberFormat="1" applyFont="1" applyBorder="1" applyAlignment="1" applyProtection="1">
      <alignment vertical="top"/>
    </xf>
    <xf numFmtId="169" fontId="0" fillId="2" borderId="14" xfId="0" applyNumberFormat="1" applyFont="1" applyFill="1" applyBorder="1" applyAlignment="1" applyProtection="1">
      <alignment vertical="top" wrapText="1"/>
    </xf>
    <xf numFmtId="1" fontId="0" fillId="2" borderId="14" xfId="0" applyNumberFormat="1" applyFont="1" applyFill="1" applyBorder="1" applyAlignment="1" applyProtection="1">
      <alignment horizontal="center" vertical="top" wrapText="1"/>
    </xf>
    <xf numFmtId="169" fontId="0" fillId="2" borderId="15" xfId="0" applyNumberFormat="1" applyFont="1" applyFill="1" applyBorder="1" applyAlignment="1" applyProtection="1">
      <alignment horizontal="center" vertical="top" wrapText="1"/>
    </xf>
    <xf numFmtId="169" fontId="0" fillId="2" borderId="12" xfId="0" applyNumberFormat="1" applyFont="1" applyFill="1" applyBorder="1" applyAlignment="1" applyProtection="1">
      <alignment vertical="top" wrapText="1"/>
    </xf>
    <xf numFmtId="43" fontId="16" fillId="0" borderId="13" xfId="0" applyNumberFormat="1" applyFont="1" applyBorder="1" applyAlignment="1" applyProtection="1">
      <alignment vertical="top"/>
    </xf>
    <xf numFmtId="43" fontId="0" fillId="0" borderId="12" xfId="0" applyNumberFormat="1" applyFill="1" applyBorder="1" applyAlignment="1" applyProtection="1">
      <alignment vertical="top" wrapText="1"/>
    </xf>
    <xf numFmtId="43" fontId="0" fillId="0" borderId="0" xfId="0" applyNumberFormat="1" applyAlignment="1" applyProtection="1">
      <alignment vertical="top" wrapText="1"/>
    </xf>
    <xf numFmtId="0" fontId="16" fillId="0" borderId="0" xfId="0" applyFont="1" applyAlignment="1" applyProtection="1">
      <alignment vertical="top"/>
    </xf>
    <xf numFmtId="169" fontId="0" fillId="0" borderId="0" xfId="0" applyNumberFormat="1" applyFont="1" applyAlignment="1" applyProtection="1">
      <alignment vertical="top"/>
    </xf>
    <xf numFmtId="169" fontId="0" fillId="0" borderId="0" xfId="0" applyNumberFormat="1" applyFont="1" applyAlignment="1" applyProtection="1">
      <alignment horizontal="center" vertical="top"/>
    </xf>
    <xf numFmtId="169" fontId="0" fillId="0" borderId="0" xfId="0" applyNumberFormat="1" applyFont="1" applyFill="1" applyAlignment="1" applyProtection="1">
      <alignment vertical="top"/>
    </xf>
    <xf numFmtId="0" fontId="81" fillId="13" borderId="0" xfId="0" applyFont="1" applyFill="1" applyAlignment="1" applyProtection="1">
      <alignment vertical="top"/>
    </xf>
    <xf numFmtId="169" fontId="183" fillId="13" borderId="0" xfId="0" applyNumberFormat="1" applyFont="1" applyFill="1" applyAlignment="1" applyProtection="1">
      <alignment vertical="top"/>
    </xf>
    <xf numFmtId="169" fontId="184" fillId="13" borderId="0" xfId="0" applyNumberFormat="1" applyFont="1" applyFill="1" applyAlignment="1" applyProtection="1">
      <alignment horizontal="center" vertical="top"/>
    </xf>
    <xf numFmtId="169" fontId="81" fillId="13" borderId="0" xfId="0" applyNumberFormat="1" applyFont="1" applyFill="1" applyAlignment="1" applyProtection="1">
      <alignment vertical="top"/>
    </xf>
    <xf numFmtId="169" fontId="0" fillId="2" borderId="14" xfId="0" applyNumberFormat="1" applyFont="1" applyFill="1" applyBorder="1" applyAlignment="1" applyProtection="1">
      <alignment horizontal="center" vertical="top" wrapText="1"/>
    </xf>
    <xf numFmtId="167" fontId="0" fillId="0" borderId="12" xfId="0" applyNumberFormat="1" applyBorder="1" applyAlignment="1" applyProtection="1">
      <alignment vertical="top" wrapText="1"/>
    </xf>
    <xf numFmtId="1" fontId="33" fillId="0" borderId="13" xfId="0" applyNumberFormat="1" applyFont="1" applyBorder="1" applyAlignment="1" applyProtection="1">
      <alignment horizontal="center" vertical="top"/>
    </xf>
    <xf numFmtId="43" fontId="16" fillId="0" borderId="13" xfId="4" applyFont="1" applyFill="1" applyBorder="1" applyAlignment="1" applyProtection="1">
      <alignment vertical="top"/>
    </xf>
    <xf numFmtId="169" fontId="16" fillId="0" borderId="13" xfId="0" applyNumberFormat="1" applyFont="1" applyFill="1" applyBorder="1" applyAlignment="1" applyProtection="1">
      <alignment vertical="top"/>
    </xf>
    <xf numFmtId="1" fontId="33" fillId="0" borderId="13" xfId="0" applyNumberFormat="1" applyFont="1" applyFill="1" applyBorder="1" applyAlignment="1" applyProtection="1">
      <alignment horizontal="center" vertical="top"/>
    </xf>
    <xf numFmtId="169" fontId="16" fillId="0" borderId="12" xfId="0" applyNumberFormat="1" applyFont="1" applyFill="1" applyBorder="1" applyAlignment="1" applyProtection="1">
      <alignment horizontal="center" vertical="top"/>
    </xf>
    <xf numFmtId="167" fontId="16" fillId="0" borderId="12" xfId="0" applyNumberFormat="1" applyFont="1" applyBorder="1" applyAlignment="1" applyProtection="1">
      <alignment vertical="top" wrapText="1"/>
    </xf>
    <xf numFmtId="43" fontId="16" fillId="0" borderId="13" xfId="4" applyFont="1" applyBorder="1" applyAlignment="1" applyProtection="1">
      <alignment vertical="top"/>
    </xf>
    <xf numFmtId="167" fontId="16" fillId="0" borderId="12" xfId="0" applyNumberFormat="1" applyFont="1" applyFill="1" applyBorder="1" applyAlignment="1" applyProtection="1">
      <alignment vertical="top" wrapText="1"/>
    </xf>
    <xf numFmtId="43" fontId="0" fillId="2" borderId="12" xfId="4" applyFont="1" applyFill="1" applyBorder="1" applyAlignment="1" applyProtection="1">
      <alignment vertical="top" wrapText="1"/>
    </xf>
    <xf numFmtId="167" fontId="0" fillId="0" borderId="12" xfId="0" applyNumberFormat="1" applyFill="1" applyBorder="1" applyAlignment="1" applyProtection="1">
      <alignment vertical="top" wrapText="1"/>
    </xf>
    <xf numFmtId="0" fontId="39" fillId="0" borderId="0" xfId="0" applyFont="1" applyAlignment="1" applyProtection="1">
      <alignment vertical="top"/>
    </xf>
    <xf numFmtId="169" fontId="16" fillId="0" borderId="0" xfId="0" applyNumberFormat="1" applyFont="1" applyAlignment="1" applyProtection="1">
      <alignment vertical="top"/>
    </xf>
    <xf numFmtId="169" fontId="16" fillId="0" borderId="0" xfId="0" applyNumberFormat="1" applyFont="1" applyAlignment="1" applyProtection="1">
      <alignment horizontal="center" vertical="top"/>
    </xf>
    <xf numFmtId="169" fontId="29" fillId="13" borderId="0" xfId="0" applyNumberFormat="1" applyFont="1" applyFill="1" applyAlignment="1" applyProtection="1">
      <alignment horizontal="center" vertical="top"/>
    </xf>
    <xf numFmtId="169" fontId="0" fillId="2" borderId="15" xfId="0" applyNumberFormat="1" applyFont="1" applyFill="1" applyBorder="1" applyAlignment="1" applyProtection="1">
      <alignment vertical="top" wrapText="1"/>
    </xf>
    <xf numFmtId="169" fontId="0" fillId="0" borderId="0" xfId="0" applyNumberFormat="1" applyFont="1" applyFill="1" applyAlignment="1" applyProtection="1">
      <alignment horizontal="center" vertical="top"/>
    </xf>
    <xf numFmtId="1" fontId="0" fillId="0" borderId="0" xfId="0" applyNumberFormat="1" applyAlignment="1" applyProtection="1">
      <alignment horizontal="center" vertical="top"/>
    </xf>
    <xf numFmtId="1" fontId="0" fillId="0" borderId="0" xfId="0" applyNumberFormat="1" applyFill="1" applyAlignment="1" applyProtection="1">
      <alignment horizontal="center" vertical="top"/>
    </xf>
    <xf numFmtId="0" fontId="5" fillId="0" borderId="12" xfId="0" applyFont="1" applyBorder="1" applyAlignment="1" applyProtection="1">
      <alignment vertical="top"/>
    </xf>
    <xf numFmtId="0" fontId="29" fillId="13" borderId="12" xfId="0" applyFont="1" applyFill="1" applyBorder="1" applyAlignment="1" applyProtection="1">
      <alignment vertical="top" wrapText="1"/>
    </xf>
    <xf numFmtId="0" fontId="29" fillId="13" borderId="12" xfId="0" applyFont="1" applyFill="1" applyBorder="1" applyAlignment="1" applyProtection="1">
      <alignment vertical="top"/>
    </xf>
    <xf numFmtId="169" fontId="16" fillId="0" borderId="12" xfId="4" applyNumberFormat="1" applyFont="1" applyFill="1" applyBorder="1" applyAlignment="1" applyProtection="1">
      <alignment vertical="top"/>
    </xf>
    <xf numFmtId="0" fontId="5" fillId="0" borderId="0" xfId="0" applyFont="1" applyFill="1" applyBorder="1" applyAlignment="1" applyProtection="1">
      <alignment vertical="top"/>
    </xf>
    <xf numFmtId="0" fontId="0" fillId="0" borderId="0" xfId="0" applyFill="1" applyAlignment="1" applyProtection="1">
      <alignment wrapText="1"/>
    </xf>
    <xf numFmtId="169" fontId="0" fillId="0" borderId="12" xfId="4" applyNumberFormat="1" applyFont="1" applyFill="1" applyBorder="1" applyAlignment="1" applyProtection="1">
      <alignment vertical="top" wrapText="1"/>
    </xf>
    <xf numFmtId="169" fontId="0" fillId="0" borderId="12" xfId="4" applyNumberFormat="1" applyFont="1" applyFill="1" applyBorder="1" applyAlignment="1" applyProtection="1">
      <alignment vertical="top"/>
    </xf>
    <xf numFmtId="167" fontId="5" fillId="0" borderId="12" xfId="4" applyNumberFormat="1" applyFont="1" applyFill="1" applyBorder="1" applyAlignment="1" applyProtection="1">
      <alignment vertical="top"/>
    </xf>
    <xf numFmtId="0" fontId="0" fillId="0" borderId="12" xfId="0" applyBorder="1" applyAlignment="1" applyProtection="1">
      <alignment horizontal="left"/>
    </xf>
    <xf numFmtId="167" fontId="0" fillId="0" borderId="12" xfId="0" applyNumberFormat="1" applyBorder="1" applyProtection="1"/>
    <xf numFmtId="0" fontId="11" fillId="0" borderId="12" xfId="0" applyFont="1" applyBorder="1" applyAlignment="1" applyProtection="1">
      <alignment vertical="top"/>
    </xf>
    <xf numFmtId="0" fontId="0" fillId="0" borderId="21" xfId="0" applyFill="1" applyBorder="1" applyAlignment="1" applyProtection="1">
      <alignment vertical="center"/>
    </xf>
    <xf numFmtId="0" fontId="0" fillId="0" borderId="14" xfId="0" applyBorder="1" applyProtection="1"/>
    <xf numFmtId="9" fontId="16" fillId="8" borderId="12" xfId="0" applyNumberFormat="1" applyFont="1" applyFill="1" applyBorder="1" applyAlignment="1" applyProtection="1">
      <alignment wrapText="1"/>
    </xf>
    <xf numFmtId="0" fontId="0" fillId="0" borderId="43" xfId="0" applyFill="1" applyBorder="1" applyAlignment="1" applyProtection="1"/>
    <xf numFmtId="0" fontId="0" fillId="0" borderId="82" xfId="0" applyFill="1" applyBorder="1" applyAlignment="1" applyProtection="1"/>
    <xf numFmtId="0" fontId="16" fillId="0" borderId="14" xfId="0" applyFont="1" applyBorder="1" applyProtection="1"/>
    <xf numFmtId="0" fontId="16" fillId="8" borderId="12" xfId="0" applyFont="1" applyFill="1" applyBorder="1" applyAlignment="1" applyProtection="1">
      <alignment wrapText="1"/>
    </xf>
    <xf numFmtId="0" fontId="0" fillId="0" borderId="0" xfId="0" applyFill="1" applyBorder="1" applyAlignment="1" applyProtection="1"/>
    <xf numFmtId="0" fontId="38" fillId="0" borderId="0" xfId="0" applyFont="1" applyFill="1" applyBorder="1" applyAlignment="1" applyProtection="1"/>
    <xf numFmtId="0" fontId="0" fillId="0" borderId="5" xfId="0" applyFill="1" applyBorder="1" applyAlignment="1" applyProtection="1"/>
    <xf numFmtId="0" fontId="0" fillId="0" borderId="36" xfId="0" applyFill="1" applyBorder="1" applyAlignment="1" applyProtection="1"/>
    <xf numFmtId="0" fontId="0" fillId="0" borderId="80" xfId="0" applyFill="1" applyBorder="1" applyAlignment="1" applyProtection="1"/>
    <xf numFmtId="0" fontId="4" fillId="5" borderId="84" xfId="0" applyFont="1" applyFill="1" applyBorder="1" applyAlignment="1" applyProtection="1">
      <alignment horizontal="center" vertical="center"/>
    </xf>
    <xf numFmtId="0" fontId="4" fillId="5" borderId="43" xfId="0" applyFont="1" applyFill="1" applyBorder="1" applyAlignment="1" applyProtection="1">
      <alignment horizontal="center" vertical="center"/>
    </xf>
    <xf numFmtId="0" fontId="4" fillId="5" borderId="82" xfId="0" applyFont="1" applyFill="1" applyBorder="1" applyAlignment="1" applyProtection="1">
      <alignment horizontal="center" vertical="center"/>
    </xf>
    <xf numFmtId="0" fontId="5" fillId="2" borderId="21" xfId="0" applyFont="1" applyFill="1" applyBorder="1" applyAlignment="1" applyProtection="1">
      <alignment vertical="center"/>
    </xf>
    <xf numFmtId="0" fontId="16" fillId="2" borderId="15" xfId="0" applyFont="1" applyFill="1" applyBorder="1" applyAlignment="1" applyProtection="1">
      <alignment vertical="center"/>
    </xf>
    <xf numFmtId="43" fontId="16" fillId="2" borderId="12" xfId="4" applyFont="1" applyFill="1" applyBorder="1" applyAlignment="1" applyProtection="1">
      <alignment vertical="center"/>
    </xf>
    <xf numFmtId="0" fontId="5" fillId="0" borderId="37" xfId="0" applyFont="1" applyFill="1" applyBorder="1" applyAlignment="1" applyProtection="1">
      <alignment vertical="center"/>
    </xf>
    <xf numFmtId="0" fontId="11" fillId="0" borderId="57" xfId="0" applyFont="1" applyFill="1" applyBorder="1" applyAlignment="1" applyProtection="1">
      <alignment vertical="center"/>
    </xf>
    <xf numFmtId="43" fontId="16" fillId="0" borderId="36" xfId="4" applyFont="1" applyFill="1" applyBorder="1" applyAlignment="1" applyProtection="1">
      <alignment vertical="center"/>
    </xf>
    <xf numFmtId="43" fontId="16" fillId="0" borderId="80" xfId="4" applyFont="1" applyFill="1" applyBorder="1" applyAlignment="1" applyProtection="1">
      <alignment vertical="center"/>
    </xf>
    <xf numFmtId="0" fontId="5" fillId="0" borderId="21" xfId="0" applyFont="1" applyFill="1" applyBorder="1" applyAlignment="1" applyProtection="1">
      <alignment vertical="center"/>
    </xf>
    <xf numFmtId="0" fontId="16" fillId="0" borderId="15" xfId="0" applyFont="1" applyFill="1" applyBorder="1" applyAlignment="1" applyProtection="1">
      <alignment vertical="center"/>
    </xf>
    <xf numFmtId="43" fontId="128" fillId="0" borderId="12" xfId="4" applyFont="1" applyFill="1" applyBorder="1" applyAlignment="1" applyProtection="1">
      <alignment vertical="center" wrapText="1"/>
    </xf>
    <xf numFmtId="43" fontId="16" fillId="0" borderId="12" xfId="4" applyFont="1" applyFill="1" applyBorder="1" applyAlignment="1" applyProtection="1">
      <alignment vertical="center"/>
    </xf>
    <xf numFmtId="43" fontId="16" fillId="0" borderId="22" xfId="4" applyFont="1" applyFill="1" applyBorder="1" applyAlignment="1" applyProtection="1">
      <alignment vertical="center"/>
    </xf>
    <xf numFmtId="0" fontId="11" fillId="0" borderId="15" xfId="0" applyFont="1" applyFill="1" applyBorder="1" applyAlignment="1" applyProtection="1">
      <alignment vertical="center"/>
    </xf>
    <xf numFmtId="43" fontId="128" fillId="0" borderId="13" xfId="4" applyFont="1" applyFill="1" applyBorder="1" applyAlignment="1" applyProtection="1">
      <alignment vertical="center" wrapText="1"/>
    </xf>
    <xf numFmtId="43" fontId="16" fillId="0" borderId="14" xfId="4" applyFont="1" applyFill="1" applyBorder="1" applyAlignment="1" applyProtection="1">
      <alignment vertical="center"/>
    </xf>
    <xf numFmtId="43" fontId="16" fillId="0" borderId="35" xfId="4" applyFont="1" applyFill="1" applyBorder="1" applyAlignment="1" applyProtection="1">
      <alignment vertical="center"/>
    </xf>
    <xf numFmtId="0" fontId="130" fillId="0" borderId="0" xfId="0" applyFont="1" applyBorder="1" applyAlignment="1" applyProtection="1">
      <alignment vertical="center" wrapText="1"/>
    </xf>
    <xf numFmtId="0" fontId="11" fillId="0" borderId="0" xfId="0" applyFont="1" applyBorder="1" applyAlignment="1" applyProtection="1">
      <alignment vertical="center"/>
    </xf>
    <xf numFmtId="43" fontId="128" fillId="0" borderId="42" xfId="4" applyFont="1" applyFill="1" applyBorder="1" applyAlignment="1" applyProtection="1">
      <alignment vertical="center" wrapText="1"/>
    </xf>
    <xf numFmtId="43" fontId="16" fillId="0" borderId="43" xfId="4" applyFont="1" applyFill="1" applyBorder="1" applyAlignment="1" applyProtection="1">
      <alignment vertical="center"/>
    </xf>
    <xf numFmtId="43" fontId="16" fillId="0" borderId="41" xfId="4" applyFont="1" applyFill="1" applyBorder="1" applyAlignment="1" applyProtection="1">
      <alignment vertical="center"/>
    </xf>
    <xf numFmtId="43" fontId="128" fillId="0" borderId="20" xfId="4" applyFont="1" applyFill="1" applyBorder="1" applyAlignment="1" applyProtection="1">
      <alignment vertical="center" wrapText="1"/>
    </xf>
    <xf numFmtId="43" fontId="16" fillId="0" borderId="0" xfId="4" applyFont="1" applyFill="1" applyBorder="1" applyAlignment="1" applyProtection="1">
      <alignment vertical="center"/>
    </xf>
    <xf numFmtId="43" fontId="16" fillId="0" borderId="40" xfId="4" applyFont="1" applyFill="1" applyBorder="1" applyAlignment="1" applyProtection="1">
      <alignment vertical="center"/>
    </xf>
    <xf numFmtId="43" fontId="128" fillId="0" borderId="44" xfId="4" applyFont="1" applyFill="1" applyBorder="1" applyAlignment="1" applyProtection="1">
      <alignment vertical="center" wrapText="1"/>
    </xf>
    <xf numFmtId="43" fontId="16" fillId="0" borderId="57" xfId="4" applyFont="1" applyFill="1" applyBorder="1" applyAlignment="1" applyProtection="1">
      <alignment vertical="center"/>
    </xf>
    <xf numFmtId="0" fontId="130" fillId="0" borderId="42" xfId="0" applyFont="1" applyBorder="1" applyAlignment="1" applyProtection="1">
      <alignment vertical="center" wrapText="1"/>
    </xf>
    <xf numFmtId="0" fontId="11" fillId="0" borderId="43" xfId="0" applyFont="1" applyBorder="1" applyAlignment="1" applyProtection="1">
      <alignment vertical="center"/>
    </xf>
    <xf numFmtId="0" fontId="130" fillId="0" borderId="20" xfId="0" applyFont="1" applyBorder="1" applyAlignment="1" applyProtection="1">
      <alignment vertical="center" wrapText="1"/>
    </xf>
    <xf numFmtId="0" fontId="130" fillId="0" borderId="44" xfId="0" applyFont="1" applyBorder="1" applyAlignment="1" applyProtection="1">
      <alignment vertical="center" wrapText="1"/>
    </xf>
    <xf numFmtId="0" fontId="11" fillId="0" borderId="36" xfId="0" applyFont="1" applyBorder="1" applyAlignment="1" applyProtection="1">
      <alignment vertical="center"/>
    </xf>
    <xf numFmtId="0" fontId="128" fillId="0" borderId="42" xfId="0" applyFont="1" applyFill="1" applyBorder="1" applyAlignment="1" applyProtection="1">
      <alignment vertical="top" wrapText="1"/>
    </xf>
    <xf numFmtId="0" fontId="16" fillId="0" borderId="43" xfId="0" applyFont="1" applyFill="1" applyBorder="1" applyAlignment="1" applyProtection="1">
      <alignment vertical="top"/>
    </xf>
    <xf numFmtId="0" fontId="16" fillId="0" borderId="41" xfId="0" applyFont="1" applyFill="1" applyBorder="1" applyAlignment="1" applyProtection="1">
      <alignment vertical="top"/>
    </xf>
    <xf numFmtId="0" fontId="128" fillId="0" borderId="20" xfId="0" applyFont="1" applyFill="1" applyBorder="1" applyAlignment="1" applyProtection="1">
      <alignment vertical="top" wrapText="1"/>
    </xf>
    <xf numFmtId="0" fontId="16" fillId="0" borderId="40" xfId="0" applyFont="1" applyFill="1" applyBorder="1" applyAlignment="1" applyProtection="1">
      <alignment vertical="top"/>
    </xf>
    <xf numFmtId="0" fontId="128" fillId="0" borderId="44" xfId="0" applyFont="1" applyFill="1" applyBorder="1" applyAlignment="1" applyProtection="1">
      <alignment vertical="top" wrapText="1"/>
    </xf>
    <xf numFmtId="0" fontId="16" fillId="0" borderId="36" xfId="0" applyFont="1" applyFill="1" applyBorder="1" applyAlignment="1" applyProtection="1">
      <alignment vertical="top"/>
    </xf>
    <xf numFmtId="0" fontId="16" fillId="0" borderId="57" xfId="0" applyFont="1" applyFill="1" applyBorder="1" applyAlignment="1" applyProtection="1">
      <alignment vertical="top"/>
    </xf>
    <xf numFmtId="0" fontId="128" fillId="0" borderId="42" xfId="0" applyFont="1" applyBorder="1" applyAlignment="1" applyProtection="1">
      <alignment wrapText="1"/>
    </xf>
    <xf numFmtId="0" fontId="16" fillId="0" borderId="43" xfId="0" applyFont="1" applyBorder="1" applyAlignment="1" applyProtection="1"/>
    <xf numFmtId="0" fontId="16" fillId="0" borderId="41" xfId="0" applyFont="1" applyBorder="1" applyAlignment="1" applyProtection="1"/>
    <xf numFmtId="0" fontId="128" fillId="0" borderId="20" xfId="0" applyFont="1" applyBorder="1" applyAlignment="1" applyProtection="1">
      <alignment wrapText="1"/>
    </xf>
    <xf numFmtId="0" fontId="16" fillId="0" borderId="0" xfId="0" applyFont="1" applyBorder="1" applyAlignment="1" applyProtection="1"/>
    <xf numFmtId="0" fontId="16" fillId="0" borderId="40" xfId="0" applyFont="1" applyBorder="1" applyAlignment="1" applyProtection="1"/>
    <xf numFmtId="0" fontId="128" fillId="0" borderId="44" xfId="0" applyFont="1" applyBorder="1" applyAlignment="1" applyProtection="1">
      <alignment wrapText="1"/>
    </xf>
    <xf numFmtId="0" fontId="16" fillId="0" borderId="36" xfId="0" applyFont="1" applyBorder="1" applyAlignment="1" applyProtection="1"/>
    <xf numFmtId="0" fontId="16" fillId="0" borderId="57" xfId="0" applyFont="1" applyBorder="1" applyAlignment="1" applyProtection="1"/>
    <xf numFmtId="0" fontId="5" fillId="0" borderId="15" xfId="0" applyFont="1" applyFill="1" applyBorder="1" applyAlignment="1" applyProtection="1">
      <alignment vertical="center"/>
    </xf>
    <xf numFmtId="43" fontId="3" fillId="0" borderId="14" xfId="4" applyFont="1" applyFill="1" applyBorder="1" applyAlignment="1" applyProtection="1">
      <alignment vertical="center"/>
    </xf>
    <xf numFmtId="0" fontId="0" fillId="0" borderId="15" xfId="0" applyFont="1" applyFill="1" applyBorder="1" applyAlignment="1" applyProtection="1">
      <alignment vertical="center"/>
    </xf>
    <xf numFmtId="0" fontId="0" fillId="0" borderId="43" xfId="0" applyBorder="1" applyAlignment="1" applyProtection="1"/>
    <xf numFmtId="0" fontId="0" fillId="0" borderId="41" xfId="0" applyBorder="1" applyAlignment="1" applyProtection="1"/>
    <xf numFmtId="43" fontId="3" fillId="0" borderId="12" xfId="4" applyFont="1" applyFill="1" applyBorder="1" applyAlignment="1" applyProtection="1">
      <alignment vertical="center"/>
    </xf>
    <xf numFmtId="0" fontId="0" fillId="0" borderId="0" xfId="0" applyBorder="1" applyAlignment="1" applyProtection="1"/>
    <xf numFmtId="0" fontId="0" fillId="0" borderId="40" xfId="0" applyBorder="1" applyAlignment="1" applyProtection="1"/>
    <xf numFmtId="167" fontId="0" fillId="0" borderId="0" xfId="4" applyNumberFormat="1" applyFont="1" applyAlignment="1" applyProtection="1">
      <alignment vertical="top"/>
    </xf>
    <xf numFmtId="0" fontId="0" fillId="0" borderId="36" xfId="0" applyBorder="1" applyAlignment="1" applyProtection="1"/>
    <xf numFmtId="0" fontId="0" fillId="0" borderId="57" xfId="0" applyBorder="1" applyAlignment="1" applyProtection="1"/>
    <xf numFmtId="167" fontId="0" fillId="0" borderId="0" xfId="4" applyNumberFormat="1" applyFont="1" applyFill="1" applyAlignment="1" applyProtection="1">
      <alignment vertical="top"/>
    </xf>
    <xf numFmtId="0" fontId="25" fillId="8" borderId="12" xfId="0" applyFont="1" applyFill="1" applyBorder="1" applyAlignment="1" applyProtection="1">
      <alignment horizontal="left" vertical="center" wrapText="1"/>
    </xf>
    <xf numFmtId="0" fontId="16" fillId="8" borderId="12" xfId="0" applyFont="1" applyFill="1" applyBorder="1" applyAlignment="1" applyProtection="1">
      <alignment horizontal="center" vertical="center"/>
    </xf>
    <xf numFmtId="167" fontId="0" fillId="7" borderId="12" xfId="4" applyNumberFormat="1" applyFont="1" applyFill="1" applyBorder="1" applyAlignment="1" applyProtection="1">
      <alignment horizontal="left" vertical="center"/>
    </xf>
    <xf numFmtId="43" fontId="3" fillId="0" borderId="22" xfId="4" applyFont="1" applyFill="1" applyBorder="1" applyAlignment="1" applyProtection="1">
      <alignment vertical="center"/>
    </xf>
    <xf numFmtId="9" fontId="0" fillId="7" borderId="12" xfId="5" applyFont="1" applyFill="1" applyBorder="1" applyAlignment="1" applyProtection="1">
      <alignment horizontal="right" vertical="center"/>
    </xf>
    <xf numFmtId="43" fontId="130" fillId="0" borderId="12" xfId="4" applyFont="1" applyFill="1" applyBorder="1" applyAlignment="1" applyProtection="1">
      <alignment vertical="center" wrapText="1"/>
    </xf>
    <xf numFmtId="43" fontId="5" fillId="0" borderId="12" xfId="4" applyFont="1" applyFill="1" applyBorder="1" applyAlignment="1" applyProtection="1">
      <alignment vertical="center"/>
    </xf>
    <xf numFmtId="43" fontId="5" fillId="0" borderId="22" xfId="4" applyFont="1" applyFill="1" applyBorder="1" applyAlignment="1" applyProtection="1">
      <alignment vertical="center"/>
    </xf>
    <xf numFmtId="0" fontId="5" fillId="0" borderId="23" xfId="0" applyFont="1" applyFill="1" applyBorder="1" applyAlignment="1" applyProtection="1">
      <alignment vertical="center"/>
    </xf>
    <xf numFmtId="0" fontId="5" fillId="0" borderId="83" xfId="0" applyFont="1" applyFill="1" applyBorder="1" applyAlignment="1" applyProtection="1">
      <alignment vertical="center"/>
    </xf>
    <xf numFmtId="43" fontId="130" fillId="0" borderId="24" xfId="4" applyFont="1" applyFill="1" applyBorder="1" applyAlignment="1" applyProtection="1">
      <alignment vertical="center" wrapText="1"/>
    </xf>
    <xf numFmtId="43" fontId="5" fillId="0" borderId="24" xfId="4" applyFont="1" applyFill="1" applyBorder="1" applyAlignment="1" applyProtection="1">
      <alignment vertical="center"/>
    </xf>
    <xf numFmtId="43" fontId="5" fillId="0" borderId="25" xfId="4" applyFont="1" applyFill="1" applyBorder="1" applyAlignment="1" applyProtection="1">
      <alignment vertical="center"/>
    </xf>
    <xf numFmtId="0" fontId="0" fillId="10" borderId="0" xfId="0" applyFill="1" applyAlignment="1" applyProtection="1">
      <alignment vertical="top"/>
    </xf>
    <xf numFmtId="0" fontId="128" fillId="10" borderId="0" xfId="0" applyFont="1" applyFill="1" applyAlignment="1" applyProtection="1">
      <alignment vertical="top" wrapText="1"/>
    </xf>
    <xf numFmtId="0" fontId="33" fillId="10" borderId="0" xfId="0" applyFont="1" applyFill="1" applyAlignment="1" applyProtection="1">
      <alignment vertical="top"/>
    </xf>
    <xf numFmtId="0" fontId="128" fillId="4" borderId="0" xfId="0" applyFont="1" applyFill="1" applyBorder="1" applyAlignment="1" applyProtection="1">
      <alignment vertical="top" wrapText="1"/>
    </xf>
    <xf numFmtId="0" fontId="16" fillId="4" borderId="0" xfId="0" applyFont="1" applyFill="1" applyBorder="1" applyAlignment="1" applyProtection="1">
      <alignment vertical="top" wrapText="1"/>
    </xf>
    <xf numFmtId="0" fontId="29" fillId="13" borderId="36" xfId="0" applyFont="1" applyFill="1" applyBorder="1" applyAlignment="1" applyProtection="1">
      <alignment vertical="top" wrapText="1"/>
    </xf>
    <xf numFmtId="0" fontId="29" fillId="13" borderId="36" xfId="0" applyFont="1" applyFill="1" applyBorder="1" applyAlignment="1" applyProtection="1">
      <alignment vertical="top"/>
    </xf>
    <xf numFmtId="167" fontId="5" fillId="0" borderId="12" xfId="2" applyNumberFormat="1" applyFont="1" applyFill="1" applyBorder="1" applyAlignment="1" applyProtection="1">
      <alignment vertical="top"/>
    </xf>
    <xf numFmtId="43" fontId="38" fillId="0" borderId="14" xfId="2" applyFont="1" applyFill="1" applyBorder="1" applyAlignment="1" applyProtection="1">
      <alignment vertical="top" wrapText="1"/>
    </xf>
    <xf numFmtId="43" fontId="38" fillId="0" borderId="14" xfId="2" applyFont="1" applyFill="1" applyBorder="1" applyAlignment="1" applyProtection="1">
      <alignment vertical="top"/>
    </xf>
    <xf numFmtId="43" fontId="38" fillId="0" borderId="15" xfId="2" applyFont="1" applyFill="1" applyBorder="1" applyAlignment="1" applyProtection="1">
      <alignment vertical="top"/>
    </xf>
    <xf numFmtId="167" fontId="0" fillId="0" borderId="12" xfId="0" applyNumberFormat="1" applyFill="1" applyBorder="1" applyAlignment="1" applyProtection="1">
      <alignment vertical="top"/>
    </xf>
    <xf numFmtId="167" fontId="0" fillId="0" borderId="0" xfId="0" applyNumberFormat="1" applyFill="1" applyAlignment="1" applyProtection="1">
      <alignment vertical="top"/>
    </xf>
    <xf numFmtId="167" fontId="38" fillId="0" borderId="36" xfId="2" applyNumberFormat="1" applyFont="1" applyFill="1" applyBorder="1" applyAlignment="1" applyProtection="1">
      <alignment vertical="top" wrapText="1"/>
    </xf>
    <xf numFmtId="167" fontId="38" fillId="0" borderId="36" xfId="2" applyNumberFormat="1" applyFont="1" applyFill="1" applyBorder="1" applyAlignment="1" applyProtection="1">
      <alignment vertical="top"/>
    </xf>
    <xf numFmtId="167" fontId="38" fillId="0" borderId="57" xfId="2" applyNumberFormat="1" applyFont="1" applyFill="1" applyBorder="1" applyAlignment="1" applyProtection="1">
      <alignment vertical="top"/>
    </xf>
    <xf numFmtId="167" fontId="5" fillId="0" borderId="0" xfId="0" applyNumberFormat="1" applyFont="1" applyFill="1" applyAlignment="1" applyProtection="1">
      <alignment vertical="top"/>
    </xf>
    <xf numFmtId="167" fontId="5" fillId="0" borderId="12" xfId="0" applyNumberFormat="1" applyFont="1" applyFill="1" applyBorder="1" applyAlignment="1" applyProtection="1">
      <alignment vertical="top" wrapText="1"/>
    </xf>
    <xf numFmtId="167" fontId="5" fillId="0" borderId="12" xfId="0" applyNumberFormat="1" applyFont="1" applyFill="1" applyBorder="1" applyAlignment="1" applyProtection="1">
      <alignment vertical="top"/>
    </xf>
    <xf numFmtId="0" fontId="0" fillId="0" borderId="0" xfId="0" applyAlignment="1" applyProtection="1">
      <alignment vertical="top" wrapText="1"/>
    </xf>
    <xf numFmtId="43" fontId="38" fillId="0" borderId="36" xfId="2" applyFont="1" applyFill="1" applyBorder="1" applyAlignment="1" applyProtection="1">
      <alignment vertical="top" wrapText="1"/>
    </xf>
    <xf numFmtId="43" fontId="38" fillId="0" borderId="36" xfId="2" applyFont="1" applyFill="1" applyBorder="1" applyAlignment="1" applyProtection="1">
      <alignment vertical="top"/>
    </xf>
    <xf numFmtId="43" fontId="38" fillId="0" borderId="57" xfId="2" applyFont="1" applyFill="1" applyBorder="1" applyAlignment="1" applyProtection="1">
      <alignment vertical="top"/>
    </xf>
    <xf numFmtId="0" fontId="33" fillId="0" borderId="0" xfId="0" applyFont="1" applyAlignment="1" applyProtection="1">
      <alignment vertical="top" wrapText="1"/>
    </xf>
    <xf numFmtId="167" fontId="0" fillId="0" borderId="12" xfId="4" applyNumberFormat="1" applyFont="1" applyBorder="1" applyAlignment="1" applyProtection="1">
      <alignment vertical="top"/>
    </xf>
    <xf numFmtId="0" fontId="29" fillId="13" borderId="0" xfId="0" applyFont="1" applyFill="1" applyBorder="1" applyAlignment="1" applyProtection="1">
      <alignment vertical="top" wrapText="1"/>
    </xf>
    <xf numFmtId="0" fontId="29" fillId="13" borderId="0" xfId="0" applyFont="1" applyFill="1" applyBorder="1" applyAlignment="1" applyProtection="1">
      <alignment vertical="top"/>
    </xf>
    <xf numFmtId="167" fontId="16" fillId="0" borderId="12" xfId="4" applyNumberFormat="1" applyFont="1" applyBorder="1" applyAlignment="1" applyProtection="1">
      <alignment vertical="top"/>
    </xf>
    <xf numFmtId="0" fontId="0" fillId="0" borderId="13" xfId="0" applyBorder="1" applyAlignment="1" applyProtection="1">
      <alignment vertical="top"/>
    </xf>
    <xf numFmtId="0" fontId="16" fillId="0" borderId="14" xfId="0" applyFont="1" applyBorder="1" applyAlignment="1" applyProtection="1">
      <alignment vertical="top"/>
    </xf>
    <xf numFmtId="0" fontId="16" fillId="0" borderId="15" xfId="0" applyFont="1" applyBorder="1" applyAlignment="1" applyProtection="1">
      <alignment vertical="top"/>
    </xf>
    <xf numFmtId="0" fontId="21" fillId="0" borderId="12" xfId="0" applyFont="1" applyBorder="1" applyAlignment="1" applyProtection="1">
      <alignment vertical="top"/>
    </xf>
    <xf numFmtId="0" fontId="21" fillId="0" borderId="13" xfId="0" applyFont="1" applyBorder="1" applyAlignment="1" applyProtection="1">
      <alignment vertical="top"/>
    </xf>
    <xf numFmtId="167" fontId="72" fillId="0" borderId="14" xfId="4" applyNumberFormat="1" applyFont="1" applyBorder="1" applyAlignment="1" applyProtection="1">
      <alignment vertical="top"/>
    </xf>
    <xf numFmtId="0" fontId="21" fillId="0" borderId="0" xfId="0" applyFont="1" applyAlignment="1" applyProtection="1">
      <alignment vertical="top"/>
    </xf>
    <xf numFmtId="0" fontId="21" fillId="0" borderId="0" xfId="0" applyFont="1" applyFill="1" applyAlignment="1" applyProtection="1">
      <alignment vertical="top"/>
    </xf>
    <xf numFmtId="0" fontId="19" fillId="6" borderId="68" xfId="0" applyFont="1" applyFill="1" applyBorder="1" applyAlignment="1" applyProtection="1">
      <alignment vertical="center"/>
    </xf>
    <xf numFmtId="1" fontId="4" fillId="6" borderId="67" xfId="0" applyNumberFormat="1" applyFont="1" applyFill="1" applyBorder="1" applyAlignment="1" applyProtection="1">
      <alignment horizontal="center" vertical="center" wrapText="1"/>
    </xf>
    <xf numFmtId="0" fontId="163" fillId="11" borderId="48" xfId="0" applyFont="1" applyFill="1" applyBorder="1" applyAlignment="1" applyProtection="1">
      <alignment vertical="center"/>
    </xf>
    <xf numFmtId="0" fontId="163" fillId="11" borderId="65" xfId="0" applyFont="1" applyFill="1" applyBorder="1" applyAlignment="1" applyProtection="1">
      <alignment vertical="center"/>
    </xf>
    <xf numFmtId="0" fontId="163" fillId="11" borderId="70" xfId="0" applyFont="1" applyFill="1" applyBorder="1" applyAlignment="1" applyProtection="1">
      <alignment vertical="center"/>
    </xf>
    <xf numFmtId="0" fontId="46" fillId="21" borderId="45" xfId="0" applyFont="1" applyFill="1" applyBorder="1" applyAlignment="1" applyProtection="1">
      <alignment horizontal="left" indent="2"/>
    </xf>
    <xf numFmtId="0" fontId="11" fillId="21" borderId="64" xfId="0" applyFont="1" applyFill="1" applyBorder="1" applyAlignment="1" applyProtection="1"/>
    <xf numFmtId="0" fontId="11" fillId="21" borderId="69" xfId="0" applyFont="1" applyFill="1" applyBorder="1" applyAlignment="1" applyProtection="1"/>
    <xf numFmtId="0" fontId="16" fillId="7" borderId="48" xfId="0" applyFont="1" applyFill="1" applyBorder="1" applyAlignment="1" applyProtection="1">
      <alignment vertical="center"/>
    </xf>
    <xf numFmtId="167" fontId="16" fillId="7" borderId="52" xfId="4" applyNumberFormat="1" applyFont="1" applyFill="1" applyBorder="1" applyAlignment="1" applyProtection="1">
      <alignment vertical="center"/>
    </xf>
    <xf numFmtId="0" fontId="16" fillId="38" borderId="61" xfId="0" applyFont="1" applyFill="1" applyBorder="1" applyAlignment="1" applyProtection="1">
      <alignment vertical="center"/>
    </xf>
    <xf numFmtId="167" fontId="16" fillId="38" borderId="63" xfId="4" applyNumberFormat="1" applyFont="1" applyFill="1" applyBorder="1" applyAlignment="1" applyProtection="1">
      <alignment vertical="center"/>
    </xf>
    <xf numFmtId="0" fontId="39" fillId="38" borderId="61" xfId="0" applyFont="1" applyFill="1" applyBorder="1" applyAlignment="1" applyProtection="1">
      <alignment vertical="center"/>
    </xf>
    <xf numFmtId="0" fontId="16" fillId="39" borderId="61" xfId="0" applyFont="1" applyFill="1" applyBorder="1" applyAlignment="1" applyProtection="1">
      <alignment vertical="center"/>
    </xf>
    <xf numFmtId="167" fontId="16" fillId="39" borderId="63" xfId="4" applyNumberFormat="1" applyFont="1" applyFill="1" applyBorder="1" applyAlignment="1" applyProtection="1">
      <alignment vertical="center"/>
    </xf>
    <xf numFmtId="0" fontId="39" fillId="39" borderId="61" xfId="0" applyFont="1" applyFill="1" applyBorder="1" applyAlignment="1" applyProtection="1">
      <alignment vertical="center"/>
    </xf>
    <xf numFmtId="167" fontId="16" fillId="0" borderId="52" xfId="4" applyNumberFormat="1" applyFont="1" applyFill="1" applyBorder="1" applyAlignment="1" applyProtection="1">
      <alignment vertical="center"/>
    </xf>
    <xf numFmtId="0" fontId="16" fillId="0" borderId="48" xfId="0" applyFont="1" applyFill="1" applyBorder="1" applyAlignment="1" applyProtection="1">
      <alignment vertical="center"/>
    </xf>
    <xf numFmtId="0" fontId="39" fillId="7" borderId="157" xfId="0" applyFont="1" applyFill="1" applyBorder="1" applyAlignment="1" applyProtection="1">
      <alignment vertical="top"/>
    </xf>
    <xf numFmtId="0" fontId="0" fillId="7" borderId="2" xfId="0" applyFont="1" applyFill="1" applyBorder="1" applyAlignment="1" applyProtection="1">
      <alignment vertical="top"/>
    </xf>
    <xf numFmtId="167" fontId="33" fillId="7" borderId="2" xfId="4" applyNumberFormat="1" applyFont="1" applyFill="1" applyBorder="1" applyAlignment="1" applyProtection="1">
      <alignment vertical="top"/>
    </xf>
    <xf numFmtId="167" fontId="39" fillId="7" borderId="2" xfId="4" applyNumberFormat="1" applyFont="1" applyFill="1" applyBorder="1" applyAlignment="1" applyProtection="1">
      <alignment vertical="top"/>
    </xf>
    <xf numFmtId="167" fontId="39" fillId="7" borderId="3" xfId="4" applyNumberFormat="1" applyFont="1" applyFill="1" applyBorder="1" applyAlignment="1" applyProtection="1">
      <alignment vertical="top"/>
    </xf>
    <xf numFmtId="0" fontId="16" fillId="38" borderId="135" xfId="0" applyFont="1" applyFill="1" applyBorder="1" applyAlignment="1" applyProtection="1">
      <alignment vertical="center"/>
    </xf>
    <xf numFmtId="167" fontId="33" fillId="38" borderId="63" xfId="4" applyNumberFormat="1" applyFont="1" applyFill="1" applyBorder="1" applyAlignment="1" applyProtection="1">
      <alignment vertical="center"/>
    </xf>
    <xf numFmtId="167" fontId="33" fillId="38" borderId="108" xfId="4" applyNumberFormat="1" applyFont="1" applyFill="1" applyBorder="1" applyAlignment="1" applyProtection="1">
      <alignment vertical="center"/>
    </xf>
    <xf numFmtId="0" fontId="16" fillId="39" borderId="135" xfId="0" applyFont="1" applyFill="1" applyBorder="1" applyAlignment="1" applyProtection="1">
      <alignment vertical="center"/>
    </xf>
    <xf numFmtId="167" fontId="33" fillId="39" borderId="63" xfId="4" applyNumberFormat="1" applyFont="1" applyFill="1" applyBorder="1" applyAlignment="1" applyProtection="1">
      <alignment vertical="center"/>
    </xf>
    <xf numFmtId="167" fontId="33" fillId="39" borderId="108" xfId="4" applyNumberFormat="1" applyFont="1" applyFill="1" applyBorder="1" applyAlignment="1" applyProtection="1">
      <alignment vertical="center"/>
    </xf>
    <xf numFmtId="0" fontId="46" fillId="7" borderId="135" xfId="0" applyFont="1" applyFill="1" applyBorder="1" applyAlignment="1" applyProtection="1">
      <alignment horizontal="left" indent="2"/>
    </xf>
    <xf numFmtId="0" fontId="16" fillId="7" borderId="61" xfId="0" applyFont="1" applyFill="1" applyBorder="1" applyAlignment="1" applyProtection="1">
      <alignment horizontal="left" vertical="center"/>
    </xf>
    <xf numFmtId="167" fontId="33" fillId="0" borderId="63" xfId="4" applyNumberFormat="1" applyFont="1" applyFill="1" applyBorder="1" applyAlignment="1" applyProtection="1">
      <alignment vertical="center"/>
    </xf>
    <xf numFmtId="167" fontId="33" fillId="0" borderId="108" xfId="4" applyNumberFormat="1" applyFont="1" applyFill="1" applyBorder="1" applyAlignment="1" applyProtection="1">
      <alignment vertical="center"/>
    </xf>
    <xf numFmtId="0" fontId="46" fillId="7" borderId="156" xfId="0" applyFont="1" applyFill="1" applyBorder="1" applyAlignment="1" applyProtection="1">
      <alignment horizontal="left" indent="2"/>
    </xf>
    <xf numFmtId="0" fontId="16" fillId="7" borderId="158" xfId="0" applyFont="1" applyFill="1" applyBorder="1" applyAlignment="1" applyProtection="1">
      <alignment horizontal="left" vertical="center"/>
    </xf>
    <xf numFmtId="167" fontId="33" fillId="7" borderId="131" xfId="4" applyNumberFormat="1" applyFont="1" applyFill="1" applyBorder="1" applyAlignment="1" applyProtection="1">
      <alignment vertical="center"/>
    </xf>
    <xf numFmtId="167" fontId="33" fillId="7" borderId="132" xfId="4" applyNumberFormat="1" applyFont="1" applyFill="1" applyBorder="1" applyAlignment="1" applyProtection="1">
      <alignment vertical="center"/>
    </xf>
    <xf numFmtId="43" fontId="16" fillId="0" borderId="52" xfId="4" applyFont="1" applyFill="1" applyBorder="1" applyAlignment="1" applyProtection="1">
      <alignment vertical="center"/>
    </xf>
    <xf numFmtId="0" fontId="16" fillId="7" borderId="52" xfId="0" applyFont="1" applyFill="1" applyBorder="1" applyAlignment="1" applyProtection="1">
      <alignment vertical="center"/>
    </xf>
    <xf numFmtId="0" fontId="16" fillId="0" borderId="52" xfId="0" applyFont="1" applyFill="1" applyBorder="1" applyAlignment="1" applyProtection="1">
      <alignment vertical="center"/>
    </xf>
    <xf numFmtId="167" fontId="0" fillId="0" borderId="0" xfId="0" applyNumberFormat="1" applyAlignment="1" applyProtection="1">
      <alignment vertical="top"/>
    </xf>
    <xf numFmtId="0" fontId="46" fillId="21" borderId="48" xfId="0" applyFont="1" applyFill="1" applyBorder="1" applyAlignment="1" applyProtection="1">
      <alignment horizontal="left" indent="2"/>
    </xf>
    <xf numFmtId="0" fontId="11" fillId="21" borderId="65" xfId="0" applyFont="1" applyFill="1" applyBorder="1" applyAlignment="1" applyProtection="1"/>
    <xf numFmtId="0" fontId="11" fillId="21" borderId="70" xfId="0" applyFont="1" applyFill="1" applyBorder="1" applyAlignment="1" applyProtection="1"/>
    <xf numFmtId="0" fontId="46" fillId="7" borderId="45" xfId="0" applyFont="1" applyFill="1" applyBorder="1" applyAlignment="1" applyProtection="1">
      <alignment horizontal="left" indent="2"/>
    </xf>
    <xf numFmtId="0" fontId="11" fillId="7" borderId="64" xfId="0" applyFont="1" applyFill="1" applyBorder="1" applyAlignment="1" applyProtection="1"/>
    <xf numFmtId="0" fontId="11" fillId="7" borderId="69" xfId="0" applyFont="1" applyFill="1" applyBorder="1" applyAlignment="1" applyProtection="1"/>
    <xf numFmtId="0" fontId="16" fillId="0" borderId="61" xfId="0" applyFont="1" applyFill="1" applyBorder="1" applyAlignment="1" applyProtection="1">
      <alignment vertical="center"/>
    </xf>
    <xf numFmtId="0" fontId="16" fillId="7" borderId="48" xfId="0" applyFont="1" applyFill="1" applyBorder="1" applyAlignment="1" applyProtection="1">
      <alignment horizontal="left" vertical="center"/>
    </xf>
    <xf numFmtId="167" fontId="33" fillId="7" borderId="52" xfId="4" applyNumberFormat="1" applyFont="1" applyFill="1" applyBorder="1" applyAlignment="1" applyProtection="1">
      <alignment vertical="center"/>
    </xf>
    <xf numFmtId="0" fontId="39" fillId="0" borderId="61" xfId="0" applyFont="1" applyFill="1" applyBorder="1" applyAlignment="1" applyProtection="1">
      <alignment vertical="center"/>
    </xf>
    <xf numFmtId="0" fontId="39" fillId="0" borderId="48" xfId="0" applyFont="1" applyFill="1" applyBorder="1" applyAlignment="1" applyProtection="1">
      <alignment vertical="center"/>
    </xf>
    <xf numFmtId="167" fontId="33" fillId="0" borderId="52" xfId="4" applyNumberFormat="1" applyFont="1" applyFill="1" applyBorder="1" applyAlignment="1" applyProtection="1">
      <alignment vertical="center"/>
    </xf>
    <xf numFmtId="0" fontId="46" fillId="0" borderId="45" xfId="0" applyFont="1" applyFill="1" applyBorder="1" applyAlignment="1" applyProtection="1">
      <alignment horizontal="left" indent="2"/>
    </xf>
    <xf numFmtId="0" fontId="11" fillId="0" borderId="64" xfId="0" applyFont="1" applyFill="1" applyBorder="1" applyAlignment="1" applyProtection="1"/>
    <xf numFmtId="167" fontId="11" fillId="0" borderId="64" xfId="0" applyNumberFormat="1" applyFont="1" applyFill="1" applyBorder="1" applyAlignment="1" applyProtection="1"/>
    <xf numFmtId="0" fontId="50" fillId="0" borderId="0" xfId="0" applyFont="1" applyAlignment="1" applyProtection="1">
      <alignment vertical="top"/>
    </xf>
    <xf numFmtId="167" fontId="50" fillId="0" borderId="0" xfId="0" applyNumberFormat="1" applyFont="1" applyAlignment="1" applyProtection="1">
      <alignment vertical="top"/>
    </xf>
    <xf numFmtId="0" fontId="50" fillId="0" borderId="0" xfId="0" applyFont="1" applyFill="1" applyAlignment="1" applyProtection="1">
      <alignment vertical="top"/>
    </xf>
    <xf numFmtId="167" fontId="16" fillId="0" borderId="63" xfId="4" applyNumberFormat="1" applyFont="1" applyFill="1" applyBorder="1" applyAlignment="1" applyProtection="1">
      <alignment vertical="center"/>
    </xf>
    <xf numFmtId="0" fontId="39" fillId="7" borderId="128" xfId="0" applyFont="1" applyFill="1" applyBorder="1" applyAlignment="1" applyProtection="1">
      <alignment vertical="center"/>
    </xf>
    <xf numFmtId="0" fontId="0" fillId="7" borderId="65" xfId="0" applyFont="1" applyFill="1" applyBorder="1" applyAlignment="1" applyProtection="1">
      <alignment vertical="center"/>
    </xf>
    <xf numFmtId="167" fontId="33" fillId="0" borderId="104" xfId="4" applyNumberFormat="1" applyFont="1" applyFill="1" applyBorder="1" applyAlignment="1" applyProtection="1">
      <alignment vertical="center"/>
    </xf>
    <xf numFmtId="0" fontId="39" fillId="38" borderId="133" xfId="0" applyFont="1" applyFill="1" applyBorder="1" applyAlignment="1" applyProtection="1">
      <alignment vertical="center"/>
    </xf>
    <xf numFmtId="0" fontId="0" fillId="38" borderId="66" xfId="0" applyFont="1" applyFill="1" applyBorder="1" applyAlignment="1" applyProtection="1">
      <alignment vertical="center"/>
    </xf>
    <xf numFmtId="0" fontId="39" fillId="39" borderId="133" xfId="0" applyFont="1" applyFill="1" applyBorder="1" applyAlignment="1" applyProtection="1">
      <alignment vertical="center"/>
    </xf>
    <xf numFmtId="0" fontId="0" fillId="39" borderId="66" xfId="0" applyFont="1" applyFill="1" applyBorder="1" applyAlignment="1" applyProtection="1">
      <alignment vertical="center"/>
    </xf>
    <xf numFmtId="0" fontId="39" fillId="7" borderId="156" xfId="0" applyFont="1" applyFill="1" applyBorder="1" applyAlignment="1" applyProtection="1">
      <alignment horizontal="left" vertical="center" indent="2"/>
    </xf>
    <xf numFmtId="0" fontId="0" fillId="7" borderId="149" xfId="0" applyFont="1" applyFill="1" applyBorder="1" applyAlignment="1" applyProtection="1">
      <alignment horizontal="left" vertical="center" indent="2"/>
    </xf>
    <xf numFmtId="167" fontId="72" fillId="0" borderId="52" xfId="4" applyNumberFormat="1" applyFont="1" applyFill="1" applyBorder="1" applyAlignment="1" applyProtection="1">
      <alignment vertical="center"/>
    </xf>
    <xf numFmtId="167" fontId="31" fillId="7" borderId="52" xfId="4" applyNumberFormat="1" applyFont="1" applyFill="1" applyBorder="1" applyAlignment="1" applyProtection="1">
      <alignment vertical="center"/>
    </xf>
    <xf numFmtId="0" fontId="16" fillId="7" borderId="48" xfId="0" applyFont="1" applyFill="1" applyBorder="1" applyAlignment="1" applyProtection="1">
      <alignment horizontal="left" vertical="center" indent="2"/>
    </xf>
    <xf numFmtId="0" fontId="16" fillId="7" borderId="61" xfId="0" applyFont="1" applyFill="1" applyBorder="1" applyAlignment="1" applyProtection="1">
      <alignment horizontal="left" vertical="center" indent="2"/>
    </xf>
    <xf numFmtId="167" fontId="33" fillId="7" borderId="66" xfId="4" applyNumberFormat="1" applyFont="1" applyFill="1" applyBorder="1" applyAlignment="1" applyProtection="1">
      <alignment vertical="center"/>
    </xf>
    <xf numFmtId="167" fontId="33" fillId="7" borderId="65" xfId="4" applyNumberFormat="1" applyFont="1" applyFill="1" applyBorder="1" applyAlignment="1" applyProtection="1">
      <alignment vertical="center"/>
    </xf>
    <xf numFmtId="167" fontId="33" fillId="7" borderId="70" xfId="4" applyNumberFormat="1" applyFont="1" applyFill="1" applyBorder="1" applyAlignment="1" applyProtection="1">
      <alignment vertical="center"/>
    </xf>
    <xf numFmtId="0" fontId="39" fillId="7" borderId="61" xfId="0" applyFont="1" applyFill="1" applyBorder="1" applyAlignment="1" applyProtection="1">
      <alignment horizontal="left" vertical="center" indent="2"/>
    </xf>
    <xf numFmtId="0" fontId="39" fillId="7" borderId="61" xfId="0" applyFont="1" applyFill="1" applyBorder="1" applyAlignment="1" applyProtection="1">
      <alignment vertical="top"/>
    </xf>
    <xf numFmtId="0" fontId="16" fillId="7" borderId="61" xfId="0" applyFont="1" applyFill="1" applyBorder="1" applyAlignment="1" applyProtection="1">
      <alignment vertical="top"/>
    </xf>
    <xf numFmtId="0" fontId="39" fillId="7" borderId="63" xfId="0" applyFont="1" applyFill="1" applyBorder="1" applyAlignment="1" applyProtection="1">
      <alignment vertical="top"/>
    </xf>
    <xf numFmtId="0" fontId="16" fillId="7" borderId="63" xfId="0" applyFont="1" applyFill="1" applyBorder="1" applyAlignment="1" applyProtection="1">
      <alignment vertical="top"/>
    </xf>
    <xf numFmtId="167" fontId="33" fillId="7" borderId="63" xfId="4" applyNumberFormat="1" applyFont="1" applyFill="1" applyBorder="1" applyAlignment="1" applyProtection="1">
      <alignment vertical="top"/>
    </xf>
    <xf numFmtId="167" fontId="33" fillId="0" borderId="63" xfId="4" applyNumberFormat="1" applyFont="1" applyFill="1" applyBorder="1" applyAlignment="1" applyProtection="1">
      <alignment vertical="top"/>
    </xf>
    <xf numFmtId="0" fontId="0" fillId="0" borderId="66" xfId="0" applyFill="1" applyBorder="1" applyAlignment="1" applyProtection="1">
      <alignment vertical="center"/>
    </xf>
    <xf numFmtId="0" fontId="16" fillId="7" borderId="45" xfId="0" applyFont="1" applyFill="1" applyBorder="1" applyAlignment="1" applyProtection="1">
      <alignment vertical="center"/>
    </xf>
    <xf numFmtId="167" fontId="72" fillId="7" borderId="99" xfId="4" applyNumberFormat="1" applyFont="1" applyFill="1" applyBorder="1" applyAlignment="1" applyProtection="1">
      <alignment vertical="center"/>
    </xf>
    <xf numFmtId="167" fontId="33" fillId="7" borderId="99" xfId="4" applyNumberFormat="1" applyFont="1" applyFill="1" applyBorder="1" applyAlignment="1" applyProtection="1">
      <alignment vertical="center"/>
    </xf>
    <xf numFmtId="0" fontId="16" fillId="12" borderId="48" xfId="0" applyFont="1" applyFill="1" applyBorder="1" applyAlignment="1" applyProtection="1">
      <alignment vertical="center"/>
    </xf>
    <xf numFmtId="167" fontId="33" fillId="12" borderId="52" xfId="4" applyNumberFormat="1" applyFont="1" applyFill="1" applyBorder="1" applyAlignment="1" applyProtection="1">
      <alignment vertical="center"/>
    </xf>
    <xf numFmtId="0" fontId="16" fillId="41" borderId="48" xfId="0" applyFont="1" applyFill="1" applyBorder="1" applyAlignment="1" applyProtection="1">
      <alignment vertical="center"/>
    </xf>
    <xf numFmtId="167" fontId="33" fillId="41" borderId="52" xfId="4" applyNumberFormat="1" applyFont="1" applyFill="1" applyBorder="1" applyAlignment="1" applyProtection="1">
      <alignment vertical="center"/>
    </xf>
    <xf numFmtId="0" fontId="38" fillId="7" borderId="155" xfId="0" applyFont="1" applyFill="1" applyBorder="1" applyAlignment="1" applyProtection="1">
      <alignment vertical="center"/>
    </xf>
    <xf numFmtId="0" fontId="0" fillId="7" borderId="153" xfId="0" applyFont="1" applyFill="1" applyBorder="1" applyAlignment="1" applyProtection="1">
      <alignment vertical="center"/>
    </xf>
    <xf numFmtId="0" fontId="38" fillId="7" borderId="153" xfId="0" applyFont="1" applyFill="1" applyBorder="1" applyAlignment="1" applyProtection="1">
      <alignment vertical="center"/>
    </xf>
    <xf numFmtId="0" fontId="38" fillId="7" borderId="154" xfId="0" applyFont="1" applyFill="1" applyBorder="1" applyAlignment="1" applyProtection="1">
      <alignment vertical="center"/>
    </xf>
    <xf numFmtId="0" fontId="39" fillId="7" borderId="134" xfId="0" applyFont="1" applyFill="1" applyBorder="1" applyAlignment="1" applyProtection="1">
      <alignment vertical="center"/>
    </xf>
    <xf numFmtId="0" fontId="0" fillId="7" borderId="64" xfId="0" applyFont="1" applyFill="1" applyBorder="1" applyAlignment="1" applyProtection="1">
      <alignment vertical="center"/>
    </xf>
    <xf numFmtId="167" fontId="33" fillId="7" borderId="104" xfId="4" applyNumberFormat="1" applyFont="1" applyFill="1" applyBorder="1" applyAlignment="1" applyProtection="1">
      <alignment vertical="center"/>
    </xf>
    <xf numFmtId="0" fontId="39" fillId="12" borderId="128" xfId="0" applyFont="1" applyFill="1" applyBorder="1" applyAlignment="1" applyProtection="1">
      <alignment vertical="center"/>
    </xf>
    <xf numFmtId="0" fontId="0" fillId="12" borderId="65" xfId="0" applyFont="1" applyFill="1" applyBorder="1" applyAlignment="1" applyProtection="1">
      <alignment vertical="center"/>
    </xf>
    <xf numFmtId="167" fontId="33" fillId="12" borderId="104" xfId="4" applyNumberFormat="1" applyFont="1" applyFill="1" applyBorder="1" applyAlignment="1" applyProtection="1">
      <alignment vertical="center"/>
    </xf>
    <xf numFmtId="0" fontId="39" fillId="41" borderId="128" xfId="0" applyFont="1" applyFill="1" applyBorder="1" applyAlignment="1" applyProtection="1">
      <alignment vertical="center"/>
    </xf>
    <xf numFmtId="0" fontId="0" fillId="41" borderId="65" xfId="0" applyFont="1" applyFill="1" applyBorder="1" applyAlignment="1" applyProtection="1">
      <alignment vertical="center"/>
    </xf>
    <xf numFmtId="167" fontId="33" fillId="41" borderId="104" xfId="4" applyNumberFormat="1" applyFont="1" applyFill="1" applyBorder="1" applyAlignment="1" applyProtection="1">
      <alignment vertical="center"/>
    </xf>
    <xf numFmtId="0" fontId="39" fillId="7" borderId="156" xfId="0" applyFont="1" applyFill="1" applyBorder="1" applyAlignment="1" applyProtection="1">
      <alignment vertical="center"/>
    </xf>
    <xf numFmtId="0" fontId="0" fillId="7" borderId="149" xfId="0" applyFont="1" applyFill="1" applyBorder="1" applyAlignment="1" applyProtection="1">
      <alignment vertical="center"/>
    </xf>
    <xf numFmtId="0" fontId="16" fillId="21" borderId="48" xfId="0" applyFont="1" applyFill="1" applyBorder="1" applyAlignment="1" applyProtection="1">
      <alignment vertical="center"/>
    </xf>
    <xf numFmtId="0" fontId="46" fillId="21" borderId="48" xfId="0" applyFont="1" applyFill="1" applyBorder="1" applyAlignment="1" applyProtection="1">
      <alignment vertical="center"/>
    </xf>
    <xf numFmtId="167" fontId="16" fillId="21" borderId="65" xfId="4" applyNumberFormat="1" applyFont="1" applyFill="1" applyBorder="1" applyAlignment="1" applyProtection="1">
      <alignment vertical="center"/>
    </xf>
    <xf numFmtId="167" fontId="16" fillId="21" borderId="65" xfId="4" applyNumberFormat="1" applyFont="1" applyFill="1" applyBorder="1" applyAlignment="1" applyProtection="1">
      <alignment horizontal="center" vertical="center"/>
    </xf>
    <xf numFmtId="167" fontId="16" fillId="21" borderId="70" xfId="4" applyNumberFormat="1" applyFont="1" applyFill="1" applyBorder="1" applyAlignment="1" applyProtection="1">
      <alignment horizontal="right" vertical="center"/>
    </xf>
    <xf numFmtId="0" fontId="11" fillId="7" borderId="52" xfId="0" applyFont="1" applyFill="1" applyBorder="1" applyAlignment="1" applyProtection="1">
      <alignment vertical="center"/>
    </xf>
    <xf numFmtId="167" fontId="11" fillId="7" borderId="52" xfId="4" applyNumberFormat="1" applyFont="1" applyFill="1" applyBorder="1" applyAlignment="1" applyProtection="1">
      <alignment vertical="center"/>
    </xf>
    <xf numFmtId="0" fontId="5" fillId="0" borderId="0" xfId="0" applyFont="1" applyAlignment="1" applyProtection="1">
      <alignment vertical="top"/>
    </xf>
    <xf numFmtId="0" fontId="16" fillId="7" borderId="65" xfId="0" applyFont="1" applyFill="1" applyBorder="1" applyAlignment="1" applyProtection="1">
      <alignment vertical="center"/>
    </xf>
    <xf numFmtId="0" fontId="16" fillId="7" borderId="70" xfId="0" applyFont="1" applyFill="1" applyBorder="1" applyAlignment="1" applyProtection="1">
      <alignment vertical="center"/>
    </xf>
    <xf numFmtId="0" fontId="11" fillId="4" borderId="12" xfId="0" applyFont="1" applyFill="1" applyBorder="1" applyAlignment="1" applyProtection="1">
      <alignment vertical="top"/>
    </xf>
    <xf numFmtId="0" fontId="11" fillId="4" borderId="12" xfId="0" applyFont="1" applyFill="1" applyBorder="1" applyAlignment="1" applyProtection="1">
      <alignment vertical="top" wrapText="1"/>
    </xf>
    <xf numFmtId="0" fontId="130" fillId="0" borderId="0" xfId="0" applyFont="1" applyAlignment="1" applyProtection="1">
      <alignment vertical="top" wrapText="1"/>
    </xf>
    <xf numFmtId="1" fontId="16" fillId="0" borderId="12" xfId="0" applyNumberFormat="1" applyFont="1" applyFill="1" applyBorder="1" applyAlignment="1" applyProtection="1">
      <alignment horizontal="left" vertical="center" wrapText="1"/>
    </xf>
    <xf numFmtId="167" fontId="16" fillId="0" borderId="12" xfId="4" applyNumberFormat="1" applyFont="1" applyBorder="1" applyAlignment="1" applyProtection="1">
      <alignment vertical="top" wrapText="1"/>
    </xf>
    <xf numFmtId="1" fontId="16" fillId="0" borderId="13" xfId="0" applyNumberFormat="1" applyFont="1" applyFill="1" applyBorder="1" applyAlignment="1" applyProtection="1">
      <alignment vertical="center" wrapText="1"/>
    </xf>
    <xf numFmtId="167" fontId="16" fillId="0" borderId="14" xfId="4" applyNumberFormat="1" applyFont="1" applyFill="1" applyBorder="1" applyAlignment="1" applyProtection="1">
      <alignment vertical="center" wrapText="1"/>
    </xf>
    <xf numFmtId="167" fontId="16" fillId="0" borderId="15" xfId="4" applyNumberFormat="1" applyFont="1" applyFill="1" applyBorder="1" applyAlignment="1" applyProtection="1">
      <alignment vertical="center" wrapText="1"/>
    </xf>
    <xf numFmtId="0" fontId="5" fillId="4" borderId="12" xfId="0" applyFont="1" applyFill="1" applyBorder="1" applyAlignment="1" applyProtection="1">
      <alignment vertical="top"/>
    </xf>
    <xf numFmtId="0" fontId="16" fillId="7" borderId="12" xfId="0" applyFont="1" applyFill="1" applyBorder="1" applyAlignment="1" applyProtection="1">
      <alignment horizontal="left"/>
    </xf>
    <xf numFmtId="0" fontId="16" fillId="7" borderId="12" xfId="0" applyFont="1" applyFill="1" applyBorder="1" applyAlignment="1" applyProtection="1">
      <alignment horizontal="left" wrapText="1"/>
    </xf>
    <xf numFmtId="167" fontId="16" fillId="7" borderId="12" xfId="4" applyNumberFormat="1" applyFont="1" applyFill="1" applyBorder="1" applyAlignment="1" applyProtection="1">
      <alignment horizontal="left" wrapText="1"/>
    </xf>
    <xf numFmtId="0" fontId="0" fillId="0" borderId="12" xfId="0" applyBorder="1" applyAlignment="1" applyProtection="1">
      <alignment horizontal="left" vertical="top"/>
    </xf>
    <xf numFmtId="0" fontId="11" fillId="4" borderId="13" xfId="0" applyFont="1" applyFill="1" applyBorder="1" applyAlignment="1" applyProtection="1">
      <alignment vertical="top" wrapText="1"/>
    </xf>
    <xf numFmtId="0" fontId="11" fillId="4" borderId="14" xfId="0" applyFont="1" applyFill="1" applyBorder="1" applyAlignment="1" applyProtection="1">
      <alignment vertical="top" wrapText="1"/>
    </xf>
    <xf numFmtId="0" fontId="11" fillId="4" borderId="15" xfId="0" applyFont="1" applyFill="1" applyBorder="1" applyAlignment="1" applyProtection="1">
      <alignment vertical="top" wrapText="1"/>
    </xf>
    <xf numFmtId="167" fontId="128" fillId="0" borderId="0" xfId="4" applyNumberFormat="1" applyFont="1" applyAlignment="1" applyProtection="1">
      <alignment vertical="top" wrapText="1"/>
    </xf>
    <xf numFmtId="167" fontId="39" fillId="0" borderId="0" xfId="4" applyNumberFormat="1" applyFont="1" applyAlignment="1" applyProtection="1">
      <alignment vertical="top" wrapText="1"/>
    </xf>
    <xf numFmtId="167" fontId="33" fillId="0" borderId="0" xfId="4" applyNumberFormat="1" applyFont="1" applyAlignment="1" applyProtection="1">
      <alignment vertical="top"/>
    </xf>
    <xf numFmtId="0" fontId="0" fillId="0" borderId="24" xfId="0" applyBorder="1"/>
    <xf numFmtId="0" fontId="0" fillId="0" borderId="25" xfId="0" applyBorder="1"/>
    <xf numFmtId="0" fontId="0" fillId="0" borderId="264" xfId="0" applyFill="1" applyBorder="1" applyAlignment="1">
      <alignment vertical="top"/>
    </xf>
    <xf numFmtId="167" fontId="5" fillId="0" borderId="265" xfId="0" applyNumberFormat="1" applyFont="1" applyFill="1" applyBorder="1" applyAlignment="1">
      <alignment vertical="top"/>
    </xf>
    <xf numFmtId="167" fontId="5" fillId="0" borderId="266" xfId="0" applyNumberFormat="1" applyFont="1" applyFill="1" applyBorder="1" applyAlignment="1">
      <alignment vertical="top"/>
    </xf>
    <xf numFmtId="167" fontId="5" fillId="0" borderId="43" xfId="4" applyNumberFormat="1" applyFont="1" applyFill="1" applyBorder="1"/>
    <xf numFmtId="0" fontId="5" fillId="0" borderId="43" xfId="0" applyFont="1" applyFill="1" applyBorder="1" applyAlignment="1">
      <alignment horizontal="left" vertical="top"/>
    </xf>
    <xf numFmtId="0" fontId="5" fillId="0" borderId="41" xfId="0" applyFont="1" applyFill="1" applyBorder="1" applyAlignment="1">
      <alignment vertical="top"/>
    </xf>
    <xf numFmtId="0" fontId="5" fillId="0" borderId="44" xfId="0" applyFont="1" applyFill="1" applyBorder="1" applyAlignment="1">
      <alignment vertical="top"/>
    </xf>
    <xf numFmtId="0" fontId="269" fillId="0" borderId="20" xfId="0" applyFont="1" applyFill="1" applyBorder="1" applyAlignment="1">
      <alignment vertical="top"/>
    </xf>
    <xf numFmtId="0" fontId="5" fillId="0" borderId="102" xfId="0" applyFont="1" applyFill="1" applyBorder="1" applyAlignment="1">
      <alignment vertical="top"/>
    </xf>
    <xf numFmtId="0" fontId="85" fillId="0" borderId="359" xfId="0" applyFont="1" applyFill="1" applyBorder="1" applyAlignment="1">
      <alignment horizontal="left" vertical="top"/>
    </xf>
    <xf numFmtId="0" fontId="85" fillId="0" borderId="358" xfId="0" applyFont="1" applyFill="1" applyBorder="1" applyAlignment="1">
      <alignment horizontal="left" vertical="top"/>
    </xf>
    <xf numFmtId="167" fontId="5" fillId="0" borderId="358" xfId="4" applyNumberFormat="1" applyFont="1" applyBorder="1" applyAlignment="1">
      <alignment vertical="top"/>
    </xf>
    <xf numFmtId="167" fontId="5" fillId="0" borderId="420" xfId="4" applyNumberFormat="1" applyFont="1" applyBorder="1" applyAlignment="1">
      <alignment vertical="top"/>
    </xf>
    <xf numFmtId="0" fontId="0" fillId="0" borderId="120" xfId="0" applyFill="1" applyBorder="1" applyAlignment="1">
      <alignment wrapText="1"/>
    </xf>
    <xf numFmtId="0" fontId="25" fillId="0" borderId="12" xfId="0" applyFont="1" applyBorder="1" applyAlignment="1">
      <alignment horizontal="center" wrapText="1"/>
    </xf>
    <xf numFmtId="167" fontId="5" fillId="0" borderId="40" xfId="0" applyNumberFormat="1" applyFont="1" applyBorder="1" applyAlignment="1">
      <alignment vertical="top"/>
    </xf>
    <xf numFmtId="0" fontId="0" fillId="0" borderId="102" xfId="0" applyFill="1" applyBorder="1" applyAlignment="1">
      <alignment vertical="top"/>
    </xf>
    <xf numFmtId="0" fontId="5" fillId="0" borderId="359" xfId="0" applyFont="1" applyFill="1" applyBorder="1" applyAlignment="1">
      <alignment vertical="center"/>
    </xf>
    <xf numFmtId="0" fontId="45" fillId="0" borderId="359" xfId="0" applyFont="1" applyFill="1" applyBorder="1" applyAlignment="1">
      <alignment horizontal="left" vertical="top"/>
    </xf>
    <xf numFmtId="167" fontId="5" fillId="0" borderId="359" xfId="0" applyNumberFormat="1" applyFont="1" applyFill="1" applyBorder="1" applyAlignment="1">
      <alignment vertical="top"/>
    </xf>
    <xf numFmtId="167" fontId="5" fillId="0" borderId="419" xfId="0" applyNumberFormat="1" applyFont="1" applyFill="1" applyBorder="1" applyAlignment="1">
      <alignment vertical="top"/>
    </xf>
    <xf numFmtId="0" fontId="0" fillId="0" borderId="36" xfId="0" applyFill="1" applyBorder="1" applyAlignment="1"/>
    <xf numFmtId="167" fontId="5" fillId="0" borderId="36" xfId="0" applyNumberFormat="1" applyFont="1" applyFill="1" applyBorder="1" applyAlignment="1">
      <alignment vertical="top"/>
    </xf>
    <xf numFmtId="167" fontId="5" fillId="0" borderId="57" xfId="0" applyNumberFormat="1" applyFont="1" applyFill="1" applyBorder="1" applyAlignment="1">
      <alignment vertical="top"/>
    </xf>
    <xf numFmtId="167" fontId="9" fillId="0" borderId="0" xfId="4" applyNumberFormat="1" applyFont="1" applyFill="1" applyBorder="1"/>
    <xf numFmtId="167" fontId="9" fillId="0" borderId="40" xfId="4" applyNumberFormat="1" applyFont="1" applyFill="1" applyBorder="1"/>
    <xf numFmtId="43" fontId="0" fillId="0" borderId="0" xfId="0" applyNumberFormat="1" applyFont="1" applyFill="1" applyBorder="1" applyAlignment="1">
      <alignment vertical="top"/>
    </xf>
    <xf numFmtId="0" fontId="45" fillId="0" borderId="274" xfId="0" applyFont="1" applyBorder="1" applyAlignment="1">
      <alignment horizontal="left" vertical="top"/>
    </xf>
    <xf numFmtId="43" fontId="45" fillId="0" borderId="36" xfId="0" applyNumberFormat="1" applyFont="1" applyBorder="1" applyAlignment="1">
      <alignment horizontal="left" vertical="top"/>
    </xf>
    <xf numFmtId="43" fontId="45" fillId="0" borderId="36" xfId="0" applyNumberFormat="1" applyFont="1" applyBorder="1" applyAlignment="1">
      <alignment vertical="top"/>
    </xf>
    <xf numFmtId="0" fontId="0" fillId="7" borderId="0" xfId="2" quotePrefix="1" applyNumberFormat="1" applyFont="1" applyFill="1" applyBorder="1" applyAlignment="1">
      <alignment horizontal="left" vertical="top"/>
    </xf>
    <xf numFmtId="0" fontId="0" fillId="7" borderId="305" xfId="2" quotePrefix="1" applyNumberFormat="1" applyFont="1" applyFill="1" applyBorder="1" applyAlignment="1">
      <alignment horizontal="left" vertical="top"/>
    </xf>
    <xf numFmtId="167" fontId="0" fillId="48" borderId="311" xfId="4" applyNumberFormat="1" applyFont="1" applyFill="1" applyBorder="1" applyAlignment="1" applyProtection="1">
      <alignment horizontal="right" vertical="center"/>
      <protection locked="0"/>
    </xf>
    <xf numFmtId="167" fontId="0" fillId="48" borderId="341" xfId="4" applyNumberFormat="1" applyFont="1" applyFill="1" applyBorder="1" applyAlignment="1" applyProtection="1">
      <alignment vertical="center"/>
      <protection locked="0"/>
    </xf>
    <xf numFmtId="167" fontId="0" fillId="48" borderId="313" xfId="4" applyNumberFormat="1" applyFont="1" applyFill="1" applyBorder="1" applyAlignment="1" applyProtection="1">
      <alignment horizontal="right" vertical="center"/>
      <protection locked="0"/>
    </xf>
    <xf numFmtId="167" fontId="0" fillId="48" borderId="334" xfId="4" applyNumberFormat="1" applyFont="1" applyFill="1" applyBorder="1" applyAlignment="1" applyProtection="1">
      <alignment vertical="center"/>
      <protection locked="0"/>
    </xf>
    <xf numFmtId="167" fontId="0" fillId="4" borderId="346" xfId="4" applyNumberFormat="1" applyFont="1" applyFill="1" applyBorder="1" applyAlignment="1" applyProtection="1">
      <alignment horizontal="right" vertical="center"/>
      <protection locked="0"/>
    </xf>
    <xf numFmtId="167" fontId="0" fillId="4" borderId="417" xfId="4" applyNumberFormat="1" applyFont="1" applyFill="1" applyBorder="1" applyAlignment="1" applyProtection="1">
      <alignment vertical="center"/>
      <protection locked="0"/>
    </xf>
    <xf numFmtId="0" fontId="0" fillId="7" borderId="303" xfId="2" quotePrefix="1" applyNumberFormat="1" applyFont="1" applyFill="1" applyBorder="1" applyAlignment="1">
      <alignment horizontal="left" vertical="top" wrapText="1"/>
    </xf>
    <xf numFmtId="167" fontId="0" fillId="48" borderId="315" xfId="4" applyNumberFormat="1" applyFont="1" applyFill="1" applyBorder="1" applyAlignment="1" applyProtection="1">
      <alignment horizontal="right" vertical="center"/>
      <protection locked="0"/>
    </xf>
    <xf numFmtId="167" fontId="0" fillId="48" borderId="345" xfId="4" applyNumberFormat="1" applyFont="1" applyFill="1" applyBorder="1" applyAlignment="1" applyProtection="1">
      <alignment vertical="center"/>
      <protection locked="0"/>
    </xf>
    <xf numFmtId="0" fontId="24" fillId="27" borderId="14" xfId="0" applyFont="1" applyFill="1" applyBorder="1" applyAlignment="1">
      <alignment vertical="top" wrapText="1"/>
    </xf>
    <xf numFmtId="0" fontId="0" fillId="7" borderId="311" xfId="0" quotePrefix="1" applyFont="1" applyFill="1" applyBorder="1" applyAlignment="1">
      <alignment vertical="top" wrapText="1"/>
    </xf>
    <xf numFmtId="9" fontId="0" fillId="48" borderId="308" xfId="5" applyFont="1" applyFill="1" applyBorder="1" applyAlignment="1" applyProtection="1">
      <alignment vertical="center"/>
      <protection locked="0"/>
    </xf>
    <xf numFmtId="9" fontId="0" fillId="48" borderId="309" xfId="5" applyFont="1" applyFill="1" applyBorder="1" applyAlignment="1" applyProtection="1">
      <alignment vertical="center"/>
      <protection locked="0"/>
    </xf>
    <xf numFmtId="0" fontId="0" fillId="7" borderId="310" xfId="0" quotePrefix="1" applyFont="1" applyFill="1" applyBorder="1" applyAlignment="1">
      <alignment vertical="top" wrapText="1"/>
    </xf>
    <xf numFmtId="167" fontId="0" fillId="4" borderId="313" xfId="4" applyNumberFormat="1" applyFont="1" applyFill="1" applyBorder="1" applyAlignment="1" applyProtection="1">
      <alignment vertical="center"/>
    </xf>
    <xf numFmtId="167" fontId="0" fillId="4" borderId="314" xfId="4" applyNumberFormat="1" applyFont="1" applyFill="1" applyBorder="1" applyAlignment="1" applyProtection="1">
      <alignment vertical="center"/>
    </xf>
    <xf numFmtId="0" fontId="0" fillId="7" borderId="308" xfId="0" quotePrefix="1" applyFont="1" applyFill="1" applyBorder="1" applyAlignment="1">
      <alignment vertical="top" wrapText="1"/>
    </xf>
    <xf numFmtId="0" fontId="0" fillId="7" borderId="316" xfId="0" quotePrefix="1" applyFont="1" applyFill="1" applyBorder="1" applyAlignment="1">
      <alignment vertical="top" wrapText="1"/>
    </xf>
    <xf numFmtId="9" fontId="0" fillId="48" borderId="316" xfId="5" applyFont="1" applyFill="1" applyBorder="1" applyAlignment="1" applyProtection="1">
      <alignment vertical="center"/>
      <protection locked="0"/>
    </xf>
    <xf numFmtId="9" fontId="0" fillId="48" borderId="344" xfId="5" applyFont="1" applyFill="1" applyBorder="1" applyAlignment="1" applyProtection="1">
      <alignment vertical="center"/>
      <protection locked="0"/>
    </xf>
    <xf numFmtId="0" fontId="24" fillId="27" borderId="14" xfId="0" applyFont="1" applyFill="1" applyBorder="1" applyAlignment="1">
      <alignment horizontal="left" vertical="top" wrapText="1"/>
    </xf>
    <xf numFmtId="9" fontId="0" fillId="48" borderId="307" xfId="5" applyFont="1" applyFill="1" applyBorder="1" applyAlignment="1" applyProtection="1">
      <alignment vertical="center"/>
      <protection locked="0"/>
    </xf>
    <xf numFmtId="9" fontId="0" fillId="48" borderId="293" xfId="5" applyFont="1" applyFill="1" applyBorder="1" applyAlignment="1" applyProtection="1">
      <alignment vertical="center"/>
      <protection locked="0"/>
    </xf>
    <xf numFmtId="9" fontId="0" fillId="48" borderId="346" xfId="5" applyFont="1" applyFill="1" applyBorder="1" applyAlignment="1" applyProtection="1">
      <alignment vertical="center"/>
      <protection locked="0"/>
    </xf>
    <xf numFmtId="9" fontId="0" fillId="48" borderId="347" xfId="5" applyFont="1" applyFill="1" applyBorder="1" applyAlignment="1" applyProtection="1">
      <alignment vertical="center"/>
      <protection locked="0"/>
    </xf>
    <xf numFmtId="167" fontId="0" fillId="4" borderId="418" xfId="5" applyNumberFormat="1" applyFont="1" applyFill="1" applyBorder="1" applyAlignment="1" applyProtection="1">
      <alignment vertical="center"/>
    </xf>
    <xf numFmtId="167" fontId="0" fillId="4" borderId="354" xfId="4" applyNumberFormat="1" applyFont="1" applyFill="1" applyBorder="1" applyAlignment="1" applyProtection="1">
      <alignment vertical="center"/>
    </xf>
    <xf numFmtId="0" fontId="171" fillId="3" borderId="313" xfId="0" applyFont="1" applyFill="1" applyBorder="1" applyAlignment="1">
      <alignment vertical="top" wrapText="1"/>
    </xf>
    <xf numFmtId="0" fontId="171" fillId="3" borderId="314" xfId="0" applyFont="1" applyFill="1" applyBorder="1" applyAlignment="1">
      <alignment vertical="top" wrapText="1"/>
    </xf>
    <xf numFmtId="0" fontId="0" fillId="7" borderId="308" xfId="2" quotePrefix="1" applyNumberFormat="1" applyFont="1" applyFill="1" applyBorder="1" applyAlignment="1">
      <alignment horizontal="left" vertical="top" wrapText="1"/>
    </xf>
    <xf numFmtId="9" fontId="0" fillId="48" borderId="313" xfId="5" applyFont="1" applyFill="1" applyBorder="1" applyAlignment="1" applyProtection="1">
      <alignment vertical="center"/>
      <protection locked="0"/>
    </xf>
    <xf numFmtId="0" fontId="0" fillId="7" borderId="310" xfId="2" quotePrefix="1" applyNumberFormat="1" applyFont="1" applyFill="1" applyBorder="1" applyAlignment="1">
      <alignment horizontal="left" vertical="top" wrapText="1"/>
    </xf>
    <xf numFmtId="9" fontId="0" fillId="4" borderId="313" xfId="5" applyFont="1" applyFill="1" applyBorder="1" applyAlignment="1" applyProtection="1">
      <alignment vertical="center"/>
    </xf>
    <xf numFmtId="9" fontId="0" fillId="4" borderId="314" xfId="5" applyFont="1" applyFill="1" applyBorder="1" applyAlignment="1" applyProtection="1">
      <alignment vertical="center"/>
    </xf>
    <xf numFmtId="0" fontId="0" fillId="0" borderId="308" xfId="0" quotePrefix="1" applyFont="1" applyFill="1" applyBorder="1" applyAlignment="1">
      <alignment vertical="top" wrapText="1"/>
    </xf>
    <xf numFmtId="9" fontId="0" fillId="48" borderId="315" xfId="5" applyFont="1" applyFill="1" applyBorder="1" applyAlignment="1" applyProtection="1">
      <alignment vertical="center"/>
      <protection locked="0"/>
    </xf>
    <xf numFmtId="9" fontId="0" fillId="48" borderId="304" xfId="5" applyFont="1" applyFill="1" applyBorder="1" applyAlignment="1" applyProtection="1">
      <alignment vertical="center"/>
      <protection locked="0"/>
    </xf>
    <xf numFmtId="167" fontId="0" fillId="0" borderId="0" xfId="5" applyNumberFormat="1" applyFont="1" applyBorder="1" applyAlignment="1">
      <alignment vertical="top"/>
    </xf>
    <xf numFmtId="167" fontId="0" fillId="0" borderId="9" xfId="5" applyNumberFormat="1" applyFont="1" applyBorder="1" applyAlignment="1">
      <alignment vertical="top"/>
    </xf>
    <xf numFmtId="167" fontId="16" fillId="0" borderId="0" xfId="5" applyNumberFormat="1" applyFont="1" applyBorder="1" applyAlignment="1">
      <alignment vertical="top"/>
    </xf>
    <xf numFmtId="0" fontId="104" fillId="26" borderId="0" xfId="1" applyFont="1" applyFill="1" applyBorder="1" applyAlignment="1" applyProtection="1">
      <alignment horizontal="center" vertical="center"/>
    </xf>
    <xf numFmtId="1" fontId="4" fillId="6" borderId="421" xfId="0" applyNumberFormat="1" applyFont="1" applyFill="1" applyBorder="1" applyAlignment="1" applyProtection="1">
      <alignment horizontal="center" vertical="center" wrapText="1"/>
    </xf>
    <xf numFmtId="1" fontId="5" fillId="21" borderId="12" xfId="0" applyNumberFormat="1" applyFont="1" applyFill="1" applyBorder="1" applyAlignment="1" applyProtection="1">
      <alignment horizontal="center" vertical="center"/>
    </xf>
    <xf numFmtId="1" fontId="11" fillId="8" borderId="16" xfId="0" applyNumberFormat="1" applyFont="1" applyFill="1" applyBorder="1" applyAlignment="1" applyProtection="1">
      <alignment horizontal="center" vertical="center"/>
    </xf>
    <xf numFmtId="1" fontId="11" fillId="8" borderId="18" xfId="0" applyNumberFormat="1" applyFont="1" applyFill="1" applyBorder="1" applyAlignment="1" applyProtection="1">
      <alignment horizontal="center" vertical="center"/>
    </xf>
    <xf numFmtId="1" fontId="42" fillId="8" borderId="18" xfId="0" applyNumberFormat="1" applyFont="1" applyFill="1" applyBorder="1" applyAlignment="1" applyProtection="1">
      <alignment horizontal="center" vertical="center"/>
    </xf>
    <xf numFmtId="167" fontId="16" fillId="3" borderId="339" xfId="4" applyNumberFormat="1" applyFont="1" applyFill="1" applyBorder="1" applyAlignment="1" applyProtection="1">
      <alignment vertical="center"/>
    </xf>
    <xf numFmtId="169" fontId="5" fillId="3" borderId="339" xfId="4" applyNumberFormat="1" applyFont="1" applyFill="1" applyBorder="1" applyAlignment="1" applyProtection="1">
      <alignment horizontal="right" vertical="center" indent="1"/>
    </xf>
    <xf numFmtId="169" fontId="5" fillId="3" borderId="422" xfId="4" applyNumberFormat="1" applyFont="1" applyFill="1" applyBorder="1" applyAlignment="1" applyProtection="1">
      <alignment horizontal="right" vertical="center" indent="1"/>
    </xf>
    <xf numFmtId="167" fontId="275" fillId="3" borderId="376" xfId="4" applyNumberFormat="1" applyFont="1" applyFill="1" applyBorder="1" applyAlignment="1" applyProtection="1">
      <alignment horizontal="center" vertical="center"/>
    </xf>
    <xf numFmtId="9" fontId="275" fillId="3" borderId="376" xfId="5" applyFont="1" applyFill="1" applyBorder="1" applyAlignment="1" applyProtection="1">
      <alignment horizontal="right" vertical="center"/>
    </xf>
    <xf numFmtId="167" fontId="275" fillId="3" borderId="423" xfId="4" applyNumberFormat="1" applyFont="1" applyFill="1" applyBorder="1" applyAlignment="1" applyProtection="1">
      <alignment horizontal="center" vertical="center"/>
    </xf>
    <xf numFmtId="167" fontId="16" fillId="3" borderId="424" xfId="4" applyNumberFormat="1" applyFont="1" applyFill="1" applyBorder="1" applyAlignment="1" applyProtection="1">
      <alignment horizontal="right" vertical="center"/>
    </xf>
    <xf numFmtId="9" fontId="16" fillId="3" borderId="331" xfId="5" applyFont="1" applyFill="1" applyBorder="1" applyAlignment="1" applyProtection="1">
      <alignment horizontal="right" vertical="center"/>
    </xf>
    <xf numFmtId="167" fontId="16" fillId="3" borderId="426" xfId="4" applyNumberFormat="1" applyFont="1" applyFill="1" applyBorder="1" applyAlignment="1" applyProtection="1">
      <alignment vertical="top"/>
    </xf>
    <xf numFmtId="167" fontId="16" fillId="3" borderId="425" xfId="4" applyNumberFormat="1" applyFont="1" applyFill="1" applyBorder="1" applyAlignment="1" applyProtection="1">
      <alignment vertical="top"/>
    </xf>
    <xf numFmtId="167" fontId="16" fillId="3" borderId="427" xfId="4" applyNumberFormat="1" applyFont="1" applyFill="1" applyBorder="1" applyAlignment="1" applyProtection="1">
      <alignment vertical="top"/>
    </xf>
    <xf numFmtId="167" fontId="16" fillId="3" borderId="0" xfId="4" applyNumberFormat="1" applyFont="1" applyFill="1" applyBorder="1" applyAlignment="1" applyProtection="1">
      <alignment vertical="top"/>
    </xf>
    <xf numFmtId="167" fontId="16" fillId="3" borderId="5" xfId="4" applyNumberFormat="1" applyFont="1" applyFill="1" applyBorder="1" applyAlignment="1" applyProtection="1">
      <alignment vertical="top"/>
    </xf>
    <xf numFmtId="167" fontId="16" fillId="3" borderId="428" xfId="4" applyNumberFormat="1" applyFont="1" applyFill="1" applyBorder="1" applyAlignment="1" applyProtection="1">
      <alignment vertical="top"/>
    </xf>
    <xf numFmtId="167" fontId="16" fillId="3" borderId="306" xfId="4" applyNumberFormat="1" applyFont="1" applyFill="1" applyBorder="1" applyAlignment="1" applyProtection="1">
      <alignment vertical="top"/>
    </xf>
    <xf numFmtId="167" fontId="16" fillId="3" borderId="382" xfId="4" applyNumberFormat="1" applyFont="1" applyFill="1" applyBorder="1" applyAlignment="1" applyProtection="1">
      <alignment vertical="top"/>
    </xf>
    <xf numFmtId="167" fontId="16" fillId="3" borderId="424" xfId="4" applyNumberFormat="1" applyFont="1" applyFill="1" applyBorder="1" applyAlignment="1" applyProtection="1">
      <alignment vertical="top"/>
    </xf>
    <xf numFmtId="167" fontId="16" fillId="3" borderId="332" xfId="4" applyNumberFormat="1" applyFont="1" applyFill="1" applyBorder="1" applyAlignment="1" applyProtection="1">
      <alignment horizontal="right" vertical="center"/>
    </xf>
    <xf numFmtId="9" fontId="16" fillId="29" borderId="2" xfId="5" applyFont="1" applyFill="1" applyBorder="1" applyAlignment="1">
      <alignment horizontal="center" vertical="top"/>
    </xf>
    <xf numFmtId="9" fontId="16" fillId="29" borderId="3" xfId="5" applyFont="1" applyFill="1" applyBorder="1" applyAlignment="1">
      <alignment horizontal="center" vertical="top"/>
    </xf>
    <xf numFmtId="0" fontId="98" fillId="0" borderId="381" xfId="0" applyFont="1" applyFill="1" applyBorder="1" applyAlignment="1" applyProtection="1">
      <alignment vertical="center" wrapText="1"/>
    </xf>
    <xf numFmtId="0" fontId="98" fillId="0" borderId="434" xfId="0" applyFont="1" applyFill="1" applyBorder="1" applyAlignment="1" applyProtection="1">
      <alignment vertical="center" wrapText="1"/>
    </xf>
    <xf numFmtId="0" fontId="16" fillId="0" borderId="381" xfId="0" applyFont="1" applyFill="1" applyBorder="1" applyAlignment="1" applyProtection="1">
      <alignment vertical="top"/>
    </xf>
    <xf numFmtId="0" fontId="16" fillId="0" borderId="433" xfId="0" applyFont="1" applyFill="1" applyBorder="1" applyAlignment="1" applyProtection="1">
      <alignment horizontal="left" vertical="top" wrapText="1" indent="3"/>
    </xf>
    <xf numFmtId="0" fontId="16" fillId="0" borderId="435" xfId="0" applyFont="1" applyFill="1" applyBorder="1" applyAlignment="1" applyProtection="1">
      <alignment horizontal="left" vertical="top" wrapText="1" indent="3"/>
    </xf>
    <xf numFmtId="0" fontId="0" fillId="0" borderId="381" xfId="0" applyFill="1" applyBorder="1" applyAlignment="1" applyProtection="1"/>
    <xf numFmtId="0" fontId="16" fillId="0" borderId="381" xfId="0" applyFont="1" applyBorder="1" applyAlignment="1" applyProtection="1">
      <alignment vertical="top"/>
    </xf>
    <xf numFmtId="0" fontId="98" fillId="15" borderId="381" xfId="0" applyFont="1" applyFill="1" applyBorder="1" applyAlignment="1" applyProtection="1">
      <alignment vertical="center" wrapText="1"/>
    </xf>
    <xf numFmtId="0" fontId="16" fillId="0" borderId="434" xfId="0" applyFont="1" applyBorder="1" applyAlignment="1" applyProtection="1">
      <alignment vertical="top"/>
    </xf>
    <xf numFmtId="0" fontId="98" fillId="15" borderId="434" xfId="0" applyFont="1" applyFill="1" applyBorder="1" applyAlignment="1" applyProtection="1">
      <alignment vertical="center" wrapText="1"/>
    </xf>
    <xf numFmtId="0" fontId="98" fillId="15" borderId="436" xfId="0" applyFont="1" applyFill="1" applyBorder="1" applyAlignment="1" applyProtection="1">
      <alignment vertical="center" wrapText="1"/>
    </xf>
    <xf numFmtId="0" fontId="98" fillId="15" borderId="437" xfId="0" applyFont="1" applyFill="1" applyBorder="1" applyAlignment="1" applyProtection="1">
      <alignment vertical="center" wrapText="1"/>
    </xf>
    <xf numFmtId="0" fontId="16" fillId="12" borderId="408" xfId="0" applyFont="1" applyFill="1" applyBorder="1" applyAlignment="1" applyProtection="1">
      <alignment horizontal="center" vertical="center" wrapText="1"/>
    </xf>
    <xf numFmtId="0" fontId="16" fillId="12" borderId="442" xfId="0" applyFont="1" applyFill="1" applyBorder="1" applyAlignment="1" applyProtection="1">
      <alignment horizontal="center" vertical="center" wrapText="1"/>
    </xf>
    <xf numFmtId="43" fontId="16" fillId="0" borderId="441" xfId="0" applyNumberFormat="1" applyFont="1" applyFill="1" applyBorder="1" applyAlignment="1" applyProtection="1">
      <alignment horizontal="left" vertical="top" wrapText="1" indent="3"/>
    </xf>
    <xf numFmtId="0" fontId="0" fillId="0" borderId="408" xfId="0" applyFont="1" applyFill="1" applyBorder="1" applyAlignment="1" applyProtection="1">
      <alignment vertical="top"/>
    </xf>
    <xf numFmtId="0" fontId="98" fillId="0" borderId="408" xfId="0" applyFont="1" applyFill="1" applyBorder="1" applyAlignment="1" applyProtection="1">
      <alignment vertical="center" wrapText="1"/>
    </xf>
    <xf numFmtId="0" fontId="98" fillId="0" borderId="442" xfId="0" applyFont="1" applyFill="1" applyBorder="1" applyAlignment="1" applyProtection="1">
      <alignment vertical="center" wrapText="1"/>
    </xf>
    <xf numFmtId="0" fontId="16" fillId="0" borderId="408" xfId="0" applyFont="1" applyFill="1" applyBorder="1" applyAlignment="1" applyProtection="1">
      <alignment vertical="top"/>
    </xf>
    <xf numFmtId="0" fontId="16" fillId="0" borderId="441" xfId="0" applyFont="1" applyFill="1" applyBorder="1" applyAlignment="1" applyProtection="1">
      <alignment horizontal="left" vertical="top" wrapText="1" indent="3"/>
    </xf>
    <xf numFmtId="0" fontId="6" fillId="0" borderId="408" xfId="0" applyFont="1" applyFill="1" applyBorder="1" applyAlignment="1" applyProtection="1">
      <alignment vertical="top"/>
    </xf>
    <xf numFmtId="0" fontId="16" fillId="0" borderId="443" xfId="0" applyFont="1" applyFill="1" applyBorder="1" applyAlignment="1" applyProtection="1">
      <alignment horizontal="left" vertical="top" wrapText="1" indent="3"/>
    </xf>
    <xf numFmtId="0" fontId="0" fillId="0" borderId="429" xfId="0" applyFont="1" applyFill="1" applyBorder="1" applyAlignment="1" applyProtection="1">
      <alignment vertical="top"/>
    </xf>
    <xf numFmtId="0" fontId="16" fillId="7" borderId="433" xfId="0" applyFont="1" applyFill="1" applyBorder="1" applyAlignment="1" applyProtection="1">
      <alignment horizontal="left" vertical="top" wrapText="1" indent="3"/>
    </xf>
    <xf numFmtId="0" fontId="16" fillId="21" borderId="381" xfId="0" applyFont="1" applyFill="1" applyBorder="1" applyAlignment="1" applyProtection="1">
      <alignment horizontal="center" vertical="center" wrapText="1"/>
    </xf>
    <xf numFmtId="0" fontId="16" fillId="0" borderId="381" xfId="0" applyFont="1" applyFill="1" applyBorder="1" applyAlignment="1" applyProtection="1"/>
    <xf numFmtId="0" fontId="16" fillId="0" borderId="381" xfId="0" applyFont="1" applyBorder="1" applyAlignment="1" applyProtection="1"/>
    <xf numFmtId="0" fontId="98" fillId="7" borderId="381" xfId="0" applyFont="1" applyFill="1" applyBorder="1" applyAlignment="1" applyProtection="1">
      <alignment vertical="center" wrapText="1"/>
    </xf>
    <xf numFmtId="0" fontId="16" fillId="7" borderId="381" xfId="0" applyFont="1" applyFill="1" applyBorder="1" applyAlignment="1" applyProtection="1">
      <alignment vertical="top"/>
    </xf>
    <xf numFmtId="0" fontId="16" fillId="21" borderId="434" xfId="0" applyFont="1" applyFill="1" applyBorder="1" applyAlignment="1" applyProtection="1">
      <alignment horizontal="center" vertical="center" wrapText="1"/>
    </xf>
    <xf numFmtId="0" fontId="16" fillId="0" borderId="434" xfId="0" applyFont="1" applyFill="1" applyBorder="1" applyAlignment="1" applyProtection="1"/>
    <xf numFmtId="0" fontId="16" fillId="0" borderId="434" xfId="0" applyFont="1" applyFill="1" applyBorder="1" applyAlignment="1" applyProtection="1">
      <alignment vertical="top"/>
    </xf>
    <xf numFmtId="0" fontId="16" fillId="7" borderId="434" xfId="0" applyFont="1" applyFill="1" applyBorder="1" applyAlignment="1" applyProtection="1">
      <alignment vertical="top"/>
    </xf>
    <xf numFmtId="0" fontId="16" fillId="0" borderId="436" xfId="0" applyFont="1" applyBorder="1" applyAlignment="1" applyProtection="1">
      <alignment vertical="top"/>
    </xf>
    <xf numFmtId="0" fontId="98" fillId="15" borderId="408" xfId="0" applyFont="1" applyFill="1" applyBorder="1" applyAlignment="1" applyProtection="1">
      <alignment vertical="center" wrapText="1"/>
    </xf>
    <xf numFmtId="0" fontId="98" fillId="15" borderId="442" xfId="0" applyFont="1" applyFill="1" applyBorder="1" applyAlignment="1" applyProtection="1">
      <alignment vertical="center" wrapText="1"/>
    </xf>
    <xf numFmtId="0" fontId="16" fillId="0" borderId="408" xfId="0" applyFont="1" applyBorder="1" applyAlignment="1" applyProtection="1">
      <alignment vertical="top"/>
    </xf>
    <xf numFmtId="0" fontId="16" fillId="0" borderId="442" xfId="0" applyFont="1" applyBorder="1" applyAlignment="1" applyProtection="1">
      <alignment vertical="top"/>
    </xf>
    <xf numFmtId="0" fontId="98" fillId="15" borderId="429" xfId="0" applyFont="1" applyFill="1" applyBorder="1" applyAlignment="1" applyProtection="1">
      <alignment vertical="center" wrapText="1"/>
    </xf>
    <xf numFmtId="0" fontId="98" fillId="15" borderId="444" xfId="0" applyFont="1" applyFill="1" applyBorder="1" applyAlignment="1" applyProtection="1">
      <alignment vertical="center" wrapText="1"/>
    </xf>
    <xf numFmtId="0" fontId="5" fillId="21" borderId="446" xfId="0" applyFont="1" applyFill="1" applyBorder="1" applyAlignment="1" applyProtection="1">
      <alignment horizontal="left" indent="3"/>
    </xf>
    <xf numFmtId="0" fontId="5" fillId="21" borderId="445" xfId="0" applyFont="1" applyFill="1" applyBorder="1" applyAlignment="1" applyProtection="1">
      <alignment horizontal="left" indent="3"/>
    </xf>
    <xf numFmtId="0" fontId="5" fillId="21" borderId="447" xfId="0" applyFont="1" applyFill="1" applyBorder="1" applyAlignment="1" applyProtection="1">
      <alignment horizontal="left" indent="3"/>
    </xf>
    <xf numFmtId="0" fontId="5" fillId="12" borderId="406" xfId="0" applyFont="1" applyFill="1" applyBorder="1" applyAlignment="1" applyProtection="1">
      <alignment horizontal="left" indent="3"/>
    </xf>
    <xf numFmtId="0" fontId="5" fillId="12" borderId="410" xfId="0" applyFont="1" applyFill="1" applyBorder="1" applyAlignment="1" applyProtection="1">
      <alignment horizontal="left" indent="3"/>
    </xf>
    <xf numFmtId="0" fontId="5" fillId="12" borderId="448" xfId="0" applyFont="1" applyFill="1" applyBorder="1" applyAlignment="1" applyProtection="1">
      <alignment horizontal="left" indent="3"/>
    </xf>
    <xf numFmtId="0" fontId="0" fillId="0" borderId="408" xfId="0" applyFill="1" applyBorder="1" applyAlignment="1" applyProtection="1"/>
    <xf numFmtId="0" fontId="0" fillId="0" borderId="408" xfId="0" applyBorder="1" applyAlignment="1" applyProtection="1">
      <alignment vertical="top"/>
    </xf>
    <xf numFmtId="0" fontId="0" fillId="0" borderId="429" xfId="0" applyBorder="1" applyAlignment="1" applyProtection="1">
      <alignment vertical="top"/>
    </xf>
    <xf numFmtId="0" fontId="0" fillId="0" borderId="408" xfId="0" applyFont="1" applyBorder="1" applyAlignment="1" applyProtection="1">
      <alignment vertical="top"/>
    </xf>
    <xf numFmtId="0" fontId="0" fillId="0" borderId="442" xfId="0" applyFont="1" applyBorder="1" applyAlignment="1" applyProtection="1">
      <alignment vertical="top"/>
    </xf>
    <xf numFmtId="0" fontId="16" fillId="7" borderId="441" xfId="0" applyFont="1" applyFill="1" applyBorder="1" applyAlignment="1" applyProtection="1">
      <alignment horizontal="left" vertical="top" wrapText="1" indent="3"/>
    </xf>
    <xf numFmtId="0" fontId="0" fillId="0" borderId="408" xfId="0" applyFill="1" applyBorder="1" applyAlignment="1" applyProtection="1">
      <alignment vertical="top"/>
    </xf>
    <xf numFmtId="0" fontId="0" fillId="0" borderId="442" xfId="0" applyBorder="1" applyAlignment="1" applyProtection="1">
      <alignment vertical="top"/>
    </xf>
    <xf numFmtId="0" fontId="39" fillId="0" borderId="408" xfId="0" applyFont="1" applyBorder="1" applyAlignment="1" applyProtection="1">
      <alignment vertical="top"/>
    </xf>
    <xf numFmtId="0" fontId="39" fillId="0" borderId="408" xfId="0" applyFont="1" applyFill="1" applyBorder="1" applyAlignment="1" applyProtection="1">
      <alignment vertical="top"/>
    </xf>
    <xf numFmtId="0" fontId="0" fillId="0" borderId="429" xfId="0" applyFont="1" applyBorder="1" applyAlignment="1" applyProtection="1">
      <alignment vertical="top"/>
    </xf>
    <xf numFmtId="0" fontId="18" fillId="0" borderId="408" xfId="0" applyFont="1" applyBorder="1" applyAlignment="1" applyProtection="1">
      <alignment vertical="top"/>
    </xf>
    <xf numFmtId="0" fontId="18" fillId="0" borderId="429" xfId="0" applyFont="1" applyBorder="1" applyAlignment="1" applyProtection="1">
      <alignment vertical="top"/>
    </xf>
    <xf numFmtId="0" fontId="16" fillId="0" borderId="436" xfId="0" applyFont="1" applyFill="1" applyBorder="1" applyAlignment="1" applyProtection="1">
      <alignment vertical="top"/>
    </xf>
    <xf numFmtId="0" fontId="16" fillId="0" borderId="437" xfId="0" applyFont="1" applyFill="1" applyBorder="1" applyAlignment="1" applyProtection="1">
      <alignment vertical="top"/>
    </xf>
    <xf numFmtId="0" fontId="0" fillId="0" borderId="434" xfId="0" applyFill="1" applyBorder="1" applyAlignment="1" applyProtection="1"/>
    <xf numFmtId="0" fontId="16" fillId="0" borderId="437" xfId="0" applyFont="1" applyBorder="1" applyAlignment="1" applyProtection="1">
      <alignment vertical="top"/>
    </xf>
    <xf numFmtId="0" fontId="0" fillId="34" borderId="408" xfId="0" applyFill="1" applyBorder="1" applyAlignment="1" applyProtection="1">
      <alignment horizontal="center" vertical="center" wrapText="1"/>
    </xf>
    <xf numFmtId="0" fontId="16" fillId="34" borderId="408" xfId="0" applyFont="1" applyFill="1" applyBorder="1" applyAlignment="1" applyProtection="1">
      <alignment horizontal="center" vertical="center" wrapText="1"/>
    </xf>
    <xf numFmtId="0" fontId="16" fillId="34" borderId="442" xfId="0" applyFont="1" applyFill="1" applyBorder="1" applyAlignment="1" applyProtection="1">
      <alignment horizontal="center" vertical="center" wrapText="1"/>
    </xf>
    <xf numFmtId="0" fontId="0" fillId="0" borderId="408" xfId="0" applyBorder="1" applyAlignment="1" applyProtection="1"/>
    <xf numFmtId="0" fontId="0" fillId="0" borderId="442" xfId="0" applyBorder="1" applyAlignment="1" applyProtection="1"/>
    <xf numFmtId="0" fontId="0" fillId="0" borderId="429" xfId="0" applyBorder="1" applyAlignment="1" applyProtection="1"/>
    <xf numFmtId="0" fontId="0" fillId="0" borderId="444" xfId="0" applyBorder="1" applyAlignment="1" applyProtection="1"/>
    <xf numFmtId="0" fontId="5" fillId="34" borderId="410" xfId="0" applyFont="1" applyFill="1" applyBorder="1" applyAlignment="1" applyProtection="1">
      <alignment horizontal="left" indent="3"/>
    </xf>
    <xf numFmtId="0" fontId="5" fillId="34" borderId="406" xfId="0" applyFont="1" applyFill="1" applyBorder="1" applyAlignment="1" applyProtection="1">
      <alignment horizontal="left" indent="3"/>
    </xf>
    <xf numFmtId="0" fontId="5" fillId="34" borderId="448" xfId="0" applyFont="1" applyFill="1" applyBorder="1" applyAlignment="1" applyProtection="1">
      <alignment horizontal="left" indent="3"/>
    </xf>
    <xf numFmtId="0" fontId="133" fillId="48" borderId="12" xfId="0" applyFont="1" applyFill="1" applyBorder="1" applyAlignment="1">
      <alignment horizontal="center"/>
    </xf>
    <xf numFmtId="0" fontId="133" fillId="2" borderId="0" xfId="0" applyFont="1" applyFill="1" applyAlignment="1">
      <alignment horizontal="left" indent="1"/>
    </xf>
    <xf numFmtId="0" fontId="0" fillId="2" borderId="0" xfId="0" applyFont="1" applyFill="1" applyAlignment="1">
      <alignment horizontal="center"/>
    </xf>
    <xf numFmtId="0" fontId="0" fillId="2" borderId="0" xfId="0" applyFont="1" applyFill="1" applyAlignment="1">
      <alignment horizontal="left" indent="1"/>
    </xf>
    <xf numFmtId="0" fontId="0" fillId="2" borderId="0" xfId="0" applyFont="1" applyFill="1"/>
    <xf numFmtId="0" fontId="0" fillId="17" borderId="12" xfId="0" applyFont="1" applyFill="1" applyBorder="1" applyAlignment="1">
      <alignment horizontal="center"/>
    </xf>
    <xf numFmtId="0" fontId="0" fillId="2" borderId="0" xfId="0" applyFont="1" applyFill="1" applyAlignment="1"/>
    <xf numFmtId="0" fontId="277" fillId="2" borderId="206" xfId="1" applyFont="1" applyFill="1" applyBorder="1" applyAlignment="1" applyProtection="1">
      <alignment horizontal="left" vertical="center" wrapText="1" indent="1"/>
    </xf>
    <xf numFmtId="167" fontId="16" fillId="48" borderId="12" xfId="4" applyNumberFormat="1" applyFont="1" applyFill="1" applyBorder="1" applyAlignment="1" applyProtection="1">
      <alignment horizontal="center" vertical="center"/>
      <protection locked="0"/>
    </xf>
    <xf numFmtId="9" fontId="16" fillId="48" borderId="12" xfId="5" applyFont="1" applyFill="1" applyBorder="1" applyAlignment="1" applyProtection="1">
      <alignment horizontal="right" vertical="center" indent="1"/>
      <protection locked="0"/>
    </xf>
    <xf numFmtId="0" fontId="16" fillId="7" borderId="286" xfId="0" quotePrefix="1" applyFont="1" applyFill="1" applyBorder="1" applyAlignment="1">
      <alignment vertical="top" wrapText="1"/>
    </xf>
    <xf numFmtId="0" fontId="87" fillId="7" borderId="415" xfId="0" applyFont="1" applyFill="1" applyBorder="1" applyAlignment="1">
      <alignment horizontal="right" vertical="center"/>
    </xf>
    <xf numFmtId="0" fontId="0" fillId="0" borderId="4" xfId="0" applyBorder="1" applyProtection="1"/>
    <xf numFmtId="9" fontId="0" fillId="0" borderId="0" xfId="5" applyFont="1" applyFill="1" applyBorder="1" applyAlignment="1">
      <alignment horizontal="left" vertical="top"/>
    </xf>
    <xf numFmtId="0" fontId="16" fillId="0" borderId="19" xfId="0" applyFont="1" applyFill="1" applyBorder="1" applyAlignment="1">
      <alignment horizontal="right" vertical="top"/>
    </xf>
    <xf numFmtId="0" fontId="98" fillId="0" borderId="429" xfId="0" applyFont="1" applyFill="1" applyBorder="1" applyAlignment="1" applyProtection="1">
      <alignment vertical="center" wrapText="1"/>
    </xf>
    <xf numFmtId="0" fontId="0" fillId="0" borderId="0" xfId="0" applyFill="1" applyBorder="1" applyProtection="1"/>
    <xf numFmtId="0" fontId="0" fillId="0" borderId="26" xfId="0" applyBorder="1" applyAlignment="1">
      <alignment wrapText="1"/>
    </xf>
    <xf numFmtId="0" fontId="0" fillId="0" borderId="13" xfId="0" applyBorder="1"/>
    <xf numFmtId="0" fontId="0" fillId="0" borderId="120" xfId="0" applyBorder="1"/>
    <xf numFmtId="0" fontId="0" fillId="0" borderId="22" xfId="0" applyFill="1" applyBorder="1"/>
    <xf numFmtId="0" fontId="60" fillId="0" borderId="0" xfId="0" applyFont="1" applyBorder="1" applyAlignment="1">
      <alignment vertical="top"/>
    </xf>
    <xf numFmtId="0" fontId="0" fillId="0" borderId="5" xfId="0" applyBorder="1" applyAlignment="1">
      <alignment vertical="top"/>
    </xf>
    <xf numFmtId="0" fontId="5" fillId="0" borderId="4" xfId="0" applyFont="1" applyBorder="1" applyAlignment="1">
      <alignment vertical="top"/>
    </xf>
    <xf numFmtId="0" fontId="27" fillId="0" borderId="0" xfId="0" applyFont="1" applyProtection="1"/>
    <xf numFmtId="0" fontId="28" fillId="0" borderId="0" xfId="0" applyFont="1" applyProtection="1"/>
    <xf numFmtId="0" fontId="29" fillId="13" borderId="0" xfId="0" applyFont="1" applyFill="1" applyProtection="1"/>
    <xf numFmtId="0" fontId="0" fillId="0" borderId="12" xfId="0" applyBorder="1" applyProtection="1"/>
    <xf numFmtId="43" fontId="3" fillId="0" borderId="12" xfId="2" applyFont="1" applyBorder="1" applyProtection="1"/>
    <xf numFmtId="10" fontId="0" fillId="2" borderId="12" xfId="0" applyNumberFormat="1" applyFill="1" applyBorder="1" applyProtection="1"/>
    <xf numFmtId="10" fontId="0" fillId="0" borderId="12" xfId="0" applyNumberFormat="1" applyBorder="1" applyProtection="1"/>
    <xf numFmtId="167" fontId="3" fillId="2" borderId="12" xfId="2" applyNumberFormat="1" applyFont="1" applyFill="1" applyBorder="1" applyProtection="1"/>
    <xf numFmtId="167" fontId="3" fillId="0" borderId="12" xfId="2" applyNumberFormat="1" applyFont="1" applyBorder="1" applyProtection="1"/>
    <xf numFmtId="167" fontId="0" fillId="0" borderId="0" xfId="0" applyNumberFormat="1" applyProtection="1"/>
    <xf numFmtId="1" fontId="0" fillId="0" borderId="0" xfId="5" applyNumberFormat="1" applyFont="1" applyProtection="1"/>
    <xf numFmtId="167" fontId="0" fillId="2" borderId="12" xfId="0" applyNumberFormat="1" applyFill="1" applyBorder="1" applyProtection="1"/>
    <xf numFmtId="43" fontId="3" fillId="2" borderId="12" xfId="2" applyFont="1" applyFill="1" applyBorder="1" applyProtection="1"/>
    <xf numFmtId="43" fontId="0" fillId="0" borderId="12" xfId="2" applyFont="1" applyBorder="1" applyProtection="1"/>
    <xf numFmtId="10" fontId="3" fillId="0" borderId="12" xfId="5" applyNumberFormat="1" applyFont="1" applyBorder="1" applyProtection="1"/>
    <xf numFmtId="10" fontId="3" fillId="2" borderId="12" xfId="5" applyNumberFormat="1" applyFont="1" applyFill="1" applyBorder="1" applyProtection="1"/>
    <xf numFmtId="10" fontId="0" fillId="0" borderId="0" xfId="5" applyNumberFormat="1" applyFont="1" applyProtection="1"/>
    <xf numFmtId="43" fontId="3" fillId="0" borderId="12" xfId="4" applyFont="1" applyBorder="1" applyProtection="1"/>
    <xf numFmtId="0" fontId="27" fillId="0" borderId="0" xfId="0" applyFont="1" applyFill="1" applyProtection="1"/>
    <xf numFmtId="0" fontId="28" fillId="0" borderId="0" xfId="0" applyFont="1" applyFill="1" applyProtection="1"/>
    <xf numFmtId="167" fontId="3" fillId="0" borderId="12" xfId="2" applyNumberFormat="1" applyFont="1" applyFill="1" applyBorder="1" applyProtection="1"/>
    <xf numFmtId="10" fontId="3" fillId="0" borderId="12" xfId="5" applyNumberFormat="1" applyFont="1" applyFill="1" applyBorder="1" applyProtection="1"/>
    <xf numFmtId="9" fontId="3" fillId="0" borderId="12" xfId="5" applyFont="1" applyBorder="1" applyProtection="1"/>
    <xf numFmtId="9" fontId="0" fillId="0" borderId="0" xfId="0" applyNumberFormat="1" applyProtection="1"/>
    <xf numFmtId="171" fontId="0" fillId="0" borderId="0" xfId="0" applyNumberFormat="1" applyProtection="1"/>
    <xf numFmtId="167" fontId="0" fillId="0" borderId="0" xfId="4" applyNumberFormat="1" applyFont="1" applyProtection="1"/>
    <xf numFmtId="0" fontId="262" fillId="51" borderId="0" xfId="0" applyFont="1" applyFill="1" applyProtection="1"/>
    <xf numFmtId="0" fontId="263" fillId="51" borderId="0" xfId="0" applyFont="1" applyFill="1" applyProtection="1"/>
    <xf numFmtId="0" fontId="6" fillId="51" borderId="0" xfId="0" applyFont="1" applyFill="1" applyProtection="1"/>
    <xf numFmtId="43" fontId="0" fillId="0" borderId="0" xfId="0" applyNumberFormat="1" applyProtection="1"/>
    <xf numFmtId="0" fontId="10" fillId="25" borderId="77" xfId="0" applyFont="1" applyFill="1" applyBorder="1" applyAlignment="1" applyProtection="1">
      <alignment horizontal="center" vertical="center" wrapText="1"/>
    </xf>
    <xf numFmtId="0" fontId="4" fillId="25" borderId="1" xfId="0" applyFont="1" applyFill="1" applyBorder="1" applyAlignment="1" applyProtection="1">
      <alignment horizontal="center" vertical="center" wrapText="1"/>
    </xf>
    <xf numFmtId="0" fontId="4" fillId="25" borderId="2" xfId="0" applyFont="1" applyFill="1" applyBorder="1" applyAlignment="1" applyProtection="1">
      <alignment horizontal="center" vertical="center" wrapText="1"/>
    </xf>
    <xf numFmtId="0" fontId="4" fillId="25" borderId="3" xfId="0" applyFont="1" applyFill="1" applyBorder="1" applyAlignment="1" applyProtection="1">
      <alignment horizontal="center" vertical="center" wrapText="1"/>
    </xf>
    <xf numFmtId="0" fontId="5" fillId="2" borderId="78" xfId="0" applyFont="1" applyFill="1" applyBorder="1" applyAlignment="1" applyProtection="1">
      <alignment vertical="center"/>
    </xf>
    <xf numFmtId="9" fontId="5" fillId="2" borderId="98" xfId="5" applyFont="1" applyFill="1" applyBorder="1" applyAlignment="1" applyProtection="1">
      <alignment horizontal="right" vertical="center"/>
    </xf>
    <xf numFmtId="9" fontId="5" fillId="2" borderId="36" xfId="5" applyFont="1" applyFill="1" applyBorder="1" applyAlignment="1" applyProtection="1">
      <alignment horizontal="right" vertical="center"/>
    </xf>
    <xf numFmtId="9" fontId="5" fillId="2" borderId="80" xfId="5" applyFont="1" applyFill="1" applyBorder="1" applyAlignment="1" applyProtection="1">
      <alignment horizontal="right" vertical="center"/>
    </xf>
    <xf numFmtId="0" fontId="5" fillId="2" borderId="98" xfId="0" applyFont="1" applyFill="1" applyBorder="1" applyAlignment="1" applyProtection="1">
      <alignment horizontal="right" vertical="center"/>
    </xf>
    <xf numFmtId="9" fontId="5" fillId="2" borderId="115" xfId="5" applyFont="1" applyFill="1" applyBorder="1" applyAlignment="1" applyProtection="1">
      <alignment horizontal="right" vertical="center"/>
    </xf>
    <xf numFmtId="0" fontId="0" fillId="0" borderId="0" xfId="0" applyAlignment="1" applyProtection="1">
      <alignment horizontal="right"/>
    </xf>
    <xf numFmtId="0" fontId="0" fillId="0" borderId="200" xfId="0" applyBorder="1" applyAlignment="1" applyProtection="1"/>
    <xf numFmtId="9" fontId="0" fillId="0" borderId="197" xfId="5" applyFont="1" applyBorder="1" applyAlignment="1" applyProtection="1">
      <alignment horizontal="right" indent="1"/>
    </xf>
    <xf numFmtId="9" fontId="0" fillId="0" borderId="116" xfId="5" applyFont="1" applyBorder="1" applyAlignment="1" applyProtection="1">
      <alignment horizontal="right" wrapText="1" indent="1"/>
    </xf>
    <xf numFmtId="9" fontId="3" fillId="18" borderId="122" xfId="5" applyFont="1" applyFill="1" applyBorder="1" applyAlignment="1" applyProtection="1">
      <alignment horizontal="right" wrapText="1" indent="1"/>
    </xf>
    <xf numFmtId="9" fontId="3" fillId="18" borderId="197" xfId="5" applyFont="1" applyFill="1" applyBorder="1" applyAlignment="1" applyProtection="1">
      <alignment horizontal="right" wrapText="1" indent="1"/>
    </xf>
    <xf numFmtId="9" fontId="3" fillId="18" borderId="116" xfId="5" applyFont="1" applyFill="1" applyBorder="1" applyAlignment="1" applyProtection="1">
      <alignment horizontal="right" indent="1"/>
    </xf>
    <xf numFmtId="9" fontId="3" fillId="18" borderId="116" xfId="5" applyFont="1" applyFill="1" applyBorder="1" applyAlignment="1" applyProtection="1">
      <alignment horizontal="right" wrapText="1" indent="1"/>
    </xf>
    <xf numFmtId="167" fontId="16" fillId="0" borderId="197" xfId="4" applyNumberFormat="1" applyFont="1" applyFill="1" applyBorder="1" applyAlignment="1" applyProtection="1">
      <alignment horizontal="right" vertical="top" indent="1"/>
    </xf>
    <xf numFmtId="9" fontId="16" fillId="0" borderId="125" xfId="5" applyFont="1" applyFill="1" applyBorder="1" applyAlignment="1" applyProtection="1">
      <alignment horizontal="right" vertical="top" indent="1"/>
    </xf>
    <xf numFmtId="9" fontId="16" fillId="0" borderId="122" xfId="5" applyFont="1" applyFill="1" applyBorder="1" applyAlignment="1" applyProtection="1">
      <alignment horizontal="right" vertical="top" indent="1"/>
    </xf>
    <xf numFmtId="0" fontId="0" fillId="0" borderId="198" xfId="0" applyBorder="1" applyAlignment="1" applyProtection="1">
      <alignment wrapText="1"/>
    </xf>
    <xf numFmtId="0" fontId="0" fillId="0" borderId="145" xfId="0" applyBorder="1" applyAlignment="1" applyProtection="1">
      <alignment horizontal="right" indent="1"/>
    </xf>
    <xf numFmtId="43" fontId="0" fillId="0" borderId="18" xfId="4" applyFont="1" applyBorder="1" applyAlignment="1" applyProtection="1">
      <alignment horizontal="right" indent="1"/>
    </xf>
    <xf numFmtId="166" fontId="3" fillId="18" borderId="199" xfId="4" applyNumberFormat="1" applyFont="1" applyFill="1" applyBorder="1" applyAlignment="1" applyProtection="1">
      <alignment horizontal="right" wrapText="1" indent="1"/>
    </xf>
    <xf numFmtId="166" fontId="3" fillId="18" borderId="145" xfId="4" applyNumberFormat="1" applyFont="1" applyFill="1" applyBorder="1" applyAlignment="1" applyProtection="1">
      <alignment horizontal="right" wrapText="1" indent="1"/>
    </xf>
    <xf numFmtId="166" fontId="3" fillId="18" borderId="18" xfId="4" applyNumberFormat="1" applyFont="1" applyFill="1" applyBorder="1" applyAlignment="1" applyProtection="1">
      <alignment horizontal="right" indent="1"/>
    </xf>
    <xf numFmtId="166" fontId="3" fillId="18" borderId="18" xfId="4" applyNumberFormat="1" applyFont="1" applyFill="1" applyBorder="1" applyAlignment="1" applyProtection="1">
      <alignment horizontal="right" wrapText="1" indent="1"/>
    </xf>
    <xf numFmtId="167" fontId="16" fillId="0" borderId="145" xfId="4" applyNumberFormat="1" applyFont="1" applyFill="1" applyBorder="1" applyAlignment="1" applyProtection="1">
      <alignment horizontal="right" vertical="top" indent="1"/>
    </xf>
    <xf numFmtId="167" fontId="16" fillId="0" borderId="49" xfId="4" applyNumberFormat="1" applyFont="1" applyFill="1" applyBorder="1" applyAlignment="1" applyProtection="1">
      <alignment horizontal="right" vertical="top" indent="1"/>
    </xf>
    <xf numFmtId="167" fontId="16" fillId="0" borderId="199" xfId="4" applyNumberFormat="1" applyFont="1" applyFill="1" applyBorder="1" applyAlignment="1" applyProtection="1">
      <alignment horizontal="right" vertical="top" indent="1"/>
    </xf>
    <xf numFmtId="9" fontId="0" fillId="0" borderId="145" xfId="5" applyFont="1" applyBorder="1" applyAlignment="1" applyProtection="1">
      <alignment horizontal="right" indent="1"/>
    </xf>
    <xf numFmtId="9" fontId="0" fillId="0" borderId="18" xfId="5" applyFont="1" applyBorder="1" applyAlignment="1" applyProtection="1">
      <alignment horizontal="right" indent="1"/>
    </xf>
    <xf numFmtId="9" fontId="3" fillId="18" borderId="199" xfId="5" applyFont="1" applyFill="1" applyBorder="1" applyAlignment="1" applyProtection="1">
      <alignment horizontal="right" wrapText="1" indent="1"/>
    </xf>
    <xf numFmtId="9" fontId="3" fillId="18" borderId="145" xfId="5" applyFont="1" applyFill="1" applyBorder="1" applyAlignment="1" applyProtection="1">
      <alignment horizontal="right" wrapText="1" indent="1"/>
    </xf>
    <xf numFmtId="9" fontId="3" fillId="18" borderId="18" xfId="5" applyFont="1" applyFill="1" applyBorder="1" applyAlignment="1" applyProtection="1">
      <alignment horizontal="right" indent="1"/>
    </xf>
    <xf numFmtId="9" fontId="3" fillId="18" borderId="18" xfId="5" applyFont="1" applyFill="1" applyBorder="1" applyAlignment="1" applyProtection="1">
      <alignment horizontal="right" wrapText="1" indent="1"/>
    </xf>
    <xf numFmtId="9" fontId="16" fillId="0" borderId="49" xfId="5" applyFont="1" applyFill="1" applyBorder="1" applyAlignment="1" applyProtection="1">
      <alignment horizontal="right" vertical="top" indent="1"/>
    </xf>
    <xf numFmtId="9" fontId="16" fillId="0" borderId="199" xfId="5" applyFont="1" applyFill="1" applyBorder="1" applyAlignment="1" applyProtection="1">
      <alignment horizontal="right" vertical="top" indent="1"/>
    </xf>
    <xf numFmtId="9" fontId="0" fillId="0" borderId="145" xfId="5" applyFont="1" applyFill="1" applyBorder="1" applyAlignment="1" applyProtection="1">
      <alignment horizontal="right" indent="1"/>
    </xf>
    <xf numFmtId="0" fontId="0" fillId="0" borderId="204" xfId="0" applyBorder="1" applyAlignment="1" applyProtection="1">
      <alignment wrapText="1"/>
    </xf>
    <xf numFmtId="9" fontId="0" fillId="0" borderId="139" xfId="5" applyFont="1" applyFill="1" applyBorder="1" applyAlignment="1" applyProtection="1">
      <alignment horizontal="right" indent="1"/>
    </xf>
    <xf numFmtId="9" fontId="0" fillId="0" borderId="114" xfId="5" applyFont="1" applyBorder="1" applyAlignment="1" applyProtection="1">
      <alignment horizontal="right" indent="1"/>
    </xf>
    <xf numFmtId="9" fontId="3" fillId="18" borderId="140" xfId="5" applyFont="1" applyFill="1" applyBorder="1" applyAlignment="1" applyProtection="1">
      <alignment horizontal="right" wrapText="1" indent="1"/>
    </xf>
    <xf numFmtId="9" fontId="3" fillId="18" borderId="139" xfId="5" applyFont="1" applyFill="1" applyBorder="1" applyAlignment="1" applyProtection="1">
      <alignment horizontal="right" wrapText="1" indent="1"/>
    </xf>
    <xf numFmtId="9" fontId="3" fillId="18" borderId="114" xfId="5" applyFont="1" applyFill="1" applyBorder="1" applyAlignment="1" applyProtection="1">
      <alignment horizontal="right" indent="1"/>
    </xf>
    <xf numFmtId="9" fontId="3" fillId="18" borderId="114" xfId="5" applyFont="1" applyFill="1" applyBorder="1" applyAlignment="1" applyProtection="1">
      <alignment horizontal="right" wrapText="1" indent="1"/>
    </xf>
    <xf numFmtId="167" fontId="16" fillId="0" borderId="139" xfId="4" applyNumberFormat="1" applyFont="1" applyFill="1" applyBorder="1" applyAlignment="1" applyProtection="1">
      <alignment horizontal="right" vertical="top" indent="1"/>
    </xf>
    <xf numFmtId="9" fontId="16" fillId="0" borderId="75" xfId="5" applyFont="1" applyFill="1" applyBorder="1" applyAlignment="1" applyProtection="1">
      <alignment horizontal="right" vertical="top" indent="1"/>
    </xf>
    <xf numFmtId="9" fontId="16" fillId="0" borderId="140" xfId="5" applyFont="1" applyFill="1" applyBorder="1" applyAlignment="1" applyProtection="1">
      <alignment horizontal="right" vertical="top" indent="1"/>
    </xf>
    <xf numFmtId="0" fontId="0" fillId="0" borderId="0" xfId="0" applyFill="1" applyAlignment="1" applyProtection="1">
      <alignment horizontal="right"/>
    </xf>
    <xf numFmtId="0" fontId="0" fillId="0" borderId="200" xfId="0" applyFill="1" applyBorder="1" applyAlignment="1" applyProtection="1">
      <alignment wrapText="1"/>
    </xf>
    <xf numFmtId="9" fontId="0" fillId="0" borderId="197" xfId="5" applyFont="1" applyFill="1" applyBorder="1" applyAlignment="1" applyProtection="1">
      <alignment horizontal="right" indent="1"/>
    </xf>
    <xf numFmtId="9" fontId="0" fillId="0" borderId="116" xfId="5" applyFont="1" applyBorder="1" applyAlignment="1" applyProtection="1">
      <alignment horizontal="right" indent="1"/>
    </xf>
    <xf numFmtId="167" fontId="0" fillId="0" borderId="0" xfId="4" applyNumberFormat="1" applyFont="1" applyFill="1" applyAlignment="1" applyProtection="1">
      <alignment horizontal="right"/>
    </xf>
    <xf numFmtId="167" fontId="0" fillId="0" borderId="198" xfId="4" applyNumberFormat="1" applyFont="1" applyFill="1" applyBorder="1" applyAlignment="1" applyProtection="1">
      <alignment wrapText="1"/>
    </xf>
    <xf numFmtId="167" fontId="0" fillId="0" borderId="145" xfId="4" applyNumberFormat="1" applyFont="1" applyFill="1" applyBorder="1" applyAlignment="1" applyProtection="1">
      <alignment horizontal="right" indent="1"/>
    </xf>
    <xf numFmtId="167" fontId="0" fillId="0" borderId="18" xfId="4" applyNumberFormat="1" applyFont="1" applyBorder="1" applyAlignment="1" applyProtection="1">
      <alignment horizontal="right" indent="1"/>
    </xf>
    <xf numFmtId="167" fontId="3" fillId="18" borderId="199" xfId="4" applyNumberFormat="1" applyFont="1" applyFill="1" applyBorder="1" applyAlignment="1" applyProtection="1">
      <alignment horizontal="right" wrapText="1" indent="1"/>
    </xf>
    <xf numFmtId="167" fontId="3" fillId="18" borderId="145" xfId="4" applyNumberFormat="1" applyFont="1" applyFill="1" applyBorder="1" applyAlignment="1" applyProtection="1">
      <alignment horizontal="right" wrapText="1" indent="1"/>
    </xf>
    <xf numFmtId="167" fontId="3" fillId="18" borderId="18" xfId="4" applyNumberFormat="1" applyFont="1" applyFill="1" applyBorder="1" applyAlignment="1" applyProtection="1">
      <alignment horizontal="right" indent="1"/>
    </xf>
    <xf numFmtId="167" fontId="3" fillId="18" borderId="18" xfId="4" applyNumberFormat="1" applyFont="1" applyFill="1" applyBorder="1" applyAlignment="1" applyProtection="1">
      <alignment horizontal="right" wrapText="1" indent="1"/>
    </xf>
    <xf numFmtId="0" fontId="0" fillId="0" borderId="204" xfId="0" applyFill="1" applyBorder="1" applyAlignment="1" applyProtection="1">
      <alignment wrapText="1"/>
    </xf>
    <xf numFmtId="0" fontId="0" fillId="0" borderId="200" xfId="0" applyBorder="1" applyAlignment="1" applyProtection="1">
      <alignment wrapText="1"/>
    </xf>
    <xf numFmtId="9" fontId="3" fillId="18" borderId="122" xfId="5" applyFont="1" applyFill="1" applyBorder="1" applyAlignment="1" applyProtection="1">
      <alignment horizontal="right" indent="1"/>
    </xf>
    <xf numFmtId="9" fontId="3" fillId="18" borderId="197" xfId="5" applyFont="1" applyFill="1" applyBorder="1" applyAlignment="1" applyProtection="1">
      <alignment horizontal="right" indent="1"/>
    </xf>
    <xf numFmtId="167" fontId="0" fillId="0" borderId="197" xfId="4" applyNumberFormat="1" applyFont="1" applyFill="1" applyBorder="1" applyAlignment="1" applyProtection="1">
      <alignment horizontal="right" wrapText="1" indent="1"/>
    </xf>
    <xf numFmtId="9" fontId="0" fillId="0" borderId="125" xfId="5" applyFont="1" applyFill="1" applyBorder="1" applyAlignment="1" applyProtection="1">
      <alignment horizontal="right" wrapText="1" indent="1"/>
    </xf>
    <xf numFmtId="9" fontId="0" fillId="0" borderId="122" xfId="5" applyFont="1" applyFill="1" applyBorder="1" applyAlignment="1" applyProtection="1">
      <alignment horizontal="right" wrapText="1" indent="1"/>
    </xf>
    <xf numFmtId="0" fontId="16" fillId="0" borderId="198" xfId="0" applyFont="1" applyBorder="1" applyAlignment="1" applyProtection="1">
      <alignment wrapText="1"/>
    </xf>
    <xf numFmtId="9" fontId="3" fillId="18" borderId="199" xfId="5" applyFont="1" applyFill="1" applyBorder="1" applyAlignment="1" applyProtection="1">
      <alignment horizontal="right" indent="1"/>
    </xf>
    <xf numFmtId="9" fontId="3" fillId="18" borderId="145" xfId="5" applyFont="1" applyFill="1" applyBorder="1" applyAlignment="1" applyProtection="1">
      <alignment horizontal="right" indent="1"/>
    </xf>
    <xf numFmtId="167" fontId="0" fillId="0" borderId="145" xfId="4" applyNumberFormat="1" applyFont="1" applyFill="1" applyBorder="1" applyAlignment="1" applyProtection="1">
      <alignment horizontal="right" wrapText="1" indent="1"/>
    </xf>
    <xf numFmtId="9" fontId="0" fillId="0" borderId="49" xfId="5" applyFont="1" applyFill="1" applyBorder="1" applyAlignment="1" applyProtection="1">
      <alignment horizontal="right" wrapText="1" indent="1"/>
    </xf>
    <xf numFmtId="9" fontId="0" fillId="0" borderId="199" xfId="5" applyFont="1" applyFill="1" applyBorder="1" applyAlignment="1" applyProtection="1">
      <alignment horizontal="right" wrapText="1" indent="1"/>
    </xf>
    <xf numFmtId="0" fontId="0" fillId="0" borderId="198" xfId="0" applyFill="1" applyBorder="1" applyAlignment="1" applyProtection="1">
      <alignment wrapText="1"/>
    </xf>
    <xf numFmtId="9" fontId="0" fillId="0" borderId="139" xfId="5" applyFont="1" applyBorder="1" applyAlignment="1" applyProtection="1">
      <alignment horizontal="right" indent="1"/>
    </xf>
    <xf numFmtId="9" fontId="3" fillId="18" borderId="140" xfId="5" applyFont="1" applyFill="1" applyBorder="1" applyAlignment="1" applyProtection="1">
      <alignment horizontal="right" indent="1"/>
    </xf>
    <xf numFmtId="9" fontId="3" fillId="18" borderId="139" xfId="5" applyFont="1" applyFill="1" applyBorder="1" applyAlignment="1" applyProtection="1">
      <alignment horizontal="right" indent="1"/>
    </xf>
    <xf numFmtId="167" fontId="0" fillId="0" borderId="139" xfId="4" applyNumberFormat="1" applyFont="1" applyFill="1" applyBorder="1" applyAlignment="1" applyProtection="1">
      <alignment horizontal="right" wrapText="1" indent="1"/>
    </xf>
    <xf numFmtId="9" fontId="0" fillId="0" borderId="75" xfId="5" applyFont="1" applyFill="1" applyBorder="1" applyAlignment="1" applyProtection="1">
      <alignment horizontal="right" wrapText="1" indent="1"/>
    </xf>
    <xf numFmtId="9" fontId="0" fillId="0" borderId="140" xfId="5" applyFont="1" applyFill="1" applyBorder="1" applyAlignment="1" applyProtection="1">
      <alignment horizontal="right" wrapText="1" indent="1"/>
    </xf>
    <xf numFmtId="0" fontId="0" fillId="0" borderId="32" xfId="0" applyBorder="1" applyAlignment="1" applyProtection="1">
      <alignment wrapText="1"/>
    </xf>
    <xf numFmtId="9" fontId="0" fillId="0" borderId="21" xfId="5" applyFont="1" applyFill="1" applyBorder="1" applyAlignment="1" applyProtection="1">
      <alignment horizontal="right" indent="1"/>
    </xf>
    <xf numFmtId="9" fontId="0" fillId="0" borderId="12" xfId="5" applyFont="1" applyBorder="1" applyAlignment="1" applyProtection="1">
      <alignment horizontal="right" indent="1"/>
    </xf>
    <xf numFmtId="9" fontId="3" fillId="18" borderId="22" xfId="5" applyFont="1" applyFill="1" applyBorder="1" applyAlignment="1" applyProtection="1">
      <alignment horizontal="right" wrapText="1" indent="1"/>
    </xf>
    <xf numFmtId="9" fontId="3" fillId="18" borderId="21" xfId="5" applyFont="1" applyFill="1" applyBorder="1" applyAlignment="1" applyProtection="1">
      <alignment horizontal="right" wrapText="1" indent="1"/>
    </xf>
    <xf numFmtId="9" fontId="3" fillId="18" borderId="12" xfId="5" applyFont="1" applyFill="1" applyBorder="1" applyAlignment="1" applyProtection="1">
      <alignment horizontal="right" indent="1"/>
    </xf>
    <xf numFmtId="9" fontId="3" fillId="18" borderId="12" xfId="5" applyFont="1" applyFill="1" applyBorder="1" applyAlignment="1" applyProtection="1">
      <alignment horizontal="right" wrapText="1" indent="1"/>
    </xf>
    <xf numFmtId="167" fontId="0" fillId="0" borderId="21" xfId="4" applyNumberFormat="1" applyFont="1" applyFill="1" applyBorder="1" applyAlignment="1" applyProtection="1">
      <alignment horizontal="right" wrapText="1" indent="1"/>
    </xf>
    <xf numFmtId="9" fontId="0" fillId="0" borderId="13" xfId="5" applyFont="1" applyFill="1" applyBorder="1" applyAlignment="1" applyProtection="1">
      <alignment horizontal="right" wrapText="1" indent="1"/>
    </xf>
    <xf numFmtId="9" fontId="0" fillId="0" borderId="22" xfId="5" applyFont="1" applyFill="1" applyBorder="1" applyAlignment="1" applyProtection="1">
      <alignment horizontal="right" wrapText="1" indent="1"/>
    </xf>
    <xf numFmtId="0" fontId="0" fillId="0" borderId="32" xfId="0" applyFill="1" applyBorder="1" applyAlignment="1" applyProtection="1">
      <alignment wrapText="1"/>
    </xf>
    <xf numFmtId="0" fontId="0" fillId="0" borderId="21" xfId="0" applyBorder="1" applyAlignment="1" applyProtection="1">
      <alignment horizontal="right" indent="1"/>
    </xf>
    <xf numFmtId="2" fontId="0" fillId="0" borderId="12" xfId="5" applyNumberFormat="1" applyFont="1" applyBorder="1" applyAlignment="1" applyProtection="1">
      <alignment horizontal="right" indent="1"/>
    </xf>
    <xf numFmtId="2" fontId="3" fillId="18" borderId="22" xfId="4" applyNumberFormat="1" applyFont="1" applyFill="1" applyBorder="1" applyAlignment="1" applyProtection="1">
      <alignment horizontal="right" wrapText="1" indent="1"/>
    </xf>
    <xf numFmtId="2" fontId="3" fillId="18" borderId="21" xfId="4" applyNumberFormat="1" applyFont="1" applyFill="1" applyBorder="1" applyAlignment="1" applyProtection="1">
      <alignment horizontal="right" wrapText="1" indent="1"/>
    </xf>
    <xf numFmtId="2" fontId="3" fillId="18" borderId="12" xfId="4" applyNumberFormat="1" applyFont="1" applyFill="1" applyBorder="1" applyAlignment="1" applyProtection="1">
      <alignment horizontal="right" indent="1"/>
    </xf>
    <xf numFmtId="2" fontId="3" fillId="18" borderId="12" xfId="4" applyNumberFormat="1" applyFont="1" applyFill="1" applyBorder="1" applyAlignment="1" applyProtection="1">
      <alignment horizontal="right" wrapText="1" indent="1"/>
    </xf>
    <xf numFmtId="167" fontId="16" fillId="0" borderId="21" xfId="4" applyNumberFormat="1" applyFont="1" applyFill="1" applyBorder="1" applyAlignment="1" applyProtection="1">
      <alignment horizontal="right" vertical="top" indent="1"/>
    </xf>
    <xf numFmtId="43" fontId="0" fillId="0" borderId="13" xfId="4" applyFont="1" applyFill="1" applyBorder="1" applyAlignment="1" applyProtection="1">
      <alignment horizontal="right" wrapText="1" indent="1"/>
    </xf>
    <xf numFmtId="43" fontId="0" fillId="0" borderId="22" xfId="4" applyFont="1" applyFill="1" applyBorder="1" applyAlignment="1" applyProtection="1">
      <alignment horizontal="right" wrapText="1" indent="1"/>
    </xf>
    <xf numFmtId="0" fontId="0" fillId="0" borderId="198" xfId="0" applyBorder="1" applyAlignment="1" applyProtection="1"/>
    <xf numFmtId="0" fontId="0" fillId="0" borderId="204" xfId="0" applyBorder="1" applyAlignment="1" applyProtection="1"/>
    <xf numFmtId="9" fontId="0" fillId="0" borderId="203" xfId="5" applyFont="1" applyBorder="1" applyAlignment="1" applyProtection="1">
      <alignment horizontal="right" indent="1"/>
    </xf>
    <xf numFmtId="9" fontId="0" fillId="0" borderId="124" xfId="5" applyFont="1" applyBorder="1" applyAlignment="1" applyProtection="1">
      <alignment horizontal="right" indent="1"/>
    </xf>
    <xf numFmtId="9" fontId="3" fillId="18" borderId="123" xfId="5" applyFont="1" applyFill="1" applyBorder="1" applyAlignment="1" applyProtection="1">
      <alignment horizontal="right" indent="1"/>
    </xf>
    <xf numFmtId="9" fontId="3" fillId="18" borderId="203" xfId="5" applyFont="1" applyFill="1" applyBorder="1" applyAlignment="1" applyProtection="1">
      <alignment horizontal="right" indent="1"/>
    </xf>
    <xf numFmtId="9" fontId="3" fillId="18" borderId="124" xfId="5" applyFont="1" applyFill="1" applyBorder="1" applyAlignment="1" applyProtection="1">
      <alignment horizontal="right" indent="1"/>
    </xf>
    <xf numFmtId="167" fontId="0" fillId="0" borderId="203" xfId="4" applyNumberFormat="1" applyFont="1" applyFill="1" applyBorder="1" applyAlignment="1" applyProtection="1">
      <alignment horizontal="right" wrapText="1" indent="1"/>
    </xf>
    <xf numFmtId="9" fontId="0" fillId="0" borderId="196" xfId="5" applyFont="1" applyFill="1" applyBorder="1" applyAlignment="1" applyProtection="1">
      <alignment horizontal="right" wrapText="1" indent="1"/>
    </xf>
    <xf numFmtId="9" fontId="0" fillId="0" borderId="123" xfId="5" applyFont="1" applyFill="1" applyBorder="1" applyAlignment="1" applyProtection="1">
      <alignment horizontal="right" wrapText="1" indent="1"/>
    </xf>
    <xf numFmtId="9" fontId="0" fillId="0" borderId="197" xfId="5" applyFont="1" applyBorder="1" applyAlignment="1" applyProtection="1">
      <alignment horizontal="right"/>
    </xf>
    <xf numFmtId="9" fontId="0" fillId="0" borderId="116" xfId="5" applyFont="1" applyBorder="1" applyAlignment="1" applyProtection="1">
      <alignment horizontal="right" wrapText="1"/>
    </xf>
    <xf numFmtId="9" fontId="3" fillId="18" borderId="122" xfId="5" applyFont="1" applyFill="1" applyBorder="1" applyAlignment="1" applyProtection="1">
      <alignment horizontal="right" wrapText="1"/>
    </xf>
    <xf numFmtId="9" fontId="3" fillId="18" borderId="197" xfId="5" applyFont="1" applyFill="1" applyBorder="1" applyAlignment="1" applyProtection="1">
      <alignment horizontal="right" wrapText="1"/>
    </xf>
    <xf numFmtId="9" fontId="3" fillId="18" borderId="116" xfId="5" applyFont="1" applyFill="1" applyBorder="1" applyAlignment="1" applyProtection="1">
      <alignment horizontal="right"/>
    </xf>
    <xf numFmtId="9" fontId="3" fillId="18" borderId="116" xfId="5" applyFont="1" applyFill="1" applyBorder="1" applyAlignment="1" applyProtection="1">
      <alignment horizontal="right" wrapText="1"/>
    </xf>
    <xf numFmtId="10" fontId="16" fillId="0" borderId="197" xfId="2" applyNumberFormat="1" applyFont="1" applyFill="1" applyBorder="1" applyAlignment="1" applyProtection="1">
      <alignment horizontal="right" vertical="top"/>
    </xf>
    <xf numFmtId="9" fontId="16" fillId="0" borderId="125" xfId="5" applyFont="1" applyFill="1" applyBorder="1" applyAlignment="1" applyProtection="1">
      <alignment horizontal="right" vertical="top"/>
    </xf>
    <xf numFmtId="168" fontId="16" fillId="0" borderId="122" xfId="2" applyNumberFormat="1" applyFont="1" applyFill="1" applyBorder="1" applyAlignment="1" applyProtection="1">
      <alignment horizontal="right" vertical="top"/>
    </xf>
    <xf numFmtId="0" fontId="0" fillId="0" borderId="145" xfId="0" applyBorder="1" applyAlignment="1" applyProtection="1">
      <alignment horizontal="right"/>
    </xf>
    <xf numFmtId="167" fontId="0" fillId="0" borderId="18" xfId="4" applyNumberFormat="1" applyFont="1" applyBorder="1" applyAlignment="1" applyProtection="1">
      <alignment horizontal="right" wrapText="1"/>
    </xf>
    <xf numFmtId="167" fontId="3" fillId="18" borderId="199" xfId="4" applyNumberFormat="1" applyFont="1" applyFill="1" applyBorder="1" applyAlignment="1" applyProtection="1">
      <alignment horizontal="right" wrapText="1"/>
    </xf>
    <xf numFmtId="167" fontId="3" fillId="18" borderId="145" xfId="4" applyNumberFormat="1" applyFont="1" applyFill="1" applyBorder="1" applyAlignment="1" applyProtection="1">
      <alignment horizontal="right" wrapText="1"/>
    </xf>
    <xf numFmtId="167" fontId="3" fillId="18" borderId="18" xfId="4" applyNumberFormat="1" applyFont="1" applyFill="1" applyBorder="1" applyAlignment="1" applyProtection="1">
      <alignment horizontal="right"/>
    </xf>
    <xf numFmtId="167" fontId="3" fillId="18" borderId="18" xfId="4" applyNumberFormat="1" applyFont="1" applyFill="1" applyBorder="1" applyAlignment="1" applyProtection="1">
      <alignment horizontal="right" wrapText="1"/>
    </xf>
    <xf numFmtId="167" fontId="16" fillId="0" borderId="145" xfId="2" applyNumberFormat="1" applyFont="1" applyFill="1" applyBorder="1" applyAlignment="1" applyProtection="1">
      <alignment horizontal="right" vertical="top"/>
    </xf>
    <xf numFmtId="167" fontId="16" fillId="0" borderId="49" xfId="4" applyNumberFormat="1" applyFont="1" applyFill="1" applyBorder="1" applyAlignment="1" applyProtection="1">
      <alignment horizontal="right" vertical="top"/>
    </xf>
    <xf numFmtId="167" fontId="16" fillId="0" borderId="199" xfId="4" applyNumberFormat="1" applyFont="1" applyFill="1" applyBorder="1" applyAlignment="1" applyProtection="1">
      <alignment horizontal="right" vertical="top"/>
    </xf>
    <xf numFmtId="9" fontId="0" fillId="0" borderId="145" xfId="5" applyFont="1" applyBorder="1" applyAlignment="1" applyProtection="1">
      <alignment horizontal="right"/>
    </xf>
    <xf numFmtId="9" fontId="0" fillId="0" borderId="18" xfId="5" applyFont="1" applyBorder="1" applyAlignment="1" applyProtection="1">
      <alignment horizontal="right" wrapText="1"/>
    </xf>
    <xf numFmtId="9" fontId="3" fillId="18" borderId="199" xfId="5" applyFont="1" applyFill="1" applyBorder="1" applyAlignment="1" applyProtection="1">
      <alignment horizontal="right" wrapText="1"/>
    </xf>
    <xf numFmtId="9" fontId="3" fillId="18" borderId="145" xfId="5" applyFont="1" applyFill="1" applyBorder="1" applyAlignment="1" applyProtection="1">
      <alignment horizontal="right" wrapText="1"/>
    </xf>
    <xf numFmtId="9" fontId="3" fillId="18" borderId="18" xfId="5" applyFont="1" applyFill="1" applyBorder="1" applyAlignment="1" applyProtection="1">
      <alignment horizontal="right"/>
    </xf>
    <xf numFmtId="9" fontId="3" fillId="18" borderId="18" xfId="5" applyFont="1" applyFill="1" applyBorder="1" applyAlignment="1" applyProtection="1">
      <alignment horizontal="right" wrapText="1"/>
    </xf>
    <xf numFmtId="10" fontId="16" fillId="0" borderId="145" xfId="2" applyNumberFormat="1" applyFont="1" applyFill="1" applyBorder="1" applyAlignment="1" applyProtection="1">
      <alignment horizontal="right" vertical="top"/>
    </xf>
    <xf numFmtId="9" fontId="16" fillId="0" borderId="49" xfId="5" applyFont="1" applyFill="1" applyBorder="1" applyAlignment="1" applyProtection="1">
      <alignment horizontal="right" vertical="top"/>
    </xf>
    <xf numFmtId="168" fontId="16" fillId="0" borderId="199" xfId="2" applyNumberFormat="1" applyFont="1" applyFill="1" applyBorder="1" applyAlignment="1" applyProtection="1">
      <alignment horizontal="right" vertical="top"/>
    </xf>
    <xf numFmtId="43" fontId="0" fillId="0" borderId="18" xfId="4" applyFont="1" applyBorder="1" applyAlignment="1" applyProtection="1">
      <alignment horizontal="right" wrapText="1"/>
    </xf>
    <xf numFmtId="43" fontId="3" fillId="18" borderId="199" xfId="4" applyFont="1" applyFill="1" applyBorder="1" applyAlignment="1" applyProtection="1">
      <alignment horizontal="right" wrapText="1"/>
    </xf>
    <xf numFmtId="43" fontId="3" fillId="18" borderId="145" xfId="4" applyFont="1" applyFill="1" applyBorder="1" applyAlignment="1" applyProtection="1">
      <alignment horizontal="right" wrapText="1"/>
    </xf>
    <xf numFmtId="43" fontId="3" fillId="18" borderId="18" xfId="4" applyFont="1" applyFill="1" applyBorder="1" applyAlignment="1" applyProtection="1">
      <alignment horizontal="right"/>
    </xf>
    <xf numFmtId="43" fontId="3" fillId="18" borderId="18" xfId="4" applyFont="1" applyFill="1" applyBorder="1" applyAlignment="1" applyProtection="1">
      <alignment horizontal="right" wrapText="1"/>
    </xf>
    <xf numFmtId="43" fontId="16" fillId="0" borderId="145" xfId="2" applyFont="1" applyFill="1" applyBorder="1" applyAlignment="1" applyProtection="1">
      <alignment horizontal="right" vertical="top"/>
    </xf>
    <xf numFmtId="9" fontId="0" fillId="0" borderId="145" xfId="5" applyFont="1" applyFill="1" applyBorder="1" applyAlignment="1" applyProtection="1">
      <alignment horizontal="right"/>
    </xf>
    <xf numFmtId="9" fontId="0" fillId="0" borderId="139" xfId="5" applyFont="1" applyFill="1" applyBorder="1" applyAlignment="1" applyProtection="1">
      <alignment horizontal="right"/>
    </xf>
    <xf numFmtId="9" fontId="0" fillId="0" borderId="114" xfId="5" applyFont="1" applyBorder="1" applyAlignment="1" applyProtection="1">
      <alignment horizontal="right" wrapText="1"/>
    </xf>
    <xf numFmtId="9" fontId="3" fillId="18" borderId="140" xfId="5" applyFont="1" applyFill="1" applyBorder="1" applyAlignment="1" applyProtection="1">
      <alignment horizontal="right" wrapText="1"/>
    </xf>
    <xf numFmtId="9" fontId="3" fillId="18" borderId="139" xfId="5" applyFont="1" applyFill="1" applyBorder="1" applyAlignment="1" applyProtection="1">
      <alignment horizontal="right" wrapText="1"/>
    </xf>
    <xf numFmtId="9" fontId="3" fillId="18" borderId="114" xfId="5" applyFont="1" applyFill="1" applyBorder="1" applyAlignment="1" applyProtection="1">
      <alignment horizontal="right"/>
    </xf>
    <xf numFmtId="9" fontId="3" fillId="18" borderId="114" xfId="5" applyFont="1" applyFill="1" applyBorder="1" applyAlignment="1" applyProtection="1">
      <alignment horizontal="right" wrapText="1"/>
    </xf>
    <xf numFmtId="10" fontId="16" fillId="0" borderId="139" xfId="2" applyNumberFormat="1" applyFont="1" applyFill="1" applyBorder="1" applyAlignment="1" applyProtection="1">
      <alignment horizontal="right" vertical="top"/>
    </xf>
    <xf numFmtId="9" fontId="16" fillId="0" borderId="75" xfId="5" applyFont="1" applyFill="1" applyBorder="1" applyAlignment="1" applyProtection="1">
      <alignment horizontal="right" vertical="top"/>
    </xf>
    <xf numFmtId="168" fontId="16" fillId="0" borderId="140" xfId="2" applyNumberFormat="1" applyFont="1" applyFill="1" applyBorder="1" applyAlignment="1" applyProtection="1">
      <alignment horizontal="right" vertical="top"/>
    </xf>
    <xf numFmtId="9" fontId="0" fillId="0" borderId="197" xfId="5" applyFont="1" applyFill="1" applyBorder="1" applyAlignment="1" applyProtection="1">
      <alignment horizontal="right"/>
    </xf>
    <xf numFmtId="167" fontId="16" fillId="0" borderId="197" xfId="4" applyNumberFormat="1" applyFont="1" applyFill="1" applyBorder="1" applyAlignment="1" applyProtection="1">
      <alignment horizontal="right" vertical="top"/>
    </xf>
    <xf numFmtId="167" fontId="0" fillId="0" borderId="145" xfId="4" applyNumberFormat="1" applyFont="1" applyFill="1" applyBorder="1" applyAlignment="1" applyProtection="1">
      <alignment horizontal="right"/>
    </xf>
    <xf numFmtId="167" fontId="16" fillId="0" borderId="145" xfId="4" applyNumberFormat="1" applyFont="1" applyFill="1" applyBorder="1" applyAlignment="1" applyProtection="1">
      <alignment horizontal="right" vertical="top"/>
    </xf>
    <xf numFmtId="167" fontId="16" fillId="0" borderId="139" xfId="4" applyNumberFormat="1" applyFont="1" applyFill="1" applyBorder="1" applyAlignment="1" applyProtection="1">
      <alignment horizontal="right" vertical="top"/>
    </xf>
    <xf numFmtId="9" fontId="0" fillId="0" borderId="116" xfId="5" applyFont="1" applyBorder="1" applyAlignment="1" applyProtection="1">
      <alignment horizontal="right"/>
    </xf>
    <xf numFmtId="9" fontId="3" fillId="18" borderId="122" xfId="5" applyFont="1" applyFill="1" applyBorder="1" applyAlignment="1" applyProtection="1">
      <alignment horizontal="right"/>
    </xf>
    <xf numFmtId="9" fontId="3" fillId="18" borderId="197" xfId="5" applyFont="1" applyFill="1" applyBorder="1" applyAlignment="1" applyProtection="1">
      <alignment horizontal="right"/>
    </xf>
    <xf numFmtId="0" fontId="0" fillId="0" borderId="197" xfId="0" applyFill="1" applyBorder="1" applyAlignment="1" applyProtection="1">
      <alignment horizontal="right" wrapText="1"/>
    </xf>
    <xf numFmtId="9" fontId="0" fillId="0" borderId="125" xfId="5" applyFont="1" applyFill="1" applyBorder="1" applyAlignment="1" applyProtection="1">
      <alignment horizontal="right" wrapText="1"/>
    </xf>
    <xf numFmtId="9" fontId="0" fillId="0" borderId="122" xfId="5" applyFont="1" applyFill="1" applyBorder="1" applyAlignment="1" applyProtection="1">
      <alignment horizontal="right" wrapText="1"/>
    </xf>
    <xf numFmtId="9" fontId="0" fillId="0" borderId="18" xfId="5" applyFont="1" applyBorder="1" applyAlignment="1" applyProtection="1">
      <alignment horizontal="right"/>
    </xf>
    <xf numFmtId="9" fontId="3" fillId="18" borderId="199" xfId="5" applyFont="1" applyFill="1" applyBorder="1" applyAlignment="1" applyProtection="1">
      <alignment horizontal="right"/>
    </xf>
    <xf numFmtId="9" fontId="3" fillId="18" borderId="145" xfId="5" applyFont="1" applyFill="1" applyBorder="1" applyAlignment="1" applyProtection="1">
      <alignment horizontal="right"/>
    </xf>
    <xf numFmtId="0" fontId="0" fillId="0" borderId="145" xfId="0" applyFill="1" applyBorder="1" applyAlignment="1" applyProtection="1">
      <alignment horizontal="right" wrapText="1"/>
    </xf>
    <xf numFmtId="9" fontId="0" fillId="0" borderId="49" xfId="5" applyFont="1" applyFill="1" applyBorder="1" applyAlignment="1" applyProtection="1">
      <alignment horizontal="right" wrapText="1"/>
    </xf>
    <xf numFmtId="9" fontId="0" fillId="0" borderId="199" xfId="5" applyFont="1" applyFill="1" applyBorder="1" applyAlignment="1" applyProtection="1">
      <alignment horizontal="right" wrapText="1"/>
    </xf>
    <xf numFmtId="0" fontId="0" fillId="0" borderId="198" xfId="0" applyFill="1" applyBorder="1" applyAlignment="1" applyProtection="1"/>
    <xf numFmtId="9" fontId="0" fillId="0" borderId="139" xfId="5" applyFont="1" applyBorder="1" applyAlignment="1" applyProtection="1">
      <alignment horizontal="right"/>
    </xf>
    <xf numFmtId="9" fontId="0" fillId="0" borderId="114" xfId="5" applyFont="1" applyBorder="1" applyAlignment="1" applyProtection="1">
      <alignment horizontal="right"/>
    </xf>
    <xf numFmtId="9" fontId="3" fillId="18" borderId="140" xfId="5" applyFont="1" applyFill="1" applyBorder="1" applyAlignment="1" applyProtection="1">
      <alignment horizontal="right"/>
    </xf>
    <xf numFmtId="9" fontId="3" fillId="18" borderId="139" xfId="5" applyFont="1" applyFill="1" applyBorder="1" applyAlignment="1" applyProtection="1">
      <alignment horizontal="right"/>
    </xf>
    <xf numFmtId="0" fontId="0" fillId="0" borderId="139" xfId="0" applyFill="1" applyBorder="1" applyAlignment="1" applyProtection="1">
      <alignment horizontal="right" wrapText="1"/>
    </xf>
    <xf numFmtId="9" fontId="0" fillId="0" borderId="75" xfId="5" applyFont="1" applyFill="1" applyBorder="1" applyAlignment="1" applyProtection="1">
      <alignment horizontal="right" wrapText="1"/>
    </xf>
    <xf numFmtId="9" fontId="0" fillId="0" borderId="140" xfId="5" applyFont="1" applyFill="1" applyBorder="1" applyAlignment="1" applyProtection="1">
      <alignment horizontal="right" wrapText="1"/>
    </xf>
    <xf numFmtId="167" fontId="0" fillId="0" borderId="197" xfId="4" applyNumberFormat="1" applyFont="1" applyFill="1" applyBorder="1" applyAlignment="1" applyProtection="1">
      <alignment horizontal="right" wrapText="1"/>
    </xf>
    <xf numFmtId="167" fontId="0" fillId="0" borderId="145" xfId="4" applyNumberFormat="1" applyFont="1" applyFill="1" applyBorder="1" applyAlignment="1" applyProtection="1">
      <alignment horizontal="right" wrapText="1"/>
    </xf>
    <xf numFmtId="167" fontId="0" fillId="0" borderId="139" xfId="4" applyNumberFormat="1" applyFont="1" applyFill="1" applyBorder="1" applyAlignment="1" applyProtection="1">
      <alignment horizontal="right" wrapText="1"/>
    </xf>
    <xf numFmtId="9" fontId="0" fillId="0" borderId="21" xfId="5" applyFont="1" applyFill="1" applyBorder="1" applyAlignment="1" applyProtection="1">
      <alignment horizontal="right"/>
    </xf>
    <xf numFmtId="9" fontId="0" fillId="0" borderId="12" xfId="5" applyFont="1" applyBorder="1" applyAlignment="1" applyProtection="1">
      <alignment horizontal="right"/>
    </xf>
    <xf numFmtId="9" fontId="3" fillId="18" borderId="22" xfId="5" applyFont="1" applyFill="1" applyBorder="1" applyAlignment="1" applyProtection="1">
      <alignment horizontal="right" wrapText="1"/>
    </xf>
    <xf numFmtId="9" fontId="3" fillId="18" borderId="21" xfId="5" applyFont="1" applyFill="1" applyBorder="1" applyAlignment="1" applyProtection="1">
      <alignment horizontal="right" wrapText="1"/>
    </xf>
    <xf numFmtId="9" fontId="3" fillId="18" borderId="12" xfId="5" applyFont="1" applyFill="1" applyBorder="1" applyAlignment="1" applyProtection="1">
      <alignment horizontal="right"/>
    </xf>
    <xf numFmtId="9" fontId="3" fillId="18" borderId="12" xfId="5" applyFont="1" applyFill="1" applyBorder="1" applyAlignment="1" applyProtection="1">
      <alignment horizontal="right" wrapText="1"/>
    </xf>
    <xf numFmtId="0" fontId="0" fillId="0" borderId="21" xfId="0" applyFill="1" applyBorder="1" applyAlignment="1" applyProtection="1">
      <alignment horizontal="right" wrapText="1"/>
    </xf>
    <xf numFmtId="9" fontId="0" fillId="0" borderId="13" xfId="5" applyFont="1" applyFill="1" applyBorder="1" applyAlignment="1" applyProtection="1">
      <alignment horizontal="right" wrapText="1"/>
    </xf>
    <xf numFmtId="9" fontId="0" fillId="0" borderId="22" xfId="5" applyFont="1" applyFill="1" applyBorder="1" applyAlignment="1" applyProtection="1">
      <alignment horizontal="right" wrapText="1"/>
    </xf>
    <xf numFmtId="0" fontId="0" fillId="0" borderId="21" xfId="0" applyBorder="1" applyAlignment="1" applyProtection="1">
      <alignment horizontal="right"/>
    </xf>
    <xf numFmtId="43" fontId="0" fillId="0" borderId="12" xfId="4" applyFont="1" applyBorder="1" applyAlignment="1" applyProtection="1">
      <alignment horizontal="right"/>
    </xf>
    <xf numFmtId="2" fontId="3" fillId="18" borderId="22" xfId="4" applyNumberFormat="1" applyFont="1" applyFill="1" applyBorder="1" applyAlignment="1" applyProtection="1">
      <alignment horizontal="right" wrapText="1"/>
    </xf>
    <xf numFmtId="2" fontId="3" fillId="18" borderId="21" xfId="4" applyNumberFormat="1" applyFont="1" applyFill="1" applyBorder="1" applyAlignment="1" applyProtection="1">
      <alignment horizontal="right" wrapText="1"/>
    </xf>
    <xf numFmtId="2" fontId="3" fillId="18" borderId="12" xfId="4" applyNumberFormat="1" applyFont="1" applyFill="1" applyBorder="1" applyAlignment="1" applyProtection="1">
      <alignment horizontal="right"/>
    </xf>
    <xf numFmtId="2" fontId="3" fillId="18" borderId="12" xfId="4" applyNumberFormat="1" applyFont="1" applyFill="1" applyBorder="1" applyAlignment="1" applyProtection="1">
      <alignment horizontal="right" wrapText="1"/>
    </xf>
    <xf numFmtId="167" fontId="16" fillId="0" borderId="21" xfId="4" applyNumberFormat="1" applyFont="1" applyFill="1" applyBorder="1" applyAlignment="1" applyProtection="1">
      <alignment horizontal="right" vertical="top"/>
    </xf>
    <xf numFmtId="43" fontId="0" fillId="0" borderId="13" xfId="4" applyFont="1" applyFill="1" applyBorder="1" applyAlignment="1" applyProtection="1">
      <alignment horizontal="right" wrapText="1"/>
    </xf>
    <xf numFmtId="43" fontId="16" fillId="0" borderId="22" xfId="4" applyFont="1" applyFill="1" applyBorder="1" applyAlignment="1" applyProtection="1">
      <alignment horizontal="right" wrapText="1"/>
    </xf>
    <xf numFmtId="9" fontId="0" fillId="0" borderId="203" xfId="5" applyFont="1" applyBorder="1" applyAlignment="1" applyProtection="1">
      <alignment horizontal="right"/>
    </xf>
    <xf numFmtId="9" fontId="0" fillId="0" borderId="124" xfId="5" applyFont="1" applyBorder="1" applyAlignment="1" applyProtection="1">
      <alignment horizontal="right"/>
    </xf>
    <xf numFmtId="9" fontId="3" fillId="18" borderId="123" xfId="5" applyFont="1" applyFill="1" applyBorder="1" applyAlignment="1" applyProtection="1">
      <alignment horizontal="right"/>
    </xf>
    <xf numFmtId="9" fontId="3" fillId="18" borderId="203" xfId="5" applyFont="1" applyFill="1" applyBorder="1" applyAlignment="1" applyProtection="1">
      <alignment horizontal="right"/>
    </xf>
    <xf numFmtId="9" fontId="3" fillId="18" borderId="124" xfId="5" applyFont="1" applyFill="1" applyBorder="1" applyAlignment="1" applyProtection="1">
      <alignment horizontal="right"/>
    </xf>
    <xf numFmtId="167" fontId="0" fillId="0" borderId="203" xfId="4" applyNumberFormat="1" applyFont="1" applyFill="1" applyBorder="1" applyAlignment="1" applyProtection="1">
      <alignment horizontal="right" wrapText="1"/>
    </xf>
    <xf numFmtId="9" fontId="0" fillId="0" borderId="196" xfId="5" applyFont="1" applyFill="1" applyBorder="1" applyAlignment="1" applyProtection="1">
      <alignment horizontal="right" wrapText="1"/>
    </xf>
    <xf numFmtId="9" fontId="0" fillId="0" borderId="123" xfId="5" applyFont="1" applyFill="1" applyBorder="1" applyAlignment="1" applyProtection="1">
      <alignment horizontal="right" wrapText="1"/>
    </xf>
    <xf numFmtId="0" fontId="5" fillId="0" borderId="0" xfId="0" applyFont="1" applyFill="1" applyBorder="1" applyAlignment="1" applyProtection="1"/>
    <xf numFmtId="9" fontId="5" fillId="0" borderId="0" xfId="5" applyFont="1" applyFill="1" applyBorder="1" applyAlignment="1" applyProtection="1"/>
    <xf numFmtId="0" fontId="5" fillId="2" borderId="81" xfId="0" applyFont="1" applyFill="1" applyBorder="1" applyAlignment="1" applyProtection="1">
      <alignment horizontal="center" vertical="center"/>
    </xf>
    <xf numFmtId="0" fontId="5" fillId="2" borderId="29" xfId="0" applyFont="1" applyFill="1" applyBorder="1" applyAlignment="1" applyProtection="1">
      <alignment horizontal="center" vertical="center"/>
    </xf>
    <xf numFmtId="0" fontId="0" fillId="2" borderId="81" xfId="0" applyFont="1" applyFill="1" applyBorder="1" applyAlignment="1" applyProtection="1">
      <alignment horizontal="center" vertical="center"/>
    </xf>
    <xf numFmtId="9" fontId="3" fillId="2" borderId="85" xfId="5" applyFont="1" applyFill="1" applyBorder="1" applyAlignment="1" applyProtection="1">
      <alignment horizontal="center" vertical="center" wrapText="1"/>
    </xf>
    <xf numFmtId="9" fontId="3" fillId="2" borderId="88" xfId="5" applyFont="1" applyFill="1" applyBorder="1" applyAlignment="1" applyProtection="1">
      <alignment horizontal="center" vertical="center" wrapText="1"/>
    </xf>
    <xf numFmtId="9" fontId="3" fillId="2" borderId="103" xfId="5" applyFont="1" applyFill="1" applyBorder="1" applyAlignment="1" applyProtection="1">
      <alignment horizontal="center" vertical="center"/>
    </xf>
    <xf numFmtId="9" fontId="3" fillId="2" borderId="28" xfId="5" applyFont="1" applyFill="1" applyBorder="1" applyAlignment="1" applyProtection="1">
      <alignment horizontal="center" vertical="center"/>
    </xf>
    <xf numFmtId="9" fontId="3" fillId="2" borderId="88" xfId="5" applyFont="1" applyFill="1" applyBorder="1" applyAlignment="1" applyProtection="1">
      <alignment horizontal="center" vertical="center"/>
    </xf>
    <xf numFmtId="9" fontId="3" fillId="2" borderId="30" xfId="5" applyFont="1" applyFill="1" applyBorder="1" applyAlignment="1" applyProtection="1">
      <alignment horizontal="center" vertical="center"/>
    </xf>
    <xf numFmtId="0" fontId="0" fillId="0" borderId="0" xfId="0" applyAlignment="1" applyProtection="1">
      <alignment horizontal="center" vertical="center"/>
    </xf>
    <xf numFmtId="0" fontId="0" fillId="0" borderId="0" xfId="0"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0" fontId="0" fillId="0" borderId="197" xfId="0" applyFill="1" applyBorder="1" applyAlignment="1" applyProtection="1"/>
    <xf numFmtId="0" fontId="0" fillId="0" borderId="74" xfId="0" applyFill="1" applyBorder="1" applyAlignment="1" applyProtection="1"/>
    <xf numFmtId="167" fontId="0" fillId="0" borderId="116" xfId="4" applyNumberFormat="1" applyFont="1" applyFill="1" applyBorder="1" applyAlignment="1" applyProtection="1">
      <alignment wrapText="1"/>
    </xf>
    <xf numFmtId="1" fontId="0" fillId="0" borderId="0" xfId="0" applyNumberFormat="1" applyFill="1" applyBorder="1" applyProtection="1"/>
    <xf numFmtId="0" fontId="0" fillId="0" borderId="145" xfId="0" applyFill="1" applyBorder="1" applyAlignment="1" applyProtection="1">
      <alignment wrapText="1"/>
    </xf>
    <xf numFmtId="0" fontId="0" fillId="0" borderId="136" xfId="0" applyFill="1" applyBorder="1" applyAlignment="1" applyProtection="1">
      <alignment wrapText="1"/>
    </xf>
    <xf numFmtId="167" fontId="0" fillId="0" borderId="199" xfId="4" applyNumberFormat="1" applyFont="1" applyFill="1" applyBorder="1" applyProtection="1"/>
    <xf numFmtId="1" fontId="0" fillId="0" borderId="145" xfId="4" applyNumberFormat="1" applyFont="1" applyFill="1" applyBorder="1" applyProtection="1"/>
    <xf numFmtId="166" fontId="0" fillId="0" borderId="0" xfId="0" applyNumberFormat="1" applyFill="1" applyBorder="1" applyProtection="1"/>
    <xf numFmtId="0" fontId="0" fillId="0" borderId="65" xfId="0" applyFill="1" applyBorder="1" applyAlignment="1" applyProtection="1">
      <alignment wrapText="1"/>
    </xf>
    <xf numFmtId="43" fontId="0" fillId="0" borderId="199" xfId="4" applyNumberFormat="1" applyFont="1" applyFill="1" applyBorder="1" applyProtection="1"/>
    <xf numFmtId="0" fontId="0" fillId="0" borderId="139" xfId="0" applyFill="1" applyBorder="1" applyAlignment="1" applyProtection="1">
      <alignment wrapText="1"/>
    </xf>
    <xf numFmtId="0" fontId="0" fillId="0" borderId="76" xfId="0" applyFill="1" applyBorder="1" applyAlignment="1" applyProtection="1">
      <alignment wrapText="1"/>
    </xf>
    <xf numFmtId="167" fontId="0" fillId="0" borderId="140" xfId="4" applyNumberFormat="1" applyFont="1" applyFill="1" applyBorder="1" applyProtection="1"/>
    <xf numFmtId="0" fontId="0" fillId="0" borderId="197" xfId="0" applyFill="1" applyBorder="1" applyAlignment="1" applyProtection="1">
      <alignment wrapText="1"/>
    </xf>
    <xf numFmtId="0" fontId="0" fillId="0" borderId="202" xfId="0" applyFill="1" applyBorder="1" applyAlignment="1" applyProtection="1">
      <alignment wrapText="1"/>
    </xf>
    <xf numFmtId="9" fontId="0" fillId="0" borderId="0" xfId="0" applyNumberFormat="1" applyFill="1" applyBorder="1" applyProtection="1"/>
    <xf numFmtId="0" fontId="0" fillId="0" borderId="201" xfId="0" applyFill="1" applyBorder="1" applyAlignment="1" applyProtection="1">
      <alignment wrapText="1"/>
    </xf>
    <xf numFmtId="0" fontId="0" fillId="0" borderId="66" xfId="0" applyFill="1" applyBorder="1" applyAlignment="1" applyProtection="1">
      <alignment wrapText="1"/>
    </xf>
    <xf numFmtId="0" fontId="16" fillId="0" borderId="145" xfId="0" applyFont="1" applyFill="1" applyBorder="1" applyAlignment="1" applyProtection="1">
      <alignment wrapText="1"/>
    </xf>
    <xf numFmtId="0" fontId="16" fillId="0" borderId="136" xfId="0" applyFont="1" applyFill="1" applyBorder="1" applyAlignment="1" applyProtection="1">
      <alignment wrapText="1"/>
    </xf>
    <xf numFmtId="0" fontId="0" fillId="0" borderId="145" xfId="0" applyFill="1" applyBorder="1" applyAlignment="1" applyProtection="1"/>
    <xf numFmtId="0" fontId="0" fillId="0" borderId="65" xfId="0" applyFill="1" applyBorder="1" applyAlignment="1" applyProtection="1"/>
    <xf numFmtId="0" fontId="0" fillId="0" borderId="21" xfId="0" applyBorder="1" applyAlignment="1" applyProtection="1">
      <alignment wrapText="1"/>
    </xf>
    <xf numFmtId="0" fontId="0" fillId="0" borderId="35" xfId="0" applyBorder="1" applyAlignment="1" applyProtection="1">
      <alignment wrapText="1"/>
    </xf>
    <xf numFmtId="9" fontId="0" fillId="0" borderId="21" xfId="5" applyFont="1" applyBorder="1" applyProtection="1"/>
    <xf numFmtId="0" fontId="0" fillId="0" borderId="21" xfId="0" applyFill="1" applyBorder="1" applyAlignment="1" applyProtection="1">
      <alignment wrapText="1"/>
    </xf>
    <xf numFmtId="0" fontId="0" fillId="0" borderId="35" xfId="0" applyFill="1" applyBorder="1" applyAlignment="1" applyProtection="1">
      <alignment wrapText="1"/>
    </xf>
    <xf numFmtId="0" fontId="0" fillId="0" borderId="138" xfId="0" applyBorder="1" applyProtection="1"/>
    <xf numFmtId="169" fontId="0" fillId="0" borderId="41" xfId="4" applyNumberFormat="1" applyFont="1" applyBorder="1" applyProtection="1"/>
    <xf numFmtId="169" fontId="0" fillId="0" borderId="16" xfId="4" applyNumberFormat="1" applyFont="1" applyBorder="1" applyProtection="1"/>
    <xf numFmtId="169" fontId="0" fillId="0" borderId="22" xfId="4" applyNumberFormat="1" applyFont="1" applyFill="1" applyBorder="1" applyProtection="1"/>
    <xf numFmtId="169" fontId="0" fillId="0" borderId="138" xfId="4" applyNumberFormat="1" applyFont="1" applyBorder="1" applyProtection="1"/>
    <xf numFmtId="0" fontId="0" fillId="0" borderId="74" xfId="0" applyFill="1" applyBorder="1" applyAlignment="1" applyProtection="1">
      <alignment wrapText="1"/>
    </xf>
    <xf numFmtId="0" fontId="0" fillId="0" borderId="203" xfId="0" applyBorder="1" applyAlignment="1" applyProtection="1">
      <alignment wrapText="1"/>
    </xf>
    <xf numFmtId="0" fontId="0" fillId="0" borderId="149" xfId="0" applyBorder="1" applyAlignment="1" applyProtection="1">
      <alignment wrapText="1"/>
    </xf>
    <xf numFmtId="0" fontId="0" fillId="9" borderId="0" xfId="0" applyFill="1" applyProtection="1"/>
    <xf numFmtId="0" fontId="5" fillId="9" borderId="0" xfId="0" applyFont="1" applyFill="1" applyProtection="1"/>
    <xf numFmtId="0" fontId="0" fillId="8" borderId="11" xfId="0" applyFill="1" applyBorder="1" applyProtection="1"/>
    <xf numFmtId="0" fontId="0" fillId="0" borderId="11" xfId="0" applyBorder="1" applyProtection="1"/>
    <xf numFmtId="0" fontId="0" fillId="0" borderId="0" xfId="0" applyFill="1" applyAlignment="1" applyProtection="1">
      <alignment horizontal="left"/>
    </xf>
    <xf numFmtId="0" fontId="0" fillId="0" borderId="0" xfId="0" applyAlignment="1" applyProtection="1">
      <alignment vertical="center" wrapText="1"/>
    </xf>
    <xf numFmtId="0" fontId="29" fillId="13" borderId="16" xfId="0" applyFont="1" applyFill="1" applyBorder="1" applyProtection="1"/>
    <xf numFmtId="0" fontId="29" fillId="13" borderId="20" xfId="0" applyFont="1" applyFill="1" applyBorder="1" applyProtection="1"/>
    <xf numFmtId="0" fontId="29" fillId="13" borderId="40" xfId="0" applyFont="1" applyFill="1" applyBorder="1" applyProtection="1"/>
    <xf numFmtId="43" fontId="0" fillId="0" borderId="0" xfId="4" applyFont="1" applyProtection="1"/>
    <xf numFmtId="0" fontId="16" fillId="0" borderId="0" xfId="0" applyFont="1" applyFill="1" applyBorder="1" applyAlignment="1" applyProtection="1">
      <alignment wrapText="1"/>
    </xf>
    <xf numFmtId="0" fontId="72" fillId="0" borderId="0" xfId="0" applyFont="1" applyFill="1" applyBorder="1" applyAlignment="1" applyProtection="1">
      <alignment horizontal="right" vertical="center" indent="3"/>
    </xf>
    <xf numFmtId="9" fontId="16" fillId="0" borderId="0" xfId="5" applyFont="1" applyFill="1" applyBorder="1" applyAlignment="1" applyProtection="1">
      <alignment horizontal="center" vertical="center"/>
    </xf>
    <xf numFmtId="1" fontId="16" fillId="0" borderId="0" xfId="0" applyNumberFormat="1" applyFont="1" applyFill="1" applyBorder="1" applyAlignment="1" applyProtection="1">
      <alignment horizontal="center" vertical="center"/>
    </xf>
    <xf numFmtId="9" fontId="16" fillId="0" borderId="17" xfId="5" applyFont="1" applyFill="1" applyBorder="1" applyAlignment="1" applyProtection="1">
      <alignment horizontal="center" vertical="center"/>
    </xf>
    <xf numFmtId="9" fontId="16" fillId="0" borderId="0" xfId="0" applyNumberFormat="1" applyFont="1" applyFill="1" applyBorder="1" applyAlignment="1" applyProtection="1">
      <alignment horizontal="center"/>
    </xf>
    <xf numFmtId="9" fontId="0" fillId="0" borderId="20" xfId="5" applyFont="1" applyBorder="1" applyAlignment="1" applyProtection="1">
      <alignment horizontal="center"/>
    </xf>
    <xf numFmtId="9" fontId="0" fillId="0" borderId="40" xfId="5" applyFont="1" applyBorder="1" applyAlignment="1" applyProtection="1">
      <alignment horizontal="center"/>
    </xf>
    <xf numFmtId="9" fontId="0" fillId="0" borderId="0" xfId="0" applyNumberFormat="1" applyAlignment="1" applyProtection="1">
      <alignment horizontal="left"/>
    </xf>
    <xf numFmtId="9" fontId="90" fillId="0" borderId="0" xfId="0" applyNumberFormat="1" applyFont="1" applyBorder="1" applyProtection="1"/>
    <xf numFmtId="9" fontId="0" fillId="0" borderId="20" xfId="5" applyFont="1" applyBorder="1" applyProtection="1"/>
    <xf numFmtId="9" fontId="0" fillId="0" borderId="40" xfId="5" applyFont="1" applyBorder="1" applyProtection="1"/>
    <xf numFmtId="0" fontId="72" fillId="0" borderId="0" xfId="0" applyFont="1" applyFill="1" applyBorder="1" applyAlignment="1" applyProtection="1">
      <alignment vertical="center"/>
    </xf>
    <xf numFmtId="0" fontId="16" fillId="0" borderId="0" xfId="0" applyFont="1" applyFill="1" applyBorder="1" applyAlignment="1" applyProtection="1">
      <alignment horizontal="center" vertical="center"/>
    </xf>
    <xf numFmtId="167" fontId="16" fillId="0" borderId="0" xfId="4" applyNumberFormat="1" applyFont="1" applyFill="1" applyBorder="1" applyAlignment="1" applyProtection="1">
      <alignment horizontal="center"/>
    </xf>
    <xf numFmtId="43" fontId="16" fillId="0" borderId="0" xfId="4" applyFont="1" applyFill="1" applyBorder="1" applyAlignment="1" applyProtection="1">
      <alignment horizontal="center"/>
    </xf>
    <xf numFmtId="9" fontId="90" fillId="0" borderId="0" xfId="0" applyNumberFormat="1" applyFont="1" applyFill="1" applyBorder="1" applyProtection="1"/>
    <xf numFmtId="9" fontId="0" fillId="0" borderId="20" xfId="5" applyFont="1" applyFill="1" applyBorder="1" applyProtection="1"/>
    <xf numFmtId="9" fontId="0" fillId="0" borderId="40" xfId="5" applyFont="1" applyFill="1" applyBorder="1" applyProtection="1"/>
    <xf numFmtId="9" fontId="16" fillId="0" borderId="19" xfId="5" applyFont="1" applyFill="1" applyBorder="1" applyAlignment="1" applyProtection="1">
      <alignment horizontal="center" vertical="center"/>
    </xf>
    <xf numFmtId="0" fontId="16" fillId="0" borderId="0" xfId="0" applyFont="1" applyFill="1" applyBorder="1" applyProtection="1"/>
    <xf numFmtId="2" fontId="16" fillId="0" borderId="0" xfId="0" applyNumberFormat="1" applyFont="1" applyFill="1" applyBorder="1" applyProtection="1"/>
    <xf numFmtId="9" fontId="46" fillId="8" borderId="11" xfId="5" applyFont="1" applyFill="1" applyBorder="1" applyAlignment="1" applyProtection="1">
      <alignment horizontal="center"/>
    </xf>
    <xf numFmtId="9" fontId="46" fillId="8" borderId="7" xfId="5" applyFont="1" applyFill="1" applyBorder="1" applyAlignment="1" applyProtection="1">
      <alignment horizontal="center"/>
    </xf>
    <xf numFmtId="1" fontId="46" fillId="8" borderId="7" xfId="0" applyNumberFormat="1" applyFont="1" applyFill="1" applyBorder="1" applyAlignment="1" applyProtection="1">
      <alignment horizontal="center"/>
    </xf>
    <xf numFmtId="0" fontId="90" fillId="0" borderId="0" xfId="0" applyFont="1" applyFill="1" applyBorder="1" applyProtection="1"/>
    <xf numFmtId="1" fontId="46" fillId="8" borderId="7" xfId="0" applyNumberFormat="1" applyFont="1" applyFill="1" applyBorder="1" applyAlignment="1" applyProtection="1">
      <alignment horizontal="center" wrapText="1"/>
    </xf>
    <xf numFmtId="0" fontId="16" fillId="0" borderId="20" xfId="0" applyFont="1" applyFill="1" applyBorder="1" applyProtection="1"/>
    <xf numFmtId="0" fontId="16" fillId="0" borderId="40" xfId="0" applyFont="1" applyFill="1" applyBorder="1" applyProtection="1"/>
    <xf numFmtId="9" fontId="0" fillId="0" borderId="0" xfId="5" applyFont="1" applyProtection="1"/>
    <xf numFmtId="0" fontId="40" fillId="0" borderId="0" xfId="0" applyFont="1" applyProtection="1"/>
    <xf numFmtId="0" fontId="40" fillId="0" borderId="0" xfId="0" applyFont="1" applyFill="1" applyBorder="1" applyProtection="1"/>
    <xf numFmtId="9" fontId="40" fillId="0" borderId="0" xfId="0" applyNumberFormat="1" applyFont="1" applyFill="1" applyBorder="1" applyAlignment="1" applyProtection="1">
      <alignment horizontal="center" vertical="center"/>
    </xf>
    <xf numFmtId="1" fontId="40" fillId="0" borderId="0" xfId="0" applyNumberFormat="1" applyFont="1" applyFill="1" applyBorder="1" applyProtection="1"/>
    <xf numFmtId="9" fontId="40" fillId="0" borderId="0" xfId="5" applyFont="1" applyFill="1" applyBorder="1" applyProtection="1"/>
    <xf numFmtId="9" fontId="159" fillId="0" borderId="0" xfId="0" applyNumberFormat="1" applyFont="1" applyFill="1" applyBorder="1" applyProtection="1"/>
    <xf numFmtId="9" fontId="40" fillId="0" borderId="20" xfId="5" applyFont="1" applyBorder="1" applyProtection="1"/>
    <xf numFmtId="9" fontId="40" fillId="0" borderId="40" xfId="5" applyFont="1" applyFill="1" applyBorder="1" applyProtection="1"/>
    <xf numFmtId="9" fontId="16" fillId="0" borderId="0" xfId="0" applyNumberFormat="1" applyFont="1" applyFill="1" applyBorder="1" applyProtection="1"/>
    <xf numFmtId="1" fontId="16" fillId="0" borderId="0" xfId="0" applyNumberFormat="1" applyFont="1" applyFill="1" applyBorder="1" applyProtection="1"/>
    <xf numFmtId="10" fontId="0" fillId="0" borderId="0" xfId="0" applyNumberFormat="1" applyProtection="1"/>
    <xf numFmtId="9" fontId="16" fillId="0" borderId="0" xfId="5" applyFont="1" applyFill="1" applyBorder="1" applyAlignment="1" applyProtection="1">
      <alignment horizontal="right" vertical="center" indent="3"/>
    </xf>
    <xf numFmtId="9" fontId="46" fillId="8" borderId="11" xfId="5" applyFont="1" applyFill="1" applyBorder="1" applyAlignment="1" applyProtection="1">
      <alignment horizontal="center" wrapText="1"/>
    </xf>
    <xf numFmtId="9" fontId="46" fillId="8" borderId="7" xfId="5" applyFont="1" applyFill="1" applyBorder="1" applyAlignment="1" applyProtection="1">
      <alignment horizontal="center" wrapText="1"/>
    </xf>
    <xf numFmtId="0" fontId="5" fillId="0" borderId="0" xfId="0" applyFont="1" applyBorder="1" applyProtection="1"/>
    <xf numFmtId="0" fontId="5" fillId="0" borderId="0" xfId="0" applyFont="1" applyBorder="1" applyAlignment="1" applyProtection="1">
      <alignment vertical="center"/>
    </xf>
    <xf numFmtId="0" fontId="18" fillId="0" borderId="0" xfId="0" applyFont="1" applyBorder="1" applyAlignment="1" applyProtection="1">
      <alignment vertical="center"/>
    </xf>
    <xf numFmtId="0" fontId="0" fillId="0" borderId="100" xfId="0" applyFill="1" applyBorder="1" applyAlignment="1" applyProtection="1">
      <alignment horizontal="center" vertical="center"/>
    </xf>
    <xf numFmtId="0" fontId="18" fillId="0" borderId="2" xfId="0" applyFont="1" applyFill="1" applyBorder="1" applyAlignment="1" applyProtection="1">
      <alignment vertical="center"/>
    </xf>
    <xf numFmtId="0" fontId="0" fillId="0" borderId="2" xfId="0" applyFont="1" applyBorder="1" applyAlignment="1" applyProtection="1">
      <alignment vertical="center"/>
    </xf>
    <xf numFmtId="0" fontId="0" fillId="0" borderId="117" xfId="0" applyBorder="1" applyProtection="1"/>
    <xf numFmtId="0" fontId="5" fillId="0" borderId="36" xfId="0" applyFont="1" applyBorder="1" applyProtection="1"/>
    <xf numFmtId="0" fontId="25" fillId="0" borderId="44" xfId="0" applyFont="1" applyBorder="1" applyAlignment="1" applyProtection="1">
      <alignment vertical="center"/>
    </xf>
    <xf numFmtId="0" fontId="25" fillId="0" borderId="36" xfId="0" applyFont="1" applyBorder="1" applyAlignment="1" applyProtection="1">
      <alignment vertical="center"/>
    </xf>
    <xf numFmtId="0" fontId="0" fillId="8" borderId="6" xfId="0" applyFill="1" applyBorder="1" applyAlignment="1" applyProtection="1">
      <alignment horizontal="right" wrapText="1"/>
    </xf>
    <xf numFmtId="9" fontId="0" fillId="2" borderId="7" xfId="0" applyNumberFormat="1" applyFill="1" applyBorder="1" applyAlignment="1" applyProtection="1">
      <alignment horizontal="center" vertical="center"/>
    </xf>
    <xf numFmtId="0" fontId="29" fillId="13" borderId="9" xfId="0" applyFont="1" applyFill="1" applyBorder="1" applyProtection="1"/>
    <xf numFmtId="0" fontId="29" fillId="13" borderId="10" xfId="0" applyFont="1" applyFill="1" applyBorder="1" applyAlignment="1" applyProtection="1">
      <alignment horizontal="center"/>
    </xf>
    <xf numFmtId="166" fontId="16" fillId="0" borderId="20" xfId="0" applyNumberFormat="1" applyFont="1" applyBorder="1" applyProtection="1"/>
    <xf numFmtId="166" fontId="16" fillId="0" borderId="0" xfId="0" applyNumberFormat="1" applyFont="1" applyBorder="1" applyProtection="1"/>
    <xf numFmtId="2" fontId="16" fillId="0" borderId="0" xfId="0" applyNumberFormat="1" applyFont="1" applyProtection="1"/>
    <xf numFmtId="166" fontId="16" fillId="0" borderId="0" xfId="0" applyNumberFormat="1" applyFont="1" applyProtection="1"/>
    <xf numFmtId="0" fontId="0" fillId="30" borderId="117" xfId="0" applyFill="1" applyBorder="1" applyProtection="1"/>
    <xf numFmtId="43" fontId="0" fillId="0" borderId="0" xfId="4" applyFont="1" applyBorder="1" applyProtection="1"/>
    <xf numFmtId="43" fontId="0" fillId="0" borderId="118" xfId="0" applyNumberFormat="1" applyBorder="1" applyProtection="1"/>
    <xf numFmtId="0" fontId="0" fillId="0" borderId="8" xfId="0" applyBorder="1" applyProtection="1"/>
    <xf numFmtId="43" fontId="0" fillId="0" borderId="9" xfId="4" applyFont="1" applyBorder="1" applyProtection="1"/>
    <xf numFmtId="43" fontId="0" fillId="0" borderId="107" xfId="0" applyNumberFormat="1" applyBorder="1" applyProtection="1"/>
    <xf numFmtId="43" fontId="0" fillId="30" borderId="117" xfId="0" applyNumberFormat="1" applyFill="1" applyBorder="1" applyProtection="1"/>
    <xf numFmtId="43" fontId="0" fillId="0" borderId="118" xfId="0" applyNumberFormat="1" applyFill="1" applyBorder="1" applyProtection="1"/>
    <xf numFmtId="8" fontId="0" fillId="0" borderId="0" xfId="0" applyNumberFormat="1" applyProtection="1"/>
    <xf numFmtId="0" fontId="5" fillId="2" borderId="1" xfId="0" applyFont="1" applyFill="1" applyBorder="1" applyAlignment="1" applyProtection="1">
      <alignment vertical="center"/>
    </xf>
    <xf numFmtId="0" fontId="5" fillId="2" borderId="2" xfId="0" applyFont="1" applyFill="1" applyBorder="1" applyAlignment="1" applyProtection="1">
      <alignment vertical="center"/>
    </xf>
    <xf numFmtId="0" fontId="5" fillId="2" borderId="117" xfId="0" applyFont="1" applyFill="1" applyBorder="1" applyAlignment="1" applyProtection="1">
      <alignment vertical="center"/>
    </xf>
    <xf numFmtId="0" fontId="0" fillId="0" borderId="84" xfId="0" applyBorder="1" applyProtection="1"/>
    <xf numFmtId="43" fontId="0" fillId="0" borderId="43" xfId="0" applyNumberFormat="1" applyBorder="1" applyProtection="1"/>
    <xf numFmtId="43" fontId="0" fillId="0" borderId="119" xfId="4" applyFont="1" applyBorder="1" applyProtection="1"/>
    <xf numFmtId="0" fontId="0" fillId="0" borderId="98" xfId="0" applyBorder="1" applyProtection="1"/>
    <xf numFmtId="43" fontId="0" fillId="0" borderId="36" xfId="0" applyNumberFormat="1" applyBorder="1" applyProtection="1"/>
    <xf numFmtId="43" fontId="0" fillId="0" borderId="115" xfId="4" applyFont="1" applyBorder="1" applyProtection="1"/>
    <xf numFmtId="43" fontId="0" fillId="0" borderId="9" xfId="0" applyNumberFormat="1" applyBorder="1" applyProtection="1"/>
    <xf numFmtId="43" fontId="0" fillId="0" borderId="107" xfId="4" applyFont="1" applyBorder="1" applyProtection="1"/>
    <xf numFmtId="0" fontId="5" fillId="2" borderId="81" xfId="0" applyFont="1" applyFill="1" applyBorder="1" applyAlignment="1" applyProtection="1">
      <alignment vertical="center" wrapText="1"/>
    </xf>
    <xf numFmtId="0" fontId="5" fillId="2" borderId="88" xfId="0" applyFont="1" applyFill="1" applyBorder="1" applyAlignment="1" applyProtection="1">
      <alignment vertical="center" wrapText="1"/>
    </xf>
    <xf numFmtId="0" fontId="5" fillId="2" borderId="103" xfId="0" applyFont="1" applyFill="1" applyBorder="1" applyAlignment="1" applyProtection="1">
      <alignment vertical="center" wrapText="1"/>
    </xf>
    <xf numFmtId="0" fontId="0" fillId="2" borderId="21" xfId="0" applyFill="1" applyBorder="1" applyProtection="1"/>
    <xf numFmtId="167" fontId="0" fillId="2" borderId="12" xfId="4" applyNumberFormat="1" applyFont="1" applyFill="1" applyBorder="1" applyProtection="1"/>
    <xf numFmtId="167" fontId="0" fillId="2" borderId="22" xfId="4" applyNumberFormat="1" applyFont="1" applyFill="1" applyBorder="1" applyProtection="1"/>
    <xf numFmtId="0" fontId="0" fillId="2" borderId="23" xfId="0" applyFill="1" applyBorder="1" applyProtection="1"/>
    <xf numFmtId="167" fontId="0" fillId="2" borderId="24" xfId="4" applyNumberFormat="1" applyFont="1" applyFill="1" applyBorder="1" applyProtection="1"/>
    <xf numFmtId="167" fontId="0" fillId="2" borderId="25" xfId="4" applyNumberFormat="1" applyFont="1" applyFill="1" applyBorder="1" applyProtection="1"/>
    <xf numFmtId="167" fontId="5" fillId="0" borderId="359" xfId="4" applyNumberFormat="1" applyFont="1" applyFill="1" applyBorder="1" applyAlignment="1">
      <alignment vertical="top"/>
    </xf>
    <xf numFmtId="167" fontId="5" fillId="0" borderId="419" xfId="4" applyNumberFormat="1" applyFont="1" applyFill="1" applyBorder="1" applyAlignment="1">
      <alignment vertical="top"/>
    </xf>
    <xf numFmtId="169" fontId="5" fillId="0" borderId="41" xfId="0" applyNumberFormat="1" applyFont="1" applyFill="1" applyBorder="1" applyAlignment="1">
      <alignment vertical="top"/>
    </xf>
    <xf numFmtId="169" fontId="5" fillId="0" borderId="57" xfId="0" applyNumberFormat="1" applyFont="1" applyFill="1" applyBorder="1" applyAlignment="1">
      <alignment vertical="top"/>
    </xf>
    <xf numFmtId="9" fontId="33" fillId="0" borderId="16" xfId="5" applyFont="1" applyFill="1" applyBorder="1" applyAlignment="1">
      <alignment vertical="top"/>
    </xf>
    <xf numFmtId="9" fontId="33" fillId="0" borderId="19" xfId="5" applyFont="1" applyFill="1" applyBorder="1" applyAlignment="1">
      <alignment vertical="top"/>
    </xf>
    <xf numFmtId="0" fontId="0" fillId="0" borderId="359" xfId="0" applyFont="1" applyFill="1" applyBorder="1" applyAlignment="1">
      <alignment vertical="top"/>
    </xf>
    <xf numFmtId="0" fontId="85" fillId="0" borderId="359" xfId="0" applyFont="1" applyBorder="1" applyAlignment="1">
      <alignment horizontal="left" vertical="top"/>
    </xf>
    <xf numFmtId="167" fontId="3" fillId="0" borderId="359" xfId="4" applyNumberFormat="1" applyFont="1" applyFill="1" applyBorder="1" applyAlignment="1">
      <alignment vertical="top"/>
    </xf>
    <xf numFmtId="167" fontId="3" fillId="0" borderId="419" xfId="4" applyNumberFormat="1" applyFont="1" applyFill="1" applyBorder="1" applyAlignment="1">
      <alignment vertical="top"/>
    </xf>
    <xf numFmtId="0" fontId="0" fillId="0" borderId="358" xfId="0" applyFont="1" applyFill="1" applyBorder="1" applyAlignment="1">
      <alignment vertical="top"/>
    </xf>
    <xf numFmtId="0" fontId="85" fillId="0" borderId="358" xfId="0" applyFont="1" applyBorder="1" applyAlignment="1">
      <alignment horizontal="left" vertical="top"/>
    </xf>
    <xf numFmtId="167" fontId="3" fillId="0" borderId="358" xfId="4" applyNumberFormat="1" applyFont="1" applyBorder="1" applyAlignment="1">
      <alignment vertical="top"/>
    </xf>
    <xf numFmtId="167" fontId="3" fillId="0" borderId="420" xfId="4" applyNumberFormat="1" applyFont="1" applyBorder="1" applyAlignment="1">
      <alignment vertical="top"/>
    </xf>
    <xf numFmtId="167" fontId="3" fillId="0" borderId="419" xfId="4" applyNumberFormat="1" applyFont="1" applyBorder="1" applyAlignment="1">
      <alignment vertical="top"/>
    </xf>
    <xf numFmtId="0" fontId="31" fillId="0" borderId="0" xfId="0" applyFont="1" applyFill="1" applyBorder="1" applyAlignment="1">
      <alignment horizontal="left" vertical="top"/>
    </xf>
    <xf numFmtId="167" fontId="5" fillId="0" borderId="359" xfId="0" applyNumberFormat="1" applyFont="1" applyBorder="1" applyAlignment="1">
      <alignment vertical="top"/>
    </xf>
    <xf numFmtId="167" fontId="5" fillId="0" borderId="419" xfId="0" applyNumberFormat="1" applyFont="1" applyBorder="1" applyAlignment="1">
      <alignment vertical="top"/>
    </xf>
    <xf numFmtId="167" fontId="5" fillId="0" borderId="358" xfId="0" applyNumberFormat="1" applyFont="1" applyBorder="1" applyAlignment="1">
      <alignment vertical="top"/>
    </xf>
    <xf numFmtId="167" fontId="5" fillId="0" borderId="420" xfId="0" applyNumberFormat="1" applyFont="1" applyBorder="1" applyAlignment="1">
      <alignment vertical="top"/>
    </xf>
    <xf numFmtId="0" fontId="3" fillId="0" borderId="0" xfId="0" applyFont="1" applyBorder="1" applyAlignment="1">
      <alignment vertical="top"/>
    </xf>
    <xf numFmtId="0" fontId="3" fillId="0" borderId="36" xfId="0" applyFont="1" applyBorder="1" applyAlignment="1">
      <alignment vertical="top"/>
    </xf>
    <xf numFmtId="167" fontId="3" fillId="0" borderId="0" xfId="0" applyNumberFormat="1" applyFont="1" applyBorder="1" applyAlignment="1">
      <alignment vertical="top"/>
    </xf>
    <xf numFmtId="0" fontId="3" fillId="0" borderId="43" xfId="0" applyFont="1" applyBorder="1" applyAlignment="1">
      <alignment vertical="top"/>
    </xf>
    <xf numFmtId="0" fontId="3" fillId="0" borderId="41" xfId="0" applyFont="1" applyBorder="1" applyAlignment="1">
      <alignment vertical="top"/>
    </xf>
    <xf numFmtId="167" fontId="3" fillId="0" borderId="0" xfId="0" applyNumberFormat="1" applyFont="1" applyAlignment="1">
      <alignment vertical="top"/>
    </xf>
    <xf numFmtId="0" fontId="0" fillId="0" borderId="0" xfId="0" applyFont="1" applyFill="1" applyBorder="1" applyAlignment="1">
      <alignment wrapText="1"/>
    </xf>
    <xf numFmtId="0" fontId="0" fillId="0" borderId="0" xfId="0" applyFont="1" applyFill="1" applyBorder="1" applyAlignment="1">
      <alignment horizontal="left"/>
    </xf>
    <xf numFmtId="0" fontId="0" fillId="0" borderId="36" xfId="0" applyFont="1" applyFill="1" applyBorder="1" applyAlignment="1">
      <alignment wrapText="1"/>
    </xf>
    <xf numFmtId="0" fontId="0" fillId="0" borderId="36" xfId="0" applyFont="1" applyFill="1" applyBorder="1" applyAlignment="1">
      <alignment horizontal="left"/>
    </xf>
    <xf numFmtId="167" fontId="0" fillId="0" borderId="36" xfId="4" applyNumberFormat="1" applyFont="1" applyFill="1" applyBorder="1"/>
    <xf numFmtId="167" fontId="0" fillId="0" borderId="57" xfId="4" applyNumberFormat="1" applyFont="1" applyFill="1" applyBorder="1"/>
    <xf numFmtId="0" fontId="11" fillId="0" borderId="0" xfId="0" applyFont="1" applyAlignment="1">
      <alignment horizontal="left"/>
    </xf>
    <xf numFmtId="0" fontId="16" fillId="0" borderId="12" xfId="0" applyFont="1" applyFill="1" applyBorder="1" applyAlignment="1">
      <alignment horizontal="left" vertical="top"/>
    </xf>
    <xf numFmtId="167" fontId="0" fillId="0" borderId="41" xfId="4" applyNumberFormat="1" applyFont="1" applyFill="1" applyBorder="1" applyAlignment="1">
      <alignment vertical="top"/>
    </xf>
    <xf numFmtId="0" fontId="5" fillId="0" borderId="62" xfId="0" applyFont="1" applyFill="1" applyBorder="1" applyAlignment="1">
      <alignment vertical="top"/>
    </xf>
    <xf numFmtId="0" fontId="86" fillId="0" borderId="66" xfId="0" applyFont="1" applyFill="1" applyBorder="1" applyAlignment="1">
      <alignment horizontal="left" vertical="top"/>
    </xf>
    <xf numFmtId="167" fontId="5" fillId="0" borderId="66" xfId="4" applyNumberFormat="1" applyFont="1" applyFill="1" applyBorder="1" applyAlignment="1">
      <alignment vertical="top"/>
    </xf>
    <xf numFmtId="167" fontId="5" fillId="0" borderId="86" xfId="4" applyNumberFormat="1" applyFont="1" applyFill="1" applyBorder="1" applyAlignment="1">
      <alignment vertical="top"/>
    </xf>
    <xf numFmtId="167" fontId="33" fillId="0" borderId="20" xfId="4" applyNumberFormat="1" applyFont="1" applyBorder="1" applyAlignment="1">
      <alignment horizontal="left" vertical="top"/>
    </xf>
    <xf numFmtId="167" fontId="33" fillId="0" borderId="20" xfId="4" applyNumberFormat="1" applyFont="1" applyBorder="1" applyAlignment="1">
      <alignment vertical="top"/>
    </xf>
    <xf numFmtId="167" fontId="33" fillId="0" borderId="44" xfId="4" applyNumberFormat="1" applyFont="1" applyBorder="1" applyAlignment="1">
      <alignment horizontal="left" vertical="top"/>
    </xf>
    <xf numFmtId="167" fontId="33" fillId="0" borderId="36" xfId="4" applyNumberFormat="1" applyFont="1" applyBorder="1" applyAlignment="1">
      <alignment vertical="top"/>
    </xf>
    <xf numFmtId="167" fontId="33" fillId="0" borderId="57" xfId="4" applyNumberFormat="1" applyFont="1" applyFill="1" applyBorder="1" applyAlignment="1">
      <alignment vertical="top"/>
    </xf>
    <xf numFmtId="167" fontId="33" fillId="0" borderId="44" xfId="4" applyNumberFormat="1" applyFont="1" applyBorder="1" applyAlignment="1">
      <alignment vertical="top"/>
    </xf>
    <xf numFmtId="167" fontId="33" fillId="0" borderId="57" xfId="4" applyNumberFormat="1" applyFont="1" applyBorder="1" applyAlignment="1">
      <alignment vertical="top"/>
    </xf>
    <xf numFmtId="0" fontId="0" fillId="0" borderId="267" xfId="0" applyFill="1" applyBorder="1" applyAlignment="1">
      <alignment vertical="top"/>
    </xf>
    <xf numFmtId="0" fontId="0" fillId="0" borderId="268" xfId="0" applyFill="1" applyBorder="1" applyAlignment="1">
      <alignment vertical="top"/>
    </xf>
    <xf numFmtId="9" fontId="33" fillId="0" borderId="268" xfId="0" applyNumberFormat="1" applyFont="1" applyFill="1" applyBorder="1" applyAlignment="1">
      <alignment horizontal="left" vertical="top"/>
    </xf>
    <xf numFmtId="167" fontId="0" fillId="0" borderId="269" xfId="4" applyNumberFormat="1" applyFont="1" applyFill="1" applyBorder="1" applyAlignment="1">
      <alignment vertical="top"/>
    </xf>
    <xf numFmtId="167" fontId="11" fillId="0" borderId="0" xfId="0" applyNumberFormat="1" applyFont="1" applyFill="1" applyBorder="1" applyAlignment="1">
      <alignment vertical="top"/>
    </xf>
    <xf numFmtId="167" fontId="11" fillId="0" borderId="40" xfId="0" applyNumberFormat="1" applyFont="1" applyFill="1" applyBorder="1" applyAlignment="1">
      <alignment vertical="top"/>
    </xf>
    <xf numFmtId="167" fontId="11" fillId="0" borderId="359" xfId="0" applyNumberFormat="1" applyFont="1" applyFill="1" applyBorder="1" applyAlignment="1">
      <alignment vertical="top"/>
    </xf>
    <xf numFmtId="167" fontId="11" fillId="0" borderId="419" xfId="0" applyNumberFormat="1" applyFont="1" applyFill="1" applyBorder="1" applyAlignment="1">
      <alignment vertical="top"/>
    </xf>
    <xf numFmtId="167" fontId="11" fillId="0" borderId="36" xfId="0" applyNumberFormat="1" applyFont="1" applyFill="1" applyBorder="1" applyAlignment="1">
      <alignment vertical="top"/>
    </xf>
    <xf numFmtId="167" fontId="11" fillId="0" borderId="57" xfId="0" applyNumberFormat="1" applyFont="1" applyFill="1" applyBorder="1" applyAlignment="1">
      <alignment vertical="top"/>
    </xf>
    <xf numFmtId="9" fontId="11" fillId="29" borderId="12" xfId="5" applyFont="1" applyFill="1" applyBorder="1" applyAlignment="1">
      <alignment horizontal="left" vertical="top"/>
    </xf>
    <xf numFmtId="167" fontId="16" fillId="0" borderId="57" xfId="0" applyNumberFormat="1" applyFont="1" applyFill="1" applyBorder="1" applyAlignment="1">
      <alignment vertical="top"/>
    </xf>
    <xf numFmtId="0" fontId="11" fillId="0" borderId="0" xfId="0" applyFont="1" applyFill="1" applyBorder="1" applyAlignment="1">
      <alignment horizontal="left" vertical="top"/>
    </xf>
    <xf numFmtId="167" fontId="11" fillId="0" borderId="0" xfId="0" applyNumberFormat="1" applyFont="1" applyFill="1" applyAlignment="1">
      <alignment vertical="top"/>
    </xf>
    <xf numFmtId="0" fontId="11" fillId="0" borderId="36" xfId="0" applyFont="1" applyFill="1" applyBorder="1" applyAlignment="1">
      <alignment horizontal="left" vertical="top"/>
    </xf>
    <xf numFmtId="0" fontId="16" fillId="0" borderId="359" xfId="0" applyFont="1" applyBorder="1" applyAlignment="1">
      <alignment vertical="top"/>
    </xf>
    <xf numFmtId="167" fontId="16" fillId="0" borderId="359" xfId="4" applyNumberFormat="1" applyFont="1" applyBorder="1" applyAlignment="1">
      <alignment vertical="top"/>
    </xf>
    <xf numFmtId="167" fontId="16" fillId="0" borderId="419" xfId="4" applyNumberFormat="1" applyFont="1" applyBorder="1" applyAlignment="1">
      <alignment vertical="top"/>
    </xf>
    <xf numFmtId="0" fontId="11" fillId="0" borderId="41" xfId="0" applyFont="1" applyFill="1" applyBorder="1" applyAlignment="1">
      <alignment vertical="top"/>
    </xf>
    <xf numFmtId="0" fontId="11" fillId="0" borderId="102" xfId="0" applyFont="1" applyFill="1" applyBorder="1" applyAlignment="1">
      <alignment vertical="top"/>
    </xf>
    <xf numFmtId="0" fontId="16" fillId="0" borderId="102" xfId="0" applyFont="1" applyFill="1" applyBorder="1" applyAlignment="1">
      <alignment vertical="top"/>
    </xf>
    <xf numFmtId="0" fontId="11" fillId="0" borderId="359" xfId="0" applyFont="1" applyFill="1" applyBorder="1" applyAlignment="1">
      <alignment vertical="center"/>
    </xf>
    <xf numFmtId="0" fontId="16" fillId="0" borderId="359" xfId="0" applyFont="1" applyFill="1" applyBorder="1" applyAlignment="1">
      <alignment vertical="top"/>
    </xf>
    <xf numFmtId="167" fontId="16" fillId="0" borderId="359" xfId="0" applyNumberFormat="1" applyFont="1" applyFill="1" applyBorder="1" applyAlignment="1">
      <alignment vertical="top"/>
    </xf>
    <xf numFmtId="167" fontId="16" fillId="0" borderId="419" xfId="0" applyNumberFormat="1" applyFont="1" applyFill="1" applyBorder="1" applyAlignment="1">
      <alignment vertical="top"/>
    </xf>
    <xf numFmtId="0" fontId="16" fillId="0" borderId="101" xfId="0" applyFont="1" applyFill="1" applyBorder="1" applyAlignment="1">
      <alignment vertical="top"/>
    </xf>
    <xf numFmtId="167" fontId="16" fillId="0" borderId="358" xfId="0" applyNumberFormat="1" applyFont="1" applyFill="1" applyBorder="1" applyAlignment="1">
      <alignment vertical="top"/>
    </xf>
    <xf numFmtId="167" fontId="16" fillId="0" borderId="420" xfId="0" applyNumberFormat="1" applyFont="1" applyFill="1" applyBorder="1" applyAlignment="1">
      <alignment vertical="top"/>
    </xf>
    <xf numFmtId="0" fontId="11" fillId="0" borderId="0" xfId="0" applyFont="1" applyFill="1" applyBorder="1" applyAlignment="1"/>
    <xf numFmtId="0" fontId="11" fillId="0" borderId="36" xfId="0" applyFont="1" applyFill="1" applyBorder="1" applyAlignment="1"/>
    <xf numFmtId="0" fontId="87" fillId="0" borderId="358" xfId="0" applyFont="1" applyFill="1" applyBorder="1" applyAlignment="1">
      <alignment horizontal="left" vertical="top"/>
    </xf>
    <xf numFmtId="0" fontId="86" fillId="0" borderId="359" xfId="0" applyFont="1" applyFill="1" applyBorder="1" applyAlignment="1">
      <alignment horizontal="left" vertical="top"/>
    </xf>
    <xf numFmtId="43" fontId="16" fillId="0" borderId="40" xfId="4" applyNumberFormat="1" applyFont="1" applyFill="1" applyBorder="1" applyAlignment="1">
      <alignment vertical="top"/>
    </xf>
    <xf numFmtId="9" fontId="11" fillId="29" borderId="19" xfId="5" applyFont="1" applyFill="1" applyBorder="1" applyAlignment="1">
      <alignment horizontal="right" vertical="top"/>
    </xf>
    <xf numFmtId="1" fontId="0" fillId="0" borderId="43" xfId="0" applyNumberFormat="1" applyFont="1" applyFill="1" applyBorder="1" applyAlignment="1">
      <alignment vertical="top"/>
    </xf>
    <xf numFmtId="0" fontId="0" fillId="0" borderId="41" xfId="0" applyFont="1" applyFill="1" applyBorder="1" applyAlignment="1">
      <alignment vertical="top"/>
    </xf>
    <xf numFmtId="0" fontId="0" fillId="0" borderId="359" xfId="0" applyFont="1" applyFill="1" applyBorder="1" applyAlignment="1">
      <alignment horizontal="left" vertical="top"/>
    </xf>
    <xf numFmtId="167" fontId="0" fillId="0" borderId="359" xfId="0" applyNumberFormat="1" applyFont="1" applyFill="1" applyBorder="1" applyAlignment="1">
      <alignment vertical="top"/>
    </xf>
    <xf numFmtId="167" fontId="0" fillId="0" borderId="419" xfId="0" applyNumberFormat="1" applyFont="1" applyFill="1" applyBorder="1" applyAlignment="1">
      <alignment vertical="top"/>
    </xf>
    <xf numFmtId="0" fontId="31" fillId="0" borderId="43" xfId="0" applyFont="1" applyFill="1" applyBorder="1" applyAlignment="1">
      <alignment horizontal="left" vertical="top"/>
    </xf>
    <xf numFmtId="0" fontId="133" fillId="0" borderId="44" xfId="0" applyFont="1" applyFill="1" applyBorder="1" applyAlignment="1">
      <alignment vertical="top"/>
    </xf>
    <xf numFmtId="43" fontId="279" fillId="0" borderId="36" xfId="4" applyFont="1" applyFill="1" applyBorder="1" applyAlignment="1">
      <alignment horizontal="left" vertical="top"/>
    </xf>
    <xf numFmtId="1" fontId="133" fillId="0" borderId="36" xfId="0" applyNumberFormat="1" applyFont="1" applyFill="1" applyBorder="1" applyAlignment="1">
      <alignment vertical="top"/>
    </xf>
    <xf numFmtId="0" fontId="133" fillId="0" borderId="36" xfId="0" applyFont="1" applyFill="1" applyBorder="1"/>
    <xf numFmtId="0" fontId="133" fillId="0" borderId="57" xfId="0" applyFont="1" applyFill="1" applyBorder="1"/>
    <xf numFmtId="167" fontId="0" fillId="0" borderId="265" xfId="4" applyNumberFormat="1" applyFont="1" applyFill="1" applyBorder="1" applyAlignment="1">
      <alignment vertical="top"/>
    </xf>
    <xf numFmtId="167" fontId="0" fillId="0" borderId="266" xfId="4" applyNumberFormat="1" applyFont="1" applyFill="1" applyBorder="1" applyAlignment="1">
      <alignment vertical="top"/>
    </xf>
    <xf numFmtId="0" fontId="0" fillId="0" borderId="41" xfId="0" applyFont="1" applyBorder="1" applyAlignment="1">
      <alignment vertical="top"/>
    </xf>
    <xf numFmtId="167" fontId="0" fillId="0" borderId="359" xfId="0" applyNumberFormat="1" applyFont="1" applyBorder="1" applyAlignment="1">
      <alignment vertical="top"/>
    </xf>
    <xf numFmtId="167" fontId="0" fillId="0" borderId="419" xfId="0" applyNumberFormat="1" applyFont="1" applyBorder="1" applyAlignment="1">
      <alignment vertical="top"/>
    </xf>
    <xf numFmtId="0" fontId="0" fillId="0" borderId="101" xfId="0" applyFont="1" applyFill="1" applyBorder="1" applyAlignment="1">
      <alignment vertical="top"/>
    </xf>
    <xf numFmtId="167" fontId="0" fillId="0" borderId="358" xfId="0" applyNumberFormat="1" applyFont="1" applyBorder="1" applyAlignment="1">
      <alignment vertical="top"/>
    </xf>
    <xf numFmtId="167" fontId="0" fillId="0" borderId="420" xfId="0" applyNumberFormat="1" applyFont="1" applyBorder="1" applyAlignment="1">
      <alignment vertical="top"/>
    </xf>
    <xf numFmtId="0" fontId="33" fillId="0" borderId="359" xfId="0" applyFont="1" applyBorder="1" applyAlignment="1">
      <alignment vertical="top"/>
    </xf>
    <xf numFmtId="0" fontId="33" fillId="0" borderId="358" xfId="0" applyFont="1" applyBorder="1" applyAlignment="1">
      <alignment vertical="top"/>
    </xf>
    <xf numFmtId="43" fontId="3" fillId="0" borderId="41" xfId="2" applyFont="1" applyFill="1" applyBorder="1" applyAlignment="1">
      <alignment vertical="top"/>
    </xf>
    <xf numFmtId="169" fontId="3" fillId="0" borderId="40" xfId="2" applyNumberFormat="1" applyFont="1" applyFill="1" applyBorder="1" applyAlignment="1">
      <alignment vertical="top"/>
    </xf>
    <xf numFmtId="43" fontId="3" fillId="0" borderId="266" xfId="4" applyFont="1" applyFill="1" applyBorder="1" applyAlignment="1">
      <alignment vertical="top"/>
    </xf>
    <xf numFmtId="43" fontId="3" fillId="0" borderId="269" xfId="4" applyFont="1" applyFill="1" applyBorder="1" applyAlignment="1">
      <alignment vertical="top"/>
    </xf>
    <xf numFmtId="167" fontId="0" fillId="0" borderId="0" xfId="0" applyNumberFormat="1" applyFont="1" applyBorder="1" applyAlignment="1">
      <alignment horizontal="left" vertical="top"/>
    </xf>
    <xf numFmtId="167" fontId="0" fillId="0" borderId="5" xfId="0" applyNumberFormat="1" applyFont="1" applyBorder="1" applyAlignment="1">
      <alignment vertical="top"/>
    </xf>
    <xf numFmtId="167" fontId="0" fillId="0" borderId="0" xfId="0" applyNumberFormat="1" applyFont="1" applyFill="1" applyBorder="1" applyAlignment="1">
      <alignment horizontal="left" vertical="top"/>
    </xf>
    <xf numFmtId="167" fontId="0" fillId="0" borderId="5" xfId="0" applyNumberFormat="1" applyFont="1" applyFill="1" applyBorder="1" applyAlignment="1">
      <alignment vertical="top"/>
    </xf>
    <xf numFmtId="9" fontId="5" fillId="0" borderId="0" xfId="5" applyFont="1" applyBorder="1" applyAlignment="1">
      <alignment horizontal="right" vertical="top"/>
    </xf>
    <xf numFmtId="9" fontId="5" fillId="0" borderId="0" xfId="5" applyFont="1" applyBorder="1" applyAlignment="1">
      <alignment vertical="top"/>
    </xf>
    <xf numFmtId="9" fontId="5" fillId="0" borderId="5" xfId="5" applyFont="1" applyBorder="1" applyAlignment="1">
      <alignment vertical="top"/>
    </xf>
    <xf numFmtId="167" fontId="16" fillId="0" borderId="9" xfId="4" applyNumberFormat="1" applyFont="1" applyFill="1" applyBorder="1" applyAlignment="1">
      <alignment horizontal="left" vertical="top"/>
    </xf>
    <xf numFmtId="167" fontId="16" fillId="0" borderId="9" xfId="4" applyNumberFormat="1" applyFont="1" applyFill="1" applyBorder="1" applyAlignment="1">
      <alignment vertical="top"/>
    </xf>
    <xf numFmtId="167" fontId="16" fillId="0" borderId="10" xfId="4" applyNumberFormat="1" applyFont="1" applyFill="1" applyBorder="1" applyAlignment="1">
      <alignment vertical="top"/>
    </xf>
    <xf numFmtId="0" fontId="217" fillId="47" borderId="64" xfId="0" applyFont="1" applyFill="1" applyBorder="1" applyAlignment="1" applyProtection="1">
      <alignment horizontal="center"/>
      <protection locked="0"/>
    </xf>
    <xf numFmtId="0" fontId="217" fillId="47" borderId="0" xfId="0" applyFont="1" applyFill="1" applyBorder="1" applyAlignment="1" applyProtection="1">
      <alignment horizontal="center"/>
      <protection locked="0"/>
    </xf>
    <xf numFmtId="0" fontId="217" fillId="47" borderId="64" xfId="0" applyFont="1" applyFill="1" applyBorder="1" applyAlignment="1" applyProtection="1">
      <alignment horizontal="center"/>
      <protection locked="0"/>
    </xf>
    <xf numFmtId="0" fontId="217" fillId="47" borderId="0" xfId="0" applyFont="1" applyFill="1" applyBorder="1" applyAlignment="1" applyProtection="1">
      <alignment horizontal="center"/>
      <protection locked="0"/>
    </xf>
    <xf numFmtId="0" fontId="212" fillId="2" borderId="0" xfId="0" applyFont="1" applyFill="1" applyBorder="1" applyAlignment="1">
      <alignment horizontal="center" vertical="center" wrapText="1"/>
    </xf>
    <xf numFmtId="0" fontId="16" fillId="7" borderId="42" xfId="0" applyFont="1" applyFill="1" applyBorder="1" applyAlignment="1">
      <alignment horizontal="left" vertical="center" indent="1"/>
    </xf>
    <xf numFmtId="0" fontId="16" fillId="7" borderId="43" xfId="0" applyFont="1" applyFill="1" applyBorder="1" applyAlignment="1">
      <alignment horizontal="left" vertical="center" indent="1"/>
    </xf>
    <xf numFmtId="0" fontId="16" fillId="7" borderId="75" xfId="0" applyFont="1" applyFill="1" applyBorder="1" applyAlignment="1">
      <alignment horizontal="left" vertical="center" indent="1"/>
    </xf>
    <xf numFmtId="0" fontId="16" fillId="7" borderId="62" xfId="0" applyFont="1" applyFill="1" applyBorder="1" applyAlignment="1">
      <alignment horizontal="left" vertical="center" indent="1"/>
    </xf>
    <xf numFmtId="0" fontId="133" fillId="2" borderId="90" xfId="0" applyFont="1" applyFill="1" applyBorder="1" applyAlignment="1" applyProtection="1">
      <alignment horizontal="left" wrapText="1"/>
    </xf>
    <xf numFmtId="0" fontId="171" fillId="0" borderId="13" xfId="0" applyFont="1" applyFill="1" applyBorder="1" applyAlignment="1" applyProtection="1">
      <alignment horizontal="center" vertical="center"/>
    </xf>
    <xf numFmtId="0" fontId="5" fillId="7" borderId="13" xfId="0" applyFont="1" applyFill="1" applyBorder="1" applyAlignment="1" applyProtection="1">
      <alignment vertical="top" wrapText="1"/>
    </xf>
    <xf numFmtId="0" fontId="4" fillId="5" borderId="449" xfId="0" applyFont="1" applyFill="1" applyBorder="1" applyAlignment="1" applyProtection="1">
      <alignment horizontal="center" vertical="top" wrapText="1"/>
    </xf>
    <xf numFmtId="0" fontId="4" fillId="5" borderId="54" xfId="0" applyFont="1" applyFill="1" applyBorder="1" applyAlignment="1" applyProtection="1">
      <alignment horizontal="center" vertical="top" wrapText="1"/>
    </xf>
    <xf numFmtId="0" fontId="5" fillId="7" borderId="13" xfId="0" applyFont="1" applyFill="1" applyBorder="1" applyAlignment="1" applyProtection="1">
      <alignment horizontal="left" vertical="top" wrapText="1" indent="1"/>
    </xf>
    <xf numFmtId="0" fontId="5" fillId="7" borderId="14" xfId="0" applyFont="1" applyFill="1" applyBorder="1" applyAlignment="1" applyProtection="1">
      <alignment horizontal="left" vertical="top" wrapText="1" indent="1"/>
    </xf>
    <xf numFmtId="0" fontId="5" fillId="7" borderId="15" xfId="0" applyFont="1" applyFill="1" applyBorder="1" applyAlignment="1" applyProtection="1">
      <alignment horizontal="left" vertical="top" wrapText="1" indent="1"/>
    </xf>
    <xf numFmtId="0" fontId="135" fillId="2" borderId="206" xfId="1" applyFont="1" applyFill="1" applyBorder="1" applyAlignment="1" applyProtection="1">
      <alignment vertical="center" wrapText="1"/>
    </xf>
    <xf numFmtId="0" fontId="43" fillId="25" borderId="0" xfId="0" applyFont="1" applyFill="1" applyBorder="1" applyAlignment="1" applyProtection="1"/>
    <xf numFmtId="0" fontId="135" fillId="2" borderId="90" xfId="1" applyFont="1" applyFill="1" applyBorder="1" applyAlignment="1" applyProtection="1">
      <alignment horizontal="left" wrapText="1"/>
    </xf>
    <xf numFmtId="0" fontId="102" fillId="25" borderId="0" xfId="0" applyFont="1" applyFill="1" applyBorder="1" applyAlignment="1" applyProtection="1"/>
    <xf numFmtId="0" fontId="281" fillId="6" borderId="14" xfId="0" applyFont="1" applyFill="1" applyBorder="1" applyAlignment="1" applyProtection="1">
      <alignment horizontal="right" vertical="center"/>
    </xf>
    <xf numFmtId="0" fontId="16" fillId="0" borderId="441" xfId="0" applyFont="1" applyFill="1" applyBorder="1" applyAlignment="1" applyProtection="1">
      <alignment horizontal="left" vertical="center" wrapText="1" indent="3"/>
    </xf>
    <xf numFmtId="0" fontId="16" fillId="7" borderId="433" xfId="0" applyFont="1" applyFill="1" applyBorder="1" applyAlignment="1" applyProtection="1">
      <alignment horizontal="left" vertical="center" wrapText="1" indent="3"/>
    </xf>
    <xf numFmtId="0" fontId="16" fillId="0" borderId="433" xfId="0" applyFont="1" applyFill="1" applyBorder="1" applyAlignment="1" applyProtection="1">
      <alignment horizontal="left" vertical="center" wrapText="1" indent="3"/>
    </xf>
    <xf numFmtId="0" fontId="16" fillId="0" borderId="435" xfId="0" applyFont="1" applyFill="1" applyBorder="1" applyAlignment="1" applyProtection="1">
      <alignment horizontal="left" vertical="center" wrapText="1" indent="3"/>
    </xf>
    <xf numFmtId="0" fontId="0" fillId="0" borderId="12" xfId="0" applyFont="1" applyBorder="1" applyAlignment="1" applyProtection="1">
      <alignment horizontal="left" vertical="center" wrapText="1" indent="3"/>
    </xf>
    <xf numFmtId="0" fontId="44" fillId="25" borderId="0" xfId="0" applyFont="1" applyFill="1" applyBorder="1" applyAlignment="1" applyProtection="1">
      <alignment vertical="center"/>
    </xf>
    <xf numFmtId="0" fontId="212" fillId="2" borderId="0" xfId="0" applyFont="1" applyFill="1" applyBorder="1" applyAlignment="1">
      <alignment vertical="center" wrapText="1"/>
    </xf>
    <xf numFmtId="167" fontId="11" fillId="35" borderId="12" xfId="0" applyNumberFormat="1" applyFont="1" applyFill="1" applyBorder="1" applyAlignment="1">
      <alignment vertical="center"/>
    </xf>
    <xf numFmtId="167" fontId="5" fillId="7" borderId="12" xfId="0" applyNumberFormat="1" applyFont="1" applyFill="1" applyBorder="1" applyAlignment="1">
      <alignment vertical="center"/>
    </xf>
    <xf numFmtId="167" fontId="5" fillId="7" borderId="22" xfId="0" applyNumberFormat="1" applyFont="1" applyFill="1" applyBorder="1" applyAlignment="1">
      <alignment vertical="center"/>
    </xf>
    <xf numFmtId="167" fontId="11" fillId="35" borderId="24" xfId="0" applyNumberFormat="1" applyFont="1" applyFill="1" applyBorder="1" applyAlignment="1">
      <alignment vertical="center"/>
    </xf>
    <xf numFmtId="167" fontId="5" fillId="7" borderId="24" xfId="0" applyNumberFormat="1" applyFont="1" applyFill="1" applyBorder="1" applyAlignment="1">
      <alignment vertical="center"/>
    </xf>
    <xf numFmtId="167" fontId="5" fillId="7" borderId="25" xfId="0" applyNumberFormat="1" applyFont="1" applyFill="1" applyBorder="1" applyAlignment="1">
      <alignment vertical="center"/>
    </xf>
    <xf numFmtId="0" fontId="169" fillId="15" borderId="170" xfId="0" applyFont="1" applyFill="1" applyBorder="1" applyAlignment="1"/>
    <xf numFmtId="0" fontId="170" fillId="25" borderId="0" xfId="0" applyFont="1" applyFill="1" applyAlignment="1"/>
    <xf numFmtId="0" fontId="169" fillId="25" borderId="0" xfId="0" applyFont="1" applyFill="1" applyBorder="1" applyAlignment="1"/>
    <xf numFmtId="0" fontId="0" fillId="7" borderId="84" xfId="0" applyFont="1" applyFill="1" applyBorder="1" applyAlignment="1">
      <alignment horizontal="right" vertical="center"/>
    </xf>
    <xf numFmtId="167" fontId="0" fillId="7" borderId="43" xfId="0" applyNumberFormat="1" applyFont="1" applyFill="1" applyBorder="1" applyAlignment="1">
      <alignment vertical="center"/>
    </xf>
    <xf numFmtId="167" fontId="0" fillId="7" borderId="82" xfId="0" applyNumberFormat="1" applyFont="1" applyFill="1" applyBorder="1" applyAlignment="1">
      <alignment vertical="center"/>
    </xf>
    <xf numFmtId="0" fontId="0" fillId="7" borderId="37" xfId="0" applyFont="1" applyFill="1" applyBorder="1" applyAlignment="1">
      <alignment horizontal="right" vertical="center"/>
    </xf>
    <xf numFmtId="167" fontId="0" fillId="7" borderId="114" xfId="0" applyNumberFormat="1" applyFont="1" applyFill="1" applyBorder="1" applyAlignment="1">
      <alignment vertical="center"/>
    </xf>
    <xf numFmtId="167" fontId="0" fillId="7" borderId="140" xfId="0" applyNumberFormat="1" applyFont="1" applyFill="1" applyBorder="1" applyAlignment="1">
      <alignment vertical="center"/>
    </xf>
    <xf numFmtId="167" fontId="0" fillId="0" borderId="16" xfId="0" applyNumberFormat="1" applyFont="1" applyFill="1" applyBorder="1" applyAlignment="1">
      <alignment vertical="center"/>
    </xf>
    <xf numFmtId="167" fontId="0" fillId="0" borderId="119" xfId="0" applyNumberFormat="1" applyFont="1" applyFill="1" applyBorder="1" applyAlignment="1">
      <alignment vertical="center"/>
    </xf>
    <xf numFmtId="0" fontId="0" fillId="7" borderId="139" xfId="0" applyFont="1" applyFill="1" applyBorder="1" applyAlignment="1">
      <alignment horizontal="right" vertical="center"/>
    </xf>
    <xf numFmtId="167" fontId="0" fillId="0" borderId="114" xfId="0" applyNumberFormat="1" applyFont="1" applyFill="1" applyBorder="1" applyAlignment="1">
      <alignment vertical="center"/>
    </xf>
    <xf numFmtId="167" fontId="0" fillId="0" borderId="140" xfId="0" applyNumberFormat="1" applyFont="1" applyFill="1" applyBorder="1" applyAlignment="1">
      <alignment vertical="center"/>
    </xf>
    <xf numFmtId="0" fontId="282" fillId="2" borderId="0" xfId="0" applyFont="1" applyFill="1" applyAlignment="1" applyProtection="1">
      <alignment horizontal="center"/>
    </xf>
    <xf numFmtId="0" fontId="103" fillId="27" borderId="92" xfId="1" applyFont="1" applyFill="1" applyBorder="1" applyAlignment="1" applyProtection="1">
      <alignment horizontal="center" vertical="center"/>
    </xf>
    <xf numFmtId="0" fontId="103" fillId="27" borderId="0" xfId="1" applyFont="1" applyFill="1" applyBorder="1" applyAlignment="1" applyProtection="1">
      <alignment horizontal="center" vertical="center"/>
    </xf>
    <xf numFmtId="0" fontId="104" fillId="27" borderId="0" xfId="1" applyFont="1" applyFill="1" applyBorder="1" applyAlignment="1" applyProtection="1">
      <alignment horizontal="center" vertical="center"/>
    </xf>
    <xf numFmtId="0" fontId="105" fillId="27" borderId="0" xfId="0" applyFont="1" applyFill="1" applyBorder="1" applyAlignment="1" applyProtection="1">
      <alignment vertical="center"/>
    </xf>
    <xf numFmtId="0" fontId="105" fillId="27" borderId="93" xfId="0" applyFont="1" applyFill="1" applyBorder="1" applyAlignment="1" applyProtection="1">
      <alignment vertical="center"/>
    </xf>
    <xf numFmtId="0" fontId="104" fillId="25" borderId="95" xfId="1" applyFont="1" applyFill="1" applyBorder="1" applyAlignment="1" applyProtection="1">
      <alignment horizontal="center" vertical="center"/>
    </xf>
    <xf numFmtId="0" fontId="0" fillId="7" borderId="337" xfId="0" quotePrefix="1" applyFont="1" applyFill="1" applyBorder="1" applyAlignment="1">
      <alignment vertical="top" wrapText="1"/>
    </xf>
    <xf numFmtId="0" fontId="283" fillId="3" borderId="327" xfId="0" applyFont="1" applyFill="1" applyBorder="1" applyAlignment="1">
      <alignment horizontal="center" vertical="center" wrapText="1"/>
    </xf>
    <xf numFmtId="0" fontId="283" fillId="3" borderId="343" xfId="0" applyFont="1" applyFill="1" applyBorder="1" applyAlignment="1">
      <alignment horizontal="center" vertical="center" wrapText="1"/>
    </xf>
    <xf numFmtId="0" fontId="283" fillId="7" borderId="307" xfId="0" applyFont="1" applyFill="1" applyBorder="1" applyAlignment="1">
      <alignment horizontal="left" vertical="center" wrapText="1"/>
    </xf>
    <xf numFmtId="0" fontId="284" fillId="3" borderId="307" xfId="0" applyFont="1" applyFill="1" applyBorder="1" applyAlignment="1" applyProtection="1">
      <alignment horizontal="center" vertical="top"/>
    </xf>
    <xf numFmtId="0" fontId="284" fillId="3" borderId="293" xfId="0" applyFont="1" applyFill="1" applyBorder="1" applyAlignment="1" applyProtection="1">
      <alignment horizontal="center" vertical="top" wrapText="1"/>
    </xf>
    <xf numFmtId="0" fontId="284" fillId="3" borderId="329" xfId="0" applyFont="1" applyFill="1" applyBorder="1" applyAlignment="1">
      <alignment horizontal="center" vertical="top" wrapText="1"/>
    </xf>
    <xf numFmtId="0" fontId="284" fillId="3" borderId="40" xfId="0" applyFont="1" applyFill="1" applyBorder="1" applyAlignment="1">
      <alignment horizontal="center" vertical="top" wrapText="1"/>
    </xf>
    <xf numFmtId="0" fontId="284" fillId="3" borderId="41" xfId="0" applyFont="1" applyFill="1" applyBorder="1" applyAlignment="1" applyProtection="1">
      <alignment horizontal="center" vertical="top" wrapText="1"/>
    </xf>
    <xf numFmtId="0" fontId="284" fillId="3" borderId="327" xfId="0" applyFont="1" applyFill="1" applyBorder="1" applyAlignment="1">
      <alignment horizontal="center" vertical="top"/>
    </xf>
    <xf numFmtId="0" fontId="284" fillId="3" borderId="343" xfId="0" applyFont="1" applyFill="1" applyBorder="1" applyAlignment="1">
      <alignment horizontal="center" vertical="top" wrapText="1"/>
    </xf>
    <xf numFmtId="0" fontId="284" fillId="3" borderId="307" xfId="0" applyFont="1" applyFill="1" applyBorder="1" applyAlignment="1">
      <alignment horizontal="center" vertical="top"/>
    </xf>
    <xf numFmtId="0" fontId="284" fillId="3" borderId="41" xfId="0" applyFont="1" applyFill="1" applyBorder="1" applyAlignment="1">
      <alignment horizontal="center" vertical="top"/>
    </xf>
    <xf numFmtId="0" fontId="284" fillId="7" borderId="308" xfId="0" applyFont="1" applyFill="1" applyBorder="1" applyAlignment="1">
      <alignment vertical="top" wrapText="1"/>
    </xf>
    <xf numFmtId="0" fontId="284" fillId="3" borderId="307" xfId="0" applyFont="1" applyFill="1" applyBorder="1" applyAlignment="1">
      <alignment horizontal="center" vertical="top" wrapText="1"/>
    </xf>
    <xf numFmtId="0" fontId="284" fillId="3" borderId="293" xfId="0" applyFont="1" applyFill="1" applyBorder="1" applyAlignment="1">
      <alignment horizontal="center" vertical="top" wrapText="1"/>
    </xf>
    <xf numFmtId="0" fontId="0" fillId="7" borderId="12" xfId="0" applyFill="1" applyBorder="1" applyAlignment="1" applyProtection="1">
      <alignment horizontal="left" vertical="center" wrapText="1" indent="1"/>
    </xf>
    <xf numFmtId="0" fontId="8" fillId="21" borderId="16" xfId="1" applyFill="1" applyBorder="1" applyAlignment="1" applyProtection="1">
      <alignment horizontal="center" vertical="center" wrapText="1"/>
    </xf>
    <xf numFmtId="0" fontId="284" fillId="3" borderId="323" xfId="0" applyFont="1" applyFill="1" applyBorder="1" applyAlignment="1">
      <alignment horizontal="center" vertical="top"/>
    </xf>
    <xf numFmtId="0" fontId="284" fillId="3" borderId="324" xfId="0" applyFont="1" applyFill="1" applyBorder="1" applyAlignment="1">
      <alignment horizontal="center" vertical="top" wrapText="1"/>
    </xf>
    <xf numFmtId="0" fontId="284" fillId="7" borderId="337" xfId="0" applyFont="1" applyFill="1" applyBorder="1" applyAlignment="1">
      <alignment horizontal="left"/>
    </xf>
    <xf numFmtId="0" fontId="284" fillId="7" borderId="340" xfId="0" applyFont="1" applyFill="1" applyBorder="1" applyAlignment="1">
      <alignment horizontal="left" vertical="center"/>
    </xf>
    <xf numFmtId="0" fontId="284" fillId="7" borderId="300" xfId="0" applyFont="1" applyFill="1" applyBorder="1" applyAlignment="1">
      <alignment horizontal="left" indent="1"/>
    </xf>
    <xf numFmtId="0" fontId="284" fillId="7" borderId="337" xfId="0" applyFont="1" applyFill="1" applyBorder="1" applyAlignment="1">
      <alignment horizontal="left" indent="1"/>
    </xf>
    <xf numFmtId="0" fontId="284" fillId="7" borderId="308" xfId="0" applyFont="1" applyFill="1" applyBorder="1" applyAlignment="1">
      <alignment horizontal="left"/>
    </xf>
    <xf numFmtId="0" fontId="284" fillId="7" borderId="0" xfId="0" applyFont="1" applyFill="1" applyBorder="1" applyAlignment="1"/>
    <xf numFmtId="0" fontId="284" fillId="3" borderId="327" xfId="0" applyFont="1" applyFill="1" applyBorder="1" applyAlignment="1" applyProtection="1">
      <alignment horizontal="center" vertical="top"/>
    </xf>
    <xf numFmtId="0" fontId="284" fillId="3" borderId="343" xfId="0" applyFont="1" applyFill="1" applyBorder="1" applyAlignment="1" applyProtection="1">
      <alignment horizontal="center" vertical="top" wrapText="1"/>
    </xf>
    <xf numFmtId="0" fontId="284" fillId="7" borderId="340" xfId="0" applyFont="1" applyFill="1" applyBorder="1" applyAlignment="1">
      <alignment vertical="top" wrapText="1"/>
    </xf>
    <xf numFmtId="0" fontId="284" fillId="7" borderId="337" xfId="0" applyFont="1" applyFill="1" applyBorder="1" applyAlignment="1">
      <alignment vertical="top" wrapText="1"/>
    </xf>
    <xf numFmtId="0" fontId="284" fillId="7" borderId="300" xfId="0" applyFont="1" applyFill="1" applyBorder="1" applyAlignment="1">
      <alignment vertical="center" wrapText="1"/>
    </xf>
    <xf numFmtId="0" fontId="284" fillId="7" borderId="340" xfId="0" applyFont="1" applyFill="1" applyBorder="1" applyAlignment="1">
      <alignment vertical="center" wrapText="1"/>
    </xf>
    <xf numFmtId="0" fontId="284" fillId="7" borderId="337" xfId="0" applyFont="1" applyFill="1" applyBorder="1" applyAlignment="1">
      <alignment wrapText="1"/>
    </xf>
    <xf numFmtId="0" fontId="284" fillId="3" borderId="308" xfId="0" applyFont="1" applyFill="1" applyBorder="1" applyAlignment="1">
      <alignment horizontal="center" vertical="center" wrapText="1"/>
    </xf>
    <xf numFmtId="167" fontId="284" fillId="3" borderId="314" xfId="0" applyNumberFormat="1" applyFont="1" applyFill="1" applyBorder="1" applyAlignment="1">
      <alignment horizontal="center" vertical="center" wrapText="1"/>
    </xf>
    <xf numFmtId="0" fontId="284" fillId="7" borderId="337" xfId="0" applyFont="1" applyFill="1" applyBorder="1" applyAlignment="1">
      <alignment vertical="center" wrapText="1"/>
    </xf>
    <xf numFmtId="0" fontId="284" fillId="7" borderId="311" xfId="0" applyFont="1" applyFill="1" applyBorder="1" applyAlignment="1">
      <alignment horizontal="left" vertical="top" wrapText="1"/>
    </xf>
    <xf numFmtId="0" fontId="284" fillId="3" borderId="298" xfId="0" applyFont="1" applyFill="1" applyBorder="1" applyAlignment="1">
      <alignment horizontal="center" vertical="top" wrapText="1"/>
    </xf>
    <xf numFmtId="0" fontId="284" fillId="3" borderId="341" xfId="0" applyFont="1" applyFill="1" applyBorder="1" applyAlignment="1">
      <alignment horizontal="center" vertical="top" wrapText="1"/>
    </xf>
    <xf numFmtId="0" fontId="284" fillId="7" borderId="308" xfId="0" applyFont="1" applyFill="1" applyBorder="1" applyAlignment="1">
      <alignment horizontal="left" vertical="top" wrapText="1"/>
    </xf>
    <xf numFmtId="0" fontId="16" fillId="7" borderId="308" xfId="0" quotePrefix="1" applyFont="1" applyFill="1" applyBorder="1" applyAlignment="1">
      <alignment vertical="center"/>
    </xf>
    <xf numFmtId="0" fontId="0" fillId="7" borderId="302" xfId="0" quotePrefix="1" applyFill="1" applyBorder="1" applyAlignment="1">
      <alignment vertical="top"/>
    </xf>
    <xf numFmtId="0" fontId="19" fillId="17" borderId="14" xfId="0" applyFont="1" applyFill="1" applyBorder="1" applyAlignment="1">
      <alignment horizontal="left" vertical="center" wrapText="1"/>
    </xf>
    <xf numFmtId="0" fontId="0" fillId="7" borderId="362" xfId="0" applyFill="1" applyBorder="1" applyAlignment="1">
      <alignment horizontal="left" vertical="center" indent="1"/>
    </xf>
    <xf numFmtId="1" fontId="16" fillId="48" borderId="323" xfId="4" applyNumberFormat="1" applyFont="1" applyFill="1" applyBorder="1" applyAlignment="1" applyProtection="1">
      <alignment horizontal="center" vertical="center"/>
      <protection locked="0"/>
    </xf>
    <xf numFmtId="1" fontId="16" fillId="3" borderId="323" xfId="4" applyNumberFormat="1" applyFont="1" applyFill="1" applyBorder="1" applyAlignment="1">
      <alignment horizontal="center" vertical="center"/>
    </xf>
    <xf numFmtId="1" fontId="16" fillId="3" borderId="324" xfId="4" applyNumberFormat="1" applyFont="1" applyFill="1" applyBorder="1" applyAlignment="1">
      <alignment horizontal="center" vertical="center"/>
    </xf>
    <xf numFmtId="0" fontId="19" fillId="17" borderId="14" xfId="0" applyFont="1" applyFill="1" applyBorder="1" applyAlignment="1">
      <alignment horizontal="left" vertical="center"/>
    </xf>
    <xf numFmtId="167" fontId="31" fillId="0" borderId="0" xfId="0" applyNumberFormat="1" applyFont="1" applyFill="1" applyBorder="1" applyAlignment="1">
      <alignment horizontal="left" vertical="top"/>
    </xf>
    <xf numFmtId="167" fontId="31" fillId="0" borderId="36" xfId="0" applyNumberFormat="1" applyFont="1" applyFill="1" applyBorder="1" applyAlignment="1">
      <alignment horizontal="left" vertical="top"/>
    </xf>
    <xf numFmtId="43" fontId="0" fillId="0" borderId="66" xfId="4" applyFont="1" applyFill="1" applyBorder="1" applyAlignment="1">
      <alignment vertical="top"/>
    </xf>
    <xf numFmtId="43" fontId="0" fillId="0" borderId="86" xfId="4" applyFont="1" applyFill="1" applyBorder="1" applyAlignment="1">
      <alignment vertical="top"/>
    </xf>
    <xf numFmtId="167" fontId="31" fillId="0" borderId="0" xfId="4" applyNumberFormat="1" applyFont="1" applyFill="1" applyBorder="1" applyAlignment="1">
      <alignment vertical="top"/>
    </xf>
    <xf numFmtId="167" fontId="31" fillId="0" borderId="40" xfId="4" applyNumberFormat="1" applyFont="1" applyFill="1" applyBorder="1" applyAlignment="1">
      <alignment vertical="top"/>
    </xf>
    <xf numFmtId="167" fontId="31" fillId="0" borderId="36" xfId="4" applyNumberFormat="1" applyFont="1" applyFill="1" applyBorder="1" applyAlignment="1">
      <alignment vertical="top"/>
    </xf>
    <xf numFmtId="167" fontId="31" fillId="0" borderId="57" xfId="4" applyNumberFormat="1" applyFont="1" applyFill="1" applyBorder="1" applyAlignment="1">
      <alignment vertical="top"/>
    </xf>
    <xf numFmtId="167" fontId="0" fillId="0" borderId="36" xfId="0" applyNumberFormat="1" applyFill="1" applyBorder="1" applyAlignment="1">
      <alignment vertical="top"/>
    </xf>
    <xf numFmtId="167" fontId="0" fillId="0" borderId="57" xfId="0" applyNumberFormat="1" applyFill="1" applyBorder="1" applyAlignment="1">
      <alignment vertical="top"/>
    </xf>
    <xf numFmtId="1" fontId="6" fillId="0" borderId="456" xfId="4" applyNumberFormat="1" applyFont="1" applyFill="1" applyBorder="1" applyAlignment="1" applyProtection="1">
      <alignment horizontal="center" vertical="center"/>
    </xf>
    <xf numFmtId="1" fontId="6" fillId="0" borderId="457" xfId="4" applyNumberFormat="1" applyFont="1" applyFill="1" applyBorder="1" applyAlignment="1" applyProtection="1">
      <alignment horizontal="center" vertical="center"/>
    </xf>
    <xf numFmtId="1" fontId="6" fillId="0" borderId="458" xfId="4" applyNumberFormat="1" applyFont="1" applyFill="1" applyBorder="1" applyAlignment="1" applyProtection="1">
      <alignment horizontal="center" vertical="center"/>
    </xf>
    <xf numFmtId="3" fontId="0" fillId="0" borderId="459" xfId="0" applyNumberFormat="1" applyFont="1" applyFill="1" applyBorder="1" applyAlignment="1" applyProtection="1">
      <alignment horizontal="center" vertical="center" wrapText="1"/>
    </xf>
    <xf numFmtId="9" fontId="16" fillId="0" borderId="460" xfId="5" applyFont="1" applyFill="1" applyBorder="1" applyAlignment="1" applyProtection="1">
      <alignment horizontal="center" vertical="center"/>
      <protection locked="0"/>
    </xf>
    <xf numFmtId="9" fontId="16" fillId="0" borderId="457" xfId="5" applyFont="1" applyFill="1" applyBorder="1" applyAlignment="1" applyProtection="1">
      <alignment horizontal="center" vertical="center"/>
      <protection locked="0"/>
    </xf>
    <xf numFmtId="9" fontId="16" fillId="0" borderId="461" xfId="5" applyFont="1" applyFill="1" applyBorder="1" applyAlignment="1" applyProtection="1">
      <alignment horizontal="center" vertical="center"/>
      <protection locked="0"/>
    </xf>
    <xf numFmtId="9" fontId="6" fillId="0" borderId="454" xfId="5" applyFont="1" applyFill="1" applyBorder="1" applyAlignment="1" applyProtection="1">
      <alignment horizontal="center" vertical="center"/>
    </xf>
    <xf numFmtId="9" fontId="6" fillId="0" borderId="462" xfId="5" applyFont="1" applyFill="1" applyBorder="1" applyAlignment="1" applyProtection="1">
      <alignment horizontal="center" vertical="center"/>
    </xf>
    <xf numFmtId="1" fontId="6" fillId="0" borderId="458" xfId="5" applyNumberFormat="1" applyFont="1" applyFill="1" applyBorder="1" applyAlignment="1" applyProtection="1">
      <alignment horizontal="center" vertical="center"/>
    </xf>
    <xf numFmtId="0" fontId="19" fillId="6" borderId="146" xfId="0" applyFont="1" applyFill="1" applyBorder="1" applyAlignment="1" applyProtection="1">
      <alignment horizontal="center" vertical="center"/>
    </xf>
    <xf numFmtId="0" fontId="22" fillId="7" borderId="0" xfId="0" applyFont="1" applyFill="1" applyBorder="1" applyAlignment="1" applyProtection="1">
      <alignment horizontal="center" vertical="center"/>
    </xf>
    <xf numFmtId="9" fontId="16" fillId="48" borderId="313" xfId="5" applyFont="1" applyFill="1" applyBorder="1" applyAlignment="1" applyProtection="1">
      <alignment horizontal="center" vertical="center"/>
      <protection locked="0"/>
    </xf>
    <xf numFmtId="9" fontId="16" fillId="48" borderId="314" xfId="5" applyFont="1" applyFill="1" applyBorder="1" applyAlignment="1" applyProtection="1">
      <alignment horizontal="center" vertical="center"/>
      <protection locked="0"/>
    </xf>
    <xf numFmtId="43" fontId="199" fillId="3" borderId="206" xfId="0" applyNumberFormat="1" applyFont="1" applyFill="1" applyBorder="1" applyAlignment="1" applyProtection="1">
      <alignment horizontal="center" wrapText="1"/>
    </xf>
    <xf numFmtId="1" fontId="16" fillId="4" borderId="206" xfId="4" applyNumberFormat="1" applyFont="1" applyFill="1" applyBorder="1" applyAlignment="1" applyProtection="1">
      <alignment horizontal="center" vertical="center"/>
    </xf>
    <xf numFmtId="0" fontId="6" fillId="7" borderId="463" xfId="0" applyFont="1" applyFill="1" applyBorder="1" applyProtection="1"/>
    <xf numFmtId="0" fontId="6" fillId="7" borderId="464" xfId="0" applyFont="1" applyFill="1" applyBorder="1" applyProtection="1"/>
    <xf numFmtId="0" fontId="6" fillId="7" borderId="465" xfId="0" applyFont="1" applyFill="1" applyBorder="1" applyProtection="1"/>
    <xf numFmtId="0" fontId="6" fillId="10" borderId="0" xfId="0" applyFont="1" applyFill="1" applyProtection="1"/>
    <xf numFmtId="0" fontId="0" fillId="7" borderId="466" xfId="0" applyFont="1" applyFill="1" applyBorder="1" applyProtection="1"/>
    <xf numFmtId="0" fontId="22" fillId="7" borderId="467" xfId="0" applyFont="1" applyFill="1" applyBorder="1" applyProtection="1"/>
    <xf numFmtId="0" fontId="0" fillId="7" borderId="467" xfId="0" applyFont="1" applyFill="1" applyBorder="1" applyProtection="1"/>
    <xf numFmtId="0" fontId="22" fillId="7" borderId="0" xfId="0" applyFont="1" applyFill="1" applyBorder="1" applyProtection="1"/>
    <xf numFmtId="0" fontId="5" fillId="7" borderId="466" xfId="0" applyFont="1" applyFill="1" applyBorder="1" applyAlignment="1" applyProtection="1">
      <alignment horizontal="center"/>
    </xf>
    <xf numFmtId="0" fontId="0" fillId="7" borderId="466" xfId="0" applyFill="1" applyBorder="1" applyProtection="1"/>
    <xf numFmtId="0" fontId="0" fillId="7" borderId="467" xfId="0" applyFill="1" applyBorder="1" applyProtection="1"/>
    <xf numFmtId="0" fontId="106" fillId="37" borderId="466" xfId="0" applyFont="1" applyFill="1" applyBorder="1" applyProtection="1"/>
    <xf numFmtId="0" fontId="287" fillId="37" borderId="467" xfId="0" applyFont="1" applyFill="1" applyBorder="1" applyAlignment="1" applyProtection="1">
      <alignment horizontal="right"/>
    </xf>
    <xf numFmtId="0" fontId="288" fillId="37" borderId="0" xfId="0" applyFont="1" applyFill="1" applyBorder="1" applyProtection="1"/>
    <xf numFmtId="0" fontId="84" fillId="37" borderId="0" xfId="0" applyFont="1" applyFill="1" applyBorder="1" applyAlignment="1" applyProtection="1">
      <alignment horizontal="center"/>
    </xf>
    <xf numFmtId="0" fontId="163" fillId="37" borderId="0" xfId="0" applyFont="1" applyFill="1" applyBorder="1" applyAlignment="1" applyProtection="1">
      <alignment horizontal="left" vertical="top"/>
    </xf>
    <xf numFmtId="0" fontId="84" fillId="37" borderId="0" xfId="0" applyFont="1" applyFill="1" applyBorder="1" applyAlignment="1" applyProtection="1"/>
    <xf numFmtId="0" fontId="46" fillId="37" borderId="13" xfId="0" applyFont="1" applyFill="1" applyBorder="1" applyAlignment="1" applyProtection="1">
      <alignment horizontal="center" vertical="center" wrapText="1"/>
    </xf>
    <xf numFmtId="0" fontId="0" fillId="37" borderId="466" xfId="0" applyFont="1" applyFill="1" applyBorder="1" applyProtection="1"/>
    <xf numFmtId="0" fontId="0" fillId="37" borderId="0" xfId="0" applyFont="1" applyFill="1" applyBorder="1" applyProtection="1"/>
    <xf numFmtId="0" fontId="288" fillId="37" borderId="467" xfId="0" applyFont="1" applyFill="1" applyBorder="1" applyAlignment="1" applyProtection="1">
      <alignment horizontal="right"/>
    </xf>
    <xf numFmtId="0" fontId="0" fillId="10" borderId="0" xfId="0" applyFont="1" applyFill="1" applyProtection="1"/>
    <xf numFmtId="0" fontId="0" fillId="37" borderId="466" xfId="0" applyFill="1" applyBorder="1" applyProtection="1"/>
    <xf numFmtId="0" fontId="218" fillId="37" borderId="0" xfId="0" applyFont="1" applyFill="1" applyBorder="1" applyAlignment="1" applyProtection="1">
      <alignment horizontal="left" vertical="center"/>
    </xf>
    <xf numFmtId="0" fontId="287" fillId="37" borderId="467" xfId="0" applyFont="1" applyFill="1" applyBorder="1" applyAlignment="1" applyProtection="1">
      <alignment vertical="center" wrapText="1"/>
    </xf>
    <xf numFmtId="167" fontId="6" fillId="10" borderId="0" xfId="4" applyNumberFormat="1" applyFont="1" applyFill="1" applyProtection="1"/>
    <xf numFmtId="9" fontId="0" fillId="37" borderId="466" xfId="5" applyFont="1" applyFill="1" applyBorder="1" applyProtection="1"/>
    <xf numFmtId="0" fontId="288" fillId="37" borderId="0" xfId="0" applyFont="1" applyFill="1" applyBorder="1" applyAlignment="1" applyProtection="1">
      <alignment horizontal="left" vertical="top"/>
    </xf>
    <xf numFmtId="0" fontId="0" fillId="37" borderId="0" xfId="0" applyFill="1" applyBorder="1" applyProtection="1"/>
    <xf numFmtId="0" fontId="0" fillId="37" borderId="467" xfId="0" applyFill="1" applyBorder="1" applyProtection="1"/>
    <xf numFmtId="1" fontId="6" fillId="10" borderId="0" xfId="0" applyNumberFormat="1" applyFont="1" applyFill="1" applyProtection="1"/>
    <xf numFmtId="0" fontId="290" fillId="37" borderId="0" xfId="0" applyFont="1" applyFill="1" applyBorder="1" applyAlignment="1" applyProtection="1">
      <alignment vertical="center"/>
    </xf>
    <xf numFmtId="9" fontId="6" fillId="10" borderId="0" xfId="5" applyFont="1" applyFill="1" applyProtection="1"/>
    <xf numFmtId="0" fontId="39" fillId="10" borderId="0" xfId="0" applyFont="1" applyFill="1" applyProtection="1"/>
    <xf numFmtId="0" fontId="290" fillId="37" borderId="0" xfId="0" applyFont="1" applyFill="1" applyBorder="1" applyAlignment="1" applyProtection="1"/>
    <xf numFmtId="0" fontId="290" fillId="37" borderId="471" xfId="0" applyFont="1" applyFill="1" applyBorder="1" applyAlignment="1" applyProtection="1"/>
    <xf numFmtId="0" fontId="218" fillId="7" borderId="472" xfId="0" applyFont="1" applyFill="1" applyBorder="1" applyAlignment="1" applyProtection="1">
      <alignment horizontal="center"/>
    </xf>
    <xf numFmtId="1" fontId="218" fillId="7" borderId="473" xfId="0" applyNumberFormat="1" applyFont="1" applyFill="1" applyBorder="1" applyAlignment="1" applyProtection="1">
      <alignment horizontal="center"/>
    </xf>
    <xf numFmtId="43" fontId="291" fillId="7" borderId="475" xfId="4" applyFont="1" applyFill="1" applyBorder="1" applyAlignment="1" applyProtection="1">
      <alignment horizontal="left" vertical="top" wrapText="1"/>
    </xf>
    <xf numFmtId="167" fontId="291" fillId="7" borderId="476" xfId="4" applyNumberFormat="1" applyFont="1" applyFill="1" applyBorder="1" applyAlignment="1" applyProtection="1">
      <alignment horizontal="left"/>
    </xf>
    <xf numFmtId="167" fontId="291" fillId="7" borderId="477" xfId="4" applyNumberFormat="1" applyFont="1" applyFill="1" applyBorder="1" applyAlignment="1" applyProtection="1">
      <alignment horizontal="left"/>
    </xf>
    <xf numFmtId="43" fontId="291" fillId="7" borderId="478" xfId="4" applyFont="1" applyFill="1" applyBorder="1" applyAlignment="1" applyProtection="1">
      <alignment horizontal="left" vertical="center" wrapText="1"/>
    </xf>
    <xf numFmtId="167" fontId="291" fillId="7" borderId="479" xfId="4" applyNumberFormat="1" applyFont="1" applyFill="1" applyBorder="1" applyAlignment="1" applyProtection="1">
      <alignment horizontal="left"/>
    </xf>
    <xf numFmtId="167" fontId="291" fillId="7" borderId="480" xfId="4" applyNumberFormat="1" applyFont="1" applyFill="1" applyBorder="1" applyAlignment="1" applyProtection="1">
      <alignment horizontal="left"/>
    </xf>
    <xf numFmtId="43" fontId="291" fillId="7" borderId="481" xfId="4" applyFont="1" applyFill="1" applyBorder="1" applyAlignment="1" applyProtection="1">
      <alignment horizontal="left" vertical="center" wrapText="1"/>
    </xf>
    <xf numFmtId="167" fontId="291" fillId="7" borderId="482" xfId="4" applyNumberFormat="1" applyFont="1" applyFill="1" applyBorder="1" applyAlignment="1" applyProtection="1">
      <alignment horizontal="left"/>
    </xf>
    <xf numFmtId="167" fontId="291" fillId="7" borderId="483" xfId="4" applyNumberFormat="1" applyFont="1" applyFill="1" applyBorder="1" applyAlignment="1" applyProtection="1">
      <alignment horizontal="left"/>
    </xf>
    <xf numFmtId="43" fontId="291" fillId="7" borderId="484" xfId="4" applyFont="1" applyFill="1" applyBorder="1" applyAlignment="1" applyProtection="1">
      <alignment horizontal="left" vertical="top" wrapText="1"/>
    </xf>
    <xf numFmtId="167" fontId="291" fillId="7" borderId="485" xfId="4" applyNumberFormat="1" applyFont="1" applyFill="1" applyBorder="1" applyAlignment="1" applyProtection="1">
      <alignment horizontal="left"/>
    </xf>
    <xf numFmtId="167" fontId="291" fillId="7" borderId="486" xfId="4" applyNumberFormat="1" applyFont="1" applyFill="1" applyBorder="1" applyAlignment="1" applyProtection="1">
      <alignment horizontal="left"/>
    </xf>
    <xf numFmtId="0" fontId="0" fillId="37" borderId="487" xfId="0" applyFill="1" applyBorder="1" applyProtection="1"/>
    <xf numFmtId="0" fontId="0" fillId="37" borderId="488" xfId="0" applyFill="1" applyBorder="1" applyProtection="1"/>
    <xf numFmtId="0" fontId="0" fillId="37" borderId="489" xfId="0" applyFill="1" applyBorder="1" applyProtection="1"/>
    <xf numFmtId="0" fontId="292" fillId="10" borderId="0" xfId="0" applyFont="1" applyFill="1" applyBorder="1" applyAlignment="1" applyProtection="1"/>
    <xf numFmtId="0" fontId="106" fillId="10" borderId="0" xfId="0" applyFont="1" applyFill="1" applyProtection="1"/>
    <xf numFmtId="0" fontId="105" fillId="10" borderId="0" xfId="0" applyFont="1" applyFill="1" applyProtection="1"/>
    <xf numFmtId="1" fontId="218" fillId="7" borderId="474" xfId="0" applyNumberFormat="1" applyFont="1" applyFill="1" applyBorder="1" applyAlignment="1" applyProtection="1">
      <alignment horizontal="center"/>
    </xf>
    <xf numFmtId="0" fontId="0" fillId="0" borderId="490" xfId="0" applyFill="1" applyBorder="1" applyAlignment="1" applyProtection="1">
      <alignment vertical="top"/>
    </xf>
    <xf numFmtId="0" fontId="0" fillId="0" borderId="491" xfId="0" applyFill="1" applyBorder="1" applyAlignment="1" applyProtection="1">
      <alignment vertical="top"/>
    </xf>
    <xf numFmtId="0" fontId="0" fillId="0" borderId="492" xfId="0" applyFill="1" applyBorder="1" applyAlignment="1" applyProtection="1">
      <alignment vertical="top"/>
    </xf>
    <xf numFmtId="167" fontId="291" fillId="7" borderId="494" xfId="4" applyNumberFormat="1" applyFont="1" applyFill="1" applyBorder="1" applyAlignment="1">
      <alignment vertical="top" wrapText="1"/>
    </xf>
    <xf numFmtId="167" fontId="291" fillId="7" borderId="495" xfId="4" applyNumberFormat="1" applyFont="1" applyFill="1" applyBorder="1" applyAlignment="1">
      <alignment vertical="top" wrapText="1"/>
    </xf>
    <xf numFmtId="43" fontId="291" fillId="7" borderId="498" xfId="4" applyNumberFormat="1" applyFont="1" applyFill="1" applyBorder="1" applyAlignment="1">
      <alignment vertical="top" wrapText="1"/>
    </xf>
    <xf numFmtId="167" fontId="291" fillId="7" borderId="498" xfId="4" applyNumberFormat="1" applyFont="1" applyFill="1" applyBorder="1" applyAlignment="1">
      <alignment vertical="top" wrapText="1"/>
    </xf>
    <xf numFmtId="43" fontId="291" fillId="7" borderId="499" xfId="4" applyNumberFormat="1" applyFont="1" applyFill="1" applyBorder="1" applyAlignment="1">
      <alignment vertical="top" wrapText="1"/>
    </xf>
    <xf numFmtId="0" fontId="226" fillId="0" borderId="42" xfId="0" applyFont="1" applyFill="1" applyBorder="1" applyAlignment="1" applyProtection="1">
      <alignment vertical="top"/>
    </xf>
    <xf numFmtId="0" fontId="226" fillId="0" borderId="43" xfId="0" applyFont="1" applyFill="1" applyBorder="1" applyAlignment="1" applyProtection="1">
      <alignment vertical="top"/>
    </xf>
    <xf numFmtId="0" fontId="226" fillId="0" borderId="41" xfId="0" applyFont="1" applyFill="1" applyBorder="1" applyAlignment="1" applyProtection="1">
      <alignment vertical="top"/>
    </xf>
    <xf numFmtId="0" fontId="226" fillId="0" borderId="20" xfId="0" applyFont="1" applyFill="1" applyBorder="1" applyAlignment="1" applyProtection="1">
      <alignment vertical="top"/>
    </xf>
    <xf numFmtId="0" fontId="226" fillId="0" borderId="0" xfId="0" applyFont="1" applyFill="1" applyBorder="1" applyAlignment="1" applyProtection="1">
      <alignment vertical="top"/>
    </xf>
    <xf numFmtId="0" fontId="226" fillId="0" borderId="40" xfId="0" applyFont="1" applyFill="1" applyBorder="1" applyAlignment="1" applyProtection="1">
      <alignment vertical="top"/>
    </xf>
    <xf numFmtId="9" fontId="226" fillId="0" borderId="0" xfId="5" applyFont="1" applyFill="1" applyBorder="1" applyAlignment="1" applyProtection="1">
      <alignment vertical="top"/>
    </xf>
    <xf numFmtId="9" fontId="226" fillId="0" borderId="40" xfId="5" applyFont="1" applyFill="1" applyBorder="1" applyAlignment="1" applyProtection="1">
      <alignment vertical="top"/>
    </xf>
    <xf numFmtId="0" fontId="226" fillId="0" borderId="44" xfId="0" applyFont="1" applyFill="1" applyBorder="1" applyAlignment="1" applyProtection="1">
      <alignment vertical="top"/>
    </xf>
    <xf numFmtId="9" fontId="226" fillId="0" borderId="36" xfId="5" applyFont="1" applyFill="1" applyBorder="1" applyAlignment="1" applyProtection="1">
      <alignment vertical="top"/>
    </xf>
    <xf numFmtId="9" fontId="226" fillId="0" borderId="57" xfId="5" applyFont="1" applyFill="1" applyBorder="1" applyAlignment="1" applyProtection="1">
      <alignment vertical="top"/>
    </xf>
    <xf numFmtId="0" fontId="291" fillId="7" borderId="493" xfId="0" applyFont="1" applyFill="1" applyBorder="1" applyAlignment="1">
      <alignment vertical="top"/>
    </xf>
    <xf numFmtId="167" fontId="291" fillId="7" borderId="494" xfId="4" applyNumberFormat="1" applyFont="1" applyFill="1" applyBorder="1" applyAlignment="1">
      <alignment vertical="top"/>
    </xf>
    <xf numFmtId="0" fontId="291" fillId="7" borderId="496" xfId="0" applyFont="1" applyFill="1" applyBorder="1" applyAlignment="1">
      <alignment vertical="top"/>
    </xf>
    <xf numFmtId="0" fontId="291" fillId="7" borderId="496" xfId="0" applyFont="1" applyFill="1" applyBorder="1" applyAlignment="1">
      <alignment horizontal="left" vertical="top"/>
    </xf>
    <xf numFmtId="0" fontId="291" fillId="7" borderId="497" xfId="0" applyFont="1" applyFill="1" applyBorder="1" applyAlignment="1">
      <alignment horizontal="left" vertical="top"/>
    </xf>
    <xf numFmtId="43" fontId="291" fillId="7" borderId="498" xfId="4" applyNumberFormat="1" applyFont="1" applyFill="1" applyBorder="1" applyAlignment="1">
      <alignment vertical="top"/>
    </xf>
    <xf numFmtId="0" fontId="140" fillId="25" borderId="0" xfId="0" applyFont="1" applyFill="1" applyBorder="1" applyAlignment="1" applyProtection="1">
      <alignment horizontal="right" vertical="center"/>
      <protection locked="0"/>
    </xf>
    <xf numFmtId="0" fontId="43" fillId="25" borderId="0" xfId="0" applyFont="1" applyFill="1" applyBorder="1" applyAlignment="1" applyProtection="1">
      <alignment vertical="center"/>
      <protection locked="0"/>
    </xf>
    <xf numFmtId="0" fontId="117" fillId="25" borderId="0" xfId="1" applyFont="1" applyFill="1" applyBorder="1" applyAlignment="1" applyProtection="1">
      <alignment horizontal="right" vertical="center"/>
      <protection locked="0"/>
    </xf>
    <xf numFmtId="0" fontId="117" fillId="25" borderId="95" xfId="1" applyFont="1" applyFill="1" applyBorder="1" applyAlignment="1" applyProtection="1">
      <alignment horizontal="right" vertical="center"/>
      <protection locked="0"/>
    </xf>
    <xf numFmtId="0" fontId="140" fillId="25" borderId="93" xfId="0" applyFont="1" applyFill="1" applyBorder="1" applyAlignment="1" applyProtection="1">
      <alignment horizontal="right" vertical="center"/>
      <protection locked="0"/>
    </xf>
    <xf numFmtId="0" fontId="0" fillId="48" borderId="282" xfId="0" applyFill="1" applyBorder="1" applyAlignment="1" applyProtection="1">
      <alignment horizontal="left" vertical="center"/>
      <protection locked="0"/>
    </xf>
    <xf numFmtId="0" fontId="201" fillId="0" borderId="500" xfId="0" applyFont="1" applyFill="1" applyBorder="1" applyAlignment="1" applyProtection="1">
      <alignment vertical="top"/>
    </xf>
    <xf numFmtId="0" fontId="201" fillId="0" borderId="224" xfId="0" applyFont="1" applyFill="1" applyBorder="1" applyAlignment="1" applyProtection="1">
      <alignment vertical="top"/>
    </xf>
    <xf numFmtId="0" fontId="201" fillId="0" borderId="501" xfId="0" applyFont="1" applyFill="1" applyBorder="1" applyAlignment="1" applyProtection="1">
      <alignment horizontal="right" vertical="top"/>
    </xf>
    <xf numFmtId="1" fontId="201" fillId="0" borderId="225" xfId="0" applyNumberFormat="1" applyFont="1" applyFill="1" applyBorder="1" applyAlignment="1" applyProtection="1">
      <alignment vertical="top"/>
    </xf>
    <xf numFmtId="0" fontId="201" fillId="0" borderId="501" xfId="0" applyFont="1" applyFill="1" applyBorder="1" applyAlignment="1" applyProtection="1">
      <alignment vertical="top"/>
    </xf>
    <xf numFmtId="0" fontId="201" fillId="0" borderId="502" xfId="0" applyFont="1" applyFill="1" applyBorder="1" applyAlignment="1" applyProtection="1">
      <alignment vertical="top"/>
    </xf>
    <xf numFmtId="1" fontId="201" fillId="0" borderId="503" xfId="0" applyNumberFormat="1" applyFont="1" applyFill="1" applyBorder="1" applyAlignment="1" applyProtection="1">
      <alignment vertical="top"/>
    </xf>
    <xf numFmtId="43" fontId="16" fillId="48" borderId="40" xfId="4" applyNumberFormat="1" applyFont="1" applyFill="1" applyBorder="1" applyAlignment="1" applyProtection="1">
      <alignment vertical="center"/>
      <protection locked="0"/>
    </xf>
    <xf numFmtId="9" fontId="0" fillId="4" borderId="0" xfId="5" applyFont="1" applyFill="1" applyBorder="1" applyAlignment="1">
      <alignment horizontal="center" vertical="center"/>
    </xf>
    <xf numFmtId="43" fontId="16" fillId="48" borderId="57" xfId="2" applyNumberFormat="1" applyFont="1" applyFill="1" applyBorder="1" applyAlignment="1" applyProtection="1">
      <alignment vertical="center"/>
      <protection locked="0"/>
    </xf>
    <xf numFmtId="0" fontId="25" fillId="4" borderId="31" xfId="0" applyFont="1" applyFill="1" applyBorder="1" applyAlignment="1">
      <alignment horizontal="left" vertical="center" wrapText="1"/>
    </xf>
    <xf numFmtId="0" fontId="11" fillId="4" borderId="14" xfId="0" applyFont="1" applyFill="1" applyBorder="1" applyAlignment="1">
      <alignment horizontal="center" vertical="center"/>
    </xf>
    <xf numFmtId="0" fontId="16" fillId="55" borderId="61" xfId="0" applyFont="1" applyFill="1" applyBorder="1" applyAlignment="1" applyProtection="1">
      <alignment vertical="center"/>
    </xf>
    <xf numFmtId="167" fontId="33" fillId="55" borderId="63" xfId="4" applyNumberFormat="1" applyFont="1" applyFill="1" applyBorder="1" applyAlignment="1" applyProtection="1">
      <alignment vertical="center"/>
    </xf>
    <xf numFmtId="167" fontId="16" fillId="48" borderId="12" xfId="4" applyNumberFormat="1" applyFont="1" applyFill="1" applyBorder="1" applyAlignment="1" applyProtection="1">
      <alignment horizontal="center" vertical="center"/>
      <protection locked="0"/>
    </xf>
    <xf numFmtId="167" fontId="0" fillId="48" borderId="381" xfId="4" applyNumberFormat="1" applyFont="1" applyFill="1" applyBorder="1" applyAlignment="1" applyProtection="1">
      <alignment horizontal="right" vertical="center"/>
      <protection locked="0"/>
    </xf>
    <xf numFmtId="167" fontId="16" fillId="0" borderId="43" xfId="2" applyNumberFormat="1" applyFont="1" applyFill="1" applyBorder="1" applyAlignment="1">
      <alignment horizontal="left" vertical="top" indent="3"/>
    </xf>
    <xf numFmtId="167" fontId="16" fillId="0" borderId="41" xfId="2" applyNumberFormat="1" applyFont="1" applyFill="1" applyBorder="1" applyAlignment="1">
      <alignment horizontal="left" vertical="top" indent="3"/>
    </xf>
    <xf numFmtId="43" fontId="269" fillId="0" borderId="0" xfId="0" applyNumberFormat="1" applyFont="1" applyFill="1"/>
    <xf numFmtId="167" fontId="16" fillId="56" borderId="0" xfId="2" applyNumberFormat="1" applyFont="1" applyFill="1" applyBorder="1" applyAlignment="1">
      <alignment horizontal="left" vertical="top" indent="3"/>
    </xf>
    <xf numFmtId="167" fontId="16" fillId="56" borderId="40" xfId="2" applyNumberFormat="1" applyFont="1" applyFill="1" applyBorder="1" applyAlignment="1">
      <alignment horizontal="left" vertical="top" indent="3"/>
    </xf>
    <xf numFmtId="167" fontId="3" fillId="56" borderId="0" xfId="2" applyNumberFormat="1" applyFont="1" applyFill="1" applyBorder="1" applyAlignment="1">
      <alignment vertical="top"/>
    </xf>
    <xf numFmtId="167" fontId="3" fillId="56" borderId="40" xfId="2" applyNumberFormat="1" applyFont="1" applyFill="1" applyBorder="1" applyAlignment="1">
      <alignment vertical="top"/>
    </xf>
    <xf numFmtId="167" fontId="3" fillId="56" borderId="268" xfId="2" applyNumberFormat="1" applyFont="1" applyFill="1" applyBorder="1" applyAlignment="1">
      <alignment vertical="top"/>
    </xf>
    <xf numFmtId="167" fontId="3" fillId="56" borderId="269" xfId="2" applyNumberFormat="1" applyFont="1" applyFill="1" applyBorder="1" applyAlignment="1">
      <alignment vertical="top"/>
    </xf>
    <xf numFmtId="167" fontId="3" fillId="56" borderId="36" xfId="2" applyNumberFormat="1" applyFont="1" applyFill="1" applyBorder="1" applyAlignment="1">
      <alignment vertical="top"/>
    </xf>
    <xf numFmtId="167" fontId="3" fillId="56" borderId="57" xfId="2" applyNumberFormat="1" applyFont="1" applyFill="1" applyBorder="1" applyAlignment="1">
      <alignment vertical="top"/>
    </xf>
    <xf numFmtId="43" fontId="39" fillId="0" borderId="0" xfId="0" applyNumberFormat="1" applyFont="1" applyFill="1" applyAlignment="1">
      <alignment vertical="top"/>
    </xf>
    <xf numFmtId="167" fontId="3" fillId="56" borderId="12" xfId="2" applyNumberFormat="1" applyFont="1" applyFill="1" applyBorder="1" applyAlignment="1">
      <alignment vertical="top"/>
    </xf>
    <xf numFmtId="167" fontId="16" fillId="56" borderId="12" xfId="2" applyNumberFormat="1" applyFont="1" applyFill="1" applyBorder="1" applyAlignment="1">
      <alignment horizontal="left" vertical="top" indent="3"/>
    </xf>
    <xf numFmtId="43" fontId="16" fillId="56" borderId="12" xfId="4" applyNumberFormat="1" applyFont="1" applyFill="1" applyBorder="1" applyAlignment="1">
      <alignment vertical="top"/>
    </xf>
    <xf numFmtId="167" fontId="16" fillId="56" borderId="12" xfId="2" applyNumberFormat="1" applyFont="1" applyFill="1" applyBorder="1" applyAlignment="1">
      <alignment vertical="top"/>
    </xf>
    <xf numFmtId="43" fontId="16" fillId="56" borderId="12" xfId="2" applyFont="1" applyFill="1" applyBorder="1" applyAlignment="1">
      <alignment vertical="top"/>
    </xf>
    <xf numFmtId="43" fontId="0" fillId="0" borderId="0" xfId="0" applyNumberFormat="1"/>
    <xf numFmtId="9" fontId="53" fillId="48" borderId="387" xfId="5" applyFont="1" applyFill="1" applyBorder="1" applyAlignment="1" applyProtection="1">
      <alignment horizontal="center" vertical="center"/>
      <protection locked="0"/>
    </xf>
    <xf numFmtId="43" fontId="16" fillId="56" borderId="12" xfId="2" applyNumberFormat="1" applyFont="1" applyFill="1" applyBorder="1" applyAlignment="1">
      <alignment vertical="top"/>
    </xf>
    <xf numFmtId="1" fontId="39" fillId="0" borderId="12" xfId="0" applyNumberFormat="1" applyFont="1" applyFill="1" applyBorder="1" applyAlignment="1">
      <alignment vertical="top"/>
    </xf>
    <xf numFmtId="167" fontId="85" fillId="0" borderId="12" xfId="4" applyNumberFormat="1" applyFont="1" applyFill="1" applyBorder="1" applyAlignment="1">
      <alignment horizontal="center" vertical="top"/>
    </xf>
    <xf numFmtId="9" fontId="11" fillId="57" borderId="19" xfId="5" applyFont="1" applyFill="1" applyBorder="1" applyAlignment="1">
      <alignment vertical="center"/>
    </xf>
    <xf numFmtId="9" fontId="11" fillId="57" borderId="12" xfId="5" applyFont="1" applyFill="1" applyBorder="1" applyAlignment="1">
      <alignment vertical="top"/>
    </xf>
    <xf numFmtId="0" fontId="39" fillId="56" borderId="0" xfId="0" applyFont="1" applyFill="1" applyBorder="1" applyAlignment="1">
      <alignment vertical="top" wrapText="1"/>
    </xf>
    <xf numFmtId="0" fontId="39" fillId="56" borderId="0" xfId="0" applyFont="1" applyFill="1" applyBorder="1" applyAlignment="1">
      <alignment horizontal="left" vertical="top"/>
    </xf>
    <xf numFmtId="9" fontId="39" fillId="56" borderId="0" xfId="5" applyFont="1" applyFill="1" applyBorder="1" applyAlignment="1">
      <alignment vertical="top"/>
    </xf>
    <xf numFmtId="0" fontId="39" fillId="56" borderId="0" xfId="0" applyFont="1" applyFill="1" applyAlignment="1">
      <alignment vertical="top"/>
    </xf>
    <xf numFmtId="0" fontId="39" fillId="56" borderId="0" xfId="0" applyFont="1" applyFill="1" applyBorder="1" applyAlignment="1">
      <alignment vertical="top"/>
    </xf>
    <xf numFmtId="9" fontId="39" fillId="56" borderId="0" xfId="5" applyFont="1" applyFill="1" applyAlignment="1">
      <alignment vertical="top"/>
    </xf>
    <xf numFmtId="43" fontId="39" fillId="56" borderId="0" xfId="2" applyFont="1" applyFill="1" applyBorder="1" applyAlignment="1">
      <alignment vertical="top"/>
    </xf>
    <xf numFmtId="43" fontId="38" fillId="56" borderId="0" xfId="2" applyFont="1" applyFill="1" applyBorder="1" applyAlignment="1">
      <alignment vertical="top"/>
    </xf>
    <xf numFmtId="0" fontId="39" fillId="58" borderId="0" xfId="0" applyFont="1" applyFill="1" applyAlignment="1">
      <alignment vertical="top"/>
    </xf>
    <xf numFmtId="167" fontId="39" fillId="58" borderId="0" xfId="4" applyNumberFormat="1" applyFont="1" applyFill="1" applyAlignment="1">
      <alignment vertical="top"/>
    </xf>
    <xf numFmtId="167" fontId="39" fillId="58" borderId="0" xfId="5" applyNumberFormat="1" applyFont="1" applyFill="1" applyAlignment="1">
      <alignment vertical="top"/>
    </xf>
    <xf numFmtId="9" fontId="39" fillId="58" borderId="0" xfId="5" applyFont="1" applyFill="1" applyAlignment="1">
      <alignment vertical="top"/>
    </xf>
    <xf numFmtId="169" fontId="39" fillId="58" borderId="0" xfId="4" applyNumberFormat="1" applyFont="1" applyFill="1" applyAlignment="1">
      <alignment vertical="top"/>
    </xf>
    <xf numFmtId="43" fontId="39" fillId="58" borderId="0" xfId="5" applyNumberFormat="1" applyFont="1" applyFill="1" applyAlignment="1">
      <alignment vertical="top"/>
    </xf>
    <xf numFmtId="167" fontId="38" fillId="56" borderId="0" xfId="2" applyNumberFormat="1" applyFont="1" applyFill="1" applyBorder="1" applyAlignment="1">
      <alignment vertical="top"/>
    </xf>
    <xf numFmtId="0" fontId="38" fillId="56" borderId="0" xfId="0" applyFont="1" applyFill="1" applyBorder="1" applyAlignment="1">
      <alignment vertical="top"/>
    </xf>
    <xf numFmtId="0" fontId="38" fillId="56" borderId="0" xfId="0" applyFont="1" applyFill="1" applyBorder="1" applyAlignment="1">
      <alignment vertical="top" wrapText="1"/>
    </xf>
    <xf numFmtId="9" fontId="38" fillId="56" borderId="0" xfId="2" applyNumberFormat="1" applyFont="1" applyFill="1" applyBorder="1" applyAlignment="1">
      <alignment vertical="top"/>
    </xf>
    <xf numFmtId="0" fontId="25" fillId="0" borderId="0" xfId="0" applyFont="1" applyBorder="1" applyAlignment="1">
      <alignment horizontal="center" wrapText="1"/>
    </xf>
    <xf numFmtId="0" fontId="5" fillId="31" borderId="0" xfId="0" applyFont="1" applyFill="1" applyBorder="1" applyAlignment="1">
      <alignment horizontal="center" wrapText="1"/>
    </xf>
    <xf numFmtId="0" fontId="26" fillId="7" borderId="0" xfId="0" applyFont="1" applyFill="1" applyBorder="1" applyAlignment="1">
      <alignment horizontal="right"/>
    </xf>
    <xf numFmtId="0" fontId="26" fillId="7" borderId="0" xfId="0" applyFont="1" applyFill="1" applyBorder="1" applyAlignment="1">
      <alignment horizontal="right" vertical="top"/>
    </xf>
    <xf numFmtId="0" fontId="5" fillId="4" borderId="0" xfId="0" applyFont="1" applyFill="1" applyBorder="1"/>
    <xf numFmtId="0" fontId="5" fillId="7" borderId="0" xfId="0" applyFont="1" applyFill="1" applyBorder="1"/>
    <xf numFmtId="0" fontId="189" fillId="7" borderId="0" xfId="0" applyFont="1" applyFill="1" applyBorder="1" applyAlignment="1">
      <alignment horizontal="right"/>
    </xf>
    <xf numFmtId="0" fontId="25" fillId="7" borderId="0" xfId="0" applyFont="1" applyFill="1" applyBorder="1" applyAlignment="1">
      <alignment vertical="top"/>
    </xf>
    <xf numFmtId="0" fontId="120" fillId="7" borderId="0" xfId="0" applyFont="1" applyFill="1" applyBorder="1" applyAlignment="1">
      <alignment vertical="top"/>
    </xf>
    <xf numFmtId="0" fontId="38" fillId="7" borderId="0" xfId="0" applyFont="1" applyFill="1" applyBorder="1"/>
    <xf numFmtId="0" fontId="189" fillId="7" borderId="0" xfId="0" applyFont="1" applyFill="1" applyBorder="1" applyAlignment="1">
      <alignment horizontal="right" vertical="top"/>
    </xf>
    <xf numFmtId="0" fontId="25" fillId="7" borderId="0" xfId="0" applyFont="1" applyFill="1" applyBorder="1" applyAlignment="1">
      <alignment vertical="center"/>
    </xf>
    <xf numFmtId="0" fontId="5" fillId="4" borderId="0" xfId="0" applyFont="1" applyFill="1" applyBorder="1" applyAlignment="1">
      <alignment horizontal="left" vertical="center"/>
    </xf>
    <xf numFmtId="0" fontId="26" fillId="25" borderId="0" xfId="0" applyFont="1" applyFill="1" applyBorder="1" applyAlignment="1">
      <alignment horizontal="right"/>
    </xf>
    <xf numFmtId="0" fontId="26" fillId="25" borderId="0" xfId="0" applyFont="1" applyFill="1" applyAlignment="1">
      <alignment horizontal="right"/>
    </xf>
    <xf numFmtId="0" fontId="189" fillId="25" borderId="0" xfId="0" applyFont="1" applyFill="1" applyBorder="1" applyAlignment="1">
      <alignment horizontal="right"/>
    </xf>
    <xf numFmtId="0" fontId="189" fillId="25" borderId="0" xfId="0" applyFont="1" applyFill="1" applyAlignment="1">
      <alignment horizontal="right"/>
    </xf>
    <xf numFmtId="0" fontId="4" fillId="5" borderId="12" xfId="0" applyFont="1" applyFill="1" applyBorder="1" applyAlignment="1" applyProtection="1">
      <alignment horizontal="center" vertical="top"/>
    </xf>
    <xf numFmtId="43" fontId="11" fillId="59" borderId="12" xfId="4" applyNumberFormat="1" applyFont="1" applyFill="1" applyBorder="1" applyAlignment="1">
      <alignment vertical="top"/>
    </xf>
    <xf numFmtId="0" fontId="103" fillId="26" borderId="0" xfId="1" applyFont="1" applyFill="1" applyBorder="1" applyAlignment="1" applyProtection="1">
      <alignment horizontal="center" vertical="center"/>
    </xf>
    <xf numFmtId="0" fontId="104" fillId="26" borderId="0" xfId="1" applyFont="1" applyFill="1" applyBorder="1" applyAlignment="1" applyProtection="1">
      <alignment horizontal="center" vertical="center"/>
    </xf>
    <xf numFmtId="0" fontId="16" fillId="7" borderId="20" xfId="0" applyFont="1" applyFill="1" applyBorder="1" applyAlignment="1">
      <alignment horizontal="left" vertical="center" indent="1"/>
    </xf>
    <xf numFmtId="0" fontId="16" fillId="7" borderId="0" xfId="0" applyFont="1" applyFill="1" applyBorder="1" applyAlignment="1">
      <alignment horizontal="left" vertical="center" indent="1"/>
    </xf>
    <xf numFmtId="168" fontId="16" fillId="0" borderId="12" xfId="0" applyNumberFormat="1" applyFont="1" applyFill="1" applyBorder="1" applyAlignment="1" applyProtection="1">
      <alignment vertical="top"/>
    </xf>
    <xf numFmtId="1" fontId="16" fillId="48" borderId="324" xfId="4" applyNumberFormat="1" applyFont="1" applyFill="1" applyBorder="1" applyAlignment="1" applyProtection="1">
      <alignment horizontal="center" vertical="center"/>
      <protection locked="0"/>
    </xf>
    <xf numFmtId="49" fontId="0" fillId="0" borderId="0" xfId="0" applyNumberFormat="1" applyFill="1" applyAlignment="1"/>
    <xf numFmtId="49" fontId="0" fillId="0" borderId="0" xfId="0" applyNumberFormat="1" applyAlignment="1"/>
    <xf numFmtId="49" fontId="14" fillId="0" borderId="0" xfId="11" applyNumberFormat="1" applyAlignment="1"/>
    <xf numFmtId="0" fontId="0" fillId="0" borderId="0" xfId="0" applyFill="1" applyAlignment="1"/>
    <xf numFmtId="43" fontId="16" fillId="48" borderId="13" xfId="4" applyFont="1" applyFill="1" applyBorder="1" applyAlignment="1" applyProtection="1">
      <alignment vertical="top"/>
      <protection locked="0"/>
    </xf>
    <xf numFmtId="43" fontId="16" fillId="60" borderId="12" xfId="4" applyFont="1" applyFill="1" applyBorder="1" applyAlignment="1" applyProtection="1">
      <alignment vertical="top"/>
      <protection locked="0"/>
    </xf>
    <xf numFmtId="167" fontId="0" fillId="48" borderId="19" xfId="4" applyNumberFormat="1" applyFont="1" applyFill="1" applyBorder="1" applyAlignment="1" applyProtection="1">
      <alignment vertical="center"/>
      <protection locked="0"/>
    </xf>
    <xf numFmtId="167" fontId="0" fillId="48" borderId="12" xfId="4" applyNumberFormat="1" applyFont="1" applyFill="1" applyBorder="1" applyAlignment="1" applyProtection="1">
      <alignment vertical="center"/>
      <protection locked="0"/>
    </xf>
    <xf numFmtId="169" fontId="16" fillId="48" borderId="12" xfId="4" applyNumberFormat="1" applyFont="1" applyFill="1" applyBorder="1" applyAlignment="1" applyProtection="1">
      <alignment horizontal="center" vertical="top"/>
      <protection locked="0"/>
    </xf>
    <xf numFmtId="43" fontId="16" fillId="48" borderId="12" xfId="4" applyFont="1" applyFill="1" applyBorder="1" applyAlignment="1" applyProtection="1">
      <alignment horizontal="center" vertical="top"/>
      <protection locked="0"/>
    </xf>
    <xf numFmtId="9" fontId="16" fillId="3" borderId="308" xfId="5" applyFont="1" applyFill="1" applyBorder="1" applyAlignment="1" applyProtection="1">
      <alignment horizontal="center" vertical="center"/>
    </xf>
    <xf numFmtId="0" fontId="4" fillId="5" borderId="12" xfId="0" applyFont="1" applyFill="1" applyBorder="1" applyAlignment="1" applyProtection="1">
      <alignment horizontal="left" vertical="top"/>
    </xf>
    <xf numFmtId="169" fontId="0" fillId="48" borderId="12" xfId="4" applyNumberFormat="1" applyFont="1" applyFill="1" applyBorder="1" applyAlignment="1" applyProtection="1">
      <alignment vertical="center"/>
      <protection locked="0"/>
    </xf>
    <xf numFmtId="0" fontId="39" fillId="4" borderId="0" xfId="0" applyFont="1" applyFill="1" applyBorder="1" applyProtection="1"/>
    <xf numFmtId="169" fontId="16" fillId="0" borderId="19" xfId="4" applyNumberFormat="1" applyFont="1" applyFill="1" applyBorder="1" applyAlignment="1">
      <alignment vertical="center"/>
    </xf>
    <xf numFmtId="0" fontId="39" fillId="26" borderId="91" xfId="0" applyFont="1" applyFill="1" applyBorder="1"/>
    <xf numFmtId="0" fontId="39" fillId="26" borderId="93" xfId="0" applyFont="1" applyFill="1" applyBorder="1"/>
    <xf numFmtId="0" fontId="299" fillId="26" borderId="93" xfId="0" applyFont="1" applyFill="1" applyBorder="1" applyAlignment="1">
      <alignment vertical="center"/>
    </xf>
    <xf numFmtId="0" fontId="300" fillId="7" borderId="93" xfId="0" applyFont="1" applyFill="1" applyBorder="1" applyAlignment="1">
      <alignment vertical="center"/>
    </xf>
    <xf numFmtId="0" fontId="301" fillId="2" borderId="0" xfId="0" applyFont="1" applyFill="1" applyBorder="1" applyAlignment="1">
      <alignment vertical="center"/>
    </xf>
    <xf numFmtId="0" fontId="39" fillId="4" borderId="0" xfId="0" applyFont="1" applyFill="1" applyBorder="1" applyAlignment="1">
      <alignment vertical="top"/>
    </xf>
    <xf numFmtId="0" fontId="302" fillId="15" borderId="170" xfId="0" applyFont="1" applyFill="1" applyBorder="1" applyAlignment="1" applyProtection="1">
      <alignment vertical="top"/>
    </xf>
    <xf numFmtId="0" fontId="303" fillId="15" borderId="170" xfId="0" applyFont="1" applyFill="1" applyBorder="1" applyAlignment="1">
      <alignment vertical="center"/>
    </xf>
    <xf numFmtId="0" fontId="301" fillId="7" borderId="0" xfId="0" applyFont="1" applyFill="1" applyBorder="1" applyAlignment="1">
      <alignment vertical="center"/>
    </xf>
    <xf numFmtId="43" fontId="39" fillId="4" borderId="0" xfId="0" applyNumberFormat="1" applyFont="1" applyFill="1" applyAlignment="1">
      <alignment vertical="center"/>
    </xf>
    <xf numFmtId="0" fontId="303" fillId="15" borderId="170" xfId="0" applyFont="1" applyFill="1" applyBorder="1" applyAlignment="1"/>
    <xf numFmtId="0" fontId="40" fillId="4" borderId="0" xfId="0" applyFont="1" applyFill="1" applyAlignment="1">
      <alignment vertical="center"/>
    </xf>
    <xf numFmtId="1" fontId="39" fillId="4" borderId="0" xfId="0" applyNumberFormat="1" applyFont="1" applyFill="1" applyAlignment="1">
      <alignment horizontal="center" vertical="center"/>
    </xf>
    <xf numFmtId="1" fontId="39" fillId="4" borderId="0" xfId="5" applyNumberFormat="1" applyFont="1" applyFill="1" applyAlignment="1">
      <alignment horizontal="center" vertical="center"/>
    </xf>
    <xf numFmtId="0" fontId="120" fillId="25" borderId="0" xfId="0" applyFont="1" applyFill="1" applyAlignment="1">
      <alignment vertical="center"/>
    </xf>
    <xf numFmtId="43" fontId="16" fillId="48" borderId="12" xfId="4" applyNumberFormat="1" applyFont="1" applyFill="1" applyBorder="1" applyAlignment="1" applyProtection="1">
      <alignment vertical="top"/>
      <protection locked="0"/>
    </xf>
    <xf numFmtId="169" fontId="16" fillId="48" borderId="13" xfId="4" applyNumberFormat="1" applyFont="1" applyFill="1" applyBorder="1" applyAlignment="1" applyProtection="1">
      <alignment vertical="top"/>
      <protection locked="0"/>
    </xf>
    <xf numFmtId="169" fontId="16" fillId="48" borderId="16" xfId="4" applyNumberFormat="1" applyFont="1" applyFill="1" applyBorder="1" applyAlignment="1" applyProtection="1">
      <protection locked="0"/>
    </xf>
    <xf numFmtId="169" fontId="16" fillId="48" borderId="114" xfId="4" applyNumberFormat="1" applyFont="1" applyFill="1" applyBorder="1" applyAlignment="1" applyProtection="1">
      <alignment vertical="top"/>
      <protection locked="0"/>
    </xf>
    <xf numFmtId="169" fontId="16" fillId="48" borderId="75" xfId="4" applyNumberFormat="1" applyFont="1" applyFill="1" applyBorder="1" applyAlignment="1" applyProtection="1">
      <alignment vertical="top"/>
      <protection locked="0"/>
    </xf>
    <xf numFmtId="169" fontId="0" fillId="8" borderId="12" xfId="0" applyNumberFormat="1" applyFill="1" applyBorder="1" applyAlignment="1" applyProtection="1">
      <alignment vertical="top"/>
    </xf>
    <xf numFmtId="169" fontId="0" fillId="8" borderId="13" xfId="0" applyNumberFormat="1" applyFill="1" applyBorder="1" applyAlignment="1" applyProtection="1">
      <alignment vertical="top"/>
    </xf>
    <xf numFmtId="169" fontId="16" fillId="8" borderId="12" xfId="0" applyNumberFormat="1" applyFont="1" applyFill="1" applyBorder="1" applyAlignment="1" applyProtection="1">
      <alignment vertical="top"/>
    </xf>
    <xf numFmtId="169" fontId="16" fillId="8" borderId="13" xfId="0" applyNumberFormat="1" applyFont="1" applyFill="1" applyBorder="1" applyAlignment="1" applyProtection="1">
      <alignment vertical="top"/>
    </xf>
    <xf numFmtId="169" fontId="16" fillId="48" borderId="12" xfId="2" applyNumberFormat="1" applyFont="1" applyFill="1" applyBorder="1" applyAlignment="1" applyProtection="1">
      <alignment vertical="top"/>
      <protection locked="0"/>
    </xf>
    <xf numFmtId="169" fontId="16" fillId="48" borderId="13" xfId="2" applyNumberFormat="1" applyFont="1" applyFill="1" applyBorder="1" applyAlignment="1" applyProtection="1">
      <alignment vertical="top"/>
      <protection locked="0"/>
    </xf>
    <xf numFmtId="169" fontId="16" fillId="48" borderId="16" xfId="4" applyNumberFormat="1" applyFont="1" applyFill="1" applyBorder="1" applyAlignment="1" applyProtection="1">
      <alignment vertical="center"/>
      <protection locked="0"/>
    </xf>
    <xf numFmtId="169" fontId="16" fillId="48" borderId="42" xfId="4" applyNumberFormat="1" applyFont="1" applyFill="1" applyBorder="1" applyAlignment="1" applyProtection="1">
      <alignment vertical="center"/>
      <protection locked="0"/>
    </xf>
    <xf numFmtId="169" fontId="16" fillId="48" borderId="16" xfId="4" applyNumberFormat="1" applyFont="1" applyFill="1" applyBorder="1" applyAlignment="1" applyProtection="1">
      <alignment vertical="top"/>
      <protection locked="0"/>
    </xf>
    <xf numFmtId="169" fontId="16" fillId="48" borderId="42" xfId="4" applyNumberFormat="1" applyFont="1" applyFill="1" applyBorder="1" applyAlignment="1" applyProtection="1">
      <alignment vertical="top"/>
      <protection locked="0"/>
    </xf>
    <xf numFmtId="169" fontId="16" fillId="8" borderId="449" xfId="4" applyNumberFormat="1" applyFont="1" applyFill="1" applyBorder="1" applyAlignment="1" applyProtection="1">
      <alignment vertical="top"/>
    </xf>
    <xf numFmtId="169" fontId="16" fillId="8" borderId="54" xfId="4" applyNumberFormat="1" applyFont="1" applyFill="1" applyBorder="1" applyAlignment="1" applyProtection="1">
      <alignment vertical="top"/>
    </xf>
    <xf numFmtId="169" fontId="5" fillId="7" borderId="14" xfId="0" applyNumberFormat="1" applyFont="1" applyFill="1" applyBorder="1" applyAlignment="1" applyProtection="1">
      <alignment horizontal="left" vertical="top" wrapText="1" indent="1"/>
    </xf>
    <xf numFmtId="169" fontId="5" fillId="7" borderId="15" xfId="0" applyNumberFormat="1" applyFont="1" applyFill="1" applyBorder="1" applyAlignment="1" applyProtection="1">
      <alignment horizontal="left" vertical="top" wrapText="1" indent="1"/>
    </xf>
    <xf numFmtId="0" fontId="125" fillId="15" borderId="170" xfId="0" applyFont="1" applyFill="1" applyBorder="1" applyAlignment="1" applyProtection="1">
      <alignment vertical="top"/>
    </xf>
    <xf numFmtId="0" fontId="125" fillId="15" borderId="205" xfId="0" applyFont="1" applyFill="1" applyBorder="1" applyAlignment="1" applyProtection="1">
      <alignment vertical="top"/>
    </xf>
    <xf numFmtId="167" fontId="16" fillId="7" borderId="16" xfId="0" applyNumberFormat="1" applyFont="1" applyFill="1" applyBorder="1" applyAlignment="1">
      <alignment vertical="center"/>
    </xf>
    <xf numFmtId="167" fontId="16" fillId="7" borderId="143" xfId="0" applyNumberFormat="1" applyFont="1" applyFill="1" applyBorder="1" applyAlignment="1">
      <alignment vertical="center"/>
    </xf>
    <xf numFmtId="167" fontId="16" fillId="7" borderId="114" xfId="0" applyNumberFormat="1" applyFont="1" applyFill="1" applyBorder="1" applyAlignment="1">
      <alignment vertical="center"/>
    </xf>
    <xf numFmtId="0" fontId="39" fillId="7" borderId="0" xfId="0" applyFont="1" applyFill="1" applyBorder="1" applyProtection="1"/>
    <xf numFmtId="0" fontId="39" fillId="7" borderId="40" xfId="0" applyFont="1" applyFill="1" applyBorder="1" applyProtection="1"/>
    <xf numFmtId="0" fontId="11" fillId="62" borderId="265" xfId="0" applyFont="1" applyFill="1" applyBorder="1"/>
    <xf numFmtId="0" fontId="4" fillId="5" borderId="13" xfId="0" applyFont="1" applyFill="1" applyBorder="1" applyAlignment="1" applyProtection="1">
      <alignment vertical="center"/>
    </xf>
    <xf numFmtId="0" fontId="4" fillId="5" borderId="14" xfId="0" applyFont="1" applyFill="1" applyBorder="1" applyAlignment="1" applyProtection="1">
      <alignment vertical="center"/>
    </xf>
    <xf numFmtId="0" fontId="4" fillId="5" borderId="15" xfId="0" applyFont="1" applyFill="1" applyBorder="1" applyAlignment="1" applyProtection="1">
      <alignment horizontal="right" vertical="center"/>
    </xf>
    <xf numFmtId="0" fontId="39" fillId="7" borderId="302" xfId="2" quotePrefix="1" applyNumberFormat="1" applyFont="1" applyFill="1" applyBorder="1" applyAlignment="1">
      <alignment horizontal="left" vertical="top" wrapText="1"/>
    </xf>
    <xf numFmtId="0" fontId="89" fillId="7" borderId="303" xfId="0" applyFont="1" applyFill="1" applyBorder="1" applyAlignment="1">
      <alignment horizontal="right" vertical="top" wrapText="1"/>
    </xf>
    <xf numFmtId="167" fontId="39" fillId="48" borderId="304" xfId="2" applyNumberFormat="1" applyFont="1" applyFill="1" applyBorder="1" applyAlignment="1" applyProtection="1">
      <alignment vertical="top"/>
      <protection locked="0"/>
    </xf>
    <xf numFmtId="167" fontId="39" fillId="3" borderId="298" xfId="2" applyNumberFormat="1" applyFont="1" applyFill="1" applyBorder="1" applyAlignment="1" applyProtection="1">
      <alignment vertical="center"/>
    </xf>
    <xf numFmtId="167" fontId="39" fillId="3" borderId="295" xfId="2" applyNumberFormat="1" applyFont="1" applyFill="1" applyBorder="1" applyAlignment="1" applyProtection="1">
      <alignment vertical="center"/>
    </xf>
    <xf numFmtId="0" fontId="0" fillId="0" borderId="0" xfId="0" applyAlignment="1">
      <alignment horizontal="right" vertical="top"/>
    </xf>
    <xf numFmtId="0" fontId="0" fillId="9" borderId="20" xfId="0" applyFill="1" applyBorder="1" applyAlignment="1">
      <alignment vertical="top"/>
    </xf>
    <xf numFmtId="0" fontId="0" fillId="9" borderId="0" xfId="0" applyFill="1" applyAlignment="1">
      <alignment vertical="top"/>
    </xf>
    <xf numFmtId="0" fontId="46" fillId="17" borderId="11" xfId="6" applyFont="1" applyFill="1" applyBorder="1" applyAlignment="1" applyProtection="1">
      <alignment horizontal="center" vertical="center"/>
      <protection locked="0"/>
    </xf>
    <xf numFmtId="0" fontId="48" fillId="17" borderId="14" xfId="0" applyFont="1" applyFill="1" applyBorder="1" applyAlignment="1">
      <alignment vertical="top" wrapText="1"/>
    </xf>
    <xf numFmtId="169" fontId="3" fillId="4" borderId="19" xfId="4" applyNumberFormat="1" applyFont="1" applyFill="1" applyBorder="1" applyAlignment="1" applyProtection="1">
      <alignment vertical="center"/>
    </xf>
    <xf numFmtId="0" fontId="38" fillId="25" borderId="0" xfId="0" applyFont="1" applyFill="1" applyBorder="1" applyAlignment="1" applyProtection="1">
      <alignment vertical="top"/>
    </xf>
    <xf numFmtId="2" fontId="0" fillId="0" borderId="0" xfId="0" applyNumberFormat="1" applyAlignment="1">
      <alignment vertical="top"/>
    </xf>
    <xf numFmtId="0" fontId="5" fillId="61" borderId="0" xfId="0" applyFont="1" applyFill="1" applyAlignment="1">
      <alignment vertical="top"/>
    </xf>
    <xf numFmtId="0" fontId="33" fillId="61" borderId="0" xfId="0" applyFont="1" applyFill="1" applyAlignment="1">
      <alignment horizontal="left" vertical="top"/>
    </xf>
    <xf numFmtId="0" fontId="29" fillId="61" borderId="0" xfId="0" applyFont="1" applyFill="1" applyBorder="1" applyAlignment="1">
      <alignment horizontal="left" vertical="top"/>
    </xf>
    <xf numFmtId="0" fontId="29" fillId="61" borderId="0" xfId="0" applyFont="1" applyFill="1" applyBorder="1" applyAlignment="1">
      <alignment vertical="top"/>
    </xf>
    <xf numFmtId="0" fontId="0" fillId="61" borderId="0" xfId="0" applyFill="1" applyAlignment="1">
      <alignment vertical="top"/>
    </xf>
    <xf numFmtId="3" fontId="0" fillId="0" borderId="0" xfId="0" applyNumberFormat="1" applyFill="1" applyAlignment="1">
      <alignment vertical="top"/>
    </xf>
    <xf numFmtId="0" fontId="5" fillId="0" borderId="0" xfId="0" applyFont="1" applyAlignment="1">
      <alignment horizontal="right" vertical="top"/>
    </xf>
    <xf numFmtId="166" fontId="0" fillId="0" borderId="0" xfId="0" applyNumberFormat="1" applyAlignment="1">
      <alignment vertical="top"/>
    </xf>
    <xf numFmtId="169" fontId="16" fillId="63" borderId="66" xfId="4" applyNumberFormat="1" applyFont="1" applyFill="1" applyBorder="1" applyAlignment="1">
      <alignment vertical="top"/>
    </xf>
    <xf numFmtId="0" fontId="5" fillId="0" borderId="0" xfId="0" applyFont="1" applyAlignment="1">
      <alignment horizontal="left" vertical="top"/>
    </xf>
    <xf numFmtId="43" fontId="16" fillId="63" borderId="0" xfId="4" applyFont="1" applyFill="1" applyBorder="1" applyAlignment="1">
      <alignment vertical="top"/>
    </xf>
    <xf numFmtId="169" fontId="0" fillId="0" borderId="0" xfId="0" applyNumberFormat="1" applyAlignment="1">
      <alignment vertical="top"/>
    </xf>
    <xf numFmtId="9" fontId="53" fillId="48" borderId="511" xfId="5" applyFont="1" applyFill="1" applyBorder="1" applyAlignment="1" applyProtection="1">
      <alignment horizontal="center" vertical="center" wrapText="1"/>
      <protection locked="0"/>
    </xf>
    <xf numFmtId="9" fontId="53" fillId="48" borderId="512" xfId="5" applyFont="1" applyFill="1" applyBorder="1" applyAlignment="1" applyProtection="1">
      <alignment horizontal="center" vertical="center" wrapText="1"/>
      <protection locked="0"/>
    </xf>
    <xf numFmtId="9" fontId="53" fillId="48" borderId="513" xfId="5" applyFont="1" applyFill="1" applyBorder="1" applyAlignment="1" applyProtection="1">
      <alignment horizontal="center" vertical="center" wrapText="1"/>
      <protection locked="0"/>
    </xf>
    <xf numFmtId="0" fontId="25" fillId="7" borderId="370" xfId="0" applyFont="1" applyFill="1" applyBorder="1" applyAlignment="1" applyProtection="1">
      <alignment horizontal="left" indent="3"/>
    </xf>
    <xf numFmtId="0" fontId="0" fillId="7" borderId="371" xfId="0" applyFill="1" applyBorder="1" applyProtection="1"/>
    <xf numFmtId="0" fontId="0" fillId="7" borderId="514" xfId="0" applyFill="1" applyBorder="1" applyProtection="1"/>
    <xf numFmtId="0" fontId="103" fillId="25" borderId="111" xfId="1" applyFont="1" applyFill="1" applyBorder="1" applyAlignment="1" applyProtection="1">
      <alignment horizontal="left" vertical="center"/>
    </xf>
    <xf numFmtId="0" fontId="104" fillId="25" borderId="95" xfId="1" applyFont="1" applyFill="1" applyBorder="1" applyAlignment="1" applyProtection="1">
      <alignment horizontal="right" vertical="center"/>
    </xf>
    <xf numFmtId="0" fontId="304" fillId="25" borderId="0" xfId="0" applyFont="1" applyFill="1"/>
    <xf numFmtId="0" fontId="0" fillId="0" borderId="0" xfId="0" applyNumberFormat="1" applyProtection="1"/>
    <xf numFmtId="9" fontId="0" fillId="0" borderId="0" xfId="5" applyNumberFormat="1" applyFont="1" applyFill="1" applyBorder="1" applyProtection="1"/>
    <xf numFmtId="1" fontId="0" fillId="0" borderId="50" xfId="4" applyNumberFormat="1" applyFont="1" applyFill="1" applyBorder="1" applyProtection="1"/>
    <xf numFmtId="1" fontId="0" fillId="0" borderId="18" xfId="4" applyNumberFormat="1" applyFont="1" applyFill="1" applyBorder="1" applyAlignment="1" applyProtection="1"/>
    <xf numFmtId="1" fontId="0" fillId="0" borderId="0" xfId="5" applyNumberFormat="1" applyFont="1" applyFill="1" applyBorder="1" applyProtection="1"/>
    <xf numFmtId="0" fontId="0" fillId="0" borderId="0" xfId="5" applyNumberFormat="1" applyFont="1" applyFill="1" applyBorder="1" applyProtection="1"/>
    <xf numFmtId="2" fontId="0" fillId="0" borderId="0" xfId="5" applyNumberFormat="1" applyFont="1" applyFill="1" applyBorder="1" applyProtection="1"/>
    <xf numFmtId="0" fontId="6" fillId="64" borderId="0" xfId="0" applyFont="1" applyFill="1" applyBorder="1" applyProtection="1"/>
    <xf numFmtId="0" fontId="10" fillId="25" borderId="0" xfId="0" applyFont="1" applyFill="1" applyBorder="1" applyAlignment="1" applyProtection="1">
      <alignment horizontal="center" vertical="center" wrapText="1"/>
    </xf>
    <xf numFmtId="0" fontId="0" fillId="65" borderId="0" xfId="0" applyFill="1" applyProtection="1"/>
    <xf numFmtId="0" fontId="50" fillId="4" borderId="0" xfId="0" applyFont="1" applyFill="1" applyBorder="1" applyProtection="1"/>
    <xf numFmtId="1" fontId="16" fillId="8" borderId="18" xfId="4" quotePrefix="1" applyNumberFormat="1" applyFont="1" applyFill="1" applyBorder="1" applyAlignment="1" applyProtection="1">
      <alignment horizontal="center" vertical="center"/>
    </xf>
    <xf numFmtId="0" fontId="223" fillId="26" borderId="90" xfId="0" applyFont="1" applyFill="1" applyBorder="1" applyAlignment="1" applyProtection="1"/>
    <xf numFmtId="0" fontId="305" fillId="26" borderId="90" xfId="0" applyFont="1" applyFill="1" applyBorder="1" applyAlignment="1" applyProtection="1"/>
    <xf numFmtId="0" fontId="247" fillId="25" borderId="0" xfId="0" applyFont="1" applyFill="1" applyBorder="1" applyAlignment="1" applyProtection="1">
      <alignment vertical="center"/>
    </xf>
    <xf numFmtId="0" fontId="306" fillId="25" borderId="0" xfId="0" applyFont="1" applyFill="1" applyAlignment="1" applyProtection="1"/>
    <xf numFmtId="0" fontId="306" fillId="25" borderId="0" xfId="0" applyFont="1" applyFill="1"/>
    <xf numFmtId="0" fontId="248" fillId="25" borderId="0" xfId="0" applyFont="1" applyFill="1" applyBorder="1" applyAlignment="1" applyProtection="1">
      <alignment vertical="center"/>
    </xf>
    <xf numFmtId="0" fontId="306" fillId="25" borderId="0" xfId="0" applyFont="1" applyFill="1" applyProtection="1"/>
    <xf numFmtId="0" fontId="306" fillId="25" borderId="0" xfId="0" applyFont="1" applyFill="1" applyAlignment="1" applyProtection="1">
      <alignment vertical="center"/>
    </xf>
    <xf numFmtId="0" fontId="306" fillId="25" borderId="0" xfId="0" applyFont="1" applyFill="1" applyAlignment="1" applyProtection="1">
      <alignment horizontal="right"/>
    </xf>
    <xf numFmtId="0" fontId="0" fillId="3" borderId="0" xfId="0" applyFill="1" applyProtection="1"/>
    <xf numFmtId="0" fontId="0" fillId="3" borderId="0" xfId="0" applyFill="1" applyAlignment="1" applyProtection="1">
      <alignment wrapText="1"/>
    </xf>
    <xf numFmtId="0" fontId="0" fillId="3" borderId="0" xfId="0" applyFill="1"/>
    <xf numFmtId="0" fontId="0" fillId="3" borderId="0" xfId="0" applyFill="1" applyAlignment="1" applyProtection="1"/>
    <xf numFmtId="0" fontId="0" fillId="3" borderId="0" xfId="0" applyFill="1" applyAlignment="1"/>
    <xf numFmtId="0" fontId="0" fillId="3" borderId="0" xfId="0" applyFill="1" applyAlignment="1" applyProtection="1">
      <alignment horizontal="center"/>
    </xf>
    <xf numFmtId="0" fontId="0" fillId="3" borderId="0" xfId="0" applyFill="1" applyAlignment="1">
      <alignment horizontal="center"/>
    </xf>
    <xf numFmtId="0" fontId="5" fillId="63" borderId="274" xfId="0" applyFont="1" applyFill="1" applyBorder="1" applyAlignment="1">
      <alignment vertical="top" wrapText="1"/>
    </xf>
    <xf numFmtId="0" fontId="16" fillId="63" borderId="12" xfId="0" applyFont="1" applyFill="1" applyBorder="1" applyAlignment="1">
      <alignment horizontal="left"/>
    </xf>
    <xf numFmtId="0" fontId="16" fillId="63" borderId="12" xfId="0" applyFont="1" applyFill="1" applyBorder="1"/>
    <xf numFmtId="0" fontId="57" fillId="63" borderId="265" xfId="0" applyFont="1" applyFill="1" applyBorder="1" applyAlignment="1">
      <alignment horizontal="left" vertical="top"/>
    </xf>
    <xf numFmtId="167" fontId="16" fillId="63" borderId="0" xfId="2" applyNumberFormat="1" applyFont="1" applyFill="1" applyBorder="1" applyAlignment="1">
      <alignment vertical="top"/>
    </xf>
    <xf numFmtId="43" fontId="16" fillId="63" borderId="0" xfId="2" applyFont="1" applyFill="1" applyBorder="1" applyAlignment="1">
      <alignment vertical="top"/>
    </xf>
    <xf numFmtId="43" fontId="16" fillId="63" borderId="40" xfId="2" applyFont="1" applyFill="1" applyBorder="1" applyAlignment="1">
      <alignment vertical="top"/>
    </xf>
    <xf numFmtId="0" fontId="57" fillId="63" borderId="0" xfId="0" applyFont="1" applyFill="1" applyBorder="1" applyAlignment="1">
      <alignment horizontal="left" vertical="top" wrapText="1"/>
    </xf>
    <xf numFmtId="43" fontId="11" fillId="63" borderId="19" xfId="2" applyFont="1" applyFill="1" applyBorder="1" applyAlignment="1">
      <alignment vertical="top"/>
    </xf>
    <xf numFmtId="0" fontId="5" fillId="63" borderId="12" xfId="0" applyFont="1" applyFill="1" applyBorder="1" applyAlignment="1">
      <alignment vertical="top" wrapText="1"/>
    </xf>
    <xf numFmtId="0" fontId="133" fillId="2" borderId="298" xfId="0" applyFont="1" applyFill="1" applyBorder="1" applyAlignment="1" applyProtection="1">
      <alignment vertical="center" wrapText="1"/>
    </xf>
    <xf numFmtId="0" fontId="133" fillId="2" borderId="305" xfId="0" applyFont="1" applyFill="1" applyBorder="1" applyAlignment="1" applyProtection="1">
      <alignment vertical="center" wrapText="1"/>
    </xf>
    <xf numFmtId="0" fontId="133" fillId="2" borderId="295" xfId="0" applyFont="1" applyFill="1" applyBorder="1" applyAlignment="1" applyProtection="1">
      <alignment vertical="center" wrapText="1"/>
    </xf>
    <xf numFmtId="0" fontId="133" fillId="2" borderId="0" xfId="0" applyFont="1" applyFill="1" applyBorder="1" applyAlignment="1" applyProtection="1">
      <alignment vertical="top" wrapText="1"/>
    </xf>
    <xf numFmtId="0" fontId="83" fillId="25" borderId="0" xfId="0" applyFont="1" applyFill="1" applyBorder="1" applyAlignment="1" applyProtection="1">
      <alignment vertical="center"/>
    </xf>
    <xf numFmtId="0" fontId="140" fillId="25" borderId="93" xfId="0" applyFont="1" applyFill="1" applyBorder="1" applyAlignment="1">
      <alignment horizontal="right" vertical="center"/>
    </xf>
    <xf numFmtId="0" fontId="168" fillId="2" borderId="0" xfId="0" applyFont="1" applyFill="1" applyBorder="1" applyAlignment="1" applyProtection="1">
      <alignment vertical="center"/>
    </xf>
    <xf numFmtId="0" fontId="133" fillId="2" borderId="340" xfId="0" applyFont="1" applyFill="1" applyBorder="1" applyAlignment="1" applyProtection="1">
      <alignment vertical="top" wrapText="1"/>
    </xf>
    <xf numFmtId="0" fontId="133" fillId="2" borderId="337" xfId="0" applyFont="1" applyFill="1" applyBorder="1" applyAlignment="1" applyProtection="1">
      <alignment vertical="top" wrapText="1"/>
    </xf>
    <xf numFmtId="0" fontId="133" fillId="2" borderId="342" xfId="0" applyFont="1" applyFill="1" applyBorder="1" applyAlignment="1" applyProtection="1">
      <alignment vertical="top" wrapText="1"/>
    </xf>
    <xf numFmtId="0" fontId="133" fillId="2" borderId="0" xfId="0" applyFont="1" applyFill="1" applyBorder="1" applyAlignment="1" applyProtection="1">
      <alignment wrapText="1"/>
    </xf>
    <xf numFmtId="0" fontId="135" fillId="2" borderId="0" xfId="1" applyFont="1" applyFill="1" applyBorder="1" applyAlignment="1" applyProtection="1">
      <alignment horizontal="left" vertical="center" wrapText="1"/>
    </xf>
    <xf numFmtId="0" fontId="104" fillId="25" borderId="95" xfId="1" applyFont="1" applyFill="1" applyBorder="1" applyAlignment="1" applyProtection="1">
      <alignment horizontal="center" vertical="center"/>
    </xf>
    <xf numFmtId="0" fontId="108" fillId="2" borderId="90" xfId="0" applyFont="1" applyFill="1" applyBorder="1" applyAlignment="1" applyProtection="1">
      <alignment horizontal="left"/>
    </xf>
    <xf numFmtId="0" fontId="108" fillId="2" borderId="0" xfId="0" applyFont="1" applyFill="1" applyBorder="1" applyAlignment="1" applyProtection="1">
      <alignment horizontal="left" vertical="center" wrapText="1"/>
    </xf>
    <xf numFmtId="0" fontId="109" fillId="25" borderId="95" xfId="1" applyFont="1" applyFill="1" applyBorder="1" applyAlignment="1" applyProtection="1">
      <alignment vertical="center"/>
    </xf>
    <xf numFmtId="0" fontId="109" fillId="25" borderId="96" xfId="1" applyFont="1" applyFill="1" applyBorder="1" applyAlignment="1" applyProtection="1">
      <alignment vertical="center"/>
    </xf>
    <xf numFmtId="167" fontId="0" fillId="4" borderId="0" xfId="0" applyNumberFormat="1" applyFill="1" applyBorder="1" applyAlignment="1">
      <alignment horizontal="center" vertical="top"/>
    </xf>
    <xf numFmtId="0" fontId="108" fillId="2" borderId="90" xfId="0" applyFont="1" applyFill="1" applyBorder="1" applyAlignment="1" applyProtection="1">
      <alignment horizontal="left" vertical="center" wrapText="1"/>
    </xf>
    <xf numFmtId="0" fontId="135" fillId="2" borderId="90" xfId="1" applyFont="1" applyFill="1" applyBorder="1" applyAlignment="1" applyProtection="1">
      <alignment vertical="center" wrapText="1"/>
    </xf>
    <xf numFmtId="167" fontId="39" fillId="66" borderId="0" xfId="4" applyNumberFormat="1" applyFont="1" applyFill="1" applyAlignment="1">
      <alignment vertical="top"/>
    </xf>
    <xf numFmtId="167" fontId="6" fillId="66" borderId="0" xfId="4" applyNumberFormat="1" applyFont="1" applyFill="1" applyAlignment="1">
      <alignment vertical="top"/>
    </xf>
    <xf numFmtId="167" fontId="16" fillId="63" borderId="40" xfId="2" applyNumberFormat="1" applyFont="1" applyFill="1" applyBorder="1" applyAlignment="1">
      <alignment vertical="top"/>
    </xf>
    <xf numFmtId="3" fontId="0" fillId="4" borderId="0" xfId="0" applyNumberFormat="1" applyFill="1" applyAlignment="1">
      <alignment vertical="top"/>
    </xf>
    <xf numFmtId="169" fontId="0" fillId="4" borderId="0" xfId="0" applyNumberFormat="1" applyFill="1" applyAlignment="1">
      <alignment vertical="top"/>
    </xf>
    <xf numFmtId="0" fontId="18" fillId="0" borderId="0" xfId="0" applyFont="1" applyFill="1" applyAlignment="1">
      <alignment vertical="top"/>
    </xf>
    <xf numFmtId="0" fontId="50" fillId="4" borderId="0" xfId="0" applyFont="1" applyFill="1" applyAlignment="1">
      <alignment horizontal="right" vertical="top"/>
    </xf>
    <xf numFmtId="0" fontId="18" fillId="0" borderId="0" xfId="0" applyFont="1" applyFill="1" applyAlignment="1">
      <alignment horizontal="right" vertical="top"/>
    </xf>
    <xf numFmtId="167" fontId="50" fillId="4" borderId="0" xfId="0" applyNumberFormat="1" applyFont="1" applyFill="1" applyAlignment="1">
      <alignment vertical="top"/>
    </xf>
    <xf numFmtId="0" fontId="18" fillId="4" borderId="0" xfId="0" applyFont="1" applyFill="1" applyAlignment="1">
      <alignment horizontal="right" vertical="top"/>
    </xf>
    <xf numFmtId="0" fontId="18" fillId="4" borderId="0" xfId="0" applyFont="1" applyFill="1" applyAlignment="1">
      <alignment vertical="top"/>
    </xf>
    <xf numFmtId="0" fontId="310" fillId="4" borderId="0" xfId="0" applyFont="1" applyFill="1" applyAlignment="1">
      <alignment vertical="top"/>
    </xf>
    <xf numFmtId="0" fontId="194" fillId="26" borderId="90" xfId="0" applyFont="1" applyFill="1" applyBorder="1" applyAlignment="1" applyProtection="1">
      <alignment horizontal="left"/>
    </xf>
    <xf numFmtId="0" fontId="7" fillId="6" borderId="0" xfId="0" applyFont="1" applyFill="1" applyBorder="1" applyAlignment="1" applyProtection="1">
      <alignment horizontal="center" vertical="center"/>
    </xf>
    <xf numFmtId="0" fontId="109" fillId="26" borderId="0" xfId="1" applyFont="1" applyFill="1" applyBorder="1" applyAlignment="1" applyProtection="1">
      <alignment horizontal="center" vertical="center"/>
    </xf>
    <xf numFmtId="0" fontId="111" fillId="7" borderId="0" xfId="0" applyFont="1" applyFill="1" applyBorder="1" applyAlignment="1" applyProtection="1">
      <alignment horizontal="center" vertical="center"/>
    </xf>
    <xf numFmtId="0" fontId="104" fillId="26" borderId="0" xfId="1" applyFont="1" applyFill="1" applyBorder="1" applyAlignment="1" applyProtection="1">
      <alignment horizontal="center" vertical="center"/>
    </xf>
    <xf numFmtId="0" fontId="4" fillId="5" borderId="0" xfId="0" applyFont="1" applyFill="1" applyBorder="1" applyAlignment="1" applyProtection="1">
      <alignment horizontal="center" vertical="top" wrapText="1"/>
    </xf>
    <xf numFmtId="0" fontId="24" fillId="48" borderId="13" xfId="0" applyFont="1" applyFill="1" applyBorder="1" applyAlignment="1" applyProtection="1">
      <alignment horizontal="left" indent="2"/>
      <protection locked="0"/>
    </xf>
    <xf numFmtId="0" fontId="24" fillId="48" borderId="15" xfId="0" applyFont="1" applyFill="1" applyBorder="1" applyAlignment="1" applyProtection="1">
      <alignment horizontal="left" indent="2"/>
      <protection locked="0"/>
    </xf>
    <xf numFmtId="167" fontId="39" fillId="48" borderId="12" xfId="2" applyNumberFormat="1" applyFont="1" applyFill="1" applyBorder="1" applyAlignment="1" applyProtection="1">
      <alignment vertical="top"/>
      <protection locked="0"/>
    </xf>
    <xf numFmtId="167" fontId="0" fillId="48" borderId="304" xfId="2" applyNumberFormat="1" applyFont="1" applyFill="1" applyBorder="1" applyAlignment="1" applyProtection="1">
      <alignment vertical="center"/>
      <protection locked="0"/>
    </xf>
    <xf numFmtId="43" fontId="33" fillId="67" borderId="12" xfId="2" applyFont="1" applyFill="1" applyBorder="1" applyAlignment="1" applyProtection="1">
      <alignment vertical="top"/>
    </xf>
    <xf numFmtId="0" fontId="311" fillId="4" borderId="0" xfId="0" applyFont="1" applyFill="1" applyBorder="1"/>
    <xf numFmtId="167" fontId="128" fillId="0" borderId="15" xfId="2" applyNumberFormat="1" applyFont="1" applyFill="1" applyBorder="1" applyAlignment="1" applyProtection="1">
      <alignment vertical="top" wrapText="1"/>
    </xf>
    <xf numFmtId="43" fontId="128" fillId="67" borderId="15" xfId="2" applyFont="1" applyFill="1" applyBorder="1" applyAlignment="1" applyProtection="1">
      <alignment vertical="top" wrapText="1"/>
    </xf>
    <xf numFmtId="43" fontId="16" fillId="68" borderId="19" xfId="2" applyFont="1" applyFill="1" applyBorder="1" applyAlignment="1" applyProtection="1">
      <alignment vertical="top"/>
    </xf>
    <xf numFmtId="43" fontId="33" fillId="68" borderId="19" xfId="2" applyFont="1" applyFill="1" applyBorder="1" applyAlignment="1" applyProtection="1">
      <alignment vertical="top"/>
    </xf>
    <xf numFmtId="43" fontId="33" fillId="68" borderId="12" xfId="2" applyFont="1" applyFill="1" applyBorder="1" applyAlignment="1" applyProtection="1">
      <alignment vertical="top"/>
    </xf>
    <xf numFmtId="43" fontId="3" fillId="65" borderId="12" xfId="2" applyFont="1" applyFill="1" applyBorder="1" applyAlignment="1" applyProtection="1">
      <alignment vertical="top"/>
    </xf>
    <xf numFmtId="43" fontId="0" fillId="65" borderId="12" xfId="2" applyFont="1" applyFill="1" applyBorder="1" applyAlignment="1" applyProtection="1">
      <alignment vertical="top"/>
    </xf>
    <xf numFmtId="0" fontId="0" fillId="7" borderId="362" xfId="0" applyFill="1" applyBorder="1" applyAlignment="1">
      <alignment horizontal="left" vertical="center" indent="1"/>
    </xf>
    <xf numFmtId="167" fontId="16" fillId="48" borderId="40" xfId="4" applyNumberFormat="1" applyFont="1" applyFill="1" applyBorder="1" applyAlignment="1" applyProtection="1">
      <alignment horizontal="right" vertical="center" indent="1"/>
      <protection locked="0"/>
    </xf>
    <xf numFmtId="43" fontId="16" fillId="68" borderId="12" xfId="2" applyFont="1" applyFill="1" applyBorder="1" applyAlignment="1" applyProtection="1">
      <alignment vertical="top"/>
    </xf>
    <xf numFmtId="0" fontId="0" fillId="48" borderId="314" xfId="2" applyNumberFormat="1" applyFont="1" applyFill="1" applyBorder="1" applyAlignment="1" applyProtection="1">
      <alignment vertical="center"/>
      <protection locked="0"/>
    </xf>
    <xf numFmtId="167" fontId="0" fillId="48" borderId="328" xfId="4" applyNumberFormat="1" applyFont="1" applyFill="1" applyBorder="1" applyAlignment="1" applyProtection="1">
      <alignment vertical="top"/>
      <protection locked="0"/>
    </xf>
    <xf numFmtId="167" fontId="0" fillId="48" borderId="15" xfId="4" applyNumberFormat="1" applyFont="1" applyFill="1" applyBorder="1" applyAlignment="1" applyProtection="1">
      <alignment vertical="top"/>
      <protection locked="0"/>
    </xf>
    <xf numFmtId="167" fontId="0" fillId="48" borderId="40" xfId="4" applyNumberFormat="1" applyFont="1" applyFill="1" applyBorder="1" applyAlignment="1" applyProtection="1">
      <alignment vertical="top"/>
      <protection locked="0"/>
    </xf>
    <xf numFmtId="167" fontId="0" fillId="48" borderId="57" xfId="4" applyNumberFormat="1" applyFont="1" applyFill="1" applyBorder="1" applyAlignment="1" applyProtection="1">
      <alignment vertical="top"/>
      <protection locked="0"/>
    </xf>
    <xf numFmtId="167" fontId="3" fillId="48" borderId="341" xfId="2" applyNumberFormat="1" applyFont="1" applyFill="1" applyBorder="1" applyAlignment="1" applyProtection="1">
      <alignment vertical="top"/>
      <protection locked="0"/>
    </xf>
    <xf numFmtId="167" fontId="0" fillId="48" borderId="341" xfId="4" applyNumberFormat="1" applyFont="1" applyFill="1" applyBorder="1" applyAlignment="1" applyProtection="1">
      <alignment vertical="top"/>
      <protection locked="0"/>
    </xf>
    <xf numFmtId="43" fontId="128" fillId="67" borderId="12" xfId="2" applyFont="1" applyFill="1" applyBorder="1" applyAlignment="1" applyProtection="1">
      <alignment vertical="top" wrapText="1"/>
    </xf>
    <xf numFmtId="167" fontId="0" fillId="48" borderId="324" xfId="2" applyNumberFormat="1" applyFont="1" applyFill="1" applyBorder="1" applyAlignment="1" applyProtection="1">
      <alignment vertical="center"/>
      <protection locked="0"/>
    </xf>
    <xf numFmtId="43" fontId="16" fillId="67" borderId="12" xfId="2" applyFont="1" applyFill="1" applyBorder="1" applyAlignment="1" applyProtection="1">
      <alignment vertical="top"/>
    </xf>
    <xf numFmtId="167" fontId="0" fillId="48" borderId="366" xfId="4" applyNumberFormat="1" applyFont="1" applyFill="1" applyBorder="1" applyAlignment="1" applyProtection="1">
      <alignment vertical="top"/>
      <protection locked="0"/>
    </xf>
    <xf numFmtId="43" fontId="16" fillId="67" borderId="12" xfId="2" applyNumberFormat="1" applyFont="1" applyFill="1" applyBorder="1" applyAlignment="1">
      <alignment vertical="top"/>
    </xf>
    <xf numFmtId="43" fontId="11" fillId="67" borderId="12" xfId="2" applyNumberFormat="1" applyFont="1" applyFill="1" applyBorder="1" applyAlignment="1">
      <alignment vertical="top"/>
    </xf>
    <xf numFmtId="43" fontId="3" fillId="67" borderId="12" xfId="4" applyNumberFormat="1" applyFont="1" applyFill="1" applyBorder="1" applyAlignment="1">
      <alignment vertical="top"/>
    </xf>
    <xf numFmtId="43" fontId="3" fillId="67" borderId="12" xfId="4" applyFont="1" applyFill="1" applyBorder="1" applyAlignment="1">
      <alignment vertical="top"/>
    </xf>
    <xf numFmtId="0" fontId="19" fillId="17" borderId="37" xfId="0" applyFont="1" applyFill="1" applyBorder="1" applyAlignment="1">
      <alignment vertical="top"/>
    </xf>
    <xf numFmtId="0" fontId="261" fillId="10" borderId="515" xfId="1" applyFont="1" applyFill="1" applyBorder="1" applyAlignment="1" applyProtection="1">
      <alignment horizontal="center" vertical="center" wrapText="1"/>
    </xf>
    <xf numFmtId="167" fontId="0" fillId="48" borderId="291" xfId="2" applyNumberFormat="1" applyFont="1" applyFill="1" applyBorder="1" applyAlignment="1" applyProtection="1">
      <alignment vertical="center"/>
      <protection locked="0"/>
    </xf>
    <xf numFmtId="167" fontId="0" fillId="48" borderId="290" xfId="4" applyNumberFormat="1" applyFont="1" applyFill="1" applyBorder="1" applyProtection="1">
      <protection locked="0"/>
    </xf>
    <xf numFmtId="167" fontId="0" fillId="48" borderId="291" xfId="4" applyNumberFormat="1" applyFont="1" applyFill="1" applyBorder="1" applyProtection="1">
      <protection locked="0"/>
    </xf>
    <xf numFmtId="167" fontId="16" fillId="48" borderId="324" xfId="4" applyNumberFormat="1" applyFont="1" applyFill="1" applyBorder="1" applyProtection="1">
      <protection locked="0"/>
    </xf>
    <xf numFmtId="0" fontId="21" fillId="67" borderId="0" xfId="0" applyFont="1" applyFill="1" applyBorder="1" applyAlignment="1">
      <alignment horizontal="left" vertical="top"/>
    </xf>
    <xf numFmtId="0" fontId="21" fillId="67" borderId="66" xfId="0" applyFont="1" applyFill="1" applyBorder="1" applyAlignment="1">
      <alignment horizontal="left" vertical="top"/>
    </xf>
    <xf numFmtId="167" fontId="33" fillId="67" borderId="43" xfId="4" applyNumberFormat="1" applyFont="1" applyFill="1" applyBorder="1" applyAlignment="1">
      <alignment horizontal="left" indent="4"/>
    </xf>
    <xf numFmtId="167" fontId="33" fillId="67" borderId="36" xfId="4" applyNumberFormat="1" applyFont="1" applyFill="1" applyBorder="1" applyAlignment="1">
      <alignment horizontal="left" indent="4"/>
    </xf>
    <xf numFmtId="167" fontId="85" fillId="67" borderId="0" xfId="4" applyNumberFormat="1" applyFont="1" applyFill="1" applyBorder="1" applyAlignment="1">
      <alignment horizontal="left" vertical="top"/>
    </xf>
    <xf numFmtId="167" fontId="0" fillId="48" borderId="15" xfId="4" applyNumberFormat="1" applyFont="1" applyFill="1" applyBorder="1" applyProtection="1">
      <protection locked="0"/>
    </xf>
    <xf numFmtId="3" fontId="32" fillId="67" borderId="0" xfId="0" applyNumberFormat="1" applyFont="1" applyFill="1" applyBorder="1" applyAlignment="1">
      <alignment horizontal="left" vertical="top"/>
    </xf>
    <xf numFmtId="3" fontId="32" fillId="67" borderId="36" xfId="0" applyNumberFormat="1" applyFont="1" applyFill="1" applyBorder="1" applyAlignment="1">
      <alignment horizontal="left" vertical="top"/>
    </xf>
    <xf numFmtId="0" fontId="85" fillId="67" borderId="114" xfId="0" applyFont="1" applyFill="1" applyBorder="1" applyAlignment="1">
      <alignment horizontal="left"/>
    </xf>
    <xf numFmtId="167" fontId="33" fillId="67" borderId="0" xfId="4" applyNumberFormat="1" applyFont="1" applyFill="1" applyBorder="1" applyAlignment="1">
      <alignment horizontal="left" indent="4"/>
    </xf>
    <xf numFmtId="167" fontId="0" fillId="48" borderId="314" xfId="2" applyNumberFormat="1" applyFont="1" applyFill="1" applyBorder="1" applyAlignment="1" applyProtection="1">
      <alignment vertical="top"/>
      <protection locked="0"/>
    </xf>
    <xf numFmtId="167" fontId="33" fillId="67" borderId="36" xfId="4" applyNumberFormat="1" applyFont="1" applyFill="1" applyBorder="1" applyAlignment="1">
      <alignment horizontal="left" vertical="top"/>
    </xf>
    <xf numFmtId="43" fontId="16" fillId="0" borderId="43" xfId="0" applyNumberFormat="1" applyFont="1" applyFill="1" applyBorder="1" applyAlignment="1">
      <alignment vertical="top"/>
    </xf>
    <xf numFmtId="43" fontId="16" fillId="0" borderId="41" xfId="0" applyNumberFormat="1" applyFont="1" applyFill="1" applyBorder="1" applyAlignment="1">
      <alignment vertical="top"/>
    </xf>
    <xf numFmtId="43" fontId="16" fillId="0" borderId="40" xfId="0" applyNumberFormat="1" applyFont="1" applyFill="1" applyBorder="1" applyAlignment="1">
      <alignment vertical="top"/>
    </xf>
    <xf numFmtId="167" fontId="36" fillId="67" borderId="0" xfId="4" applyNumberFormat="1" applyFont="1" applyFill="1" applyBorder="1" applyAlignment="1">
      <alignment horizontal="left" vertical="top"/>
    </xf>
    <xf numFmtId="9" fontId="36" fillId="67" borderId="0" xfId="5" applyFont="1" applyFill="1" applyBorder="1" applyAlignment="1">
      <alignment horizontal="left" vertical="top"/>
    </xf>
    <xf numFmtId="167" fontId="36" fillId="67" borderId="36" xfId="4" applyNumberFormat="1" applyFont="1" applyFill="1" applyBorder="1" applyAlignment="1">
      <alignment horizontal="left" vertical="top"/>
    </xf>
    <xf numFmtId="0" fontId="60" fillId="67" borderId="36" xfId="0" applyFont="1" applyFill="1" applyBorder="1" applyAlignment="1">
      <alignment horizontal="left" vertical="top"/>
    </xf>
    <xf numFmtId="167" fontId="16" fillId="48" borderId="328" xfId="2" applyNumberFormat="1" applyFont="1" applyFill="1" applyBorder="1" applyAlignment="1" applyProtection="1">
      <alignment vertical="top"/>
      <protection locked="0"/>
    </xf>
    <xf numFmtId="0" fontId="60" fillId="67" borderId="0" xfId="0" applyFont="1" applyFill="1" applyBorder="1" applyAlignment="1">
      <alignment horizontal="left" vertical="top"/>
    </xf>
    <xf numFmtId="167" fontId="85" fillId="67" borderId="0" xfId="5" applyNumberFormat="1" applyFont="1" applyFill="1" applyBorder="1" applyAlignment="1">
      <alignment horizontal="left" vertical="top"/>
    </xf>
    <xf numFmtId="167" fontId="85" fillId="67" borderId="36" xfId="5" applyNumberFormat="1" applyFont="1" applyFill="1" applyBorder="1" applyAlignment="1">
      <alignment horizontal="left" vertical="top"/>
    </xf>
    <xf numFmtId="167" fontId="0" fillId="48" borderId="322" xfId="4" applyNumberFormat="1" applyFont="1" applyFill="1" applyBorder="1" applyAlignment="1" applyProtection="1">
      <alignment vertical="center"/>
      <protection locked="0"/>
    </xf>
    <xf numFmtId="167" fontId="0" fillId="48" borderId="354" xfId="4" applyNumberFormat="1" applyFont="1" applyFill="1" applyBorder="1" applyAlignment="1" applyProtection="1">
      <alignment vertical="top"/>
      <protection locked="0"/>
    </xf>
    <xf numFmtId="167" fontId="16" fillId="3" borderId="291" xfId="4" applyNumberFormat="1" applyFont="1" applyFill="1" applyBorder="1" applyAlignment="1">
      <alignment vertical="top"/>
    </xf>
    <xf numFmtId="167" fontId="16" fillId="3" borderId="304" xfId="4" applyNumberFormat="1" applyFont="1" applyFill="1" applyBorder="1" applyAlignment="1">
      <alignment vertical="top"/>
    </xf>
    <xf numFmtId="167" fontId="0" fillId="48" borderId="41" xfId="4" applyNumberFormat="1" applyFont="1" applyFill="1" applyBorder="1" applyAlignment="1" applyProtection="1">
      <alignment vertical="top"/>
      <protection locked="0"/>
    </xf>
    <xf numFmtId="0" fontId="87" fillId="7" borderId="365" xfId="0" quotePrefix="1" applyFont="1" applyFill="1" applyBorder="1" applyAlignment="1">
      <alignment horizontal="right" vertical="top" wrapText="1"/>
    </xf>
    <xf numFmtId="167" fontId="0" fillId="48" borderId="304" xfId="4" applyNumberFormat="1" applyFont="1" applyFill="1" applyBorder="1" applyAlignment="1" applyProtection="1">
      <alignment vertical="center"/>
      <protection locked="0"/>
    </xf>
    <xf numFmtId="167" fontId="3" fillId="48" borderId="304" xfId="4" applyNumberFormat="1" applyFont="1" applyFill="1" applyBorder="1" applyAlignment="1" applyProtection="1">
      <alignment vertical="center"/>
      <protection locked="0"/>
    </xf>
    <xf numFmtId="167" fontId="0" fillId="48" borderId="314" xfId="4" applyNumberFormat="1" applyFont="1" applyFill="1" applyBorder="1" applyProtection="1">
      <protection locked="0"/>
    </xf>
    <xf numFmtId="167" fontId="0" fillId="48" borderId="354" xfId="4" applyNumberFormat="1" applyFont="1" applyFill="1" applyBorder="1" applyProtection="1">
      <protection locked="0"/>
    </xf>
    <xf numFmtId="167" fontId="0" fillId="48" borderId="304" xfId="4" applyNumberFormat="1" applyFont="1" applyFill="1" applyBorder="1" applyProtection="1">
      <protection locked="0"/>
    </xf>
    <xf numFmtId="167" fontId="3" fillId="48" borderId="314" xfId="4" applyNumberFormat="1" applyFont="1" applyFill="1" applyBorder="1" applyAlignment="1" applyProtection="1">
      <alignment vertical="top"/>
      <protection locked="0"/>
    </xf>
    <xf numFmtId="43" fontId="16" fillId="65" borderId="12" xfId="4" applyNumberFormat="1" applyFont="1" applyFill="1" applyBorder="1" applyAlignment="1">
      <alignment vertical="top"/>
    </xf>
    <xf numFmtId="43" fontId="16" fillId="67" borderId="12" xfId="4" applyNumberFormat="1" applyFont="1" applyFill="1" applyBorder="1" applyAlignment="1">
      <alignment vertical="top"/>
    </xf>
    <xf numFmtId="43" fontId="16" fillId="67" borderId="12" xfId="2" applyFont="1" applyFill="1" applyBorder="1" applyAlignment="1">
      <alignment vertical="top"/>
    </xf>
    <xf numFmtId="43" fontId="39" fillId="67" borderId="12" xfId="2" applyNumberFormat="1" applyFont="1" applyFill="1" applyBorder="1" applyAlignment="1">
      <alignment vertical="top"/>
    </xf>
    <xf numFmtId="43" fontId="39" fillId="67" borderId="12" xfId="4" applyNumberFormat="1" applyFont="1" applyFill="1" applyBorder="1" applyAlignment="1">
      <alignment vertical="top"/>
    </xf>
    <xf numFmtId="43" fontId="16" fillId="67" borderId="12" xfId="4" applyFont="1" applyFill="1" applyBorder="1" applyAlignment="1">
      <alignment vertical="top"/>
    </xf>
    <xf numFmtId="169" fontId="16" fillId="67" borderId="66" xfId="4" applyNumberFormat="1" applyFont="1" applyFill="1" applyBorder="1" applyAlignment="1">
      <alignment vertical="top"/>
    </xf>
    <xf numFmtId="43" fontId="16" fillId="67" borderId="36" xfId="4" applyFont="1" applyFill="1" applyBorder="1" applyAlignment="1">
      <alignment vertical="top"/>
    </xf>
    <xf numFmtId="169" fontId="3" fillId="67" borderId="0" xfId="2" applyNumberFormat="1" applyFont="1" applyFill="1" applyBorder="1" applyAlignment="1">
      <alignment vertical="top"/>
    </xf>
    <xf numFmtId="169" fontId="16" fillId="67" borderId="0" xfId="2" applyNumberFormat="1" applyFont="1" applyFill="1" applyBorder="1" applyAlignment="1">
      <alignment vertical="top"/>
    </xf>
    <xf numFmtId="43" fontId="16" fillId="67" borderId="274" xfId="2" applyFont="1" applyFill="1" applyBorder="1" applyAlignment="1">
      <alignment vertical="top"/>
    </xf>
    <xf numFmtId="43" fontId="16" fillId="67" borderId="36" xfId="2" applyFont="1" applyFill="1" applyBorder="1" applyAlignment="1">
      <alignment vertical="top"/>
    </xf>
    <xf numFmtId="167" fontId="11" fillId="67" borderId="12" xfId="4" applyNumberFormat="1" applyFont="1" applyFill="1" applyBorder="1" applyAlignment="1">
      <alignment vertical="top"/>
    </xf>
    <xf numFmtId="43" fontId="11" fillId="67" borderId="12" xfId="4" applyNumberFormat="1" applyFont="1" applyFill="1" applyBorder="1" applyAlignment="1">
      <alignment vertical="top"/>
    </xf>
    <xf numFmtId="167" fontId="16" fillId="67" borderId="12" xfId="2" applyNumberFormat="1" applyFont="1" applyFill="1" applyBorder="1" applyAlignment="1">
      <alignment vertical="top"/>
    </xf>
    <xf numFmtId="43" fontId="5" fillId="67" borderId="12" xfId="0" applyNumberFormat="1" applyFont="1" applyFill="1" applyBorder="1" applyAlignment="1">
      <alignment vertical="top"/>
    </xf>
    <xf numFmtId="167" fontId="33" fillId="67" borderId="12" xfId="0" applyNumberFormat="1" applyFont="1" applyFill="1" applyBorder="1" applyAlignment="1">
      <alignment horizontal="left" vertical="top"/>
    </xf>
    <xf numFmtId="167" fontId="3" fillId="67" borderId="12" xfId="4" applyNumberFormat="1" applyFont="1" applyFill="1" applyBorder="1" applyAlignment="1">
      <alignment vertical="top"/>
    </xf>
    <xf numFmtId="2" fontId="0" fillId="0" borderId="0" xfId="0" applyNumberFormat="1" applyAlignment="1" applyProtection="1">
      <alignment vertical="top"/>
    </xf>
    <xf numFmtId="0" fontId="0" fillId="0" borderId="0" xfId="0" applyFill="1" applyAlignment="1">
      <alignment horizontal="right" vertical="top"/>
    </xf>
    <xf numFmtId="0" fontId="4" fillId="5" borderId="43" xfId="0" applyFont="1" applyFill="1" applyBorder="1" applyAlignment="1" applyProtection="1">
      <alignment horizontal="center" vertical="center" wrapText="1"/>
    </xf>
    <xf numFmtId="43" fontId="16" fillId="67" borderId="12" xfId="4" applyFont="1" applyFill="1" applyBorder="1" applyAlignment="1" applyProtection="1">
      <alignment vertical="center"/>
    </xf>
    <xf numFmtId="43" fontId="16" fillId="67" borderId="44" xfId="4" applyFont="1" applyFill="1" applyBorder="1" applyAlignment="1" applyProtection="1">
      <alignment vertical="center" wrapText="1"/>
    </xf>
    <xf numFmtId="43" fontId="16" fillId="67" borderId="22" xfId="4" applyFont="1" applyFill="1" applyBorder="1" applyAlignment="1" applyProtection="1">
      <alignment vertical="center"/>
    </xf>
    <xf numFmtId="0" fontId="34" fillId="20" borderId="1" xfId="0" applyFont="1" applyFill="1" applyBorder="1" applyAlignment="1" applyProtection="1">
      <alignment vertical="top"/>
    </xf>
    <xf numFmtId="0" fontId="83" fillId="20" borderId="2" xfId="0" applyFont="1" applyFill="1" applyBorder="1" applyAlignment="1" applyProtection="1">
      <alignment vertical="top"/>
    </xf>
    <xf numFmtId="0" fontId="128" fillId="20" borderId="2" xfId="0" applyFont="1" applyFill="1" applyBorder="1" applyAlignment="1" applyProtection="1">
      <alignment vertical="top" wrapText="1"/>
    </xf>
    <xf numFmtId="0" fontId="0" fillId="20" borderId="2" xfId="0" applyFill="1" applyBorder="1" applyAlignment="1" applyProtection="1">
      <alignment vertical="top"/>
    </xf>
    <xf numFmtId="0" fontId="0" fillId="20" borderId="3" xfId="0" applyFill="1" applyBorder="1" applyAlignment="1" applyProtection="1">
      <alignment vertical="top"/>
    </xf>
    <xf numFmtId="43" fontId="16" fillId="2" borderId="22" xfId="4" applyFont="1" applyFill="1" applyBorder="1" applyAlignment="1" applyProtection="1">
      <alignment vertical="center"/>
    </xf>
    <xf numFmtId="43" fontId="16" fillId="67" borderId="115" xfId="4" applyFont="1" applyFill="1" applyBorder="1" applyAlignment="1" applyProtection="1">
      <alignment vertical="center" wrapText="1"/>
    </xf>
    <xf numFmtId="0" fontId="156" fillId="15" borderId="170" xfId="0" applyFont="1" applyFill="1" applyBorder="1" applyAlignment="1" applyProtection="1">
      <alignment horizontal="right"/>
    </xf>
    <xf numFmtId="0" fontId="104" fillId="26" borderId="0" xfId="1" applyFont="1" applyFill="1" applyBorder="1" applyAlignment="1" applyProtection="1">
      <alignment horizontal="center" vertical="center"/>
    </xf>
    <xf numFmtId="0" fontId="115" fillId="7" borderId="0" xfId="0" applyFont="1" applyFill="1" applyBorder="1" applyAlignment="1" applyProtection="1">
      <alignment horizontal="center" vertical="center"/>
    </xf>
    <xf numFmtId="0" fontId="104" fillId="25" borderId="95" xfId="1" applyFont="1" applyFill="1" applyBorder="1" applyAlignment="1" applyProtection="1">
      <alignment horizontal="center" vertical="center"/>
    </xf>
    <xf numFmtId="0" fontId="144" fillId="26" borderId="90" xfId="0" applyFont="1" applyFill="1" applyBorder="1" applyAlignment="1" applyProtection="1">
      <alignment horizontal="center"/>
    </xf>
    <xf numFmtId="0" fontId="145" fillId="6" borderId="0" xfId="0" applyFont="1" applyFill="1" applyBorder="1" applyAlignment="1" applyProtection="1">
      <alignment horizontal="center" vertical="center"/>
    </xf>
    <xf numFmtId="0" fontId="146" fillId="26" borderId="0" xfId="1" applyFont="1" applyFill="1" applyBorder="1" applyAlignment="1" applyProtection="1">
      <alignment horizontal="center" vertical="center"/>
    </xf>
    <xf numFmtId="0" fontId="0" fillId="48" borderId="12" xfId="0" applyFill="1" applyBorder="1" applyAlignment="1" applyProtection="1">
      <alignment vertical="center"/>
    </xf>
    <xf numFmtId="0" fontId="0" fillId="48" borderId="12" xfId="0" applyFill="1" applyBorder="1" applyAlignment="1" applyProtection="1">
      <alignment vertical="center" wrapText="1"/>
    </xf>
    <xf numFmtId="0" fontId="0" fillId="48" borderId="12" xfId="0" applyFill="1" applyBorder="1" applyAlignment="1" applyProtection="1">
      <alignment vertical="top" wrapText="1"/>
    </xf>
    <xf numFmtId="0" fontId="16" fillId="48" borderId="12" xfId="0" applyFont="1" applyFill="1" applyBorder="1" applyAlignment="1" applyProtection="1">
      <alignment vertical="center" wrapText="1"/>
    </xf>
    <xf numFmtId="0" fontId="16" fillId="48" borderId="12" xfId="0" applyFont="1" applyFill="1" applyBorder="1" applyAlignment="1" applyProtection="1">
      <alignment vertical="center"/>
    </xf>
    <xf numFmtId="0" fontId="16" fillId="48" borderId="17" xfId="0" applyFont="1" applyFill="1" applyBorder="1" applyAlignment="1" applyProtection="1">
      <alignment vertical="center" wrapText="1"/>
    </xf>
    <xf numFmtId="0" fontId="16" fillId="48" borderId="19" xfId="0" applyFont="1" applyFill="1" applyBorder="1" applyAlignment="1" applyProtection="1">
      <alignment horizontal="left" vertical="center" wrapText="1"/>
    </xf>
    <xf numFmtId="0" fontId="16" fillId="48" borderId="16" xfId="0" applyFont="1" applyFill="1" applyBorder="1" applyAlignment="1" applyProtection="1">
      <alignment vertical="center"/>
    </xf>
    <xf numFmtId="0" fontId="16" fillId="48" borderId="18" xfId="0" applyFont="1" applyFill="1" applyBorder="1" applyAlignment="1" applyProtection="1">
      <alignment vertical="center"/>
    </xf>
    <xf numFmtId="0" fontId="16" fillId="48" borderId="195" xfId="0" applyFont="1" applyFill="1" applyBorder="1" applyAlignment="1" applyProtection="1">
      <alignment vertical="center"/>
    </xf>
    <xf numFmtId="0" fontId="16" fillId="48" borderId="12" xfId="0" applyFont="1" applyFill="1" applyBorder="1" applyAlignment="1" applyProtection="1">
      <alignment horizontal="left" vertical="center" wrapText="1"/>
    </xf>
    <xf numFmtId="0" fontId="0" fillId="48" borderId="12" xfId="0" applyFill="1" applyBorder="1" applyAlignment="1" applyProtection="1">
      <alignment horizontal="left" vertical="center" wrapText="1"/>
    </xf>
    <xf numFmtId="0" fontId="0" fillId="48" borderId="19" xfId="0" applyFill="1" applyBorder="1" applyAlignment="1" applyProtection="1">
      <alignment horizontal="left" vertical="center" wrapText="1"/>
    </xf>
    <xf numFmtId="43" fontId="3" fillId="48" borderId="12" xfId="4" applyFont="1" applyFill="1" applyBorder="1" applyAlignment="1" applyProtection="1">
      <alignment horizontal="right"/>
      <protection locked="0"/>
    </xf>
    <xf numFmtId="167" fontId="0" fillId="48" borderId="16" xfId="4" applyNumberFormat="1" applyFont="1" applyFill="1" applyBorder="1" applyAlignment="1" applyProtection="1">
      <alignment vertical="center"/>
      <protection locked="0"/>
    </xf>
    <xf numFmtId="167" fontId="0" fillId="48" borderId="17" xfId="4" applyNumberFormat="1" applyFont="1" applyFill="1" applyBorder="1" applyAlignment="1" applyProtection="1">
      <alignment vertical="center"/>
      <protection locked="0"/>
    </xf>
    <xf numFmtId="0" fontId="4" fillId="5" borderId="16" xfId="0" applyFont="1" applyFill="1" applyBorder="1" applyAlignment="1" applyProtection="1">
      <alignment horizontal="center" vertical="top" wrapText="1"/>
    </xf>
    <xf numFmtId="168" fontId="16" fillId="48" borderId="19" xfId="5" applyNumberFormat="1" applyFont="1" applyFill="1" applyBorder="1" applyAlignment="1" applyProtection="1">
      <alignment vertical="center"/>
      <protection locked="0"/>
    </xf>
    <xf numFmtId="167" fontId="16" fillId="48" borderId="16" xfId="4" applyNumberFormat="1" applyFont="1" applyFill="1" applyBorder="1" applyAlignment="1" applyProtection="1">
      <alignment horizontal="center" vertical="center"/>
      <protection locked="0"/>
    </xf>
    <xf numFmtId="167" fontId="16" fillId="48" borderId="19" xfId="4" applyNumberFormat="1" applyFont="1" applyFill="1" applyBorder="1" applyAlignment="1" applyProtection="1">
      <alignment horizontal="center" vertical="center"/>
      <protection locked="0"/>
    </xf>
    <xf numFmtId="43" fontId="16" fillId="48" borderId="17" xfId="4" applyFont="1" applyFill="1" applyBorder="1" applyAlignment="1" applyProtection="1">
      <alignment vertical="top"/>
      <protection locked="0"/>
    </xf>
    <xf numFmtId="43" fontId="16" fillId="48" borderId="19" xfId="4" applyFont="1" applyFill="1" applyBorder="1" applyAlignment="1" applyProtection="1">
      <alignment vertical="top"/>
      <protection locked="0"/>
    </xf>
    <xf numFmtId="169" fontId="3" fillId="48" borderId="16" xfId="4" applyNumberFormat="1" applyFont="1" applyFill="1" applyBorder="1" applyAlignment="1" applyProtection="1">
      <alignment vertical="top"/>
      <protection locked="0"/>
    </xf>
    <xf numFmtId="169" fontId="3" fillId="48" borderId="17" xfId="4" applyNumberFormat="1" applyFont="1" applyFill="1" applyBorder="1" applyAlignment="1" applyProtection="1">
      <alignment vertical="top"/>
      <protection locked="0"/>
    </xf>
    <xf numFmtId="9" fontId="3" fillId="48" borderId="17" xfId="5" applyFont="1" applyFill="1" applyBorder="1" applyAlignment="1" applyProtection="1">
      <alignment horizontal="right" vertical="center"/>
      <protection locked="0"/>
    </xf>
    <xf numFmtId="9" fontId="16" fillId="48" borderId="19" xfId="5" applyFont="1" applyFill="1" applyBorder="1" applyAlignment="1" applyProtection="1">
      <alignment horizontal="right" vertical="center"/>
      <protection locked="0"/>
    </xf>
    <xf numFmtId="1" fontId="16" fillId="48" borderId="16" xfId="4" applyNumberFormat="1" applyFont="1" applyFill="1" applyBorder="1" applyAlignment="1" applyProtection="1">
      <alignment horizontal="center" vertical="top"/>
      <protection locked="0"/>
    </xf>
    <xf numFmtId="1" fontId="16" fillId="48" borderId="17" xfId="4" applyNumberFormat="1" applyFont="1" applyFill="1" applyBorder="1" applyAlignment="1" applyProtection="1">
      <alignment horizontal="center" vertical="top"/>
      <protection locked="0"/>
    </xf>
    <xf numFmtId="1" fontId="16" fillId="48" borderId="19" xfId="4" applyNumberFormat="1" applyFont="1" applyFill="1" applyBorder="1" applyAlignment="1" applyProtection="1">
      <alignment horizontal="center" vertical="top"/>
      <protection locked="0"/>
    </xf>
    <xf numFmtId="43" fontId="16" fillId="48" borderId="16" xfId="4" applyFont="1" applyFill="1" applyBorder="1" applyAlignment="1" applyProtection="1">
      <alignment vertical="top"/>
      <protection locked="0"/>
    </xf>
    <xf numFmtId="167" fontId="16" fillId="48" borderId="16" xfId="2" applyNumberFormat="1" applyFont="1" applyFill="1" applyBorder="1" applyAlignment="1" applyProtection="1">
      <alignment vertical="top"/>
      <protection locked="0"/>
    </xf>
    <xf numFmtId="167" fontId="16" fillId="48" borderId="19" xfId="2" applyNumberFormat="1" applyFont="1" applyFill="1" applyBorder="1" applyAlignment="1" applyProtection="1">
      <alignment vertical="top"/>
      <protection locked="0"/>
    </xf>
    <xf numFmtId="169" fontId="16" fillId="48" borderId="17" xfId="4" applyNumberFormat="1" applyFont="1" applyFill="1" applyBorder="1" applyAlignment="1" applyProtection="1">
      <alignment vertical="top"/>
      <protection locked="0"/>
    </xf>
    <xf numFmtId="169" fontId="16" fillId="48" borderId="19" xfId="4" applyNumberFormat="1" applyFont="1" applyFill="1" applyBorder="1" applyAlignment="1" applyProtection="1">
      <alignment vertical="top"/>
      <protection locked="0"/>
    </xf>
    <xf numFmtId="167" fontId="16" fillId="48" borderId="17" xfId="4" applyNumberFormat="1" applyFont="1" applyFill="1" applyBorder="1" applyAlignment="1" applyProtection="1">
      <alignment horizontal="center" vertical="center"/>
      <protection locked="0"/>
    </xf>
    <xf numFmtId="167" fontId="16" fillId="48" borderId="17" xfId="4" applyNumberFormat="1" applyFont="1" applyFill="1" applyBorder="1" applyAlignment="1" applyProtection="1">
      <alignment horizontal="center" vertical="top"/>
      <protection locked="0"/>
    </xf>
    <xf numFmtId="169" fontId="3" fillId="48" borderId="17" xfId="4" applyNumberFormat="1" applyFont="1" applyFill="1" applyBorder="1" applyAlignment="1" applyProtection="1">
      <alignment horizontal="center" vertical="top"/>
      <protection locked="0"/>
    </xf>
    <xf numFmtId="167" fontId="3" fillId="48" borderId="17" xfId="4" applyNumberFormat="1" applyFont="1" applyFill="1" applyBorder="1" applyAlignment="1" applyProtection="1">
      <alignment horizontal="center" vertical="top"/>
      <protection locked="0"/>
    </xf>
    <xf numFmtId="167" fontId="3" fillId="48" borderId="19" xfId="4" applyNumberFormat="1" applyFont="1" applyFill="1" applyBorder="1" applyAlignment="1" applyProtection="1">
      <alignment horizontal="center" vertical="top"/>
      <protection locked="0"/>
    </xf>
    <xf numFmtId="167" fontId="16" fillId="48" borderId="16" xfId="4" applyNumberFormat="1" applyFont="1" applyFill="1" applyBorder="1" applyAlignment="1" applyProtection="1">
      <alignment vertical="center"/>
      <protection locked="0"/>
    </xf>
    <xf numFmtId="167" fontId="16" fillId="48" borderId="19" xfId="4" applyNumberFormat="1" applyFont="1" applyFill="1" applyBorder="1" applyAlignment="1" applyProtection="1">
      <alignment vertical="center"/>
      <protection locked="0"/>
    </xf>
    <xf numFmtId="167" fontId="16" fillId="48" borderId="17" xfId="4" applyNumberFormat="1" applyFont="1" applyFill="1" applyBorder="1" applyAlignment="1" applyProtection="1">
      <alignment vertical="center"/>
      <protection locked="0"/>
    </xf>
    <xf numFmtId="167" fontId="16" fillId="48" borderId="16" xfId="2" applyNumberFormat="1" applyFont="1" applyFill="1" applyBorder="1" applyAlignment="1" applyProtection="1">
      <alignment vertical="center"/>
      <protection locked="0"/>
    </xf>
    <xf numFmtId="167" fontId="16" fillId="48" borderId="17" xfId="2" applyNumberFormat="1" applyFont="1" applyFill="1" applyBorder="1" applyAlignment="1" applyProtection="1">
      <alignment vertical="center"/>
      <protection locked="0"/>
    </xf>
    <xf numFmtId="167" fontId="16" fillId="48" borderId="19" xfId="2" applyNumberFormat="1" applyFont="1" applyFill="1" applyBorder="1" applyAlignment="1" applyProtection="1">
      <alignment vertical="center"/>
      <protection locked="0"/>
    </xf>
    <xf numFmtId="9" fontId="16" fillId="48" borderId="17" xfId="5" applyFont="1" applyFill="1" applyBorder="1" applyAlignment="1" applyProtection="1">
      <alignment vertical="center"/>
      <protection locked="0"/>
    </xf>
    <xf numFmtId="169" fontId="16" fillId="48" borderId="19" xfId="4" applyNumberFormat="1" applyFont="1" applyFill="1" applyBorder="1" applyAlignment="1" applyProtection="1">
      <alignment vertical="center"/>
      <protection locked="0"/>
    </xf>
    <xf numFmtId="169" fontId="16" fillId="48" borderId="19" xfId="2" applyNumberFormat="1" applyFont="1" applyFill="1" applyBorder="1" applyAlignment="1" applyProtection="1">
      <alignment vertical="center"/>
      <protection locked="0"/>
    </xf>
    <xf numFmtId="43" fontId="3" fillId="48" borderId="16" xfId="2" applyFont="1" applyFill="1" applyBorder="1" applyAlignment="1" applyProtection="1">
      <alignment vertical="top"/>
      <protection locked="0"/>
    </xf>
    <xf numFmtId="43" fontId="3" fillId="48" borderId="17" xfId="2" applyFont="1" applyFill="1" applyBorder="1" applyAlignment="1" applyProtection="1">
      <alignment vertical="top"/>
      <protection locked="0"/>
    </xf>
    <xf numFmtId="167" fontId="3" fillId="48" borderId="17" xfId="2" applyNumberFormat="1" applyFont="1" applyFill="1" applyBorder="1" applyAlignment="1" applyProtection="1">
      <alignment vertical="top"/>
      <protection locked="0"/>
    </xf>
    <xf numFmtId="168" fontId="16" fillId="48" borderId="19" xfId="2" applyNumberFormat="1" applyFont="1" applyFill="1" applyBorder="1" applyAlignment="1" applyProtection="1">
      <alignment vertical="top"/>
      <protection locked="0"/>
    </xf>
    <xf numFmtId="43" fontId="3" fillId="48" borderId="19" xfId="2" applyFont="1" applyFill="1" applyBorder="1" applyAlignment="1" applyProtection="1">
      <alignment vertical="top"/>
      <protection locked="0"/>
    </xf>
    <xf numFmtId="167" fontId="16" fillId="48" borderId="17" xfId="2" applyNumberFormat="1" applyFont="1" applyFill="1" applyBorder="1" applyAlignment="1" applyProtection="1">
      <alignment vertical="top"/>
      <protection locked="0"/>
    </xf>
    <xf numFmtId="167" fontId="16" fillId="48" borderId="13" xfId="2" applyNumberFormat="1" applyFont="1" applyFill="1" applyBorder="1" applyAlignment="1" applyProtection="1">
      <alignment vertical="top"/>
      <protection locked="0"/>
    </xf>
    <xf numFmtId="168" fontId="16" fillId="48" borderId="16" xfId="5" applyNumberFormat="1" applyFont="1" applyFill="1" applyBorder="1" applyAlignment="1" applyProtection="1">
      <alignment vertical="center"/>
      <protection locked="0"/>
    </xf>
    <xf numFmtId="168" fontId="16" fillId="48" borderId="17" xfId="5" applyNumberFormat="1" applyFont="1" applyFill="1" applyBorder="1" applyAlignment="1" applyProtection="1">
      <alignment vertical="center"/>
      <protection locked="0"/>
    </xf>
    <xf numFmtId="43" fontId="16" fillId="48" borderId="16" xfId="2" applyFont="1" applyFill="1" applyBorder="1" applyAlignment="1" applyProtection="1">
      <alignment vertical="top"/>
      <protection locked="0"/>
    </xf>
    <xf numFmtId="43" fontId="16" fillId="48" borderId="17" xfId="2" applyFont="1" applyFill="1" applyBorder="1" applyAlignment="1" applyProtection="1">
      <alignment vertical="top"/>
      <protection locked="0"/>
    </xf>
    <xf numFmtId="10" fontId="3" fillId="48" borderId="19" xfId="2" applyNumberFormat="1" applyFont="1" applyFill="1" applyBorder="1" applyAlignment="1" applyProtection="1">
      <alignment vertical="top"/>
      <protection locked="0"/>
    </xf>
    <xf numFmtId="43" fontId="3" fillId="8" borderId="13" xfId="2" applyFont="1" applyFill="1" applyBorder="1" applyAlignment="1" applyProtection="1">
      <alignment vertical="top"/>
    </xf>
    <xf numFmtId="2" fontId="3" fillId="8" borderId="13" xfId="2" applyNumberFormat="1" applyFont="1" applyFill="1" applyBorder="1" applyAlignment="1" applyProtection="1">
      <alignment horizontal="center" vertical="center"/>
    </xf>
    <xf numFmtId="10" fontId="16" fillId="48" borderId="19" xfId="2" applyNumberFormat="1" applyFont="1" applyFill="1" applyBorder="1" applyAlignment="1" applyProtection="1">
      <alignment vertical="top"/>
      <protection locked="0"/>
    </xf>
    <xf numFmtId="10" fontId="16" fillId="48" borderId="19" xfId="0" applyNumberFormat="1" applyFont="1" applyFill="1" applyBorder="1" applyAlignment="1" applyProtection="1">
      <alignment vertical="top"/>
      <protection locked="0"/>
    </xf>
    <xf numFmtId="43" fontId="3" fillId="48" borderId="17" xfId="4" applyFont="1" applyFill="1" applyBorder="1" applyAlignment="1" applyProtection="1">
      <alignment horizontal="right" vertical="top"/>
      <protection locked="0"/>
    </xf>
    <xf numFmtId="43" fontId="3" fillId="48" borderId="19" xfId="4" applyFont="1" applyFill="1" applyBorder="1" applyAlignment="1" applyProtection="1">
      <alignment horizontal="right" vertical="top"/>
      <protection locked="0"/>
    </xf>
    <xf numFmtId="9" fontId="16" fillId="48" borderId="17" xfId="5" applyFont="1" applyFill="1" applyBorder="1" applyAlignment="1" applyProtection="1">
      <alignment horizontal="right" vertical="center" indent="1"/>
      <protection locked="0"/>
    </xf>
    <xf numFmtId="0" fontId="24" fillId="7" borderId="0" xfId="0" applyFont="1" applyFill="1" applyBorder="1" applyAlignment="1" applyProtection="1">
      <alignment vertical="top"/>
      <protection locked="0"/>
    </xf>
    <xf numFmtId="0" fontId="24" fillId="0" borderId="0" xfId="0" applyFont="1" applyFill="1" applyBorder="1" applyAlignment="1" applyProtection="1">
      <alignment vertical="top"/>
      <protection locked="0"/>
    </xf>
    <xf numFmtId="0" fontId="312" fillId="4" borderId="0" xfId="0" applyFont="1" applyFill="1"/>
    <xf numFmtId="0" fontId="8" fillId="48" borderId="12" xfId="1" applyFill="1" applyBorder="1" applyAlignment="1" applyProtection="1">
      <protection locked="0"/>
    </xf>
    <xf numFmtId="0" fontId="103" fillId="25" borderId="95" xfId="1" applyFont="1" applyFill="1" applyBorder="1" applyAlignment="1" applyProtection="1">
      <alignment horizontal="center" vertical="center"/>
    </xf>
    <xf numFmtId="0" fontId="103" fillId="26" borderId="0" xfId="1" applyFont="1" applyFill="1" applyBorder="1" applyAlignment="1" applyProtection="1">
      <alignment horizontal="center" vertical="center"/>
    </xf>
    <xf numFmtId="0" fontId="104" fillId="26" borderId="0" xfId="1" applyFont="1" applyFill="1" applyBorder="1" applyAlignment="1" applyProtection="1">
      <alignment horizontal="center" vertical="center"/>
    </xf>
    <xf numFmtId="0" fontId="103" fillId="26" borderId="92" xfId="1" applyFont="1" applyFill="1" applyBorder="1" applyAlignment="1" applyProtection="1">
      <alignment horizontal="center" vertical="center"/>
    </xf>
    <xf numFmtId="0" fontId="313" fillId="3" borderId="0" xfId="0" applyFont="1" applyFill="1" applyProtection="1"/>
    <xf numFmtId="0" fontId="313" fillId="3" borderId="0" xfId="0" applyFont="1" applyFill="1" applyAlignment="1" applyProtection="1">
      <alignment vertical="center"/>
    </xf>
    <xf numFmtId="0" fontId="313" fillId="3" borderId="0" xfId="0" applyFont="1" applyFill="1" applyAlignment="1" applyProtection="1">
      <alignment horizontal="right"/>
    </xf>
    <xf numFmtId="166" fontId="0" fillId="0" borderId="145" xfId="4" applyNumberFormat="1" applyFont="1" applyFill="1" applyBorder="1" applyProtection="1"/>
    <xf numFmtId="166" fontId="0" fillId="0" borderId="50" xfId="4" applyNumberFormat="1" applyFont="1" applyFill="1" applyBorder="1" applyProtection="1"/>
    <xf numFmtId="166" fontId="0" fillId="0" borderId="18" xfId="4" applyNumberFormat="1" applyFont="1" applyFill="1" applyBorder="1" applyAlignment="1" applyProtection="1"/>
    <xf numFmtId="1" fontId="0" fillId="0" borderId="197" xfId="4" applyNumberFormat="1" applyFont="1" applyFill="1" applyBorder="1" applyProtection="1"/>
    <xf numFmtId="1" fontId="0" fillId="0" borderId="47" xfId="4" applyNumberFormat="1" applyFont="1" applyFill="1" applyBorder="1" applyAlignment="1" applyProtection="1">
      <alignment wrapText="1"/>
    </xf>
    <xf numFmtId="1" fontId="0" fillId="0" borderId="116" xfId="4" applyNumberFormat="1" applyFont="1" applyFill="1" applyBorder="1" applyAlignment="1" applyProtection="1"/>
    <xf numFmtId="1" fontId="0" fillId="0" borderId="139" xfId="4" applyNumberFormat="1" applyFont="1" applyFill="1" applyBorder="1" applyProtection="1"/>
    <xf numFmtId="1" fontId="0" fillId="0" borderId="79" xfId="4" applyNumberFormat="1" applyFont="1" applyFill="1" applyBorder="1" applyProtection="1"/>
    <xf numFmtId="1" fontId="0" fillId="0" borderId="114" xfId="4" applyNumberFormat="1" applyFont="1" applyFill="1" applyBorder="1" applyAlignment="1" applyProtection="1"/>
    <xf numFmtId="1" fontId="0" fillId="0" borderId="197" xfId="5" applyNumberFormat="1" applyFont="1" applyFill="1" applyBorder="1" applyProtection="1"/>
    <xf numFmtId="1" fontId="0" fillId="0" borderId="145" xfId="5" applyNumberFormat="1" applyFont="1" applyFill="1" applyBorder="1" applyProtection="1"/>
    <xf numFmtId="1" fontId="0" fillId="0" borderId="201" xfId="5" applyNumberFormat="1" applyFont="1" applyFill="1" applyBorder="1" applyProtection="1"/>
    <xf numFmtId="1" fontId="0" fillId="0" borderId="122" xfId="5" applyNumberFormat="1" applyFont="1" applyFill="1" applyBorder="1" applyProtection="1"/>
    <xf numFmtId="1" fontId="0" fillId="0" borderId="199" xfId="5" applyNumberFormat="1" applyFont="1" applyFill="1" applyBorder="1" applyProtection="1"/>
    <xf numFmtId="1" fontId="0" fillId="0" borderId="144" xfId="5" applyNumberFormat="1" applyFont="1" applyFill="1" applyBorder="1" applyProtection="1"/>
    <xf numFmtId="1" fontId="0" fillId="0" borderId="140" xfId="5" applyNumberFormat="1" applyFont="1" applyFill="1" applyBorder="1" applyProtection="1"/>
    <xf numFmtId="1" fontId="0" fillId="0" borderId="22" xfId="5" applyNumberFormat="1" applyFont="1" applyFill="1" applyBorder="1" applyProtection="1"/>
    <xf numFmtId="1" fontId="0" fillId="0" borderId="145" xfId="5" applyNumberFormat="1" applyFont="1" applyFill="1" applyBorder="1" applyAlignment="1" applyProtection="1"/>
    <xf numFmtId="1" fontId="0" fillId="0" borderId="139" xfId="5" applyNumberFormat="1" applyFont="1" applyFill="1" applyBorder="1" applyProtection="1"/>
    <xf numFmtId="1" fontId="0" fillId="0" borderId="197" xfId="5" applyNumberFormat="1" applyFont="1" applyFill="1" applyBorder="1" applyAlignment="1" applyProtection="1"/>
    <xf numFmtId="1" fontId="0" fillId="0" borderId="203" xfId="5" applyNumberFormat="1" applyFont="1" applyBorder="1" applyProtection="1"/>
    <xf numFmtId="1" fontId="0" fillId="0" borderId="124" xfId="5" applyNumberFormat="1" applyFont="1" applyBorder="1" applyProtection="1"/>
    <xf numFmtId="1" fontId="0" fillId="0" borderId="123" xfId="5" applyNumberFormat="1" applyFont="1" applyFill="1" applyBorder="1" applyProtection="1"/>
    <xf numFmtId="0" fontId="313" fillId="3" borderId="0" xfId="0" applyFont="1" applyFill="1"/>
    <xf numFmtId="1" fontId="313" fillId="3" borderId="0" xfId="0" applyNumberFormat="1" applyFont="1" applyFill="1"/>
    <xf numFmtId="9" fontId="0" fillId="0" borderId="517" xfId="5" applyFont="1" applyBorder="1" applyAlignment="1" applyProtection="1">
      <alignment horizontal="right" indent="1"/>
    </xf>
    <xf numFmtId="1" fontId="0" fillId="0" borderId="517" xfId="5" applyNumberFormat="1" applyFont="1" applyBorder="1" applyAlignment="1" applyProtection="1">
      <alignment horizontal="right" indent="1"/>
    </xf>
    <xf numFmtId="0" fontId="0" fillId="0" borderId="74" xfId="0" applyBorder="1" applyAlignment="1" applyProtection="1"/>
    <xf numFmtId="0" fontId="0" fillId="0" borderId="125" xfId="0" applyBorder="1" applyAlignment="1" applyProtection="1">
      <alignment wrapText="1"/>
    </xf>
    <xf numFmtId="0" fontId="4" fillId="25" borderId="193" xfId="0" applyFont="1" applyFill="1" applyBorder="1" applyAlignment="1" applyProtection="1">
      <alignment horizontal="center" vertical="center" wrapText="1"/>
    </xf>
    <xf numFmtId="0" fontId="11" fillId="48" borderId="193" xfId="0" applyFont="1" applyFill="1" applyBorder="1" applyAlignment="1" applyProtection="1">
      <alignment horizontal="center" vertical="center" wrapText="1"/>
      <protection locked="0"/>
    </xf>
    <xf numFmtId="0" fontId="11" fillId="48" borderId="54" xfId="0" applyFont="1" applyFill="1" applyBorder="1" applyAlignment="1" applyProtection="1">
      <alignment horizontal="center" vertical="center" wrapText="1"/>
      <protection locked="0"/>
    </xf>
    <xf numFmtId="0" fontId="10" fillId="25" borderId="14" xfId="0" applyFont="1" applyFill="1" applyBorder="1" applyAlignment="1" applyProtection="1">
      <alignment horizontal="center" vertical="center" wrapText="1"/>
    </xf>
    <xf numFmtId="0" fontId="7" fillId="25" borderId="95" xfId="0" applyFont="1" applyFill="1" applyBorder="1" applyAlignment="1" applyProtection="1">
      <alignment horizontal="center" vertical="center"/>
    </xf>
    <xf numFmtId="0" fontId="115" fillId="7" borderId="93" xfId="0" applyFont="1" applyFill="1" applyBorder="1" applyAlignment="1" applyProtection="1">
      <alignment vertical="center"/>
    </xf>
    <xf numFmtId="0" fontId="7" fillId="25" borderId="94" xfId="0" applyFont="1" applyFill="1" applyBorder="1" applyAlignment="1" applyProtection="1">
      <alignment horizontal="center" vertical="top"/>
    </xf>
    <xf numFmtId="0" fontId="44" fillId="25" borderId="96" xfId="0" applyFont="1" applyFill="1" applyBorder="1" applyAlignment="1" applyProtection="1">
      <alignment vertical="center"/>
    </xf>
    <xf numFmtId="0" fontId="6" fillId="25" borderId="112" xfId="0" applyFont="1" applyFill="1" applyBorder="1" applyAlignment="1" applyProtection="1">
      <alignment vertical="center"/>
    </xf>
    <xf numFmtId="0" fontId="103" fillId="25" borderId="111" xfId="1" applyFont="1" applyFill="1" applyBorder="1" applyAlignment="1" applyProtection="1">
      <alignment horizontal="right" vertical="center"/>
    </xf>
    <xf numFmtId="0" fontId="5" fillId="15" borderId="14" xfId="0" applyFont="1" applyFill="1" applyBorder="1" applyAlignment="1" applyProtection="1">
      <alignment vertical="center"/>
    </xf>
    <xf numFmtId="9" fontId="5" fillId="15" borderId="14" xfId="5" applyFont="1" applyFill="1" applyBorder="1" applyAlignment="1" applyProtection="1">
      <alignment horizontal="right" vertical="center"/>
    </xf>
    <xf numFmtId="9" fontId="5" fillId="15" borderId="14" xfId="5" applyFont="1" applyFill="1" applyBorder="1" applyAlignment="1" applyProtection="1">
      <alignment horizontal="center" vertical="center"/>
    </xf>
    <xf numFmtId="9" fontId="5" fillId="15" borderId="15" xfId="5" applyFont="1" applyFill="1" applyBorder="1" applyAlignment="1" applyProtection="1">
      <alignment horizontal="center" vertical="center"/>
    </xf>
    <xf numFmtId="9" fontId="5" fillId="15" borderId="15" xfId="5" applyFont="1" applyFill="1" applyBorder="1" applyAlignment="1" applyProtection="1">
      <alignment horizontal="right" vertical="center"/>
    </xf>
    <xf numFmtId="1" fontId="5" fillId="15" borderId="14" xfId="5" applyNumberFormat="1" applyFont="1" applyFill="1" applyBorder="1" applyAlignment="1" applyProtection="1">
      <alignment horizontal="right" vertical="center"/>
    </xf>
    <xf numFmtId="1" fontId="5" fillId="15" borderId="15" xfId="5" applyNumberFormat="1" applyFont="1" applyFill="1" applyBorder="1" applyAlignment="1" applyProtection="1">
      <alignment horizontal="right" vertical="center"/>
    </xf>
    <xf numFmtId="0" fontId="160" fillId="15" borderId="13" xfId="0" applyFont="1" applyFill="1" applyBorder="1" applyAlignment="1" applyProtection="1">
      <alignment vertical="center" wrapText="1"/>
    </xf>
    <xf numFmtId="0" fontId="6" fillId="7" borderId="0" xfId="0" applyFont="1" applyFill="1" applyBorder="1"/>
    <xf numFmtId="0" fontId="154" fillId="4" borderId="0" xfId="0" applyFont="1" applyFill="1" applyAlignment="1" applyProtection="1">
      <alignment horizontal="right"/>
    </xf>
    <xf numFmtId="0" fontId="315" fillId="15" borderId="170" xfId="0" applyFont="1" applyFill="1" applyBorder="1" applyAlignment="1" applyProtection="1">
      <alignment horizontal="right" vertical="center"/>
    </xf>
    <xf numFmtId="0" fontId="4" fillId="5" borderId="12" xfId="0" applyFont="1" applyFill="1" applyBorder="1" applyAlignment="1" applyProtection="1">
      <alignment horizontal="center" vertical="top"/>
    </xf>
    <xf numFmtId="0" fontId="4" fillId="5" borderId="12" xfId="0" applyFont="1" applyFill="1" applyBorder="1" applyAlignment="1" applyProtection="1">
      <alignment horizontal="center" vertical="top"/>
    </xf>
    <xf numFmtId="169" fontId="316" fillId="48" borderId="12" xfId="4" applyNumberFormat="1" applyFont="1" applyFill="1" applyBorder="1" applyAlignment="1" applyProtection="1">
      <alignment vertical="top"/>
      <protection locked="0"/>
    </xf>
    <xf numFmtId="169" fontId="16" fillId="48" borderId="13" xfId="4" applyNumberFormat="1" applyFont="1" applyFill="1" applyBorder="1" applyAlignment="1" applyProtection="1">
      <alignment vertical="center"/>
      <protection locked="0"/>
    </xf>
    <xf numFmtId="169" fontId="16" fillId="48" borderId="54" xfId="4" applyNumberFormat="1" applyFont="1" applyFill="1" applyBorder="1" applyAlignment="1" applyProtection="1">
      <alignment vertical="center"/>
      <protection locked="0"/>
    </xf>
    <xf numFmtId="169" fontId="16" fillId="48" borderId="54" xfId="4" applyNumberFormat="1" applyFont="1" applyFill="1" applyBorder="1" applyAlignment="1" applyProtection="1">
      <alignment vertical="top"/>
      <protection locked="0"/>
    </xf>
    <xf numFmtId="169" fontId="16" fillId="7" borderId="13" xfId="4" applyNumberFormat="1" applyFont="1" applyFill="1" applyBorder="1" applyAlignment="1" applyProtection="1">
      <alignment vertical="top"/>
      <protection locked="0"/>
    </xf>
    <xf numFmtId="169" fontId="16" fillId="7" borderId="14" xfId="4" applyNumberFormat="1" applyFont="1" applyFill="1" applyBorder="1" applyAlignment="1" applyProtection="1">
      <alignment vertical="top"/>
      <protection locked="0"/>
    </xf>
    <xf numFmtId="169" fontId="16" fillId="7" borderId="15" xfId="4" applyNumberFormat="1" applyFont="1" applyFill="1" applyBorder="1" applyAlignment="1" applyProtection="1">
      <alignment vertical="top"/>
      <protection locked="0"/>
    </xf>
    <xf numFmtId="0" fontId="0" fillId="4" borderId="15" xfId="0" applyFill="1" applyBorder="1" applyAlignment="1" applyProtection="1">
      <alignment vertical="top" wrapText="1"/>
    </xf>
    <xf numFmtId="0" fontId="0" fillId="4" borderId="12" xfId="0" applyFill="1" applyBorder="1" applyAlignment="1" applyProtection="1">
      <alignment vertical="top"/>
    </xf>
    <xf numFmtId="0" fontId="125" fillId="15" borderId="519" xfId="0" applyFont="1" applyFill="1" applyBorder="1" applyAlignment="1" applyProtection="1">
      <alignment horizontal="center" vertical="top"/>
    </xf>
    <xf numFmtId="0" fontId="125" fillId="15" borderId="519" xfId="0" applyFont="1" applyFill="1" applyBorder="1" applyAlignment="1" applyProtection="1">
      <alignment vertical="top"/>
    </xf>
    <xf numFmtId="0" fontId="34" fillId="15" borderId="519" xfId="0" applyFont="1" applyFill="1" applyBorder="1" applyAlignment="1" applyProtection="1">
      <alignment vertical="top"/>
    </xf>
    <xf numFmtId="169" fontId="16" fillId="7" borderId="13" xfId="4" applyNumberFormat="1" applyFont="1" applyFill="1" applyBorder="1" applyAlignment="1" applyProtection="1">
      <alignment vertical="top"/>
    </xf>
    <xf numFmtId="169" fontId="16" fillId="7" borderId="14" xfId="4" applyNumberFormat="1" applyFont="1" applyFill="1" applyBorder="1" applyAlignment="1" applyProtection="1">
      <alignment vertical="top"/>
    </xf>
    <xf numFmtId="169" fontId="16" fillId="7" borderId="15" xfId="4" applyNumberFormat="1" applyFont="1" applyFill="1" applyBorder="1" applyAlignment="1" applyProtection="1">
      <alignment vertical="top"/>
    </xf>
    <xf numFmtId="169" fontId="11" fillId="11" borderId="12" xfId="4" applyNumberFormat="1" applyFont="1" applyFill="1" applyBorder="1" applyAlignment="1" applyProtection="1">
      <alignment vertical="center"/>
    </xf>
    <xf numFmtId="0" fontId="317" fillId="25" borderId="111" xfId="1" applyFont="1" applyFill="1" applyBorder="1" applyAlignment="1" applyProtection="1">
      <alignment horizontal="center" vertical="center"/>
    </xf>
    <xf numFmtId="167" fontId="3" fillId="48" borderId="16" xfId="2" applyNumberFormat="1" applyFont="1" applyFill="1" applyBorder="1" applyAlignment="1" applyProtection="1">
      <alignment horizontal="left" vertical="top"/>
      <protection locked="0"/>
    </xf>
    <xf numFmtId="167" fontId="3" fillId="48" borderId="17" xfId="4" applyNumberFormat="1" applyFont="1" applyFill="1" applyBorder="1" applyAlignment="1" applyProtection="1">
      <alignment horizontal="left" vertical="top"/>
      <protection locked="0"/>
    </xf>
    <xf numFmtId="167" fontId="0" fillId="48" borderId="19" xfId="2" applyNumberFormat="1" applyFont="1" applyFill="1" applyBorder="1" applyAlignment="1" applyProtection="1">
      <alignment horizontal="left" vertical="top"/>
      <protection locked="0"/>
    </xf>
    <xf numFmtId="167" fontId="16" fillId="48" borderId="16" xfId="2" applyNumberFormat="1" applyFont="1" applyFill="1" applyBorder="1" applyAlignment="1" applyProtection="1">
      <alignment horizontal="left" vertical="center"/>
      <protection locked="0"/>
    </xf>
    <xf numFmtId="167" fontId="16" fillId="48" borderId="17" xfId="2" applyNumberFormat="1" applyFont="1" applyFill="1" applyBorder="1" applyAlignment="1" applyProtection="1">
      <alignment horizontal="left" vertical="center"/>
      <protection locked="0"/>
    </xf>
    <xf numFmtId="167" fontId="16" fillId="48" borderId="19" xfId="2" applyNumberFormat="1" applyFont="1" applyFill="1" applyBorder="1" applyAlignment="1" applyProtection="1">
      <alignment horizontal="left" vertical="center"/>
      <protection locked="0"/>
    </xf>
    <xf numFmtId="167" fontId="16" fillId="48" borderId="12" xfId="2" applyNumberFormat="1" applyFont="1" applyFill="1" applyBorder="1" applyAlignment="1" applyProtection="1">
      <alignment horizontal="left" vertical="center"/>
      <protection locked="0"/>
    </xf>
    <xf numFmtId="9" fontId="16" fillId="48" borderId="19" xfId="3" applyFont="1" applyFill="1" applyBorder="1" applyAlignment="1" applyProtection="1">
      <alignment horizontal="left" vertical="center"/>
      <protection locked="0"/>
    </xf>
    <xf numFmtId="167" fontId="16" fillId="48" borderId="16" xfId="4" applyNumberFormat="1" applyFont="1" applyFill="1" applyBorder="1" applyAlignment="1" applyProtection="1">
      <alignment horizontal="left" vertical="top"/>
      <protection locked="0"/>
    </xf>
    <xf numFmtId="167" fontId="16" fillId="48" borderId="19" xfId="4" applyNumberFormat="1" applyFont="1" applyFill="1" applyBorder="1" applyAlignment="1" applyProtection="1">
      <alignment horizontal="left" vertical="top"/>
      <protection locked="0"/>
    </xf>
    <xf numFmtId="43" fontId="16" fillId="48" borderId="16" xfId="4" applyFont="1" applyFill="1" applyBorder="1" applyAlignment="1" applyProtection="1">
      <alignment horizontal="left" vertical="top"/>
      <protection locked="0"/>
    </xf>
    <xf numFmtId="43" fontId="16" fillId="48" borderId="17" xfId="4" applyFont="1" applyFill="1" applyBorder="1" applyAlignment="1" applyProtection="1">
      <alignment horizontal="left" vertical="top"/>
      <protection locked="0"/>
    </xf>
    <xf numFmtId="43" fontId="16" fillId="48" borderId="19" xfId="4" applyFont="1" applyFill="1" applyBorder="1" applyAlignment="1" applyProtection="1">
      <alignment horizontal="left" vertical="top"/>
      <protection locked="0"/>
    </xf>
    <xf numFmtId="167" fontId="16" fillId="48" borderId="16" xfId="2" applyNumberFormat="1" applyFont="1" applyFill="1" applyBorder="1" applyAlignment="1" applyProtection="1">
      <alignment horizontal="left" vertical="top"/>
      <protection locked="0"/>
    </xf>
    <xf numFmtId="167" fontId="16" fillId="48" borderId="19" xfId="2" applyNumberFormat="1" applyFont="1" applyFill="1" applyBorder="1" applyAlignment="1" applyProtection="1">
      <alignment horizontal="left" vertical="top"/>
      <protection locked="0"/>
    </xf>
    <xf numFmtId="167" fontId="16" fillId="48" borderId="16" xfId="2" applyNumberFormat="1" applyFont="1" applyFill="1" applyBorder="1" applyAlignment="1" applyProtection="1">
      <alignment horizontal="left" vertical="center" wrapText="1"/>
      <protection locked="0"/>
    </xf>
    <xf numFmtId="167" fontId="16" fillId="48" borderId="19" xfId="2" applyNumberFormat="1" applyFont="1" applyFill="1" applyBorder="1" applyAlignment="1" applyProtection="1">
      <alignment horizontal="left" vertical="center" wrapText="1"/>
      <protection locked="0"/>
    </xf>
    <xf numFmtId="1" fontId="16" fillId="48" borderId="19" xfId="2" applyNumberFormat="1" applyFont="1" applyFill="1" applyBorder="1" applyAlignment="1" applyProtection="1">
      <alignment horizontal="left" vertical="center"/>
      <protection locked="0"/>
    </xf>
    <xf numFmtId="1" fontId="16" fillId="48" borderId="16" xfId="2" applyNumberFormat="1" applyFont="1" applyFill="1" applyBorder="1" applyAlignment="1" applyProtection="1">
      <alignment horizontal="left" vertical="center"/>
      <protection locked="0"/>
    </xf>
    <xf numFmtId="1" fontId="16" fillId="48" borderId="17" xfId="2" applyNumberFormat="1" applyFont="1" applyFill="1" applyBorder="1" applyAlignment="1" applyProtection="1">
      <alignment horizontal="left" vertical="center"/>
      <protection locked="0"/>
    </xf>
    <xf numFmtId="167" fontId="16" fillId="48" borderId="18" xfId="2" applyNumberFormat="1" applyFont="1" applyFill="1" applyBorder="1" applyAlignment="1" applyProtection="1">
      <alignment horizontal="left" vertical="center"/>
      <protection locked="0"/>
    </xf>
    <xf numFmtId="167" fontId="16" fillId="8" borderId="114" xfId="2" applyNumberFormat="1" applyFont="1" applyFill="1" applyBorder="1" applyAlignment="1" applyProtection="1">
      <alignment horizontal="left" vertical="center"/>
    </xf>
    <xf numFmtId="167" fontId="0" fillId="8" borderId="12" xfId="4" applyNumberFormat="1" applyFont="1" applyFill="1" applyBorder="1" applyAlignment="1" applyProtection="1">
      <alignment horizontal="left" vertical="center"/>
    </xf>
    <xf numFmtId="169" fontId="16" fillId="48" borderId="16" xfId="4" applyNumberFormat="1" applyFont="1" applyFill="1" applyBorder="1" applyAlignment="1" applyProtection="1">
      <alignment horizontal="left" vertical="center"/>
      <protection locked="0"/>
    </xf>
    <xf numFmtId="169" fontId="16" fillId="48" borderId="17" xfId="4" applyNumberFormat="1" applyFont="1" applyFill="1" applyBorder="1" applyAlignment="1" applyProtection="1">
      <alignment horizontal="left" vertical="center"/>
      <protection locked="0"/>
    </xf>
    <xf numFmtId="9" fontId="16" fillId="48" borderId="17" xfId="5" applyFont="1" applyFill="1" applyBorder="1" applyAlignment="1" applyProtection="1">
      <alignment horizontal="left" vertical="center"/>
      <protection locked="0"/>
    </xf>
    <xf numFmtId="169" fontId="16" fillId="48" borderId="19" xfId="4" applyNumberFormat="1" applyFont="1" applyFill="1" applyBorder="1" applyAlignment="1" applyProtection="1">
      <alignment horizontal="left" vertical="center"/>
      <protection locked="0"/>
    </xf>
    <xf numFmtId="0" fontId="63" fillId="7" borderId="0" xfId="0" applyFont="1" applyFill="1" applyBorder="1" applyAlignment="1">
      <alignment horizontal="right"/>
    </xf>
    <xf numFmtId="0" fontId="0" fillId="0" borderId="15" xfId="0" applyFill="1" applyBorder="1" applyAlignment="1" applyProtection="1">
      <alignment vertical="top" wrapText="1"/>
    </xf>
    <xf numFmtId="169" fontId="16" fillId="0" borderId="13" xfId="4" applyNumberFormat="1" applyFont="1" applyFill="1" applyBorder="1" applyAlignment="1" applyProtection="1">
      <alignment vertical="top"/>
      <protection locked="0"/>
    </xf>
    <xf numFmtId="169" fontId="16" fillId="0" borderId="14" xfId="4" applyNumberFormat="1" applyFont="1" applyFill="1" applyBorder="1" applyAlignment="1" applyProtection="1">
      <alignment vertical="top"/>
      <protection locked="0"/>
    </xf>
    <xf numFmtId="169" fontId="16" fillId="0" borderId="15" xfId="4" applyNumberFormat="1" applyFont="1" applyFill="1" applyBorder="1" applyAlignment="1" applyProtection="1">
      <alignment vertical="top"/>
      <protection locked="0"/>
    </xf>
    <xf numFmtId="167" fontId="0" fillId="67" borderId="12" xfId="0" applyNumberFormat="1" applyFill="1" applyBorder="1" applyAlignment="1" applyProtection="1">
      <alignment vertical="top" wrapText="1"/>
    </xf>
    <xf numFmtId="0" fontId="18" fillId="4" borderId="20" xfId="0" applyFont="1" applyFill="1" applyBorder="1" applyAlignment="1" applyProtection="1">
      <alignment vertical="top" wrapText="1"/>
    </xf>
    <xf numFmtId="43" fontId="16" fillId="67" borderId="0" xfId="0" applyNumberFormat="1" applyFont="1" applyFill="1" applyBorder="1" applyAlignment="1">
      <alignment horizontal="left" vertical="top" wrapText="1"/>
    </xf>
    <xf numFmtId="43" fontId="16" fillId="67" borderId="0" xfId="0" applyNumberFormat="1" applyFont="1" applyFill="1" applyBorder="1" applyAlignment="1">
      <alignment vertical="top" wrapText="1"/>
    </xf>
    <xf numFmtId="0" fontId="16" fillId="67" borderId="0" xfId="0" applyFont="1" applyFill="1" applyBorder="1" applyAlignment="1">
      <alignment vertical="top" wrapText="1"/>
    </xf>
    <xf numFmtId="0" fontId="16" fillId="67" borderId="40" xfId="0" applyFont="1" applyFill="1" applyBorder="1" applyAlignment="1">
      <alignment vertical="top" wrapText="1"/>
    </xf>
    <xf numFmtId="0" fontId="16" fillId="67" borderId="36" xfId="0" applyFont="1" applyFill="1" applyBorder="1" applyAlignment="1">
      <alignment horizontal="left" vertical="top" wrapText="1"/>
    </xf>
    <xf numFmtId="0" fontId="16" fillId="67" borderId="36" xfId="0" applyFont="1" applyFill="1" applyBorder="1" applyAlignment="1">
      <alignment vertical="top" wrapText="1"/>
    </xf>
    <xf numFmtId="43" fontId="16" fillId="67" borderId="36" xfId="0" applyNumberFormat="1" applyFont="1" applyFill="1" applyBorder="1" applyAlignment="1">
      <alignment vertical="top" wrapText="1"/>
    </xf>
    <xf numFmtId="43" fontId="16" fillId="67" borderId="57" xfId="0" applyNumberFormat="1" applyFont="1" applyFill="1" applyBorder="1" applyAlignment="1">
      <alignment vertical="top" wrapText="1"/>
    </xf>
    <xf numFmtId="1" fontId="16" fillId="48" borderId="314" xfId="5" applyNumberFormat="1" applyFont="1" applyFill="1" applyBorder="1" applyAlignment="1" applyProtection="1">
      <alignment horizontal="right" vertical="center"/>
      <protection locked="0"/>
    </xf>
    <xf numFmtId="1" fontId="16" fillId="48" borderId="313" xfId="5" applyNumberFormat="1" applyFont="1" applyFill="1" applyBorder="1" applyAlignment="1" applyProtection="1">
      <alignment horizontal="right" vertical="center"/>
      <protection locked="0"/>
    </xf>
    <xf numFmtId="0" fontId="11" fillId="21" borderId="176" xfId="0" applyFont="1" applyFill="1" applyBorder="1" applyAlignment="1" applyProtection="1">
      <alignment vertical="center" wrapText="1"/>
    </xf>
    <xf numFmtId="0" fontId="16" fillId="21" borderId="176" xfId="0" applyFont="1" applyFill="1" applyBorder="1" applyAlignment="1" applyProtection="1">
      <alignment vertical="center" wrapText="1"/>
    </xf>
    <xf numFmtId="0" fontId="0" fillId="21" borderId="176" xfId="0" applyFill="1" applyBorder="1" applyAlignment="1" applyProtection="1">
      <alignment vertical="center" wrapText="1"/>
    </xf>
    <xf numFmtId="43" fontId="3" fillId="67" borderId="43" xfId="4" applyFont="1" applyFill="1" applyBorder="1" applyAlignment="1">
      <alignment vertical="top"/>
    </xf>
    <xf numFmtId="43" fontId="3" fillId="67" borderId="0" xfId="4" applyFont="1" applyFill="1" applyBorder="1" applyAlignment="1">
      <alignment vertical="top"/>
    </xf>
    <xf numFmtId="43" fontId="3" fillId="67" borderId="265" xfId="4" applyFont="1" applyFill="1" applyBorder="1" applyAlignment="1">
      <alignment vertical="top"/>
    </xf>
    <xf numFmtId="43" fontId="3" fillId="67" borderId="268" xfId="4" applyFont="1" applyFill="1" applyBorder="1" applyAlignment="1">
      <alignment vertical="top"/>
    </xf>
    <xf numFmtId="0" fontId="25" fillId="0" borderId="14" xfId="0" applyFont="1" applyFill="1" applyBorder="1" applyAlignment="1" applyProtection="1">
      <alignment vertical="center" wrapText="1"/>
    </xf>
    <xf numFmtId="0" fontId="16" fillId="0" borderId="19" xfId="0" applyFont="1" applyFill="1" applyBorder="1" applyAlignment="1" applyProtection="1">
      <alignment vertical="center" wrapText="1"/>
    </xf>
    <xf numFmtId="0" fontId="16" fillId="0" borderId="18" xfId="0" applyFont="1" applyFill="1" applyBorder="1" applyAlignment="1" applyProtection="1">
      <alignment vertical="center" wrapText="1"/>
    </xf>
    <xf numFmtId="0" fontId="16" fillId="0" borderId="16" xfId="0" applyFont="1" applyFill="1" applyBorder="1" applyAlignment="1" applyProtection="1">
      <alignment vertical="center"/>
    </xf>
    <xf numFmtId="0" fontId="16" fillId="0" borderId="18" xfId="0" applyFont="1" applyFill="1" applyBorder="1" applyAlignment="1" applyProtection="1">
      <alignment vertical="center"/>
    </xf>
    <xf numFmtId="0" fontId="16" fillId="0" borderId="195" xfId="0" applyFont="1" applyFill="1" applyBorder="1" applyAlignment="1" applyProtection="1">
      <alignment vertical="center" wrapText="1"/>
    </xf>
    <xf numFmtId="0" fontId="16" fillId="0" borderId="195" xfId="0" applyFont="1" applyFill="1" applyBorder="1" applyAlignment="1" applyProtection="1">
      <alignment vertical="center"/>
    </xf>
    <xf numFmtId="0" fontId="25" fillId="0" borderId="14" xfId="0" applyFont="1" applyFill="1" applyBorder="1" applyAlignment="1" applyProtection="1">
      <alignment vertical="center"/>
    </xf>
    <xf numFmtId="0" fontId="6" fillId="11" borderId="0" xfId="0" applyFont="1" applyFill="1" applyBorder="1" applyProtection="1">
      <protection locked="0"/>
    </xf>
    <xf numFmtId="0" fontId="6" fillId="2" borderId="0" xfId="0" applyFont="1" applyFill="1" applyBorder="1" applyProtection="1">
      <protection locked="0"/>
    </xf>
    <xf numFmtId="1" fontId="0" fillId="0" borderId="21" xfId="5" applyNumberFormat="1" applyFont="1" applyFill="1" applyBorder="1" applyProtection="1"/>
    <xf numFmtId="2" fontId="0" fillId="0" borderId="15" xfId="5" applyNumberFormat="1" applyFont="1" applyBorder="1" applyProtection="1"/>
    <xf numFmtId="2" fontId="0" fillId="0" borderId="12" xfId="5" applyNumberFormat="1" applyFont="1" applyBorder="1" applyProtection="1"/>
    <xf numFmtId="1" fontId="0" fillId="0" borderId="116" xfId="5" applyNumberFormat="1" applyFont="1" applyBorder="1" applyProtection="1"/>
    <xf numFmtId="1" fontId="0" fillId="0" borderId="18" xfId="5" applyNumberFormat="1" applyFont="1" applyBorder="1" applyProtection="1"/>
    <xf numFmtId="1" fontId="0" fillId="0" borderId="114" xfId="5" applyNumberFormat="1" applyFont="1" applyBorder="1" applyProtection="1"/>
    <xf numFmtId="1" fontId="0" fillId="0" borderId="143" xfId="5" applyNumberFormat="1" applyFont="1" applyBorder="1" applyProtection="1"/>
    <xf numFmtId="1" fontId="0" fillId="0" borderId="116" xfId="5" applyNumberFormat="1" applyFont="1" applyBorder="1" applyAlignment="1" applyProtection="1">
      <alignment wrapText="1"/>
    </xf>
    <xf numFmtId="1" fontId="0" fillId="0" borderId="18" xfId="4" applyNumberFormat="1" applyFont="1" applyBorder="1" applyProtection="1"/>
    <xf numFmtId="2" fontId="0" fillId="0" borderId="122" xfId="5" applyNumberFormat="1" applyFont="1" applyBorder="1" applyAlignment="1" applyProtection="1">
      <alignment wrapText="1"/>
    </xf>
    <xf numFmtId="2" fontId="0" fillId="0" borderId="199" xfId="5" applyNumberFormat="1" applyFont="1" applyBorder="1" applyProtection="1"/>
    <xf numFmtId="2" fontId="0" fillId="0" borderId="199" xfId="4" applyNumberFormat="1" applyFont="1" applyBorder="1" applyProtection="1"/>
    <xf numFmtId="2" fontId="0" fillId="0" borderId="140" xfId="5" applyNumberFormat="1" applyFont="1" applyBorder="1" applyProtection="1"/>
    <xf numFmtId="2" fontId="0" fillId="0" borderId="197" xfId="5" applyNumberFormat="1" applyFont="1" applyFill="1" applyBorder="1" applyAlignment="1" applyProtection="1">
      <alignment wrapText="1"/>
    </xf>
    <xf numFmtId="2" fontId="0" fillId="0" borderId="145" xfId="5" applyNumberFormat="1" applyFont="1" applyFill="1" applyBorder="1" applyProtection="1"/>
    <xf numFmtId="2" fontId="0" fillId="0" borderId="145" xfId="4" applyNumberFormat="1" applyFont="1" applyFill="1" applyBorder="1" applyProtection="1"/>
    <xf numFmtId="2" fontId="0" fillId="0" borderId="139" xfId="5" applyNumberFormat="1" applyFont="1" applyFill="1" applyBorder="1" applyProtection="1"/>
    <xf numFmtId="2" fontId="0" fillId="0" borderId="122" xfId="5" applyNumberFormat="1" applyFont="1" applyBorder="1" applyProtection="1"/>
    <xf numFmtId="2" fontId="0" fillId="0" borderId="144" xfId="5" applyNumberFormat="1" applyFont="1" applyBorder="1" applyProtection="1"/>
    <xf numFmtId="1" fontId="0" fillId="0" borderId="122" xfId="5" applyNumberFormat="1" applyFont="1" applyBorder="1" applyProtection="1"/>
    <xf numFmtId="1" fontId="0" fillId="0" borderId="199" xfId="5" applyNumberFormat="1" applyFont="1" applyBorder="1" applyProtection="1"/>
    <xf numFmtId="2" fontId="0" fillId="0" borderId="22" xfId="5" applyNumberFormat="1" applyFont="1" applyBorder="1" applyProtection="1"/>
    <xf numFmtId="2" fontId="0" fillId="0" borderId="119" xfId="4" applyNumberFormat="1" applyFont="1" applyBorder="1" applyProtection="1"/>
    <xf numFmtId="1" fontId="0" fillId="0" borderId="140" xfId="5" applyNumberFormat="1" applyFont="1" applyBorder="1" applyProtection="1"/>
    <xf numFmtId="1" fontId="0" fillId="0" borderId="123" xfId="5" applyNumberFormat="1" applyFont="1" applyBorder="1" applyProtection="1"/>
    <xf numFmtId="1" fontId="3" fillId="48" borderId="517" xfId="5" applyNumberFormat="1" applyFont="1" applyFill="1" applyBorder="1" applyAlignment="1" applyProtection="1">
      <alignment horizontal="right" wrapText="1" indent="1"/>
      <protection locked="0"/>
    </xf>
    <xf numFmtId="1" fontId="3" fillId="48" borderId="518" xfId="5" applyNumberFormat="1" applyFont="1" applyFill="1" applyBorder="1" applyAlignment="1" applyProtection="1">
      <alignment horizontal="right" wrapText="1" indent="1"/>
      <protection locked="0"/>
    </xf>
    <xf numFmtId="167" fontId="16" fillId="67" borderId="12" xfId="4" applyNumberFormat="1" applyFont="1" applyFill="1" applyBorder="1" applyAlignment="1" applyProtection="1">
      <alignment vertical="top" wrapText="1"/>
    </xf>
    <xf numFmtId="0" fontId="288" fillId="37" borderId="471" xfId="0" applyFont="1" applyFill="1" applyBorder="1" applyAlignment="1" applyProtection="1"/>
    <xf numFmtId="37" fontId="275" fillId="3" borderId="423" xfId="4" applyNumberFormat="1" applyFont="1" applyFill="1" applyBorder="1" applyAlignment="1" applyProtection="1">
      <alignment horizontal="right" vertical="center"/>
    </xf>
    <xf numFmtId="0" fontId="33" fillId="4" borderId="0" xfId="0" applyFont="1" applyFill="1" applyAlignment="1">
      <alignment horizontal="left" vertical="top"/>
    </xf>
    <xf numFmtId="1" fontId="0" fillId="0" borderId="0" xfId="0" applyNumberFormat="1" applyAlignment="1">
      <alignment vertical="top"/>
    </xf>
    <xf numFmtId="0" fontId="0" fillId="0" borderId="0" xfId="0" applyAlignment="1">
      <alignment horizontal="center" vertical="top"/>
    </xf>
    <xf numFmtId="0" fontId="0" fillId="0" borderId="0" xfId="0" applyFill="1" applyAlignment="1">
      <alignment horizontal="center" vertical="top"/>
    </xf>
    <xf numFmtId="0" fontId="57" fillId="0" borderId="0" xfId="0" applyFont="1" applyAlignment="1">
      <alignment horizontal="left" vertical="top" wrapText="1"/>
    </xf>
    <xf numFmtId="175" fontId="0" fillId="0" borderId="0" xfId="0" applyNumberFormat="1" applyAlignment="1">
      <alignment vertical="top"/>
    </xf>
    <xf numFmtId="0" fontId="5" fillId="32" borderId="520" xfId="0" applyFont="1" applyFill="1" applyBorder="1" applyAlignment="1">
      <alignment vertical="top"/>
    </xf>
    <xf numFmtId="0" fontId="0" fillId="32" borderId="520" xfId="0" applyFill="1" applyBorder="1" applyAlignment="1">
      <alignment vertical="top"/>
    </xf>
    <xf numFmtId="0" fontId="319" fillId="0" borderId="0" xfId="0" applyFont="1" applyFill="1" applyAlignment="1">
      <alignment vertical="top"/>
    </xf>
    <xf numFmtId="0" fontId="5" fillId="32" borderId="521" xfId="0" applyFont="1" applyFill="1" applyBorder="1" applyAlignment="1">
      <alignment vertical="top"/>
    </xf>
    <xf numFmtId="0" fontId="0" fillId="32" borderId="521" xfId="0" applyFill="1" applyBorder="1" applyAlignment="1">
      <alignment vertical="top"/>
    </xf>
    <xf numFmtId="0" fontId="186" fillId="32" borderId="521" xfId="0" applyFont="1" applyFill="1" applyBorder="1" applyAlignment="1">
      <alignment vertical="top"/>
    </xf>
    <xf numFmtId="0" fontId="0" fillId="37" borderId="521" xfId="0" applyFill="1" applyBorder="1" applyAlignment="1">
      <alignment horizontal="right" vertical="top"/>
    </xf>
    <xf numFmtId="0" fontId="0" fillId="37" borderId="521" xfId="0" applyFill="1" applyBorder="1" applyAlignment="1">
      <alignment vertical="top"/>
    </xf>
    <xf numFmtId="0" fontId="5" fillId="37" borderId="521" xfId="0" applyFont="1" applyFill="1" applyBorder="1" applyAlignment="1">
      <alignment vertical="top"/>
    </xf>
    <xf numFmtId="0" fontId="268" fillId="0" borderId="0" xfId="0" applyFont="1" applyFill="1" applyAlignment="1">
      <alignment horizontal="right" vertical="top"/>
    </xf>
    <xf numFmtId="176" fontId="5" fillId="0" borderId="0" xfId="0" applyNumberFormat="1" applyFont="1" applyAlignment="1">
      <alignment vertical="top"/>
    </xf>
    <xf numFmtId="0" fontId="33" fillId="0" borderId="0" xfId="0" quotePrefix="1" applyFont="1" applyAlignment="1">
      <alignment horizontal="left" vertical="top"/>
    </xf>
    <xf numFmtId="176" fontId="45" fillId="0" borderId="0" xfId="0" applyNumberFormat="1" applyFont="1" applyAlignment="1">
      <alignment vertical="top"/>
    </xf>
    <xf numFmtId="176" fontId="33" fillId="0" borderId="0" xfId="0" applyNumberFormat="1" applyFont="1" applyAlignment="1">
      <alignment vertical="top"/>
    </xf>
    <xf numFmtId="0" fontId="69" fillId="3" borderId="42" xfId="0" applyFont="1" applyFill="1" applyBorder="1" applyAlignment="1">
      <alignment vertical="top"/>
    </xf>
    <xf numFmtId="0" fontId="0" fillId="3" borderId="43" xfId="0" applyFill="1" applyBorder="1" applyAlignment="1">
      <alignment vertical="top"/>
    </xf>
    <xf numFmtId="0" fontId="0" fillId="3" borderId="41" xfId="0" applyFill="1" applyBorder="1" applyAlignment="1">
      <alignment vertical="top"/>
    </xf>
    <xf numFmtId="0" fontId="0" fillId="3" borderId="0" xfId="0" applyFill="1" applyBorder="1" applyAlignment="1">
      <alignment vertical="top"/>
    </xf>
    <xf numFmtId="9" fontId="1" fillId="0" borderId="323" xfId="5" applyFont="1" applyFill="1" applyBorder="1" applyAlignment="1" applyProtection="1">
      <alignment horizontal="right" vertical="center" wrapText="1"/>
    </xf>
    <xf numFmtId="0" fontId="0" fillId="3" borderId="36" xfId="0" applyFill="1" applyBorder="1" applyAlignment="1">
      <alignment horizontal="center" vertical="top"/>
    </xf>
    <xf numFmtId="166" fontId="5" fillId="0" borderId="0" xfId="0" applyNumberFormat="1" applyFont="1" applyAlignment="1">
      <alignment vertical="top"/>
    </xf>
    <xf numFmtId="0" fontId="33" fillId="2" borderId="0" xfId="0" applyFont="1" applyFill="1" applyAlignment="1">
      <alignment horizontal="left" vertical="top"/>
    </xf>
    <xf numFmtId="176" fontId="5" fillId="63" borderId="274" xfId="0" applyNumberFormat="1" applyFont="1" applyFill="1" applyBorder="1" applyAlignment="1">
      <alignment vertical="top" wrapText="1"/>
    </xf>
    <xf numFmtId="0" fontId="45" fillId="0" borderId="0" xfId="0" applyFont="1" applyFill="1" applyBorder="1" applyAlignment="1">
      <alignment vertical="top"/>
    </xf>
    <xf numFmtId="9" fontId="11" fillId="0" borderId="0" xfId="5" applyFont="1" applyFill="1" applyBorder="1" applyAlignment="1">
      <alignment vertical="top"/>
    </xf>
    <xf numFmtId="0" fontId="0" fillId="70" borderId="0" xfId="0" applyFill="1" applyAlignment="1">
      <alignment vertical="top"/>
    </xf>
    <xf numFmtId="0" fontId="56" fillId="70" borderId="0" xfId="0" applyFont="1" applyFill="1" applyBorder="1" applyAlignment="1">
      <alignment vertical="top"/>
    </xf>
    <xf numFmtId="0" fontId="18" fillId="70" borderId="0" xfId="0" applyFont="1" applyFill="1" applyBorder="1" applyAlignment="1">
      <alignment vertical="top"/>
    </xf>
    <xf numFmtId="166" fontId="0" fillId="0" borderId="36" xfId="0" applyNumberFormat="1" applyBorder="1" applyAlignment="1">
      <alignment vertical="top"/>
    </xf>
    <xf numFmtId="0" fontId="39" fillId="70" borderId="0" xfId="0" applyFont="1" applyFill="1" applyBorder="1" applyAlignment="1">
      <alignment vertical="top"/>
    </xf>
    <xf numFmtId="0" fontId="126" fillId="15" borderId="519" xfId="0" applyFont="1" applyFill="1" applyBorder="1" applyAlignment="1" applyProtection="1">
      <alignment horizontal="center" vertical="center" wrapText="1"/>
    </xf>
    <xf numFmtId="0" fontId="126" fillId="15" borderId="519" xfId="0" applyFont="1" applyFill="1" applyBorder="1" applyAlignment="1" applyProtection="1">
      <alignment horizontal="left" vertical="center"/>
    </xf>
    <xf numFmtId="0" fontId="138" fillId="15" borderId="519" xfId="0" applyFont="1" applyFill="1" applyBorder="1" applyAlignment="1" applyProtection="1">
      <alignment horizontal="center" vertical="center" wrapText="1"/>
    </xf>
    <xf numFmtId="43" fontId="39" fillId="48" borderId="16" xfId="4" applyFont="1" applyFill="1" applyBorder="1" applyAlignment="1" applyProtection="1">
      <alignment horizontal="left" vertical="top"/>
    </xf>
    <xf numFmtId="43" fontId="3" fillId="48" borderId="12" xfId="2" applyFont="1" applyFill="1" applyBorder="1" applyAlignment="1" applyProtection="1">
      <alignment vertical="top"/>
    </xf>
    <xf numFmtId="169" fontId="16" fillId="0" borderId="42" xfId="4" applyNumberFormat="1" applyFont="1" applyFill="1" applyBorder="1" applyAlignment="1" applyProtection="1">
      <alignment vertical="center"/>
      <protection locked="0"/>
    </xf>
    <xf numFmtId="169" fontId="16" fillId="48" borderId="46" xfId="4" applyNumberFormat="1" applyFont="1" applyFill="1" applyBorder="1" applyAlignment="1" applyProtection="1">
      <alignment vertical="center"/>
      <protection locked="0"/>
    </xf>
    <xf numFmtId="169" fontId="16" fillId="48" borderId="20" xfId="4" applyNumberFormat="1" applyFont="1" applyFill="1" applyBorder="1" applyAlignment="1" applyProtection="1">
      <alignment vertical="center"/>
      <protection locked="0"/>
    </xf>
    <xf numFmtId="174" fontId="87" fillId="2" borderId="44" xfId="4" applyNumberFormat="1" applyFont="1" applyFill="1" applyBorder="1" applyAlignment="1" applyProtection="1">
      <alignment vertical="center"/>
    </xf>
    <xf numFmtId="9" fontId="16" fillId="48" borderId="13" xfId="5" applyFont="1" applyFill="1" applyBorder="1" applyAlignment="1" applyProtection="1">
      <alignment vertical="center"/>
      <protection locked="0"/>
    </xf>
    <xf numFmtId="169" fontId="16" fillId="0" borderId="17" xfId="4" applyNumberFormat="1" applyFont="1" applyFill="1" applyBorder="1" applyAlignment="1" applyProtection="1">
      <alignment vertical="center"/>
      <protection locked="0"/>
    </xf>
    <xf numFmtId="174" fontId="87" fillId="2" borderId="17" xfId="4" applyNumberFormat="1" applyFont="1" applyFill="1" applyBorder="1" applyAlignment="1" applyProtection="1">
      <alignment vertical="center"/>
    </xf>
    <xf numFmtId="167" fontId="16" fillId="48" borderId="13" xfId="4" applyNumberFormat="1" applyFont="1" applyFill="1" applyBorder="1" applyAlignment="1" applyProtection="1">
      <alignment vertical="center"/>
      <protection locked="0"/>
    </xf>
    <xf numFmtId="167" fontId="11" fillId="8" borderId="13" xfId="2" applyNumberFormat="1" applyFont="1" applyFill="1" applyBorder="1" applyAlignment="1" applyProtection="1">
      <alignment vertical="top"/>
    </xf>
    <xf numFmtId="167" fontId="16" fillId="4" borderId="14" xfId="2" applyNumberFormat="1" applyFont="1" applyFill="1" applyBorder="1" applyAlignment="1" applyProtection="1">
      <alignment vertical="top"/>
    </xf>
    <xf numFmtId="1" fontId="16" fillId="8" borderId="19" xfId="2" applyNumberFormat="1" applyFont="1" applyFill="1" applyBorder="1" applyAlignment="1" applyProtection="1">
      <alignment horizontal="center" vertical="center"/>
    </xf>
    <xf numFmtId="1" fontId="16" fillId="48" borderId="143" xfId="2" applyNumberFormat="1" applyFont="1" applyFill="1" applyBorder="1" applyAlignment="1" applyProtection="1">
      <alignment horizontal="left" vertical="center"/>
      <protection locked="0"/>
    </xf>
    <xf numFmtId="1" fontId="16" fillId="48" borderId="195" xfId="2" applyNumberFormat="1" applyFont="1" applyFill="1" applyBorder="1" applyAlignment="1" applyProtection="1">
      <alignment horizontal="left" vertical="center"/>
      <protection locked="0"/>
    </xf>
    <xf numFmtId="0" fontId="0" fillId="65" borderId="0" xfId="0" applyFill="1" applyBorder="1" applyAlignment="1" applyProtection="1">
      <alignment vertical="top"/>
    </xf>
    <xf numFmtId="0" fontId="84" fillId="4" borderId="0" xfId="0" applyFont="1" applyFill="1" applyBorder="1" applyAlignment="1" applyProtection="1">
      <alignment horizontal="center" vertical="top"/>
    </xf>
    <xf numFmtId="0" fontId="115" fillId="4" borderId="0" xfId="0" applyFont="1" applyFill="1" applyBorder="1" applyAlignment="1" applyProtection="1">
      <alignment vertical="center"/>
    </xf>
    <xf numFmtId="0" fontId="0" fillId="0" borderId="125" xfId="0" applyFill="1" applyBorder="1" applyAlignment="1" applyProtection="1">
      <alignment wrapText="1"/>
    </xf>
    <xf numFmtId="0" fontId="109" fillId="25" borderId="95" xfId="1" applyFont="1" applyFill="1" applyBorder="1" applyAlignment="1" applyProtection="1">
      <alignment horizontal="right" vertical="center"/>
    </xf>
    <xf numFmtId="0" fontId="0" fillId="12" borderId="78" xfId="0" applyFill="1" applyBorder="1" applyAlignment="1" applyProtection="1">
      <alignment horizontal="left" vertical="center" wrapText="1" indent="1"/>
    </xf>
    <xf numFmtId="0" fontId="0" fillId="12" borderId="32" xfId="0" applyFill="1" applyBorder="1" applyAlignment="1" applyProtection="1">
      <alignment horizontal="left" vertical="center" wrapText="1" indent="1"/>
    </xf>
    <xf numFmtId="0" fontId="0" fillId="12" borderId="522" xfId="0" applyFill="1" applyBorder="1" applyAlignment="1" applyProtection="1">
      <alignment horizontal="left" vertical="center" wrapText="1" indent="1"/>
    </xf>
    <xf numFmtId="0" fontId="7" fillId="6" borderId="77" xfId="0" applyFont="1" applyFill="1" applyBorder="1" applyAlignment="1" applyProtection="1">
      <alignment horizontal="center" vertical="center"/>
    </xf>
    <xf numFmtId="0" fontId="0" fillId="12" borderId="32" xfId="0" applyFill="1" applyBorder="1" applyAlignment="1" applyProtection="1">
      <alignment horizontal="left" vertical="center" indent="1"/>
    </xf>
    <xf numFmtId="0" fontId="0" fillId="12" borderId="524" xfId="0" applyFill="1" applyBorder="1" applyAlignment="1" applyProtection="1">
      <alignment horizontal="left" vertical="center" indent="1"/>
    </xf>
    <xf numFmtId="0" fontId="0" fillId="0" borderId="125" xfId="0" applyBorder="1" applyAlignment="1" applyProtection="1"/>
    <xf numFmtId="0" fontId="306" fillId="25" borderId="0" xfId="0" applyFont="1" applyFill="1" applyBorder="1" applyProtection="1"/>
    <xf numFmtId="0" fontId="306" fillId="25" borderId="0" xfId="0" applyFont="1" applyFill="1" applyBorder="1" applyProtection="1">
      <protection locked="0"/>
    </xf>
    <xf numFmtId="0" fontId="320" fillId="25" borderId="0" xfId="0" applyFont="1" applyFill="1" applyBorder="1" applyAlignment="1" applyProtection="1">
      <alignment vertical="center"/>
    </xf>
    <xf numFmtId="0" fontId="306" fillId="25" borderId="0" xfId="0" applyFont="1" applyFill="1" applyBorder="1" applyAlignment="1" applyProtection="1">
      <alignment wrapText="1"/>
    </xf>
    <xf numFmtId="167" fontId="5" fillId="61" borderId="24" xfId="0" applyNumberFormat="1" applyFont="1" applyFill="1" applyBorder="1" applyAlignment="1">
      <alignment vertical="center"/>
    </xf>
    <xf numFmtId="1" fontId="0" fillId="48" borderId="12" xfId="0" applyNumberFormat="1" applyFont="1" applyFill="1" applyBorder="1" applyAlignment="1" applyProtection="1">
      <alignment horizontal="center" vertical="center"/>
      <protection locked="0"/>
    </xf>
    <xf numFmtId="1" fontId="3" fillId="48" borderId="12" xfId="5" applyNumberFormat="1" applyFont="1" applyFill="1" applyBorder="1" applyAlignment="1" applyProtection="1">
      <alignment horizontal="center" vertical="center"/>
      <protection locked="0"/>
    </xf>
    <xf numFmtId="1" fontId="0" fillId="48" borderId="24" xfId="0" applyNumberFormat="1" applyFont="1" applyFill="1" applyBorder="1" applyAlignment="1" applyProtection="1">
      <alignment horizontal="center" vertical="center"/>
      <protection locked="0"/>
    </xf>
    <xf numFmtId="0" fontId="4" fillId="6" borderId="0" xfId="0" applyFont="1" applyFill="1" applyBorder="1" applyAlignment="1">
      <alignment horizontal="center"/>
    </xf>
    <xf numFmtId="0" fontId="19" fillId="6" borderId="0" xfId="0" applyFont="1" applyFill="1" applyBorder="1" applyAlignment="1">
      <alignment horizontal="center"/>
    </xf>
    <xf numFmtId="0" fontId="182" fillId="6" borderId="0" xfId="0" applyFont="1" applyFill="1" applyBorder="1" applyAlignment="1">
      <alignment horizontal="center" wrapText="1"/>
    </xf>
    <xf numFmtId="0" fontId="179" fillId="6" borderId="92" xfId="0" applyFont="1" applyFill="1" applyBorder="1" applyAlignment="1">
      <alignment horizontal="center" vertical="center" wrapText="1"/>
    </xf>
    <xf numFmtId="0" fontId="179" fillId="6" borderId="0" xfId="0" applyFont="1" applyFill="1" applyBorder="1" applyAlignment="1">
      <alignment horizontal="center" vertical="center" wrapText="1"/>
    </xf>
    <xf numFmtId="0" fontId="179" fillId="6" borderId="93" xfId="0" applyFont="1" applyFill="1" applyBorder="1" applyAlignment="1">
      <alignment horizontal="center" vertical="center" wrapText="1"/>
    </xf>
    <xf numFmtId="0" fontId="158" fillId="6" borderId="0" xfId="0" applyFont="1" applyFill="1" applyBorder="1" applyAlignment="1">
      <alignment horizontal="left"/>
    </xf>
    <xf numFmtId="0" fontId="307" fillId="6" borderId="0" xfId="0" applyFont="1" applyFill="1" applyBorder="1" applyAlignment="1">
      <alignment horizontal="center" vertical="center" wrapText="1"/>
    </xf>
    <xf numFmtId="0" fontId="307" fillId="6" borderId="95" xfId="0" applyFont="1" applyFill="1" applyBorder="1" applyAlignment="1">
      <alignment horizontal="center" vertical="center" wrapText="1"/>
    </xf>
    <xf numFmtId="0" fontId="83" fillId="6" borderId="90" xfId="0" applyFont="1" applyFill="1" applyBorder="1" applyAlignment="1">
      <alignment horizontal="center" vertical="center"/>
    </xf>
    <xf numFmtId="0" fontId="83" fillId="6" borderId="0" xfId="0" applyFont="1" applyFill="1" applyBorder="1" applyAlignment="1">
      <alignment horizontal="center" vertical="center"/>
    </xf>
    <xf numFmtId="0" fontId="308" fillId="6" borderId="92" xfId="0" applyFont="1" applyFill="1" applyBorder="1" applyAlignment="1">
      <alignment horizontal="center"/>
    </xf>
    <xf numFmtId="0" fontId="308" fillId="6" borderId="0" xfId="0" applyFont="1" applyFill="1" applyBorder="1" applyAlignment="1">
      <alignment horizontal="center"/>
    </xf>
    <xf numFmtId="0" fontId="308" fillId="6" borderId="93" xfId="0" applyFont="1" applyFill="1" applyBorder="1" applyAlignment="1">
      <alignment horizontal="center"/>
    </xf>
    <xf numFmtId="0" fontId="252" fillId="7" borderId="0" xfId="0" applyFont="1" applyFill="1" applyBorder="1" applyAlignment="1">
      <alignment horizontal="left" vertical="center" wrapText="1"/>
    </xf>
    <xf numFmtId="0" fontId="228" fillId="4" borderId="0" xfId="0" applyFont="1" applyFill="1" applyBorder="1" applyAlignment="1">
      <alignment horizontal="center" vertical="center"/>
    </xf>
    <xf numFmtId="0" fontId="254" fillId="7" borderId="0" xfId="0" applyFont="1" applyFill="1" applyBorder="1" applyAlignment="1">
      <alignment horizontal="left" vertical="center" wrapText="1"/>
    </xf>
    <xf numFmtId="0" fontId="247" fillId="7" borderId="0" xfId="0" applyFont="1" applyFill="1" applyBorder="1" applyAlignment="1">
      <alignment horizontal="center" vertical="center" wrapText="1"/>
    </xf>
    <xf numFmtId="0" fontId="255" fillId="7" borderId="0" xfId="0" applyFont="1" applyFill="1" applyBorder="1" applyAlignment="1">
      <alignment horizontal="left" vertical="center" wrapText="1"/>
    </xf>
    <xf numFmtId="0" fontId="253" fillId="7" borderId="0" xfId="0" applyFont="1" applyFill="1" applyBorder="1" applyAlignment="1">
      <alignment horizontal="left" vertical="center" wrapText="1"/>
    </xf>
    <xf numFmtId="0" fontId="112" fillId="26" borderId="90" xfId="0" applyFont="1" applyFill="1" applyBorder="1" applyAlignment="1">
      <alignment horizontal="right"/>
    </xf>
    <xf numFmtId="0" fontId="24" fillId="41" borderId="171" xfId="0" applyFont="1" applyFill="1" applyBorder="1" applyAlignment="1">
      <alignment horizontal="left" vertical="center" wrapText="1"/>
    </xf>
    <xf numFmtId="0" fontId="24" fillId="41" borderId="172" xfId="0" applyFont="1" applyFill="1" applyBorder="1" applyAlignment="1">
      <alignment horizontal="left" vertical="center"/>
    </xf>
    <xf numFmtId="0" fontId="24" fillId="41" borderId="173" xfId="0" applyFont="1" applyFill="1" applyBorder="1" applyAlignment="1">
      <alignment horizontal="left" vertical="center"/>
    </xf>
    <xf numFmtId="0" fontId="24" fillId="35" borderId="171" xfId="0" applyFont="1" applyFill="1" applyBorder="1" applyAlignment="1">
      <alignment horizontal="left" vertical="center" wrapText="1"/>
    </xf>
    <xf numFmtId="0" fontId="24" fillId="35" borderId="172" xfId="0" applyFont="1" applyFill="1" applyBorder="1" applyAlignment="1">
      <alignment horizontal="left" vertical="center"/>
    </xf>
    <xf numFmtId="0" fontId="24" fillId="35" borderId="173" xfId="0" applyFont="1" applyFill="1" applyBorder="1" applyAlignment="1">
      <alignment horizontal="left" vertical="center"/>
    </xf>
    <xf numFmtId="0" fontId="113" fillId="6" borderId="0" xfId="0" applyFont="1" applyFill="1" applyBorder="1" applyAlignment="1">
      <alignment horizontal="center" vertical="center"/>
    </xf>
    <xf numFmtId="0" fontId="309" fillId="4" borderId="0" xfId="0" applyFont="1" applyFill="1" applyBorder="1" applyAlignment="1">
      <alignment horizontal="left" vertical="center" wrapText="1" indent="1"/>
    </xf>
    <xf numFmtId="0" fontId="24" fillId="12" borderId="171" xfId="0" applyFont="1" applyFill="1" applyBorder="1" applyAlignment="1">
      <alignment horizontal="left" vertical="center" wrapText="1"/>
    </xf>
    <xf numFmtId="0" fontId="24" fillId="12" borderId="172" xfId="0" applyFont="1" applyFill="1" applyBorder="1" applyAlignment="1">
      <alignment horizontal="left" vertical="center"/>
    </xf>
    <xf numFmtId="0" fontId="24" fillId="12" borderId="173" xfId="0" applyFont="1" applyFill="1" applyBorder="1" applyAlignment="1">
      <alignment horizontal="left" vertical="center"/>
    </xf>
    <xf numFmtId="0" fontId="24" fillId="37" borderId="171" xfId="0" applyFont="1" applyFill="1" applyBorder="1" applyAlignment="1">
      <alignment horizontal="left" vertical="center" wrapText="1"/>
    </xf>
    <xf numFmtId="0" fontId="24" fillId="37" borderId="172" xfId="0" applyFont="1" applyFill="1" applyBorder="1" applyAlignment="1">
      <alignment horizontal="left" vertical="center"/>
    </xf>
    <xf numFmtId="0" fontId="24" fillId="37" borderId="173" xfId="0" applyFont="1" applyFill="1" applyBorder="1" applyAlignment="1">
      <alignment horizontal="left" vertical="center"/>
    </xf>
    <xf numFmtId="0" fontId="249" fillId="7" borderId="0" xfId="0" applyFont="1" applyFill="1" applyBorder="1" applyAlignment="1">
      <alignment horizontal="left" vertical="center" wrapText="1"/>
    </xf>
    <xf numFmtId="0" fontId="103" fillId="26" borderId="0" xfId="1" applyFont="1" applyFill="1" applyBorder="1" applyAlignment="1" applyProtection="1">
      <alignment horizontal="center" vertical="center"/>
    </xf>
    <xf numFmtId="0" fontId="44" fillId="6" borderId="0" xfId="0" applyFont="1" applyFill="1" applyBorder="1" applyAlignment="1">
      <alignment horizontal="center" vertical="center"/>
    </xf>
    <xf numFmtId="0" fontId="101" fillId="26" borderId="90" xfId="0" applyFont="1" applyFill="1" applyBorder="1" applyAlignment="1" applyProtection="1">
      <alignment horizontal="left"/>
    </xf>
    <xf numFmtId="0" fontId="8" fillId="48" borderId="12" xfId="1" applyFill="1" applyBorder="1" applyAlignment="1" applyProtection="1">
      <alignment horizontal="left" indent="2"/>
      <protection locked="0"/>
    </xf>
    <xf numFmtId="0" fontId="24" fillId="48" borderId="12" xfId="0" applyFont="1" applyFill="1" applyBorder="1" applyAlignment="1" applyProtection="1">
      <alignment horizontal="left" indent="2"/>
      <protection locked="0"/>
    </xf>
    <xf numFmtId="0" fontId="157" fillId="48" borderId="12" xfId="1" applyFont="1" applyFill="1" applyBorder="1" applyAlignment="1" applyProtection="1">
      <alignment horizontal="left" indent="2"/>
      <protection locked="0"/>
    </xf>
    <xf numFmtId="0" fontId="24" fillId="48" borderId="13" xfId="0" applyFont="1" applyFill="1" applyBorder="1" applyAlignment="1" applyProtection="1">
      <alignment horizontal="left" indent="2"/>
      <protection locked="0"/>
    </xf>
    <xf numFmtId="0" fontId="24" fillId="48" borderId="15" xfId="0" applyFont="1" applyFill="1" applyBorder="1" applyAlignment="1" applyProtection="1">
      <alignment horizontal="left" indent="2"/>
      <protection locked="0"/>
    </xf>
    <xf numFmtId="0" fontId="48" fillId="48" borderId="13" xfId="0" applyFont="1" applyFill="1" applyBorder="1" applyAlignment="1" applyProtection="1">
      <alignment horizontal="left" indent="2"/>
      <protection locked="0"/>
    </xf>
    <xf numFmtId="0" fontId="48" fillId="48" borderId="15" xfId="0" applyFont="1" applyFill="1" applyBorder="1" applyAlignment="1" applyProtection="1">
      <alignment horizontal="left" indent="2"/>
      <protection locked="0"/>
    </xf>
    <xf numFmtId="0" fontId="48" fillId="48" borderId="12" xfId="0" applyFont="1" applyFill="1" applyBorder="1" applyAlignment="1" applyProtection="1">
      <alignment horizontal="left" indent="2"/>
      <protection locked="0"/>
    </xf>
    <xf numFmtId="0" fontId="25" fillId="7" borderId="12" xfId="0" applyFont="1" applyFill="1" applyBorder="1" applyAlignment="1">
      <alignment horizontal="center" vertical="center"/>
    </xf>
    <xf numFmtId="0" fontId="25" fillId="7" borderId="13" xfId="0" applyFont="1" applyFill="1" applyBorder="1" applyAlignment="1">
      <alignment horizontal="center" vertical="center"/>
    </xf>
    <xf numFmtId="0" fontId="46" fillId="48" borderId="38" xfId="0" applyFont="1" applyFill="1" applyBorder="1" applyAlignment="1" applyProtection="1">
      <alignment horizontal="center" vertical="center"/>
      <protection locked="0"/>
    </xf>
    <xf numFmtId="0" fontId="46" fillId="48" borderId="39" xfId="0" applyFont="1" applyFill="1" applyBorder="1" applyAlignment="1" applyProtection="1">
      <alignment horizontal="center" vertical="center"/>
      <protection locked="0"/>
    </xf>
    <xf numFmtId="0" fontId="298" fillId="4" borderId="4" xfId="0" applyFont="1" applyFill="1" applyBorder="1" applyAlignment="1">
      <alignment horizontal="left" vertical="center" wrapText="1"/>
    </xf>
    <xf numFmtId="0" fontId="298" fillId="4" borderId="0" xfId="0" applyFont="1" applyFill="1" applyBorder="1" applyAlignment="1">
      <alignment horizontal="left" vertical="center" wrapText="1"/>
    </xf>
    <xf numFmtId="0" fontId="48" fillId="0" borderId="12" xfId="0" applyFont="1" applyBorder="1" applyAlignment="1">
      <alignment horizontal="left" vertical="center" indent="2"/>
    </xf>
    <xf numFmtId="49" fontId="46" fillId="48" borderId="12" xfId="0" applyNumberFormat="1" applyFont="1" applyFill="1" applyBorder="1" applyAlignment="1" applyProtection="1">
      <alignment horizontal="center"/>
      <protection locked="0"/>
    </xf>
    <xf numFmtId="49" fontId="46" fillId="48" borderId="13" xfId="0" applyNumberFormat="1" applyFont="1" applyFill="1" applyBorder="1" applyAlignment="1" applyProtection="1">
      <alignment horizontal="center"/>
      <protection locked="0"/>
    </xf>
    <xf numFmtId="49" fontId="46" fillId="48" borderId="15" xfId="0" applyNumberFormat="1" applyFont="1" applyFill="1" applyBorder="1" applyAlignment="1" applyProtection="1">
      <alignment horizontal="center"/>
      <protection locked="0"/>
    </xf>
    <xf numFmtId="0" fontId="48" fillId="7" borderId="12" xfId="0" applyFont="1" applyFill="1" applyBorder="1" applyAlignment="1">
      <alignment horizontal="left" indent="2"/>
    </xf>
    <xf numFmtId="0" fontId="48" fillId="7" borderId="15" xfId="0" applyFont="1" applyFill="1" applyBorder="1" applyAlignment="1">
      <alignment horizontal="left" indent="2"/>
    </xf>
    <xf numFmtId="0" fontId="48" fillId="48" borderId="12" xfId="0" applyFont="1" applyFill="1" applyBorder="1" applyAlignment="1" applyProtection="1">
      <alignment horizontal="left" vertical="center" indent="2"/>
      <protection locked="0"/>
    </xf>
    <xf numFmtId="0" fontId="46" fillId="0" borderId="12" xfId="0" applyFont="1" applyBorder="1" applyAlignment="1">
      <alignment horizontal="center"/>
    </xf>
    <xf numFmtId="0" fontId="212" fillId="2" borderId="0" xfId="0" applyFont="1" applyFill="1" applyBorder="1" applyAlignment="1">
      <alignment horizontal="center" vertical="center" wrapText="1"/>
    </xf>
    <xf numFmtId="0" fontId="25" fillId="8" borderId="19" xfId="0" applyFont="1" applyFill="1" applyBorder="1" applyAlignment="1">
      <alignment horizontal="center" vertical="center"/>
    </xf>
    <xf numFmtId="0" fontId="25" fillId="8" borderId="12" xfId="0" applyFont="1" applyFill="1" applyBorder="1" applyAlignment="1">
      <alignment horizontal="center" vertical="center"/>
    </xf>
    <xf numFmtId="0" fontId="19" fillId="5" borderId="13" xfId="0" applyFont="1" applyFill="1" applyBorder="1" applyAlignment="1" applyProtection="1">
      <alignment horizontal="center" vertical="center"/>
    </xf>
    <xf numFmtId="0" fontId="19" fillId="5" borderId="14" xfId="0" applyFont="1" applyFill="1" applyBorder="1" applyAlignment="1" applyProtection="1">
      <alignment horizontal="center" vertical="center"/>
    </xf>
    <xf numFmtId="0" fontId="19" fillId="5" borderId="15" xfId="0" applyFont="1" applyFill="1" applyBorder="1" applyAlignment="1" applyProtection="1">
      <alignment horizontal="center" vertical="center"/>
    </xf>
    <xf numFmtId="0" fontId="0" fillId="7" borderId="13" xfId="0" applyFill="1" applyBorder="1" applyAlignment="1" applyProtection="1">
      <alignment horizontal="left" vertical="top" wrapText="1" indent="1"/>
    </xf>
    <xf numFmtId="0" fontId="0" fillId="7" borderId="15" xfId="0" applyFill="1" applyBorder="1" applyAlignment="1" applyProtection="1">
      <alignment horizontal="left" vertical="top" wrapText="1" indent="1"/>
    </xf>
    <xf numFmtId="169" fontId="16" fillId="48" borderId="16" xfId="4" applyNumberFormat="1" applyFont="1" applyFill="1" applyBorder="1" applyAlignment="1" applyProtection="1">
      <alignment horizontal="center" vertical="top"/>
      <protection locked="0"/>
    </xf>
    <xf numFmtId="169" fontId="16" fillId="48" borderId="17" xfId="4" applyNumberFormat="1" applyFont="1" applyFill="1" applyBorder="1" applyAlignment="1" applyProtection="1">
      <alignment horizontal="center" vertical="top"/>
      <protection locked="0"/>
    </xf>
    <xf numFmtId="169" fontId="16" fillId="48" borderId="19" xfId="4" applyNumberFormat="1" applyFont="1" applyFill="1" applyBorder="1" applyAlignment="1" applyProtection="1">
      <alignment horizontal="center" vertical="top"/>
      <protection locked="0"/>
    </xf>
    <xf numFmtId="0" fontId="5" fillId="7" borderId="13" xfId="0" applyFont="1" applyFill="1" applyBorder="1" applyAlignment="1" applyProtection="1">
      <alignment horizontal="left" vertical="top" wrapText="1"/>
    </xf>
    <xf numFmtId="0" fontId="5" fillId="7" borderId="14" xfId="0" applyFont="1" applyFill="1" applyBorder="1" applyAlignment="1" applyProtection="1">
      <alignment horizontal="left" vertical="top" wrapText="1"/>
    </xf>
    <xf numFmtId="0" fontId="4" fillId="5" borderId="13" xfId="0" applyFont="1" applyFill="1" applyBorder="1" applyAlignment="1" applyProtection="1">
      <alignment horizontal="center" vertical="center"/>
    </xf>
    <xf numFmtId="0" fontId="4" fillId="5" borderId="15" xfId="0" applyFont="1" applyFill="1" applyBorder="1" applyAlignment="1" applyProtection="1">
      <alignment horizontal="center" vertical="center"/>
    </xf>
    <xf numFmtId="0" fontId="5" fillId="7" borderId="15" xfId="0" applyFont="1" applyFill="1" applyBorder="1" applyAlignment="1" applyProtection="1">
      <alignment horizontal="left" vertical="top" wrapText="1"/>
    </xf>
    <xf numFmtId="0" fontId="0" fillId="7" borderId="13" xfId="0" applyFill="1" applyBorder="1" applyAlignment="1" applyProtection="1">
      <alignment horizontal="left" vertical="top" wrapText="1"/>
    </xf>
    <xf numFmtId="0" fontId="0" fillId="7" borderId="15" xfId="0" applyFill="1" applyBorder="1" applyAlignment="1" applyProtection="1">
      <alignment horizontal="left" vertical="top" wrapText="1"/>
    </xf>
    <xf numFmtId="43" fontId="5" fillId="7" borderId="13" xfId="0" applyNumberFormat="1" applyFont="1" applyFill="1" applyBorder="1" applyAlignment="1" applyProtection="1">
      <alignment horizontal="left" vertical="top"/>
    </xf>
    <xf numFmtId="43" fontId="5" fillId="7" borderId="14" xfId="0" applyNumberFormat="1" applyFont="1" applyFill="1" applyBorder="1" applyAlignment="1" applyProtection="1">
      <alignment horizontal="left" vertical="top"/>
    </xf>
    <xf numFmtId="0" fontId="194" fillId="26" borderId="90" xfId="0" applyFont="1" applyFill="1" applyBorder="1" applyAlignment="1" applyProtection="1">
      <alignment horizontal="center"/>
    </xf>
    <xf numFmtId="0" fontId="7" fillId="6" borderId="0" xfId="0" applyFont="1" applyFill="1" applyBorder="1" applyAlignment="1" applyProtection="1">
      <alignment horizontal="center" vertical="center"/>
    </xf>
    <xf numFmtId="0" fontId="109" fillId="26" borderId="0" xfId="1" applyFont="1" applyFill="1" applyBorder="1" applyAlignment="1" applyProtection="1">
      <alignment horizontal="center" vertical="center"/>
    </xf>
    <xf numFmtId="0" fontId="4" fillId="5" borderId="13" xfId="0" applyFont="1" applyFill="1" applyBorder="1" applyAlignment="1" applyProtection="1">
      <alignment horizontal="center" vertical="top"/>
    </xf>
    <xf numFmtId="0" fontId="4" fillId="5" borderId="15" xfId="0" applyFont="1" applyFill="1" applyBorder="1" applyAlignment="1" applyProtection="1">
      <alignment horizontal="center" vertical="top"/>
    </xf>
    <xf numFmtId="0" fontId="0" fillId="7" borderId="13" xfId="0" applyFill="1" applyBorder="1" applyAlignment="1" applyProtection="1">
      <alignment horizontal="left" vertical="center" wrapText="1"/>
    </xf>
    <xf numFmtId="0" fontId="0" fillId="7" borderId="15" xfId="0" applyFill="1" applyBorder="1" applyAlignment="1" applyProtection="1">
      <alignment horizontal="left" vertical="center" wrapText="1"/>
    </xf>
    <xf numFmtId="0" fontId="16" fillId="7" borderId="12" xfId="0" applyFont="1" applyFill="1" applyBorder="1" applyAlignment="1" applyProtection="1">
      <alignment horizontal="left" vertical="top" wrapText="1"/>
    </xf>
    <xf numFmtId="43" fontId="3" fillId="48" borderId="12" xfId="4" applyFont="1" applyFill="1" applyBorder="1" applyAlignment="1" applyProtection="1">
      <alignment horizontal="right"/>
      <protection locked="0"/>
    </xf>
    <xf numFmtId="0" fontId="0" fillId="0" borderId="13" xfId="0" applyFill="1" applyBorder="1" applyAlignment="1" applyProtection="1">
      <alignment horizontal="left" vertical="top" wrapText="1"/>
    </xf>
    <xf numFmtId="0" fontId="0" fillId="0" borderId="15" xfId="0" applyFill="1" applyBorder="1" applyAlignment="1" applyProtection="1">
      <alignment horizontal="left" vertical="top" wrapText="1"/>
    </xf>
    <xf numFmtId="0" fontId="0" fillId="7" borderId="16" xfId="0" applyFill="1" applyBorder="1" applyAlignment="1" applyProtection="1">
      <alignment horizontal="right" vertical="top"/>
    </xf>
    <xf numFmtId="0" fontId="0" fillId="7" borderId="19" xfId="0" applyFill="1" applyBorder="1" applyAlignment="1" applyProtection="1">
      <alignment horizontal="right" vertical="top"/>
    </xf>
    <xf numFmtId="0" fontId="4" fillId="5" borderId="13" xfId="0" applyFont="1" applyFill="1" applyBorder="1" applyAlignment="1" applyProtection="1">
      <alignment horizontal="center" vertical="center" wrapText="1"/>
    </xf>
    <xf numFmtId="0" fontId="4" fillId="5" borderId="15" xfId="0" applyFont="1" applyFill="1" applyBorder="1" applyAlignment="1" applyProtection="1">
      <alignment horizontal="center" vertical="center" wrapText="1"/>
    </xf>
    <xf numFmtId="0" fontId="0" fillId="7" borderId="15" xfId="0" applyFont="1" applyFill="1" applyBorder="1" applyAlignment="1" applyProtection="1">
      <alignment horizontal="left" vertical="top" wrapText="1"/>
    </xf>
    <xf numFmtId="0" fontId="50" fillId="7" borderId="44" xfId="0" applyFont="1" applyFill="1" applyBorder="1" applyAlignment="1" applyProtection="1">
      <alignment horizontal="right" vertical="top"/>
    </xf>
    <xf numFmtId="0" fontId="50" fillId="7" borderId="57" xfId="0" applyFont="1" applyFill="1" applyBorder="1" applyAlignment="1" applyProtection="1">
      <alignment horizontal="right" vertical="top"/>
    </xf>
    <xf numFmtId="0" fontId="50" fillId="7" borderId="44" xfId="0" applyFont="1" applyFill="1" applyBorder="1" applyAlignment="1" applyProtection="1">
      <alignment horizontal="right"/>
    </xf>
    <xf numFmtId="0" fontId="50" fillId="7" borderId="57" xfId="0" applyFont="1" applyFill="1" applyBorder="1" applyAlignment="1" applyProtection="1">
      <alignment horizontal="right"/>
    </xf>
    <xf numFmtId="167" fontId="16" fillId="48" borderId="13" xfId="4" applyNumberFormat="1" applyFont="1" applyFill="1" applyBorder="1" applyAlignment="1" applyProtection="1">
      <alignment horizontal="center" vertical="center"/>
      <protection locked="0"/>
    </xf>
    <xf numFmtId="167" fontId="16" fillId="48" borderId="16" xfId="2" applyNumberFormat="1" applyFont="1" applyFill="1" applyBorder="1" applyAlignment="1" applyProtection="1">
      <alignment horizontal="center" vertical="center"/>
      <protection locked="0"/>
    </xf>
    <xf numFmtId="167" fontId="16" fillId="48" borderId="19" xfId="2" applyNumberFormat="1" applyFont="1" applyFill="1" applyBorder="1" applyAlignment="1" applyProtection="1">
      <alignment horizontal="center" vertical="center"/>
      <protection locked="0"/>
    </xf>
    <xf numFmtId="1" fontId="16" fillId="48" borderId="13" xfId="2" applyNumberFormat="1" applyFont="1" applyFill="1" applyBorder="1" applyAlignment="1" applyProtection="1">
      <alignment horizontal="center" vertical="center"/>
      <protection locked="0"/>
    </xf>
    <xf numFmtId="1" fontId="16" fillId="48" borderId="15" xfId="2" applyNumberFormat="1" applyFont="1" applyFill="1" applyBorder="1" applyAlignment="1" applyProtection="1">
      <alignment horizontal="center" vertical="center"/>
      <protection locked="0"/>
    </xf>
    <xf numFmtId="0" fontId="0" fillId="7" borderId="13" xfId="0" applyFill="1" applyBorder="1" applyAlignment="1" applyProtection="1">
      <alignment horizontal="left" vertical="top"/>
    </xf>
    <xf numFmtId="0" fontId="0" fillId="7" borderId="15" xfId="0" applyFill="1" applyBorder="1" applyAlignment="1" applyProtection="1">
      <alignment horizontal="left" vertical="top"/>
    </xf>
    <xf numFmtId="0" fontId="50" fillId="7" borderId="44" xfId="0" applyFont="1" applyFill="1" applyBorder="1" applyAlignment="1" applyProtection="1">
      <alignment horizontal="right" vertical="center"/>
    </xf>
    <xf numFmtId="0" fontId="50" fillId="7" borderId="57" xfId="0" applyFont="1" applyFill="1" applyBorder="1" applyAlignment="1" applyProtection="1">
      <alignment horizontal="right" vertical="center"/>
    </xf>
    <xf numFmtId="0" fontId="0" fillId="7" borderId="42" xfId="0" applyFill="1" applyBorder="1" applyAlignment="1" applyProtection="1">
      <alignment horizontal="left" vertical="top" wrapText="1"/>
    </xf>
    <xf numFmtId="0" fontId="0" fillId="7" borderId="41" xfId="0" applyFill="1" applyBorder="1" applyAlignment="1" applyProtection="1">
      <alignment horizontal="left" vertical="top" wrapText="1"/>
    </xf>
    <xf numFmtId="0" fontId="16" fillId="7" borderId="13" xfId="0" applyFont="1" applyFill="1" applyBorder="1" applyAlignment="1" applyProtection="1">
      <alignment horizontal="left" vertical="top" wrapText="1"/>
    </xf>
    <xf numFmtId="0" fontId="16" fillId="7" borderId="15" xfId="0" applyFont="1" applyFill="1" applyBorder="1" applyAlignment="1" applyProtection="1">
      <alignment horizontal="left" vertical="top" wrapText="1"/>
    </xf>
    <xf numFmtId="0" fontId="16" fillId="0" borderId="13" xfId="0" applyFont="1" applyFill="1" applyBorder="1" applyAlignment="1" applyProtection="1">
      <alignment horizontal="left" vertical="top" wrapText="1"/>
    </xf>
    <xf numFmtId="0" fontId="16" fillId="0" borderId="15" xfId="0" applyFont="1" applyFill="1" applyBorder="1" applyAlignment="1" applyProtection="1">
      <alignment horizontal="left" vertical="top" wrapText="1"/>
    </xf>
    <xf numFmtId="0" fontId="0" fillId="7" borderId="42" xfId="0" applyFill="1" applyBorder="1" applyAlignment="1" applyProtection="1">
      <alignment horizontal="left" vertical="top"/>
    </xf>
    <xf numFmtId="0" fontId="0" fillId="7" borderId="41" xfId="0" applyFill="1" applyBorder="1" applyAlignment="1" applyProtection="1">
      <alignment horizontal="left" vertical="top"/>
    </xf>
    <xf numFmtId="0" fontId="16" fillId="7" borderId="13" xfId="0" applyFont="1" applyFill="1" applyBorder="1" applyAlignment="1" applyProtection="1">
      <alignment horizontal="left" vertical="center" wrapText="1"/>
    </xf>
    <xf numFmtId="0" fontId="16" fillId="7" borderId="15" xfId="0" applyFont="1" applyFill="1" applyBorder="1" applyAlignment="1" applyProtection="1">
      <alignment horizontal="left" vertical="center" wrapText="1"/>
    </xf>
    <xf numFmtId="0" fontId="26" fillId="0" borderId="14" xfId="0" applyFont="1" applyFill="1" applyBorder="1" applyAlignment="1" applyProtection="1">
      <alignment horizontal="left" vertical="center" wrapText="1"/>
    </xf>
    <xf numFmtId="0" fontId="26" fillId="0" borderId="15" xfId="0" applyFont="1" applyFill="1" applyBorder="1" applyAlignment="1" applyProtection="1">
      <alignment horizontal="left" vertical="center" wrapText="1"/>
    </xf>
    <xf numFmtId="0" fontId="16" fillId="7" borderId="13" xfId="0" applyFont="1" applyFill="1" applyBorder="1" applyAlignment="1" applyProtection="1">
      <alignment horizontal="left" vertical="top"/>
    </xf>
    <xf numFmtId="0" fontId="16" fillId="7" borderId="15" xfId="0" applyFont="1" applyFill="1" applyBorder="1" applyAlignment="1" applyProtection="1">
      <alignment horizontal="left" vertical="top"/>
    </xf>
    <xf numFmtId="0" fontId="0" fillId="7" borderId="43" xfId="0" applyFill="1" applyBorder="1" applyAlignment="1" applyProtection="1">
      <alignment horizontal="left" vertical="top"/>
    </xf>
    <xf numFmtId="0" fontId="16" fillId="0" borderId="20" xfId="0" quotePrefix="1" applyFont="1" applyFill="1" applyBorder="1" applyAlignment="1" applyProtection="1">
      <alignment horizontal="left" vertical="top" wrapText="1"/>
    </xf>
    <xf numFmtId="0" fontId="16" fillId="0" borderId="40" xfId="0" applyFont="1" applyFill="1" applyBorder="1" applyAlignment="1" applyProtection="1">
      <alignment horizontal="left" vertical="top" wrapText="1"/>
    </xf>
    <xf numFmtId="0" fontId="16" fillId="0" borderId="42" xfId="0" applyFont="1" applyFill="1" applyBorder="1" applyAlignment="1" applyProtection="1">
      <alignment horizontal="left" vertical="top" wrapText="1"/>
    </xf>
    <xf numFmtId="0" fontId="16" fillId="0" borderId="41" xfId="0" applyFont="1" applyFill="1" applyBorder="1" applyAlignment="1" applyProtection="1">
      <alignment horizontal="left" vertical="top" wrapText="1"/>
    </xf>
    <xf numFmtId="0" fontId="11" fillId="7" borderId="13" xfId="0" applyFont="1" applyFill="1" applyBorder="1" applyAlignment="1" applyProtection="1">
      <alignment horizontal="right" vertical="top" wrapText="1"/>
    </xf>
    <xf numFmtId="0" fontId="11" fillId="7" borderId="15" xfId="0" applyFont="1" applyFill="1" applyBorder="1" applyAlignment="1" applyProtection="1">
      <alignment horizontal="right" vertical="top" wrapText="1"/>
    </xf>
    <xf numFmtId="0" fontId="16" fillId="0" borderId="62" xfId="0" quotePrefix="1" applyFont="1" applyFill="1" applyBorder="1" applyAlignment="1" applyProtection="1">
      <alignment horizontal="left" vertical="center" wrapText="1"/>
    </xf>
    <xf numFmtId="0" fontId="16" fillId="0" borderId="86" xfId="0" quotePrefix="1" applyFont="1" applyFill="1" applyBorder="1" applyAlignment="1" applyProtection="1">
      <alignment horizontal="left" vertical="center" wrapText="1"/>
    </xf>
    <xf numFmtId="0" fontId="16" fillId="0" borderId="44" xfId="0" quotePrefix="1" applyFont="1" applyFill="1" applyBorder="1" applyAlignment="1" applyProtection="1">
      <alignment horizontal="left" vertical="center" wrapText="1"/>
    </xf>
    <xf numFmtId="0" fontId="16" fillId="0" borderId="57" xfId="0" quotePrefix="1" applyFont="1" applyFill="1" applyBorder="1" applyAlignment="1" applyProtection="1">
      <alignment horizontal="left" vertical="center" wrapText="1"/>
    </xf>
    <xf numFmtId="1" fontId="16" fillId="48" borderId="49" xfId="2" applyNumberFormat="1" applyFont="1" applyFill="1" applyBorder="1" applyAlignment="1" applyProtection="1">
      <alignment horizontal="center" vertical="center"/>
      <protection locked="0"/>
    </xf>
    <xf numFmtId="1" fontId="16" fillId="48" borderId="50" xfId="2" applyNumberFormat="1" applyFont="1" applyFill="1" applyBorder="1" applyAlignment="1" applyProtection="1">
      <alignment horizontal="center" vertical="center"/>
      <protection locked="0"/>
    </xf>
    <xf numFmtId="1" fontId="16" fillId="8" borderId="75" xfId="2" applyNumberFormat="1" applyFont="1" applyFill="1" applyBorder="1" applyAlignment="1" applyProtection="1">
      <alignment horizontal="center" vertical="center"/>
    </xf>
    <xf numFmtId="1" fontId="16" fillId="8" borderId="79" xfId="2" applyNumberFormat="1" applyFont="1" applyFill="1" applyBorder="1" applyAlignment="1" applyProtection="1">
      <alignment horizontal="center" vertical="center"/>
    </xf>
    <xf numFmtId="0" fontId="318" fillId="4" borderId="20" xfId="0" applyFont="1" applyFill="1" applyBorder="1" applyAlignment="1" applyProtection="1">
      <alignment horizontal="right" vertical="top" wrapText="1"/>
    </xf>
    <xf numFmtId="0" fontId="318" fillId="4" borderId="0" xfId="0" applyFont="1" applyFill="1" applyBorder="1" applyAlignment="1" applyProtection="1">
      <alignment horizontal="right" vertical="top" wrapText="1"/>
    </xf>
    <xf numFmtId="0" fontId="0" fillId="7" borderId="125" xfId="0" applyFill="1" applyBorder="1" applyAlignment="1" applyProtection="1">
      <alignment horizontal="center" vertical="top" wrapText="1"/>
    </xf>
    <xf numFmtId="0" fontId="0" fillId="7" borderId="74" xfId="0" applyFill="1" applyBorder="1" applyAlignment="1" applyProtection="1">
      <alignment horizontal="center" vertical="top" wrapText="1"/>
    </xf>
    <xf numFmtId="0" fontId="0" fillId="7" borderId="47" xfId="0" applyFill="1" applyBorder="1" applyAlignment="1" applyProtection="1">
      <alignment horizontal="center" vertical="top" wrapText="1"/>
    </xf>
    <xf numFmtId="0" fontId="0" fillId="7" borderId="43" xfId="0" applyFill="1" applyBorder="1" applyAlignment="1" applyProtection="1">
      <alignment horizontal="center" vertical="top" wrapText="1"/>
    </xf>
    <xf numFmtId="0" fontId="0" fillId="7" borderId="41" xfId="0" applyFill="1" applyBorder="1" applyAlignment="1" applyProtection="1">
      <alignment horizontal="center" vertical="top" wrapText="1"/>
    </xf>
    <xf numFmtId="0" fontId="0" fillId="48" borderId="13" xfId="0" applyFill="1" applyBorder="1" applyAlignment="1" applyProtection="1">
      <alignment horizontal="center" vertical="center"/>
      <protection locked="0"/>
    </xf>
    <xf numFmtId="0" fontId="0" fillId="48" borderId="15" xfId="0" applyFill="1" applyBorder="1" applyAlignment="1" applyProtection="1">
      <alignment horizontal="center" vertical="center"/>
      <protection locked="0"/>
    </xf>
    <xf numFmtId="0" fontId="135" fillId="2" borderId="90" xfId="1" applyFont="1" applyFill="1" applyBorder="1" applyAlignment="1" applyProtection="1">
      <alignment horizontal="left" vertical="center" wrapText="1"/>
    </xf>
    <xf numFmtId="0" fontId="135" fillId="2" borderId="0" xfId="1" applyFont="1" applyFill="1" applyBorder="1" applyAlignment="1" applyProtection="1">
      <alignment horizontal="left" vertical="center" wrapText="1"/>
    </xf>
    <xf numFmtId="0" fontId="135" fillId="2" borderId="0" xfId="1" applyFont="1" applyFill="1" applyBorder="1" applyAlignment="1" applyProtection="1">
      <alignment horizontal="left" vertical="top" wrapText="1"/>
    </xf>
    <xf numFmtId="0" fontId="111" fillId="2" borderId="90"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111" fillId="7" borderId="0" xfId="0" applyFont="1" applyFill="1" applyBorder="1" applyAlignment="1" applyProtection="1">
      <alignment horizontal="center" vertical="center"/>
    </xf>
    <xf numFmtId="0" fontId="16" fillId="0" borderId="16" xfId="0" applyFont="1" applyFill="1" applyBorder="1" applyAlignment="1" applyProtection="1">
      <alignment horizontal="right" vertical="top"/>
    </xf>
    <xf numFmtId="0" fontId="16" fillId="0" borderId="17" xfId="0" applyFont="1" applyFill="1" applyBorder="1" applyAlignment="1" applyProtection="1">
      <alignment horizontal="right" vertical="top"/>
    </xf>
    <xf numFmtId="0" fontId="16" fillId="0" borderId="19" xfId="0" applyFont="1" applyFill="1" applyBorder="1" applyAlignment="1" applyProtection="1">
      <alignment horizontal="right" vertical="top"/>
    </xf>
    <xf numFmtId="0" fontId="104" fillId="26" borderId="0" xfId="1" applyFont="1" applyFill="1" applyBorder="1" applyAlignment="1" applyProtection="1">
      <alignment horizontal="center" vertical="center"/>
    </xf>
    <xf numFmtId="0" fontId="111" fillId="7" borderId="36" xfId="0" applyFont="1" applyFill="1" applyBorder="1" applyAlignment="1" applyProtection="1">
      <alignment horizontal="center" vertical="center"/>
    </xf>
    <xf numFmtId="0" fontId="111" fillId="7" borderId="110" xfId="0" applyFont="1" applyFill="1" applyBorder="1" applyAlignment="1" applyProtection="1">
      <alignment horizontal="center" vertical="center"/>
    </xf>
    <xf numFmtId="0" fontId="44" fillId="6" borderId="0" xfId="0" applyFont="1" applyFill="1" applyBorder="1" applyAlignment="1" applyProtection="1">
      <alignment horizontal="center" vertical="center"/>
    </xf>
    <xf numFmtId="0" fontId="108" fillId="2" borderId="90" xfId="0" applyFont="1" applyFill="1" applyBorder="1" applyAlignment="1" applyProtection="1">
      <alignment horizontal="center" vertical="center" wrapText="1"/>
    </xf>
    <xf numFmtId="0" fontId="135" fillId="2" borderId="90" xfId="1" applyFont="1" applyFill="1" applyBorder="1" applyAlignment="1" applyProtection="1">
      <alignment horizontal="left" vertical="center"/>
    </xf>
    <xf numFmtId="0" fontId="42" fillId="5" borderId="13" xfId="0" applyFont="1" applyFill="1" applyBorder="1" applyAlignment="1" applyProtection="1">
      <alignment horizontal="center" vertical="top"/>
    </xf>
    <xf numFmtId="0" fontId="42" fillId="5" borderId="15" xfId="0" applyFont="1" applyFill="1" applyBorder="1" applyAlignment="1" applyProtection="1">
      <alignment horizontal="center" vertical="top"/>
    </xf>
    <xf numFmtId="0" fontId="42" fillId="5" borderId="449" xfId="0" applyFont="1" applyFill="1" applyBorder="1" applyAlignment="1" applyProtection="1">
      <alignment horizontal="center" vertical="top"/>
    </xf>
    <xf numFmtId="0" fontId="42" fillId="5" borderId="54" xfId="0" applyFont="1" applyFill="1" applyBorder="1" applyAlignment="1" applyProtection="1">
      <alignment horizontal="center" vertical="top"/>
    </xf>
    <xf numFmtId="0" fontId="0" fillId="7" borderId="12" xfId="0" applyFill="1" applyBorder="1" applyAlignment="1" applyProtection="1">
      <alignment horizontal="left" vertical="center" wrapText="1" indent="1"/>
    </xf>
    <xf numFmtId="0" fontId="0" fillId="7" borderId="13" xfId="0" applyFill="1" applyBorder="1" applyAlignment="1" applyProtection="1">
      <alignment horizontal="left" vertical="center" wrapText="1" indent="1"/>
    </xf>
    <xf numFmtId="0" fontId="0" fillId="7" borderId="15" xfId="0" applyFill="1" applyBorder="1" applyAlignment="1" applyProtection="1">
      <alignment horizontal="left" vertical="center" wrapText="1" indent="1"/>
    </xf>
    <xf numFmtId="0" fontId="4" fillId="5" borderId="12" xfId="0" applyFont="1" applyFill="1" applyBorder="1" applyAlignment="1" applyProtection="1">
      <alignment horizontal="center" vertical="top"/>
    </xf>
    <xf numFmtId="0" fontId="147" fillId="4" borderId="0" xfId="0" applyFont="1" applyFill="1" applyBorder="1" applyAlignment="1" applyProtection="1">
      <alignment horizontal="left" vertical="center" wrapText="1" indent="1"/>
    </xf>
    <xf numFmtId="0" fontId="4" fillId="5" borderId="12" xfId="0" applyFont="1" applyFill="1" applyBorder="1" applyAlignment="1" applyProtection="1">
      <alignment horizontal="center" vertical="center" wrapText="1"/>
    </xf>
    <xf numFmtId="0" fontId="4" fillId="5" borderId="43" xfId="0" applyFont="1" applyFill="1" applyBorder="1" applyAlignment="1" applyProtection="1">
      <alignment horizontal="center" vertical="center" wrapText="1"/>
    </xf>
    <xf numFmtId="0" fontId="4" fillId="5" borderId="36" xfId="0" applyFont="1" applyFill="1" applyBorder="1" applyAlignment="1" applyProtection="1">
      <alignment horizontal="center" vertical="center" wrapText="1"/>
    </xf>
    <xf numFmtId="0" fontId="42" fillId="5" borderId="14" xfId="0" applyFont="1" applyFill="1" applyBorder="1" applyAlignment="1" applyProtection="1">
      <alignment horizontal="center" vertical="top"/>
    </xf>
    <xf numFmtId="0" fontId="133" fillId="4" borderId="0" xfId="0" applyFont="1" applyFill="1" applyAlignment="1" applyProtection="1">
      <alignment horizontal="left" vertical="top" wrapText="1"/>
    </xf>
    <xf numFmtId="0" fontId="83" fillId="6" borderId="0" xfId="0" applyFont="1" applyFill="1" applyBorder="1" applyAlignment="1" applyProtection="1">
      <alignment horizontal="center" vertical="center"/>
    </xf>
    <xf numFmtId="0" fontId="108" fillId="4" borderId="0" xfId="0" applyFont="1" applyFill="1" applyAlignment="1" applyProtection="1">
      <alignment horizontal="left" vertical="top" wrapText="1"/>
    </xf>
    <xf numFmtId="0" fontId="314" fillId="0" borderId="75" xfId="0" applyFont="1" applyBorder="1" applyAlignment="1" applyProtection="1">
      <alignment horizontal="left" wrapText="1"/>
    </xf>
    <xf numFmtId="0" fontId="314" fillId="0" borderId="76" xfId="0" applyFont="1" applyBorder="1" applyAlignment="1" applyProtection="1">
      <alignment horizontal="left" wrapText="1"/>
    </xf>
    <xf numFmtId="0" fontId="314" fillId="0" borderId="79" xfId="0" applyFont="1" applyBorder="1" applyAlignment="1" applyProtection="1">
      <alignment horizontal="left" wrapText="1"/>
    </xf>
    <xf numFmtId="0" fontId="314" fillId="0" borderId="75" xfId="0" quotePrefix="1" applyFont="1" applyBorder="1" applyAlignment="1" applyProtection="1">
      <alignment horizontal="left" wrapText="1"/>
    </xf>
    <xf numFmtId="0" fontId="7" fillId="25" borderId="95" xfId="0" applyFont="1" applyFill="1" applyBorder="1" applyAlignment="1" applyProtection="1">
      <alignment horizontal="left" vertical="center"/>
    </xf>
    <xf numFmtId="0" fontId="7" fillId="25" borderId="95" xfId="0" applyFont="1" applyFill="1" applyBorder="1" applyAlignment="1" applyProtection="1">
      <alignment horizontal="center" vertical="center"/>
    </xf>
    <xf numFmtId="0" fontId="109" fillId="25" borderId="95" xfId="1" applyFont="1" applyFill="1" applyBorder="1" applyAlignment="1" applyProtection="1">
      <alignment horizontal="center" vertical="center"/>
    </xf>
    <xf numFmtId="0" fontId="135" fillId="2" borderId="297" xfId="1" applyFont="1" applyFill="1" applyBorder="1" applyAlignment="1" applyProtection="1">
      <alignment horizontal="left" vertical="center" wrapText="1"/>
    </xf>
    <xf numFmtId="0" fontId="181" fillId="24" borderId="12" xfId="0" applyFont="1" applyFill="1" applyBorder="1" applyAlignment="1" applyProtection="1">
      <alignment horizontal="center" vertical="center"/>
    </xf>
    <xf numFmtId="0" fontId="181" fillId="20" borderId="12" xfId="0" applyFont="1" applyFill="1" applyBorder="1" applyAlignment="1" applyProtection="1">
      <alignment horizontal="center" vertical="center"/>
    </xf>
    <xf numFmtId="0" fontId="4" fillId="10" borderId="14" xfId="0" applyFont="1" applyFill="1" applyBorder="1" applyAlignment="1" applyProtection="1">
      <alignment horizontal="left" vertical="center" indent="1"/>
    </xf>
    <xf numFmtId="0" fontId="4" fillId="10" borderId="15" xfId="0" applyFont="1" applyFill="1" applyBorder="1" applyAlignment="1" applyProtection="1">
      <alignment horizontal="left" vertical="center" indent="1"/>
    </xf>
    <xf numFmtId="0" fontId="7" fillId="24" borderId="13" xfId="0" applyFont="1" applyFill="1" applyBorder="1" applyAlignment="1" applyProtection="1">
      <alignment horizontal="center" vertical="center"/>
    </xf>
    <xf numFmtId="0" fontId="7" fillId="24" borderId="14" xfId="0" applyFont="1" applyFill="1" applyBorder="1" applyAlignment="1" applyProtection="1">
      <alignment horizontal="center" vertical="center"/>
    </xf>
    <xf numFmtId="0" fontId="25" fillId="21" borderId="430" xfId="0" applyFont="1" applyFill="1" applyBorder="1" applyAlignment="1" applyProtection="1">
      <alignment horizontal="center" vertical="center" wrapText="1"/>
    </xf>
    <xf numFmtId="0" fontId="25" fillId="21" borderId="433" xfId="0" applyFont="1" applyFill="1" applyBorder="1" applyAlignment="1" applyProtection="1">
      <alignment horizontal="center" vertical="center" wrapText="1"/>
    </xf>
    <xf numFmtId="0" fontId="118" fillId="15" borderId="170" xfId="0" applyFont="1" applyFill="1" applyBorder="1" applyAlignment="1" applyProtection="1">
      <alignment horizontal="left" vertical="center" wrapText="1"/>
    </xf>
    <xf numFmtId="0" fontId="46" fillId="21" borderId="431" xfId="0" applyFont="1" applyFill="1" applyBorder="1" applyAlignment="1" applyProtection="1">
      <alignment horizontal="center" vertical="center" wrapText="1"/>
    </xf>
    <xf numFmtId="0" fontId="46" fillId="21" borderId="432" xfId="0" applyFont="1" applyFill="1" applyBorder="1" applyAlignment="1" applyProtection="1">
      <alignment horizontal="center" vertical="center" wrapText="1"/>
    </xf>
    <xf numFmtId="0" fontId="223" fillId="26" borderId="90" xfId="0" applyFont="1" applyFill="1" applyBorder="1" applyAlignment="1" applyProtection="1">
      <alignment horizontal="center"/>
    </xf>
    <xf numFmtId="0" fontId="113" fillId="6" borderId="0" xfId="0" applyFont="1" applyFill="1" applyBorder="1" applyAlignment="1" applyProtection="1">
      <alignment horizontal="center" vertical="center"/>
    </xf>
    <xf numFmtId="0" fontId="114" fillId="26" borderId="0" xfId="1" applyFont="1" applyFill="1" applyBorder="1" applyAlignment="1" applyProtection="1">
      <alignment horizontal="center" vertical="center"/>
    </xf>
    <xf numFmtId="0" fontId="115" fillId="7" borderId="0" xfId="0" applyFont="1" applyFill="1" applyBorder="1" applyAlignment="1" applyProtection="1">
      <alignment horizontal="center" vertical="center"/>
    </xf>
    <xf numFmtId="0" fontId="135" fillId="2" borderId="206" xfId="1" applyFont="1" applyFill="1" applyBorder="1" applyAlignment="1" applyProtection="1">
      <alignment horizontal="left" vertical="center" wrapText="1" indent="1"/>
    </xf>
    <xf numFmtId="0" fontId="0" fillId="34" borderId="14" xfId="0" applyFill="1" applyBorder="1" applyAlignment="1" applyProtection="1">
      <alignment horizontal="center"/>
    </xf>
    <xf numFmtId="0" fontId="0" fillId="34" borderId="15" xfId="0" applyFill="1" applyBorder="1" applyAlignment="1" applyProtection="1">
      <alignment horizontal="center"/>
    </xf>
    <xf numFmtId="0" fontId="181" fillId="33" borderId="12" xfId="0" applyFont="1" applyFill="1" applyBorder="1" applyAlignment="1" applyProtection="1">
      <alignment horizontal="center" vertical="center"/>
    </xf>
    <xf numFmtId="0" fontId="16" fillId="0" borderId="441" xfId="0" applyFont="1" applyFill="1" applyBorder="1" applyAlignment="1" applyProtection="1">
      <alignment horizontal="left" vertical="top" wrapText="1" indent="3"/>
    </xf>
    <xf numFmtId="0" fontId="16" fillId="0" borderId="408" xfId="0" applyFont="1" applyFill="1" applyBorder="1" applyAlignment="1" applyProtection="1">
      <alignment horizontal="left" vertical="top" wrapText="1" indent="3"/>
    </xf>
    <xf numFmtId="0" fontId="25" fillId="34" borderId="438" xfId="0" applyFont="1" applyFill="1" applyBorder="1" applyAlignment="1" applyProtection="1">
      <alignment horizontal="center" vertical="center" wrapText="1"/>
    </xf>
    <xf numFmtId="0" fontId="25" fillId="34" borderId="439" xfId="0" applyFont="1" applyFill="1" applyBorder="1" applyAlignment="1" applyProtection="1">
      <alignment horizontal="center" vertical="center" wrapText="1"/>
    </xf>
    <xf numFmtId="0" fontId="25" fillId="34" borderId="441" xfId="0" applyFont="1" applyFill="1" applyBorder="1" applyAlignment="1" applyProtection="1">
      <alignment horizontal="center" vertical="center" wrapText="1"/>
    </xf>
    <xf numFmtId="0" fontId="25" fillId="34" borderId="408" xfId="0" applyFont="1" applyFill="1" applyBorder="1" applyAlignment="1" applyProtection="1">
      <alignment horizontal="center" vertical="center" wrapText="1"/>
    </xf>
    <xf numFmtId="0" fontId="7" fillId="33" borderId="13" xfId="0" applyFont="1" applyFill="1" applyBorder="1" applyAlignment="1" applyProtection="1">
      <alignment horizontal="center" vertical="center"/>
    </xf>
    <xf numFmtId="0" fontId="7" fillId="33" borderId="14" xfId="0" applyFont="1" applyFill="1" applyBorder="1" applyAlignment="1" applyProtection="1">
      <alignment horizontal="center" vertical="center"/>
    </xf>
    <xf numFmtId="0" fontId="25" fillId="34" borderId="439" xfId="0" applyFont="1" applyFill="1" applyBorder="1" applyAlignment="1" applyProtection="1">
      <alignment horizontal="center"/>
    </xf>
    <xf numFmtId="0" fontId="25" fillId="34" borderId="440" xfId="0" applyFont="1" applyFill="1" applyBorder="1" applyAlignment="1" applyProtection="1">
      <alignment horizontal="center"/>
    </xf>
    <xf numFmtId="0" fontId="0" fillId="21" borderId="15" xfId="0" applyFont="1" applyFill="1" applyBorder="1" applyAlignment="1" applyProtection="1">
      <alignment horizontal="left" vertical="center" wrapText="1"/>
    </xf>
    <xf numFmtId="0" fontId="0" fillId="21" borderId="12" xfId="0" applyFont="1" applyFill="1" applyBorder="1" applyAlignment="1" applyProtection="1">
      <alignment horizontal="left" vertical="center" wrapText="1"/>
    </xf>
    <xf numFmtId="0" fontId="0" fillId="21" borderId="13" xfId="0" applyFont="1" applyFill="1" applyBorder="1" applyAlignment="1" applyProtection="1">
      <alignment horizontal="left" vertical="center" wrapText="1"/>
    </xf>
    <xf numFmtId="0" fontId="0" fillId="21" borderId="15" xfId="0" applyFill="1" applyBorder="1" applyAlignment="1" applyProtection="1">
      <alignment horizontal="left" vertical="center" wrapText="1"/>
    </xf>
    <xf numFmtId="0" fontId="0" fillId="21" borderId="12" xfId="0" applyFill="1" applyBorder="1" applyAlignment="1" applyProtection="1">
      <alignment horizontal="left" vertical="center" wrapText="1"/>
    </xf>
    <xf numFmtId="0" fontId="0" fillId="21" borderId="13" xfId="0" applyFill="1" applyBorder="1" applyAlignment="1" applyProtection="1">
      <alignment horizontal="left" vertical="center" wrapText="1"/>
    </xf>
    <xf numFmtId="0" fontId="0" fillId="21" borderId="41" xfId="0" applyFill="1" applyBorder="1" applyAlignment="1" applyProtection="1">
      <alignment horizontal="left" vertical="center" wrapText="1"/>
    </xf>
    <xf numFmtId="0" fontId="0" fillId="21" borderId="16" xfId="0" applyFill="1" applyBorder="1" applyAlignment="1" applyProtection="1">
      <alignment horizontal="left" vertical="center" wrapText="1"/>
    </xf>
    <xf numFmtId="0" fontId="0" fillId="21" borderId="42" xfId="0" applyFill="1" applyBorder="1" applyAlignment="1" applyProtection="1">
      <alignment horizontal="left" vertical="center" wrapText="1"/>
    </xf>
    <xf numFmtId="0" fontId="0" fillId="21" borderId="57" xfId="0" applyFont="1" applyFill="1" applyBorder="1" applyAlignment="1" applyProtection="1">
      <alignment horizontal="left" vertical="center" wrapText="1"/>
    </xf>
    <xf numFmtId="0" fontId="0" fillId="21" borderId="19" xfId="0" applyFont="1" applyFill="1" applyBorder="1" applyAlignment="1" applyProtection="1">
      <alignment horizontal="left" vertical="center" wrapText="1"/>
    </xf>
    <xf numFmtId="0" fontId="0" fillId="21" borderId="44" xfId="0" applyFont="1" applyFill="1" applyBorder="1" applyAlignment="1" applyProtection="1">
      <alignment horizontal="left" vertical="center" wrapText="1"/>
    </xf>
    <xf numFmtId="0" fontId="16" fillId="0" borderId="410" xfId="0" applyFont="1" applyFill="1" applyBorder="1" applyAlignment="1" applyProtection="1">
      <alignment horizontal="left" vertical="center" wrapText="1" indent="3"/>
    </xf>
    <xf numFmtId="0" fontId="16" fillId="0" borderId="450" xfId="0" applyFont="1" applyFill="1" applyBorder="1" applyAlignment="1" applyProtection="1">
      <alignment horizontal="left" vertical="center" wrapText="1" indent="3"/>
    </xf>
    <xf numFmtId="0" fontId="22" fillId="7" borderId="21" xfId="0" applyFont="1" applyFill="1" applyBorder="1" applyAlignment="1" applyProtection="1">
      <alignment horizontal="left" vertical="center"/>
    </xf>
    <xf numFmtId="0" fontId="22" fillId="7" borderId="12" xfId="0" applyFont="1" applyFill="1" applyBorder="1" applyAlignment="1" applyProtection="1">
      <alignment horizontal="left" vertical="center"/>
    </xf>
    <xf numFmtId="0" fontId="22" fillId="7" borderId="22" xfId="0" applyFont="1" applyFill="1" applyBorder="1" applyAlignment="1" applyProtection="1">
      <alignment horizontal="left" vertical="center"/>
    </xf>
    <xf numFmtId="0" fontId="16" fillId="0" borderId="443" xfId="0" applyFont="1" applyFill="1" applyBorder="1" applyAlignment="1" applyProtection="1">
      <alignment horizontal="left" vertical="top" wrapText="1" indent="3"/>
    </xf>
    <xf numFmtId="0" fontId="16" fillId="0" borderId="429" xfId="0" applyFont="1" applyFill="1" applyBorder="1" applyAlignment="1" applyProtection="1">
      <alignment horizontal="left" vertical="top" wrapText="1" indent="3"/>
    </xf>
    <xf numFmtId="0" fontId="0" fillId="34" borderId="37" xfId="0" applyFill="1" applyBorder="1" applyAlignment="1" applyProtection="1">
      <alignment horizontal="left" vertical="center" wrapText="1"/>
    </xf>
    <xf numFmtId="0" fontId="0" fillId="34" borderId="19" xfId="0" applyFill="1" applyBorder="1" applyAlignment="1" applyProtection="1">
      <alignment horizontal="left" vertical="center" wrapText="1"/>
    </xf>
    <xf numFmtId="0" fontId="0" fillId="34" borderId="115" xfId="0" applyFill="1" applyBorder="1" applyAlignment="1" applyProtection="1">
      <alignment horizontal="left" vertical="center" wrapText="1"/>
    </xf>
    <xf numFmtId="0" fontId="0" fillId="34" borderId="21" xfId="0" applyFill="1" applyBorder="1" applyAlignment="1" applyProtection="1">
      <alignment horizontal="left" vertical="center" wrapText="1"/>
    </xf>
    <xf numFmtId="0" fontId="0" fillId="34" borderId="12" xfId="0" applyFill="1" applyBorder="1" applyAlignment="1" applyProtection="1">
      <alignment horizontal="left" vertical="center" wrapText="1"/>
    </xf>
    <xf numFmtId="0" fontId="0" fillId="34" borderId="22" xfId="0" applyFill="1" applyBorder="1" applyAlignment="1" applyProtection="1">
      <alignment horizontal="left" vertical="center" wrapText="1"/>
    </xf>
    <xf numFmtId="0" fontId="0" fillId="34" borderId="138" xfId="0" applyFill="1" applyBorder="1" applyAlignment="1" applyProtection="1">
      <alignment horizontal="left" vertical="center" wrapText="1"/>
    </xf>
    <xf numFmtId="0" fontId="0" fillId="34" borderId="16" xfId="0" applyFill="1" applyBorder="1" applyAlignment="1" applyProtection="1">
      <alignment horizontal="left" vertical="center" wrapText="1"/>
    </xf>
    <xf numFmtId="0" fontId="0" fillId="34" borderId="119" xfId="0" applyFill="1" applyBorder="1" applyAlignment="1" applyProtection="1">
      <alignment horizontal="left" vertical="center" wrapText="1"/>
    </xf>
    <xf numFmtId="0" fontId="0" fillId="34" borderId="23" xfId="0" applyFill="1" applyBorder="1" applyAlignment="1" applyProtection="1">
      <alignment horizontal="left" vertical="center" wrapText="1"/>
    </xf>
    <xf numFmtId="0" fontId="0" fillId="34" borderId="24" xfId="0" applyFill="1" applyBorder="1" applyAlignment="1" applyProtection="1">
      <alignment horizontal="left" vertical="center" wrapText="1"/>
    </xf>
    <xf numFmtId="0" fontId="0" fillId="34" borderId="25" xfId="0" applyFill="1" applyBorder="1" applyAlignment="1" applyProtection="1">
      <alignment horizontal="left" vertical="center" wrapText="1"/>
    </xf>
    <xf numFmtId="0" fontId="0" fillId="21" borderId="83" xfId="0" applyFont="1" applyFill="1" applyBorder="1" applyAlignment="1" applyProtection="1">
      <alignment horizontal="left" vertical="center" wrapText="1"/>
    </xf>
    <xf numFmtId="0" fontId="0" fillId="21" borderId="24" xfId="0" applyFont="1" applyFill="1" applyBorder="1" applyAlignment="1" applyProtection="1">
      <alignment horizontal="left" vertical="center" wrapText="1"/>
    </xf>
    <xf numFmtId="0" fontId="0" fillId="21" borderId="120" xfId="0" applyFont="1" applyFill="1" applyBorder="1" applyAlignment="1" applyProtection="1">
      <alignment horizontal="left" vertical="center" wrapText="1"/>
    </xf>
    <xf numFmtId="0" fontId="306" fillId="25" borderId="0" xfId="0" applyFont="1" applyFill="1" applyBorder="1" applyAlignment="1" applyProtection="1">
      <alignment horizontal="center"/>
    </xf>
    <xf numFmtId="0" fontId="46" fillId="12" borderId="439" xfId="0" applyFont="1" applyFill="1" applyBorder="1" applyAlignment="1" applyProtection="1">
      <alignment horizontal="center" vertical="center" wrapText="1"/>
    </xf>
    <xf numFmtId="0" fontId="46" fillId="12" borderId="440" xfId="0" applyFont="1" applyFill="1" applyBorder="1" applyAlignment="1" applyProtection="1">
      <alignment horizontal="center" vertical="center" wrapText="1"/>
    </xf>
    <xf numFmtId="0" fontId="46" fillId="12" borderId="438" xfId="0" applyFont="1" applyFill="1" applyBorder="1" applyAlignment="1" applyProtection="1">
      <alignment horizontal="center" vertical="center" wrapText="1"/>
    </xf>
    <xf numFmtId="0" fontId="46" fillId="12" borderId="441" xfId="0" applyFont="1" applyFill="1" applyBorder="1" applyAlignment="1" applyProtection="1">
      <alignment horizontal="center" vertical="center" wrapText="1"/>
    </xf>
    <xf numFmtId="0" fontId="7" fillId="6" borderId="13" xfId="0" applyFont="1" applyFill="1" applyBorder="1" applyAlignment="1" applyProtection="1">
      <alignment horizontal="center" vertical="center"/>
    </xf>
    <xf numFmtId="0" fontId="7" fillId="6" borderId="14" xfId="0" applyFont="1" applyFill="1" applyBorder="1" applyAlignment="1" applyProtection="1">
      <alignment horizontal="center" vertical="center"/>
    </xf>
    <xf numFmtId="0" fontId="7" fillId="24" borderId="523" xfId="0" applyFont="1" applyFill="1" applyBorder="1" applyAlignment="1" applyProtection="1">
      <alignment horizontal="center" vertical="center"/>
    </xf>
    <xf numFmtId="0" fontId="7" fillId="24" borderId="214" xfId="0" applyFont="1" applyFill="1" applyBorder="1" applyAlignment="1" applyProtection="1">
      <alignment horizontal="center" vertical="center"/>
    </xf>
    <xf numFmtId="0" fontId="7" fillId="24" borderId="97" xfId="0" applyFont="1" applyFill="1" applyBorder="1" applyAlignment="1" applyProtection="1">
      <alignment horizontal="center" vertical="center"/>
    </xf>
    <xf numFmtId="0" fontId="0" fillId="21" borderId="57" xfId="0" applyFill="1" applyBorder="1" applyAlignment="1" applyProtection="1">
      <alignment horizontal="left" vertical="center" wrapText="1"/>
    </xf>
    <xf numFmtId="0" fontId="0" fillId="21" borderId="19" xfId="0" applyFill="1" applyBorder="1" applyAlignment="1" applyProtection="1">
      <alignment horizontal="left" vertical="center" wrapText="1"/>
    </xf>
    <xf numFmtId="0" fontId="0" fillId="21" borderId="44" xfId="0" applyFill="1" applyBorder="1" applyAlignment="1" applyProtection="1">
      <alignment horizontal="left" vertical="center" wrapText="1"/>
    </xf>
    <xf numFmtId="0" fontId="7" fillId="33" borderId="213" xfId="0" applyFont="1" applyFill="1" applyBorder="1" applyAlignment="1" applyProtection="1">
      <alignment horizontal="center" vertical="center"/>
    </xf>
    <xf numFmtId="0" fontId="7" fillId="33" borderId="214" xfId="0" applyFont="1" applyFill="1" applyBorder="1" applyAlignment="1" applyProtection="1">
      <alignment horizontal="center" vertical="center"/>
    </xf>
    <xf numFmtId="0" fontId="7" fillId="33" borderId="117" xfId="0" applyFont="1" applyFill="1" applyBorder="1" applyAlignment="1" applyProtection="1">
      <alignment horizontal="center" vertical="center"/>
    </xf>
    <xf numFmtId="0" fontId="206" fillId="15" borderId="170" xfId="0" applyFont="1" applyFill="1" applyBorder="1" applyAlignment="1" applyProtection="1">
      <alignment horizontal="left" vertical="center" wrapText="1"/>
    </xf>
    <xf numFmtId="0" fontId="16" fillId="7" borderId="441" xfId="0" applyFont="1" applyFill="1" applyBorder="1" applyAlignment="1" applyProtection="1">
      <alignment horizontal="left" vertical="top" wrapText="1" indent="3"/>
    </xf>
    <xf numFmtId="0" fontId="16" fillId="7" borderId="408" xfId="0" applyFont="1" applyFill="1" applyBorder="1" applyAlignment="1" applyProtection="1">
      <alignment horizontal="left" vertical="top" wrapText="1" indent="3"/>
    </xf>
    <xf numFmtId="0" fontId="6" fillId="25" borderId="12" xfId="0" applyFont="1" applyFill="1" applyBorder="1" applyAlignment="1" applyProtection="1">
      <alignment horizontal="center"/>
    </xf>
    <xf numFmtId="0" fontId="16" fillId="7" borderId="443" xfId="0" applyFont="1" applyFill="1" applyBorder="1" applyAlignment="1" applyProtection="1">
      <alignment horizontal="left" vertical="top" wrapText="1" indent="3"/>
    </xf>
    <xf numFmtId="0" fontId="16" fillId="7" borderId="429" xfId="0" applyFont="1" applyFill="1" applyBorder="1" applyAlignment="1" applyProtection="1">
      <alignment horizontal="left" vertical="top" wrapText="1" indent="3"/>
    </xf>
    <xf numFmtId="0" fontId="0" fillId="7" borderId="20" xfId="0" applyFill="1" applyBorder="1" applyAlignment="1">
      <alignment horizontal="left" vertical="center" indent="1"/>
    </xf>
    <xf numFmtId="0" fontId="0" fillId="7" borderId="0" xfId="0" applyFill="1" applyBorder="1" applyAlignment="1">
      <alignment horizontal="left" vertical="center" indent="1"/>
    </xf>
    <xf numFmtId="0" fontId="0" fillId="7" borderId="296" xfId="0" applyFill="1" applyBorder="1" applyAlignment="1">
      <alignment horizontal="left" vertical="center" wrapText="1" indent="1"/>
    </xf>
    <xf numFmtId="0" fontId="0" fillId="7" borderId="297" xfId="0" applyFill="1" applyBorder="1" applyAlignment="1">
      <alignment horizontal="left" vertical="center" wrapText="1" indent="1"/>
    </xf>
    <xf numFmtId="0" fontId="0" fillId="7" borderId="20" xfId="0" applyFill="1" applyBorder="1" applyAlignment="1">
      <alignment horizontal="left" vertical="center" wrapText="1" indent="1"/>
    </xf>
    <xf numFmtId="0" fontId="0" fillId="7" borderId="0" xfId="0" applyFill="1" applyBorder="1" applyAlignment="1">
      <alignment horizontal="left" vertical="center" wrapText="1" indent="1"/>
    </xf>
    <xf numFmtId="0" fontId="0" fillId="7" borderId="294" xfId="0" applyFill="1" applyBorder="1" applyAlignment="1">
      <alignment horizontal="left" vertical="center" wrapText="1" indent="1"/>
    </xf>
    <xf numFmtId="0" fontId="0" fillId="7" borderId="306" xfId="0" applyFill="1" applyBorder="1" applyAlignment="1">
      <alignment horizontal="left" vertical="center" wrapText="1" indent="1"/>
    </xf>
    <xf numFmtId="0" fontId="0" fillId="7" borderId="296" xfId="0" applyFill="1" applyBorder="1" applyAlignment="1">
      <alignment horizontal="left" vertical="center" indent="1"/>
    </xf>
    <xf numFmtId="0" fontId="0" fillId="7" borderId="297" xfId="0" applyFill="1" applyBorder="1" applyAlignment="1">
      <alignment horizontal="left" vertical="center" indent="1"/>
    </xf>
    <xf numFmtId="0" fontId="23" fillId="7" borderId="36" xfId="0" applyFont="1" applyFill="1" applyBorder="1" applyAlignment="1">
      <alignment horizontal="center" vertical="center"/>
    </xf>
    <xf numFmtId="0" fontId="0" fillId="7" borderId="44" xfId="0" applyFill="1" applyBorder="1" applyAlignment="1">
      <alignment horizontal="left" vertical="center" indent="1"/>
    </xf>
    <xf numFmtId="0" fontId="0" fillId="7" borderId="36" xfId="0" applyFill="1" applyBorder="1" applyAlignment="1">
      <alignment horizontal="left" vertical="center" indent="1"/>
    </xf>
    <xf numFmtId="0" fontId="25" fillId="23" borderId="13" xfId="2" applyNumberFormat="1" applyFont="1" applyFill="1" applyBorder="1" applyAlignment="1" applyProtection="1">
      <alignment horizontal="center" vertical="center"/>
      <protection locked="0"/>
    </xf>
    <xf numFmtId="0" fontId="25" fillId="23" borderId="15" xfId="2" applyNumberFormat="1" applyFont="1" applyFill="1" applyBorder="1" applyAlignment="1" applyProtection="1">
      <alignment horizontal="center" vertical="center"/>
      <protection locked="0"/>
    </xf>
    <xf numFmtId="0" fontId="0" fillId="7" borderId="294" xfId="0" applyFill="1" applyBorder="1" applyAlignment="1">
      <alignment horizontal="left" vertical="center" indent="1"/>
    </xf>
    <xf numFmtId="0" fontId="0" fillId="7" borderId="306" xfId="0" applyFill="1" applyBorder="1" applyAlignment="1">
      <alignment horizontal="left" vertical="center" indent="1"/>
    </xf>
    <xf numFmtId="0" fontId="16" fillId="7" borderId="281" xfId="0" applyFont="1" applyFill="1" applyBorder="1" applyAlignment="1">
      <alignment horizontal="left" vertical="center" indent="1"/>
    </xf>
    <xf numFmtId="0" fontId="16" fillId="7" borderId="338" xfId="0" applyFont="1" applyFill="1" applyBorder="1" applyAlignment="1">
      <alignment horizontal="left" vertical="center" indent="1"/>
    </xf>
    <xf numFmtId="0" fontId="0" fillId="7" borderId="44" xfId="0" applyFill="1" applyBorder="1" applyAlignment="1">
      <alignment horizontal="left" vertical="center" wrapText="1" indent="1"/>
    </xf>
    <xf numFmtId="0" fontId="0" fillId="7" borderId="36" xfId="0" applyFill="1" applyBorder="1" applyAlignment="1">
      <alignment horizontal="left" vertical="center" wrapText="1" indent="1"/>
    </xf>
    <xf numFmtId="0" fontId="0" fillId="7" borderId="42" xfId="0" applyFill="1" applyBorder="1" applyAlignment="1">
      <alignment horizontal="left" vertical="center" indent="1"/>
    </xf>
    <xf numFmtId="0" fontId="0" fillId="7" borderId="43" xfId="0" applyFill="1" applyBorder="1" applyAlignment="1">
      <alignment horizontal="left" vertical="center" indent="1"/>
    </xf>
    <xf numFmtId="0" fontId="19" fillId="17" borderId="31" xfId="0" applyFont="1" applyFill="1" applyBorder="1" applyAlignment="1">
      <alignment horizontal="left" vertical="center" wrapText="1"/>
    </xf>
    <xf numFmtId="0" fontId="19" fillId="17" borderId="14" xfId="0" applyFont="1" applyFill="1" applyBorder="1" applyAlignment="1">
      <alignment horizontal="left" vertical="center" wrapText="1"/>
    </xf>
    <xf numFmtId="0" fontId="19" fillId="17" borderId="15" xfId="0" applyFont="1" applyFill="1" applyBorder="1" applyAlignment="1">
      <alignment horizontal="left" vertical="center" wrapText="1"/>
    </xf>
    <xf numFmtId="0" fontId="19" fillId="17" borderId="31" xfId="0" applyFont="1" applyFill="1" applyBorder="1" applyAlignment="1">
      <alignment horizontal="left" vertical="top"/>
    </xf>
    <xf numFmtId="0" fontId="19" fillId="17" borderId="14" xfId="0" applyFont="1" applyFill="1" applyBorder="1" applyAlignment="1">
      <alignment horizontal="left" vertical="top"/>
    </xf>
    <xf numFmtId="0" fontId="19" fillId="17" borderId="15" xfId="0" applyFont="1" applyFill="1" applyBorder="1" applyAlignment="1">
      <alignment horizontal="left" vertical="top"/>
    </xf>
    <xf numFmtId="0" fontId="0" fillId="7" borderId="46" xfId="0" applyFill="1" applyBorder="1" applyAlignment="1">
      <alignment horizontal="left" vertical="center" indent="1"/>
    </xf>
    <xf numFmtId="0" fontId="0" fillId="7" borderId="97" xfId="0" applyFill="1" applyBorder="1" applyAlignment="1">
      <alignment horizontal="left" vertical="center" wrapText="1" indent="1"/>
    </xf>
    <xf numFmtId="0" fontId="0" fillId="7" borderId="2" xfId="0" applyFill="1" applyBorder="1" applyAlignment="1">
      <alignment horizontal="left" vertical="center" wrapText="1" indent="1"/>
    </xf>
    <xf numFmtId="0" fontId="0" fillId="7" borderId="281" xfId="0" applyFill="1" applyBorder="1" applyAlignment="1">
      <alignment horizontal="left" vertical="center" indent="1"/>
    </xf>
    <xf numFmtId="0" fontId="0" fillId="7" borderId="338" xfId="0" applyFill="1" applyBorder="1" applyAlignment="1">
      <alignment horizontal="left" vertical="center" indent="1"/>
    </xf>
    <xf numFmtId="0" fontId="0" fillId="7" borderId="142" xfId="0" applyFill="1" applyBorder="1" applyAlignment="1">
      <alignment horizontal="left" vertical="center" indent="1"/>
    </xf>
    <xf numFmtId="0" fontId="0" fillId="7" borderId="9" xfId="0" applyFill="1" applyBorder="1" applyAlignment="1">
      <alignment horizontal="left" vertical="center" indent="1"/>
    </xf>
    <xf numFmtId="0" fontId="0" fillId="7" borderId="97" xfId="0" applyFill="1" applyBorder="1" applyAlignment="1">
      <alignment horizontal="left" vertical="center" indent="1"/>
    </xf>
    <xf numFmtId="0" fontId="0" fillId="7" borderId="2" xfId="0" applyFill="1" applyBorder="1" applyAlignment="1">
      <alignment horizontal="left" vertical="center" indent="1"/>
    </xf>
    <xf numFmtId="0" fontId="16" fillId="7" borderId="296" xfId="0" applyFont="1" applyFill="1" applyBorder="1" applyAlignment="1">
      <alignment horizontal="left" vertical="center" indent="1"/>
    </xf>
    <xf numFmtId="0" fontId="16" fillId="7" borderId="297" xfId="0" applyFont="1" applyFill="1" applyBorder="1" applyAlignment="1">
      <alignment horizontal="left" vertical="center" indent="1"/>
    </xf>
    <xf numFmtId="0" fontId="16" fillId="7" borderId="294" xfId="0" applyFont="1" applyFill="1" applyBorder="1" applyAlignment="1">
      <alignment horizontal="left" vertical="center" indent="1"/>
    </xf>
    <xf numFmtId="0" fontId="16" fillId="7" borderId="306" xfId="0" applyFont="1" applyFill="1" applyBorder="1" applyAlignment="1">
      <alignment horizontal="left" vertical="center" indent="1"/>
    </xf>
    <xf numFmtId="0" fontId="19" fillId="17" borderId="13" xfId="0" applyFont="1" applyFill="1" applyBorder="1" applyAlignment="1">
      <alignment horizontal="center" vertical="top"/>
    </xf>
    <xf numFmtId="0" fontId="19" fillId="17" borderId="14" xfId="0" applyFont="1" applyFill="1" applyBorder="1" applyAlignment="1">
      <alignment horizontal="center" vertical="top"/>
    </xf>
    <xf numFmtId="0" fontId="108" fillId="2" borderId="90" xfId="0" applyFont="1" applyFill="1" applyBorder="1" applyAlignment="1">
      <alignment horizontal="center" vertical="center" wrapText="1"/>
    </xf>
    <xf numFmtId="0" fontId="108" fillId="2" borderId="0" xfId="0" applyFont="1" applyFill="1" applyBorder="1" applyAlignment="1">
      <alignment horizontal="center" vertical="center" wrapText="1"/>
    </xf>
    <xf numFmtId="0" fontId="119" fillId="26" borderId="90" xfId="0" applyFont="1" applyFill="1" applyBorder="1" applyAlignment="1">
      <alignment horizontal="center"/>
    </xf>
    <xf numFmtId="0" fontId="109" fillId="26" borderId="92" xfId="1" applyFont="1" applyFill="1" applyBorder="1" applyAlignment="1" applyProtection="1">
      <alignment horizontal="center" vertical="center" wrapText="1"/>
    </xf>
    <xf numFmtId="0" fontId="109" fillId="26" borderId="0" xfId="1" applyFont="1" applyFill="1" applyBorder="1" applyAlignment="1" applyProtection="1">
      <alignment horizontal="center" vertical="center" wrapText="1"/>
    </xf>
    <xf numFmtId="0" fontId="104" fillId="25" borderId="95" xfId="1" applyFont="1" applyFill="1" applyBorder="1" applyAlignment="1" applyProtection="1">
      <alignment horizontal="center" vertical="center"/>
    </xf>
    <xf numFmtId="0" fontId="277" fillId="2" borderId="90" xfId="1" applyFont="1" applyFill="1" applyBorder="1" applyAlignment="1" applyProtection="1">
      <alignment horizontal="left" vertical="center" wrapText="1"/>
    </xf>
    <xf numFmtId="0" fontId="277" fillId="2" borderId="90" xfId="1" applyFont="1" applyFill="1" applyBorder="1" applyAlignment="1" applyProtection="1">
      <alignment horizontal="left" vertical="center"/>
    </xf>
    <xf numFmtId="0" fontId="277" fillId="2" borderId="206" xfId="1" applyFont="1" applyFill="1" applyBorder="1" applyAlignment="1" applyProtection="1">
      <alignment horizontal="left" vertical="center" wrapText="1" indent="1"/>
    </xf>
    <xf numFmtId="0" fontId="104" fillId="25" borderId="95" xfId="1" applyFont="1" applyFill="1" applyBorder="1" applyAlignment="1" applyProtection="1">
      <alignment horizontal="right" vertical="center"/>
    </xf>
    <xf numFmtId="0" fontId="0" fillId="7" borderId="292" xfId="0" applyFill="1" applyBorder="1" applyAlignment="1">
      <alignment horizontal="left" vertical="center" indent="1"/>
    </xf>
    <xf numFmtId="0" fontId="0" fillId="7" borderId="295" xfId="0" applyFill="1" applyBorder="1" applyAlignment="1">
      <alignment horizontal="left" vertical="center" indent="1"/>
    </xf>
    <xf numFmtId="0" fontId="16" fillId="7" borderId="296" xfId="0" applyFont="1" applyFill="1" applyBorder="1" applyAlignment="1">
      <alignment horizontal="left" vertical="center" wrapText="1" indent="1"/>
    </xf>
    <xf numFmtId="0" fontId="16" fillId="7" borderId="297" xfId="0" applyFont="1" applyFill="1" applyBorder="1" applyAlignment="1">
      <alignment horizontal="left" vertical="center" wrapText="1" indent="1"/>
    </xf>
    <xf numFmtId="0" fontId="16" fillId="7" borderId="44" xfId="0" applyFont="1" applyFill="1" applyBorder="1" applyAlignment="1">
      <alignment horizontal="left" vertical="center" wrapText="1" indent="1"/>
    </xf>
    <xf numFmtId="0" fontId="16" fillId="7" borderId="36" xfId="0" applyFont="1" applyFill="1" applyBorder="1" applyAlignment="1">
      <alignment horizontal="left" vertical="center" wrapText="1" indent="1"/>
    </xf>
    <xf numFmtId="0" fontId="48" fillId="2" borderId="13" xfId="0" applyFont="1" applyFill="1" applyBorder="1" applyAlignment="1">
      <alignment horizontal="center" vertical="top"/>
    </xf>
    <xf numFmtId="0" fontId="48" fillId="2" borderId="14" xfId="0" applyFont="1" applyFill="1" applyBorder="1" applyAlignment="1">
      <alignment horizontal="center" vertical="top"/>
    </xf>
    <xf numFmtId="0" fontId="23" fillId="7" borderId="0" xfId="0" applyFont="1" applyFill="1" applyBorder="1" applyAlignment="1">
      <alignment horizontal="center" vertical="center"/>
    </xf>
    <xf numFmtId="0" fontId="48" fillId="2" borderId="44" xfId="0" applyFont="1" applyFill="1" applyBorder="1" applyAlignment="1">
      <alignment horizontal="center" vertical="top"/>
    </xf>
    <xf numFmtId="0" fontId="48" fillId="2" borderId="36" xfId="0" applyFont="1" applyFill="1" applyBorder="1" applyAlignment="1">
      <alignment horizontal="center" vertical="top"/>
    </xf>
    <xf numFmtId="0" fontId="0" fillId="7" borderId="283" xfId="0" applyFill="1" applyBorder="1" applyAlignment="1">
      <alignment horizontal="left" vertical="center" indent="1"/>
    </xf>
    <xf numFmtId="0" fontId="0" fillId="7" borderId="367" xfId="0" applyFill="1" applyBorder="1" applyAlignment="1">
      <alignment horizontal="left" vertical="center" indent="1"/>
    </xf>
    <xf numFmtId="0" fontId="19" fillId="17" borderId="31" xfId="0" applyFont="1" applyFill="1" applyBorder="1" applyAlignment="1">
      <alignment horizontal="left" vertical="top" wrapText="1"/>
    </xf>
    <xf numFmtId="0" fontId="19" fillId="17" borderId="14" xfId="0" applyFont="1" applyFill="1" applyBorder="1" applyAlignment="1">
      <alignment horizontal="left" vertical="top" wrapText="1"/>
    </xf>
    <xf numFmtId="0" fontId="19" fillId="17" borderId="15" xfId="0" applyFont="1" applyFill="1" applyBorder="1" applyAlignment="1">
      <alignment horizontal="left" vertical="top" wrapText="1"/>
    </xf>
    <xf numFmtId="0" fontId="0" fillId="7" borderId="301" xfId="0" applyFill="1" applyBorder="1" applyAlignment="1">
      <alignment horizontal="left" vertical="center" indent="1"/>
    </xf>
    <xf numFmtId="0" fontId="25" fillId="2" borderId="42" xfId="0" applyFont="1" applyFill="1" applyBorder="1" applyAlignment="1">
      <alignment horizontal="center"/>
    </xf>
    <xf numFmtId="0" fontId="25" fillId="2" borderId="43" xfId="0" applyFont="1" applyFill="1" applyBorder="1" applyAlignment="1">
      <alignment horizontal="center"/>
    </xf>
    <xf numFmtId="0" fontId="25" fillId="2" borderId="41" xfId="0" applyFont="1" applyFill="1" applyBorder="1" applyAlignment="1">
      <alignment horizontal="center"/>
    </xf>
    <xf numFmtId="0" fontId="18" fillId="3" borderId="20" xfId="0" applyFont="1" applyFill="1" applyBorder="1" applyAlignment="1" applyProtection="1">
      <alignment horizontal="center" vertical="center"/>
      <protection locked="0"/>
    </xf>
    <xf numFmtId="0" fontId="18" fillId="3" borderId="0" xfId="0" applyFont="1" applyFill="1" applyBorder="1" applyAlignment="1" applyProtection="1">
      <alignment horizontal="center" vertical="center"/>
      <protection locked="0"/>
    </xf>
    <xf numFmtId="0" fontId="18" fillId="3" borderId="40" xfId="0" applyFont="1" applyFill="1" applyBorder="1" applyAlignment="1" applyProtection="1">
      <alignment horizontal="center" vertical="center"/>
      <protection locked="0"/>
    </xf>
    <xf numFmtId="0" fontId="18" fillId="3" borderId="44" xfId="0" applyFont="1" applyFill="1" applyBorder="1" applyAlignment="1" applyProtection="1">
      <alignment horizontal="center" vertical="center"/>
      <protection locked="0"/>
    </xf>
    <xf numFmtId="0" fontId="18" fillId="3" borderId="36" xfId="0" applyFont="1" applyFill="1" applyBorder="1" applyAlignment="1" applyProtection="1">
      <alignment horizontal="center" vertical="center"/>
      <protection locked="0"/>
    </xf>
    <xf numFmtId="0" fontId="18" fillId="3" borderId="57" xfId="0" applyFont="1" applyFill="1" applyBorder="1" applyAlignment="1" applyProtection="1">
      <alignment horizontal="center" vertical="center"/>
      <protection locked="0"/>
    </xf>
    <xf numFmtId="0" fontId="0" fillId="7" borderId="281" xfId="0" applyFill="1" applyBorder="1" applyAlignment="1">
      <alignment horizontal="left" vertical="center" wrapText="1" indent="1"/>
    </xf>
    <xf numFmtId="0" fontId="0" fillId="7" borderId="338" xfId="0" applyFill="1" applyBorder="1" applyAlignment="1">
      <alignment horizontal="left" vertical="center" wrapText="1" indent="1"/>
    </xf>
    <xf numFmtId="0" fontId="0" fillId="7" borderId="46" xfId="0" applyFill="1" applyBorder="1" applyAlignment="1">
      <alignment horizontal="left" vertical="center" wrapText="1" indent="1"/>
    </xf>
    <xf numFmtId="0" fontId="0" fillId="7" borderId="64" xfId="0" applyFill="1" applyBorder="1" applyAlignment="1">
      <alignment horizontal="left" vertical="center" wrapText="1" indent="1"/>
    </xf>
    <xf numFmtId="0" fontId="0" fillId="7" borderId="49" xfId="0" applyFill="1" applyBorder="1" applyAlignment="1">
      <alignment horizontal="left" vertical="center" wrapText="1" indent="1"/>
    </xf>
    <xf numFmtId="0" fontId="0" fillId="7" borderId="65" xfId="0" applyFill="1" applyBorder="1" applyAlignment="1">
      <alignment horizontal="left" vertical="center" wrapText="1" indent="1"/>
    </xf>
    <xf numFmtId="0" fontId="0" fillId="7" borderId="75" xfId="0" applyFill="1" applyBorder="1" applyAlignment="1">
      <alignment horizontal="left" vertical="center" wrapText="1" indent="1"/>
    </xf>
    <xf numFmtId="0" fontId="0" fillId="7" borderId="76" xfId="0" applyFill="1" applyBorder="1" applyAlignment="1">
      <alignment horizontal="left" vertical="center" wrapText="1" indent="1"/>
    </xf>
    <xf numFmtId="0" fontId="0" fillId="7" borderId="362" xfId="0" applyFill="1" applyBorder="1" applyAlignment="1">
      <alignment horizontal="left" vertical="center" indent="1"/>
    </xf>
    <xf numFmtId="0" fontId="0" fillId="7" borderId="363" xfId="0" applyFill="1" applyBorder="1" applyAlignment="1">
      <alignment horizontal="left" vertical="center" indent="1"/>
    </xf>
    <xf numFmtId="0" fontId="16" fillId="7" borderId="20" xfId="0" applyFont="1" applyFill="1" applyBorder="1" applyAlignment="1">
      <alignment horizontal="left" vertical="center" indent="1"/>
    </xf>
    <xf numFmtId="0" fontId="16" fillId="7" borderId="0" xfId="0" applyFont="1" applyFill="1" applyBorder="1" applyAlignment="1">
      <alignment horizontal="left" vertical="center" indent="1"/>
    </xf>
    <xf numFmtId="37" fontId="16" fillId="48" borderId="416" xfId="4" applyNumberFormat="1" applyFont="1" applyFill="1" applyBorder="1" applyAlignment="1" applyProtection="1">
      <alignment horizontal="center" vertical="center"/>
      <protection locked="0"/>
    </xf>
    <xf numFmtId="37" fontId="16" fillId="48" borderId="334" xfId="4" applyNumberFormat="1" applyFont="1" applyFill="1" applyBorder="1" applyAlignment="1" applyProtection="1">
      <alignment horizontal="center" vertical="center"/>
      <protection locked="0"/>
    </xf>
    <xf numFmtId="0" fontId="0" fillId="7" borderId="72" xfId="0" applyFill="1" applyBorder="1" applyAlignment="1">
      <alignment horizontal="left" vertical="center" wrapText="1" indent="1"/>
    </xf>
    <xf numFmtId="0" fontId="16" fillId="7" borderId="298" xfId="0" applyFont="1" applyFill="1" applyBorder="1" applyAlignment="1">
      <alignment horizontal="left" vertical="center" indent="1"/>
    </xf>
    <xf numFmtId="0" fontId="16" fillId="7" borderId="305" xfId="0" applyFont="1" applyFill="1" applyBorder="1" applyAlignment="1">
      <alignment horizontal="left" vertical="center" indent="1"/>
    </xf>
    <xf numFmtId="0" fontId="16" fillId="7" borderId="295" xfId="0" applyFont="1" applyFill="1" applyBorder="1" applyAlignment="1">
      <alignment horizontal="left" vertical="center" indent="1"/>
    </xf>
    <xf numFmtId="0" fontId="16" fillId="7" borderId="142" xfId="0" applyFont="1" applyFill="1" applyBorder="1" applyAlignment="1">
      <alignment horizontal="left" vertical="center" indent="1"/>
    </xf>
    <xf numFmtId="0" fontId="16" fillId="7" borderId="299" xfId="0" applyFont="1" applyFill="1" applyBorder="1" applyAlignment="1">
      <alignment horizontal="left" vertical="center" indent="1"/>
    </xf>
    <xf numFmtId="0" fontId="16" fillId="7" borderId="97" xfId="0" applyFont="1" applyFill="1" applyBorder="1" applyAlignment="1">
      <alignment horizontal="left" vertical="center" indent="1"/>
    </xf>
    <xf numFmtId="0" fontId="16" fillId="7" borderId="292" xfId="0" applyFont="1" applyFill="1" applyBorder="1" applyAlignment="1">
      <alignment horizontal="left" vertical="center" indent="1"/>
    </xf>
    <xf numFmtId="0" fontId="65" fillId="27" borderId="13" xfId="0" applyFont="1" applyFill="1" applyBorder="1" applyAlignment="1">
      <alignment horizontal="center" vertical="top"/>
    </xf>
    <xf numFmtId="0" fontId="65" fillId="27" borderId="14" xfId="0" applyFont="1" applyFill="1" applyBorder="1" applyAlignment="1">
      <alignment horizontal="center" vertical="top"/>
    </xf>
    <xf numFmtId="0" fontId="48" fillId="27" borderId="13" xfId="0" applyFont="1" applyFill="1" applyBorder="1" applyAlignment="1">
      <alignment horizontal="center" vertical="top"/>
    </xf>
    <xf numFmtId="0" fontId="48" fillId="27" borderId="14" xfId="0" applyFont="1" applyFill="1" applyBorder="1" applyAlignment="1">
      <alignment horizontal="center" vertical="top"/>
    </xf>
    <xf numFmtId="0" fontId="16" fillId="7" borderId="42" xfId="0" applyFont="1" applyFill="1" applyBorder="1" applyAlignment="1">
      <alignment horizontal="left" vertical="center" indent="1"/>
    </xf>
    <xf numFmtId="0" fontId="16" fillId="7" borderId="43" xfId="0" applyFont="1" applyFill="1" applyBorder="1" applyAlignment="1">
      <alignment horizontal="left" vertical="center" indent="1"/>
    </xf>
    <xf numFmtId="0" fontId="16" fillId="7" borderId="20" xfId="0" applyFont="1" applyFill="1" applyBorder="1" applyAlignment="1">
      <alignment horizontal="left" vertical="center" wrapText="1" indent="1"/>
    </xf>
    <xf numFmtId="0" fontId="16" fillId="7" borderId="0" xfId="0" applyFont="1" applyFill="1" applyBorder="1" applyAlignment="1">
      <alignment horizontal="left" vertical="center" wrapText="1" indent="1"/>
    </xf>
    <xf numFmtId="0" fontId="0" fillId="7" borderId="62" xfId="0" applyFill="1" applyBorder="1" applyAlignment="1">
      <alignment horizontal="left" vertical="center" indent="1"/>
    </xf>
    <xf numFmtId="0" fontId="0" fillId="7" borderId="66" xfId="0" applyFill="1" applyBorder="1" applyAlignment="1">
      <alignment horizontal="left" vertical="center" indent="1"/>
    </xf>
    <xf numFmtId="0" fontId="16" fillId="7" borderId="42" xfId="0" applyFont="1" applyFill="1" applyBorder="1" applyAlignment="1">
      <alignment horizontal="left" vertical="center" wrapText="1" indent="1"/>
    </xf>
    <xf numFmtId="0" fontId="16" fillId="7" borderId="43" xfId="0" applyFont="1" applyFill="1" applyBorder="1" applyAlignment="1">
      <alignment horizontal="left" vertical="center" wrapText="1" indent="1"/>
    </xf>
    <xf numFmtId="0" fontId="16" fillId="7" borderId="62" xfId="0" applyFont="1" applyFill="1" applyBorder="1" applyAlignment="1">
      <alignment horizontal="left" vertical="center" indent="1"/>
    </xf>
    <xf numFmtId="0" fontId="16" fillId="7" borderId="66" xfId="0" applyFont="1" applyFill="1" applyBorder="1" applyAlignment="1">
      <alignment horizontal="left" vertical="center" indent="1"/>
    </xf>
    <xf numFmtId="0" fontId="3" fillId="7" borderId="97" xfId="0" applyFont="1" applyFill="1" applyBorder="1" applyAlignment="1">
      <alignment horizontal="left" vertical="center" indent="1"/>
    </xf>
    <xf numFmtId="0" fontId="3" fillId="7" borderId="2" xfId="0" applyFont="1" applyFill="1" applyBorder="1" applyAlignment="1">
      <alignment horizontal="left" vertical="center" indent="1"/>
    </xf>
    <xf numFmtId="0" fontId="3" fillId="7" borderId="20" xfId="0" applyFont="1" applyFill="1" applyBorder="1" applyAlignment="1">
      <alignment horizontal="left" vertical="center" indent="1"/>
    </xf>
    <xf numFmtId="0" fontId="3" fillId="7" borderId="0" xfId="0" applyFont="1" applyFill="1" applyBorder="1" applyAlignment="1">
      <alignment horizontal="left" vertical="center" indent="1"/>
    </xf>
    <xf numFmtId="0" fontId="48" fillId="27" borderId="13" xfId="0" applyFont="1" applyFill="1" applyBorder="1" applyAlignment="1">
      <alignment horizontal="left" vertical="top" indent="1"/>
    </xf>
    <xf numFmtId="0" fontId="48" fillId="27" borderId="14" xfId="0" applyFont="1" applyFill="1" applyBorder="1" applyAlignment="1">
      <alignment horizontal="left" vertical="top" indent="1"/>
    </xf>
    <xf numFmtId="1" fontId="16" fillId="48" borderId="323" xfId="2" applyNumberFormat="1" applyFont="1" applyFill="1" applyBorder="1" applyAlignment="1" applyProtection="1">
      <alignment horizontal="center" vertical="center"/>
      <protection locked="0"/>
    </xf>
    <xf numFmtId="1" fontId="16" fillId="48" borderId="324" xfId="2" applyNumberFormat="1" applyFont="1" applyFill="1" applyBorder="1" applyAlignment="1" applyProtection="1">
      <alignment horizontal="center" vertical="center"/>
      <protection locked="0"/>
    </xf>
    <xf numFmtId="0" fontId="16" fillId="7" borderId="9" xfId="0" applyFont="1" applyFill="1" applyBorder="1" applyAlignment="1">
      <alignment horizontal="left" vertical="center" indent="1"/>
    </xf>
    <xf numFmtId="3" fontId="16" fillId="48" borderId="313" xfId="4" applyNumberFormat="1" applyFont="1" applyFill="1" applyBorder="1" applyAlignment="1" applyProtection="1">
      <alignment horizontal="center" vertical="center"/>
      <protection locked="0"/>
    </xf>
    <xf numFmtId="3" fontId="16" fillId="48" borderId="314" xfId="4" applyNumberFormat="1" applyFont="1" applyFill="1" applyBorder="1" applyAlignment="1" applyProtection="1">
      <alignment horizontal="center" vertical="center"/>
      <protection locked="0"/>
    </xf>
    <xf numFmtId="3" fontId="16" fillId="48" borderId="313" xfId="0" applyNumberFormat="1" applyFont="1" applyFill="1" applyBorder="1" applyAlignment="1" applyProtection="1">
      <alignment horizontal="center" vertical="center"/>
      <protection locked="0"/>
    </xf>
    <xf numFmtId="3" fontId="16" fillId="48" borderId="314" xfId="0" applyNumberFormat="1" applyFont="1" applyFill="1" applyBorder="1" applyAlignment="1" applyProtection="1">
      <alignment horizontal="center" vertical="center"/>
      <protection locked="0"/>
    </xf>
    <xf numFmtId="0" fontId="16" fillId="7" borderId="97" xfId="0" applyFont="1" applyFill="1" applyBorder="1" applyAlignment="1">
      <alignment horizontal="left" vertical="center" wrapText="1" indent="1"/>
    </xf>
    <xf numFmtId="0" fontId="16" fillId="7" borderId="2" xfId="0" applyFont="1" applyFill="1" applyBorder="1" applyAlignment="1">
      <alignment horizontal="left" vertical="center" wrapText="1" indent="1"/>
    </xf>
    <xf numFmtId="0" fontId="48" fillId="27" borderId="44" xfId="0" applyFont="1" applyFill="1" applyBorder="1" applyAlignment="1">
      <alignment horizontal="center" vertical="top"/>
    </xf>
    <xf numFmtId="0" fontId="48" fillId="27" borderId="36" xfId="0" applyFont="1" applyFill="1" applyBorder="1" applyAlignment="1">
      <alignment horizontal="center" vertical="top"/>
    </xf>
    <xf numFmtId="3" fontId="16" fillId="48" borderId="323" xfId="0" applyNumberFormat="1" applyFont="1" applyFill="1" applyBorder="1" applyAlignment="1" applyProtection="1">
      <alignment horizontal="center" vertical="center"/>
      <protection locked="0"/>
    </xf>
    <xf numFmtId="3" fontId="16" fillId="48" borderId="324" xfId="0" applyNumberFormat="1" applyFont="1" applyFill="1" applyBorder="1" applyAlignment="1" applyProtection="1">
      <alignment horizontal="center" vertical="center"/>
      <protection locked="0"/>
    </xf>
    <xf numFmtId="9" fontId="16" fillId="3" borderId="351" xfId="5" applyFont="1" applyFill="1" applyBorder="1" applyAlignment="1">
      <alignment horizontal="center" vertical="center"/>
    </xf>
    <xf numFmtId="9" fontId="16" fillId="3" borderId="352" xfId="5" applyFont="1" applyFill="1" applyBorder="1" applyAlignment="1">
      <alignment horizontal="center" vertical="center"/>
    </xf>
    <xf numFmtId="0" fontId="16" fillId="7" borderId="20" xfId="0" applyFont="1" applyFill="1" applyBorder="1" applyAlignment="1">
      <alignment horizontal="center" vertical="center"/>
    </xf>
    <xf numFmtId="0" fontId="16" fillId="7" borderId="0" xfId="0" applyFont="1" applyFill="1" applyBorder="1" applyAlignment="1">
      <alignment horizontal="center" vertical="center"/>
    </xf>
    <xf numFmtId="0" fontId="16" fillId="7" borderId="2" xfId="0" applyFont="1" applyFill="1" applyBorder="1" applyAlignment="1">
      <alignment horizontal="left" vertical="center" indent="1"/>
    </xf>
    <xf numFmtId="167" fontId="16" fillId="48" borderId="416" xfId="4" applyNumberFormat="1" applyFont="1" applyFill="1" applyBorder="1" applyAlignment="1" applyProtection="1">
      <alignment horizontal="center" vertical="center"/>
      <protection locked="0"/>
    </xf>
    <xf numFmtId="167" fontId="16" fillId="48" borderId="334" xfId="4" applyNumberFormat="1" applyFont="1" applyFill="1" applyBorder="1" applyAlignment="1" applyProtection="1">
      <alignment horizontal="center" vertical="center"/>
      <protection locked="0"/>
    </xf>
    <xf numFmtId="168" fontId="16" fillId="48" borderId="323" xfId="5" applyNumberFormat="1" applyFont="1" applyFill="1" applyBorder="1" applyAlignment="1" applyProtection="1">
      <alignment horizontal="center" vertical="center"/>
      <protection locked="0"/>
    </xf>
    <xf numFmtId="168" fontId="16" fillId="48" borderId="324" xfId="5" applyNumberFormat="1" applyFont="1" applyFill="1" applyBorder="1" applyAlignment="1" applyProtection="1">
      <alignment horizontal="center" vertical="center"/>
      <protection locked="0"/>
    </xf>
    <xf numFmtId="167" fontId="16" fillId="48" borderId="516" xfId="4" applyNumberFormat="1" applyFont="1" applyFill="1" applyBorder="1" applyAlignment="1" applyProtection="1">
      <alignment horizontal="left" vertical="center"/>
      <protection locked="0"/>
    </xf>
    <xf numFmtId="167" fontId="16" fillId="48" borderId="345" xfId="4" applyNumberFormat="1" applyFont="1" applyFill="1" applyBorder="1" applyAlignment="1" applyProtection="1">
      <alignment horizontal="left" vertical="center"/>
      <protection locked="0"/>
    </xf>
    <xf numFmtId="1" fontId="16" fillId="48" borderId="323" xfId="4" applyNumberFormat="1" applyFont="1" applyFill="1" applyBorder="1" applyAlignment="1" applyProtection="1">
      <alignment horizontal="center" vertical="center"/>
      <protection locked="0"/>
    </xf>
    <xf numFmtId="1" fontId="16" fillId="48" borderId="324" xfId="4" applyNumberFormat="1" applyFont="1" applyFill="1" applyBorder="1" applyAlignment="1" applyProtection="1">
      <alignment horizontal="center" vertical="center"/>
      <protection locked="0"/>
    </xf>
    <xf numFmtId="0" fontId="19" fillId="17" borderId="15" xfId="0" applyFont="1" applyFill="1" applyBorder="1" applyAlignment="1">
      <alignment horizontal="left" vertical="center"/>
    </xf>
    <xf numFmtId="0" fontId="19" fillId="17" borderId="12" xfId="0" applyFont="1" applyFill="1" applyBorder="1" applyAlignment="1">
      <alignment horizontal="left" vertical="center"/>
    </xf>
    <xf numFmtId="0" fontId="19" fillId="17" borderId="19" xfId="0" applyFont="1" applyFill="1" applyBorder="1" applyAlignment="1">
      <alignment horizontal="left" vertical="center"/>
    </xf>
    <xf numFmtId="0" fontId="16" fillId="7" borderId="46" xfId="0" applyFont="1" applyFill="1" applyBorder="1" applyAlignment="1">
      <alignment horizontal="left" vertical="center" indent="1"/>
    </xf>
    <xf numFmtId="0" fontId="16" fillId="7" borderId="64" xfId="0" applyFont="1" applyFill="1" applyBorder="1" applyAlignment="1">
      <alignment horizontal="left" vertical="center" indent="1"/>
    </xf>
    <xf numFmtId="0" fontId="16" fillId="7" borderId="49" xfId="0" applyFont="1" applyFill="1" applyBorder="1" applyAlignment="1">
      <alignment horizontal="left" vertical="center" indent="1"/>
    </xf>
    <xf numFmtId="0" fontId="16" fillId="7" borderId="65" xfId="0" applyFont="1" applyFill="1" applyBorder="1" applyAlignment="1">
      <alignment horizontal="left" vertical="center" indent="1"/>
    </xf>
    <xf numFmtId="0" fontId="16" fillId="7" borderId="317" xfId="0" applyFont="1" applyFill="1" applyBorder="1" applyAlignment="1">
      <alignment horizontal="left" vertical="center" indent="1"/>
    </xf>
    <xf numFmtId="0" fontId="16" fillId="7" borderId="318" xfId="0" applyFont="1" applyFill="1" applyBorder="1" applyAlignment="1">
      <alignment horizontal="left" vertical="center" indent="1"/>
    </xf>
    <xf numFmtId="0" fontId="16" fillId="7" borderId="319" xfId="0" applyFont="1" applyFill="1" applyBorder="1" applyAlignment="1">
      <alignment horizontal="left" vertical="center" indent="1"/>
    </xf>
    <xf numFmtId="0" fontId="16" fillId="7" borderId="320" xfId="0" applyFont="1" applyFill="1" applyBorder="1" applyAlignment="1">
      <alignment horizontal="left" vertical="center" indent="1"/>
    </xf>
    <xf numFmtId="0" fontId="16" fillId="7" borderId="142" xfId="0" applyFont="1" applyFill="1" applyBorder="1" applyAlignment="1">
      <alignment horizontal="left" vertical="center" wrapText="1" indent="1"/>
    </xf>
    <xf numFmtId="0" fontId="16" fillId="7" borderId="9" xfId="0" applyFont="1" applyFill="1" applyBorder="1" applyAlignment="1">
      <alignment horizontal="left" vertical="center" wrapText="1" indent="1"/>
    </xf>
    <xf numFmtId="1" fontId="16" fillId="3" borderId="323" xfId="4" applyNumberFormat="1" applyFont="1" applyFill="1" applyBorder="1" applyAlignment="1">
      <alignment horizontal="center" vertical="center"/>
    </xf>
    <xf numFmtId="1" fontId="16" fillId="3" borderId="324" xfId="4" applyNumberFormat="1" applyFont="1" applyFill="1" applyBorder="1" applyAlignment="1">
      <alignment horizontal="center" vertical="center"/>
    </xf>
    <xf numFmtId="2" fontId="16" fillId="48" borderId="323" xfId="4" applyNumberFormat="1" applyFont="1" applyFill="1" applyBorder="1" applyAlignment="1" applyProtection="1">
      <alignment horizontal="center" vertical="center"/>
      <protection locked="0"/>
    </xf>
    <xf numFmtId="2" fontId="16" fillId="48" borderId="324" xfId="4" applyNumberFormat="1" applyFont="1" applyFill="1" applyBorder="1" applyAlignment="1" applyProtection="1">
      <alignment horizontal="center" vertical="center"/>
      <protection locked="0"/>
    </xf>
    <xf numFmtId="0" fontId="0" fillId="7" borderId="282" xfId="0" applyFill="1" applyBorder="1" applyAlignment="1">
      <alignment horizontal="left" vertical="center" indent="1"/>
    </xf>
    <xf numFmtId="0" fontId="0" fillId="7" borderId="279" xfId="0" applyFill="1" applyBorder="1" applyAlignment="1">
      <alignment horizontal="left" vertical="center" indent="1"/>
    </xf>
    <xf numFmtId="0" fontId="0" fillId="7" borderId="280" xfId="0" applyFill="1" applyBorder="1" applyAlignment="1">
      <alignment horizontal="left" vertical="center" indent="1"/>
    </xf>
    <xf numFmtId="0" fontId="0" fillId="7" borderId="298" xfId="0" applyFill="1" applyBorder="1" applyAlignment="1">
      <alignment horizontal="left" vertical="center" indent="1"/>
    </xf>
    <xf numFmtId="0" fontId="0" fillId="7" borderId="299" xfId="0" applyFill="1" applyBorder="1" applyAlignment="1">
      <alignment horizontal="left" vertical="center" indent="1"/>
    </xf>
    <xf numFmtId="3" fontId="16" fillId="48" borderId="323" xfId="4" applyNumberFormat="1" applyFont="1" applyFill="1" applyBorder="1" applyAlignment="1" applyProtection="1">
      <alignment horizontal="center" vertical="center"/>
      <protection locked="0"/>
    </xf>
    <xf numFmtId="3" fontId="16" fillId="48" borderId="324" xfId="4" applyNumberFormat="1" applyFont="1" applyFill="1" applyBorder="1" applyAlignment="1" applyProtection="1">
      <alignment horizontal="center" vertical="center"/>
      <protection locked="0"/>
    </xf>
    <xf numFmtId="0" fontId="48" fillId="2" borderId="26" xfId="0" applyFont="1" applyFill="1" applyBorder="1" applyAlignment="1">
      <alignment horizontal="center" vertical="top"/>
    </xf>
    <xf numFmtId="0" fontId="48" fillId="2" borderId="29" xfId="0" applyFont="1" applyFill="1" applyBorder="1" applyAlignment="1">
      <alignment horizontal="center" vertical="top"/>
    </xf>
    <xf numFmtId="0" fontId="0" fillId="7" borderId="284" xfId="0" applyFill="1" applyBorder="1" applyAlignment="1">
      <alignment horizontal="left" vertical="center" indent="1"/>
    </xf>
    <xf numFmtId="0" fontId="16" fillId="7" borderId="307" xfId="0" quotePrefix="1" applyFont="1" applyFill="1" applyBorder="1" applyAlignment="1">
      <alignment horizontal="left" wrapText="1"/>
    </xf>
    <xf numFmtId="0" fontId="16" fillId="7" borderId="308" xfId="0" applyFont="1" applyFill="1" applyBorder="1"/>
    <xf numFmtId="0" fontId="19" fillId="17" borderId="31" xfId="0" applyFont="1" applyFill="1" applyBorder="1" applyAlignment="1">
      <alignment horizontal="left" vertical="center"/>
    </xf>
    <xf numFmtId="0" fontId="19" fillId="17" borderId="14" xfId="0" applyFont="1" applyFill="1" applyBorder="1" applyAlignment="1">
      <alignment horizontal="left" vertical="center"/>
    </xf>
    <xf numFmtId="0" fontId="16" fillId="7" borderId="75" xfId="0" applyFont="1" applyFill="1" applyBorder="1" applyAlignment="1">
      <alignment horizontal="left" vertical="center" indent="1"/>
    </xf>
    <xf numFmtId="0" fontId="16" fillId="7" borderId="76" xfId="0" applyFont="1" applyFill="1" applyBorder="1" applyAlignment="1">
      <alignment horizontal="left" vertical="center" indent="1"/>
    </xf>
    <xf numFmtId="1" fontId="16" fillId="48" borderId="313" xfId="2" applyNumberFormat="1" applyFont="1" applyFill="1" applyBorder="1" applyAlignment="1" applyProtection="1">
      <alignment horizontal="center" vertical="center"/>
      <protection locked="0"/>
    </xf>
    <xf numFmtId="1" fontId="16" fillId="48" borderId="314" xfId="2" applyNumberFormat="1" applyFont="1" applyFill="1" applyBorder="1" applyAlignment="1" applyProtection="1">
      <alignment horizontal="center" vertical="center"/>
      <protection locked="0"/>
    </xf>
    <xf numFmtId="0" fontId="16" fillId="7" borderId="308" xfId="0" quotePrefix="1" applyFont="1" applyFill="1" applyBorder="1" applyAlignment="1">
      <alignment horizontal="left" vertical="top" wrapText="1"/>
    </xf>
    <xf numFmtId="0" fontId="16" fillId="7" borderId="310" xfId="0" applyFont="1" applyFill="1" applyBorder="1" applyAlignment="1">
      <alignment horizontal="left" vertical="top" wrapText="1"/>
    </xf>
    <xf numFmtId="167" fontId="16" fillId="48" borderId="323" xfId="4" applyNumberFormat="1" applyFont="1" applyFill="1" applyBorder="1" applyAlignment="1" applyProtection="1">
      <alignment horizontal="center" vertical="center"/>
      <protection locked="0"/>
    </xf>
    <xf numFmtId="167" fontId="16" fillId="48" borderId="324" xfId="4" applyNumberFormat="1" applyFont="1" applyFill="1" applyBorder="1" applyAlignment="1" applyProtection="1">
      <alignment horizontal="center" vertical="center"/>
      <protection locked="0"/>
    </xf>
    <xf numFmtId="167" fontId="16" fillId="48" borderId="323" xfId="0" applyNumberFormat="1" applyFont="1" applyFill="1" applyBorder="1" applyAlignment="1" applyProtection="1">
      <alignment horizontal="center" vertical="center"/>
      <protection locked="0"/>
    </xf>
    <xf numFmtId="167" fontId="16" fillId="48" borderId="324" xfId="0" applyNumberFormat="1" applyFont="1" applyFill="1" applyBorder="1" applyAlignment="1" applyProtection="1">
      <alignment horizontal="center" vertical="center"/>
      <protection locked="0"/>
    </xf>
    <xf numFmtId="167" fontId="16" fillId="48" borderId="325" xfId="0" applyNumberFormat="1" applyFont="1" applyFill="1" applyBorder="1" applyAlignment="1" applyProtection="1">
      <alignment horizontal="center" vertical="center"/>
      <protection locked="0"/>
    </xf>
    <xf numFmtId="167" fontId="16" fillId="48" borderId="326" xfId="0" applyNumberFormat="1" applyFont="1" applyFill="1" applyBorder="1" applyAlignment="1" applyProtection="1">
      <alignment horizontal="center" vertical="center"/>
      <protection locked="0"/>
    </xf>
    <xf numFmtId="2" fontId="16" fillId="3" borderId="323" xfId="2" applyNumberFormat="1" applyFont="1" applyFill="1" applyBorder="1" applyAlignment="1" applyProtection="1">
      <alignment horizontal="right" vertical="center" indent="1"/>
    </xf>
    <xf numFmtId="2" fontId="16" fillId="3" borderId="324" xfId="2" applyNumberFormat="1" applyFont="1" applyFill="1" applyBorder="1" applyAlignment="1" applyProtection="1">
      <alignment horizontal="right" vertical="center" indent="1"/>
    </xf>
    <xf numFmtId="43" fontId="16" fillId="3" borderId="323" xfId="2" applyFont="1" applyFill="1" applyBorder="1" applyAlignment="1" applyProtection="1">
      <alignment horizontal="right" vertical="center"/>
    </xf>
    <xf numFmtId="43" fontId="16" fillId="3" borderId="324" xfId="2" applyFont="1" applyFill="1" applyBorder="1" applyAlignment="1" applyProtection="1">
      <alignment horizontal="right" vertical="center"/>
    </xf>
    <xf numFmtId="2" fontId="16" fillId="48" borderId="323" xfId="2" applyNumberFormat="1" applyFont="1" applyFill="1" applyBorder="1" applyAlignment="1" applyProtection="1">
      <alignment horizontal="right" vertical="center" indent="1"/>
      <protection locked="0"/>
    </xf>
    <xf numFmtId="2" fontId="16" fillId="48" borderId="324" xfId="2" applyNumberFormat="1" applyFont="1" applyFill="1" applyBorder="1" applyAlignment="1" applyProtection="1">
      <alignment horizontal="right" vertical="center" indent="1"/>
      <protection locked="0"/>
    </xf>
    <xf numFmtId="0" fontId="18" fillId="3" borderId="20" xfId="0" applyFont="1" applyFill="1" applyBorder="1" applyAlignment="1" applyProtection="1">
      <alignment horizontal="center"/>
      <protection locked="0"/>
    </xf>
    <xf numFmtId="0" fontId="18" fillId="3" borderId="0" xfId="0" applyFont="1" applyFill="1" applyBorder="1" applyAlignment="1" applyProtection="1">
      <alignment horizontal="center"/>
      <protection locked="0"/>
    </xf>
    <xf numFmtId="0" fontId="18" fillId="3" borderId="40" xfId="0" applyFont="1" applyFill="1" applyBorder="1" applyAlignment="1" applyProtection="1">
      <alignment horizontal="center"/>
      <protection locked="0"/>
    </xf>
    <xf numFmtId="0" fontId="18" fillId="3" borderId="44" xfId="0" applyFont="1" applyFill="1" applyBorder="1" applyAlignment="1" applyProtection="1">
      <alignment horizontal="center"/>
      <protection locked="0"/>
    </xf>
    <xf numFmtId="0" fontId="18" fillId="3" borderId="36" xfId="0" applyFont="1" applyFill="1" applyBorder="1" applyAlignment="1" applyProtection="1">
      <alignment horizontal="center"/>
      <protection locked="0"/>
    </xf>
    <xf numFmtId="0" fontId="18" fillId="3" borderId="57" xfId="0" applyFont="1" applyFill="1" applyBorder="1" applyAlignment="1" applyProtection="1">
      <alignment horizontal="center"/>
      <protection locked="0"/>
    </xf>
    <xf numFmtId="0" fontId="16" fillId="7" borderId="44" xfId="0" applyFont="1" applyFill="1" applyBorder="1" applyAlignment="1">
      <alignment horizontal="left" vertical="center" indent="1"/>
    </xf>
    <xf numFmtId="0" fontId="16" fillId="7" borderId="36" xfId="0" applyFont="1" applyFill="1" applyBorder="1" applyAlignment="1">
      <alignment horizontal="left" vertical="center" indent="1"/>
    </xf>
    <xf numFmtId="0" fontId="16" fillId="27" borderId="13" xfId="0" applyFont="1" applyFill="1" applyBorder="1" applyAlignment="1">
      <alignment horizontal="center" vertical="center"/>
    </xf>
    <xf numFmtId="0" fontId="16" fillId="27" borderId="14" xfId="0" applyFont="1" applyFill="1" applyBorder="1" applyAlignment="1">
      <alignment horizontal="center" vertical="center"/>
    </xf>
    <xf numFmtId="0" fontId="39" fillId="27" borderId="13" xfId="0" applyFont="1" applyFill="1" applyBorder="1" applyAlignment="1">
      <alignment horizontal="center" vertical="center"/>
    </xf>
    <xf numFmtId="0" fontId="39" fillId="27" borderId="14" xfId="0" applyFont="1" applyFill="1" applyBorder="1" applyAlignment="1">
      <alignment horizontal="center" vertical="center"/>
    </xf>
    <xf numFmtId="0" fontId="0" fillId="17" borderId="120" xfId="0" applyFill="1" applyBorder="1" applyAlignment="1">
      <alignment horizontal="center"/>
    </xf>
    <xf numFmtId="0" fontId="0" fillId="17" borderId="34" xfId="0" applyFill="1" applyBorder="1" applyAlignment="1">
      <alignment horizontal="center"/>
    </xf>
    <xf numFmtId="0" fontId="3" fillId="7" borderId="296" xfId="0" applyFont="1" applyFill="1" applyBorder="1" applyAlignment="1">
      <alignment horizontal="left" vertical="center" indent="1"/>
    </xf>
    <xf numFmtId="0" fontId="3" fillId="7" borderId="297" xfId="0" applyFont="1" applyFill="1" applyBorder="1" applyAlignment="1">
      <alignment horizontal="left" vertical="center" indent="1"/>
    </xf>
    <xf numFmtId="0" fontId="3" fillId="7" borderId="294" xfId="0" applyFont="1" applyFill="1" applyBorder="1" applyAlignment="1">
      <alignment horizontal="left" vertical="center" indent="1"/>
    </xf>
    <xf numFmtId="0" fontId="3" fillId="7" borderId="306" xfId="0" applyFont="1" applyFill="1" applyBorder="1" applyAlignment="1">
      <alignment horizontal="left" vertical="center" indent="1"/>
    </xf>
    <xf numFmtId="0" fontId="3" fillId="7" borderId="46" xfId="0" applyFont="1" applyFill="1" applyBorder="1" applyAlignment="1">
      <alignment horizontal="left" vertical="center" indent="1"/>
    </xf>
    <xf numFmtId="0" fontId="3" fillId="7" borderId="64" xfId="0" applyFont="1" applyFill="1" applyBorder="1" applyAlignment="1">
      <alignment horizontal="left" vertical="center" indent="1"/>
    </xf>
    <xf numFmtId="0" fontId="39" fillId="17" borderId="120" xfId="0" applyFont="1" applyFill="1" applyBorder="1" applyAlignment="1">
      <alignment horizontal="center"/>
    </xf>
    <xf numFmtId="0" fontId="39" fillId="17" borderId="34" xfId="0" applyFont="1" applyFill="1" applyBorder="1" applyAlignment="1">
      <alignment horizontal="center"/>
    </xf>
    <xf numFmtId="0" fontId="0" fillId="7" borderId="305" xfId="0" applyFill="1" applyBorder="1" applyAlignment="1">
      <alignment horizontal="left" vertical="center" indent="1"/>
    </xf>
    <xf numFmtId="0" fontId="16" fillId="7" borderId="296" xfId="0" applyFont="1" applyFill="1" applyBorder="1" applyAlignment="1">
      <alignment horizontal="center" vertical="center" wrapText="1"/>
    </xf>
    <xf numFmtId="0" fontId="16" fillId="7" borderId="298" xfId="0" applyFont="1" applyFill="1" applyBorder="1" applyAlignment="1">
      <alignment horizontal="center" vertical="center" wrapText="1"/>
    </xf>
    <xf numFmtId="0" fontId="16" fillId="7" borderId="44" xfId="0" applyFont="1" applyFill="1" applyBorder="1" applyAlignment="1">
      <alignment horizontal="center" vertical="center" wrapText="1"/>
    </xf>
    <xf numFmtId="0" fontId="16" fillId="7" borderId="303" xfId="0" applyFont="1" applyFill="1" applyBorder="1" applyAlignment="1">
      <alignment horizontal="center" vertical="center" wrapText="1"/>
    </xf>
    <xf numFmtId="0" fontId="0" fillId="7" borderId="296" xfId="0" applyFont="1" applyFill="1" applyBorder="1" applyAlignment="1">
      <alignment horizontal="left" vertical="center" wrapText="1" indent="1"/>
    </xf>
    <xf numFmtId="0" fontId="0" fillId="7" borderId="297" xfId="0" applyFont="1" applyFill="1" applyBorder="1" applyAlignment="1">
      <alignment horizontal="left" vertical="center" wrapText="1" indent="1"/>
    </xf>
    <xf numFmtId="0" fontId="0" fillId="7" borderId="44" xfId="0" applyFont="1" applyFill="1" applyBorder="1" applyAlignment="1">
      <alignment horizontal="left" vertical="center" wrapText="1" indent="1"/>
    </xf>
    <xf numFmtId="0" fontId="0" fillId="7" borderId="36" xfId="0" applyFont="1" applyFill="1" applyBorder="1" applyAlignment="1">
      <alignment horizontal="left" vertical="center" wrapText="1" indent="1"/>
    </xf>
    <xf numFmtId="3" fontId="0" fillId="48" borderId="313" xfId="0" applyNumberFormat="1" applyFont="1" applyFill="1" applyBorder="1" applyAlignment="1" applyProtection="1">
      <alignment horizontal="center" vertical="center"/>
      <protection locked="0"/>
    </xf>
    <xf numFmtId="3" fontId="0" fillId="48" borderId="314" xfId="0" applyNumberFormat="1" applyFont="1" applyFill="1" applyBorder="1" applyAlignment="1" applyProtection="1">
      <alignment horizontal="center" vertical="center"/>
      <protection locked="0"/>
    </xf>
    <xf numFmtId="0" fontId="24" fillId="27" borderId="44" xfId="0" applyFont="1" applyFill="1" applyBorder="1" applyAlignment="1">
      <alignment horizontal="center" vertical="top"/>
    </xf>
    <xf numFmtId="0" fontId="24" fillId="27" borderId="36" xfId="0" applyFont="1" applyFill="1" applyBorder="1" applyAlignment="1">
      <alignment horizontal="center" vertical="top"/>
    </xf>
    <xf numFmtId="0" fontId="0" fillId="7" borderId="296" xfId="0" applyFont="1" applyFill="1" applyBorder="1" applyAlignment="1">
      <alignment horizontal="left" vertical="center" indent="1"/>
    </xf>
    <xf numFmtId="0" fontId="0" fillId="7" borderId="297" xfId="0" applyFont="1" applyFill="1" applyBorder="1" applyAlignment="1">
      <alignment horizontal="left" vertical="center" indent="1"/>
    </xf>
    <xf numFmtId="0" fontId="0" fillId="7" borderId="20" xfId="0" applyFont="1" applyFill="1" applyBorder="1" applyAlignment="1">
      <alignment horizontal="left" vertical="center" indent="1"/>
    </xf>
    <xf numFmtId="0" fontId="0" fillId="7" borderId="0" xfId="0" applyFont="1" applyFill="1" applyBorder="1" applyAlignment="1">
      <alignment horizontal="left" vertical="center" indent="1"/>
    </xf>
    <xf numFmtId="0" fontId="0" fillId="7" borderId="294" xfId="0" applyFont="1" applyFill="1" applyBorder="1" applyAlignment="1">
      <alignment horizontal="left" vertical="center" indent="1"/>
    </xf>
    <xf numFmtId="0" fontId="0" fillId="7" borderId="306" xfId="0" applyFont="1" applyFill="1" applyBorder="1" applyAlignment="1">
      <alignment horizontal="left" vertical="center" indent="1"/>
    </xf>
    <xf numFmtId="0" fontId="0" fillId="7" borderId="20" xfId="0" applyFont="1" applyFill="1" applyBorder="1" applyAlignment="1">
      <alignment horizontal="left" vertical="center" wrapText="1" indent="1"/>
    </xf>
    <xf numFmtId="0" fontId="0" fillId="7" borderId="0" xfId="0" applyFont="1" applyFill="1" applyBorder="1" applyAlignment="1">
      <alignment horizontal="left" vertical="center" wrapText="1" indent="1"/>
    </xf>
    <xf numFmtId="0" fontId="0" fillId="7" borderId="142" xfId="0" applyFont="1" applyFill="1" applyBorder="1" applyAlignment="1">
      <alignment horizontal="left" vertical="center" wrapText="1" indent="1"/>
    </xf>
    <xf numFmtId="0" fontId="0" fillId="7" borderId="9" xfId="0" applyFont="1" applyFill="1" applyBorder="1" applyAlignment="1">
      <alignment horizontal="left" vertical="center" wrapText="1" indent="1"/>
    </xf>
    <xf numFmtId="0" fontId="24" fillId="27" borderId="13" xfId="0" applyFont="1" applyFill="1" applyBorder="1" applyAlignment="1">
      <alignment horizontal="center" vertical="top"/>
    </xf>
    <xf numFmtId="0" fontId="24" fillId="27" borderId="14" xfId="0" applyFont="1" applyFill="1" applyBorder="1" applyAlignment="1">
      <alignment horizontal="center" vertical="top"/>
    </xf>
    <xf numFmtId="0" fontId="0" fillId="7" borderId="62" xfId="0" applyFont="1" applyFill="1" applyBorder="1" applyAlignment="1">
      <alignment horizontal="left" vertical="center" indent="1"/>
    </xf>
    <xf numFmtId="0" fontId="0" fillId="7" borderId="66" xfId="0" applyFont="1" applyFill="1" applyBorder="1" applyAlignment="1">
      <alignment horizontal="left" vertical="center" indent="1"/>
    </xf>
    <xf numFmtId="0" fontId="0" fillId="7" borderId="97" xfId="0" applyFont="1" applyFill="1" applyBorder="1" applyAlignment="1">
      <alignment horizontal="center" vertical="center"/>
    </xf>
    <xf numFmtId="0" fontId="0" fillId="7" borderId="292" xfId="0" applyFont="1" applyFill="1" applyBorder="1" applyAlignment="1">
      <alignment horizontal="center" vertical="center"/>
    </xf>
    <xf numFmtId="0" fontId="0" fillId="7" borderId="20" xfId="0" applyFont="1" applyFill="1" applyBorder="1" applyAlignment="1">
      <alignment horizontal="center" vertical="center"/>
    </xf>
    <xf numFmtId="0" fontId="0" fillId="7" borderId="305" xfId="0" applyFont="1" applyFill="1" applyBorder="1" applyAlignment="1">
      <alignment horizontal="center" vertical="center"/>
    </xf>
    <xf numFmtId="0" fontId="0" fillId="7" borderId="44" xfId="0" applyFont="1" applyFill="1" applyBorder="1" applyAlignment="1">
      <alignment horizontal="center" vertical="center"/>
    </xf>
    <xf numFmtId="0" fontId="0" fillId="7" borderId="303" xfId="0" applyFont="1" applyFill="1" applyBorder="1" applyAlignment="1">
      <alignment horizontal="center" vertical="center"/>
    </xf>
    <xf numFmtId="0" fontId="104" fillId="25" borderId="95" xfId="1" applyFont="1" applyFill="1" applyBorder="1" applyAlignment="1" applyProtection="1">
      <alignment horizontal="left" vertical="center"/>
    </xf>
    <xf numFmtId="0" fontId="0" fillId="7" borderId="44" xfId="0" applyFill="1" applyBorder="1" applyAlignment="1">
      <alignment horizontal="left" vertical="top" indent="1"/>
    </xf>
    <xf numFmtId="0" fontId="0" fillId="7" borderId="36" xfId="0" applyFill="1" applyBorder="1" applyAlignment="1">
      <alignment horizontal="left" vertical="top" indent="1"/>
    </xf>
    <xf numFmtId="0" fontId="16" fillId="7" borderId="44" xfId="0" applyFont="1" applyFill="1" applyBorder="1" applyAlignment="1">
      <alignment horizontal="left" vertical="top" indent="1"/>
    </xf>
    <xf numFmtId="0" fontId="16" fillId="7" borderId="36" xfId="0" applyFont="1" applyFill="1" applyBorder="1" applyAlignment="1">
      <alignment horizontal="left" vertical="top" indent="1"/>
    </xf>
    <xf numFmtId="0" fontId="48" fillId="27" borderId="13" xfId="0" applyFont="1" applyFill="1" applyBorder="1" applyAlignment="1">
      <alignment horizontal="center" vertical="top" wrapText="1"/>
    </xf>
    <xf numFmtId="0" fontId="48" fillId="27" borderId="14" xfId="0" applyFont="1" applyFill="1" applyBorder="1" applyAlignment="1">
      <alignment horizontal="center" vertical="top" wrapText="1"/>
    </xf>
    <xf numFmtId="0" fontId="48" fillId="27" borderId="26" xfId="0" applyFont="1" applyFill="1" applyBorder="1" applyAlignment="1">
      <alignment horizontal="center" vertical="top" wrapText="1"/>
    </xf>
    <xf numFmtId="0" fontId="48" fillId="27" borderId="29" xfId="0" applyFont="1" applyFill="1" applyBorder="1" applyAlignment="1">
      <alignment horizontal="center" vertical="top" wrapText="1"/>
    </xf>
    <xf numFmtId="0" fontId="0" fillId="7" borderId="20" xfId="0" applyFill="1" applyBorder="1" applyAlignment="1">
      <alignment horizontal="left" vertical="top" indent="1"/>
    </xf>
    <xf numFmtId="0" fontId="0" fillId="7" borderId="0" xfId="0" applyFill="1" applyBorder="1" applyAlignment="1">
      <alignment horizontal="left" vertical="top" indent="1"/>
    </xf>
    <xf numFmtId="0" fontId="0" fillId="7" borderId="370" xfId="0" applyFill="1" applyBorder="1" applyAlignment="1">
      <alignment horizontal="left" vertical="center" indent="1"/>
    </xf>
    <xf numFmtId="0" fontId="0" fillId="7" borderId="371" xfId="0" applyFill="1" applyBorder="1" applyAlignment="1">
      <alignment horizontal="left" vertical="center" indent="1"/>
    </xf>
    <xf numFmtId="0" fontId="0" fillId="7" borderId="296" xfId="0" applyFill="1" applyBorder="1" applyAlignment="1">
      <alignment horizontal="center" vertical="center"/>
    </xf>
    <xf numFmtId="0" fontId="0" fillId="7" borderId="297" xfId="0" applyFill="1" applyBorder="1" applyAlignment="1">
      <alignment horizontal="center" vertical="center"/>
    </xf>
    <xf numFmtId="0" fontId="0" fillId="7" borderId="294" xfId="0" applyFill="1" applyBorder="1" applyAlignment="1">
      <alignment horizontal="center" vertical="center"/>
    </xf>
    <xf numFmtId="0" fontId="0" fillId="7" borderId="306" xfId="0" applyFill="1" applyBorder="1" applyAlignment="1">
      <alignment horizontal="center" vertical="center"/>
    </xf>
    <xf numFmtId="0" fontId="0" fillId="7" borderId="296" xfId="0" applyFill="1" applyBorder="1" applyAlignment="1">
      <alignment horizontal="center" vertical="center" wrapText="1"/>
    </xf>
    <xf numFmtId="0" fontId="0" fillId="7" borderId="297" xfId="0" applyFill="1" applyBorder="1" applyAlignment="1">
      <alignment horizontal="center" vertical="center" wrapText="1"/>
    </xf>
    <xf numFmtId="0" fontId="0" fillId="7" borderId="20" xfId="0" applyFill="1" applyBorder="1" applyAlignment="1">
      <alignment horizontal="center" vertical="center" wrapText="1"/>
    </xf>
    <xf numFmtId="0" fontId="0" fillId="7" borderId="0" xfId="0" applyFill="1" applyBorder="1" applyAlignment="1">
      <alignment horizontal="center" vertical="center" wrapText="1"/>
    </xf>
    <xf numFmtId="0" fontId="0" fillId="7" borderId="294" xfId="0" applyFill="1" applyBorder="1" applyAlignment="1">
      <alignment horizontal="center" vertical="center" wrapText="1"/>
    </xf>
    <xf numFmtId="0" fontId="0" fillId="7" borderId="306" xfId="0" applyFill="1" applyBorder="1" applyAlignment="1">
      <alignment horizontal="center" vertical="center" wrapText="1"/>
    </xf>
    <xf numFmtId="0" fontId="0" fillId="7" borderId="20" xfId="0" applyFill="1" applyBorder="1" applyAlignment="1">
      <alignment horizontal="left" indent="1"/>
    </xf>
    <xf numFmtId="0" fontId="0" fillId="7" borderId="0" xfId="0" applyFill="1" applyBorder="1" applyAlignment="1">
      <alignment horizontal="left" indent="1"/>
    </xf>
    <xf numFmtId="0" fontId="104" fillId="25" borderId="95" xfId="1" applyFont="1" applyFill="1" applyBorder="1" applyAlignment="1" applyProtection="1">
      <alignment horizontal="center" vertical="center"/>
      <protection locked="0"/>
    </xf>
    <xf numFmtId="0" fontId="284" fillId="7" borderId="337" xfId="0" applyFont="1" applyFill="1" applyBorder="1" applyAlignment="1">
      <alignment horizontal="left" wrapText="1"/>
    </xf>
    <xf numFmtId="0" fontId="284" fillId="7" borderId="305" xfId="0" applyFont="1" applyFill="1" applyBorder="1" applyAlignment="1">
      <alignment horizontal="left" wrapText="1"/>
    </xf>
    <xf numFmtId="0" fontId="224" fillId="26" borderId="90" xfId="0" applyFont="1" applyFill="1" applyBorder="1" applyAlignment="1" applyProtection="1">
      <alignment horizontal="center"/>
    </xf>
    <xf numFmtId="9" fontId="0" fillId="7" borderId="49" xfId="5" applyFont="1" applyFill="1" applyBorder="1" applyAlignment="1" applyProtection="1">
      <alignment horizontal="center" vertical="center"/>
    </xf>
    <xf numFmtId="9" fontId="0" fillId="48" borderId="18" xfId="5" applyFont="1" applyFill="1" applyBorder="1" applyAlignment="1" applyProtection="1">
      <alignment horizontal="center" vertical="center"/>
      <protection locked="0"/>
    </xf>
    <xf numFmtId="9" fontId="3" fillId="7" borderId="141" xfId="5" applyFont="1" applyFill="1" applyBorder="1" applyAlignment="1" applyProtection="1">
      <alignment horizontal="center" vertical="center"/>
    </xf>
    <xf numFmtId="9" fontId="3" fillId="7" borderId="127" xfId="5" applyFont="1" applyFill="1" applyBorder="1" applyAlignment="1" applyProtection="1">
      <alignment horizontal="center" vertical="center"/>
    </xf>
    <xf numFmtId="9" fontId="3" fillId="7" borderId="63" xfId="5" applyFont="1" applyFill="1" applyBorder="1" applyAlignment="1" applyProtection="1">
      <alignment horizontal="center" vertical="center"/>
    </xf>
    <xf numFmtId="9" fontId="3" fillId="7" borderId="99" xfId="5" applyFont="1" applyFill="1" applyBorder="1" applyAlignment="1" applyProtection="1">
      <alignment horizontal="center" vertical="center"/>
    </xf>
    <xf numFmtId="9" fontId="3" fillId="7" borderId="73" xfId="5" applyFont="1" applyFill="1" applyBorder="1" applyAlignment="1" applyProtection="1">
      <alignment horizontal="center" vertical="center"/>
    </xf>
    <xf numFmtId="9" fontId="3" fillId="7" borderId="59" xfId="5" applyFont="1" applyFill="1" applyBorder="1" applyAlignment="1" applyProtection="1">
      <alignment horizontal="center" vertical="center"/>
    </xf>
    <xf numFmtId="9" fontId="0" fillId="7" borderId="20" xfId="5" applyFont="1" applyFill="1" applyBorder="1" applyAlignment="1" applyProtection="1">
      <alignment horizontal="center" vertical="center"/>
    </xf>
    <xf numFmtId="9" fontId="0" fillId="7" borderId="44" xfId="5" applyFont="1" applyFill="1" applyBorder="1" applyAlignment="1" applyProtection="1">
      <alignment horizontal="center" vertical="center"/>
    </xf>
    <xf numFmtId="9" fontId="0" fillId="48" borderId="17" xfId="5" applyFont="1" applyFill="1" applyBorder="1" applyAlignment="1" applyProtection="1">
      <alignment horizontal="center" vertical="center"/>
      <protection locked="0"/>
    </xf>
    <xf numFmtId="9" fontId="0" fillId="48" borderId="19" xfId="5" applyFont="1" applyFill="1" applyBorder="1" applyAlignment="1" applyProtection="1">
      <alignment horizontal="center" vertical="center"/>
      <protection locked="0"/>
    </xf>
    <xf numFmtId="9" fontId="3" fillId="7" borderId="192" xfId="5" applyFont="1" applyFill="1" applyBorder="1" applyAlignment="1" applyProtection="1">
      <alignment horizontal="center" vertical="center"/>
    </xf>
    <xf numFmtId="9" fontId="3" fillId="7" borderId="58" xfId="5" applyFont="1" applyFill="1" applyBorder="1" applyAlignment="1" applyProtection="1">
      <alignment horizontal="center" vertical="center"/>
    </xf>
    <xf numFmtId="9" fontId="3" fillId="7" borderId="56" xfId="5" applyFont="1" applyFill="1" applyBorder="1" applyAlignment="1" applyProtection="1">
      <alignment horizontal="center" vertical="center"/>
    </xf>
    <xf numFmtId="9" fontId="0" fillId="7" borderId="42" xfId="5" applyFont="1" applyFill="1" applyBorder="1" applyAlignment="1" applyProtection="1">
      <alignment horizontal="center" vertical="center"/>
    </xf>
    <xf numFmtId="9" fontId="0" fillId="48" borderId="16" xfId="5" applyFont="1" applyFill="1" applyBorder="1" applyAlignment="1" applyProtection="1">
      <alignment horizontal="center" vertical="center"/>
      <protection locked="0"/>
    </xf>
    <xf numFmtId="9" fontId="3" fillId="7" borderId="126" xfId="5" applyFont="1" applyFill="1" applyBorder="1" applyAlignment="1" applyProtection="1">
      <alignment horizontal="center" vertical="center"/>
    </xf>
    <xf numFmtId="9" fontId="3" fillId="7" borderId="55" xfId="5" applyFont="1" applyFill="1" applyBorder="1" applyAlignment="1" applyProtection="1">
      <alignment horizontal="center" vertical="center"/>
    </xf>
    <xf numFmtId="9" fontId="3" fillId="7" borderId="87" xfId="5" applyFont="1" applyFill="1" applyBorder="1" applyAlignment="1" applyProtection="1">
      <alignment horizontal="center" vertical="center"/>
    </xf>
    <xf numFmtId="2" fontId="0" fillId="7" borderId="49" xfId="0" applyNumberFormat="1" applyFill="1" applyBorder="1" applyAlignment="1" applyProtection="1">
      <alignment horizontal="center" vertical="center"/>
    </xf>
    <xf numFmtId="2" fontId="0" fillId="7" borderId="75" xfId="0" applyNumberFormat="1" applyFill="1" applyBorder="1" applyAlignment="1" applyProtection="1">
      <alignment horizontal="center" vertical="center"/>
    </xf>
    <xf numFmtId="2" fontId="0" fillId="48" borderId="18" xfId="0" applyNumberFormat="1" applyFill="1" applyBorder="1" applyAlignment="1" applyProtection="1">
      <alignment horizontal="center" vertical="center"/>
      <protection locked="0"/>
    </xf>
    <xf numFmtId="2" fontId="0" fillId="48" borderId="114" xfId="0" applyNumberFormat="1" applyFill="1" applyBorder="1" applyAlignment="1" applyProtection="1">
      <alignment horizontal="center" vertical="center"/>
      <protection locked="0"/>
    </xf>
    <xf numFmtId="2" fontId="3" fillId="7" borderId="141" xfId="5" applyNumberFormat="1" applyFont="1" applyFill="1" applyBorder="1" applyAlignment="1" applyProtection="1">
      <alignment horizontal="center" vertical="center"/>
    </xf>
    <xf numFmtId="2" fontId="3" fillId="7" borderId="192" xfId="5" applyNumberFormat="1" applyFont="1" applyFill="1" applyBorder="1" applyAlignment="1" applyProtection="1">
      <alignment horizontal="center" vertical="center"/>
    </xf>
    <xf numFmtId="2" fontId="3" fillId="7" borderId="63" xfId="5" applyNumberFormat="1" applyFont="1" applyFill="1" applyBorder="1" applyAlignment="1" applyProtection="1">
      <alignment horizontal="center" vertical="center"/>
    </xf>
    <xf numFmtId="2" fontId="3" fillId="7" borderId="58" xfId="5" applyNumberFormat="1" applyFont="1" applyFill="1" applyBorder="1" applyAlignment="1" applyProtection="1">
      <alignment horizontal="center" vertical="center"/>
    </xf>
    <xf numFmtId="2" fontId="3" fillId="7" borderId="73" xfId="5" applyNumberFormat="1" applyFont="1" applyFill="1" applyBorder="1" applyAlignment="1" applyProtection="1">
      <alignment horizontal="center" vertical="center"/>
    </xf>
    <xf numFmtId="2" fontId="3" fillId="7" borderId="56" xfId="5" applyNumberFormat="1" applyFont="1" applyFill="1" applyBorder="1" applyAlignment="1" applyProtection="1">
      <alignment horizontal="center" vertical="center"/>
    </xf>
    <xf numFmtId="9" fontId="0" fillId="7" borderId="75" xfId="5" applyFont="1" applyFill="1" applyBorder="1" applyAlignment="1" applyProtection="1">
      <alignment horizontal="center" vertical="center"/>
    </xf>
    <xf numFmtId="9" fontId="0" fillId="48" borderId="114" xfId="5" applyFont="1" applyFill="1" applyBorder="1" applyAlignment="1" applyProtection="1">
      <alignment horizontal="center" vertical="center"/>
      <protection locked="0"/>
    </xf>
    <xf numFmtId="2" fontId="3" fillId="7" borderId="127" xfId="5" applyNumberFormat="1" applyFont="1" applyFill="1" applyBorder="1" applyAlignment="1" applyProtection="1">
      <alignment horizontal="center" vertical="center"/>
    </xf>
    <xf numFmtId="2" fontId="3" fillId="7" borderId="99" xfId="5" applyNumberFormat="1" applyFont="1" applyFill="1" applyBorder="1" applyAlignment="1" applyProtection="1">
      <alignment horizontal="center" vertical="center"/>
    </xf>
    <xf numFmtId="2" fontId="3" fillId="7" borderId="59" xfId="5" applyNumberFormat="1" applyFont="1" applyFill="1" applyBorder="1" applyAlignment="1" applyProtection="1">
      <alignment horizontal="center" vertical="center"/>
    </xf>
    <xf numFmtId="1" fontId="0" fillId="7" borderId="49" xfId="0" applyNumberFormat="1" applyFill="1" applyBorder="1" applyAlignment="1" applyProtection="1">
      <alignment horizontal="center" vertical="center"/>
    </xf>
    <xf numFmtId="1" fontId="0" fillId="48" borderId="18" xfId="0" applyNumberFormat="1" applyFill="1" applyBorder="1" applyAlignment="1" applyProtection="1">
      <alignment horizontal="center" vertical="center"/>
      <protection locked="0"/>
    </xf>
    <xf numFmtId="1" fontId="3" fillId="7" borderId="141" xfId="5" applyNumberFormat="1" applyFont="1" applyFill="1" applyBorder="1" applyAlignment="1" applyProtection="1">
      <alignment horizontal="center" vertical="center"/>
    </xf>
    <xf numFmtId="1" fontId="3" fillId="7" borderId="127" xfId="5" applyNumberFormat="1" applyFont="1" applyFill="1" applyBorder="1" applyAlignment="1" applyProtection="1">
      <alignment horizontal="center" vertical="center"/>
    </xf>
    <xf numFmtId="1" fontId="3" fillId="7" borderId="63" xfId="5" applyNumberFormat="1" applyFont="1" applyFill="1" applyBorder="1" applyAlignment="1" applyProtection="1">
      <alignment horizontal="center" vertical="center"/>
    </xf>
    <xf numFmtId="1" fontId="3" fillId="7" borderId="99" xfId="5" applyNumberFormat="1" applyFont="1" applyFill="1" applyBorder="1" applyAlignment="1" applyProtection="1">
      <alignment horizontal="center" vertical="center"/>
    </xf>
    <xf numFmtId="1" fontId="3" fillId="7" borderId="73" xfId="5" applyNumberFormat="1" applyFont="1" applyFill="1" applyBorder="1" applyAlignment="1" applyProtection="1">
      <alignment horizontal="center" vertical="center"/>
    </xf>
    <xf numFmtId="1" fontId="3" fillId="7" borderId="59" xfId="5" applyNumberFormat="1" applyFont="1" applyFill="1" applyBorder="1" applyAlignment="1" applyProtection="1">
      <alignment horizontal="center" vertical="center"/>
    </xf>
    <xf numFmtId="0" fontId="163" fillId="7" borderId="0" xfId="0" applyFont="1" applyFill="1" applyBorder="1" applyAlignment="1" applyProtection="1">
      <alignment horizontal="center" vertical="top"/>
    </xf>
    <xf numFmtId="0" fontId="163" fillId="7" borderId="0" xfId="0" applyFont="1" applyFill="1" applyBorder="1" applyAlignment="1" applyProtection="1">
      <alignment horizontal="center" vertical="center"/>
    </xf>
    <xf numFmtId="1" fontId="3" fillId="7" borderId="126" xfId="5" applyNumberFormat="1" applyFont="1" applyFill="1" applyBorder="1" applyAlignment="1" applyProtection="1">
      <alignment horizontal="center" vertical="center"/>
    </xf>
    <xf numFmtId="1" fontId="3" fillId="7" borderId="194" xfId="5" applyNumberFormat="1" applyFont="1" applyFill="1" applyBorder="1" applyAlignment="1" applyProtection="1">
      <alignment horizontal="center" vertical="center"/>
    </xf>
    <xf numFmtId="1" fontId="3" fillId="7" borderId="55" xfId="5" applyNumberFormat="1" applyFont="1" applyFill="1" applyBorder="1" applyAlignment="1" applyProtection="1">
      <alignment horizontal="center" vertical="center"/>
    </xf>
    <xf numFmtId="1" fontId="3" fillId="7" borderId="87" xfId="5" applyNumberFormat="1" applyFont="1" applyFill="1" applyBorder="1" applyAlignment="1" applyProtection="1">
      <alignment horizontal="center" vertical="center"/>
    </xf>
    <xf numFmtId="9" fontId="3" fillId="7" borderId="194" xfId="5" applyFont="1" applyFill="1" applyBorder="1" applyAlignment="1" applyProtection="1">
      <alignment horizontal="center" vertical="center"/>
    </xf>
    <xf numFmtId="0" fontId="0" fillId="7" borderId="62" xfId="0" applyFill="1" applyBorder="1" applyAlignment="1" applyProtection="1">
      <alignment horizontal="center" vertical="center"/>
    </xf>
    <xf numFmtId="0" fontId="0" fillId="7" borderId="46" xfId="0" applyFill="1" applyBorder="1" applyAlignment="1" applyProtection="1">
      <alignment horizontal="center" vertical="center"/>
    </xf>
    <xf numFmtId="0" fontId="0" fillId="48" borderId="143" xfId="0" applyFill="1" applyBorder="1" applyAlignment="1" applyProtection="1">
      <alignment horizontal="center" vertical="center"/>
      <protection locked="0"/>
    </xf>
    <xf numFmtId="0" fontId="0" fillId="48" borderId="195" xfId="0" applyFill="1" applyBorder="1" applyAlignment="1" applyProtection="1">
      <alignment horizontal="center" vertical="center"/>
      <protection locked="0"/>
    </xf>
    <xf numFmtId="9" fontId="0" fillId="7" borderId="62" xfId="5" applyFont="1" applyFill="1" applyBorder="1" applyAlignment="1" applyProtection="1">
      <alignment horizontal="center" vertical="center"/>
    </xf>
    <xf numFmtId="9" fontId="0" fillId="48" borderId="143" xfId="5" applyFont="1" applyFill="1" applyBorder="1" applyAlignment="1" applyProtection="1">
      <alignment horizontal="center" vertical="center"/>
      <protection locked="0"/>
    </xf>
    <xf numFmtId="9" fontId="0" fillId="7" borderId="46" xfId="5" applyFont="1" applyFill="1" applyBorder="1" applyAlignment="1" applyProtection="1">
      <alignment horizontal="center" vertical="center"/>
    </xf>
    <xf numFmtId="9" fontId="0" fillId="48" borderId="195" xfId="5" applyFont="1" applyFill="1" applyBorder="1" applyAlignment="1" applyProtection="1">
      <alignment horizontal="center" vertical="center"/>
      <protection locked="0"/>
    </xf>
    <xf numFmtId="1" fontId="0" fillId="7" borderId="42" xfId="0" applyNumberFormat="1" applyFill="1" applyBorder="1" applyAlignment="1" applyProtection="1">
      <alignment horizontal="center" vertical="center"/>
    </xf>
    <xf numFmtId="0" fontId="0" fillId="7" borderId="20" xfId="0" applyFill="1" applyBorder="1" applyAlignment="1" applyProtection="1">
      <alignment horizontal="center" vertical="center"/>
    </xf>
    <xf numFmtId="0" fontId="0" fillId="48" borderId="16" xfId="0" applyFill="1" applyBorder="1" applyAlignment="1" applyProtection="1">
      <alignment horizontal="center" vertical="center"/>
      <protection locked="0"/>
    </xf>
    <xf numFmtId="0" fontId="0" fillId="48" borderId="17" xfId="0" applyFill="1" applyBorder="1" applyAlignment="1" applyProtection="1">
      <alignment horizontal="center" vertical="center"/>
      <protection locked="0"/>
    </xf>
    <xf numFmtId="0" fontId="199" fillId="7" borderId="179" xfId="0" applyFont="1" applyFill="1" applyBorder="1" applyAlignment="1" applyProtection="1">
      <alignment horizontal="left" vertical="center" wrapText="1" indent="1"/>
    </xf>
    <xf numFmtId="0" fontId="199" fillId="7" borderId="180" xfId="0" applyFont="1" applyFill="1" applyBorder="1" applyAlignment="1" applyProtection="1">
      <alignment horizontal="left" vertical="center" wrapText="1" indent="1"/>
    </xf>
    <xf numFmtId="0" fontId="199" fillId="7" borderId="181" xfId="0" applyFont="1" applyFill="1" applyBorder="1" applyAlignment="1" applyProtection="1">
      <alignment horizontal="left" vertical="center" wrapText="1" indent="1"/>
    </xf>
    <xf numFmtId="0" fontId="203" fillId="35" borderId="179" xfId="0" applyFont="1" applyFill="1" applyBorder="1" applyAlignment="1" applyProtection="1">
      <alignment horizontal="left" vertical="center" wrapText="1" indent="1"/>
    </xf>
    <xf numFmtId="0" fontId="203" fillId="35" borderId="180" xfId="0" applyFont="1" applyFill="1" applyBorder="1" applyAlignment="1" applyProtection="1">
      <alignment horizontal="left" vertical="center" wrapText="1" indent="1"/>
    </xf>
    <xf numFmtId="0" fontId="203" fillId="35" borderId="181" xfId="0" applyFont="1" applyFill="1" applyBorder="1" applyAlignment="1" applyProtection="1">
      <alignment horizontal="left" vertical="center" wrapText="1" indent="1"/>
    </xf>
    <xf numFmtId="0" fontId="203" fillId="35" borderId="179" xfId="0" quotePrefix="1" applyFont="1" applyFill="1" applyBorder="1" applyAlignment="1" applyProtection="1">
      <alignment horizontal="left" vertical="center" wrapText="1" indent="1"/>
    </xf>
    <xf numFmtId="0" fontId="199" fillId="0" borderId="179" xfId="0" applyFont="1" applyFill="1" applyBorder="1" applyAlignment="1" applyProtection="1">
      <alignment horizontal="left" vertical="center" wrapText="1" indent="1"/>
    </xf>
    <xf numFmtId="0" fontId="199" fillId="0" borderId="180" xfId="0" applyFont="1" applyFill="1" applyBorder="1" applyAlignment="1" applyProtection="1">
      <alignment horizontal="left" vertical="center" wrapText="1" indent="1"/>
    </xf>
    <xf numFmtId="0" fontId="199" fillId="0" borderId="181" xfId="0" applyFont="1" applyFill="1" applyBorder="1" applyAlignment="1" applyProtection="1">
      <alignment horizontal="left" vertical="center" wrapText="1" indent="1"/>
    </xf>
    <xf numFmtId="0" fontId="164" fillId="2" borderId="0" xfId="0" applyFont="1" applyFill="1" applyBorder="1" applyAlignment="1" applyProtection="1">
      <alignment horizontal="left" vertical="center" wrapText="1"/>
    </xf>
    <xf numFmtId="0" fontId="197" fillId="15" borderId="0" xfId="0" applyFont="1" applyFill="1" applyBorder="1" applyAlignment="1" applyProtection="1">
      <alignment horizontal="center" vertical="center" wrapText="1"/>
    </xf>
    <xf numFmtId="0" fontId="17" fillId="7" borderId="28" xfId="0" applyFont="1" applyFill="1" applyBorder="1" applyAlignment="1" applyProtection="1">
      <alignment horizontal="center" vertical="center" wrapText="1"/>
    </xf>
    <xf numFmtId="0" fontId="17" fillId="7" borderId="30" xfId="0" applyFont="1" applyFill="1" applyBorder="1" applyAlignment="1" applyProtection="1">
      <alignment horizontal="center" vertical="center" wrapText="1"/>
    </xf>
    <xf numFmtId="0" fontId="18" fillId="4" borderId="2" xfId="0" applyFont="1" applyFill="1" applyBorder="1" applyAlignment="1" applyProtection="1">
      <alignment horizontal="left" vertical="center" wrapText="1"/>
    </xf>
    <xf numFmtId="0" fontId="202" fillId="48" borderId="33" xfId="0" applyFont="1" applyFill="1" applyBorder="1" applyAlignment="1" applyProtection="1">
      <alignment horizontal="center" vertical="center" wrapText="1"/>
      <protection locked="0"/>
    </xf>
    <xf numFmtId="0" fontId="202" fillId="48" borderId="121" xfId="0" applyFont="1" applyFill="1" applyBorder="1" applyAlignment="1" applyProtection="1">
      <alignment horizontal="center" vertical="center" wrapText="1"/>
      <protection locked="0"/>
    </xf>
    <xf numFmtId="0" fontId="24" fillId="4" borderId="0" xfId="0" applyFont="1" applyFill="1" applyBorder="1" applyAlignment="1" applyProtection="1">
      <alignment horizontal="center" vertical="center" wrapText="1"/>
    </xf>
    <xf numFmtId="0" fontId="24" fillId="4" borderId="9" xfId="0" applyFont="1" applyFill="1" applyBorder="1" applyAlignment="1" applyProtection="1">
      <alignment horizontal="center" vertical="center" wrapText="1"/>
    </xf>
    <xf numFmtId="0" fontId="53" fillId="2" borderId="0" xfId="1" applyFont="1" applyFill="1" applyBorder="1" applyAlignment="1" applyProtection="1">
      <alignment horizontal="left" vertical="center" wrapText="1"/>
    </xf>
    <xf numFmtId="0" fontId="104" fillId="25" borderId="96" xfId="1" applyFont="1" applyFill="1" applyBorder="1" applyAlignment="1" applyProtection="1">
      <alignment horizontal="left" vertical="center"/>
    </xf>
    <xf numFmtId="0" fontId="199" fillId="7" borderId="185" xfId="0" applyFont="1" applyFill="1" applyBorder="1" applyAlignment="1" applyProtection="1">
      <alignment horizontal="left" vertical="center" wrapText="1" indent="1"/>
    </xf>
    <xf numFmtId="0" fontId="199" fillId="7" borderId="186" xfId="0" quotePrefix="1" applyFont="1" applyFill="1" applyBorder="1" applyAlignment="1" applyProtection="1">
      <alignment horizontal="left" vertical="center" wrapText="1" indent="1"/>
    </xf>
    <xf numFmtId="0" fontId="199" fillId="7" borderId="187" xfId="0" quotePrefix="1" applyFont="1" applyFill="1" applyBorder="1" applyAlignment="1" applyProtection="1">
      <alignment horizontal="left" vertical="center" wrapText="1" indent="1"/>
    </xf>
    <xf numFmtId="0" fontId="199" fillId="7" borderId="210" xfId="0" applyFont="1" applyFill="1" applyBorder="1" applyAlignment="1" applyProtection="1">
      <alignment horizontal="left" vertical="center" wrapText="1" indent="1"/>
    </xf>
    <xf numFmtId="0" fontId="199" fillId="7" borderId="211" xfId="0" applyFont="1" applyFill="1" applyBorder="1" applyAlignment="1" applyProtection="1">
      <alignment horizontal="left" vertical="center" wrapText="1" indent="1"/>
    </xf>
    <xf numFmtId="0" fontId="199" fillId="7" borderId="212" xfId="0" applyFont="1" applyFill="1" applyBorder="1" applyAlignment="1" applyProtection="1">
      <alignment horizontal="left" vertical="center" wrapText="1" indent="1"/>
    </xf>
    <xf numFmtId="0" fontId="199" fillId="7" borderId="182" xfId="0" applyFont="1" applyFill="1" applyBorder="1" applyAlignment="1" applyProtection="1">
      <alignment horizontal="left" vertical="center" wrapText="1" indent="1"/>
    </xf>
    <xf numFmtId="0" fontId="199" fillId="7" borderId="183" xfId="0" applyFont="1" applyFill="1" applyBorder="1" applyAlignment="1" applyProtection="1">
      <alignment horizontal="left" vertical="center" wrapText="1" indent="1"/>
    </xf>
    <xf numFmtId="0" fontId="199" fillId="7" borderId="184" xfId="0" applyFont="1" applyFill="1" applyBorder="1" applyAlignment="1" applyProtection="1">
      <alignment horizontal="left" vertical="center" wrapText="1" indent="1"/>
    </xf>
    <xf numFmtId="0" fontId="18" fillId="35" borderId="179" xfId="0" applyFont="1" applyFill="1" applyBorder="1" applyAlignment="1" applyProtection="1">
      <alignment horizontal="left" vertical="center" wrapText="1" indent="1"/>
    </xf>
    <xf numFmtId="0" fontId="18" fillId="35" borderId="180" xfId="0" applyFont="1" applyFill="1" applyBorder="1" applyAlignment="1" applyProtection="1">
      <alignment horizontal="left" vertical="center" wrapText="1" indent="1"/>
    </xf>
    <xf numFmtId="0" fontId="18" fillId="35" borderId="181" xfId="0" applyFont="1" applyFill="1" applyBorder="1" applyAlignment="1" applyProtection="1">
      <alignment horizontal="left" vertical="center" wrapText="1" indent="1"/>
    </xf>
    <xf numFmtId="0" fontId="199" fillId="7" borderId="185" xfId="0" applyFont="1" applyFill="1" applyBorder="1" applyAlignment="1" applyProtection="1">
      <alignment horizontal="left" vertical="center" indent="1"/>
    </xf>
    <xf numFmtId="0" fontId="199" fillId="7" borderId="186" xfId="0" applyFont="1" applyFill="1" applyBorder="1" applyAlignment="1" applyProtection="1">
      <alignment horizontal="left" vertical="center" indent="1"/>
    </xf>
    <xf numFmtId="0" fontId="199" fillId="7" borderId="187" xfId="0" applyFont="1" applyFill="1" applyBorder="1" applyAlignment="1" applyProtection="1">
      <alignment horizontal="left" vertical="center" indent="1"/>
    </xf>
    <xf numFmtId="0" fontId="199" fillId="7" borderId="179" xfId="0" quotePrefix="1" applyFont="1" applyFill="1" applyBorder="1" applyAlignment="1" applyProtection="1">
      <alignment horizontal="left" vertical="center" wrapText="1" indent="1"/>
    </xf>
    <xf numFmtId="0" fontId="199" fillId="0" borderId="182" xfId="0" applyFont="1" applyFill="1" applyBorder="1" applyAlignment="1" applyProtection="1">
      <alignment horizontal="left" vertical="center" wrapText="1" indent="1"/>
    </xf>
    <xf numFmtId="0" fontId="199" fillId="0" borderId="183" xfId="0" applyFont="1" applyFill="1" applyBorder="1" applyAlignment="1" applyProtection="1">
      <alignment horizontal="left" vertical="center" wrapText="1" indent="1"/>
    </xf>
    <xf numFmtId="0" fontId="199" fillId="0" borderId="184" xfId="0" applyFont="1" applyFill="1" applyBorder="1" applyAlignment="1" applyProtection="1">
      <alignment horizontal="left" vertical="center" wrapText="1" indent="1"/>
    </xf>
    <xf numFmtId="169" fontId="16" fillId="0" borderId="16" xfId="4" applyNumberFormat="1" applyFont="1" applyFill="1" applyBorder="1" applyAlignment="1">
      <alignment vertical="center"/>
    </xf>
    <xf numFmtId="169" fontId="16" fillId="0" borderId="19" xfId="4" applyNumberFormat="1" applyFont="1" applyFill="1" applyBorder="1" applyAlignment="1">
      <alignment vertical="center"/>
    </xf>
    <xf numFmtId="0" fontId="0" fillId="0" borderId="16" xfId="0" applyFill="1" applyBorder="1" applyAlignment="1">
      <alignment horizontal="right" vertical="center"/>
    </xf>
    <xf numFmtId="0" fontId="0" fillId="0" borderId="19" xfId="0" applyFill="1" applyBorder="1" applyAlignment="1">
      <alignment horizontal="right" vertical="center"/>
    </xf>
    <xf numFmtId="0" fontId="117" fillId="25" borderId="94" xfId="1" applyFont="1" applyFill="1" applyBorder="1" applyAlignment="1" applyProtection="1">
      <alignment horizontal="center" vertical="center"/>
    </xf>
    <xf numFmtId="0" fontId="117" fillId="25" borderId="95" xfId="1" applyFont="1" applyFill="1" applyBorder="1" applyAlignment="1" applyProtection="1">
      <alignment horizontal="center" vertical="center"/>
    </xf>
    <xf numFmtId="0" fontId="115" fillId="7" borderId="0" xfId="0" applyFont="1" applyFill="1" applyBorder="1" applyAlignment="1">
      <alignment horizontal="center" vertical="center"/>
    </xf>
    <xf numFmtId="0" fontId="114" fillId="26" borderId="92" xfId="1" applyFont="1" applyFill="1" applyBorder="1" applyAlignment="1" applyProtection="1">
      <alignment horizontal="center" vertical="center"/>
    </xf>
    <xf numFmtId="0" fontId="108" fillId="2" borderId="90" xfId="0" applyFont="1" applyFill="1" applyBorder="1" applyAlignment="1">
      <alignment horizontal="left" vertical="center" wrapText="1"/>
    </xf>
    <xf numFmtId="0" fontId="114" fillId="25" borderId="95" xfId="1" applyFont="1" applyFill="1" applyBorder="1" applyAlignment="1" applyProtection="1">
      <alignment horizontal="center" vertical="center"/>
    </xf>
    <xf numFmtId="167" fontId="0" fillId="7" borderId="12" xfId="4" applyNumberFormat="1" applyFont="1" applyFill="1" applyBorder="1" applyAlignment="1" applyProtection="1">
      <alignment horizontal="center" vertical="center"/>
    </xf>
    <xf numFmtId="167" fontId="5" fillId="7" borderId="12" xfId="4" applyNumberFormat="1" applyFont="1" applyFill="1" applyBorder="1" applyAlignment="1" applyProtection="1">
      <alignment horizontal="center" vertical="center"/>
    </xf>
    <xf numFmtId="0" fontId="0" fillId="42" borderId="75" xfId="0" applyFill="1" applyBorder="1" applyAlignment="1" applyProtection="1">
      <alignment horizontal="left" vertical="center" indent="1"/>
    </xf>
    <xf numFmtId="0" fontId="0" fillId="42" borderId="79" xfId="0" applyFill="1" applyBorder="1" applyAlignment="1" applyProtection="1">
      <alignment horizontal="left" vertical="center" indent="1"/>
    </xf>
    <xf numFmtId="0" fontId="0" fillId="43" borderId="125" xfId="0" applyFill="1" applyBorder="1" applyAlignment="1" applyProtection="1">
      <alignment horizontal="left" vertical="center" indent="1"/>
    </xf>
    <xf numFmtId="0" fontId="0" fillId="43" borderId="47" xfId="0" applyFill="1" applyBorder="1" applyAlignment="1" applyProtection="1">
      <alignment horizontal="left" vertical="center" indent="1"/>
    </xf>
    <xf numFmtId="0" fontId="52" fillId="48" borderId="113" xfId="0" applyFont="1" applyFill="1" applyBorder="1" applyAlignment="1" applyProtection="1">
      <alignment horizontal="center" vertical="center"/>
      <protection locked="0"/>
    </xf>
    <xf numFmtId="0" fontId="52" fillId="48" borderId="27" xfId="0" applyFont="1" applyFill="1" applyBorder="1" applyAlignment="1" applyProtection="1">
      <alignment horizontal="center" vertical="center"/>
      <protection locked="0"/>
    </xf>
    <xf numFmtId="0" fontId="52" fillId="48" borderId="7" xfId="0" applyFont="1" applyFill="1" applyBorder="1" applyAlignment="1" applyProtection="1">
      <alignment horizontal="center" vertical="center"/>
      <protection locked="0"/>
    </xf>
    <xf numFmtId="0" fontId="0" fillId="44" borderId="125" xfId="0" applyFill="1" applyBorder="1" applyAlignment="1" applyProtection="1">
      <alignment horizontal="left" vertical="center" indent="1"/>
    </xf>
    <xf numFmtId="0" fontId="0" fillId="44" borderId="47" xfId="0" applyFill="1" applyBorder="1" applyAlignment="1" applyProtection="1">
      <alignment horizontal="left" vertical="center" indent="1"/>
    </xf>
    <xf numFmtId="0" fontId="0" fillId="42" borderId="125" xfId="0" applyFill="1" applyBorder="1" applyAlignment="1" applyProtection="1">
      <alignment horizontal="left" vertical="center" indent="1"/>
    </xf>
    <xf numFmtId="0" fontId="0" fillId="42" borderId="47" xfId="0" applyFill="1" applyBorder="1" applyAlignment="1" applyProtection="1">
      <alignment horizontal="left" vertical="center" indent="1"/>
    </xf>
    <xf numFmtId="0" fontId="0" fillId="0" borderId="399" xfId="0" applyFill="1" applyBorder="1" applyAlignment="1" applyProtection="1">
      <alignment horizontal="left" vertical="center" wrapText="1"/>
    </xf>
    <xf numFmtId="0" fontId="0" fillId="0" borderId="400" xfId="0" applyFill="1" applyBorder="1" applyAlignment="1" applyProtection="1">
      <alignment horizontal="left" vertical="center" wrapText="1"/>
    </xf>
    <xf numFmtId="0" fontId="0" fillId="0" borderId="399" xfId="0" applyFont="1" applyFill="1" applyBorder="1" applyAlignment="1" applyProtection="1">
      <alignment horizontal="left" vertical="center" wrapText="1"/>
    </xf>
    <xf numFmtId="0" fontId="0" fillId="0" borderId="400" xfId="0" applyFont="1" applyFill="1" applyBorder="1" applyAlignment="1" applyProtection="1">
      <alignment horizontal="left" vertical="center" wrapText="1"/>
    </xf>
    <xf numFmtId="0" fontId="144" fillId="26" borderId="90" xfId="0" applyFont="1" applyFill="1" applyBorder="1" applyAlignment="1" applyProtection="1">
      <alignment horizontal="center"/>
    </xf>
    <xf numFmtId="0" fontId="0" fillId="0" borderId="396" xfId="0" applyFill="1" applyBorder="1" applyAlignment="1" applyProtection="1">
      <alignment horizontal="left" vertical="center" wrapText="1"/>
    </xf>
    <xf numFmtId="0" fontId="0" fillId="0" borderId="397" xfId="0" applyBorder="1" applyProtection="1"/>
    <xf numFmtId="0" fontId="0" fillId="0" borderId="398" xfId="0" applyBorder="1" applyProtection="1"/>
    <xf numFmtId="0" fontId="0" fillId="0" borderId="394" xfId="0" applyFill="1" applyBorder="1" applyAlignment="1" applyProtection="1">
      <alignment horizontal="left" vertical="center" wrapText="1"/>
    </xf>
    <xf numFmtId="0" fontId="0" fillId="0" borderId="395" xfId="0" applyFill="1" applyBorder="1" applyAlignment="1" applyProtection="1">
      <alignment horizontal="left" vertical="center" wrapText="1"/>
    </xf>
    <xf numFmtId="0" fontId="0" fillId="42" borderId="12" xfId="0" applyFill="1" applyBorder="1" applyAlignment="1" applyProtection="1">
      <alignment horizontal="left" vertical="center" indent="1"/>
    </xf>
    <xf numFmtId="0" fontId="0" fillId="44" borderId="12" xfId="0" applyFill="1" applyBorder="1" applyAlignment="1" applyProtection="1">
      <alignment horizontal="left" vertical="center" wrapText="1" indent="1"/>
    </xf>
    <xf numFmtId="0" fontId="0" fillId="27" borderId="12" xfId="0" applyFill="1" applyBorder="1" applyAlignment="1" applyProtection="1">
      <alignment horizontal="left" vertical="center" indent="1"/>
    </xf>
    <xf numFmtId="1" fontId="4" fillId="11" borderId="13" xfId="0" applyNumberFormat="1" applyFont="1" applyFill="1" applyBorder="1" applyAlignment="1" applyProtection="1">
      <alignment horizontal="center" vertical="center" wrapText="1"/>
    </xf>
    <xf numFmtId="1" fontId="4" fillId="11" borderId="15" xfId="0" applyNumberFormat="1" applyFont="1" applyFill="1" applyBorder="1" applyAlignment="1" applyProtection="1">
      <alignment horizontal="center" vertical="center" wrapText="1"/>
    </xf>
    <xf numFmtId="0" fontId="16" fillId="30" borderId="13" xfId="0" applyFont="1" applyFill="1" applyBorder="1" applyAlignment="1" applyProtection="1">
      <alignment horizontal="left" vertical="center" indent="1"/>
    </xf>
    <xf numFmtId="0" fontId="16" fillId="30" borderId="15" xfId="0" applyFont="1" applyFill="1" applyBorder="1" applyAlignment="1" applyProtection="1">
      <alignment horizontal="left" vertical="center" indent="1"/>
    </xf>
    <xf numFmtId="0" fontId="185" fillId="7" borderId="159" xfId="0" applyFont="1" applyFill="1" applyBorder="1" applyAlignment="1" applyProtection="1">
      <alignment horizontal="center" vertical="center"/>
    </xf>
    <xf numFmtId="0" fontId="185" fillId="7" borderId="160" xfId="0" applyFont="1" applyFill="1" applyBorder="1" applyAlignment="1" applyProtection="1">
      <alignment horizontal="center" vertical="center"/>
    </xf>
    <xf numFmtId="0" fontId="185" fillId="7" borderId="161" xfId="0" applyFont="1" applyFill="1" applyBorder="1" applyAlignment="1" applyProtection="1">
      <alignment horizontal="center" vertical="center"/>
    </xf>
    <xf numFmtId="0" fontId="0" fillId="0" borderId="391" xfId="0" applyFill="1" applyBorder="1" applyAlignment="1" applyProtection="1">
      <alignment horizontal="left" vertical="center"/>
    </xf>
    <xf numFmtId="0" fontId="0" fillId="0" borderId="392" xfId="0" applyFill="1" applyBorder="1" applyAlignment="1" applyProtection="1">
      <alignment horizontal="left" vertical="center"/>
    </xf>
    <xf numFmtId="0" fontId="0" fillId="0" borderId="393" xfId="0" applyFill="1" applyBorder="1" applyAlignment="1" applyProtection="1">
      <alignment horizontal="left" vertical="center"/>
    </xf>
    <xf numFmtId="0" fontId="72" fillId="2" borderId="162" xfId="0" applyFont="1" applyFill="1" applyBorder="1" applyAlignment="1" applyProtection="1">
      <alignment horizontal="right" vertical="center"/>
    </xf>
    <xf numFmtId="0" fontId="72" fillId="2" borderId="0" xfId="0" applyFont="1" applyFill="1" applyBorder="1" applyAlignment="1" applyProtection="1">
      <alignment horizontal="right" vertical="center"/>
    </xf>
    <xf numFmtId="0" fontId="145" fillId="6" borderId="0" xfId="0" applyFont="1" applyFill="1" applyBorder="1" applyAlignment="1" applyProtection="1">
      <alignment horizontal="center" vertical="center"/>
    </xf>
    <xf numFmtId="0" fontId="11" fillId="2" borderId="167" xfId="0" applyFont="1" applyFill="1" applyBorder="1" applyAlignment="1" applyProtection="1">
      <alignment horizontal="center" vertical="center" wrapText="1"/>
    </xf>
    <xf numFmtId="0" fontId="11" fillId="2" borderId="168" xfId="0" applyFont="1" applyFill="1" applyBorder="1" applyAlignment="1" applyProtection="1">
      <alignment horizontal="center" vertical="center" wrapText="1"/>
    </xf>
    <xf numFmtId="0" fontId="48" fillId="2" borderId="1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63" xfId="0" applyFont="1" applyFill="1" applyBorder="1" applyAlignment="1" applyProtection="1">
      <alignment horizontal="center" vertical="center" wrapText="1"/>
    </xf>
    <xf numFmtId="0" fontId="164" fillId="2" borderId="215" xfId="0" applyFont="1" applyFill="1" applyBorder="1" applyAlignment="1" applyProtection="1">
      <alignment horizontal="center" vertical="center" wrapText="1"/>
    </xf>
    <xf numFmtId="0" fontId="164" fillId="2" borderId="216" xfId="0" applyFont="1" applyFill="1" applyBorder="1" applyAlignment="1" applyProtection="1">
      <alignment horizontal="center" vertical="center" wrapText="1"/>
    </xf>
    <xf numFmtId="0" fontId="164" fillId="2" borderId="217" xfId="0" applyFont="1" applyFill="1" applyBorder="1" applyAlignment="1" applyProtection="1">
      <alignment horizontal="center" vertical="center" wrapText="1"/>
    </xf>
    <xf numFmtId="0" fontId="0" fillId="0" borderId="396" xfId="0" applyFont="1" applyFill="1" applyBorder="1" applyAlignment="1" applyProtection="1">
      <alignment horizontal="left" vertical="center" wrapText="1"/>
    </xf>
    <xf numFmtId="0" fontId="0" fillId="0" borderId="397" xfId="0" applyFont="1" applyFill="1" applyBorder="1" applyProtection="1"/>
    <xf numFmtId="0" fontId="0" fillId="0" borderId="398" xfId="0" applyFont="1" applyFill="1" applyBorder="1" applyProtection="1"/>
    <xf numFmtId="0" fontId="84" fillId="2" borderId="164" xfId="0" applyFont="1" applyFill="1" applyBorder="1" applyAlignment="1" applyProtection="1">
      <alignment horizontal="center" vertical="center" wrapText="1"/>
    </xf>
    <xf numFmtId="0" fontId="84" fillId="2" borderId="169" xfId="0" applyFont="1" applyFill="1" applyBorder="1" applyAlignment="1" applyProtection="1">
      <alignment horizontal="center" vertical="center" wrapText="1"/>
    </xf>
    <xf numFmtId="0" fontId="84" fillId="2" borderId="165" xfId="0" applyFont="1" applyFill="1" applyBorder="1" applyAlignment="1" applyProtection="1">
      <alignment horizontal="center" vertical="center" wrapText="1"/>
    </xf>
    <xf numFmtId="0" fontId="0" fillId="43" borderId="75" xfId="0" applyFill="1" applyBorder="1" applyAlignment="1" applyProtection="1">
      <alignment horizontal="left" vertical="center" indent="1"/>
    </xf>
    <xf numFmtId="0" fontId="0" fillId="43" borderId="79" xfId="0" applyFill="1" applyBorder="1" applyAlignment="1" applyProtection="1">
      <alignment horizontal="left" vertical="center" indent="1"/>
    </xf>
    <xf numFmtId="0" fontId="168" fillId="2" borderId="0" xfId="0" applyFont="1" applyFill="1" applyBorder="1" applyAlignment="1" applyProtection="1">
      <alignment horizontal="center" vertical="center"/>
    </xf>
    <xf numFmtId="0" fontId="84" fillId="2" borderId="167" xfId="0" applyFont="1" applyFill="1" applyBorder="1" applyAlignment="1" applyProtection="1">
      <alignment horizontal="center" vertical="center" wrapText="1"/>
    </xf>
    <xf numFmtId="0" fontId="84" fillId="2" borderId="168" xfId="0" applyFont="1" applyFill="1" applyBorder="1" applyAlignment="1" applyProtection="1">
      <alignment horizontal="center" vertical="center" wrapText="1"/>
    </xf>
    <xf numFmtId="0" fontId="185" fillId="7" borderId="159" xfId="0" applyFont="1" applyFill="1" applyBorder="1" applyAlignment="1" applyProtection="1">
      <alignment horizontal="center" vertical="center" wrapText="1"/>
    </xf>
    <xf numFmtId="0" fontId="185" fillId="7" borderId="160" xfId="0" applyFont="1" applyFill="1" applyBorder="1" applyAlignment="1" applyProtection="1">
      <alignment horizontal="center" vertical="center" wrapText="1"/>
    </xf>
    <xf numFmtId="0" fontId="185" fillId="7" borderId="161" xfId="0" applyFont="1" applyFill="1" applyBorder="1" applyAlignment="1" applyProtection="1">
      <alignment horizontal="center" vertical="center" wrapText="1"/>
    </xf>
    <xf numFmtId="0" fontId="0" fillId="69" borderId="52" xfId="0" applyFill="1" applyBorder="1" applyAlignment="1" applyProtection="1">
      <alignment horizontal="center" vertical="center"/>
    </xf>
    <xf numFmtId="0" fontId="0" fillId="21" borderId="52" xfId="0" applyFill="1" applyBorder="1" applyAlignment="1" applyProtection="1">
      <alignment horizontal="center" vertical="center"/>
    </xf>
    <xf numFmtId="0" fontId="0" fillId="32" borderId="52" xfId="0" applyFill="1" applyBorder="1" applyAlignment="1" applyProtection="1">
      <alignment horizontal="center" vertical="center"/>
    </xf>
    <xf numFmtId="0" fontId="0" fillId="0" borderId="397" xfId="0" applyFill="1" applyBorder="1" applyAlignment="1" applyProtection="1">
      <alignment horizontal="left" vertical="center" wrapText="1"/>
    </xf>
    <xf numFmtId="0" fontId="0" fillId="0" borderId="398" xfId="0" applyFill="1" applyBorder="1" applyAlignment="1" applyProtection="1">
      <alignment horizontal="left" vertical="center" wrapText="1"/>
    </xf>
    <xf numFmtId="0" fontId="0" fillId="0" borderId="397" xfId="0" applyFont="1" applyBorder="1" applyProtection="1"/>
    <xf numFmtId="0" fontId="0" fillId="0" borderId="398" xfId="0" applyFont="1" applyBorder="1" applyProtection="1"/>
    <xf numFmtId="0" fontId="0" fillId="0" borderId="451" xfId="0" applyFill="1" applyBorder="1" applyAlignment="1" applyProtection="1">
      <alignment horizontal="left" vertical="center" wrapText="1"/>
    </xf>
    <xf numFmtId="0" fontId="0" fillId="0" borderId="452" xfId="0" applyFill="1" applyBorder="1" applyAlignment="1" applyProtection="1">
      <alignment horizontal="left" vertical="center" wrapText="1"/>
    </xf>
    <xf numFmtId="0" fontId="0" fillId="0" borderId="453" xfId="0" applyFill="1" applyBorder="1" applyAlignment="1" applyProtection="1">
      <alignment horizontal="left" vertical="center" wrapText="1"/>
    </xf>
    <xf numFmtId="0" fontId="0" fillId="0" borderId="454" xfId="0" applyFill="1" applyBorder="1" applyAlignment="1" applyProtection="1">
      <alignment horizontal="left" vertical="center" wrapText="1"/>
    </xf>
    <xf numFmtId="0" fontId="0" fillId="0" borderId="455" xfId="0" applyFill="1" applyBorder="1" applyAlignment="1" applyProtection="1">
      <alignment horizontal="left" vertical="center" wrapText="1"/>
    </xf>
    <xf numFmtId="0" fontId="53" fillId="3" borderId="296" xfId="0" applyFont="1" applyFill="1" applyBorder="1" applyAlignment="1" applyProtection="1">
      <alignment horizontal="left" vertical="center" wrapText="1" indent="1"/>
    </xf>
    <xf numFmtId="0" fontId="53" fillId="3" borderId="298" xfId="0" applyFont="1" applyFill="1" applyBorder="1" applyAlignment="1" applyProtection="1">
      <alignment horizontal="left" vertical="center" wrapText="1" indent="1"/>
    </xf>
    <xf numFmtId="0" fontId="53" fillId="3" borderId="44" xfId="0" applyFont="1" applyFill="1" applyBorder="1" applyAlignment="1" applyProtection="1">
      <alignment horizontal="left" vertical="center" wrapText="1" indent="1"/>
    </xf>
    <xf numFmtId="0" fontId="53" fillId="3" borderId="303" xfId="0" applyFont="1" applyFill="1" applyBorder="1" applyAlignment="1" applyProtection="1">
      <alignment horizontal="left" vertical="center" wrapText="1" indent="1"/>
    </xf>
    <xf numFmtId="0" fontId="53" fillId="3" borderId="294" xfId="0" applyFont="1" applyFill="1" applyBorder="1" applyAlignment="1" applyProtection="1">
      <alignment horizontal="left" vertical="center" wrapText="1" indent="1"/>
    </xf>
    <xf numFmtId="0" fontId="53" fillId="3" borderId="295" xfId="0" applyFont="1" applyFill="1" applyBorder="1" applyAlignment="1" applyProtection="1">
      <alignment horizontal="left" vertical="center" wrapText="1" indent="1"/>
    </xf>
    <xf numFmtId="0" fontId="53" fillId="3" borderId="296" xfId="0" applyFont="1" applyFill="1" applyBorder="1" applyAlignment="1" applyProtection="1">
      <alignment horizontal="center" vertical="center" wrapText="1"/>
    </xf>
    <xf numFmtId="0" fontId="53" fillId="3" borderId="298" xfId="0" applyFont="1" applyFill="1" applyBorder="1" applyAlignment="1" applyProtection="1">
      <alignment horizontal="center" vertical="center" wrapText="1"/>
    </xf>
    <xf numFmtId="0" fontId="53" fillId="3" borderId="44" xfId="0" applyFont="1" applyFill="1" applyBorder="1" applyAlignment="1" applyProtection="1">
      <alignment horizontal="center" vertical="center" wrapText="1"/>
    </xf>
    <xf numFmtId="0" fontId="53" fillId="3" borderId="303" xfId="0" applyFont="1" applyFill="1" applyBorder="1" applyAlignment="1" applyProtection="1">
      <alignment horizontal="center" vertical="center" wrapText="1"/>
    </xf>
    <xf numFmtId="0" fontId="53" fillId="3" borderId="281" xfId="0" applyFont="1" applyFill="1" applyBorder="1" applyAlignment="1" applyProtection="1">
      <alignment horizontal="left" vertical="center" wrapText="1" indent="1"/>
    </xf>
    <xf numFmtId="0" fontId="53" fillId="3" borderId="282" xfId="0" applyFont="1" applyFill="1" applyBorder="1" applyAlignment="1" applyProtection="1">
      <alignment horizontal="left" vertical="center" wrapText="1" indent="1"/>
    </xf>
    <xf numFmtId="0" fontId="53" fillId="3" borderId="281" xfId="0" quotePrefix="1" applyFont="1" applyFill="1" applyBorder="1" applyAlignment="1" applyProtection="1">
      <alignment horizontal="left" vertical="center" wrapText="1" indent="1"/>
    </xf>
    <xf numFmtId="0" fontId="53" fillId="3" borderId="282" xfId="0" quotePrefix="1" applyFont="1" applyFill="1" applyBorder="1" applyAlignment="1" applyProtection="1">
      <alignment horizontal="left" vertical="center" wrapText="1" indent="1"/>
    </xf>
    <xf numFmtId="0" fontId="16" fillId="3" borderId="386" xfId="0" applyFont="1" applyFill="1" applyBorder="1" applyAlignment="1" applyProtection="1">
      <alignment horizontal="left" vertical="center" wrapText="1" indent="1"/>
    </xf>
    <xf numFmtId="0" fontId="16" fillId="3" borderId="282" xfId="0" applyFont="1" applyFill="1" applyBorder="1" applyAlignment="1" applyProtection="1">
      <alignment horizontal="left" vertical="center" wrapText="1" indent="1"/>
    </xf>
    <xf numFmtId="0" fontId="16" fillId="3" borderId="206" xfId="0" applyFont="1" applyFill="1" applyBorder="1" applyAlignment="1" applyProtection="1">
      <alignment horizontal="left" vertical="center" wrapText="1" indent="1"/>
    </xf>
    <xf numFmtId="0" fontId="16" fillId="3" borderId="386" xfId="0" applyFont="1" applyFill="1" applyBorder="1" applyAlignment="1" applyProtection="1">
      <alignment horizontal="left" wrapText="1" indent="1"/>
    </xf>
    <xf numFmtId="0" fontId="16" fillId="3" borderId="282" xfId="0" applyFont="1" applyFill="1" applyBorder="1" applyAlignment="1" applyProtection="1">
      <alignment horizontal="left" wrapText="1" indent="1"/>
    </xf>
    <xf numFmtId="0" fontId="16" fillId="3" borderId="206" xfId="0" applyFont="1" applyFill="1" applyBorder="1" applyAlignment="1" applyProtection="1">
      <alignment horizontal="left" wrapText="1" indent="1"/>
    </xf>
    <xf numFmtId="0" fontId="2" fillId="3" borderId="296" xfId="0" applyFont="1" applyFill="1" applyBorder="1" applyAlignment="1" applyProtection="1">
      <alignment horizontal="left" vertical="center" wrapText="1" indent="1"/>
    </xf>
    <xf numFmtId="0" fontId="16" fillId="3" borderId="281" xfId="0" applyFont="1" applyFill="1" applyBorder="1" applyAlignment="1" applyProtection="1">
      <alignment horizontal="right" vertical="center" wrapText="1"/>
    </xf>
    <xf numFmtId="0" fontId="16" fillId="3" borderId="338" xfId="0" applyFont="1" applyFill="1" applyBorder="1" applyAlignment="1" applyProtection="1">
      <alignment horizontal="right" vertical="center" wrapText="1"/>
    </xf>
    <xf numFmtId="0" fontId="16" fillId="3" borderId="282" xfId="0" applyFont="1" applyFill="1" applyBorder="1" applyAlignment="1" applyProtection="1">
      <alignment horizontal="right" vertical="center" wrapText="1"/>
    </xf>
    <xf numFmtId="0" fontId="16" fillId="4" borderId="323" xfId="0" applyFont="1" applyFill="1" applyBorder="1" applyAlignment="1" applyProtection="1">
      <alignment horizontal="center" vertical="center"/>
      <protection locked="0"/>
    </xf>
    <xf numFmtId="0" fontId="16" fillId="4" borderId="388" xfId="0" applyFont="1" applyFill="1" applyBorder="1" applyAlignment="1" applyProtection="1">
      <alignment horizontal="center" vertical="center"/>
      <protection locked="0"/>
    </xf>
    <xf numFmtId="43" fontId="16" fillId="4" borderId="206" xfId="4" applyFont="1" applyFill="1" applyBorder="1" applyAlignment="1" applyProtection="1">
      <alignment horizontal="center" vertical="center"/>
    </xf>
    <xf numFmtId="43" fontId="16" fillId="4" borderId="311" xfId="4" applyFont="1" applyFill="1" applyBorder="1" applyAlignment="1" applyProtection="1">
      <alignment horizontal="center" vertical="center"/>
    </xf>
    <xf numFmtId="0" fontId="36" fillId="3" borderId="206" xfId="0" applyFont="1" applyFill="1" applyBorder="1" applyAlignment="1" applyProtection="1">
      <alignment horizontal="center"/>
    </xf>
    <xf numFmtId="0" fontId="119" fillId="26" borderId="90" xfId="0" applyFont="1" applyFill="1" applyBorder="1" applyAlignment="1" applyProtection="1">
      <alignment horizontal="center"/>
    </xf>
    <xf numFmtId="0" fontId="104" fillId="25" borderId="0" xfId="1" applyFont="1" applyFill="1" applyBorder="1" applyAlignment="1" applyProtection="1">
      <alignment horizontal="left" vertical="center"/>
    </xf>
    <xf numFmtId="0" fontId="108" fillId="2" borderId="90" xfId="0" applyFont="1" applyFill="1" applyBorder="1" applyAlignment="1" applyProtection="1">
      <alignment horizontal="left"/>
    </xf>
    <xf numFmtId="0" fontId="133" fillId="2" borderId="297" xfId="0" applyFont="1" applyFill="1" applyBorder="1" applyAlignment="1" applyProtection="1">
      <alignment horizontal="left" vertical="center" wrapText="1"/>
    </xf>
    <xf numFmtId="0" fontId="133" fillId="2" borderId="0" xfId="0" applyFont="1" applyFill="1" applyBorder="1" applyAlignment="1" applyProtection="1">
      <alignment horizontal="left" vertical="center" wrapText="1"/>
    </xf>
    <xf numFmtId="0" fontId="133" fillId="2" borderId="306" xfId="0" applyFont="1" applyFill="1" applyBorder="1" applyAlignment="1" applyProtection="1">
      <alignment horizontal="left" vertical="center" wrapText="1"/>
    </xf>
    <xf numFmtId="0" fontId="133" fillId="2" borderId="297" xfId="0" applyFont="1" applyFill="1" applyBorder="1" applyAlignment="1" applyProtection="1">
      <alignment horizontal="left" wrapText="1"/>
    </xf>
    <xf numFmtId="0" fontId="22" fillId="7" borderId="9" xfId="0" applyFont="1" applyFill="1" applyBorder="1" applyAlignment="1" applyProtection="1">
      <alignment horizontal="center" vertical="center"/>
    </xf>
    <xf numFmtId="9" fontId="8" fillId="40" borderId="0" xfId="1" applyNumberFormat="1" applyFill="1" applyBorder="1" applyAlignment="1" applyProtection="1">
      <alignment horizontal="center" vertical="center"/>
    </xf>
    <xf numFmtId="9" fontId="8" fillId="40" borderId="5" xfId="1" applyNumberFormat="1" applyFill="1" applyBorder="1" applyAlignment="1" applyProtection="1">
      <alignment horizontal="center" vertical="center"/>
    </xf>
    <xf numFmtId="0" fontId="72" fillId="3" borderId="4" xfId="0" applyFont="1" applyFill="1" applyBorder="1" applyAlignment="1" applyProtection="1">
      <alignment horizontal="right" vertical="center" wrapText="1"/>
    </xf>
    <xf numFmtId="0" fontId="0" fillId="3" borderId="504" xfId="0" applyFont="1" applyFill="1" applyBorder="1" applyProtection="1"/>
    <xf numFmtId="0" fontId="46" fillId="7" borderId="4" xfId="0" applyFont="1" applyFill="1" applyBorder="1" applyAlignment="1" applyProtection="1">
      <alignment horizontal="left" indent="2"/>
    </xf>
    <xf numFmtId="0" fontId="46" fillId="7" borderId="0" xfId="0" applyFont="1" applyFill="1" applyBorder="1" applyAlignment="1" applyProtection="1">
      <alignment horizontal="left" indent="2"/>
    </xf>
    <xf numFmtId="0" fontId="46" fillId="7" borderId="5" xfId="0" applyFont="1" applyFill="1" applyBorder="1" applyAlignment="1" applyProtection="1">
      <alignment horizontal="left" indent="2"/>
    </xf>
    <xf numFmtId="0" fontId="16" fillId="7" borderId="375" xfId="0" applyFont="1" applyFill="1" applyBorder="1" applyAlignment="1" applyProtection="1">
      <alignment horizontal="left" vertical="center" indent="2"/>
    </xf>
    <xf numFmtId="0" fontId="16" fillId="7" borderId="206" xfId="0" applyFont="1" applyFill="1" applyBorder="1" applyAlignment="1" applyProtection="1">
      <alignment horizontal="left" vertical="center" indent="2"/>
    </xf>
    <xf numFmtId="0" fontId="16" fillId="38" borderId="375" xfId="0" applyFont="1" applyFill="1" applyBorder="1" applyAlignment="1" applyProtection="1">
      <alignment horizontal="left" vertical="center" indent="2"/>
    </xf>
    <xf numFmtId="0" fontId="16" fillId="38" borderId="206" xfId="0" applyFont="1" applyFill="1" applyBorder="1" applyAlignment="1" applyProtection="1">
      <alignment horizontal="left" vertical="center" indent="2"/>
    </xf>
    <xf numFmtId="167" fontId="16" fillId="39" borderId="206" xfId="4" applyNumberFormat="1" applyFont="1" applyFill="1" applyBorder="1" applyAlignment="1" applyProtection="1">
      <alignment horizontal="center" vertical="center"/>
    </xf>
    <xf numFmtId="0" fontId="5" fillId="21" borderId="13" xfId="0" applyFont="1" applyFill="1" applyBorder="1" applyAlignment="1" applyProtection="1">
      <alignment horizontal="center" vertical="center" wrapText="1"/>
    </xf>
    <xf numFmtId="0" fontId="5" fillId="21" borderId="14" xfId="0" applyFont="1" applyFill="1" applyBorder="1" applyAlignment="1" applyProtection="1">
      <alignment horizontal="center" vertical="center" wrapText="1"/>
    </xf>
    <xf numFmtId="0" fontId="5" fillId="21" borderId="15" xfId="0" applyFont="1" applyFill="1" applyBorder="1" applyAlignment="1" applyProtection="1">
      <alignment horizontal="center" vertical="center" wrapText="1"/>
    </xf>
    <xf numFmtId="0" fontId="19" fillId="6" borderId="146" xfId="0" applyFont="1" applyFill="1" applyBorder="1" applyAlignment="1" applyProtection="1">
      <alignment horizontal="center" vertical="center"/>
    </xf>
    <xf numFmtId="0" fontId="19" fillId="6" borderId="147" xfId="0" applyFont="1" applyFill="1" applyBorder="1" applyAlignment="1" applyProtection="1">
      <alignment horizontal="center" vertical="center"/>
    </xf>
    <xf numFmtId="167" fontId="16" fillId="8" borderId="17" xfId="4" applyNumberFormat="1" applyFont="1" applyFill="1" applyBorder="1" applyAlignment="1" applyProtection="1">
      <alignment horizontal="left" vertical="center"/>
    </xf>
    <xf numFmtId="167" fontId="16" fillId="8" borderId="18" xfId="4" applyNumberFormat="1" applyFont="1" applyFill="1" applyBorder="1" applyAlignment="1" applyProtection="1">
      <alignment horizontal="left" vertical="center"/>
    </xf>
    <xf numFmtId="0" fontId="182" fillId="8" borderId="44" xfId="0" applyFont="1" applyFill="1" applyBorder="1" applyAlignment="1" applyProtection="1">
      <alignment horizontal="right" vertical="center" wrapText="1"/>
    </xf>
    <xf numFmtId="0" fontId="182" fillId="8" borderId="36" xfId="0" applyFont="1" applyFill="1" applyBorder="1" applyAlignment="1" applyProtection="1">
      <alignment horizontal="right" vertical="center" wrapText="1"/>
    </xf>
    <xf numFmtId="0" fontId="182" fillId="8" borderId="57" xfId="0" applyFont="1" applyFill="1" applyBorder="1" applyAlignment="1" applyProtection="1">
      <alignment horizontal="right" vertical="center" wrapText="1"/>
    </xf>
    <xf numFmtId="167" fontId="16" fillId="8" borderId="19" xfId="4" applyNumberFormat="1" applyFont="1" applyFill="1" applyBorder="1" applyAlignment="1" applyProtection="1">
      <alignment horizontal="left" vertical="center"/>
    </xf>
    <xf numFmtId="0" fontId="22" fillId="7" borderId="0" xfId="0" applyFont="1" applyFill="1" applyBorder="1" applyAlignment="1" applyProtection="1">
      <alignment horizontal="center" vertical="center"/>
    </xf>
    <xf numFmtId="0" fontId="99" fillId="3" borderId="311" xfId="0" applyFont="1" applyFill="1" applyBorder="1" applyAlignment="1" applyProtection="1">
      <alignment horizontal="center" vertical="center" wrapText="1"/>
    </xf>
    <xf numFmtId="0" fontId="90" fillId="3" borderId="386" xfId="0" applyFont="1" applyFill="1" applyBorder="1" applyAlignment="1" applyProtection="1">
      <alignment horizontal="left" vertical="center" wrapText="1" indent="1"/>
    </xf>
    <xf numFmtId="0" fontId="90" fillId="3" borderId="282" xfId="0" applyFont="1" applyFill="1" applyBorder="1" applyAlignment="1" applyProtection="1">
      <alignment horizontal="left" vertical="center" wrapText="1" indent="1"/>
    </xf>
    <xf numFmtId="0" fontId="90" fillId="3" borderId="206" xfId="0" applyFont="1" applyFill="1" applyBorder="1" applyAlignment="1" applyProtection="1">
      <alignment horizontal="left" vertical="center" wrapText="1" indent="1"/>
    </xf>
    <xf numFmtId="3" fontId="16" fillId="4" borderId="206" xfId="4" applyNumberFormat="1" applyFont="1" applyFill="1" applyBorder="1" applyAlignment="1" applyProtection="1">
      <alignment horizontal="center" vertical="center"/>
    </xf>
    <xf numFmtId="3" fontId="16" fillId="4" borderId="290" xfId="4" applyNumberFormat="1" applyFont="1" applyFill="1" applyBorder="1" applyAlignment="1" applyProtection="1">
      <alignment horizontal="center" vertical="center"/>
    </xf>
    <xf numFmtId="9" fontId="0" fillId="4" borderId="206" xfId="5" applyFont="1" applyFill="1" applyBorder="1" applyAlignment="1" applyProtection="1">
      <alignment horizontal="center" vertical="center"/>
    </xf>
    <xf numFmtId="9" fontId="0" fillId="4" borderId="339" xfId="5" applyFont="1" applyFill="1" applyBorder="1" applyAlignment="1" applyProtection="1">
      <alignment horizontal="center" vertical="center"/>
    </xf>
    <xf numFmtId="9" fontId="0" fillId="48" borderId="311" xfId="5" applyFont="1" applyFill="1" applyBorder="1" applyAlignment="1" applyProtection="1">
      <alignment horizontal="center" vertical="center"/>
      <protection locked="0"/>
    </xf>
    <xf numFmtId="1" fontId="0" fillId="48" borderId="311" xfId="5" applyNumberFormat="1" applyFont="1" applyFill="1" applyBorder="1" applyAlignment="1" applyProtection="1">
      <alignment horizontal="center" vertical="center"/>
      <protection locked="0"/>
    </xf>
    <xf numFmtId="1" fontId="0" fillId="48" borderId="311" xfId="2" applyNumberFormat="1" applyFont="1" applyFill="1" applyBorder="1" applyAlignment="1" applyProtection="1">
      <alignment horizontal="center" vertical="center"/>
      <protection locked="0"/>
    </xf>
    <xf numFmtId="1" fontId="0" fillId="48" borderId="312" xfId="2" applyNumberFormat="1" applyFont="1" applyFill="1" applyBorder="1" applyAlignment="1" applyProtection="1">
      <alignment horizontal="center" vertical="center"/>
      <protection locked="0"/>
    </xf>
    <xf numFmtId="0" fontId="99" fillId="3" borderId="206" xfId="0" applyFont="1" applyFill="1" applyBorder="1" applyAlignment="1" applyProtection="1">
      <alignment horizontal="center" vertical="center" wrapText="1"/>
    </xf>
    <xf numFmtId="0" fontId="99" fillId="3" borderId="312" xfId="0" applyFont="1" applyFill="1" applyBorder="1" applyAlignment="1" applyProtection="1">
      <alignment horizontal="center" vertical="center" wrapText="1"/>
    </xf>
    <xf numFmtId="0" fontId="99" fillId="3" borderId="290" xfId="0" applyFont="1" applyFill="1" applyBorder="1" applyAlignment="1" applyProtection="1">
      <alignment horizontal="center" vertical="center" wrapText="1"/>
    </xf>
    <xf numFmtId="3" fontId="16" fillId="4" borderId="206" xfId="0" applyNumberFormat="1" applyFont="1" applyFill="1" applyBorder="1" applyAlignment="1" applyProtection="1">
      <alignment horizontal="left" indent="6"/>
    </xf>
    <xf numFmtId="3" fontId="16" fillId="4" borderId="290" xfId="0" applyNumberFormat="1" applyFont="1" applyFill="1" applyBorder="1" applyAlignment="1" applyProtection="1">
      <alignment horizontal="left" indent="6"/>
    </xf>
    <xf numFmtId="0" fontId="72" fillId="4" borderId="206" xfId="0" applyFont="1" applyFill="1" applyBorder="1" applyAlignment="1" applyProtection="1">
      <alignment horizontal="right"/>
    </xf>
    <xf numFmtId="0" fontId="16" fillId="41" borderId="375" xfId="0" applyFont="1" applyFill="1" applyBorder="1" applyAlignment="1" applyProtection="1">
      <alignment horizontal="left" vertical="center" indent="2"/>
    </xf>
    <xf numFmtId="0" fontId="16" fillId="41" borderId="206" xfId="0" applyFont="1" applyFill="1" applyBorder="1" applyAlignment="1" applyProtection="1">
      <alignment horizontal="left" vertical="center" indent="2"/>
    </xf>
    <xf numFmtId="0" fontId="163" fillId="2" borderId="84" xfId="0" applyFont="1" applyFill="1" applyBorder="1" applyAlignment="1" applyProtection="1">
      <alignment horizontal="center" vertical="center" wrapText="1"/>
    </xf>
    <xf numFmtId="0" fontId="163" fillId="2" borderId="43" xfId="0" applyFont="1" applyFill="1" applyBorder="1" applyAlignment="1" applyProtection="1">
      <alignment horizontal="center" vertical="center" wrapText="1"/>
    </xf>
    <xf numFmtId="0" fontId="163" fillId="2" borderId="82" xfId="0" applyFont="1" applyFill="1" applyBorder="1" applyAlignment="1" applyProtection="1">
      <alignment horizontal="center" vertical="center" wrapText="1"/>
    </xf>
    <xf numFmtId="0" fontId="163" fillId="2" borderId="4" xfId="0" applyFont="1" applyFill="1" applyBorder="1" applyAlignment="1" applyProtection="1">
      <alignment horizontal="center" vertical="center" wrapText="1"/>
    </xf>
    <xf numFmtId="0" fontId="163" fillId="2" borderId="0" xfId="0" applyFont="1" applyFill="1" applyBorder="1" applyAlignment="1" applyProtection="1">
      <alignment horizontal="center" vertical="center" wrapText="1"/>
    </xf>
    <xf numFmtId="0" fontId="163" fillId="2" borderId="5" xfId="0" applyFont="1" applyFill="1" applyBorder="1" applyAlignment="1" applyProtection="1">
      <alignment horizontal="center" vertical="center" wrapText="1"/>
    </xf>
    <xf numFmtId="3" fontId="16" fillId="4" borderId="206" xfId="0" applyNumberFormat="1" applyFont="1" applyFill="1" applyBorder="1" applyAlignment="1" applyProtection="1">
      <alignment horizontal="left" indent="2"/>
    </xf>
    <xf numFmtId="3" fontId="16" fillId="4" borderId="290" xfId="0" applyNumberFormat="1" applyFont="1" applyFill="1" applyBorder="1" applyAlignment="1" applyProtection="1">
      <alignment horizontal="left" indent="2"/>
    </xf>
    <xf numFmtId="0" fontId="22" fillId="7" borderId="152" xfId="0" applyFont="1" applyFill="1" applyBorder="1" applyAlignment="1" applyProtection="1">
      <alignment horizontal="center" vertical="center"/>
    </xf>
    <xf numFmtId="0" fontId="265" fillId="3" borderId="206" xfId="0" applyFont="1" applyFill="1" applyBorder="1" applyAlignment="1" applyProtection="1">
      <alignment horizontal="right" vertical="center"/>
    </xf>
    <xf numFmtId="9" fontId="8" fillId="4" borderId="152" xfId="1" applyNumberFormat="1" applyFill="1" applyBorder="1" applyAlignment="1" applyProtection="1">
      <alignment horizontal="center" vertical="center"/>
    </xf>
    <xf numFmtId="1" fontId="16" fillId="48" borderId="206" xfId="2" applyNumberFormat="1" applyFont="1" applyFill="1" applyBorder="1" applyAlignment="1" applyProtection="1">
      <alignment horizontal="center" vertical="center" wrapText="1"/>
      <protection locked="0"/>
    </xf>
    <xf numFmtId="1" fontId="16" fillId="48" borderId="290" xfId="2" applyNumberFormat="1" applyFont="1" applyFill="1" applyBorder="1" applyAlignment="1" applyProtection="1">
      <alignment horizontal="center" vertical="center" wrapText="1"/>
      <protection locked="0"/>
    </xf>
    <xf numFmtId="0" fontId="16" fillId="48" borderId="206" xfId="0" applyFont="1" applyFill="1" applyBorder="1" applyAlignment="1" applyProtection="1">
      <alignment horizontal="center" vertical="center"/>
      <protection locked="0"/>
    </xf>
    <xf numFmtId="0" fontId="87" fillId="7" borderId="4" xfId="0" applyFont="1" applyFill="1" applyBorder="1" applyAlignment="1" applyProtection="1">
      <alignment horizontal="left" indent="1"/>
    </xf>
    <xf numFmtId="0" fontId="87" fillId="7" borderId="0" xfId="0" applyFont="1" applyFill="1" applyBorder="1" applyAlignment="1" applyProtection="1">
      <alignment horizontal="left" indent="1"/>
    </xf>
    <xf numFmtId="0" fontId="87" fillId="7" borderId="5" xfId="0" applyFont="1" applyFill="1" applyBorder="1" applyAlignment="1" applyProtection="1">
      <alignment horizontal="left" indent="1"/>
    </xf>
    <xf numFmtId="2" fontId="11" fillId="3" borderId="311" xfId="4" applyNumberFormat="1" applyFont="1" applyFill="1" applyBorder="1" applyAlignment="1" applyProtection="1">
      <alignment horizontal="center" vertical="center"/>
    </xf>
    <xf numFmtId="2" fontId="11" fillId="3" borderId="310" xfId="4" applyNumberFormat="1" applyFont="1" applyFill="1" applyBorder="1" applyAlignment="1" applyProtection="1">
      <alignment horizontal="center" vertical="center"/>
    </xf>
    <xf numFmtId="0" fontId="266" fillId="3" borderId="311" xfId="0" applyFont="1" applyFill="1" applyBorder="1" applyAlignment="1" applyProtection="1">
      <alignment horizontal="center" vertical="center" wrapText="1"/>
    </xf>
    <xf numFmtId="0" fontId="266" fillId="3" borderId="308" xfId="0" applyFont="1" applyFill="1" applyBorder="1" applyAlignment="1" applyProtection="1">
      <alignment horizontal="center" vertical="center" wrapText="1"/>
    </xf>
    <xf numFmtId="0" fontId="266" fillId="3" borderId="310" xfId="0" applyFont="1" applyFill="1" applyBorder="1" applyAlignment="1" applyProtection="1">
      <alignment horizontal="center" vertical="center" wrapText="1"/>
    </xf>
    <xf numFmtId="0" fontId="99" fillId="3" borderId="332" xfId="0" applyFont="1" applyFill="1" applyBorder="1" applyAlignment="1" applyProtection="1">
      <alignment horizontal="center" vertical="center" wrapText="1"/>
    </xf>
    <xf numFmtId="0" fontId="99" fillId="3" borderId="328" xfId="0" applyFont="1" applyFill="1" applyBorder="1" applyAlignment="1" applyProtection="1">
      <alignment horizontal="center" vertical="center" wrapText="1"/>
    </xf>
    <xf numFmtId="0" fontId="46" fillId="2" borderId="4"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5" xfId="0" applyFont="1" applyFill="1" applyBorder="1" applyAlignment="1" applyProtection="1">
      <alignment horizontal="center" vertical="center"/>
    </xf>
    <xf numFmtId="0" fontId="16" fillId="39" borderId="375" xfId="0" applyFont="1" applyFill="1" applyBorder="1" applyAlignment="1" applyProtection="1">
      <alignment horizontal="left" vertical="center" indent="2"/>
    </xf>
    <xf numFmtId="0" fontId="16" fillId="39" borderId="206" xfId="0" applyFont="1" applyFill="1" applyBorder="1" applyAlignment="1" applyProtection="1">
      <alignment horizontal="left" vertical="center" indent="2"/>
    </xf>
    <xf numFmtId="3" fontId="16" fillId="4" borderId="206" xfId="0" applyNumberFormat="1" applyFont="1" applyFill="1" applyBorder="1" applyAlignment="1" applyProtection="1">
      <alignment horizontal="center" vertical="center"/>
    </xf>
    <xf numFmtId="3" fontId="16" fillId="4" borderId="290" xfId="0" applyNumberFormat="1" applyFont="1" applyFill="1" applyBorder="1" applyAlignment="1" applyProtection="1">
      <alignment horizontal="center" vertical="center"/>
    </xf>
    <xf numFmtId="0" fontId="199" fillId="3" borderId="206" xfId="0" applyFont="1" applyFill="1" applyBorder="1" applyAlignment="1" applyProtection="1">
      <alignment horizontal="center"/>
    </xf>
    <xf numFmtId="0" fontId="16" fillId="4" borderId="311" xfId="0" applyFont="1" applyFill="1" applyBorder="1" applyAlignment="1" applyProtection="1">
      <alignment horizontal="center" vertical="center"/>
    </xf>
    <xf numFmtId="0" fontId="90" fillId="3" borderId="296" xfId="0" applyFont="1" applyFill="1" applyBorder="1" applyAlignment="1" applyProtection="1">
      <alignment horizontal="left" vertical="center" wrapText="1" indent="1"/>
    </xf>
    <xf numFmtId="0" fontId="90" fillId="3" borderId="298" xfId="0" applyFont="1" applyFill="1" applyBorder="1" applyAlignment="1" applyProtection="1">
      <alignment horizontal="left" vertical="center" wrapText="1" indent="1"/>
    </xf>
    <xf numFmtId="0" fontId="90" fillId="3" borderId="44" xfId="0" applyFont="1" applyFill="1" applyBorder="1" applyAlignment="1" applyProtection="1">
      <alignment horizontal="left" vertical="center" wrapText="1" indent="1"/>
    </xf>
    <xf numFmtId="0" fontId="90" fillId="3" borderId="303" xfId="0" applyFont="1" applyFill="1" applyBorder="1" applyAlignment="1" applyProtection="1">
      <alignment horizontal="left" vertical="center" wrapText="1" indent="1"/>
    </xf>
    <xf numFmtId="167" fontId="16" fillId="4" borderId="206" xfId="2" applyNumberFormat="1" applyFont="1" applyFill="1" applyBorder="1" applyAlignment="1" applyProtection="1">
      <alignment horizontal="center" vertical="center"/>
    </xf>
    <xf numFmtId="0" fontId="199" fillId="3" borderId="206" xfId="0" applyFont="1" applyFill="1" applyBorder="1" applyAlignment="1" applyProtection="1">
      <alignment horizontal="center" vertical="center" wrapText="1"/>
    </xf>
    <xf numFmtId="10" fontId="16" fillId="4" borderId="311" xfId="5" applyNumberFormat="1" applyFont="1" applyFill="1" applyBorder="1" applyAlignment="1" applyProtection="1">
      <alignment horizontal="center" vertical="center"/>
    </xf>
    <xf numFmtId="10" fontId="16" fillId="4" borderId="312" xfId="5" applyNumberFormat="1" applyFont="1" applyFill="1" applyBorder="1" applyAlignment="1" applyProtection="1">
      <alignment horizontal="center" vertical="center"/>
    </xf>
    <xf numFmtId="43" fontId="199" fillId="3" borderId="206" xfId="0" applyNumberFormat="1" applyFont="1" applyFill="1" applyBorder="1" applyAlignment="1" applyProtection="1">
      <alignment horizontal="center" wrapText="1"/>
    </xf>
    <xf numFmtId="43" fontId="199" fillId="3" borderId="290" xfId="0" applyNumberFormat="1" applyFont="1" applyFill="1" applyBorder="1" applyAlignment="1" applyProtection="1">
      <alignment horizontal="center" wrapText="1"/>
    </xf>
    <xf numFmtId="0" fontId="16" fillId="48" borderId="313" xfId="0" applyFont="1" applyFill="1" applyBorder="1" applyAlignment="1" applyProtection="1">
      <alignment horizontal="center" vertical="center"/>
      <protection locked="0"/>
    </xf>
    <xf numFmtId="9" fontId="16" fillId="48" borderId="313" xfId="5" applyFont="1" applyFill="1" applyBorder="1" applyAlignment="1" applyProtection="1">
      <alignment horizontal="center" vertical="center"/>
      <protection locked="0"/>
    </xf>
    <xf numFmtId="9" fontId="16" fillId="48" borderId="314" xfId="5" applyFont="1" applyFill="1" applyBorder="1" applyAlignment="1" applyProtection="1">
      <alignment horizontal="center" vertical="center"/>
      <protection locked="0"/>
    </xf>
    <xf numFmtId="167" fontId="16" fillId="48" borderId="313" xfId="2" applyNumberFormat="1" applyFont="1" applyFill="1" applyBorder="1" applyAlignment="1" applyProtection="1">
      <alignment horizontal="center" vertical="center" wrapText="1"/>
      <protection locked="0"/>
    </xf>
    <xf numFmtId="167" fontId="16" fillId="48" borderId="314" xfId="2" applyNumberFormat="1" applyFont="1" applyFill="1" applyBorder="1" applyAlignment="1" applyProtection="1">
      <alignment horizontal="center" vertical="center" wrapText="1"/>
      <protection locked="0"/>
    </xf>
    <xf numFmtId="3" fontId="16" fillId="4" borderId="311" xfId="4" applyNumberFormat="1" applyFont="1" applyFill="1" applyBorder="1" applyAlignment="1" applyProtection="1">
      <alignment horizontal="center" vertical="center"/>
    </xf>
    <xf numFmtId="3" fontId="16" fillId="4" borderId="312" xfId="4" applyNumberFormat="1" applyFont="1" applyFill="1" applyBorder="1" applyAlignment="1" applyProtection="1">
      <alignment horizontal="center" vertical="center"/>
    </xf>
    <xf numFmtId="0" fontId="16" fillId="3" borderId="281" xfId="0" applyFont="1" applyFill="1" applyBorder="1" applyAlignment="1" applyProtection="1">
      <alignment horizontal="left" vertical="center" wrapText="1" indent="1"/>
    </xf>
    <xf numFmtId="0" fontId="16" fillId="3" borderId="338" xfId="0" applyFont="1" applyFill="1" applyBorder="1" applyAlignment="1" applyProtection="1">
      <alignment horizontal="left" vertical="center" wrapText="1" indent="1"/>
    </xf>
    <xf numFmtId="0" fontId="16" fillId="3" borderId="296" xfId="0" applyFont="1" applyFill="1" applyBorder="1" applyAlignment="1" applyProtection="1">
      <alignment horizontal="left" vertical="center" wrapText="1" indent="1"/>
    </xf>
    <xf numFmtId="0" fontId="16" fillId="3" borderId="297" xfId="0" applyFont="1" applyFill="1" applyBorder="1" applyAlignment="1" applyProtection="1">
      <alignment horizontal="left" vertical="center" wrapText="1" indent="1"/>
    </xf>
    <xf numFmtId="0" fontId="16" fillId="3" borderId="298" xfId="0" applyFont="1" applyFill="1" applyBorder="1" applyAlignment="1" applyProtection="1">
      <alignment horizontal="left" vertical="center" wrapText="1" indent="1"/>
    </xf>
    <xf numFmtId="0" fontId="16" fillId="3" borderId="294" xfId="0" applyFont="1" applyFill="1" applyBorder="1" applyAlignment="1" applyProtection="1">
      <alignment horizontal="left" vertical="center" wrapText="1" indent="1"/>
    </xf>
    <xf numFmtId="0" fontId="16" fillId="3" borderId="306" xfId="0" applyFont="1" applyFill="1" applyBorder="1" applyAlignment="1" applyProtection="1">
      <alignment horizontal="left" vertical="center" wrapText="1" indent="1"/>
    </xf>
    <xf numFmtId="0" fontId="16" fillId="3" borderId="295" xfId="0" applyFont="1" applyFill="1" applyBorder="1" applyAlignment="1" applyProtection="1">
      <alignment horizontal="left" vertical="center" wrapText="1" indent="1"/>
    </xf>
    <xf numFmtId="0" fontId="16" fillId="48" borderId="323" xfId="0" applyFont="1" applyFill="1" applyBorder="1" applyAlignment="1" applyProtection="1">
      <alignment horizontal="center" vertical="center"/>
      <protection locked="0"/>
    </xf>
    <xf numFmtId="0" fontId="16" fillId="48" borderId="388" xfId="0" applyFont="1" applyFill="1" applyBorder="1" applyAlignment="1" applyProtection="1">
      <alignment horizontal="center" vertical="center"/>
      <protection locked="0"/>
    </xf>
    <xf numFmtId="0" fontId="199" fillId="3" borderId="290" xfId="0" applyFont="1" applyFill="1" applyBorder="1" applyAlignment="1" applyProtection="1">
      <alignment horizontal="center"/>
    </xf>
    <xf numFmtId="167" fontId="16" fillId="4" borderId="311" xfId="2" applyNumberFormat="1" applyFont="1" applyFill="1" applyBorder="1" applyAlignment="1" applyProtection="1">
      <alignment horizontal="center" vertical="center"/>
    </xf>
    <xf numFmtId="167" fontId="16" fillId="48" borderId="388" xfId="2" applyNumberFormat="1" applyFont="1" applyFill="1" applyBorder="1" applyAlignment="1" applyProtection="1">
      <alignment horizontal="center" vertical="center" wrapText="1"/>
      <protection locked="0"/>
    </xf>
    <xf numFmtId="0" fontId="199" fillId="3" borderId="290" xfId="0" applyFont="1" applyFill="1" applyBorder="1" applyAlignment="1" applyProtection="1">
      <alignment horizontal="center" vertical="center" wrapText="1"/>
    </xf>
    <xf numFmtId="1" fontId="16" fillId="48" borderId="388" xfId="4" applyNumberFormat="1" applyFont="1" applyFill="1" applyBorder="1" applyAlignment="1" applyProtection="1">
      <alignment horizontal="center" vertical="center"/>
      <protection locked="0"/>
    </xf>
    <xf numFmtId="1" fontId="16" fillId="4" borderId="206" xfId="4" applyNumberFormat="1" applyFont="1" applyFill="1" applyBorder="1" applyAlignment="1" applyProtection="1">
      <alignment horizontal="center" vertical="center"/>
    </xf>
    <xf numFmtId="1" fontId="16" fillId="48" borderId="206" xfId="4" applyNumberFormat="1" applyFont="1" applyFill="1" applyBorder="1" applyAlignment="1" applyProtection="1">
      <alignment horizontal="center" vertical="center"/>
      <protection locked="0"/>
    </xf>
    <xf numFmtId="1" fontId="16" fillId="48" borderId="290" xfId="4" applyNumberFormat="1" applyFont="1" applyFill="1" applyBorder="1" applyAlignment="1" applyProtection="1">
      <alignment horizontal="center" vertical="center"/>
      <protection locked="0"/>
    </xf>
    <xf numFmtId="3" fontId="16" fillId="4" borderId="311" xfId="0" applyNumberFormat="1" applyFont="1" applyFill="1" applyBorder="1" applyAlignment="1" applyProtection="1">
      <alignment horizontal="center" vertical="center"/>
    </xf>
    <xf numFmtId="3" fontId="16" fillId="4" borderId="312" xfId="0" applyNumberFormat="1" applyFont="1" applyFill="1" applyBorder="1" applyAlignment="1" applyProtection="1">
      <alignment horizontal="center" vertical="center"/>
    </xf>
    <xf numFmtId="167" fontId="16" fillId="4" borderId="507" xfId="2" applyNumberFormat="1" applyFont="1" applyFill="1" applyBorder="1" applyAlignment="1" applyProtection="1">
      <alignment horizontal="center" vertical="center" wrapText="1"/>
    </xf>
    <xf numFmtId="167" fontId="16" fillId="4" borderId="505" xfId="2" applyNumberFormat="1" applyFont="1" applyFill="1" applyBorder="1" applyAlignment="1" applyProtection="1">
      <alignment horizontal="center" vertical="center" wrapText="1"/>
    </xf>
    <xf numFmtId="167" fontId="16" fillId="4" borderId="506" xfId="2" applyNumberFormat="1" applyFont="1" applyFill="1" applyBorder="1" applyAlignment="1" applyProtection="1">
      <alignment horizontal="center" vertical="center" wrapText="1"/>
    </xf>
    <xf numFmtId="1" fontId="16" fillId="4" borderId="507" xfId="5" applyNumberFormat="1" applyFont="1" applyFill="1" applyBorder="1" applyAlignment="1" applyProtection="1">
      <alignment horizontal="center" vertical="center"/>
      <protection locked="0"/>
    </xf>
    <xf numFmtId="1" fontId="16" fillId="4" borderId="334" xfId="5" applyNumberFormat="1" applyFont="1" applyFill="1" applyBorder="1" applyAlignment="1" applyProtection="1">
      <alignment horizontal="center" vertical="center"/>
      <protection locked="0"/>
    </xf>
    <xf numFmtId="0" fontId="16" fillId="48" borderId="339" xfId="0" applyFont="1" applyFill="1" applyBorder="1" applyAlignment="1" applyProtection="1">
      <alignment horizontal="center" vertical="center"/>
      <protection locked="0"/>
    </xf>
    <xf numFmtId="0" fontId="16" fillId="48" borderId="338" xfId="0" applyFont="1" applyFill="1" applyBorder="1" applyAlignment="1" applyProtection="1">
      <alignment horizontal="center" vertical="center"/>
      <protection locked="0"/>
    </xf>
    <xf numFmtId="0" fontId="16" fillId="48" borderId="282" xfId="0" applyFont="1" applyFill="1" applyBorder="1" applyAlignment="1" applyProtection="1">
      <alignment horizontal="center" vertical="center"/>
      <protection locked="0"/>
    </xf>
    <xf numFmtId="10" fontId="16" fillId="48" borderId="388" xfId="5" applyNumberFormat="1" applyFont="1" applyFill="1" applyBorder="1" applyAlignment="1" applyProtection="1">
      <alignment horizontal="center" vertical="center"/>
      <protection locked="0"/>
    </xf>
    <xf numFmtId="10" fontId="16" fillId="48" borderId="324" xfId="5" applyNumberFormat="1" applyFont="1" applyFill="1" applyBorder="1" applyAlignment="1" applyProtection="1">
      <alignment horizontal="center" vertical="center"/>
      <protection locked="0"/>
    </xf>
    <xf numFmtId="168" fontId="16" fillId="4" borderId="311" xfId="5" applyNumberFormat="1" applyFont="1" applyFill="1" applyBorder="1" applyAlignment="1" applyProtection="1">
      <alignment horizontal="center" vertical="center"/>
    </xf>
    <xf numFmtId="168" fontId="16" fillId="4" borderId="312" xfId="5" applyNumberFormat="1" applyFont="1" applyFill="1" applyBorder="1" applyAlignment="1" applyProtection="1">
      <alignment horizontal="center" vertical="center"/>
    </xf>
    <xf numFmtId="167" fontId="16" fillId="4" borderId="507" xfId="2" applyNumberFormat="1" applyFont="1" applyFill="1" applyBorder="1" applyAlignment="1" applyProtection="1">
      <alignment horizontal="center" vertical="center" wrapText="1"/>
      <protection locked="0"/>
    </xf>
    <xf numFmtId="167" fontId="16" fillId="4" borderId="505" xfId="2" applyNumberFormat="1" applyFont="1" applyFill="1" applyBorder="1" applyAlignment="1" applyProtection="1">
      <alignment horizontal="center" vertical="center" wrapText="1"/>
      <protection locked="0"/>
    </xf>
    <xf numFmtId="0" fontId="36" fillId="3" borderId="290" xfId="0" applyFont="1" applyFill="1" applyBorder="1" applyAlignment="1" applyProtection="1">
      <alignment horizontal="center"/>
    </xf>
    <xf numFmtId="0" fontId="16" fillId="4" borderId="508" xfId="0" applyFont="1" applyFill="1" applyBorder="1" applyAlignment="1" applyProtection="1">
      <alignment horizontal="center" vertical="center" wrapText="1"/>
    </xf>
    <xf numFmtId="0" fontId="16" fillId="4" borderId="509" xfId="0" applyFont="1" applyFill="1" applyBorder="1" applyAlignment="1" applyProtection="1">
      <alignment horizontal="center" vertical="center" wrapText="1"/>
    </xf>
    <xf numFmtId="0" fontId="16" fillId="4" borderId="510" xfId="0" applyFont="1" applyFill="1" applyBorder="1" applyAlignment="1" applyProtection="1">
      <alignment horizontal="center" vertical="center" wrapText="1"/>
    </xf>
    <xf numFmtId="0" fontId="16" fillId="4" borderId="311" xfId="0" applyFont="1" applyFill="1" applyBorder="1" applyAlignment="1" applyProtection="1">
      <alignment horizontal="center" wrapText="1"/>
    </xf>
    <xf numFmtId="168" fontId="16" fillId="48" borderId="388" xfId="5" applyNumberFormat="1" applyFont="1" applyFill="1" applyBorder="1" applyAlignment="1" applyProtection="1">
      <alignment horizontal="center" vertical="center"/>
      <protection locked="0"/>
    </xf>
    <xf numFmtId="168" fontId="0" fillId="48" borderId="388" xfId="0" applyNumberFormat="1" applyFill="1" applyBorder="1" applyProtection="1">
      <protection locked="0"/>
    </xf>
    <xf numFmtId="168" fontId="0" fillId="48" borderId="324" xfId="0" applyNumberFormat="1" applyFill="1" applyBorder="1" applyProtection="1">
      <protection locked="0"/>
    </xf>
    <xf numFmtId="0" fontId="53" fillId="3" borderId="296" xfId="0" quotePrefix="1" applyFont="1" applyFill="1" applyBorder="1" applyAlignment="1" applyProtection="1">
      <alignment horizontal="left" vertical="center" wrapText="1" indent="1"/>
    </xf>
    <xf numFmtId="0" fontId="53" fillId="3" borderId="298" xfId="0" quotePrefix="1" applyFont="1" applyFill="1" applyBorder="1" applyAlignment="1" applyProtection="1">
      <alignment horizontal="left" vertical="center" wrapText="1" indent="1"/>
    </xf>
    <xf numFmtId="0" fontId="10" fillId="11" borderId="81" xfId="0" applyFont="1" applyFill="1" applyBorder="1" applyAlignment="1">
      <alignment horizontal="center" vertical="center" wrapText="1"/>
    </xf>
    <xf numFmtId="0" fontId="10" fillId="11" borderId="88" xfId="0" applyFont="1" applyFill="1" applyBorder="1" applyAlignment="1">
      <alignment horizontal="center" vertical="center" wrapText="1"/>
    </xf>
    <xf numFmtId="0" fontId="10" fillId="11" borderId="103" xfId="0" applyFont="1" applyFill="1" applyBorder="1" applyAlignment="1">
      <alignment horizontal="center" vertical="center" wrapText="1"/>
    </xf>
    <xf numFmtId="167" fontId="16" fillId="38" borderId="376" xfId="4" applyNumberFormat="1" applyFont="1" applyFill="1" applyBorder="1" applyAlignment="1" applyProtection="1">
      <alignment horizontal="center" vertical="center"/>
    </xf>
    <xf numFmtId="0" fontId="0" fillId="38" borderId="376" xfId="0" applyFont="1" applyFill="1" applyBorder="1" applyProtection="1"/>
    <xf numFmtId="167" fontId="16" fillId="38" borderId="206" xfId="4" applyNumberFormat="1" applyFont="1" applyFill="1" applyBorder="1" applyAlignment="1" applyProtection="1">
      <alignment horizontal="center" vertical="center"/>
    </xf>
    <xf numFmtId="0" fontId="0" fillId="38" borderId="206" xfId="0" applyFont="1" applyFill="1" applyBorder="1" applyProtection="1"/>
    <xf numFmtId="9" fontId="21" fillId="4" borderId="206" xfId="5" applyFont="1" applyFill="1" applyBorder="1" applyAlignment="1" applyProtection="1">
      <alignment horizontal="center"/>
    </xf>
    <xf numFmtId="9" fontId="21" fillId="4" borderId="290" xfId="5" applyFont="1" applyFill="1" applyBorder="1" applyAlignment="1" applyProtection="1">
      <alignment horizontal="center"/>
    </xf>
    <xf numFmtId="167" fontId="16" fillId="8" borderId="125" xfId="4" applyNumberFormat="1" applyFont="1" applyFill="1" applyBorder="1" applyAlignment="1" applyProtection="1">
      <alignment horizontal="left" vertical="center" wrapText="1"/>
    </xf>
    <xf numFmtId="167" fontId="16" fillId="8" borderId="74" xfId="4" applyNumberFormat="1" applyFont="1" applyFill="1" applyBorder="1" applyAlignment="1" applyProtection="1">
      <alignment horizontal="left" vertical="center" wrapText="1"/>
    </xf>
    <xf numFmtId="167" fontId="16" fillId="8" borderId="47" xfId="4" applyNumberFormat="1" applyFont="1" applyFill="1" applyBorder="1" applyAlignment="1" applyProtection="1">
      <alignment horizontal="left" vertical="center" wrapText="1"/>
    </xf>
    <xf numFmtId="0" fontId="182" fillId="8" borderId="49" xfId="0" applyFont="1" applyFill="1" applyBorder="1" applyAlignment="1" applyProtection="1">
      <alignment horizontal="right" vertical="center" wrapText="1"/>
    </xf>
    <xf numFmtId="0" fontId="182" fillId="8" borderId="65" xfId="0" applyFont="1" applyFill="1" applyBorder="1" applyAlignment="1" applyProtection="1">
      <alignment horizontal="right" vertical="center" wrapText="1"/>
    </xf>
    <xf numFmtId="0" fontId="182" fillId="8" borderId="50" xfId="0" applyFont="1" applyFill="1" applyBorder="1" applyAlignment="1" applyProtection="1">
      <alignment horizontal="right" vertical="center" wrapText="1"/>
    </xf>
    <xf numFmtId="167" fontId="16" fillId="39" borderId="376" xfId="4" applyNumberFormat="1" applyFont="1" applyFill="1" applyBorder="1" applyAlignment="1" applyProtection="1">
      <alignment horizontal="center" vertical="center"/>
    </xf>
    <xf numFmtId="0" fontId="24" fillId="7" borderId="0" xfId="0" applyFont="1" applyFill="1" applyBorder="1" applyProtection="1"/>
    <xf numFmtId="0" fontId="24" fillId="7" borderId="5" xfId="0" applyFont="1" applyFill="1" applyBorder="1" applyProtection="1"/>
    <xf numFmtId="0" fontId="0" fillId="39" borderId="206" xfId="0" applyFont="1" applyFill="1" applyBorder="1" applyProtection="1"/>
    <xf numFmtId="167" fontId="0" fillId="3" borderId="375" xfId="4" applyNumberFormat="1" applyFont="1" applyFill="1" applyBorder="1" applyAlignment="1" applyProtection="1">
      <alignment horizontal="left" vertical="center" wrapText="1"/>
    </xf>
    <xf numFmtId="0" fontId="72" fillId="3" borderId="390" xfId="0" applyFont="1" applyFill="1" applyBorder="1" applyAlignment="1" applyProtection="1">
      <alignment horizontal="right" vertical="top" wrapText="1"/>
    </xf>
    <xf numFmtId="0" fontId="72" fillId="3" borderId="375" xfId="0" applyFont="1" applyFill="1" applyBorder="1" applyAlignment="1" applyProtection="1">
      <alignment horizontal="right" vertical="top" wrapText="1"/>
    </xf>
    <xf numFmtId="0" fontId="11" fillId="7" borderId="375" xfId="0" applyFont="1" applyFill="1" applyBorder="1" applyAlignment="1" applyProtection="1">
      <alignment horizontal="left" vertical="center" indent="2"/>
    </xf>
    <xf numFmtId="0" fontId="11" fillId="7" borderId="206" xfId="0" applyFont="1" applyFill="1" applyBorder="1" applyAlignment="1" applyProtection="1">
      <alignment horizontal="left" vertical="center" indent="2"/>
    </xf>
    <xf numFmtId="0" fontId="0" fillId="0" borderId="504" xfId="0" applyFont="1" applyBorder="1" applyProtection="1"/>
    <xf numFmtId="9" fontId="177" fillId="40" borderId="0" xfId="1" applyNumberFormat="1" applyFont="1" applyFill="1" applyBorder="1" applyAlignment="1" applyProtection="1">
      <alignment horizontal="center" vertical="center"/>
    </xf>
    <xf numFmtId="9" fontId="177" fillId="40" borderId="5" xfId="1" applyNumberFormat="1" applyFont="1" applyFill="1" applyBorder="1" applyAlignment="1" applyProtection="1">
      <alignment horizontal="center" vertical="center"/>
    </xf>
    <xf numFmtId="0" fontId="163" fillId="2" borderId="150" xfId="0" applyFont="1" applyFill="1" applyBorder="1" applyAlignment="1" applyProtection="1">
      <alignment horizontal="center" vertical="center" wrapText="1"/>
    </xf>
    <xf numFmtId="0" fontId="163" fillId="2" borderId="90" xfId="0" applyFont="1" applyFill="1" applyBorder="1" applyAlignment="1" applyProtection="1">
      <alignment horizontal="center" vertical="center" wrapText="1"/>
    </xf>
    <xf numFmtId="0" fontId="163" fillId="2" borderId="151" xfId="0" applyFont="1" applyFill="1" applyBorder="1" applyAlignment="1" applyProtection="1">
      <alignment horizontal="center" vertical="center" wrapText="1"/>
    </xf>
    <xf numFmtId="0" fontId="11" fillId="7" borderId="8" xfId="0" applyFont="1" applyFill="1" applyBorder="1" applyAlignment="1" applyProtection="1">
      <alignment horizontal="center" vertical="center" wrapText="1"/>
    </xf>
    <xf numFmtId="0" fontId="11" fillId="7" borderId="9" xfId="0" applyFont="1" applyFill="1" applyBorder="1" applyAlignment="1" applyProtection="1">
      <alignment horizontal="center" vertical="center" wrapText="1"/>
    </xf>
    <xf numFmtId="0" fontId="11" fillId="7" borderId="10" xfId="0" applyFont="1" applyFill="1" applyBorder="1" applyAlignment="1" applyProtection="1">
      <alignment horizontal="center" vertical="center" wrapText="1"/>
    </xf>
    <xf numFmtId="0" fontId="99" fillId="3" borderId="308" xfId="0" applyFont="1" applyFill="1" applyBorder="1" applyAlignment="1" applyProtection="1">
      <alignment horizontal="center" vertical="center" wrapText="1"/>
    </xf>
    <xf numFmtId="0" fontId="99" fillId="3" borderId="309" xfId="0" applyFont="1" applyFill="1" applyBorder="1" applyAlignment="1" applyProtection="1">
      <alignment horizontal="center" vertical="center" wrapText="1"/>
    </xf>
    <xf numFmtId="43" fontId="11" fillId="3" borderId="377" xfId="4" applyFont="1" applyFill="1" applyBorder="1" applyAlignment="1" applyProtection="1">
      <alignment horizontal="left" vertical="center" wrapText="1"/>
    </xf>
    <xf numFmtId="43" fontId="11" fillId="3" borderId="379" xfId="4" applyFont="1" applyFill="1" applyBorder="1" applyAlignment="1" applyProtection="1">
      <alignment horizontal="left" vertical="center" wrapText="1"/>
    </xf>
    <xf numFmtId="1" fontId="16" fillId="48" borderId="206" xfId="2" applyNumberFormat="1" applyFont="1" applyFill="1" applyBorder="1" applyAlignment="1" applyProtection="1">
      <alignment horizontal="center" vertical="center"/>
      <protection locked="0"/>
    </xf>
    <xf numFmtId="1" fontId="16" fillId="48" borderId="290" xfId="2" applyNumberFormat="1" applyFont="1" applyFill="1" applyBorder="1" applyAlignment="1" applyProtection="1">
      <alignment horizontal="center" vertical="center"/>
      <protection locked="0"/>
    </xf>
    <xf numFmtId="9" fontId="16" fillId="48" borderId="206" xfId="5" applyFont="1" applyFill="1" applyBorder="1" applyAlignment="1" applyProtection="1">
      <alignment horizontal="center" vertical="center"/>
      <protection locked="0"/>
    </xf>
    <xf numFmtId="1" fontId="16" fillId="48" borderId="206" xfId="5" applyNumberFormat="1" applyFont="1" applyFill="1" applyBorder="1" applyAlignment="1" applyProtection="1">
      <alignment horizontal="center" vertical="center"/>
      <protection locked="0"/>
    </xf>
    <xf numFmtId="9" fontId="0" fillId="48" borderId="335" xfId="5" applyFont="1" applyFill="1" applyBorder="1" applyAlignment="1" applyProtection="1">
      <alignment horizontal="center" vertical="center"/>
      <protection locked="0"/>
    </xf>
    <xf numFmtId="1" fontId="0" fillId="48" borderId="335" xfId="5" applyNumberFormat="1" applyFont="1" applyFill="1" applyBorder="1" applyAlignment="1" applyProtection="1">
      <alignment horizontal="center" vertical="center"/>
      <protection locked="0"/>
    </xf>
    <xf numFmtId="1" fontId="0" fillId="48" borderId="335" xfId="2" applyNumberFormat="1" applyFont="1" applyFill="1" applyBorder="1" applyAlignment="1" applyProtection="1">
      <alignment horizontal="center" vertical="center"/>
      <protection locked="0"/>
    </xf>
    <xf numFmtId="1" fontId="0" fillId="48" borderId="387" xfId="2" applyNumberFormat="1" applyFont="1" applyFill="1" applyBorder="1" applyAlignment="1" applyProtection="1">
      <alignment horizontal="center" vertical="center"/>
      <protection locked="0"/>
    </xf>
    <xf numFmtId="167" fontId="275" fillId="3" borderId="378" xfId="4" applyNumberFormat="1" applyFont="1" applyFill="1" applyBorder="1" applyAlignment="1" applyProtection="1">
      <alignment horizontal="center" vertical="center"/>
    </xf>
    <xf numFmtId="167" fontId="275" fillId="3" borderId="380" xfId="4" applyNumberFormat="1" applyFont="1" applyFill="1" applyBorder="1" applyAlignment="1" applyProtection="1">
      <alignment horizontal="center" vertical="center"/>
    </xf>
    <xf numFmtId="0" fontId="90" fillId="3" borderId="383" xfId="0" applyFont="1" applyFill="1" applyBorder="1" applyAlignment="1" applyProtection="1">
      <alignment horizontal="left" vertical="center" wrapText="1" indent="1"/>
    </xf>
    <xf numFmtId="0" fontId="90" fillId="3" borderId="311" xfId="0" applyFont="1" applyFill="1" applyBorder="1" applyAlignment="1" applyProtection="1">
      <alignment horizontal="left" vertical="center" wrapText="1" indent="1"/>
    </xf>
    <xf numFmtId="0" fontId="90" fillId="3" borderId="384" xfId="0" applyFont="1" applyFill="1" applyBorder="1" applyAlignment="1" applyProtection="1">
      <alignment horizontal="left" vertical="center" wrapText="1" indent="1"/>
    </xf>
    <xf numFmtId="0" fontId="90" fillId="3" borderId="305" xfId="0" applyFont="1" applyFill="1" applyBorder="1" applyAlignment="1" applyProtection="1">
      <alignment horizontal="left" vertical="center" wrapText="1" indent="1"/>
    </xf>
    <xf numFmtId="0" fontId="90" fillId="3" borderId="308" xfId="0" applyFont="1" applyFill="1" applyBorder="1" applyAlignment="1" applyProtection="1">
      <alignment horizontal="left" vertical="center" wrapText="1" indent="1"/>
    </xf>
    <xf numFmtId="0" fontId="90" fillId="3" borderId="385" xfId="0" applyFont="1" applyFill="1" applyBorder="1" applyAlignment="1" applyProtection="1">
      <alignment horizontal="left" vertical="center" wrapText="1" indent="1"/>
    </xf>
    <xf numFmtId="0" fontId="90" fillId="3" borderId="295" xfId="0" applyFont="1" applyFill="1" applyBorder="1" applyAlignment="1" applyProtection="1">
      <alignment horizontal="left" vertical="center" wrapText="1" indent="1"/>
    </xf>
    <xf numFmtId="0" fontId="90" fillId="3" borderId="310" xfId="0" applyFont="1" applyFill="1" applyBorder="1" applyAlignment="1" applyProtection="1">
      <alignment horizontal="left" vertical="center" wrapText="1" indent="1"/>
    </xf>
    <xf numFmtId="9" fontId="0" fillId="4" borderId="310" xfId="5" applyFont="1" applyFill="1" applyBorder="1" applyAlignment="1" applyProtection="1">
      <alignment horizontal="center" vertical="center"/>
    </xf>
    <xf numFmtId="9" fontId="0" fillId="4" borderId="342" xfId="5" applyFont="1" applyFill="1" applyBorder="1" applyAlignment="1" applyProtection="1">
      <alignment horizontal="center" vertical="center"/>
    </xf>
    <xf numFmtId="0" fontId="217" fillId="47" borderId="228" xfId="0" applyFont="1" applyFill="1" applyBorder="1" applyAlignment="1" applyProtection="1">
      <alignment horizontal="right"/>
      <protection locked="0"/>
    </xf>
    <xf numFmtId="0" fontId="217" fillId="47" borderId="0" xfId="0" applyFont="1" applyFill="1" applyBorder="1" applyAlignment="1" applyProtection="1">
      <alignment horizontal="right"/>
      <protection locked="0"/>
    </xf>
    <xf numFmtId="1" fontId="24" fillId="7" borderId="18" xfId="0" applyNumberFormat="1" applyFont="1" applyFill="1" applyBorder="1" applyAlignment="1" applyProtection="1">
      <alignment horizontal="center" vertical="center"/>
    </xf>
    <xf numFmtId="0" fontId="217" fillId="47" borderId="229" xfId="0" applyFont="1" applyFill="1" applyBorder="1" applyAlignment="1" applyProtection="1">
      <alignment horizontal="center"/>
      <protection locked="0"/>
    </xf>
    <xf numFmtId="0" fontId="217" fillId="47" borderId="64" xfId="0" applyFont="1" applyFill="1" applyBorder="1" applyAlignment="1" applyProtection="1">
      <alignment horizontal="center"/>
      <protection locked="0"/>
    </xf>
    <xf numFmtId="0" fontId="10" fillId="6" borderId="97" xfId="0" applyFont="1" applyFill="1" applyBorder="1" applyAlignment="1" applyProtection="1">
      <alignment horizontal="center" vertical="center"/>
    </xf>
    <xf numFmtId="0" fontId="10" fillId="6" borderId="2" xfId="0" applyFont="1" applyFill="1" applyBorder="1" applyAlignment="1" applyProtection="1">
      <alignment horizontal="center" vertical="center"/>
    </xf>
    <xf numFmtId="0" fontId="10" fillId="6" borderId="3" xfId="0" applyFont="1" applyFill="1" applyBorder="1" applyAlignment="1" applyProtection="1">
      <alignment horizontal="center" vertical="center"/>
    </xf>
    <xf numFmtId="0" fontId="10" fillId="6" borderId="44" xfId="0" applyFont="1" applyFill="1" applyBorder="1" applyAlignment="1" applyProtection="1">
      <alignment horizontal="center" vertical="center"/>
    </xf>
    <xf numFmtId="0" fontId="10" fillId="6" borderId="36" xfId="0" applyFont="1" applyFill="1" applyBorder="1" applyAlignment="1" applyProtection="1">
      <alignment horizontal="center" vertical="center"/>
    </xf>
    <xf numFmtId="0" fontId="10" fillId="6" borderId="80" xfId="0" applyFont="1" applyFill="1" applyBorder="1" applyAlignment="1" applyProtection="1">
      <alignment horizontal="center" vertical="center"/>
    </xf>
    <xf numFmtId="0" fontId="24" fillId="48" borderId="42" xfId="0" applyFont="1" applyFill="1" applyBorder="1" applyAlignment="1" applyProtection="1">
      <alignment horizontal="center" vertical="center"/>
      <protection locked="0"/>
    </xf>
    <xf numFmtId="0" fontId="24" fillId="48" borderId="43" xfId="0" applyFont="1" applyFill="1" applyBorder="1" applyAlignment="1" applyProtection="1">
      <alignment horizontal="center" vertical="center"/>
      <protection locked="0"/>
    </xf>
    <xf numFmtId="0" fontId="24" fillId="48" borderId="82" xfId="0" applyFont="1" applyFill="1" applyBorder="1" applyAlignment="1" applyProtection="1">
      <alignment horizontal="center" vertical="center"/>
      <protection locked="0"/>
    </xf>
    <xf numFmtId="0" fontId="24" fillId="48" borderId="20" xfId="0" applyFont="1" applyFill="1" applyBorder="1" applyAlignment="1" applyProtection="1">
      <alignment horizontal="center" vertical="center"/>
      <protection locked="0"/>
    </xf>
    <xf numFmtId="0" fontId="24" fillId="48" borderId="0" xfId="0" applyFont="1" applyFill="1" applyBorder="1" applyAlignment="1" applyProtection="1">
      <alignment horizontal="center" vertical="center"/>
      <protection locked="0"/>
    </xf>
    <xf numFmtId="0" fontId="24" fillId="48" borderId="5" xfId="0" applyFont="1" applyFill="1" applyBorder="1" applyAlignment="1" applyProtection="1">
      <alignment horizontal="center" vertical="center"/>
      <protection locked="0"/>
    </xf>
    <xf numFmtId="0" fontId="24" fillId="48" borderId="44" xfId="0" applyFont="1" applyFill="1" applyBorder="1" applyAlignment="1" applyProtection="1">
      <alignment horizontal="center" vertical="center"/>
      <protection locked="0"/>
    </xf>
    <xf numFmtId="0" fontId="24" fillId="48" borderId="36" xfId="0" applyFont="1" applyFill="1" applyBorder="1" applyAlignment="1" applyProtection="1">
      <alignment horizontal="center" vertical="center"/>
      <protection locked="0"/>
    </xf>
    <xf numFmtId="0" fontId="24" fillId="48" borderId="80" xfId="0" applyFont="1" applyFill="1" applyBorder="1" applyAlignment="1" applyProtection="1">
      <alignment horizontal="center" vertical="center"/>
      <protection locked="0"/>
    </xf>
    <xf numFmtId="9" fontId="24" fillId="7" borderId="16" xfId="0" applyNumberFormat="1" applyFont="1" applyFill="1" applyBorder="1" applyAlignment="1" applyProtection="1">
      <alignment horizontal="center" vertical="center"/>
    </xf>
    <xf numFmtId="0" fontId="24" fillId="7" borderId="16" xfId="0" applyFont="1" applyFill="1" applyBorder="1" applyAlignment="1" applyProtection="1">
      <alignment horizontal="center" vertical="center"/>
    </xf>
    <xf numFmtId="9" fontId="24" fillId="7" borderId="18" xfId="0" applyNumberFormat="1" applyFont="1" applyFill="1" applyBorder="1" applyAlignment="1" applyProtection="1">
      <alignment horizontal="center" vertical="center"/>
    </xf>
    <xf numFmtId="0" fontId="24" fillId="7" borderId="18" xfId="0" applyFont="1" applyFill="1" applyBorder="1" applyAlignment="1" applyProtection="1">
      <alignment horizontal="center" vertical="center"/>
    </xf>
    <xf numFmtId="9" fontId="24" fillId="7" borderId="19" xfId="0" applyNumberFormat="1" applyFont="1" applyFill="1" applyBorder="1" applyAlignment="1" applyProtection="1">
      <alignment horizontal="center" vertical="center"/>
    </xf>
    <xf numFmtId="0" fontId="24" fillId="7" borderId="19" xfId="0" applyFont="1" applyFill="1" applyBorder="1" applyAlignment="1" applyProtection="1">
      <alignment horizontal="center" vertical="center"/>
    </xf>
    <xf numFmtId="1" fontId="24" fillId="7" borderId="16" xfId="0" applyNumberFormat="1" applyFont="1" applyFill="1" applyBorder="1" applyAlignment="1" applyProtection="1">
      <alignment horizontal="center" vertical="center"/>
    </xf>
    <xf numFmtId="0" fontId="24" fillId="48" borderId="142" xfId="0" applyFont="1" applyFill="1" applyBorder="1" applyAlignment="1" applyProtection="1">
      <alignment horizontal="center" vertical="center"/>
      <protection locked="0"/>
    </xf>
    <xf numFmtId="0" fontId="24" fillId="48" borderId="9" xfId="0" applyFont="1" applyFill="1" applyBorder="1" applyAlignment="1" applyProtection="1">
      <alignment horizontal="center" vertical="center"/>
      <protection locked="0"/>
    </xf>
    <xf numFmtId="0" fontId="24" fillId="48" borderId="10" xfId="0" applyFont="1" applyFill="1" applyBorder="1" applyAlignment="1" applyProtection="1">
      <alignment horizontal="center" vertical="center"/>
      <protection locked="0"/>
    </xf>
    <xf numFmtId="0" fontId="217" fillId="47" borderId="228" xfId="0" applyFont="1" applyFill="1" applyBorder="1" applyAlignment="1" applyProtection="1">
      <alignment horizontal="center"/>
      <protection locked="0"/>
    </xf>
    <xf numFmtId="0" fontId="217" fillId="47" borderId="0" xfId="0" applyFont="1" applyFill="1" applyBorder="1" applyAlignment="1" applyProtection="1">
      <alignment horizontal="center"/>
      <protection locked="0"/>
    </xf>
    <xf numFmtId="1" fontId="25" fillId="7" borderId="18" xfId="0" applyNumberFormat="1" applyFont="1" applyFill="1" applyBorder="1" applyAlignment="1" applyProtection="1">
      <alignment horizontal="center" vertical="center"/>
    </xf>
    <xf numFmtId="1" fontId="24" fillId="7" borderId="19" xfId="0" applyNumberFormat="1" applyFont="1" applyFill="1" applyBorder="1" applyAlignment="1" applyProtection="1">
      <alignment horizontal="center" vertical="center"/>
    </xf>
    <xf numFmtId="1" fontId="24" fillId="7" borderId="49" xfId="0" applyNumberFormat="1" applyFont="1" applyFill="1" applyBorder="1" applyAlignment="1" applyProtection="1">
      <alignment horizontal="center" vertical="center"/>
    </xf>
    <xf numFmtId="1" fontId="24" fillId="7" borderId="50" xfId="0" applyNumberFormat="1" applyFont="1" applyFill="1" applyBorder="1" applyAlignment="1" applyProtection="1">
      <alignment horizontal="center" vertical="center"/>
    </xf>
    <xf numFmtId="1" fontId="25" fillId="7" borderId="124" xfId="0" applyNumberFormat="1" applyFont="1" applyFill="1" applyBorder="1" applyAlignment="1" applyProtection="1">
      <alignment horizontal="center" vertical="center"/>
    </xf>
    <xf numFmtId="0" fontId="51" fillId="6" borderId="88" xfId="0" applyFont="1" applyFill="1" applyBorder="1" applyAlignment="1" applyProtection="1">
      <alignment horizontal="center"/>
    </xf>
    <xf numFmtId="9" fontId="52" fillId="48" borderId="13" xfId="5" applyFont="1" applyFill="1" applyBorder="1" applyAlignment="1" applyProtection="1">
      <alignment horizontal="center" vertical="center"/>
      <protection locked="0"/>
    </xf>
    <xf numFmtId="9" fontId="52" fillId="48" borderId="14" xfId="5" applyFont="1" applyFill="1" applyBorder="1" applyAlignment="1" applyProtection="1">
      <alignment horizontal="center" vertical="center"/>
      <protection locked="0"/>
    </xf>
    <xf numFmtId="9" fontId="52" fillId="48" borderId="15" xfId="5" applyFont="1" applyFill="1" applyBorder="1" applyAlignment="1" applyProtection="1">
      <alignment horizontal="center" vertical="center"/>
      <protection locked="0"/>
    </xf>
    <xf numFmtId="0" fontId="204" fillId="45" borderId="247" xfId="0" applyFont="1" applyFill="1" applyBorder="1" applyAlignment="1" applyProtection="1">
      <alignment horizontal="center" vertical="center"/>
      <protection locked="0"/>
    </xf>
    <xf numFmtId="0" fontId="204" fillId="45" borderId="248" xfId="0" applyFont="1" applyFill="1" applyBorder="1" applyAlignment="1" applyProtection="1">
      <alignment horizontal="center" vertical="center"/>
      <protection locked="0"/>
    </xf>
    <xf numFmtId="0" fontId="204" fillId="45" borderId="249" xfId="0" applyFont="1" applyFill="1" applyBorder="1" applyAlignment="1" applyProtection="1">
      <alignment horizontal="center" vertical="center"/>
      <protection locked="0"/>
    </xf>
    <xf numFmtId="0" fontId="204" fillId="47" borderId="233" xfId="0" applyFont="1" applyFill="1" applyBorder="1" applyAlignment="1" applyProtection="1">
      <alignment horizontal="center" vertical="center"/>
      <protection locked="0"/>
    </xf>
    <xf numFmtId="0" fontId="204" fillId="47" borderId="234" xfId="0" applyFont="1" applyFill="1" applyBorder="1" applyAlignment="1" applyProtection="1">
      <alignment horizontal="center" vertical="center"/>
      <protection locked="0"/>
    </xf>
    <xf numFmtId="0" fontId="204" fillId="47" borderId="243" xfId="0" applyFont="1" applyFill="1" applyBorder="1" applyAlignment="1" applyProtection="1">
      <alignment horizontal="center" vertical="center"/>
      <protection locked="0"/>
    </xf>
    <xf numFmtId="0" fontId="204" fillId="46" borderId="254" xfId="0" applyFont="1" applyFill="1" applyBorder="1" applyAlignment="1" applyProtection="1">
      <alignment horizontal="center" vertical="center"/>
      <protection locked="0"/>
    </xf>
    <xf numFmtId="0" fontId="204" fillId="46" borderId="223" xfId="0" applyFont="1" applyFill="1" applyBorder="1" applyAlignment="1" applyProtection="1">
      <alignment horizontal="center" vertical="center"/>
      <protection locked="0"/>
    </xf>
    <xf numFmtId="0" fontId="204" fillId="46" borderId="224" xfId="0" applyFont="1" applyFill="1" applyBorder="1" applyAlignment="1" applyProtection="1">
      <alignment horizontal="center" vertical="center"/>
      <protection locked="0"/>
    </xf>
    <xf numFmtId="0" fontId="10" fillId="6" borderId="88" xfId="0" applyFont="1" applyFill="1" applyBorder="1" applyAlignment="1" applyProtection="1">
      <alignment horizontal="center" vertical="center"/>
    </xf>
    <xf numFmtId="0" fontId="10" fillId="6" borderId="16" xfId="0" applyFont="1" applyFill="1" applyBorder="1" applyAlignment="1" applyProtection="1">
      <alignment horizontal="center" vertical="center"/>
    </xf>
    <xf numFmtId="0" fontId="10" fillId="6" borderId="28" xfId="0" applyFont="1" applyFill="1" applyBorder="1" applyAlignment="1" applyProtection="1">
      <alignment horizontal="center" vertical="center"/>
    </xf>
    <xf numFmtId="0" fontId="10" fillId="6" borderId="84" xfId="0" applyFont="1" applyFill="1" applyBorder="1" applyAlignment="1" applyProtection="1">
      <alignment horizontal="center" vertical="center"/>
    </xf>
    <xf numFmtId="49" fontId="10" fillId="6" borderId="13" xfId="0" applyNumberFormat="1" applyFont="1" applyFill="1" applyBorder="1" applyAlignment="1" applyProtection="1">
      <alignment horizontal="center" vertical="center" wrapText="1"/>
    </xf>
    <xf numFmtId="49" fontId="10" fillId="6" borderId="15" xfId="0" applyNumberFormat="1" applyFont="1" applyFill="1" applyBorder="1" applyAlignment="1" applyProtection="1">
      <alignment horizontal="center" vertical="center" wrapText="1"/>
    </xf>
    <xf numFmtId="0" fontId="204" fillId="46" borderId="254" xfId="0" applyFont="1" applyFill="1" applyBorder="1" applyAlignment="1" applyProtection="1">
      <alignment horizontal="center" vertical="center"/>
    </xf>
    <xf numFmtId="0" fontId="204" fillId="46" borderId="223" xfId="0" applyFont="1" applyFill="1" applyBorder="1" applyAlignment="1" applyProtection="1">
      <alignment horizontal="center" vertical="center"/>
    </xf>
    <xf numFmtId="0" fontId="204" fillId="46" borderId="224" xfId="0" applyFont="1" applyFill="1" applyBorder="1" applyAlignment="1" applyProtection="1">
      <alignment horizontal="center" vertical="center"/>
    </xf>
    <xf numFmtId="0" fontId="101" fillId="26" borderId="90" xfId="0" applyFont="1" applyFill="1" applyBorder="1" applyAlignment="1" applyProtection="1">
      <alignment horizontal="center"/>
    </xf>
    <xf numFmtId="0" fontId="212" fillId="2" borderId="0" xfId="0" applyFont="1" applyFill="1" applyAlignment="1" applyProtection="1">
      <alignment horizontal="left" vertical="center" wrapText="1"/>
    </xf>
    <xf numFmtId="0" fontId="111" fillId="7" borderId="95" xfId="0" applyFont="1" applyFill="1" applyBorder="1" applyAlignment="1" applyProtection="1">
      <alignment horizontal="center" vertical="center"/>
    </xf>
    <xf numFmtId="0" fontId="217" fillId="47" borderId="228" xfId="0" applyFont="1" applyFill="1" applyBorder="1" applyAlignment="1" applyProtection="1">
      <alignment horizontal="right"/>
    </xf>
    <xf numFmtId="0" fontId="217" fillId="47" borderId="0" xfId="0" applyFont="1" applyFill="1" applyBorder="1" applyAlignment="1" applyProtection="1">
      <alignment horizontal="right"/>
    </xf>
    <xf numFmtId="0" fontId="217" fillId="47" borderId="229" xfId="0" applyFont="1" applyFill="1" applyBorder="1" applyAlignment="1" applyProtection="1">
      <alignment horizontal="center"/>
    </xf>
    <xf numFmtId="0" fontId="217" fillId="47" borderId="64" xfId="0" applyFont="1" applyFill="1" applyBorder="1" applyAlignment="1" applyProtection="1">
      <alignment horizontal="center"/>
    </xf>
    <xf numFmtId="0" fontId="204" fillId="45" borderId="247" xfId="0" applyFont="1" applyFill="1" applyBorder="1" applyAlignment="1" applyProtection="1">
      <alignment horizontal="center" vertical="center"/>
    </xf>
    <xf numFmtId="0" fontId="204" fillId="45" borderId="248" xfId="0" applyFont="1" applyFill="1" applyBorder="1" applyAlignment="1" applyProtection="1">
      <alignment horizontal="center" vertical="center"/>
    </xf>
    <xf numFmtId="0" fontId="204" fillId="45" borderId="249" xfId="0" applyFont="1" applyFill="1" applyBorder="1" applyAlignment="1" applyProtection="1">
      <alignment horizontal="center" vertical="center"/>
    </xf>
    <xf numFmtId="0" fontId="204" fillId="47" borderId="233" xfId="0" applyFont="1" applyFill="1" applyBorder="1" applyAlignment="1" applyProtection="1">
      <alignment horizontal="center" vertical="center"/>
    </xf>
    <xf numFmtId="0" fontId="204" fillId="47" borderId="234" xfId="0" applyFont="1" applyFill="1" applyBorder="1" applyAlignment="1" applyProtection="1">
      <alignment horizontal="center" vertical="center"/>
    </xf>
    <xf numFmtId="0" fontId="204" fillId="47" borderId="243" xfId="0" applyFont="1" applyFill="1" applyBorder="1" applyAlignment="1" applyProtection="1">
      <alignment horizontal="center" vertical="center"/>
    </xf>
    <xf numFmtId="0" fontId="231" fillId="25" borderId="0" xfId="0" applyFont="1" applyFill="1" applyBorder="1" applyAlignment="1" applyProtection="1">
      <alignment horizontal="left" vertical="center" indent="1"/>
    </xf>
    <xf numFmtId="0" fontId="232" fillId="25" borderId="0" xfId="0" applyFont="1" applyFill="1" applyBorder="1" applyAlignment="1" applyProtection="1">
      <alignment horizontal="left" vertical="center" indent="1"/>
    </xf>
    <xf numFmtId="0" fontId="0" fillId="4" borderId="0" xfId="0" applyFill="1" applyAlignment="1" applyProtection="1">
      <alignment horizontal="left"/>
    </xf>
    <xf numFmtId="0" fontId="0" fillId="4" borderId="0" xfId="0" applyFont="1" applyFill="1" applyAlignment="1" applyProtection="1">
      <alignment horizontal="left"/>
    </xf>
    <xf numFmtId="0" fontId="0" fillId="4" borderId="0" xfId="0" applyFill="1" applyAlignment="1" applyProtection="1">
      <alignment horizontal="left" wrapText="1"/>
    </xf>
    <xf numFmtId="0" fontId="0" fillId="4" borderId="0" xfId="0" applyFont="1" applyFill="1" applyAlignment="1" applyProtection="1">
      <alignment horizontal="left" wrapText="1"/>
    </xf>
    <xf numFmtId="0" fontId="4" fillId="24" borderId="28" xfId="0" applyFont="1" applyFill="1" applyBorder="1" applyAlignment="1" applyProtection="1">
      <alignment horizontal="center" vertical="center"/>
    </xf>
    <xf numFmtId="0" fontId="4" fillId="24" borderId="29" xfId="0" applyFont="1" applyFill="1" applyBorder="1" applyAlignment="1" applyProtection="1">
      <alignment horizontal="center" vertical="center"/>
    </xf>
    <xf numFmtId="0" fontId="217" fillId="47" borderId="228" xfId="0" applyFont="1" applyFill="1" applyBorder="1" applyAlignment="1" applyProtection="1">
      <alignment horizontal="center"/>
    </xf>
    <xf numFmtId="0" fontId="217" fillId="47" borderId="0" xfId="0" applyFont="1" applyFill="1" applyBorder="1" applyAlignment="1" applyProtection="1">
      <alignment horizontal="center"/>
    </xf>
    <xf numFmtId="0" fontId="133" fillId="2" borderId="0" xfId="0" applyFont="1" applyFill="1" applyBorder="1" applyAlignment="1" applyProtection="1">
      <alignment horizontal="left" wrapText="1"/>
    </xf>
    <xf numFmtId="0" fontId="104" fillId="25" borderId="231" xfId="1" applyFont="1" applyFill="1" applyBorder="1" applyAlignment="1" applyProtection="1">
      <alignment horizontal="center" vertical="center"/>
    </xf>
    <xf numFmtId="0" fontId="104" fillId="25" borderId="231" xfId="1" applyFont="1" applyFill="1" applyBorder="1" applyAlignment="1" applyProtection="1">
      <alignment horizontal="left" vertical="center"/>
    </xf>
    <xf numFmtId="0" fontId="25" fillId="48" borderId="12" xfId="0" applyFont="1" applyFill="1" applyBorder="1" applyAlignment="1" applyProtection="1">
      <alignment horizontal="center" vertical="center"/>
      <protection locked="0"/>
    </xf>
    <xf numFmtId="0" fontId="0" fillId="0" borderId="13" xfId="0" applyFont="1" applyBorder="1" applyAlignment="1" applyProtection="1">
      <alignment horizontal="left" vertical="center" wrapText="1" indent="1"/>
    </xf>
    <xf numFmtId="0" fontId="0" fillId="0" borderId="15" xfId="0" applyFont="1" applyBorder="1" applyAlignment="1" applyProtection="1">
      <alignment horizontal="left" vertical="center" wrapText="1" indent="1"/>
    </xf>
    <xf numFmtId="0" fontId="0" fillId="0" borderId="13" xfId="0" applyBorder="1" applyAlignment="1" applyProtection="1">
      <alignment horizontal="left" vertical="center" wrapText="1" indent="1"/>
    </xf>
    <xf numFmtId="0" fontId="146" fillId="26" borderId="0" xfId="1" applyFont="1" applyFill="1" applyBorder="1" applyAlignment="1" applyProtection="1">
      <alignment horizontal="center" vertical="center"/>
    </xf>
    <xf numFmtId="0" fontId="135" fillId="2" borderId="0" xfId="1" applyFont="1" applyFill="1" applyBorder="1" applyAlignment="1" applyProtection="1">
      <alignment horizontal="left" vertical="center"/>
    </xf>
    <xf numFmtId="0" fontId="164" fillId="2" borderId="0" xfId="0" applyFont="1" applyFill="1" applyBorder="1" applyAlignment="1" applyProtection="1">
      <alignment horizontal="center" vertical="center" wrapText="1"/>
    </xf>
    <xf numFmtId="0" fontId="103" fillId="26" borderId="92" xfId="1" applyFont="1" applyFill="1" applyBorder="1" applyAlignment="1" applyProtection="1">
      <alignment horizontal="center" vertical="center"/>
    </xf>
    <xf numFmtId="0" fontId="83" fillId="31" borderId="12" xfId="0" applyFont="1" applyFill="1" applyBorder="1" applyAlignment="1" applyProtection="1">
      <alignment horizontal="center" vertical="center"/>
    </xf>
    <xf numFmtId="0" fontId="5" fillId="21" borderId="13" xfId="0" applyFont="1" applyFill="1" applyBorder="1" applyAlignment="1" applyProtection="1">
      <alignment horizontal="left" vertical="center"/>
    </xf>
    <xf numFmtId="0" fontId="5" fillId="21" borderId="14" xfId="0" applyFont="1" applyFill="1" applyBorder="1" applyAlignment="1" applyProtection="1">
      <alignment horizontal="left" vertical="center"/>
    </xf>
    <xf numFmtId="0" fontId="5" fillId="21" borderId="15" xfId="0" applyFont="1" applyFill="1" applyBorder="1" applyAlignment="1" applyProtection="1">
      <alignment horizontal="left" vertical="center"/>
    </xf>
    <xf numFmtId="0" fontId="7" fillId="17" borderId="12" xfId="0" applyFont="1" applyFill="1" applyBorder="1" applyAlignment="1" applyProtection="1">
      <alignment horizontal="center"/>
    </xf>
    <xf numFmtId="0" fontId="0" fillId="0" borderId="16" xfId="0" applyBorder="1" applyAlignment="1" applyProtection="1">
      <alignment horizontal="left" vertical="center" wrapText="1"/>
    </xf>
    <xf numFmtId="0" fontId="0" fillId="0" borderId="17" xfId="0" applyBorder="1" applyAlignment="1" applyProtection="1">
      <alignment horizontal="left" vertical="center" wrapText="1"/>
    </xf>
    <xf numFmtId="0" fontId="0" fillId="0" borderId="19" xfId="0" applyBorder="1" applyAlignment="1" applyProtection="1">
      <alignment horizontal="left" vertical="center" wrapText="1"/>
    </xf>
    <xf numFmtId="0" fontId="0" fillId="0" borderId="16" xfId="0" applyBorder="1" applyAlignment="1" applyProtection="1">
      <alignment horizontal="center" vertical="center"/>
    </xf>
    <xf numFmtId="0" fontId="0" fillId="0" borderId="17" xfId="0" applyBorder="1" applyAlignment="1" applyProtection="1">
      <alignment horizontal="center" vertical="center"/>
    </xf>
    <xf numFmtId="0" fontId="0" fillId="0" borderId="19" xfId="0" applyBorder="1" applyAlignment="1" applyProtection="1">
      <alignment horizontal="center" vertical="center"/>
    </xf>
    <xf numFmtId="0" fontId="96" fillId="15" borderId="170" xfId="0" applyFont="1" applyFill="1" applyBorder="1" applyAlignment="1" applyProtection="1">
      <alignment horizontal="center" wrapText="1"/>
    </xf>
    <xf numFmtId="0" fontId="8" fillId="21" borderId="16" xfId="1" applyFill="1" applyBorder="1" applyAlignment="1" applyProtection="1">
      <alignment horizontal="center" vertical="center" wrapText="1"/>
    </xf>
    <xf numFmtId="0" fontId="8" fillId="21" borderId="17" xfId="1" applyFill="1" applyBorder="1" applyAlignment="1" applyProtection="1">
      <alignment horizontal="center" vertical="center" wrapText="1"/>
    </xf>
    <xf numFmtId="0" fontId="8" fillId="21" borderId="19" xfId="1" applyFill="1" applyBorder="1" applyAlignment="1" applyProtection="1">
      <alignment horizontal="center" vertical="center" wrapText="1"/>
    </xf>
    <xf numFmtId="0" fontId="16" fillId="0" borderId="12" xfId="0" applyFont="1" applyFill="1" applyBorder="1" applyAlignment="1" applyProtection="1">
      <alignment horizontal="left" vertical="center" wrapText="1"/>
    </xf>
    <xf numFmtId="0" fontId="290" fillId="37" borderId="0" xfId="0" applyFont="1" applyFill="1" applyBorder="1" applyAlignment="1" applyProtection="1">
      <alignment horizontal="left"/>
    </xf>
    <xf numFmtId="0" fontId="290" fillId="37" borderId="471" xfId="0" applyFont="1" applyFill="1" applyBorder="1" applyAlignment="1" applyProtection="1">
      <alignment horizontal="left"/>
    </xf>
    <xf numFmtId="0" fontId="286" fillId="32" borderId="0" xfId="0" applyFont="1" applyFill="1" applyBorder="1" applyAlignment="1" applyProtection="1">
      <alignment horizontal="center" vertical="center"/>
    </xf>
    <xf numFmtId="0" fontId="251" fillId="48" borderId="13" xfId="0" applyFont="1" applyFill="1" applyBorder="1" applyAlignment="1" applyProtection="1">
      <alignment horizontal="center" vertical="top"/>
      <protection locked="0"/>
    </xf>
    <xf numFmtId="0" fontId="251" fillId="48" borderId="14" xfId="0" applyFont="1" applyFill="1" applyBorder="1" applyAlignment="1" applyProtection="1">
      <alignment horizontal="center" vertical="top"/>
      <protection locked="0"/>
    </xf>
    <xf numFmtId="0" fontId="251" fillId="48" borderId="15" xfId="0" applyFont="1" applyFill="1" applyBorder="1" applyAlignment="1" applyProtection="1">
      <alignment horizontal="center" vertical="top"/>
      <protection locked="0"/>
    </xf>
    <xf numFmtId="1" fontId="289" fillId="7" borderId="468" xfId="0" applyNumberFormat="1" applyFont="1" applyFill="1" applyBorder="1" applyAlignment="1" applyProtection="1">
      <alignment horizontal="center" vertical="center"/>
    </xf>
    <xf numFmtId="1" fontId="289" fillId="7" borderId="469" xfId="0" applyNumberFormat="1" applyFont="1" applyFill="1" applyBorder="1" applyAlignment="1" applyProtection="1">
      <alignment horizontal="center" vertical="center"/>
    </xf>
    <xf numFmtId="1" fontId="289" fillId="7" borderId="470" xfId="0" applyNumberFormat="1" applyFont="1" applyFill="1" applyBorder="1" applyAlignment="1" applyProtection="1">
      <alignment horizontal="center" vertical="center"/>
    </xf>
    <xf numFmtId="0" fontId="290" fillId="37" borderId="0" xfId="0" applyFont="1" applyFill="1" applyBorder="1" applyAlignment="1" applyProtection="1">
      <alignment horizontal="left" vertical="center" wrapText="1"/>
    </xf>
    <xf numFmtId="0" fontId="0" fillId="48" borderId="12" xfId="0" applyFont="1" applyFill="1" applyBorder="1" applyAlignment="1" applyProtection="1">
      <alignment horizontal="left" vertical="center"/>
      <protection locked="0"/>
    </xf>
    <xf numFmtId="0" fontId="21" fillId="7" borderId="20" xfId="0" applyFont="1" applyFill="1" applyBorder="1" applyAlignment="1" applyProtection="1">
      <alignment horizontal="center" vertical="center" wrapText="1"/>
    </xf>
    <xf numFmtId="0" fontId="21" fillId="7" borderId="0" xfId="0" applyFont="1" applyFill="1" applyBorder="1" applyAlignment="1" applyProtection="1">
      <alignment horizontal="center" vertical="center" wrapText="1"/>
    </xf>
    <xf numFmtId="0" fontId="285" fillId="33" borderId="0" xfId="0" applyFont="1" applyFill="1" applyBorder="1" applyAlignment="1" applyProtection="1">
      <alignment horizontal="center" vertical="center"/>
    </xf>
    <xf numFmtId="0" fontId="0" fillId="0" borderId="0" xfId="0" applyAlignment="1" applyProtection="1">
      <alignment horizontal="center"/>
    </xf>
    <xf numFmtId="0" fontId="0" fillId="0" borderId="42" xfId="0" applyBorder="1" applyAlignment="1" applyProtection="1">
      <alignment horizontal="center"/>
    </xf>
    <xf numFmtId="0" fontId="0" fillId="0" borderId="41" xfId="0" applyBorder="1" applyAlignment="1" applyProtection="1">
      <alignment horizontal="center"/>
    </xf>
    <xf numFmtId="0" fontId="5" fillId="30" borderId="4" xfId="0" applyFont="1" applyFill="1" applyBorder="1" applyAlignment="1" applyProtection="1">
      <alignment horizontal="left" vertical="center"/>
    </xf>
    <xf numFmtId="0" fontId="5" fillId="30" borderId="2" xfId="0" applyFont="1" applyFill="1" applyBorder="1" applyAlignment="1" applyProtection="1">
      <alignment horizontal="left" vertical="center"/>
    </xf>
    <xf numFmtId="0" fontId="5" fillId="30" borderId="1" xfId="0" applyFont="1" applyFill="1" applyBorder="1" applyAlignment="1" applyProtection="1">
      <alignment horizontal="left" vertical="center"/>
    </xf>
    <xf numFmtId="43" fontId="16" fillId="0" borderId="16" xfId="2" applyFont="1" applyFill="1" applyBorder="1" applyAlignment="1">
      <alignment horizontal="left" vertical="center" wrapText="1"/>
    </xf>
    <xf numFmtId="43" fontId="16" fillId="0" borderId="19" xfId="2" applyFont="1" applyFill="1" applyBorder="1" applyAlignment="1">
      <alignment horizontal="left" vertical="center" wrapText="1"/>
    </xf>
    <xf numFmtId="0" fontId="33" fillId="0" borderId="16" xfId="0" applyFont="1" applyBorder="1" applyAlignment="1">
      <alignment horizontal="center" vertical="top"/>
    </xf>
    <xf numFmtId="0" fontId="33" fillId="0" borderId="19" xfId="0" applyFont="1" applyBorder="1" applyAlignment="1">
      <alignment horizontal="center" vertical="top"/>
    </xf>
    <xf numFmtId="0" fontId="1" fillId="3" borderId="296" xfId="0" applyFont="1" applyFill="1" applyBorder="1" applyAlignment="1" applyProtection="1">
      <alignment horizontal="right" vertical="center" wrapText="1"/>
    </xf>
    <xf numFmtId="0" fontId="1" fillId="3" borderId="297" xfId="0" applyFont="1" applyFill="1" applyBorder="1" applyAlignment="1" applyProtection="1">
      <alignment horizontal="right" vertical="center" wrapText="1"/>
    </xf>
    <xf numFmtId="0" fontId="1" fillId="3" borderId="20" xfId="0" applyFont="1" applyFill="1" applyBorder="1" applyAlignment="1" applyProtection="1">
      <alignment horizontal="right" vertical="center" wrapText="1"/>
    </xf>
    <xf numFmtId="0" fontId="1" fillId="3" borderId="0" xfId="0" applyFont="1" applyFill="1" applyBorder="1" applyAlignment="1" applyProtection="1">
      <alignment horizontal="right" vertical="center" wrapText="1"/>
    </xf>
    <xf numFmtId="0" fontId="1" fillId="3" borderId="44" xfId="0" applyFont="1" applyFill="1" applyBorder="1" applyAlignment="1" applyProtection="1">
      <alignment horizontal="right" vertical="center" wrapText="1"/>
    </xf>
    <xf numFmtId="0" fontId="1" fillId="3" borderId="36" xfId="0" applyFont="1" applyFill="1" applyBorder="1" applyAlignment="1" applyProtection="1">
      <alignment horizontal="right" vertical="center" wrapText="1"/>
    </xf>
    <xf numFmtId="0" fontId="0" fillId="0" borderId="359" xfId="0" applyFont="1" applyFill="1" applyBorder="1" applyAlignment="1">
      <alignment horizontal="left" vertical="top" wrapText="1"/>
    </xf>
    <xf numFmtId="0" fontId="0" fillId="0" borderId="358" xfId="0" applyFont="1" applyFill="1" applyBorder="1" applyAlignment="1">
      <alignment horizontal="left" vertical="top" wrapText="1"/>
    </xf>
    <xf numFmtId="0" fontId="0" fillId="0" borderId="0" xfId="0" applyFont="1" applyFill="1" applyBorder="1" applyAlignment="1">
      <alignment horizontal="left" vertical="top" wrapText="1"/>
    </xf>
    <xf numFmtId="9" fontId="39" fillId="0" borderId="20" xfId="5" applyFont="1" applyFill="1" applyBorder="1" applyAlignment="1">
      <alignment horizontal="center" vertical="top"/>
    </xf>
    <xf numFmtId="9" fontId="39" fillId="0" borderId="264" xfId="5" applyFont="1" applyFill="1" applyBorder="1" applyAlignment="1">
      <alignment horizontal="center" vertical="top"/>
    </xf>
    <xf numFmtId="9" fontId="39" fillId="0" borderId="267" xfId="5" applyFont="1" applyFill="1" applyBorder="1" applyAlignment="1">
      <alignment horizontal="center" vertical="top"/>
    </xf>
    <xf numFmtId="9" fontId="0" fillId="0" borderId="0" xfId="5" applyFont="1" applyFill="1" applyBorder="1" applyAlignment="1">
      <alignment horizontal="left" vertical="top"/>
    </xf>
    <xf numFmtId="9" fontId="3" fillId="0" borderId="0" xfId="5" applyFont="1" applyFill="1" applyBorder="1" applyAlignment="1">
      <alignment horizontal="left" vertical="top"/>
    </xf>
    <xf numFmtId="9" fontId="0" fillId="0" borderId="265" xfId="5" applyFont="1" applyFill="1" applyBorder="1" applyAlignment="1">
      <alignment horizontal="left" vertical="top"/>
    </xf>
    <xf numFmtId="9" fontId="3" fillId="0" borderId="268" xfId="5" applyFont="1" applyFill="1" applyBorder="1" applyAlignment="1">
      <alignment horizontal="left" vertical="top"/>
    </xf>
    <xf numFmtId="0" fontId="16" fillId="0" borderId="16" xfId="0" applyFont="1" applyFill="1" applyBorder="1" applyAlignment="1">
      <alignment horizontal="right" vertical="top"/>
    </xf>
    <xf numFmtId="0" fontId="16" fillId="0" borderId="17" xfId="0" applyFont="1" applyFill="1" applyBorder="1" applyAlignment="1">
      <alignment horizontal="right" vertical="top"/>
    </xf>
    <xf numFmtId="0" fontId="16" fillId="0" borderId="19" xfId="0" applyFont="1" applyFill="1" applyBorder="1" applyAlignment="1">
      <alignment horizontal="right" vertical="top"/>
    </xf>
    <xf numFmtId="0" fontId="16" fillId="0" borderId="16"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9" xfId="0" applyFont="1" applyFill="1" applyBorder="1" applyAlignment="1">
      <alignment horizontal="left" vertical="top" wrapText="1"/>
    </xf>
    <xf numFmtId="0" fontId="11" fillId="0" borderId="16" xfId="0" applyFont="1" applyFill="1" applyBorder="1" applyAlignment="1">
      <alignment horizontal="center"/>
    </xf>
    <xf numFmtId="0" fontId="11" fillId="0" borderId="19" xfId="0" applyFont="1" applyFill="1" applyBorder="1" applyAlignment="1">
      <alignment horizontal="center"/>
    </xf>
    <xf numFmtId="0" fontId="11" fillId="0" borderId="16" xfId="0" applyFont="1" applyFill="1" applyBorder="1" applyAlignment="1">
      <alignment horizontal="left" vertical="center" wrapText="1"/>
    </xf>
    <xf numFmtId="0" fontId="11" fillId="0" borderId="19" xfId="0" applyFont="1" applyFill="1" applyBorder="1" applyAlignment="1">
      <alignment horizontal="left" vertical="center" wrapText="1"/>
    </xf>
    <xf numFmtId="0" fontId="0" fillId="0" borderId="42"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5" fillId="0" borderId="66" xfId="0" applyFont="1" applyFill="1" applyBorder="1" applyAlignment="1">
      <alignment horizontal="left" vertical="top" wrapText="1"/>
    </xf>
    <xf numFmtId="0" fontId="5" fillId="0" borderId="0" xfId="0" applyFont="1" applyFill="1" applyBorder="1" applyAlignment="1">
      <alignment horizontal="left" vertical="top" wrapText="1"/>
    </xf>
    <xf numFmtId="0" fontId="0" fillId="0" borderId="20" xfId="0" applyFill="1" applyBorder="1" applyAlignment="1">
      <alignment horizontal="left" vertical="center" wrapText="1"/>
    </xf>
    <xf numFmtId="9" fontId="39" fillId="0" borderId="44" xfId="5" applyFont="1" applyFill="1" applyBorder="1" applyAlignment="1">
      <alignment horizontal="center" vertical="top"/>
    </xf>
    <xf numFmtId="9" fontId="3" fillId="0" borderId="36" xfId="5" applyFont="1" applyFill="1" applyBorder="1" applyAlignment="1">
      <alignment horizontal="left" vertical="top"/>
    </xf>
    <xf numFmtId="0" fontId="85" fillId="0" borderId="0" xfId="0" applyFont="1" applyBorder="1" applyAlignment="1">
      <alignment horizontal="left" vertical="top" wrapText="1"/>
    </xf>
    <xf numFmtId="0" fontId="5" fillId="0" borderId="42" xfId="0" applyFont="1" applyBorder="1" applyAlignment="1">
      <alignment horizontal="left" vertical="center" wrapText="1"/>
    </xf>
    <xf numFmtId="0" fontId="5" fillId="0" borderId="20" xfId="0" applyFont="1" applyBorder="1" applyAlignment="1">
      <alignment horizontal="left" vertical="center" wrapText="1"/>
    </xf>
    <xf numFmtId="0" fontId="5" fillId="0" borderId="44" xfId="0" applyFont="1" applyBorder="1" applyAlignment="1">
      <alignment horizontal="left" vertical="center" wrapText="1"/>
    </xf>
    <xf numFmtId="0" fontId="33" fillId="0" borderId="66" xfId="0" applyFont="1" applyFill="1" applyBorder="1" applyAlignment="1">
      <alignment horizontal="left" vertical="top" wrapText="1"/>
    </xf>
    <xf numFmtId="0" fontId="33" fillId="0" borderId="64" xfId="0" applyFont="1" applyFill="1" applyBorder="1" applyAlignment="1">
      <alignment horizontal="left" vertical="top" wrapText="1"/>
    </xf>
    <xf numFmtId="0" fontId="0" fillId="0" borderId="66" xfId="0" applyBorder="1" applyAlignment="1">
      <alignment horizontal="left" vertical="top" wrapText="1"/>
    </xf>
    <xf numFmtId="0" fontId="0" fillId="0" borderId="64" xfId="0" applyBorder="1" applyAlignment="1">
      <alignment horizontal="left" vertical="top" wrapText="1"/>
    </xf>
    <xf numFmtId="0" fontId="5" fillId="4" borderId="43"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0" borderId="0" xfId="0" applyFont="1" applyBorder="1" applyAlignment="1">
      <alignment horizontal="left" vertical="center"/>
    </xf>
    <xf numFmtId="0" fontId="5" fillId="0" borderId="36" xfId="0" applyFont="1" applyBorder="1" applyAlignment="1">
      <alignment horizontal="left" vertical="center"/>
    </xf>
    <xf numFmtId="0" fontId="5" fillId="0" borderId="265" xfId="0" applyFont="1" applyBorder="1" applyAlignment="1">
      <alignment horizontal="left" vertical="center" wrapText="1"/>
    </xf>
    <xf numFmtId="0" fontId="5" fillId="0" borderId="0" xfId="0" applyFont="1" applyBorder="1" applyAlignment="1">
      <alignment horizontal="left" vertical="center" wrapText="1"/>
    </xf>
    <xf numFmtId="0" fontId="5" fillId="0" borderId="358" xfId="0" applyFont="1" applyBorder="1" applyAlignment="1">
      <alignment horizontal="left" vertical="center" wrapText="1"/>
    </xf>
    <xf numFmtId="0" fontId="5" fillId="0" borderId="359" xfId="0" applyFont="1" applyBorder="1" applyAlignment="1">
      <alignment horizontal="left" vertical="center"/>
    </xf>
    <xf numFmtId="0" fontId="33" fillId="0" borderId="16" xfId="0" applyFont="1" applyFill="1" applyBorder="1" applyAlignment="1">
      <alignment horizontal="left" vertical="center"/>
    </xf>
    <xf numFmtId="0" fontId="33" fillId="0" borderId="19" xfId="0" applyFont="1" applyFill="1" applyBorder="1" applyAlignment="1">
      <alignment horizontal="left" vertical="center"/>
    </xf>
    <xf numFmtId="0" fontId="0" fillId="0" borderId="42" xfId="0" applyBorder="1" applyAlignment="1">
      <alignment horizontal="center" vertical="top"/>
    </xf>
    <xf numFmtId="0" fontId="0" fillId="0" borderId="43" xfId="0" applyBorder="1" applyAlignment="1">
      <alignment horizontal="center" vertical="top"/>
    </xf>
    <xf numFmtId="0" fontId="0" fillId="0" borderId="41" xfId="0" applyBorder="1" applyAlignment="1">
      <alignment horizontal="center" vertical="top"/>
    </xf>
    <xf numFmtId="0" fontId="33" fillId="0" borderId="44" xfId="0" applyFont="1" applyBorder="1" applyAlignment="1">
      <alignment horizontal="center" vertical="top"/>
    </xf>
    <xf numFmtId="0" fontId="33" fillId="0" borderId="36" xfId="0" applyFont="1" applyBorder="1" applyAlignment="1">
      <alignment horizontal="center" vertical="top"/>
    </xf>
    <xf numFmtId="0" fontId="33" fillId="0" borderId="57" xfId="0" applyFont="1" applyBorder="1" applyAlignment="1">
      <alignment horizontal="center" vertical="top"/>
    </xf>
    <xf numFmtId="0" fontId="5" fillId="7" borderId="13" xfId="0" applyFont="1" applyFill="1" applyBorder="1" applyAlignment="1" applyProtection="1">
      <alignment horizontal="left" vertical="center" wrapText="1"/>
    </xf>
    <xf numFmtId="0" fontId="5" fillId="7" borderId="14" xfId="0" applyFont="1" applyFill="1" applyBorder="1" applyAlignment="1" applyProtection="1">
      <alignment horizontal="left" vertical="center" wrapText="1"/>
    </xf>
    <xf numFmtId="0" fontId="5" fillId="7" borderId="15" xfId="0" applyFont="1" applyFill="1" applyBorder="1" applyAlignment="1" applyProtection="1">
      <alignment horizontal="left" vertical="center" wrapText="1"/>
    </xf>
    <xf numFmtId="0" fontId="5" fillId="4" borderId="13" xfId="0" applyFont="1" applyFill="1" applyBorder="1" applyAlignment="1" applyProtection="1">
      <alignment horizontal="center" vertical="top"/>
    </xf>
    <xf numFmtId="0" fontId="5" fillId="4" borderId="15" xfId="0" applyFont="1" applyFill="1" applyBorder="1" applyAlignment="1" applyProtection="1">
      <alignment horizontal="center" vertical="top"/>
    </xf>
    <xf numFmtId="0" fontId="5" fillId="31" borderId="28" xfId="0" applyFont="1" applyFill="1" applyBorder="1" applyAlignment="1">
      <alignment horizontal="center" wrapText="1"/>
    </xf>
    <xf numFmtId="0" fontId="5" fillId="31" borderId="29" xfId="0" applyFont="1" applyFill="1" applyBorder="1" applyAlignment="1">
      <alignment horizontal="center" wrapText="1"/>
    </xf>
    <xf numFmtId="0" fontId="5" fillId="31" borderId="30" xfId="0" applyFont="1" applyFill="1" applyBorder="1" applyAlignment="1">
      <alignment horizontal="center" wrapText="1"/>
    </xf>
  </cellXfs>
  <cellStyles count="12">
    <cellStyle name="Accent2" xfId="6" builtinId="33"/>
    <cellStyle name="Comma" xfId="4" builtinId="3"/>
    <cellStyle name="Comma 2" xfId="2"/>
    <cellStyle name="Comma 3" xfId="9"/>
    <cellStyle name="Comma 4" xfId="10"/>
    <cellStyle name="Comma 57" xfId="8"/>
    <cellStyle name="Hyperlink" xfId="1" builtinId="8"/>
    <cellStyle name="Normal" xfId="0" builtinId="0"/>
    <cellStyle name="Normal 10" xfId="7"/>
    <cellStyle name="Normal 2" xfId="11"/>
    <cellStyle name="Percent" xfId="5" builtinId="5"/>
    <cellStyle name="Percent 2" xfId="3"/>
  </cellStyles>
  <dxfs count="42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ill>
        <patternFill>
          <bgColor theme="0" tint="-4.9989318521683403E-2"/>
        </patternFill>
      </fill>
    </dxf>
    <dxf>
      <fill>
        <patternFill patternType="solid">
          <bgColor theme="0" tint="-4.9989318521683403E-2"/>
        </patternFill>
      </fill>
    </dxf>
    <dxf>
      <fill>
        <patternFill>
          <bgColor rgb="FFA8F2F8"/>
        </patternFill>
      </fill>
    </dxf>
    <dxf>
      <fill>
        <patternFill>
          <bgColor rgb="FFA8F2F8"/>
        </patternFill>
      </fill>
    </dxf>
    <dxf>
      <fill>
        <patternFill>
          <bgColor rgb="FFA8F2F8"/>
        </patternFill>
      </fill>
    </dxf>
    <dxf>
      <fill>
        <patternFill>
          <bgColor rgb="FFA8F2F8"/>
        </patternFill>
      </fill>
    </dxf>
    <dxf>
      <fill>
        <patternFill>
          <bgColor rgb="FFA8F2F8"/>
        </patternFill>
      </fill>
    </dxf>
    <dxf>
      <fill>
        <patternFill>
          <bgColor rgb="FFA8F2F8"/>
        </patternFill>
      </fill>
    </dxf>
    <dxf>
      <fill>
        <patternFill>
          <bgColor rgb="FFA8F2F8"/>
        </patternFill>
      </fill>
    </dxf>
    <dxf>
      <font>
        <color theme="6" tint="-0.499984740745262"/>
      </font>
      <fill>
        <patternFill>
          <bgColor theme="6" tint="0.39994506668294322"/>
        </patternFill>
      </fill>
    </dxf>
    <dxf>
      <font>
        <color theme="1" tint="0.34998626667073579"/>
      </font>
      <fill>
        <patternFill>
          <bgColor theme="1" tint="0.34998626667073579"/>
        </patternFill>
      </fill>
      <border>
        <left/>
        <right/>
        <top/>
        <bottom/>
        <vertical/>
        <horizontal/>
      </border>
    </dxf>
    <dxf>
      <fill>
        <patternFill>
          <bgColor rgb="FFCAF8FA"/>
        </patternFill>
      </fill>
    </dxf>
    <dxf>
      <fill>
        <patternFill>
          <bgColor rgb="FFCAF8FA"/>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ont>
        <color rgb="FFFF0000"/>
      </font>
    </dxf>
    <dxf>
      <font>
        <color rgb="FFFF0000"/>
      </font>
    </dxf>
    <dxf>
      <font>
        <color rgb="FFFF0000"/>
      </font>
    </dxf>
    <dxf>
      <font>
        <b/>
        <i val="0"/>
        <color rgb="FFC00000"/>
      </font>
      <fill>
        <patternFill>
          <bgColor theme="0" tint="-0.34998626667073579"/>
        </patternFill>
      </fill>
    </dxf>
    <dxf>
      <font>
        <b/>
        <i val="0"/>
        <color rgb="FF0070C0"/>
      </font>
      <fill>
        <patternFill patternType="solid">
          <bgColor theme="0" tint="-0.34998626667073579"/>
        </patternFill>
      </fill>
    </dxf>
    <dxf>
      <fill>
        <patternFill>
          <bgColor theme="0" tint="-4.9989318521683403E-2"/>
        </patternFill>
      </fill>
    </dxf>
    <dxf>
      <font>
        <color rgb="FFFF0000"/>
      </font>
    </dxf>
    <dxf>
      <fill>
        <patternFill>
          <bgColor theme="0" tint="-4.9989318521683403E-2"/>
        </patternFill>
      </fill>
    </dxf>
    <dxf>
      <font>
        <b/>
        <i val="0"/>
        <color rgb="FFC00000"/>
      </font>
      <fill>
        <patternFill>
          <bgColor theme="0" tint="-0.34998626667073579"/>
        </patternFill>
      </fill>
    </dxf>
    <dxf>
      <font>
        <b/>
        <i val="0"/>
        <color rgb="FF0070C0"/>
      </font>
      <fill>
        <patternFill patternType="solid">
          <bgColor theme="0" tint="-0.34998626667073579"/>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FF0000"/>
      </font>
    </dxf>
    <dxf>
      <font>
        <color rgb="FFFF0000"/>
      </font>
    </dxf>
    <dxf>
      <font>
        <color theme="1" tint="0.34998626667073579"/>
      </font>
      <fill>
        <patternFill>
          <bgColor theme="1" tint="0.34998626667073579"/>
        </patternFill>
      </fill>
      <border>
        <left/>
        <right/>
        <top/>
        <bottom/>
        <vertical/>
        <horizontal/>
      </border>
    </dxf>
    <dxf>
      <font>
        <color rgb="FFFF0000"/>
      </font>
    </dxf>
    <dxf>
      <font>
        <b/>
        <i val="0"/>
        <color rgb="FFC00000"/>
      </font>
      <fill>
        <patternFill>
          <bgColor theme="0" tint="-0.34998626667073579"/>
        </patternFill>
      </fill>
    </dxf>
    <dxf>
      <font>
        <b/>
        <i val="0"/>
        <color rgb="FF0070C0"/>
      </font>
      <fill>
        <patternFill patternType="solid">
          <bgColor theme="0" tint="-0.34998626667073579"/>
        </patternFill>
      </fill>
    </dxf>
    <dxf>
      <font>
        <color theme="0"/>
      </font>
      <fill>
        <patternFill>
          <bgColor theme="8" tint="-0.24994659260841701"/>
        </patternFill>
      </fill>
    </dxf>
    <dxf>
      <font>
        <color theme="0"/>
      </font>
      <fill>
        <patternFill>
          <bgColor theme="2" tint="-0.499984740745262"/>
        </patternFill>
      </fill>
    </dxf>
    <dxf>
      <font>
        <color theme="0"/>
      </font>
      <fill>
        <patternFill>
          <bgColor theme="6" tint="-0.24994659260841701"/>
        </patternFill>
      </fill>
    </dxf>
    <dxf>
      <font>
        <b val="0"/>
        <i val="0"/>
        <color theme="0"/>
      </font>
      <fill>
        <patternFill>
          <bgColor theme="8" tint="-0.24994659260841701"/>
        </patternFill>
      </fill>
      <border>
        <vertical/>
        <horizontal/>
      </border>
    </dxf>
    <dxf>
      <font>
        <color theme="0"/>
      </font>
      <fill>
        <patternFill>
          <bgColor theme="8" tint="-0.24994659260841701"/>
        </patternFill>
      </fill>
      <border>
        <vertical/>
        <horizontal/>
      </border>
    </dxf>
    <dxf>
      <font>
        <b val="0"/>
        <i val="0"/>
        <color theme="0"/>
      </font>
      <fill>
        <patternFill>
          <bgColor theme="6" tint="-0.24994659260841701"/>
        </patternFill>
      </fill>
      <border>
        <vertical/>
        <horizontal/>
      </border>
    </dxf>
    <dxf>
      <font>
        <b val="0"/>
        <i val="0"/>
        <color theme="0"/>
      </font>
      <fill>
        <patternFill>
          <bgColor theme="6" tint="-0.24994659260841701"/>
        </patternFill>
      </fill>
    </dxf>
    <dxf>
      <font>
        <b val="0"/>
        <i val="0"/>
        <color theme="0"/>
      </font>
      <fill>
        <patternFill>
          <bgColor theme="2" tint="-0.499984740745262"/>
        </patternFill>
      </fill>
      <border>
        <vertical/>
        <horizontal/>
      </border>
    </dxf>
    <dxf>
      <font>
        <b val="0"/>
        <i val="0"/>
        <color theme="0"/>
      </font>
      <fill>
        <patternFill>
          <bgColor theme="2" tint="-0.499984740745262"/>
        </patternFill>
      </fill>
      <border>
        <vertical/>
        <horizontal/>
      </border>
    </dxf>
    <dxf>
      <fill>
        <patternFill>
          <bgColor theme="8" tint="0.59996337778862885"/>
        </patternFill>
      </fill>
      <border>
        <vertical/>
        <horizontal/>
      </border>
    </dxf>
    <dxf>
      <fill>
        <patternFill>
          <bgColor theme="2" tint="-9.9948118533890809E-2"/>
        </patternFill>
      </fill>
      <border>
        <vertical/>
        <horizontal/>
      </border>
    </dxf>
    <dxf>
      <fill>
        <patternFill>
          <bgColor theme="6" tint="0.39994506668294322"/>
        </patternFill>
      </fill>
    </dxf>
    <dxf>
      <fill>
        <patternFill>
          <bgColor theme="0" tint="-0.14996795556505021"/>
        </patternFill>
      </fill>
    </dxf>
    <dxf>
      <font>
        <color theme="1" tint="0.34998626667073579"/>
      </font>
      <fill>
        <patternFill>
          <bgColor theme="1" tint="0.34998626667073579"/>
        </patternFill>
      </fill>
      <border>
        <left/>
        <right/>
        <top/>
        <bottom/>
      </border>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rgb="FF00B050"/>
        </patternFill>
      </fill>
    </dxf>
    <dxf>
      <fill>
        <patternFill>
          <bgColor rgb="FFFFC000"/>
        </patternFill>
      </fill>
    </dxf>
    <dxf>
      <fill>
        <patternFill>
          <bgColor rgb="FFE23600"/>
        </patternFill>
      </fill>
    </dxf>
    <dxf>
      <fill>
        <patternFill>
          <bgColor rgb="FF00B050"/>
        </patternFill>
      </fill>
    </dxf>
    <dxf>
      <fill>
        <patternFill>
          <bgColor rgb="FFE23600"/>
        </patternFill>
      </fill>
    </dxf>
    <dxf>
      <fill>
        <patternFill>
          <bgColor theme="0" tint="-0.34998626667073579"/>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1"/>
      </font>
      <fill>
        <patternFill>
          <bgColor rgb="FFC3F6F9"/>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color theme="0"/>
      </font>
      <fill>
        <patternFill>
          <bgColor theme="4" tint="-0.24994659260841701"/>
        </patternFill>
      </fill>
    </dxf>
    <dxf>
      <fill>
        <patternFill>
          <bgColor theme="0" tint="-4.9989318521683403E-2"/>
        </patternFill>
      </fill>
    </dxf>
    <dxf>
      <font>
        <b val="0"/>
        <i val="0"/>
        <color auto="1"/>
      </font>
      <fill>
        <patternFill>
          <bgColor theme="0" tint="-0.24994659260841701"/>
        </patternFill>
      </fill>
    </dxf>
    <dxf>
      <font>
        <b/>
        <i val="0"/>
        <color theme="0"/>
      </font>
      <fill>
        <patternFill>
          <bgColor theme="4" tint="-0.24994659260841701"/>
        </patternFill>
      </fill>
    </dxf>
    <dxf>
      <fill>
        <patternFill>
          <bgColor theme="0" tint="-4.9989318521683403E-2"/>
        </patternFill>
      </fill>
    </dxf>
    <dxf>
      <font>
        <b val="0"/>
        <i val="0"/>
        <color auto="1"/>
      </font>
      <fill>
        <patternFill>
          <bgColor theme="0" tint="-0.24994659260841701"/>
        </patternFill>
      </fill>
    </dxf>
    <dxf>
      <fill>
        <patternFill>
          <bgColor theme="0" tint="-0.24994659260841701"/>
        </patternFill>
      </fill>
    </dxf>
    <dxf>
      <font>
        <b/>
        <i val="0"/>
        <color theme="0"/>
      </font>
      <fill>
        <patternFill>
          <bgColor theme="4" tint="-0.24994659260841701"/>
        </patternFill>
      </fill>
    </dxf>
    <dxf>
      <fill>
        <patternFill>
          <bgColor theme="0" tint="-4.9989318521683403E-2"/>
        </patternFill>
      </fill>
    </dxf>
    <dxf>
      <font>
        <b val="0"/>
        <i val="0"/>
        <color auto="1"/>
      </font>
      <fill>
        <patternFill>
          <bgColor theme="0"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ill>
        <patternFill>
          <bgColor theme="0" tint="-4.9989318521683403E-2"/>
        </patternFill>
      </fill>
    </dxf>
    <dxf>
      <font>
        <color theme="0"/>
      </font>
      <fill>
        <patternFill>
          <bgColor theme="4" tint="-0.24994659260841701"/>
        </patternFill>
      </fill>
    </dxf>
    <dxf>
      <font>
        <b/>
        <i val="0"/>
        <color theme="0"/>
      </font>
      <fill>
        <patternFill>
          <bgColor theme="4"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auto="1"/>
      </font>
      <fill>
        <patternFill>
          <bgColor rgb="FFC3F6F9"/>
        </patternFill>
      </fill>
    </dxf>
    <dxf>
      <fill>
        <patternFill>
          <bgColor theme="0" tint="-0.24994659260841701"/>
        </patternFill>
      </fill>
    </dxf>
    <dxf>
      <font>
        <b/>
        <i val="0"/>
        <color theme="0"/>
      </font>
      <fill>
        <patternFill>
          <bgColor theme="4" tint="-0.24994659260841701"/>
        </patternFill>
      </fill>
    </dxf>
    <dxf>
      <fill>
        <patternFill>
          <bgColor theme="4" tint="0.39994506668294322"/>
        </patternFill>
      </fill>
    </dxf>
    <dxf>
      <fill>
        <patternFill>
          <bgColor theme="4" tint="0.39994506668294322"/>
        </patternFill>
      </fill>
    </dxf>
    <dxf>
      <fill>
        <patternFill>
          <bgColor theme="4" tint="0.39994506668294322"/>
        </patternFill>
      </fill>
    </dxf>
    <dxf>
      <font>
        <color theme="0"/>
      </font>
      <fill>
        <patternFill>
          <bgColor theme="4" tint="-0.24994659260841701"/>
        </patternFill>
      </fill>
    </dxf>
    <dxf>
      <font>
        <color theme="0"/>
      </font>
      <fill>
        <patternFill>
          <bgColor theme="4" tint="-0.24994659260841701"/>
        </patternFill>
      </fill>
    </dxf>
    <dxf>
      <fill>
        <patternFill>
          <bgColor theme="4" tint="0.39994506668294322"/>
        </patternFill>
      </fill>
    </dxf>
    <dxf>
      <font>
        <color auto="1"/>
      </font>
      <fill>
        <patternFill>
          <bgColor theme="4" tint="0.39994506668294322"/>
        </patternFill>
      </fill>
    </dxf>
    <dxf>
      <font>
        <color theme="1"/>
      </font>
      <fill>
        <patternFill>
          <bgColor theme="4"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4" tint="0.39994506668294322"/>
        </patternFill>
      </fill>
    </dxf>
    <dxf>
      <font>
        <b/>
        <i val="0"/>
        <color theme="0"/>
      </font>
      <fill>
        <patternFill>
          <bgColor theme="4" tint="-0.24994659260841701"/>
        </patternFill>
      </fill>
    </dxf>
    <dxf>
      <fill>
        <patternFill>
          <bgColor theme="0" tint="-0.24994659260841701"/>
        </patternFill>
      </fill>
    </dxf>
    <dxf>
      <fill>
        <patternFill>
          <bgColor theme="0" tint="-0.24994659260841701"/>
        </patternFill>
      </fill>
    </dxf>
    <dxf>
      <font>
        <b/>
        <i val="0"/>
        <color theme="0"/>
      </font>
      <fill>
        <patternFill>
          <bgColor theme="5"/>
        </patternFill>
      </fill>
    </dxf>
    <dxf>
      <fill>
        <patternFill>
          <bgColor theme="0" tint="-0.24994659260841701"/>
        </patternFill>
      </fill>
    </dxf>
    <dxf>
      <fill>
        <patternFill>
          <bgColor theme="0" tint="-4.9989318521683403E-2"/>
        </patternFill>
      </fill>
    </dxf>
    <dxf>
      <font>
        <b/>
        <i val="0"/>
        <color theme="0"/>
      </font>
      <fill>
        <patternFill>
          <bgColor theme="4" tint="-0.24994659260841701"/>
        </patternFill>
      </fill>
    </dxf>
    <dxf>
      <fill>
        <patternFill>
          <bgColor theme="0" tint="-4.9989318521683403E-2"/>
        </patternFill>
      </fill>
    </dxf>
    <dxf>
      <fill>
        <patternFill>
          <bgColor theme="0" tint="-4.9989318521683403E-2"/>
        </patternFill>
      </fill>
    </dxf>
    <dxf>
      <font>
        <b/>
        <i val="0"/>
        <color theme="0"/>
      </font>
      <fill>
        <patternFill>
          <bgColor theme="4" tint="-0.24994659260841701"/>
        </patternFill>
      </fill>
    </dxf>
    <dxf>
      <font>
        <b/>
        <i val="0"/>
        <color theme="0"/>
      </font>
      <fill>
        <patternFill>
          <bgColor theme="4" tint="-0.24994659260841701"/>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4" tint="0.39994506668294322"/>
        </patternFill>
      </fill>
    </dxf>
    <dxf>
      <fill>
        <patternFill>
          <bgColor theme="4" tint="0.39994506668294322"/>
        </patternFill>
      </fill>
    </dxf>
    <dxf>
      <font>
        <color theme="0"/>
      </font>
      <fill>
        <patternFill>
          <bgColor theme="4" tint="-0.24994659260841701"/>
        </patternFill>
      </fill>
    </dxf>
    <dxf>
      <font>
        <color theme="0"/>
      </font>
      <fill>
        <patternFill>
          <bgColor theme="4" tint="-0.24994659260841701"/>
        </patternFill>
      </fill>
    </dxf>
    <dxf>
      <fill>
        <patternFill>
          <bgColor theme="0" tint="-4.9989318521683403E-2"/>
        </patternFill>
      </fill>
    </dxf>
    <dxf>
      <fill>
        <patternFill>
          <bgColor theme="4" tint="0.39994506668294322"/>
        </patternFill>
      </fill>
    </dxf>
    <dxf>
      <font>
        <color auto="1"/>
      </font>
      <fill>
        <patternFill>
          <bgColor theme="4" tint="0.39994506668294322"/>
        </patternFill>
      </fill>
    </dxf>
    <dxf>
      <font>
        <color theme="1"/>
      </font>
      <fill>
        <patternFill>
          <bgColor theme="4" tint="0.39994506668294322"/>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ont>
        <b/>
        <i val="0"/>
        <color theme="0"/>
      </font>
      <fill>
        <patternFill>
          <bgColor theme="4"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val="0"/>
        <color theme="1"/>
      </font>
      <fill>
        <patternFill>
          <bgColor rgb="FFC4F6F9"/>
        </patternFill>
      </fill>
    </dxf>
    <dxf>
      <font>
        <color theme="0"/>
      </font>
      <fill>
        <patternFill>
          <bgColor theme="4" tint="-0.24994659260841701"/>
        </patternFill>
      </fill>
    </dxf>
    <dxf>
      <fill>
        <patternFill>
          <bgColor theme="0" tint="-4.9989318521683403E-2"/>
        </patternFill>
      </fill>
    </dxf>
    <dxf>
      <font>
        <color theme="0"/>
      </font>
      <fill>
        <patternFill>
          <bgColor theme="4" tint="-0.24994659260841701"/>
        </patternFill>
      </fill>
    </dxf>
    <dxf>
      <fill>
        <patternFill>
          <bgColor theme="0" tint="-4.9989318521683403E-2"/>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1"/>
      </font>
      <fill>
        <patternFill>
          <bgColor theme="4" tint="0.39994506668294322"/>
        </patternFill>
      </fill>
    </dxf>
    <dxf>
      <font>
        <b/>
        <i val="0"/>
        <color theme="1"/>
      </font>
      <fill>
        <patternFill>
          <bgColor theme="4" tint="0.39994506668294322"/>
        </patternFill>
      </fill>
    </dxf>
    <dxf>
      <font>
        <b/>
        <i val="0"/>
        <color theme="1"/>
      </font>
      <fill>
        <patternFill>
          <bgColor theme="4" tint="0.39994506668294322"/>
        </patternFill>
      </fill>
    </dxf>
    <dxf>
      <font>
        <b/>
        <i val="0"/>
        <color auto="1"/>
      </font>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4" tint="-0.24994659260841701"/>
        </patternFill>
      </fill>
    </dxf>
    <dxf>
      <fill>
        <patternFill>
          <bgColor theme="4" tint="0.3999450666829432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auto="1"/>
      </font>
      <fill>
        <patternFill>
          <bgColor theme="4" tint="0.39994506668294322"/>
        </patternFill>
      </fill>
    </dxf>
    <dxf>
      <font>
        <color auto="1"/>
      </font>
      <fill>
        <patternFill>
          <bgColor theme="4" tint="0.39994506668294322"/>
        </patternFill>
      </fill>
    </dxf>
    <dxf>
      <font>
        <color auto="1"/>
      </font>
      <fill>
        <patternFill>
          <bgColor theme="4" tint="0.39994506668294322"/>
        </patternFill>
      </fill>
    </dxf>
    <dxf>
      <font>
        <color auto="1"/>
      </font>
      <fill>
        <patternFill>
          <bgColor theme="4" tint="0.39994506668294322"/>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auto="1"/>
      </font>
      <fill>
        <patternFill>
          <bgColor theme="4" tint="0.39994506668294322"/>
        </patternFill>
      </fill>
    </dxf>
    <dxf>
      <font>
        <color auto="1"/>
      </font>
      <fill>
        <patternFill>
          <bgColor theme="4" tint="0.39994506668294322"/>
        </patternFill>
      </fill>
    </dxf>
    <dxf>
      <font>
        <color auto="1"/>
      </font>
      <fill>
        <patternFill>
          <bgColor theme="4" tint="0.39994506668294322"/>
        </patternFill>
      </fill>
    </dxf>
    <dxf>
      <font>
        <color auto="1"/>
      </font>
      <fill>
        <patternFill>
          <bgColor theme="4" tint="0.39994506668294322"/>
        </patternFill>
      </fill>
    </dxf>
    <dxf>
      <font>
        <color theme="0"/>
      </font>
      <fill>
        <patternFill>
          <bgColor theme="4" tint="-0.24994659260841701"/>
        </patternFill>
      </fill>
    </dxf>
    <dxf>
      <font>
        <color theme="0"/>
      </font>
      <fill>
        <patternFill>
          <bgColor theme="4"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ill>
        <patternFill>
          <bgColor theme="0" tint="-4.9989318521683403E-2"/>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ill>
        <patternFill>
          <bgColor theme="0" tint="-4.9989318521683403E-2"/>
        </patternFill>
      </fill>
    </dxf>
    <dxf>
      <font>
        <color theme="0"/>
      </font>
      <fill>
        <patternFill>
          <bgColor theme="4" tint="-0.24994659260841701"/>
        </patternFill>
      </fill>
    </dxf>
    <dxf>
      <font>
        <color theme="0"/>
      </font>
      <fill>
        <patternFill>
          <bgColor theme="4"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4" tint="-0.24994659260841701"/>
        </patternFill>
      </fill>
    </dxf>
    <dxf>
      <font>
        <color theme="0"/>
      </font>
      <fill>
        <patternFill>
          <bgColor theme="4" tint="-0.24994659260841701"/>
        </patternFill>
      </fill>
    </dxf>
    <dxf>
      <fill>
        <gradientFill>
          <stop position="0">
            <color theme="0"/>
          </stop>
          <stop position="1">
            <color rgb="FFAFF4F7"/>
          </stop>
        </gradientFill>
      </fill>
    </dxf>
    <dxf>
      <font>
        <b/>
        <i val="0"/>
        <color theme="0"/>
      </font>
      <fill>
        <patternFill>
          <bgColor theme="4"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theme="0"/>
      </font>
      <fill>
        <patternFill>
          <bgColor theme="0"/>
        </patternFill>
      </fill>
    </dxf>
    <dxf>
      <font>
        <color rgb="FF008080"/>
      </font>
      <fill>
        <patternFill>
          <bgColor rgb="FF008080"/>
        </patternFill>
      </fill>
    </dxf>
    <dxf>
      <font>
        <b/>
        <i val="0"/>
        <color rgb="FF008080"/>
      </font>
      <fill>
        <patternFill>
          <bgColor theme="6" tint="0.79998168889431442"/>
        </patternFill>
      </fill>
    </dxf>
    <dxf>
      <font>
        <b/>
        <i val="0"/>
        <color theme="5"/>
      </font>
      <fill>
        <patternFill>
          <bgColor theme="9" tint="0.79998168889431442"/>
        </patternFill>
      </fill>
    </dxf>
    <dxf>
      <font>
        <b/>
        <i val="0"/>
        <color theme="9" tint="-0.24994659260841701"/>
      </font>
      <fill>
        <patternFill>
          <bgColor theme="9" tint="0.59996337778862885"/>
        </patternFill>
      </fill>
    </dxf>
    <dxf>
      <fill>
        <patternFill>
          <bgColor theme="0" tint="-0.14996795556505021"/>
        </patternFill>
      </fill>
    </dxf>
    <dxf>
      <fill>
        <patternFill>
          <bgColor theme="0" tint="-0.14996795556505021"/>
        </patternFill>
      </fill>
    </dxf>
    <dxf>
      <fill>
        <patternFill>
          <bgColor rgb="FFCAF8FA"/>
        </patternFill>
      </fill>
    </dxf>
    <dxf>
      <fill>
        <patternFill>
          <bgColor rgb="FFCAF8FA"/>
        </patternFill>
      </fill>
    </dxf>
    <dxf>
      <fill>
        <patternFill>
          <bgColor rgb="FFCAF8FA"/>
        </patternFill>
      </fill>
    </dxf>
    <dxf>
      <fill>
        <patternFill>
          <bgColor rgb="FFCAF8FA"/>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CAF8FA"/>
      <color rgb="FFFFCCFF"/>
      <color rgb="FFFF99CC"/>
      <color rgb="FFFFFFB7"/>
      <color rgb="FFFFFF8F"/>
      <color rgb="FFFFDF79"/>
      <color rgb="FFFAF8CA"/>
      <color rgb="FFF8FCFA"/>
      <color rgb="FFD5D5E3"/>
      <color rgb="FFBEBE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1.xml"/><Relationship Id="rId22" Type="http://schemas.openxmlformats.org/officeDocument/2006/relationships/worksheet" Target="worksheets/sheet21.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Coverage of distribution network</a:t>
            </a:r>
          </a:p>
        </c:rich>
      </c:tx>
      <c:layout>
        <c:manualLayout>
          <c:xMode val="edge"/>
          <c:yMode val="edge"/>
          <c:x val="0.40318753611267588"/>
          <c:y val="0"/>
        </c:manualLayout>
      </c:layout>
      <c:overlay val="1"/>
    </c:title>
    <c:autoTitleDeleted val="0"/>
    <c:plotArea>
      <c:layout>
        <c:manualLayout>
          <c:layoutTarget val="inner"/>
          <c:xMode val="edge"/>
          <c:yMode val="edge"/>
          <c:x val="0.13807214632692091"/>
          <c:y val="0.12861281303668767"/>
          <c:w val="0.81869126492820365"/>
          <c:h val="0.63190910124500665"/>
        </c:manualLayout>
      </c:layout>
      <c:barChart>
        <c:barDir val="bar"/>
        <c:grouping val="stacked"/>
        <c:varyColors val="0"/>
        <c:ser>
          <c:idx val="0"/>
          <c:order val="0"/>
          <c:invertIfNegative val="0"/>
          <c:dLbls>
            <c:dLbl>
              <c:idx val="0"/>
              <c:layout/>
              <c:tx>
                <c:rich>
                  <a:bodyPr/>
                  <a:lstStyle/>
                  <a:p>
                    <a:r>
                      <a:rPr lang="en-US"/>
                      <a:t>Served area</a:t>
                    </a:r>
                  </a:p>
                </c:rich>
              </c:tx>
              <c:dLblPos val="inBase"/>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4A9-411A-A561-801A177CFDAB}"/>
                </c:ext>
              </c:extLst>
            </c:dLbl>
            <c:dLbl>
              <c:idx val="1"/>
              <c:layout/>
              <c:tx>
                <c:rich>
                  <a:bodyPr/>
                  <a:lstStyle/>
                  <a:p>
                    <a:r>
                      <a:rPr lang="en-US"/>
                      <a:t>Inhabited area</a:t>
                    </a:r>
                  </a:p>
                </c:rich>
              </c:tx>
              <c:dLblPos val="inBase"/>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4A9-411A-A561-801A177CFDAB}"/>
                </c:ext>
              </c:extLst>
            </c:dLbl>
            <c:spPr>
              <a:noFill/>
              <a:ln>
                <a:noFill/>
              </a:ln>
              <a:effectLst/>
            </c:spPr>
            <c:txPr>
              <a:bodyPr/>
              <a:lstStyle/>
              <a:p>
                <a:pPr>
                  <a:defRPr lang="en-US"/>
                </a:pPr>
                <a:endParaRPr lang="en-US"/>
              </a:p>
            </c:txPr>
            <c:dLblPos val="inBase"/>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'WS calcu'!$C$852:$C$853</c:f>
              <c:strCache>
                <c:ptCount val="2"/>
                <c:pt idx="0">
                  <c:v>Distribution network</c:v>
                </c:pt>
                <c:pt idx="1">
                  <c:v>City area</c:v>
                </c:pt>
              </c:strCache>
            </c:strRef>
          </c:cat>
          <c:val>
            <c:numRef>
              <c:f>'WS calcu'!$D$852:$D$853</c:f>
              <c:numCache>
                <c:formatCode>_(* #,##0.0_);_(* \(#,##0.0\);_(* "-"??_);_(@_)</c:formatCode>
                <c:ptCount val="2"/>
                <c:pt idx="0">
                  <c:v>0</c:v>
                </c:pt>
                <c:pt idx="1">
                  <c:v>0</c:v>
                </c:pt>
              </c:numCache>
            </c:numRef>
          </c:val>
          <c:extLst xmlns:c16r2="http://schemas.microsoft.com/office/drawing/2015/06/chart">
            <c:ext xmlns:c16="http://schemas.microsoft.com/office/drawing/2014/chart" uri="{C3380CC4-5D6E-409C-BE32-E72D297353CC}">
              <c16:uniqueId val="{00000002-04A9-411A-A561-801A177CFDAB}"/>
            </c:ext>
          </c:extLst>
        </c:ser>
        <c:ser>
          <c:idx val="1"/>
          <c:order val="1"/>
          <c:spPr>
            <a:solidFill>
              <a:schemeClr val="bg1">
                <a:lumMod val="65000"/>
              </a:schemeClr>
            </a:solidFill>
          </c:spPr>
          <c:invertIfNegative val="0"/>
          <c:cat>
            <c:strRef>
              <c:f>'WS calcu'!$C$852:$C$853</c:f>
              <c:strCache>
                <c:ptCount val="2"/>
                <c:pt idx="0">
                  <c:v>Distribution network</c:v>
                </c:pt>
                <c:pt idx="1">
                  <c:v>City area</c:v>
                </c:pt>
              </c:strCache>
            </c:strRef>
          </c:cat>
          <c:val>
            <c:numRef>
              <c:f>'WS calcu'!$E$852:$E$853</c:f>
              <c:numCache>
                <c:formatCode>_(* #,##0.0_);_(* \(#,##0.0\);_(* "-"??_);_(@_)</c:formatCode>
                <c:ptCount val="2"/>
                <c:pt idx="0">
                  <c:v>0</c:v>
                </c:pt>
                <c:pt idx="1">
                  <c:v>0</c:v>
                </c:pt>
              </c:numCache>
            </c:numRef>
          </c:val>
          <c:extLst xmlns:c16r2="http://schemas.microsoft.com/office/drawing/2015/06/chart">
            <c:ext xmlns:c16="http://schemas.microsoft.com/office/drawing/2014/chart" uri="{C3380CC4-5D6E-409C-BE32-E72D297353CC}">
              <c16:uniqueId val="{00000003-04A9-411A-A561-801A177CFDAB}"/>
            </c:ext>
          </c:extLst>
        </c:ser>
        <c:dLbls>
          <c:showLegendKey val="0"/>
          <c:showVal val="0"/>
          <c:showCatName val="0"/>
          <c:showSerName val="0"/>
          <c:showPercent val="0"/>
          <c:showBubbleSize val="0"/>
        </c:dLbls>
        <c:gapWidth val="95"/>
        <c:overlap val="100"/>
        <c:axId val="561586176"/>
        <c:axId val="552261824"/>
      </c:barChart>
      <c:catAx>
        <c:axId val="561586176"/>
        <c:scaling>
          <c:orientation val="minMax"/>
        </c:scaling>
        <c:delete val="0"/>
        <c:axPos val="l"/>
        <c:numFmt formatCode="General" sourceLinked="0"/>
        <c:majorTickMark val="out"/>
        <c:minorTickMark val="none"/>
        <c:tickLblPos val="nextTo"/>
        <c:txPr>
          <a:bodyPr/>
          <a:lstStyle/>
          <a:p>
            <a:pPr>
              <a:defRPr lang="en-US" sz="1100"/>
            </a:pPr>
            <a:endParaRPr lang="en-US"/>
          </a:p>
        </c:txPr>
        <c:crossAx val="552261824"/>
        <c:crosses val="autoZero"/>
        <c:auto val="1"/>
        <c:lblAlgn val="ctr"/>
        <c:lblOffset val="100"/>
        <c:noMultiLvlLbl val="0"/>
      </c:catAx>
      <c:valAx>
        <c:axId val="552261824"/>
        <c:scaling>
          <c:orientation val="minMax"/>
        </c:scaling>
        <c:delete val="0"/>
        <c:axPos val="b"/>
        <c:majorGridlines/>
        <c:title>
          <c:tx>
            <c:rich>
              <a:bodyPr/>
              <a:lstStyle/>
              <a:p>
                <a:pPr>
                  <a:defRPr lang="en-US" sz="1100"/>
                </a:pPr>
                <a:r>
                  <a:rPr lang="en-US" sz="1100"/>
                  <a:t>Area (Sq. km)</a:t>
                </a:r>
              </a:p>
            </c:rich>
          </c:tx>
          <c:layout>
            <c:manualLayout>
              <c:xMode val="edge"/>
              <c:yMode val="edge"/>
              <c:x val="0.44317544564135675"/>
              <c:y val="0.90091475287438161"/>
            </c:manualLayout>
          </c:layout>
          <c:overlay val="0"/>
        </c:title>
        <c:numFmt formatCode="#,##0" sourceLinked="0"/>
        <c:majorTickMark val="out"/>
        <c:minorTickMark val="none"/>
        <c:tickLblPos val="nextTo"/>
        <c:txPr>
          <a:bodyPr/>
          <a:lstStyle/>
          <a:p>
            <a:pPr>
              <a:defRPr lang="en-US"/>
            </a:pPr>
            <a:endParaRPr lang="en-US"/>
          </a:p>
        </c:txPr>
        <c:crossAx val="561586176"/>
        <c:crosses val="autoZero"/>
        <c:crossBetween val="between"/>
      </c:valAx>
      <c:spPr>
        <a:solidFill>
          <a:sysClr val="window" lastClr="FFFFFF"/>
        </a:solidFill>
        <a:ln>
          <a:solidFill>
            <a:schemeClr val="tx1">
              <a:lumMod val="50000"/>
              <a:lumOff val="50000"/>
            </a:schemeClr>
          </a:solid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b="1" i="0" baseline="0"/>
              <a:t>Demand and collection of wastewater taxes and charges</a:t>
            </a:r>
          </a:p>
        </c:rich>
      </c:tx>
      <c:layout>
        <c:manualLayout>
          <c:xMode val="edge"/>
          <c:yMode val="edge"/>
          <c:x val="0.15599149756207498"/>
          <c:y val="5.5741555812659216E-3"/>
        </c:manualLayout>
      </c:layout>
      <c:overlay val="1"/>
    </c:title>
    <c:autoTitleDeleted val="0"/>
    <c:plotArea>
      <c:layout>
        <c:manualLayout>
          <c:layoutTarget val="inner"/>
          <c:xMode val="edge"/>
          <c:yMode val="edge"/>
          <c:x val="0.1504570337520284"/>
          <c:y val="0.14066930246684944"/>
          <c:w val="0.80864511950901585"/>
          <c:h val="0.67623504853466065"/>
        </c:manualLayout>
      </c:layout>
      <c:barChart>
        <c:barDir val="bar"/>
        <c:grouping val="stacked"/>
        <c:varyColors val="0"/>
        <c:ser>
          <c:idx val="0"/>
          <c:order val="0"/>
          <c:tx>
            <c:strRef>
              <c:f>'WW calcu'!$C$1146</c:f>
              <c:strCache>
                <c:ptCount val="1"/>
                <c:pt idx="0">
                  <c:v>Current</c:v>
                </c:pt>
              </c:strCache>
            </c:strRef>
          </c:tx>
          <c:invertIfNegative val="0"/>
          <c:dLbls>
            <c:spPr>
              <a:noFill/>
              <a:ln>
                <a:noFill/>
              </a:ln>
              <a:effectLst/>
            </c:spPr>
            <c:txPr>
              <a:bodyPr/>
              <a:lstStyle/>
              <a:p>
                <a:pPr>
                  <a:defRPr lang="en-US"/>
                </a:pPr>
                <a:endParaRPr lang="en-US"/>
              </a:p>
            </c:txPr>
            <c:dLblPos val="inBase"/>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'WW calcu'!$D$1145:$E$1145</c:f>
              <c:strCache>
                <c:ptCount val="2"/>
                <c:pt idx="0">
                  <c:v>Collected amount</c:v>
                </c:pt>
                <c:pt idx="1">
                  <c:v>Billed demand</c:v>
                </c:pt>
              </c:strCache>
            </c:strRef>
          </c:cat>
          <c:val>
            <c:numRef>
              <c:f>'WW calcu'!$D$1146:$E$1146</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0-A543-4543-8A50-DF4E77F3D8AF}"/>
            </c:ext>
          </c:extLst>
        </c:ser>
        <c:ser>
          <c:idx val="1"/>
          <c:order val="1"/>
          <c:tx>
            <c:strRef>
              <c:f>'WW calcu'!$C$1147</c:f>
              <c:strCache>
                <c:ptCount val="1"/>
                <c:pt idx="0">
                  <c:v>Arrear</c:v>
                </c:pt>
              </c:strCache>
            </c:strRef>
          </c:tx>
          <c:spPr>
            <a:solidFill>
              <a:schemeClr val="accent3"/>
            </a:solidFill>
          </c:spPr>
          <c:invertIfNegative val="0"/>
          <c:dLbls>
            <c:spPr>
              <a:noFill/>
              <a:ln>
                <a:noFill/>
              </a:ln>
              <a:effectLst/>
            </c:spPr>
            <c:txPr>
              <a:bodyPr anchor="t" anchorCtr="1"/>
              <a:lstStyle/>
              <a:p>
                <a:pPr>
                  <a:defRPr lang="en-US"/>
                </a:pPr>
                <a:endParaRPr lang="en-US"/>
              </a:p>
            </c:txPr>
            <c:dLblPos val="inBase"/>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'WW calcu'!$D$1145:$E$1145</c:f>
              <c:strCache>
                <c:ptCount val="2"/>
                <c:pt idx="0">
                  <c:v>Collected amount</c:v>
                </c:pt>
                <c:pt idx="1">
                  <c:v>Billed demand</c:v>
                </c:pt>
              </c:strCache>
            </c:strRef>
          </c:cat>
          <c:val>
            <c:numRef>
              <c:f>'WW calcu'!$D$1147:$E$1147</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1-A543-4543-8A50-DF4E77F3D8AF}"/>
            </c:ext>
          </c:extLst>
        </c:ser>
        <c:dLbls>
          <c:showLegendKey val="0"/>
          <c:showVal val="0"/>
          <c:showCatName val="0"/>
          <c:showSerName val="0"/>
          <c:showPercent val="0"/>
          <c:showBubbleSize val="0"/>
        </c:dLbls>
        <c:gapWidth val="60"/>
        <c:overlap val="100"/>
        <c:axId val="581827584"/>
        <c:axId val="40576704"/>
      </c:barChart>
      <c:catAx>
        <c:axId val="581827584"/>
        <c:scaling>
          <c:orientation val="minMax"/>
        </c:scaling>
        <c:delete val="0"/>
        <c:axPos val="l"/>
        <c:numFmt formatCode="General" sourceLinked="0"/>
        <c:majorTickMark val="out"/>
        <c:minorTickMark val="none"/>
        <c:tickLblPos val="nextTo"/>
        <c:txPr>
          <a:bodyPr/>
          <a:lstStyle/>
          <a:p>
            <a:pPr>
              <a:defRPr lang="en-US" sz="1100"/>
            </a:pPr>
            <a:endParaRPr lang="en-US"/>
          </a:p>
        </c:txPr>
        <c:crossAx val="40576704"/>
        <c:crosses val="autoZero"/>
        <c:auto val="1"/>
        <c:lblAlgn val="ctr"/>
        <c:lblOffset val="100"/>
        <c:noMultiLvlLbl val="0"/>
      </c:catAx>
      <c:valAx>
        <c:axId val="40576704"/>
        <c:scaling>
          <c:orientation val="minMax"/>
        </c:scaling>
        <c:delete val="0"/>
        <c:axPos val="b"/>
        <c:majorGridlines/>
        <c:title>
          <c:tx>
            <c:strRef>
              <c:f>'General info'!$E$43:$G$43</c:f>
              <c:strCache>
                <c:ptCount val="1"/>
                <c:pt idx="0">
                  <c:v>INR Lakhs</c:v>
                </c:pt>
              </c:strCache>
            </c:strRef>
          </c:tx>
          <c:overlay val="0"/>
          <c:txPr>
            <a:bodyPr/>
            <a:lstStyle/>
            <a:p>
              <a:pPr>
                <a:defRPr lang="en-US"/>
              </a:pPr>
              <a:endParaRPr lang="en-US"/>
            </a:p>
          </c:txPr>
        </c:title>
        <c:numFmt formatCode="_(* #,##0_);_(* \(#,##0\);_(* &quot;-&quot;??_);_(@_)" sourceLinked="1"/>
        <c:majorTickMark val="out"/>
        <c:minorTickMark val="none"/>
        <c:tickLblPos val="nextTo"/>
        <c:txPr>
          <a:bodyPr/>
          <a:lstStyle/>
          <a:p>
            <a:pPr>
              <a:defRPr lang="en-US"/>
            </a:pPr>
            <a:endParaRPr lang="en-US"/>
          </a:p>
        </c:txPr>
        <c:crossAx val="581827584"/>
        <c:crosses val="autoZero"/>
        <c:crossBetween val="between"/>
      </c:valAx>
      <c:spPr>
        <a:solidFill>
          <a:schemeClr val="bg1"/>
        </a:solidFill>
        <a:ln>
          <a:solidFill>
            <a:schemeClr val="tx1">
              <a:lumMod val="50000"/>
              <a:lumOff val="50000"/>
            </a:schemeClr>
          </a:solid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b="1" i="0" baseline="0"/>
              <a:t>Wastewater operating finances</a:t>
            </a:r>
            <a:endParaRPr lang="en-US" sz="1400"/>
          </a:p>
        </c:rich>
      </c:tx>
      <c:layout>
        <c:manualLayout>
          <c:xMode val="edge"/>
          <c:yMode val="edge"/>
          <c:x val="0.38343405564883881"/>
          <c:y val="0"/>
        </c:manualLayout>
      </c:layout>
      <c:overlay val="1"/>
    </c:title>
    <c:autoTitleDeleted val="0"/>
    <c:plotArea>
      <c:layout>
        <c:manualLayout>
          <c:layoutTarget val="inner"/>
          <c:xMode val="edge"/>
          <c:yMode val="edge"/>
          <c:x val="0.14026795462662744"/>
          <c:y val="0.13403056396919286"/>
          <c:w val="0.78960629921259862"/>
          <c:h val="0.66423243840424573"/>
        </c:manualLayout>
      </c:layout>
      <c:barChart>
        <c:barDir val="bar"/>
        <c:grouping val="stacked"/>
        <c:varyColors val="0"/>
        <c:ser>
          <c:idx val="0"/>
          <c:order val="0"/>
          <c:tx>
            <c:strRef>
              <c:f>'WW calcu'!$D$1149</c:f>
              <c:strCache>
                <c:ptCount val="1"/>
              </c:strCache>
            </c:strRef>
          </c:tx>
          <c:invertIfNegative val="0"/>
          <c:cat>
            <c:strRef>
              <c:f>'WW calcu'!$C$1150:$C$1151</c:f>
              <c:strCache>
                <c:ptCount val="2"/>
                <c:pt idx="0">
                  <c:v>Rev Exp</c:v>
                </c:pt>
                <c:pt idx="1">
                  <c:v>Rev income</c:v>
                </c:pt>
              </c:strCache>
            </c:strRef>
          </c:cat>
          <c:val>
            <c:numRef>
              <c:f>'WW calcu'!$D$1150:$D$1151</c:f>
              <c:numCache>
                <c:formatCode>General</c:formatCode>
                <c:ptCount val="2"/>
                <c:pt idx="0" formatCode="_(* #,##0.00_);_(* \(#,##0.00\);_(* &quot;-&quot;??_);_(@_)">
                  <c:v>108</c:v>
                </c:pt>
              </c:numCache>
            </c:numRef>
          </c:val>
          <c:extLst xmlns:c16r2="http://schemas.microsoft.com/office/drawing/2015/06/chart">
            <c:ext xmlns:c16="http://schemas.microsoft.com/office/drawing/2014/chart" uri="{C3380CC4-5D6E-409C-BE32-E72D297353CC}">
              <c16:uniqueId val="{00000000-A71C-4E78-A74E-92AEAD4C29BA}"/>
            </c:ext>
          </c:extLst>
        </c:ser>
        <c:ser>
          <c:idx val="5"/>
          <c:order val="1"/>
          <c:tx>
            <c:strRef>
              <c:f>'WW calcu'!$I$1149</c:f>
              <c:strCache>
                <c:ptCount val="1"/>
                <c:pt idx="0">
                  <c:v>Taxes &amp; charges</c:v>
                </c:pt>
              </c:strCache>
            </c:strRef>
          </c:tx>
          <c:invertIfNegative val="0"/>
          <c:cat>
            <c:strRef>
              <c:f>'WW calcu'!$C$1150:$C$1151</c:f>
              <c:strCache>
                <c:ptCount val="2"/>
                <c:pt idx="0">
                  <c:v>Rev Exp</c:v>
                </c:pt>
                <c:pt idx="1">
                  <c:v>Rev income</c:v>
                </c:pt>
              </c:strCache>
            </c:strRef>
          </c:cat>
          <c:val>
            <c:numRef>
              <c:f>'WW calcu'!$I$1150:$I$1151</c:f>
              <c:numCache>
                <c:formatCode>_(* #,##0.00_);_(* \(#,##0.00\);_(* "-"??_);_(@_)</c:formatCode>
                <c:ptCount val="2"/>
                <c:pt idx="1">
                  <c:v>0</c:v>
                </c:pt>
              </c:numCache>
            </c:numRef>
          </c:val>
          <c:extLst xmlns:c16r2="http://schemas.microsoft.com/office/drawing/2015/06/chart">
            <c:ext xmlns:c16="http://schemas.microsoft.com/office/drawing/2014/chart" uri="{C3380CC4-5D6E-409C-BE32-E72D297353CC}">
              <c16:uniqueId val="{00000005-A71C-4E78-A74E-92AEAD4C29BA}"/>
            </c:ext>
          </c:extLst>
        </c:ser>
        <c:ser>
          <c:idx val="7"/>
          <c:order val="2"/>
          <c:tx>
            <c:strRef>
              <c:f>'WW calcu'!$K$1149</c:f>
              <c:strCache>
                <c:ptCount val="1"/>
                <c:pt idx="0">
                  <c:v>Others</c:v>
                </c:pt>
              </c:strCache>
            </c:strRef>
          </c:tx>
          <c:invertIfNegative val="0"/>
          <c:cat>
            <c:strRef>
              <c:f>'WW calcu'!$C$1150:$C$1151</c:f>
              <c:strCache>
                <c:ptCount val="2"/>
                <c:pt idx="0">
                  <c:v>Rev Exp</c:v>
                </c:pt>
                <c:pt idx="1">
                  <c:v>Rev income</c:v>
                </c:pt>
              </c:strCache>
            </c:strRef>
          </c:cat>
          <c:val>
            <c:numRef>
              <c:f>'WW calcu'!$K$1150:$K$1151</c:f>
              <c:numCache>
                <c:formatCode>_(* #,##0.00_);_(* \(#,##0.00\);_(* "-"??_);_(@_)</c:formatCode>
                <c:ptCount val="2"/>
                <c:pt idx="1">
                  <c:v>0</c:v>
                </c:pt>
              </c:numCache>
            </c:numRef>
          </c:val>
          <c:extLst xmlns:c16r2="http://schemas.microsoft.com/office/drawing/2015/06/chart">
            <c:ext xmlns:c16="http://schemas.microsoft.com/office/drawing/2014/chart" uri="{C3380CC4-5D6E-409C-BE32-E72D297353CC}">
              <c16:uniqueId val="{00000007-A71C-4E78-A74E-92AEAD4C29BA}"/>
            </c:ext>
          </c:extLst>
        </c:ser>
        <c:dLbls>
          <c:showLegendKey val="0"/>
          <c:showVal val="0"/>
          <c:showCatName val="0"/>
          <c:showSerName val="0"/>
          <c:showPercent val="0"/>
          <c:showBubbleSize val="0"/>
        </c:dLbls>
        <c:gapWidth val="60"/>
        <c:overlap val="100"/>
        <c:axId val="40833024"/>
        <c:axId val="40579008"/>
      </c:barChart>
      <c:catAx>
        <c:axId val="40833024"/>
        <c:scaling>
          <c:orientation val="minMax"/>
        </c:scaling>
        <c:delete val="0"/>
        <c:axPos val="l"/>
        <c:numFmt formatCode="General" sourceLinked="0"/>
        <c:majorTickMark val="out"/>
        <c:minorTickMark val="none"/>
        <c:tickLblPos val="nextTo"/>
        <c:txPr>
          <a:bodyPr/>
          <a:lstStyle/>
          <a:p>
            <a:pPr>
              <a:defRPr lang="en-US" sz="1100"/>
            </a:pPr>
            <a:endParaRPr lang="en-US"/>
          </a:p>
        </c:txPr>
        <c:crossAx val="40579008"/>
        <c:crosses val="autoZero"/>
        <c:auto val="1"/>
        <c:lblAlgn val="ctr"/>
        <c:lblOffset val="100"/>
        <c:noMultiLvlLbl val="0"/>
      </c:catAx>
      <c:valAx>
        <c:axId val="40579008"/>
        <c:scaling>
          <c:orientation val="minMax"/>
        </c:scaling>
        <c:delete val="0"/>
        <c:axPos val="b"/>
        <c:majorGridlines/>
        <c:title>
          <c:tx>
            <c:strRef>
              <c:f>'General info'!$E$43:$G$43</c:f>
              <c:strCache>
                <c:ptCount val="1"/>
                <c:pt idx="0">
                  <c:v>INR Lakhs</c:v>
                </c:pt>
              </c:strCache>
            </c:strRef>
          </c:tx>
          <c:layout>
            <c:manualLayout>
              <c:xMode val="edge"/>
              <c:yMode val="edge"/>
              <c:x val="0.48738602340347775"/>
              <c:y val="0.89605810079097004"/>
            </c:manualLayout>
          </c:layout>
          <c:overlay val="0"/>
          <c:txPr>
            <a:bodyPr/>
            <a:lstStyle/>
            <a:p>
              <a:pPr>
                <a:defRPr lang="en-US"/>
              </a:pPr>
              <a:endParaRPr lang="en-US"/>
            </a:p>
          </c:txPr>
        </c:title>
        <c:numFmt formatCode="_(* #,##0_);_(* \(#,##0\);_(* &quot;-&quot;_);_(@_)" sourceLinked="0"/>
        <c:majorTickMark val="out"/>
        <c:minorTickMark val="none"/>
        <c:tickLblPos val="nextTo"/>
        <c:txPr>
          <a:bodyPr/>
          <a:lstStyle/>
          <a:p>
            <a:pPr>
              <a:defRPr lang="en-US"/>
            </a:pPr>
            <a:endParaRPr lang="en-US"/>
          </a:p>
        </c:txPr>
        <c:crossAx val="40833024"/>
        <c:crosses val="autoZero"/>
        <c:crossBetween val="between"/>
      </c:valAx>
      <c:spPr>
        <a:solidFill>
          <a:schemeClr val="bg1"/>
        </a:solidFill>
        <a:ln>
          <a:solidFill>
            <a:schemeClr val="tx1">
              <a:lumMod val="50000"/>
              <a:lumOff val="50000"/>
            </a:schemeClr>
          </a:solid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tx>
        <c:rich>
          <a:bodyPr/>
          <a:lstStyle/>
          <a:p>
            <a:pPr>
              <a:defRPr lang="en-GB"/>
            </a:pPr>
            <a:r>
              <a:rPr lang="en-US" sz="1600" b="1" i="0" baseline="0">
                <a:solidFill>
                  <a:sysClr val="windowText" lastClr="000000"/>
                </a:solidFill>
              </a:rPr>
              <a:t>Peer comparison of Key performance indicators</a:t>
            </a:r>
          </a:p>
        </c:rich>
      </c:tx>
      <c:layout>
        <c:manualLayout>
          <c:xMode val="edge"/>
          <c:yMode val="edge"/>
          <c:x val="0.27295174087631024"/>
          <c:y val="5.8516190669708583E-3"/>
        </c:manualLayout>
      </c:layout>
      <c:overlay val="0"/>
      <c:spPr>
        <a:solidFill>
          <a:schemeClr val="bg1">
            <a:lumMod val="50000"/>
          </a:schemeClr>
        </a:solidFill>
      </c:spPr>
    </c:title>
    <c:autoTitleDeleted val="0"/>
    <c:plotArea>
      <c:layout>
        <c:manualLayout>
          <c:layoutTarget val="inner"/>
          <c:xMode val="edge"/>
          <c:yMode val="edge"/>
          <c:x val="5.2738373349493134E-2"/>
          <c:y val="0.10092890997007611"/>
          <c:w val="0.93019081294014982"/>
          <c:h val="0.64724343818098795"/>
        </c:manualLayout>
      </c:layout>
      <c:barChart>
        <c:barDir val="col"/>
        <c:grouping val="clustered"/>
        <c:varyColors val="0"/>
        <c:ser>
          <c:idx val="0"/>
          <c:order val="0"/>
          <c:tx>
            <c:strRef>
              <c:f>Population!$D$188</c:f>
              <c:strCache>
                <c:ptCount val="1"/>
                <c:pt idx="0">
                  <c:v>Benchmark</c:v>
                </c:pt>
              </c:strCache>
            </c:strRef>
          </c:tx>
          <c:spPr>
            <a:solidFill>
              <a:schemeClr val="tx1">
                <a:lumMod val="75000"/>
                <a:lumOff val="25000"/>
              </a:schemeClr>
            </a:solidFill>
            <a:ln>
              <a:noFill/>
            </a:ln>
          </c:spPr>
          <c:invertIfNegative val="0"/>
          <c:cat>
            <c:strRef>
              <c:f>Population!$C$189:$C$197</c:f>
              <c:strCache>
                <c:ptCount val="9"/>
                <c:pt idx="0">
                  <c:v>Coverage of SW services in city</c:v>
                </c:pt>
                <c:pt idx="1">
                  <c:v>Coverage of SW services in slum</c:v>
                </c:pt>
                <c:pt idx="2">
                  <c:v>Collection eff. of SW</c:v>
                </c:pt>
                <c:pt idx="3">
                  <c:v>Segregation of SW</c:v>
                </c:pt>
                <c:pt idx="4">
                  <c:v>SW recovered </c:v>
                </c:pt>
                <c:pt idx="5">
                  <c:v>Scientific disposal of SW</c:v>
                </c:pt>
                <c:pt idx="6">
                  <c:v>Customer complaints SW</c:v>
                </c:pt>
                <c:pt idx="7">
                  <c:v>Collection eff. of SW charges</c:v>
                </c:pt>
                <c:pt idx="8">
                  <c:v>Cost recovery SW</c:v>
                </c:pt>
              </c:strCache>
            </c:strRef>
          </c:cat>
          <c:val>
            <c:numRef>
              <c:f>Population!$D$189:$D$197</c:f>
              <c:numCache>
                <c:formatCode>0</c:formatCode>
                <c:ptCount val="9"/>
                <c:pt idx="0">
                  <c:v>100</c:v>
                </c:pt>
                <c:pt idx="1">
                  <c:v>100</c:v>
                </c:pt>
                <c:pt idx="2">
                  <c:v>100</c:v>
                </c:pt>
                <c:pt idx="3">
                  <c:v>100</c:v>
                </c:pt>
                <c:pt idx="4">
                  <c:v>80</c:v>
                </c:pt>
                <c:pt idx="5">
                  <c:v>100</c:v>
                </c:pt>
                <c:pt idx="6">
                  <c:v>80</c:v>
                </c:pt>
                <c:pt idx="7">
                  <c:v>90</c:v>
                </c:pt>
                <c:pt idx="8">
                  <c:v>100</c:v>
                </c:pt>
              </c:numCache>
            </c:numRef>
          </c:val>
          <c:extLst xmlns:c16r2="http://schemas.microsoft.com/office/drawing/2015/06/chart">
            <c:ext xmlns:c16="http://schemas.microsoft.com/office/drawing/2014/chart" uri="{C3380CC4-5D6E-409C-BE32-E72D297353CC}">
              <c16:uniqueId val="{00000000-D429-435A-AE87-7749B929C4CD}"/>
            </c:ext>
          </c:extLst>
        </c:ser>
        <c:ser>
          <c:idx val="1"/>
          <c:order val="1"/>
          <c:tx>
            <c:strRef>
              <c:f>Population!$E$188</c:f>
              <c:strCache>
                <c:ptCount val="1"/>
                <c:pt idx="0">
                  <c:v>Province avg</c:v>
                </c:pt>
              </c:strCache>
            </c:strRef>
          </c:tx>
          <c:spPr>
            <a:solidFill>
              <a:schemeClr val="bg1">
                <a:lumMod val="50000"/>
              </a:schemeClr>
            </a:solidFill>
            <a:ln>
              <a:solidFill>
                <a:schemeClr val="bg1">
                  <a:lumMod val="75000"/>
                </a:schemeClr>
              </a:solidFill>
            </a:ln>
          </c:spPr>
          <c:invertIfNegative val="0"/>
          <c:cat>
            <c:strRef>
              <c:f>Population!$C$189:$C$197</c:f>
              <c:strCache>
                <c:ptCount val="9"/>
                <c:pt idx="0">
                  <c:v>Coverage of SW services in city</c:v>
                </c:pt>
                <c:pt idx="1">
                  <c:v>Coverage of SW services in slum</c:v>
                </c:pt>
                <c:pt idx="2">
                  <c:v>Collection eff. of SW</c:v>
                </c:pt>
                <c:pt idx="3">
                  <c:v>Segregation of SW</c:v>
                </c:pt>
                <c:pt idx="4">
                  <c:v>SW recovered </c:v>
                </c:pt>
                <c:pt idx="5">
                  <c:v>Scientific disposal of SW</c:v>
                </c:pt>
                <c:pt idx="6">
                  <c:v>Customer complaints SW</c:v>
                </c:pt>
                <c:pt idx="7">
                  <c:v>Collection eff. of SW charges</c:v>
                </c:pt>
                <c:pt idx="8">
                  <c:v>Cost recovery SW</c:v>
                </c:pt>
              </c:strCache>
            </c:strRef>
          </c:cat>
          <c:val>
            <c:numRef>
              <c:f>Population!$E$189:$E$197</c:f>
              <c:numCache>
                <c:formatCode>0</c:formatCode>
                <c:ptCount val="9"/>
                <c:pt idx="0">
                  <c:v>84</c:v>
                </c:pt>
                <c:pt idx="1">
                  <c:v>70</c:v>
                </c:pt>
                <c:pt idx="2">
                  <c:v>94</c:v>
                </c:pt>
                <c:pt idx="3">
                  <c:v>10</c:v>
                </c:pt>
                <c:pt idx="4">
                  <c:v>41</c:v>
                </c:pt>
                <c:pt idx="5">
                  <c:v>29</c:v>
                </c:pt>
                <c:pt idx="6">
                  <c:v>96</c:v>
                </c:pt>
                <c:pt idx="7">
                  <c:v>57</c:v>
                </c:pt>
                <c:pt idx="8">
                  <c:v>18</c:v>
                </c:pt>
              </c:numCache>
            </c:numRef>
          </c:val>
          <c:extLst xmlns:c16r2="http://schemas.microsoft.com/office/drawing/2015/06/chart">
            <c:ext xmlns:c16="http://schemas.microsoft.com/office/drawing/2014/chart" uri="{C3380CC4-5D6E-409C-BE32-E72D297353CC}">
              <c16:uniqueId val="{00000001-D429-435A-AE87-7749B929C4CD}"/>
            </c:ext>
          </c:extLst>
        </c:ser>
        <c:ser>
          <c:idx val="2"/>
          <c:order val="2"/>
          <c:tx>
            <c:strRef>
              <c:f>Population!$F$188</c:f>
              <c:strCache>
                <c:ptCount val="1"/>
                <c:pt idx="0">
                  <c:v>City 2</c:v>
                </c:pt>
              </c:strCache>
            </c:strRef>
          </c:tx>
          <c:spPr>
            <a:solidFill>
              <a:schemeClr val="bg1">
                <a:lumMod val="75000"/>
              </a:schemeClr>
            </a:solidFill>
            <a:ln>
              <a:noFill/>
            </a:ln>
          </c:spPr>
          <c:invertIfNegative val="0"/>
          <c:cat>
            <c:strRef>
              <c:f>Population!$C$189:$C$197</c:f>
              <c:strCache>
                <c:ptCount val="9"/>
                <c:pt idx="0">
                  <c:v>Coverage of SW services in city</c:v>
                </c:pt>
                <c:pt idx="1">
                  <c:v>Coverage of SW services in slum</c:v>
                </c:pt>
                <c:pt idx="2">
                  <c:v>Collection eff. of SW</c:v>
                </c:pt>
                <c:pt idx="3">
                  <c:v>Segregation of SW</c:v>
                </c:pt>
                <c:pt idx="4">
                  <c:v>SW recovered </c:v>
                </c:pt>
                <c:pt idx="5">
                  <c:v>Scientific disposal of SW</c:v>
                </c:pt>
                <c:pt idx="6">
                  <c:v>Customer complaints SW</c:v>
                </c:pt>
                <c:pt idx="7">
                  <c:v>Collection eff. of SW charges</c:v>
                </c:pt>
                <c:pt idx="8">
                  <c:v>Cost recovery SW</c:v>
                </c:pt>
              </c:strCache>
            </c:strRef>
          </c:cat>
          <c:val>
            <c:numRef>
              <c:f>Population!$F$189:$F$197</c:f>
              <c:numCache>
                <c:formatCode>0</c:formatCode>
                <c:ptCount val="9"/>
                <c:pt idx="0">
                  <c:v>81</c:v>
                </c:pt>
                <c:pt idx="1">
                  <c:v>75</c:v>
                </c:pt>
                <c:pt idx="2">
                  <c:v>92</c:v>
                </c:pt>
                <c:pt idx="3">
                  <c:v>10</c:v>
                </c:pt>
                <c:pt idx="4">
                  <c:v>33</c:v>
                </c:pt>
                <c:pt idx="5">
                  <c:v>0</c:v>
                </c:pt>
                <c:pt idx="6">
                  <c:v>95</c:v>
                </c:pt>
                <c:pt idx="7">
                  <c:v>65</c:v>
                </c:pt>
                <c:pt idx="8">
                  <c:v>16</c:v>
                </c:pt>
              </c:numCache>
            </c:numRef>
          </c:val>
          <c:extLst xmlns:c16r2="http://schemas.microsoft.com/office/drawing/2015/06/chart">
            <c:ext xmlns:c16="http://schemas.microsoft.com/office/drawing/2014/chart" uri="{C3380CC4-5D6E-409C-BE32-E72D297353CC}">
              <c16:uniqueId val="{00000002-D429-435A-AE87-7749B929C4CD}"/>
            </c:ext>
          </c:extLst>
        </c:ser>
        <c:ser>
          <c:idx val="3"/>
          <c:order val="3"/>
          <c:tx>
            <c:strRef>
              <c:f>Population!$G$188</c:f>
              <c:strCache>
                <c:ptCount val="1"/>
                <c:pt idx="0">
                  <c:v>Wai</c:v>
                </c:pt>
              </c:strCache>
            </c:strRef>
          </c:tx>
          <c:spPr>
            <a:solidFill>
              <a:schemeClr val="accent3"/>
            </a:solidFill>
            <a:ln>
              <a:noFill/>
            </a:ln>
          </c:spPr>
          <c:invertIfNegative val="0"/>
          <c:cat>
            <c:strRef>
              <c:f>Population!$C$189:$C$197</c:f>
              <c:strCache>
                <c:ptCount val="9"/>
                <c:pt idx="0">
                  <c:v>Coverage of SW services in city</c:v>
                </c:pt>
                <c:pt idx="1">
                  <c:v>Coverage of SW services in slum</c:v>
                </c:pt>
                <c:pt idx="2">
                  <c:v>Collection eff. of SW</c:v>
                </c:pt>
                <c:pt idx="3">
                  <c:v>Segregation of SW</c:v>
                </c:pt>
                <c:pt idx="4">
                  <c:v>SW recovered </c:v>
                </c:pt>
                <c:pt idx="5">
                  <c:v>Scientific disposal of SW</c:v>
                </c:pt>
                <c:pt idx="6">
                  <c:v>Customer complaints SW</c:v>
                </c:pt>
                <c:pt idx="7">
                  <c:v>Collection eff. of SW charges</c:v>
                </c:pt>
                <c:pt idx="8">
                  <c:v>Cost recovery SW</c:v>
                </c:pt>
              </c:strCache>
            </c:strRef>
          </c:cat>
          <c:val>
            <c:numRef>
              <c:f>Population!$G$189:$G$197</c:f>
              <c:numCache>
                <c:formatCode>0</c:formatCode>
                <c:ptCount val="9"/>
                <c:pt idx="0">
                  <c:v>0</c:v>
                </c:pt>
                <c:pt idx="1">
                  <c:v>0</c:v>
                </c:pt>
                <c:pt idx="2">
                  <c:v>0</c:v>
                </c:pt>
                <c:pt idx="3">
                  <c:v>0</c:v>
                </c:pt>
                <c:pt idx="4">
                  <c:v>0</c:v>
                </c:pt>
                <c:pt idx="5">
                  <c:v>0</c:v>
                </c:pt>
                <c:pt idx="6">
                  <c:v>96.739130434782609</c:v>
                </c:pt>
                <c:pt idx="7">
                  <c:v>0</c:v>
                </c:pt>
                <c:pt idx="8">
                  <c:v>0</c:v>
                </c:pt>
              </c:numCache>
            </c:numRef>
          </c:val>
          <c:extLst xmlns:c16r2="http://schemas.microsoft.com/office/drawing/2015/06/chart">
            <c:ext xmlns:c16="http://schemas.microsoft.com/office/drawing/2014/chart" uri="{C3380CC4-5D6E-409C-BE32-E72D297353CC}">
              <c16:uniqueId val="{00000003-D429-435A-AE87-7749B929C4CD}"/>
            </c:ext>
          </c:extLst>
        </c:ser>
        <c:dLbls>
          <c:showLegendKey val="0"/>
          <c:showVal val="0"/>
          <c:showCatName val="0"/>
          <c:showSerName val="0"/>
          <c:showPercent val="0"/>
          <c:showBubbleSize val="0"/>
        </c:dLbls>
        <c:gapWidth val="150"/>
        <c:axId val="40833536"/>
        <c:axId val="40581312"/>
      </c:barChart>
      <c:catAx>
        <c:axId val="40833536"/>
        <c:scaling>
          <c:orientation val="minMax"/>
        </c:scaling>
        <c:delete val="0"/>
        <c:axPos val="b"/>
        <c:majorGridlines/>
        <c:numFmt formatCode="General" sourceLinked="0"/>
        <c:majorTickMark val="out"/>
        <c:minorTickMark val="none"/>
        <c:tickLblPos val="nextTo"/>
        <c:spPr>
          <a:ln>
            <a:solidFill>
              <a:schemeClr val="bg1"/>
            </a:solidFill>
          </a:ln>
        </c:spPr>
        <c:txPr>
          <a:bodyPr rot="0" vert="horz"/>
          <a:lstStyle/>
          <a:p>
            <a:pPr>
              <a:defRPr lang="en-GB" sz="1100"/>
            </a:pPr>
            <a:endParaRPr lang="en-US"/>
          </a:p>
        </c:txPr>
        <c:crossAx val="40581312"/>
        <c:crosses val="autoZero"/>
        <c:auto val="1"/>
        <c:lblAlgn val="ctr"/>
        <c:lblOffset val="100"/>
        <c:noMultiLvlLbl val="0"/>
      </c:catAx>
      <c:valAx>
        <c:axId val="40581312"/>
        <c:scaling>
          <c:orientation val="minMax"/>
        </c:scaling>
        <c:delete val="0"/>
        <c:axPos val="l"/>
        <c:majorGridlines/>
        <c:numFmt formatCode="0" sourceLinked="1"/>
        <c:majorTickMark val="out"/>
        <c:minorTickMark val="none"/>
        <c:tickLblPos val="nextTo"/>
        <c:spPr>
          <a:ln>
            <a:solidFill>
              <a:schemeClr val="bg1"/>
            </a:solidFill>
          </a:ln>
        </c:spPr>
        <c:txPr>
          <a:bodyPr/>
          <a:lstStyle/>
          <a:p>
            <a:pPr>
              <a:defRPr lang="en-GB"/>
            </a:pPr>
            <a:endParaRPr lang="en-US"/>
          </a:p>
        </c:txPr>
        <c:crossAx val="40833536"/>
        <c:crosses val="autoZero"/>
        <c:crossBetween val="between"/>
      </c:valAx>
      <c:spPr>
        <a:solidFill>
          <a:sysClr val="window" lastClr="FFFFFF"/>
        </a:solidFill>
        <a:ln>
          <a:solidFill>
            <a:schemeClr val="bg1"/>
          </a:solidFill>
        </a:ln>
      </c:spPr>
    </c:plotArea>
    <c:legend>
      <c:legendPos val="b"/>
      <c:layout>
        <c:manualLayout>
          <c:xMode val="edge"/>
          <c:yMode val="edge"/>
          <c:x val="0.26180868355358372"/>
          <c:y val="0.91008262083268776"/>
          <c:w val="0.43068124941968788"/>
          <c:h val="8.991723306722571E-2"/>
        </c:manualLayout>
      </c:layout>
      <c:overlay val="0"/>
      <c:txPr>
        <a:bodyPr/>
        <a:lstStyle/>
        <a:p>
          <a:pPr>
            <a:defRPr lang="en-GB" sz="1200"/>
          </a:pPr>
          <a:endParaRPr lang="en-US"/>
        </a:p>
      </c:txPr>
    </c:legend>
    <c:plotVisOnly val="1"/>
    <c:dispBlanksAs val="gap"/>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Coverage</a:t>
            </a:r>
            <a:r>
              <a:rPr lang="en-US" sz="1400" baseline="0"/>
              <a:t> of solid waste collection </a:t>
            </a:r>
            <a:endParaRPr lang="en-US" sz="1400"/>
          </a:p>
        </c:rich>
      </c:tx>
      <c:layout>
        <c:manualLayout>
          <c:xMode val="edge"/>
          <c:yMode val="edge"/>
          <c:x val="0.40172719331391732"/>
          <c:y val="5.4054031047450195E-3"/>
        </c:manualLayout>
      </c:layout>
      <c:overlay val="1"/>
    </c:title>
    <c:autoTitleDeleted val="0"/>
    <c:plotArea>
      <c:layout>
        <c:manualLayout>
          <c:layoutTarget val="inner"/>
          <c:xMode val="edge"/>
          <c:yMode val="edge"/>
          <c:x val="0.10115212448086019"/>
          <c:y val="0.12711294866441852"/>
          <c:w val="0.84732332324811765"/>
          <c:h val="0.60604187867984782"/>
        </c:manualLayout>
      </c:layout>
      <c:barChart>
        <c:barDir val="bar"/>
        <c:grouping val="stacked"/>
        <c:varyColors val="0"/>
        <c:ser>
          <c:idx val="0"/>
          <c:order val="0"/>
          <c:tx>
            <c:strRef>
              <c:f>'MSW calcu'!$E$298</c:f>
              <c:strCache>
                <c:ptCount val="1"/>
                <c:pt idx="0">
                  <c:v>HHs dependent on doorstep SW collection</c:v>
                </c:pt>
              </c:strCache>
            </c:strRef>
          </c:tx>
          <c:invertIfNegative val="0"/>
          <c:cat>
            <c:strRef>
              <c:f>'MSW calcu'!$D$299:$D$300</c:f>
              <c:strCache>
                <c:ptCount val="2"/>
                <c:pt idx="0">
                  <c:v>City</c:v>
                </c:pt>
                <c:pt idx="1">
                  <c:v>Slums</c:v>
                </c:pt>
              </c:strCache>
            </c:strRef>
          </c:cat>
          <c:val>
            <c:numRef>
              <c:f>'MSW calcu'!$E$299:$E$300</c:f>
              <c:numCache>
                <c:formatCode>_(* #,##0_);_(* \(#,##0\);_(* "-"??_);_(@_)</c:formatCode>
                <c:ptCount val="2"/>
                <c:pt idx="0">
                  <c:v>9007</c:v>
                </c:pt>
                <c:pt idx="1">
                  <c:v>360</c:v>
                </c:pt>
              </c:numCache>
            </c:numRef>
          </c:val>
          <c:extLst xmlns:c16r2="http://schemas.microsoft.com/office/drawing/2015/06/chart">
            <c:ext xmlns:c16="http://schemas.microsoft.com/office/drawing/2014/chart" uri="{C3380CC4-5D6E-409C-BE32-E72D297353CC}">
              <c16:uniqueId val="{00000000-8062-4EAB-9BBF-F4040507E80A}"/>
            </c:ext>
          </c:extLst>
        </c:ser>
        <c:ser>
          <c:idx val="2"/>
          <c:order val="1"/>
          <c:tx>
            <c:strRef>
              <c:f>'MSW calcu'!$F$298</c:f>
              <c:strCache>
                <c:ptCount val="1"/>
                <c:pt idx="0">
                  <c:v>HHs dependent on secondary collection bins</c:v>
                </c:pt>
              </c:strCache>
            </c:strRef>
          </c:tx>
          <c:spPr>
            <a:solidFill>
              <a:srgbClr val="CE7674"/>
            </a:solidFill>
          </c:spPr>
          <c:invertIfNegative val="0"/>
          <c:cat>
            <c:strRef>
              <c:f>'MSW calcu'!$D$299:$D$300</c:f>
              <c:strCache>
                <c:ptCount val="2"/>
                <c:pt idx="0">
                  <c:v>City</c:v>
                </c:pt>
                <c:pt idx="1">
                  <c:v>Slums</c:v>
                </c:pt>
              </c:strCache>
            </c:strRef>
          </c:cat>
          <c:val>
            <c:numRef>
              <c:f>'MSW calcu'!$F$299:$F$300</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1-8062-4EAB-9BBF-F4040507E80A}"/>
            </c:ext>
          </c:extLst>
        </c:ser>
        <c:ser>
          <c:idx val="1"/>
          <c:order val="2"/>
          <c:tx>
            <c:strRef>
              <c:f>'MSW calcu'!$G$298</c:f>
              <c:strCache>
                <c:ptCount val="1"/>
                <c:pt idx="0">
                  <c:v>Gap</c:v>
                </c:pt>
              </c:strCache>
            </c:strRef>
          </c:tx>
          <c:spPr>
            <a:solidFill>
              <a:schemeClr val="bg1">
                <a:lumMod val="65000"/>
              </a:schemeClr>
            </a:solidFill>
            <a:ln>
              <a:noFill/>
            </a:ln>
          </c:spPr>
          <c:invertIfNegative val="0"/>
          <c:cat>
            <c:strRef>
              <c:f>'MSW calcu'!$D$299:$D$300</c:f>
              <c:strCache>
                <c:ptCount val="2"/>
                <c:pt idx="0">
                  <c:v>City</c:v>
                </c:pt>
                <c:pt idx="1">
                  <c:v>Slums</c:v>
                </c:pt>
              </c:strCache>
            </c:strRef>
          </c:cat>
          <c:val>
            <c:numRef>
              <c:f>'MSW calcu'!$G$299:$G$300</c:f>
              <c:numCache>
                <c:formatCode>_(* #,##0_);_(* \(#,##0\);_(* "-"??_);_(@_)</c:formatCode>
                <c:ptCount val="2"/>
                <c:pt idx="0">
                  <c:v>-9007</c:v>
                </c:pt>
                <c:pt idx="1">
                  <c:v>-360</c:v>
                </c:pt>
              </c:numCache>
            </c:numRef>
          </c:val>
          <c:extLst xmlns:c16r2="http://schemas.microsoft.com/office/drawing/2015/06/chart">
            <c:ext xmlns:c16="http://schemas.microsoft.com/office/drawing/2014/chart" uri="{C3380CC4-5D6E-409C-BE32-E72D297353CC}">
              <c16:uniqueId val="{00000002-8062-4EAB-9BBF-F4040507E80A}"/>
            </c:ext>
          </c:extLst>
        </c:ser>
        <c:dLbls>
          <c:showLegendKey val="0"/>
          <c:showVal val="0"/>
          <c:showCatName val="0"/>
          <c:showSerName val="0"/>
          <c:showPercent val="0"/>
          <c:showBubbleSize val="0"/>
        </c:dLbls>
        <c:gapWidth val="72"/>
        <c:overlap val="100"/>
        <c:axId val="40834560"/>
        <c:axId val="40821312"/>
      </c:barChart>
      <c:catAx>
        <c:axId val="40834560"/>
        <c:scaling>
          <c:orientation val="maxMin"/>
        </c:scaling>
        <c:delete val="0"/>
        <c:axPos val="l"/>
        <c:numFmt formatCode="General" sourceLinked="0"/>
        <c:majorTickMark val="out"/>
        <c:minorTickMark val="none"/>
        <c:tickLblPos val="nextTo"/>
        <c:txPr>
          <a:bodyPr/>
          <a:lstStyle/>
          <a:p>
            <a:pPr>
              <a:defRPr lang="en-US" sz="1100"/>
            </a:pPr>
            <a:endParaRPr lang="en-US"/>
          </a:p>
        </c:txPr>
        <c:crossAx val="40821312"/>
        <c:crosses val="autoZero"/>
        <c:auto val="1"/>
        <c:lblAlgn val="ctr"/>
        <c:lblOffset val="100"/>
        <c:noMultiLvlLbl val="0"/>
      </c:catAx>
      <c:valAx>
        <c:axId val="40821312"/>
        <c:scaling>
          <c:orientation val="minMax"/>
        </c:scaling>
        <c:delete val="0"/>
        <c:axPos val="t"/>
        <c:majorGridlines/>
        <c:numFmt formatCode="_(* #,##0_);_(* \(#,##0\);_(* &quot;-&quot;??_);_(@_)" sourceLinked="1"/>
        <c:majorTickMark val="out"/>
        <c:minorTickMark val="none"/>
        <c:tickLblPos val="high"/>
        <c:txPr>
          <a:bodyPr/>
          <a:lstStyle/>
          <a:p>
            <a:pPr>
              <a:defRPr lang="en-US"/>
            </a:pPr>
            <a:endParaRPr lang="en-US"/>
          </a:p>
        </c:txPr>
        <c:crossAx val="40834560"/>
        <c:crosses val="autoZero"/>
        <c:crossBetween val="between"/>
      </c:valAx>
      <c:spPr>
        <a:solidFill>
          <a:sysClr val="window" lastClr="FFFFFF"/>
        </a:solidFill>
        <a:ln>
          <a:solidFill>
            <a:schemeClr val="tx1">
              <a:lumMod val="50000"/>
              <a:lumOff val="50000"/>
            </a:schemeClr>
          </a:solidFill>
        </a:ln>
      </c:spPr>
    </c:plotArea>
    <c:legend>
      <c:legendPos val="b"/>
      <c:layout>
        <c:manualLayout>
          <c:xMode val="edge"/>
          <c:yMode val="edge"/>
          <c:x val="0.10602596792681533"/>
          <c:y val="0.89896365228191011"/>
          <c:w val="0.84788105355500565"/>
          <c:h val="0.10103634771809022"/>
        </c:manualLayout>
      </c:layout>
      <c:overlay val="0"/>
      <c:txPr>
        <a:bodyPr/>
        <a:lstStyle/>
        <a:p>
          <a:pPr>
            <a:defRPr lang="en-GB"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Demand and collection of water supply taxes</a:t>
            </a:r>
            <a:r>
              <a:rPr lang="en-US" sz="1400" baseline="0"/>
              <a:t> and charges</a:t>
            </a:r>
            <a:endParaRPr lang="en-US" sz="1400"/>
          </a:p>
        </c:rich>
      </c:tx>
      <c:layout>
        <c:manualLayout>
          <c:xMode val="edge"/>
          <c:yMode val="edge"/>
          <c:x val="0.17275810699347541"/>
          <c:y val="2.2680457300776911E-2"/>
        </c:manualLayout>
      </c:layout>
      <c:overlay val="1"/>
    </c:title>
    <c:autoTitleDeleted val="0"/>
    <c:plotArea>
      <c:layout>
        <c:manualLayout>
          <c:layoutTarget val="inner"/>
          <c:xMode val="edge"/>
          <c:yMode val="edge"/>
          <c:x val="0.16959663512875209"/>
          <c:y val="0.14950431343736531"/>
          <c:w val="0.79693309052013384"/>
          <c:h val="0.63474089579313453"/>
        </c:manualLayout>
      </c:layout>
      <c:barChart>
        <c:barDir val="bar"/>
        <c:grouping val="stacked"/>
        <c:varyColors val="0"/>
        <c:ser>
          <c:idx val="0"/>
          <c:order val="0"/>
          <c:tx>
            <c:strRef>
              <c:f>'WS calcu'!$C$884</c:f>
              <c:strCache>
                <c:ptCount val="1"/>
                <c:pt idx="0">
                  <c:v>Current</c:v>
                </c:pt>
              </c:strCache>
            </c:strRef>
          </c:tx>
          <c:invertIfNegative val="0"/>
          <c:dLbls>
            <c:spPr>
              <a:noFill/>
              <a:ln>
                <a:noFill/>
              </a:ln>
              <a:effectLst/>
            </c:spPr>
            <c:txPr>
              <a:bodyPr/>
              <a:lstStyle/>
              <a:p>
                <a:pPr>
                  <a:defRPr lang="en-US"/>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'WS calcu'!$D$883:$E$883</c:f>
              <c:strCache>
                <c:ptCount val="2"/>
                <c:pt idx="0">
                  <c:v>Collected amount</c:v>
                </c:pt>
                <c:pt idx="1">
                  <c:v>Billed demand</c:v>
                </c:pt>
              </c:strCache>
            </c:strRef>
          </c:cat>
          <c:val>
            <c:numRef>
              <c:f>'WS calcu'!$D$884:$E$884</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0-BF19-4E3C-B13A-1858A8CDDFD8}"/>
            </c:ext>
          </c:extLst>
        </c:ser>
        <c:ser>
          <c:idx val="1"/>
          <c:order val="1"/>
          <c:tx>
            <c:strRef>
              <c:f>'WS calcu'!$C$885</c:f>
              <c:strCache>
                <c:ptCount val="1"/>
                <c:pt idx="0">
                  <c:v>Arrear</c:v>
                </c:pt>
              </c:strCache>
            </c:strRef>
          </c:tx>
          <c:spPr>
            <a:solidFill>
              <a:schemeClr val="accent3"/>
            </a:solidFill>
          </c:spPr>
          <c:invertIfNegative val="0"/>
          <c:dLbls>
            <c:spPr>
              <a:noFill/>
              <a:ln>
                <a:noFill/>
              </a:ln>
              <a:effectLst/>
            </c:spPr>
            <c:txPr>
              <a:bodyPr/>
              <a:lstStyle/>
              <a:p>
                <a:pPr>
                  <a:defRPr lang="en-US"/>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'WS calcu'!$D$883:$E$883</c:f>
              <c:strCache>
                <c:ptCount val="2"/>
                <c:pt idx="0">
                  <c:v>Collected amount</c:v>
                </c:pt>
                <c:pt idx="1">
                  <c:v>Billed demand</c:v>
                </c:pt>
              </c:strCache>
            </c:strRef>
          </c:cat>
          <c:val>
            <c:numRef>
              <c:f>'WS calcu'!$D$885:$E$885</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1-BF19-4E3C-B13A-1858A8CDDFD8}"/>
            </c:ext>
          </c:extLst>
        </c:ser>
        <c:dLbls>
          <c:showLegendKey val="0"/>
          <c:showVal val="0"/>
          <c:showCatName val="0"/>
          <c:showSerName val="0"/>
          <c:showPercent val="0"/>
          <c:showBubbleSize val="0"/>
        </c:dLbls>
        <c:gapWidth val="40"/>
        <c:overlap val="100"/>
        <c:axId val="40835584"/>
        <c:axId val="40823616"/>
      </c:barChart>
      <c:catAx>
        <c:axId val="40835584"/>
        <c:scaling>
          <c:orientation val="minMax"/>
        </c:scaling>
        <c:delete val="0"/>
        <c:axPos val="l"/>
        <c:numFmt formatCode="General" sourceLinked="0"/>
        <c:majorTickMark val="out"/>
        <c:minorTickMark val="none"/>
        <c:tickLblPos val="nextTo"/>
        <c:txPr>
          <a:bodyPr/>
          <a:lstStyle/>
          <a:p>
            <a:pPr>
              <a:defRPr lang="en-US" sz="1100"/>
            </a:pPr>
            <a:endParaRPr lang="en-US"/>
          </a:p>
        </c:txPr>
        <c:crossAx val="40823616"/>
        <c:crosses val="autoZero"/>
        <c:auto val="1"/>
        <c:lblAlgn val="ctr"/>
        <c:lblOffset val="100"/>
        <c:noMultiLvlLbl val="0"/>
      </c:catAx>
      <c:valAx>
        <c:axId val="40823616"/>
        <c:scaling>
          <c:orientation val="minMax"/>
        </c:scaling>
        <c:delete val="0"/>
        <c:axPos val="b"/>
        <c:majorGridlines/>
        <c:title>
          <c:tx>
            <c:rich>
              <a:bodyPr/>
              <a:lstStyle/>
              <a:p>
                <a:pPr>
                  <a:defRPr lang="en-US" sz="1100"/>
                </a:pPr>
                <a:r>
                  <a:rPr lang="en-US" sz="1100"/>
                  <a:t>Rs. </a:t>
                </a:r>
                <a:r>
                  <a:rPr lang="en-US" sz="1100" baseline="0"/>
                  <a:t> Lakhs</a:t>
                </a:r>
                <a:endParaRPr lang="en-US" sz="1100"/>
              </a:p>
            </c:rich>
          </c:tx>
          <c:layout/>
          <c:overlay val="0"/>
        </c:title>
        <c:numFmt formatCode="_(* #,##0_);_(* \(#,##0\);_(* &quot;-&quot;??_);_(@_)" sourceLinked="1"/>
        <c:majorTickMark val="out"/>
        <c:minorTickMark val="none"/>
        <c:tickLblPos val="nextTo"/>
        <c:txPr>
          <a:bodyPr/>
          <a:lstStyle/>
          <a:p>
            <a:pPr>
              <a:defRPr lang="en-US"/>
            </a:pPr>
            <a:endParaRPr lang="en-US"/>
          </a:p>
        </c:txPr>
        <c:crossAx val="40835584"/>
        <c:crosses val="autoZero"/>
        <c:crossBetween val="between"/>
      </c:valAx>
      <c:spPr>
        <a:solidFill>
          <a:sysClr val="window" lastClr="FFFFFF"/>
        </a:solidFill>
        <a:ln>
          <a:solidFill>
            <a:schemeClr val="tx1">
              <a:lumMod val="50000"/>
              <a:lumOff val="50000"/>
            </a:schemeClr>
          </a:solid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pPr>
            <a:r>
              <a:rPr lang="en-US" sz="1400"/>
              <a:t>Water</a:t>
            </a:r>
            <a:r>
              <a:rPr lang="en-US" sz="1400" baseline="0"/>
              <a:t> supply operating finances</a:t>
            </a:r>
            <a:endParaRPr lang="en-US" sz="1400"/>
          </a:p>
        </c:rich>
      </c:tx>
      <c:layout>
        <c:manualLayout>
          <c:xMode val="edge"/>
          <c:yMode val="edge"/>
          <c:x val="0.34247398242770088"/>
          <c:y val="5.6224892486494045E-3"/>
        </c:manualLayout>
      </c:layout>
      <c:overlay val="1"/>
    </c:title>
    <c:autoTitleDeleted val="0"/>
    <c:plotArea>
      <c:layout>
        <c:manualLayout>
          <c:layoutTarget val="inner"/>
          <c:xMode val="edge"/>
          <c:yMode val="edge"/>
          <c:x val="0.10934636275468072"/>
          <c:y val="0.11637053195126019"/>
          <c:w val="0.85502974134520915"/>
          <c:h val="0.52717880880242207"/>
        </c:manualLayout>
      </c:layout>
      <c:barChart>
        <c:barDir val="bar"/>
        <c:grouping val="stacked"/>
        <c:varyColors val="0"/>
        <c:ser>
          <c:idx val="0"/>
          <c:order val="0"/>
          <c:tx>
            <c:strRef>
              <c:f>'WS calcu'!$D$887</c:f>
              <c:strCache>
                <c:ptCount val="1"/>
                <c:pt idx="0">
                  <c:v>Admin.</c:v>
                </c:pt>
              </c:strCache>
            </c:strRef>
          </c:tx>
          <c:invertIfNegative val="0"/>
          <c:cat>
            <c:strRef>
              <c:f>'WS calcu'!$C$888:$C$889</c:f>
              <c:strCache>
                <c:ptCount val="2"/>
                <c:pt idx="0">
                  <c:v>Rev Exp</c:v>
                </c:pt>
                <c:pt idx="1">
                  <c:v>Rev income</c:v>
                </c:pt>
              </c:strCache>
            </c:strRef>
          </c:cat>
          <c:val>
            <c:numRef>
              <c:f>'WS calcu'!$D$888:$D$889</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0-A553-411A-8E09-7CA79EA17965}"/>
            </c:ext>
          </c:extLst>
        </c:ser>
        <c:ser>
          <c:idx val="1"/>
          <c:order val="1"/>
          <c:tx>
            <c:strRef>
              <c:f>'WS calcu'!$E$887</c:f>
              <c:strCache>
                <c:ptCount val="1"/>
                <c:pt idx="0">
                  <c:v>Bulk water</c:v>
                </c:pt>
              </c:strCache>
            </c:strRef>
          </c:tx>
          <c:invertIfNegative val="0"/>
          <c:cat>
            <c:strRef>
              <c:f>'WS calcu'!$C$888:$C$889</c:f>
              <c:strCache>
                <c:ptCount val="2"/>
                <c:pt idx="0">
                  <c:v>Rev Exp</c:v>
                </c:pt>
                <c:pt idx="1">
                  <c:v>Rev income</c:v>
                </c:pt>
              </c:strCache>
            </c:strRef>
          </c:cat>
          <c:val>
            <c:numRef>
              <c:f>'WS calcu'!$E$888:$E$889</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1-A553-411A-8E09-7CA79EA17965}"/>
            </c:ext>
          </c:extLst>
        </c:ser>
        <c:ser>
          <c:idx val="2"/>
          <c:order val="2"/>
          <c:tx>
            <c:strRef>
              <c:f>'WS calcu'!$F$887</c:f>
              <c:strCache>
                <c:ptCount val="1"/>
                <c:pt idx="0">
                  <c:v>Energy</c:v>
                </c:pt>
              </c:strCache>
            </c:strRef>
          </c:tx>
          <c:invertIfNegative val="0"/>
          <c:cat>
            <c:strRef>
              <c:f>'WS calcu'!$C$888:$C$889</c:f>
              <c:strCache>
                <c:ptCount val="2"/>
                <c:pt idx="0">
                  <c:v>Rev Exp</c:v>
                </c:pt>
                <c:pt idx="1">
                  <c:v>Rev income</c:v>
                </c:pt>
              </c:strCache>
            </c:strRef>
          </c:cat>
          <c:val>
            <c:numRef>
              <c:f>'WS calcu'!$F$888:$F$889</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2-A553-411A-8E09-7CA79EA17965}"/>
            </c:ext>
          </c:extLst>
        </c:ser>
        <c:ser>
          <c:idx val="3"/>
          <c:order val="3"/>
          <c:tx>
            <c:strRef>
              <c:f>'WS calcu'!$G$887</c:f>
              <c:strCache>
                <c:ptCount val="1"/>
                <c:pt idx="0">
                  <c:v>O&amp;M</c:v>
                </c:pt>
              </c:strCache>
            </c:strRef>
          </c:tx>
          <c:invertIfNegative val="0"/>
          <c:cat>
            <c:strRef>
              <c:f>'WS calcu'!$C$888:$C$889</c:f>
              <c:strCache>
                <c:ptCount val="2"/>
                <c:pt idx="0">
                  <c:v>Rev Exp</c:v>
                </c:pt>
                <c:pt idx="1">
                  <c:v>Rev income</c:v>
                </c:pt>
              </c:strCache>
            </c:strRef>
          </c:cat>
          <c:val>
            <c:numRef>
              <c:f>'WS calcu'!$G$888:$G$889</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3-A553-411A-8E09-7CA79EA17965}"/>
            </c:ext>
          </c:extLst>
        </c:ser>
        <c:ser>
          <c:idx val="4"/>
          <c:order val="4"/>
          <c:tx>
            <c:strRef>
              <c:f>'WS calcu'!$H$887</c:f>
              <c:strCache>
                <c:ptCount val="1"/>
                <c:pt idx="0">
                  <c:v>Int. payment</c:v>
                </c:pt>
              </c:strCache>
            </c:strRef>
          </c:tx>
          <c:invertIfNegative val="0"/>
          <c:cat>
            <c:strRef>
              <c:f>'WS calcu'!$C$888:$C$889</c:f>
              <c:strCache>
                <c:ptCount val="2"/>
                <c:pt idx="0">
                  <c:v>Rev Exp</c:v>
                </c:pt>
                <c:pt idx="1">
                  <c:v>Rev income</c:v>
                </c:pt>
              </c:strCache>
            </c:strRef>
          </c:cat>
          <c:val>
            <c:numRef>
              <c:f>'WS calcu'!$H$888:$H$889</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4-A553-411A-8E09-7CA79EA17965}"/>
            </c:ext>
          </c:extLst>
        </c:ser>
        <c:ser>
          <c:idx val="5"/>
          <c:order val="5"/>
          <c:tx>
            <c:strRef>
              <c:f>'WS calcu'!$I$887</c:f>
              <c:strCache>
                <c:ptCount val="1"/>
                <c:pt idx="0">
                  <c:v>Misc.</c:v>
                </c:pt>
              </c:strCache>
            </c:strRef>
          </c:tx>
          <c:invertIfNegative val="0"/>
          <c:cat>
            <c:strRef>
              <c:f>'WS calcu'!$C$888:$C$889</c:f>
              <c:strCache>
                <c:ptCount val="2"/>
                <c:pt idx="0">
                  <c:v>Rev Exp</c:v>
                </c:pt>
                <c:pt idx="1">
                  <c:v>Rev income</c:v>
                </c:pt>
              </c:strCache>
            </c:strRef>
          </c:cat>
          <c:val>
            <c:numRef>
              <c:f>'WS calcu'!$I$888:$I$889</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5-A553-411A-8E09-7CA79EA17965}"/>
            </c:ext>
          </c:extLst>
        </c:ser>
        <c:ser>
          <c:idx val="6"/>
          <c:order val="6"/>
          <c:tx>
            <c:strRef>
              <c:f>'WS calcu'!$J$887</c:f>
              <c:strCache>
                <c:ptCount val="1"/>
                <c:pt idx="0">
                  <c:v>Taxes &amp; charges</c:v>
                </c:pt>
              </c:strCache>
            </c:strRef>
          </c:tx>
          <c:invertIfNegative val="0"/>
          <c:cat>
            <c:strRef>
              <c:f>'WS calcu'!$C$888:$C$889</c:f>
              <c:strCache>
                <c:ptCount val="2"/>
                <c:pt idx="0">
                  <c:v>Rev Exp</c:v>
                </c:pt>
                <c:pt idx="1">
                  <c:v>Rev income</c:v>
                </c:pt>
              </c:strCache>
            </c:strRef>
          </c:cat>
          <c:val>
            <c:numRef>
              <c:f>'WS calcu'!$J$888:$J$889</c:f>
              <c:numCache>
                <c:formatCode>_(* #,##0.00_);_(* \(#,##0.00\);_(* "-"??_);_(@_)</c:formatCode>
                <c:ptCount val="2"/>
                <c:pt idx="1">
                  <c:v>0</c:v>
                </c:pt>
              </c:numCache>
            </c:numRef>
          </c:val>
          <c:extLst xmlns:c16r2="http://schemas.microsoft.com/office/drawing/2015/06/chart">
            <c:ext xmlns:c16="http://schemas.microsoft.com/office/drawing/2014/chart" uri="{C3380CC4-5D6E-409C-BE32-E72D297353CC}">
              <c16:uniqueId val="{00000006-A553-411A-8E09-7CA79EA17965}"/>
            </c:ext>
          </c:extLst>
        </c:ser>
        <c:ser>
          <c:idx val="7"/>
          <c:order val="7"/>
          <c:tx>
            <c:strRef>
              <c:f>'WS calcu'!$K$887</c:f>
              <c:strCache>
                <c:ptCount val="1"/>
                <c:pt idx="0">
                  <c:v>Grants</c:v>
                </c:pt>
              </c:strCache>
            </c:strRef>
          </c:tx>
          <c:invertIfNegative val="0"/>
          <c:cat>
            <c:strRef>
              <c:f>'WS calcu'!$C$888:$C$889</c:f>
              <c:strCache>
                <c:ptCount val="2"/>
                <c:pt idx="0">
                  <c:v>Rev Exp</c:v>
                </c:pt>
                <c:pt idx="1">
                  <c:v>Rev income</c:v>
                </c:pt>
              </c:strCache>
            </c:strRef>
          </c:cat>
          <c:val>
            <c:numRef>
              <c:f>'WS calcu'!$K$888:$K$889</c:f>
              <c:numCache>
                <c:formatCode>_(* #,##0.00_);_(* \(#,##0.00\);_(* "-"??_);_(@_)</c:formatCode>
                <c:ptCount val="2"/>
                <c:pt idx="1">
                  <c:v>0</c:v>
                </c:pt>
              </c:numCache>
            </c:numRef>
          </c:val>
          <c:extLst xmlns:c16r2="http://schemas.microsoft.com/office/drawing/2015/06/chart">
            <c:ext xmlns:c16="http://schemas.microsoft.com/office/drawing/2014/chart" uri="{C3380CC4-5D6E-409C-BE32-E72D297353CC}">
              <c16:uniqueId val="{00000007-A553-411A-8E09-7CA79EA17965}"/>
            </c:ext>
          </c:extLst>
        </c:ser>
        <c:ser>
          <c:idx val="8"/>
          <c:order val="8"/>
          <c:tx>
            <c:strRef>
              <c:f>'WS calcu'!$L$887</c:f>
              <c:strCache>
                <c:ptCount val="1"/>
                <c:pt idx="0">
                  <c:v>Others</c:v>
                </c:pt>
              </c:strCache>
            </c:strRef>
          </c:tx>
          <c:spPr>
            <a:solidFill>
              <a:schemeClr val="accent3">
                <a:lumMod val="40000"/>
                <a:lumOff val="60000"/>
              </a:schemeClr>
            </a:solidFill>
          </c:spPr>
          <c:invertIfNegative val="0"/>
          <c:cat>
            <c:strRef>
              <c:f>'WS calcu'!$C$888:$C$889</c:f>
              <c:strCache>
                <c:ptCount val="2"/>
                <c:pt idx="0">
                  <c:v>Rev Exp</c:v>
                </c:pt>
                <c:pt idx="1">
                  <c:v>Rev income</c:v>
                </c:pt>
              </c:strCache>
            </c:strRef>
          </c:cat>
          <c:val>
            <c:numRef>
              <c:f>'WS calcu'!$L$888:$L$889</c:f>
              <c:numCache>
                <c:formatCode>_(* #,##0.00_);_(* \(#,##0.00\);_(* "-"??_);_(@_)</c:formatCode>
                <c:ptCount val="2"/>
                <c:pt idx="1">
                  <c:v>0</c:v>
                </c:pt>
              </c:numCache>
            </c:numRef>
          </c:val>
          <c:extLst xmlns:c16r2="http://schemas.microsoft.com/office/drawing/2015/06/chart">
            <c:ext xmlns:c16="http://schemas.microsoft.com/office/drawing/2014/chart" uri="{C3380CC4-5D6E-409C-BE32-E72D297353CC}">
              <c16:uniqueId val="{00000008-A553-411A-8E09-7CA79EA17965}"/>
            </c:ext>
          </c:extLst>
        </c:ser>
        <c:dLbls>
          <c:showLegendKey val="0"/>
          <c:showVal val="0"/>
          <c:showCatName val="0"/>
          <c:showSerName val="0"/>
          <c:showPercent val="0"/>
          <c:showBubbleSize val="0"/>
        </c:dLbls>
        <c:gapWidth val="40"/>
        <c:overlap val="100"/>
        <c:axId val="581828096"/>
        <c:axId val="40825920"/>
      </c:barChart>
      <c:catAx>
        <c:axId val="581828096"/>
        <c:scaling>
          <c:orientation val="minMax"/>
        </c:scaling>
        <c:delete val="0"/>
        <c:axPos val="l"/>
        <c:numFmt formatCode="General" sourceLinked="0"/>
        <c:majorTickMark val="out"/>
        <c:minorTickMark val="none"/>
        <c:tickLblPos val="nextTo"/>
        <c:txPr>
          <a:bodyPr/>
          <a:lstStyle/>
          <a:p>
            <a:pPr>
              <a:defRPr lang="en-US" sz="1100"/>
            </a:pPr>
            <a:endParaRPr lang="en-US"/>
          </a:p>
        </c:txPr>
        <c:crossAx val="40825920"/>
        <c:crosses val="autoZero"/>
        <c:auto val="1"/>
        <c:lblAlgn val="ctr"/>
        <c:lblOffset val="100"/>
        <c:noMultiLvlLbl val="0"/>
      </c:catAx>
      <c:valAx>
        <c:axId val="40825920"/>
        <c:scaling>
          <c:orientation val="minMax"/>
        </c:scaling>
        <c:delete val="0"/>
        <c:axPos val="b"/>
        <c:majorGridlines/>
        <c:title>
          <c:tx>
            <c:rich>
              <a:bodyPr/>
              <a:lstStyle/>
              <a:p>
                <a:pPr>
                  <a:defRPr lang="en-US"/>
                </a:pPr>
                <a:r>
                  <a:rPr lang="en-US"/>
                  <a:t>Rs. Lakhs</a:t>
                </a:r>
              </a:p>
            </c:rich>
          </c:tx>
          <c:layout/>
          <c:overlay val="0"/>
        </c:title>
        <c:numFmt formatCode="_(* #,##0_);_(* \(#,##0\);_(* &quot;-&quot;_);_(@_)" sourceLinked="0"/>
        <c:majorTickMark val="out"/>
        <c:minorTickMark val="none"/>
        <c:tickLblPos val="nextTo"/>
        <c:txPr>
          <a:bodyPr/>
          <a:lstStyle/>
          <a:p>
            <a:pPr>
              <a:defRPr lang="en-US"/>
            </a:pPr>
            <a:endParaRPr lang="en-US"/>
          </a:p>
        </c:txPr>
        <c:crossAx val="581828096"/>
        <c:crosses val="autoZero"/>
        <c:crossBetween val="between"/>
      </c:valAx>
      <c:spPr>
        <a:solidFill>
          <a:sysClr val="window" lastClr="FFFFFF"/>
        </a:solidFill>
        <a:ln>
          <a:solidFill>
            <a:schemeClr val="tx1">
              <a:lumMod val="50000"/>
              <a:lumOff val="50000"/>
            </a:schemeClr>
          </a:solidFill>
        </a:ln>
      </c:spPr>
    </c:plotArea>
    <c:legend>
      <c:legendPos val="b"/>
      <c:layout>
        <c:manualLayout>
          <c:xMode val="edge"/>
          <c:yMode val="edge"/>
          <c:x val="0"/>
          <c:y val="0.85980876453103572"/>
          <c:w val="1"/>
          <c:h val="0.12737860071737653"/>
        </c:manualLayout>
      </c:layout>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lang="en-US" sz="1600"/>
            </a:pPr>
            <a:r>
              <a:rPr lang="en-US" sz="1400"/>
              <a:t>Breakup</a:t>
            </a:r>
            <a:r>
              <a:rPr lang="en-US" sz="1400" baseline="0"/>
              <a:t> of Non revenue water </a:t>
            </a:r>
            <a:r>
              <a:rPr lang="en-US" sz="1100" baseline="0"/>
              <a:t>(MLD)</a:t>
            </a:r>
            <a:endParaRPr lang="en-US" sz="1100"/>
          </a:p>
        </c:rich>
      </c:tx>
      <c:layout>
        <c:manualLayout>
          <c:xMode val="edge"/>
          <c:yMode val="edge"/>
          <c:x val="0.4189426356847214"/>
          <c:y val="1.6180570065693064E-2"/>
        </c:manualLayout>
      </c:layout>
      <c:overlay val="1"/>
    </c:title>
    <c:autoTitleDeleted val="0"/>
    <c:plotArea>
      <c:layout>
        <c:manualLayout>
          <c:layoutTarget val="inner"/>
          <c:xMode val="edge"/>
          <c:yMode val="edge"/>
          <c:x val="0.10950441420365579"/>
          <c:y val="0.13573077569907707"/>
          <c:w val="0.86706903146465863"/>
          <c:h val="0.4984504091146354"/>
        </c:manualLayout>
      </c:layout>
      <c:barChart>
        <c:barDir val="bar"/>
        <c:grouping val="stacked"/>
        <c:varyColors val="0"/>
        <c:ser>
          <c:idx val="0"/>
          <c:order val="0"/>
          <c:tx>
            <c:strRef>
              <c:f>'WS calcu'!$D$872:$D$873</c:f>
              <c:strCache>
                <c:ptCount val="1"/>
              </c:strCache>
            </c:strRef>
          </c:tx>
          <c:invertIfNegative val="0"/>
          <c:dPt>
            <c:idx val="1"/>
            <c:invertIfNegative val="0"/>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1-D108-4AB6-9FB9-3946F8076A07}"/>
              </c:ext>
            </c:extLst>
          </c:dPt>
          <c:cat>
            <c:strRef>
              <c:f>'WS calcu'!$C$874:$C$875</c:f>
              <c:strCache>
                <c:ptCount val="2"/>
                <c:pt idx="0">
                  <c:v>Non-revenue water</c:v>
                </c:pt>
                <c:pt idx="1">
                  <c:v>Revenue water</c:v>
                </c:pt>
              </c:strCache>
            </c:strRef>
          </c:cat>
          <c:val>
            <c:numRef>
              <c:f>'WS calcu'!$D$874:$D$875</c:f>
              <c:numCache>
                <c:formatCode>_(* #,##0.00_);_(* \(#,##0.00\);_(* "-"??_);_(@_)</c:formatCode>
                <c:ptCount val="2"/>
                <c:pt idx="1">
                  <c:v>0</c:v>
                </c:pt>
              </c:numCache>
            </c:numRef>
          </c:val>
          <c:extLst xmlns:c16r2="http://schemas.microsoft.com/office/drawing/2015/06/chart">
            <c:ext xmlns:c16="http://schemas.microsoft.com/office/drawing/2014/chart" uri="{C3380CC4-5D6E-409C-BE32-E72D297353CC}">
              <c16:uniqueId val="{00000002-D108-4AB6-9FB9-3946F8076A07}"/>
            </c:ext>
          </c:extLst>
        </c:ser>
        <c:ser>
          <c:idx val="1"/>
          <c:order val="1"/>
          <c:tx>
            <c:strRef>
              <c:f>'WS calcu'!$E$872:$E$873</c:f>
              <c:strCache>
                <c:ptCount val="1"/>
                <c:pt idx="0">
                  <c:v>Apparent losses Transmission loss</c:v>
                </c:pt>
              </c:strCache>
            </c:strRef>
          </c:tx>
          <c:spPr>
            <a:solidFill>
              <a:schemeClr val="accent2">
                <a:lumMod val="50000"/>
              </a:schemeClr>
            </a:solidFill>
          </c:spPr>
          <c:invertIfNegative val="0"/>
          <c:cat>
            <c:strRef>
              <c:f>'WS calcu'!$C$874:$C$875</c:f>
              <c:strCache>
                <c:ptCount val="2"/>
                <c:pt idx="0">
                  <c:v>Non-revenue water</c:v>
                </c:pt>
                <c:pt idx="1">
                  <c:v>Revenue water</c:v>
                </c:pt>
              </c:strCache>
            </c:strRef>
          </c:cat>
          <c:val>
            <c:numRef>
              <c:f>'WS calcu'!$E$874:$E$875</c:f>
              <c:numCache>
                <c:formatCode>_(* #,##0.0_);_(* \(#,##0.0\);_(* "-"??_);_(@_)</c:formatCode>
                <c:ptCount val="2"/>
                <c:pt idx="0">
                  <c:v>0</c:v>
                </c:pt>
              </c:numCache>
            </c:numRef>
          </c:val>
          <c:extLst xmlns:c16r2="http://schemas.microsoft.com/office/drawing/2015/06/chart">
            <c:ext xmlns:c16="http://schemas.microsoft.com/office/drawing/2014/chart" uri="{C3380CC4-5D6E-409C-BE32-E72D297353CC}">
              <c16:uniqueId val="{00000003-D108-4AB6-9FB9-3946F8076A07}"/>
            </c:ext>
          </c:extLst>
        </c:ser>
        <c:ser>
          <c:idx val="2"/>
          <c:order val="2"/>
          <c:tx>
            <c:strRef>
              <c:f>'WS calcu'!$F$872:$F$873</c:f>
              <c:strCache>
                <c:ptCount val="1"/>
                <c:pt idx="0">
                  <c:v>Apparent losses Treatment loss</c:v>
                </c:pt>
              </c:strCache>
            </c:strRef>
          </c:tx>
          <c:spPr>
            <a:solidFill>
              <a:srgbClr val="AA3F3C"/>
            </a:solidFill>
          </c:spPr>
          <c:invertIfNegative val="0"/>
          <c:cat>
            <c:strRef>
              <c:f>'WS calcu'!$C$874:$C$875</c:f>
              <c:strCache>
                <c:ptCount val="2"/>
                <c:pt idx="0">
                  <c:v>Non-revenue water</c:v>
                </c:pt>
                <c:pt idx="1">
                  <c:v>Revenue water</c:v>
                </c:pt>
              </c:strCache>
            </c:strRef>
          </c:cat>
          <c:val>
            <c:numRef>
              <c:f>'WS calcu'!$F$874:$F$875</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4-D108-4AB6-9FB9-3946F8076A07}"/>
            </c:ext>
          </c:extLst>
        </c:ser>
        <c:ser>
          <c:idx val="3"/>
          <c:order val="3"/>
          <c:tx>
            <c:strRef>
              <c:f>'WS calcu'!$G$872:$G$873</c:f>
              <c:strCache>
                <c:ptCount val="1"/>
                <c:pt idx="0">
                  <c:v>Apparent losses Treated  trans. Loss</c:v>
                </c:pt>
              </c:strCache>
            </c:strRef>
          </c:tx>
          <c:spPr>
            <a:solidFill>
              <a:srgbClr val="CD7371"/>
            </a:solidFill>
          </c:spPr>
          <c:invertIfNegative val="0"/>
          <c:cat>
            <c:strRef>
              <c:f>'WS calcu'!$C$874:$C$875</c:f>
              <c:strCache>
                <c:ptCount val="2"/>
                <c:pt idx="0">
                  <c:v>Non-revenue water</c:v>
                </c:pt>
                <c:pt idx="1">
                  <c:v>Revenue water</c:v>
                </c:pt>
              </c:strCache>
            </c:strRef>
          </c:cat>
          <c:val>
            <c:numRef>
              <c:f>'WS calcu'!$G$874:$G$875</c:f>
              <c:numCache>
                <c:formatCode>General</c:formatCode>
                <c:ptCount val="2"/>
                <c:pt idx="0" formatCode="_(* #,##0.0_);_(* \(#,##0.0\);_(* &quot;-&quot;??_);_(@_)">
                  <c:v>0</c:v>
                </c:pt>
              </c:numCache>
            </c:numRef>
          </c:val>
          <c:extLst xmlns:c16r2="http://schemas.microsoft.com/office/drawing/2015/06/chart">
            <c:ext xmlns:c16="http://schemas.microsoft.com/office/drawing/2014/chart" uri="{C3380CC4-5D6E-409C-BE32-E72D297353CC}">
              <c16:uniqueId val="{00000005-D108-4AB6-9FB9-3946F8076A07}"/>
            </c:ext>
          </c:extLst>
        </c:ser>
        <c:ser>
          <c:idx val="4"/>
          <c:order val="4"/>
          <c:tx>
            <c:strRef>
              <c:f>'WS calcu'!$H$872:$H$873</c:f>
              <c:strCache>
                <c:ptCount val="1"/>
                <c:pt idx="0">
                  <c:v>Apparent losses Dist. Loss</c:v>
                </c:pt>
              </c:strCache>
            </c:strRef>
          </c:tx>
          <c:spPr>
            <a:solidFill>
              <a:schemeClr val="accent2">
                <a:lumMod val="40000"/>
                <a:lumOff val="60000"/>
              </a:schemeClr>
            </a:solidFill>
          </c:spPr>
          <c:invertIfNegative val="0"/>
          <c:cat>
            <c:strRef>
              <c:f>'WS calcu'!$C$874:$C$875</c:f>
              <c:strCache>
                <c:ptCount val="2"/>
                <c:pt idx="0">
                  <c:v>Non-revenue water</c:v>
                </c:pt>
                <c:pt idx="1">
                  <c:v>Revenue water</c:v>
                </c:pt>
              </c:strCache>
            </c:strRef>
          </c:cat>
          <c:val>
            <c:numRef>
              <c:f>'WS calcu'!$H$874:$H$875</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6-D108-4AB6-9FB9-3946F8076A07}"/>
            </c:ext>
          </c:extLst>
        </c:ser>
        <c:ser>
          <c:idx val="5"/>
          <c:order val="5"/>
          <c:tx>
            <c:strRef>
              <c:f>'WS calcu'!$I$872:$I$873</c:f>
              <c:strCache>
                <c:ptCount val="1"/>
                <c:pt idx="0">
                  <c:v>Real losses Authorised unbilled</c:v>
                </c:pt>
              </c:strCache>
            </c:strRef>
          </c:tx>
          <c:spPr>
            <a:solidFill>
              <a:srgbClr val="F68D36"/>
            </a:solidFill>
          </c:spPr>
          <c:invertIfNegative val="0"/>
          <c:cat>
            <c:strRef>
              <c:f>'WS calcu'!$C$874:$C$875</c:f>
              <c:strCache>
                <c:ptCount val="2"/>
                <c:pt idx="0">
                  <c:v>Non-revenue water</c:v>
                </c:pt>
                <c:pt idx="1">
                  <c:v>Revenue water</c:v>
                </c:pt>
              </c:strCache>
            </c:strRef>
          </c:cat>
          <c:val>
            <c:numRef>
              <c:f>'WS calcu'!$I$874:$I$875</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7-D108-4AB6-9FB9-3946F8076A07}"/>
            </c:ext>
          </c:extLst>
        </c:ser>
        <c:ser>
          <c:idx val="6"/>
          <c:order val="6"/>
          <c:tx>
            <c:strRef>
              <c:f>'WS calcu'!$J$872:$J$873</c:f>
              <c:strCache>
                <c:ptCount val="1"/>
                <c:pt idx="0">
                  <c:v>Real losses Unauthorised unbilled</c:v>
                </c:pt>
              </c:strCache>
            </c:strRef>
          </c:tx>
          <c:spPr>
            <a:solidFill>
              <a:srgbClr val="FFC000"/>
            </a:solidFill>
          </c:spPr>
          <c:invertIfNegative val="0"/>
          <c:cat>
            <c:strRef>
              <c:f>'WS calcu'!$C$874:$C$875</c:f>
              <c:strCache>
                <c:ptCount val="2"/>
                <c:pt idx="0">
                  <c:v>Non-revenue water</c:v>
                </c:pt>
                <c:pt idx="1">
                  <c:v>Revenue water</c:v>
                </c:pt>
              </c:strCache>
            </c:strRef>
          </c:cat>
          <c:val>
            <c:numRef>
              <c:f>'WS calcu'!$J$874:$J$875</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8-D108-4AB6-9FB9-3946F8076A07}"/>
            </c:ext>
          </c:extLst>
        </c:ser>
        <c:dLbls>
          <c:showLegendKey val="0"/>
          <c:showVal val="0"/>
          <c:showCatName val="0"/>
          <c:showSerName val="0"/>
          <c:showPercent val="0"/>
          <c:showBubbleSize val="0"/>
        </c:dLbls>
        <c:gapWidth val="52"/>
        <c:overlap val="100"/>
        <c:axId val="41332736"/>
        <c:axId val="40828224"/>
      </c:barChart>
      <c:catAx>
        <c:axId val="41332736"/>
        <c:scaling>
          <c:orientation val="minMax"/>
        </c:scaling>
        <c:delete val="0"/>
        <c:axPos val="l"/>
        <c:numFmt formatCode="General" sourceLinked="0"/>
        <c:majorTickMark val="out"/>
        <c:minorTickMark val="none"/>
        <c:tickLblPos val="nextTo"/>
        <c:spPr>
          <a:noFill/>
        </c:spPr>
        <c:txPr>
          <a:bodyPr/>
          <a:lstStyle/>
          <a:p>
            <a:pPr>
              <a:defRPr lang="en-US" sz="1200"/>
            </a:pPr>
            <a:endParaRPr lang="en-US"/>
          </a:p>
        </c:txPr>
        <c:crossAx val="40828224"/>
        <c:crosses val="autoZero"/>
        <c:auto val="1"/>
        <c:lblAlgn val="ctr"/>
        <c:lblOffset val="100"/>
        <c:noMultiLvlLbl val="0"/>
      </c:catAx>
      <c:valAx>
        <c:axId val="40828224"/>
        <c:scaling>
          <c:orientation val="minMax"/>
        </c:scaling>
        <c:delete val="0"/>
        <c:axPos val="b"/>
        <c:majorGridlines/>
        <c:numFmt formatCode="_(* #,##0_);_(* \(#,##0\);_(* &quot;-&quot;_);_(@_)" sourceLinked="0"/>
        <c:majorTickMark val="out"/>
        <c:minorTickMark val="none"/>
        <c:tickLblPos val="nextTo"/>
        <c:txPr>
          <a:bodyPr/>
          <a:lstStyle/>
          <a:p>
            <a:pPr>
              <a:defRPr lang="en-US"/>
            </a:pPr>
            <a:endParaRPr lang="en-US"/>
          </a:p>
        </c:txPr>
        <c:crossAx val="41332736"/>
        <c:crosses val="autoZero"/>
        <c:crossBetween val="between"/>
      </c:valAx>
      <c:spPr>
        <a:solidFill>
          <a:sysClr val="window" lastClr="FFFFFF"/>
        </a:solidFill>
        <a:ln>
          <a:solidFill>
            <a:schemeClr val="tx1">
              <a:lumMod val="50000"/>
              <a:lumOff val="50000"/>
            </a:schemeClr>
          </a:solidFill>
        </a:ln>
      </c:spPr>
    </c:plotArea>
    <c:legend>
      <c:legendPos val="b"/>
      <c:legendEntry>
        <c:idx val="0"/>
        <c:delete val="1"/>
      </c:legendEntry>
      <c:layout>
        <c:manualLayout>
          <c:xMode val="edge"/>
          <c:yMode val="edge"/>
          <c:x val="1.9935491559564901E-2"/>
          <c:y val="0.78847069215620003"/>
          <c:w val="0.96012885085323663"/>
          <c:h val="0.15861171057837883"/>
        </c:manualLayout>
      </c:layout>
      <c:overlay val="0"/>
      <c:txPr>
        <a:bodyPr/>
        <a:lstStyle/>
        <a:p>
          <a:pPr>
            <a:defRPr lang="en-US" sz="11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400"/>
            </a:pPr>
            <a:r>
              <a:rPr lang="en-US" sz="1400"/>
              <a:t>Adequacy</a:t>
            </a:r>
            <a:r>
              <a:rPr lang="en-US" sz="1400" baseline="0"/>
              <a:t> of treatment  and storage facility </a:t>
            </a:r>
            <a:r>
              <a:rPr lang="en-US" sz="1100" b="1" baseline="0"/>
              <a:t>(MLD)</a:t>
            </a:r>
            <a:endParaRPr lang="en-US" sz="1100" b="1"/>
          </a:p>
        </c:rich>
      </c:tx>
      <c:layout>
        <c:manualLayout>
          <c:xMode val="edge"/>
          <c:yMode val="edge"/>
          <c:x val="0.15732596151872191"/>
          <c:y val="4.5985364897723903E-2"/>
        </c:manualLayout>
      </c:layout>
      <c:overlay val="1"/>
    </c:title>
    <c:autoTitleDeleted val="0"/>
    <c:plotArea>
      <c:layout>
        <c:manualLayout>
          <c:layoutTarget val="inner"/>
          <c:xMode val="edge"/>
          <c:yMode val="edge"/>
          <c:x val="0.29865523772979635"/>
          <c:y val="0.16862806265542191"/>
          <c:w val="0.66043840511334961"/>
          <c:h val="0.57069564813935636"/>
        </c:manualLayout>
      </c:layout>
      <c:barChart>
        <c:barDir val="bar"/>
        <c:grouping val="stacked"/>
        <c:varyColors val="0"/>
        <c:ser>
          <c:idx val="0"/>
          <c:order val="0"/>
          <c:tx>
            <c:strRef>
              <c:f>'WS calcu'!$D$859</c:f>
              <c:strCache>
                <c:ptCount val="1"/>
                <c:pt idx="0">
                  <c:v>Surface water</c:v>
                </c:pt>
              </c:strCache>
            </c:strRef>
          </c:tx>
          <c:spPr>
            <a:ln>
              <a:noFill/>
            </a:ln>
          </c:spPr>
          <c:invertIfNegative val="0"/>
          <c:cat>
            <c:strRef>
              <c:f>'WS calcu'!$C$860:$C$862</c:f>
              <c:strCache>
                <c:ptCount val="3"/>
                <c:pt idx="0">
                  <c:v>Water production</c:v>
                </c:pt>
                <c:pt idx="1">
                  <c:v>Functional treatment capacity</c:v>
                </c:pt>
                <c:pt idx="2">
                  <c:v>Water storage capacity</c:v>
                </c:pt>
              </c:strCache>
            </c:strRef>
          </c:cat>
          <c:val>
            <c:numRef>
              <c:f>'WS calcu'!$D$860:$D$862</c:f>
              <c:numCache>
                <c:formatCode>_(* #,##0.00_);_(* \(#,##0.00\);_(*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FB55-429A-B41E-5CB71DA5D6A5}"/>
            </c:ext>
          </c:extLst>
        </c:ser>
        <c:ser>
          <c:idx val="1"/>
          <c:order val="1"/>
          <c:tx>
            <c:strRef>
              <c:f>'WS calcu'!$E$859</c:f>
              <c:strCache>
                <c:ptCount val="1"/>
                <c:pt idx="0">
                  <c:v>Ground water</c:v>
                </c:pt>
              </c:strCache>
            </c:strRef>
          </c:tx>
          <c:spPr>
            <a:solidFill>
              <a:schemeClr val="accent3"/>
            </a:solidFill>
            <a:ln>
              <a:noFill/>
            </a:ln>
          </c:spPr>
          <c:invertIfNegative val="0"/>
          <c:cat>
            <c:strRef>
              <c:f>'WS calcu'!$C$860:$C$862</c:f>
              <c:strCache>
                <c:ptCount val="3"/>
                <c:pt idx="0">
                  <c:v>Water production</c:v>
                </c:pt>
                <c:pt idx="1">
                  <c:v>Functional treatment capacity</c:v>
                </c:pt>
                <c:pt idx="2">
                  <c:v>Water storage capacity</c:v>
                </c:pt>
              </c:strCache>
            </c:strRef>
          </c:cat>
          <c:val>
            <c:numRef>
              <c:f>'WS calcu'!$E$860:$E$862</c:f>
              <c:numCache>
                <c:formatCode>_(* #,##0.00_);_(* \(#,##0.00\);_(*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FB55-429A-B41E-5CB71DA5D6A5}"/>
            </c:ext>
          </c:extLst>
        </c:ser>
        <c:ser>
          <c:idx val="2"/>
          <c:order val="2"/>
          <c:tx>
            <c:strRef>
              <c:f>'WS calcu'!$F$859</c:f>
              <c:strCache>
                <c:ptCount val="1"/>
                <c:pt idx="0">
                  <c:v>Gap</c:v>
                </c:pt>
              </c:strCache>
            </c:strRef>
          </c:tx>
          <c:spPr>
            <a:solidFill>
              <a:schemeClr val="tx1">
                <a:lumMod val="50000"/>
                <a:lumOff val="50000"/>
              </a:schemeClr>
            </a:solidFill>
            <a:ln>
              <a:noFill/>
            </a:ln>
          </c:spPr>
          <c:invertIfNegative val="0"/>
          <c:dPt>
            <c:idx val="1"/>
            <c:invertIfNegative val="0"/>
            <c:bubble3D val="0"/>
            <c:spPr>
              <a:solidFill>
                <a:schemeClr val="bg1">
                  <a:lumMod val="65000"/>
                </a:schemeClr>
              </a:solidFill>
              <a:ln>
                <a:noFill/>
              </a:ln>
            </c:spPr>
            <c:extLst xmlns:c16r2="http://schemas.microsoft.com/office/drawing/2015/06/chart">
              <c:ext xmlns:c16="http://schemas.microsoft.com/office/drawing/2014/chart" uri="{C3380CC4-5D6E-409C-BE32-E72D297353CC}">
                <c16:uniqueId val="{00000003-FB55-429A-B41E-5CB71DA5D6A5}"/>
              </c:ext>
            </c:extLst>
          </c:dPt>
          <c:dPt>
            <c:idx val="2"/>
            <c:invertIfNegative val="0"/>
            <c:bubble3D val="0"/>
            <c:spPr>
              <a:solidFill>
                <a:schemeClr val="bg1">
                  <a:lumMod val="65000"/>
                </a:schemeClr>
              </a:solidFill>
              <a:ln>
                <a:noFill/>
              </a:ln>
            </c:spPr>
            <c:extLst xmlns:c16r2="http://schemas.microsoft.com/office/drawing/2015/06/chart">
              <c:ext xmlns:c16="http://schemas.microsoft.com/office/drawing/2014/chart" uri="{C3380CC4-5D6E-409C-BE32-E72D297353CC}">
                <c16:uniqueId val="{00000005-FB55-429A-B41E-5CB71DA5D6A5}"/>
              </c:ext>
            </c:extLst>
          </c:dPt>
          <c:cat>
            <c:strRef>
              <c:f>'WS calcu'!$C$860:$C$862</c:f>
              <c:strCache>
                <c:ptCount val="3"/>
                <c:pt idx="0">
                  <c:v>Water production</c:v>
                </c:pt>
                <c:pt idx="1">
                  <c:v>Functional treatment capacity</c:v>
                </c:pt>
                <c:pt idx="2">
                  <c:v>Water storage capacity</c:v>
                </c:pt>
              </c:strCache>
            </c:strRef>
          </c:cat>
          <c:val>
            <c:numRef>
              <c:f>'WS calcu'!$F$860:$F$862</c:f>
              <c:numCache>
                <c:formatCode>_(* #,##0.00_);_(* \(#,##0.00\);_(* "-"??_);_(@_)</c:formatCode>
                <c:ptCount val="3"/>
                <c:pt idx="1">
                  <c:v>0</c:v>
                </c:pt>
                <c:pt idx="2">
                  <c:v>0</c:v>
                </c:pt>
              </c:numCache>
            </c:numRef>
          </c:val>
          <c:extLst xmlns:c16r2="http://schemas.microsoft.com/office/drawing/2015/06/chart">
            <c:ext xmlns:c16="http://schemas.microsoft.com/office/drawing/2014/chart" uri="{C3380CC4-5D6E-409C-BE32-E72D297353CC}">
              <c16:uniqueId val="{00000006-FB55-429A-B41E-5CB71DA5D6A5}"/>
            </c:ext>
          </c:extLst>
        </c:ser>
        <c:dLbls>
          <c:showLegendKey val="0"/>
          <c:showVal val="0"/>
          <c:showCatName val="0"/>
          <c:showSerName val="0"/>
          <c:showPercent val="0"/>
          <c:showBubbleSize val="0"/>
        </c:dLbls>
        <c:gapWidth val="76"/>
        <c:overlap val="100"/>
        <c:axId val="41333248"/>
        <c:axId val="41232064"/>
      </c:barChart>
      <c:catAx>
        <c:axId val="41333248"/>
        <c:scaling>
          <c:orientation val="maxMin"/>
        </c:scaling>
        <c:delete val="0"/>
        <c:axPos val="l"/>
        <c:numFmt formatCode="General" sourceLinked="0"/>
        <c:majorTickMark val="out"/>
        <c:minorTickMark val="none"/>
        <c:tickLblPos val="nextTo"/>
        <c:txPr>
          <a:bodyPr/>
          <a:lstStyle/>
          <a:p>
            <a:pPr>
              <a:defRPr lang="en-US" sz="1100"/>
            </a:pPr>
            <a:endParaRPr lang="en-US"/>
          </a:p>
        </c:txPr>
        <c:crossAx val="41232064"/>
        <c:crosses val="autoZero"/>
        <c:auto val="1"/>
        <c:lblAlgn val="ctr"/>
        <c:lblOffset val="100"/>
        <c:noMultiLvlLbl val="0"/>
      </c:catAx>
      <c:valAx>
        <c:axId val="41232064"/>
        <c:scaling>
          <c:orientation val="minMax"/>
        </c:scaling>
        <c:delete val="0"/>
        <c:axPos val="t"/>
        <c:majorGridlines/>
        <c:numFmt formatCode="_(* #,##0_);_(* \(#,##0\);_(* &quot;-&quot;_);_(@_)" sourceLinked="0"/>
        <c:majorTickMark val="out"/>
        <c:minorTickMark val="none"/>
        <c:tickLblPos val="high"/>
        <c:txPr>
          <a:bodyPr/>
          <a:lstStyle/>
          <a:p>
            <a:pPr>
              <a:defRPr lang="en-US"/>
            </a:pPr>
            <a:endParaRPr lang="en-US"/>
          </a:p>
        </c:txPr>
        <c:crossAx val="41333248"/>
        <c:crosses val="autoZero"/>
        <c:crossBetween val="between"/>
      </c:valAx>
      <c:spPr>
        <a:solidFill>
          <a:sysClr val="window" lastClr="FFFFFF"/>
        </a:solidFill>
        <a:ln>
          <a:solidFill>
            <a:schemeClr val="tx1">
              <a:lumMod val="50000"/>
              <a:lumOff val="50000"/>
            </a:schemeClr>
          </a:solidFill>
        </a:ln>
      </c:spPr>
    </c:plotArea>
    <c:legend>
      <c:legendPos val="b"/>
      <c:layout>
        <c:manualLayout>
          <c:xMode val="edge"/>
          <c:yMode val="edge"/>
          <c:x val="7.4960370168344864E-2"/>
          <c:y val="0.86079305357094038"/>
          <c:w val="0.88207053922398604"/>
          <c:h val="0.10035829413938988"/>
        </c:manualLayout>
      </c:layout>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Solid waste generated and</a:t>
            </a:r>
            <a:r>
              <a:rPr lang="en-US" sz="1400" baseline="0"/>
              <a:t> collected</a:t>
            </a:r>
            <a:endParaRPr lang="en-US" sz="1400"/>
          </a:p>
        </c:rich>
      </c:tx>
      <c:layout>
        <c:manualLayout>
          <c:xMode val="edge"/>
          <c:yMode val="edge"/>
          <c:x val="0.32889155768049338"/>
          <c:y val="0"/>
        </c:manualLayout>
      </c:layout>
      <c:overlay val="1"/>
    </c:title>
    <c:autoTitleDeleted val="0"/>
    <c:plotArea>
      <c:layout>
        <c:manualLayout>
          <c:layoutTarget val="inner"/>
          <c:xMode val="edge"/>
          <c:yMode val="edge"/>
          <c:x val="0.11681798486873445"/>
          <c:y val="0.13042723616383844"/>
          <c:w val="0.75695532802239263"/>
          <c:h val="0.71899243619576303"/>
        </c:manualLayout>
      </c:layout>
      <c:barChart>
        <c:barDir val="bar"/>
        <c:grouping val="stacked"/>
        <c:varyColors val="0"/>
        <c:ser>
          <c:idx val="0"/>
          <c:order val="0"/>
          <c:tx>
            <c:strRef>
              <c:f>'MSW calcu'!$E$302</c:f>
              <c:strCache>
                <c:ptCount val="1"/>
                <c:pt idx="0">
                  <c:v>Solid waste (MT/day)</c:v>
                </c:pt>
              </c:strCache>
            </c:strRef>
          </c:tx>
          <c:invertIfNegative val="0"/>
          <c:cat>
            <c:strRef>
              <c:f>'MSW calcu'!$D$303:$D$307</c:f>
              <c:strCache>
                <c:ptCount val="5"/>
                <c:pt idx="0">
                  <c:v>Generation</c:v>
                </c:pt>
                <c:pt idx="1">
                  <c:v>Collection</c:v>
                </c:pt>
                <c:pt idx="2">
                  <c:v>Storage</c:v>
                </c:pt>
                <c:pt idx="3">
                  <c:v>Transported</c:v>
                </c:pt>
                <c:pt idx="4">
                  <c:v>Processed</c:v>
                </c:pt>
              </c:strCache>
            </c:strRef>
          </c:cat>
          <c:val>
            <c:numRef>
              <c:f>'MSW calcu'!$E$303:$E$307</c:f>
              <c:numCache>
                <c:formatCode>_(* #,##0.00_);_(* \(#,##0.00\);_(* "-"??_);_(@_)</c:formatCode>
                <c:ptCount val="5"/>
                <c:pt idx="0">
                  <c:v>12</c:v>
                </c:pt>
                <c:pt idx="1">
                  <c:v>0</c:v>
                </c:pt>
                <c:pt idx="2">
                  <c:v>0</c:v>
                </c:pt>
                <c:pt idx="3">
                  <c:v>0</c:v>
                </c:pt>
                <c:pt idx="4" formatCode="_(* #,##0.0_);_(* \(#,##0.0\);_(* &quot;-&quot;??_);_(@_)">
                  <c:v>0</c:v>
                </c:pt>
              </c:numCache>
            </c:numRef>
          </c:val>
          <c:extLst xmlns:c16r2="http://schemas.microsoft.com/office/drawing/2015/06/chart">
            <c:ext xmlns:c16="http://schemas.microsoft.com/office/drawing/2014/chart" uri="{C3380CC4-5D6E-409C-BE32-E72D297353CC}">
              <c16:uniqueId val="{00000000-FF5D-467D-BA9A-FDB7FED12B4D}"/>
            </c:ext>
          </c:extLst>
        </c:ser>
        <c:ser>
          <c:idx val="1"/>
          <c:order val="1"/>
          <c:tx>
            <c:strRef>
              <c:f>'MSW calcu'!$F$302</c:f>
              <c:strCache>
                <c:ptCount val="1"/>
                <c:pt idx="0">
                  <c:v>Gap</c:v>
                </c:pt>
              </c:strCache>
            </c:strRef>
          </c:tx>
          <c:spPr>
            <a:solidFill>
              <a:schemeClr val="bg1">
                <a:lumMod val="65000"/>
              </a:schemeClr>
            </a:solidFill>
          </c:spPr>
          <c:invertIfNegative val="0"/>
          <c:cat>
            <c:strRef>
              <c:f>'MSW calcu'!$D$303:$D$307</c:f>
              <c:strCache>
                <c:ptCount val="5"/>
                <c:pt idx="0">
                  <c:v>Generation</c:v>
                </c:pt>
                <c:pt idx="1">
                  <c:v>Collection</c:v>
                </c:pt>
                <c:pt idx="2">
                  <c:v>Storage</c:v>
                </c:pt>
                <c:pt idx="3">
                  <c:v>Transported</c:v>
                </c:pt>
                <c:pt idx="4">
                  <c:v>Processed</c:v>
                </c:pt>
              </c:strCache>
            </c:strRef>
          </c:cat>
          <c:val>
            <c:numRef>
              <c:f>'MSW calcu'!$F$303:$F$307</c:f>
              <c:numCache>
                <c:formatCode>_(* #,##0.00_);_(* \(#,##0.00\);_(* "-"??_);_(@_)</c:formatCode>
                <c:ptCount val="5"/>
                <c:pt idx="1">
                  <c:v>12</c:v>
                </c:pt>
                <c:pt idx="2">
                  <c:v>12</c:v>
                </c:pt>
                <c:pt idx="3">
                  <c:v>12</c:v>
                </c:pt>
                <c:pt idx="4" formatCode="_(* #,##0.0_);_(* \(#,##0.0\);_(* &quot;-&quot;??_);_(@_)">
                  <c:v>0</c:v>
                </c:pt>
              </c:numCache>
            </c:numRef>
          </c:val>
          <c:extLst xmlns:c16r2="http://schemas.microsoft.com/office/drawing/2015/06/chart">
            <c:ext xmlns:c16="http://schemas.microsoft.com/office/drawing/2014/chart" uri="{C3380CC4-5D6E-409C-BE32-E72D297353CC}">
              <c16:uniqueId val="{00000001-FF5D-467D-BA9A-FDB7FED12B4D}"/>
            </c:ext>
          </c:extLst>
        </c:ser>
        <c:dLbls>
          <c:showLegendKey val="0"/>
          <c:showVal val="0"/>
          <c:showCatName val="0"/>
          <c:showSerName val="0"/>
          <c:showPercent val="0"/>
          <c:showBubbleSize val="0"/>
        </c:dLbls>
        <c:gapWidth val="75"/>
        <c:overlap val="100"/>
        <c:axId val="41333760"/>
        <c:axId val="41234368"/>
      </c:barChart>
      <c:catAx>
        <c:axId val="41333760"/>
        <c:scaling>
          <c:orientation val="maxMin"/>
        </c:scaling>
        <c:delete val="0"/>
        <c:axPos val="l"/>
        <c:numFmt formatCode="General" sourceLinked="1"/>
        <c:majorTickMark val="out"/>
        <c:minorTickMark val="none"/>
        <c:tickLblPos val="low"/>
        <c:txPr>
          <a:bodyPr/>
          <a:lstStyle/>
          <a:p>
            <a:pPr>
              <a:defRPr lang="en-US" sz="1050"/>
            </a:pPr>
            <a:endParaRPr lang="en-US"/>
          </a:p>
        </c:txPr>
        <c:crossAx val="41234368"/>
        <c:crosses val="autoZero"/>
        <c:auto val="1"/>
        <c:lblAlgn val="ctr"/>
        <c:lblOffset val="100"/>
        <c:noMultiLvlLbl val="0"/>
      </c:catAx>
      <c:valAx>
        <c:axId val="41234368"/>
        <c:scaling>
          <c:orientation val="minMax"/>
        </c:scaling>
        <c:delete val="0"/>
        <c:axPos val="t"/>
        <c:majorGridlines/>
        <c:numFmt formatCode="_(* #,##0_);_(* \(#,##0\);_(* &quot;-&quot;_);_(@_)" sourceLinked="0"/>
        <c:majorTickMark val="out"/>
        <c:minorTickMark val="none"/>
        <c:tickLblPos val="high"/>
        <c:txPr>
          <a:bodyPr/>
          <a:lstStyle/>
          <a:p>
            <a:pPr>
              <a:defRPr lang="en-US"/>
            </a:pPr>
            <a:endParaRPr lang="en-US"/>
          </a:p>
        </c:txPr>
        <c:crossAx val="41333760"/>
        <c:crosses val="autoZero"/>
        <c:crossBetween val="between"/>
      </c:valAx>
      <c:spPr>
        <a:solidFill>
          <a:schemeClr val="bg1"/>
        </a:solidFill>
        <a:ln>
          <a:solidFill>
            <a:schemeClr val="tx1">
              <a:lumMod val="50000"/>
              <a:lumOff val="50000"/>
            </a:schemeClr>
          </a:solidFill>
        </a:ln>
      </c:spPr>
    </c:plotArea>
    <c:legend>
      <c:legendPos val="r"/>
      <c:layout>
        <c:manualLayout>
          <c:xMode val="edge"/>
          <c:yMode val="edge"/>
          <c:x val="0.87973692828800665"/>
          <c:y val="0.27000540567351916"/>
          <c:w val="0.10635116568848887"/>
          <c:h val="0.41310526939676101"/>
        </c:manualLayout>
      </c:layout>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solidFill>
                  <a:sysClr val="windowText" lastClr="000000"/>
                </a:solidFill>
              </a:defRPr>
            </a:pPr>
            <a:r>
              <a:rPr lang="en-US" sz="1400">
                <a:solidFill>
                  <a:sysClr val="windowText" lastClr="000000"/>
                </a:solidFill>
              </a:rPr>
              <a:t>Extent of solid waste</a:t>
            </a:r>
            <a:r>
              <a:rPr lang="en-US" sz="1400" baseline="0">
                <a:solidFill>
                  <a:sysClr val="windowText" lastClr="000000"/>
                </a:solidFill>
              </a:rPr>
              <a:t> segregation</a:t>
            </a:r>
            <a:endParaRPr lang="en-US" sz="1400">
              <a:solidFill>
                <a:sysClr val="windowText" lastClr="000000"/>
              </a:solidFill>
            </a:endParaRPr>
          </a:p>
        </c:rich>
      </c:tx>
      <c:layout>
        <c:manualLayout>
          <c:xMode val="edge"/>
          <c:yMode val="edge"/>
          <c:x val="0.34446911817071385"/>
          <c:y val="3.6363636363636362E-2"/>
        </c:manualLayout>
      </c:layout>
      <c:overlay val="1"/>
    </c:title>
    <c:autoTitleDeleted val="0"/>
    <c:plotArea>
      <c:layout>
        <c:manualLayout>
          <c:layoutTarget val="inner"/>
          <c:xMode val="edge"/>
          <c:yMode val="edge"/>
          <c:x val="0.20034806498307564"/>
          <c:y val="0.17170848432190997"/>
          <c:w val="0.70366687866944189"/>
          <c:h val="0.52186686745748345"/>
        </c:manualLayout>
      </c:layout>
      <c:barChart>
        <c:barDir val="bar"/>
        <c:grouping val="stacked"/>
        <c:varyColors val="0"/>
        <c:ser>
          <c:idx val="0"/>
          <c:order val="0"/>
          <c:tx>
            <c:strRef>
              <c:f>'MSW calcu'!$E$309</c:f>
              <c:strCache>
                <c:ptCount val="1"/>
                <c:pt idx="0">
                  <c:v>Waste segregated (MT/day)</c:v>
                </c:pt>
              </c:strCache>
            </c:strRef>
          </c:tx>
          <c:invertIfNegative val="0"/>
          <c:cat>
            <c:strRef>
              <c:f>'MSW calcu'!$D$310</c:f>
              <c:strCache>
                <c:ptCount val="1"/>
                <c:pt idx="0">
                  <c:v>Waste segregation</c:v>
                </c:pt>
              </c:strCache>
            </c:strRef>
          </c:cat>
          <c:val>
            <c:numRef>
              <c:f>'MSW calcu'!$E$310</c:f>
              <c:numCache>
                <c:formatCode>_(* #,##0.00_);_(* \(#,##0.00\);_(* "-"??_);_(@_)</c:formatCode>
                <c:ptCount val="1"/>
                <c:pt idx="0">
                  <c:v>4</c:v>
                </c:pt>
              </c:numCache>
            </c:numRef>
          </c:val>
          <c:extLst xmlns:c16r2="http://schemas.microsoft.com/office/drawing/2015/06/chart">
            <c:ext xmlns:c16="http://schemas.microsoft.com/office/drawing/2014/chart" uri="{C3380CC4-5D6E-409C-BE32-E72D297353CC}">
              <c16:uniqueId val="{00000000-781D-490B-8312-49F6B5FAA9D3}"/>
            </c:ext>
          </c:extLst>
        </c:ser>
        <c:ser>
          <c:idx val="1"/>
          <c:order val="1"/>
          <c:tx>
            <c:strRef>
              <c:f>'MSW calcu'!$F$309</c:f>
              <c:strCache>
                <c:ptCount val="1"/>
                <c:pt idx="0">
                  <c:v>Gap</c:v>
                </c:pt>
              </c:strCache>
            </c:strRef>
          </c:tx>
          <c:spPr>
            <a:solidFill>
              <a:schemeClr val="bg1">
                <a:lumMod val="65000"/>
              </a:schemeClr>
            </a:solidFill>
          </c:spPr>
          <c:invertIfNegative val="0"/>
          <c:cat>
            <c:strRef>
              <c:f>'MSW calcu'!$D$310</c:f>
              <c:strCache>
                <c:ptCount val="1"/>
                <c:pt idx="0">
                  <c:v>Waste segregation</c:v>
                </c:pt>
              </c:strCache>
            </c:strRef>
          </c:cat>
          <c:val>
            <c:numRef>
              <c:f>'MSW calcu'!$F$310</c:f>
              <c:numCache>
                <c:formatCode>_(* #,##0.00_);_(* \(#,##0.00\);_(* "-"??_);_(@_)</c:formatCode>
                <c:ptCount val="1"/>
                <c:pt idx="0">
                  <c:v>-4</c:v>
                </c:pt>
              </c:numCache>
            </c:numRef>
          </c:val>
          <c:extLst xmlns:c16r2="http://schemas.microsoft.com/office/drawing/2015/06/chart">
            <c:ext xmlns:c16="http://schemas.microsoft.com/office/drawing/2014/chart" uri="{C3380CC4-5D6E-409C-BE32-E72D297353CC}">
              <c16:uniqueId val="{00000001-781D-490B-8312-49F6B5FAA9D3}"/>
            </c:ext>
          </c:extLst>
        </c:ser>
        <c:dLbls>
          <c:showLegendKey val="0"/>
          <c:showVal val="0"/>
          <c:showCatName val="0"/>
          <c:showSerName val="0"/>
          <c:showPercent val="0"/>
          <c:showBubbleSize val="0"/>
        </c:dLbls>
        <c:gapWidth val="150"/>
        <c:overlap val="100"/>
        <c:axId val="41334272"/>
        <c:axId val="41236672"/>
      </c:barChart>
      <c:catAx>
        <c:axId val="41334272"/>
        <c:scaling>
          <c:orientation val="minMax"/>
        </c:scaling>
        <c:delete val="0"/>
        <c:axPos val="l"/>
        <c:numFmt formatCode="General" sourceLinked="0"/>
        <c:majorTickMark val="out"/>
        <c:minorTickMark val="none"/>
        <c:tickLblPos val="nextTo"/>
        <c:txPr>
          <a:bodyPr/>
          <a:lstStyle/>
          <a:p>
            <a:pPr>
              <a:defRPr lang="en-US" sz="1100"/>
            </a:pPr>
            <a:endParaRPr lang="en-US"/>
          </a:p>
        </c:txPr>
        <c:crossAx val="41236672"/>
        <c:crosses val="autoZero"/>
        <c:auto val="1"/>
        <c:lblAlgn val="ctr"/>
        <c:lblOffset val="100"/>
        <c:noMultiLvlLbl val="0"/>
      </c:catAx>
      <c:valAx>
        <c:axId val="41236672"/>
        <c:scaling>
          <c:orientation val="minMax"/>
        </c:scaling>
        <c:delete val="0"/>
        <c:axPos val="b"/>
        <c:majorGridlines/>
        <c:numFmt formatCode="_(* #,##0_);_(* \(#,##0\);_(* &quot;-&quot;_);_(@_)" sourceLinked="0"/>
        <c:majorTickMark val="out"/>
        <c:minorTickMark val="none"/>
        <c:tickLblPos val="nextTo"/>
        <c:txPr>
          <a:bodyPr/>
          <a:lstStyle/>
          <a:p>
            <a:pPr>
              <a:defRPr lang="en-US"/>
            </a:pPr>
            <a:endParaRPr lang="en-US"/>
          </a:p>
        </c:txPr>
        <c:crossAx val="41334272"/>
        <c:crosses val="autoZero"/>
        <c:crossBetween val="between"/>
      </c:valAx>
      <c:spPr>
        <a:solidFill>
          <a:sysClr val="window" lastClr="FFFFFF"/>
        </a:solidFill>
        <a:ln>
          <a:solidFill>
            <a:schemeClr val="tx1">
              <a:lumMod val="50000"/>
              <a:lumOff val="50000"/>
            </a:schemeClr>
          </a:solidFill>
        </a:ln>
      </c:spPr>
    </c:plotArea>
    <c:legend>
      <c:legendPos val="b"/>
      <c:layout>
        <c:manualLayout>
          <c:xMode val="edge"/>
          <c:yMode val="edge"/>
          <c:x val="0.31270603020991738"/>
          <c:y val="0.86859392575928007"/>
          <c:w val="0.50541712287637652"/>
          <c:h val="0.1002372430718953"/>
        </c:manualLayout>
      </c:layout>
      <c:overlay val="0"/>
      <c:txPr>
        <a:bodyPr/>
        <a:lstStyle/>
        <a:p>
          <a:pPr>
            <a:defRPr lang="en-US" sz="1100"/>
          </a:pPr>
          <a:endParaRPr lang="en-US"/>
        </a:p>
      </c:txPr>
    </c:legend>
    <c:plotVisOnly val="1"/>
    <c:dispBlanksAs val="gap"/>
    <c:showDLblsOverMax val="0"/>
  </c:chart>
  <c:spPr>
    <a:solidFill>
      <a:schemeClr val="accent3">
        <a:lumMod val="20000"/>
        <a:lumOff val="80000"/>
      </a:schemeClr>
    </a:solid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Coverage</a:t>
            </a:r>
            <a:r>
              <a:rPr lang="en-US" sz="1400" baseline="0"/>
              <a:t> of water supply services</a:t>
            </a:r>
            <a:endParaRPr lang="en-US" sz="1400"/>
          </a:p>
        </c:rich>
      </c:tx>
      <c:layout>
        <c:manualLayout>
          <c:xMode val="edge"/>
          <c:yMode val="edge"/>
          <c:x val="0.31784995738353888"/>
          <c:y val="5.3691275167785232E-3"/>
        </c:manualLayout>
      </c:layout>
      <c:overlay val="1"/>
    </c:title>
    <c:autoTitleDeleted val="0"/>
    <c:plotArea>
      <c:layout>
        <c:manualLayout>
          <c:layoutTarget val="inner"/>
          <c:xMode val="edge"/>
          <c:yMode val="edge"/>
          <c:x val="8.7336490712831727E-2"/>
          <c:y val="0.12956550229878167"/>
          <c:w val="0.84287874747560065"/>
          <c:h val="0.60302827247272894"/>
        </c:manualLayout>
      </c:layout>
      <c:barChart>
        <c:barDir val="bar"/>
        <c:grouping val="stacked"/>
        <c:varyColors val="0"/>
        <c:ser>
          <c:idx val="0"/>
          <c:order val="0"/>
          <c:tx>
            <c:strRef>
              <c:f>'WS calcu'!$D$855</c:f>
              <c:strCache>
                <c:ptCount val="1"/>
                <c:pt idx="0">
                  <c:v>Individual connections</c:v>
                </c:pt>
              </c:strCache>
            </c:strRef>
          </c:tx>
          <c:invertIfNegative val="0"/>
          <c:cat>
            <c:strRef>
              <c:f>'WS calcu'!$C$856:$C$857</c:f>
              <c:strCache>
                <c:ptCount val="2"/>
                <c:pt idx="0">
                  <c:v>Slums</c:v>
                </c:pt>
                <c:pt idx="1">
                  <c:v>City</c:v>
                </c:pt>
              </c:strCache>
            </c:strRef>
          </c:cat>
          <c:val>
            <c:numRef>
              <c:f>'WS calcu'!$D$856:$D$857</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0-878B-44C5-9BEE-7B25E58934FE}"/>
            </c:ext>
          </c:extLst>
        </c:ser>
        <c:ser>
          <c:idx val="1"/>
          <c:order val="1"/>
          <c:tx>
            <c:strRef>
              <c:f>'WS calcu'!$E$855</c:f>
              <c:strCache>
                <c:ptCount val="1"/>
                <c:pt idx="0">
                  <c:v>Group connections</c:v>
                </c:pt>
              </c:strCache>
            </c:strRef>
          </c:tx>
          <c:invertIfNegative val="0"/>
          <c:cat>
            <c:strRef>
              <c:f>'WS calcu'!$C$856:$C$857</c:f>
              <c:strCache>
                <c:ptCount val="2"/>
                <c:pt idx="0">
                  <c:v>Slums</c:v>
                </c:pt>
                <c:pt idx="1">
                  <c:v>City</c:v>
                </c:pt>
              </c:strCache>
            </c:strRef>
          </c:cat>
          <c:val>
            <c:numRef>
              <c:f>'WS calcu'!$E$856:$E$857</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1-878B-44C5-9BEE-7B25E58934FE}"/>
            </c:ext>
          </c:extLst>
        </c:ser>
        <c:ser>
          <c:idx val="2"/>
          <c:order val="2"/>
          <c:tx>
            <c:strRef>
              <c:f>'WS calcu'!$F$855</c:f>
              <c:strCache>
                <c:ptCount val="1"/>
                <c:pt idx="0">
                  <c:v>Public standposts</c:v>
                </c:pt>
              </c:strCache>
            </c:strRef>
          </c:tx>
          <c:spPr>
            <a:solidFill>
              <a:schemeClr val="accent3"/>
            </a:solidFill>
          </c:spPr>
          <c:invertIfNegative val="0"/>
          <c:cat>
            <c:strRef>
              <c:f>'WS calcu'!$C$856:$C$857</c:f>
              <c:strCache>
                <c:ptCount val="2"/>
                <c:pt idx="0">
                  <c:v>Slums</c:v>
                </c:pt>
                <c:pt idx="1">
                  <c:v>City</c:v>
                </c:pt>
              </c:strCache>
            </c:strRef>
          </c:cat>
          <c:val>
            <c:numRef>
              <c:f>'WS calcu'!$F$856:$F$857</c:f>
              <c:numCache>
                <c:formatCode>_(* #,##0.0_);_(* \(#,##0.0\);_(* "-"??_);_(@_)</c:formatCode>
                <c:ptCount val="2"/>
                <c:pt idx="0">
                  <c:v>0</c:v>
                </c:pt>
                <c:pt idx="1">
                  <c:v>0</c:v>
                </c:pt>
              </c:numCache>
            </c:numRef>
          </c:val>
          <c:extLst xmlns:c16r2="http://schemas.microsoft.com/office/drawing/2015/06/chart">
            <c:ext xmlns:c16="http://schemas.microsoft.com/office/drawing/2014/chart" uri="{C3380CC4-5D6E-409C-BE32-E72D297353CC}">
              <c16:uniqueId val="{00000002-878B-44C5-9BEE-7B25E58934FE}"/>
            </c:ext>
          </c:extLst>
        </c:ser>
        <c:ser>
          <c:idx val="3"/>
          <c:order val="3"/>
          <c:tx>
            <c:strRef>
              <c:f>'WS calcu'!$G$855</c:f>
              <c:strCache>
                <c:ptCount val="1"/>
                <c:pt idx="0">
                  <c:v>Illegal connections</c:v>
                </c:pt>
              </c:strCache>
            </c:strRef>
          </c:tx>
          <c:spPr>
            <a:solidFill>
              <a:schemeClr val="tx1"/>
            </a:solidFill>
            <a:ln>
              <a:noFill/>
            </a:ln>
          </c:spPr>
          <c:invertIfNegative val="0"/>
          <c:cat>
            <c:strRef>
              <c:f>'WS calcu'!$C$856:$C$857</c:f>
              <c:strCache>
                <c:ptCount val="2"/>
                <c:pt idx="0">
                  <c:v>Slums</c:v>
                </c:pt>
                <c:pt idx="1">
                  <c:v>City</c:v>
                </c:pt>
              </c:strCache>
            </c:strRef>
          </c:cat>
          <c:val>
            <c:numRef>
              <c:f>'WS calcu'!$G$856:$G$857</c:f>
              <c:numCache>
                <c:formatCode>_(* #,##0.00_);_(* \(#,##0.00\);_(* "-"??_);_(@_)</c:formatCode>
                <c:ptCount val="2"/>
                <c:pt idx="0">
                  <c:v>0</c:v>
                </c:pt>
                <c:pt idx="1">
                  <c:v>0</c:v>
                </c:pt>
              </c:numCache>
            </c:numRef>
          </c:val>
          <c:extLst xmlns:c16r2="http://schemas.microsoft.com/office/drawing/2015/06/chart">
            <c:ext xmlns:c16="http://schemas.microsoft.com/office/drawing/2014/chart" uri="{C3380CC4-5D6E-409C-BE32-E72D297353CC}">
              <c16:uniqueId val="{00000003-878B-44C5-9BEE-7B25E58934FE}"/>
            </c:ext>
          </c:extLst>
        </c:ser>
        <c:ser>
          <c:idx val="4"/>
          <c:order val="4"/>
          <c:tx>
            <c:strRef>
              <c:f>'WS calcu'!$H$855</c:f>
              <c:strCache>
                <c:ptCount val="1"/>
                <c:pt idx="0">
                  <c:v>Unserved HHs</c:v>
                </c:pt>
              </c:strCache>
            </c:strRef>
          </c:tx>
          <c:spPr>
            <a:solidFill>
              <a:schemeClr val="bg1">
                <a:lumMod val="65000"/>
              </a:schemeClr>
            </a:solidFill>
          </c:spPr>
          <c:invertIfNegative val="0"/>
          <c:cat>
            <c:strRef>
              <c:f>'WS calcu'!$C$856:$C$857</c:f>
              <c:strCache>
                <c:ptCount val="2"/>
                <c:pt idx="0">
                  <c:v>Slums</c:v>
                </c:pt>
                <c:pt idx="1">
                  <c:v>City</c:v>
                </c:pt>
              </c:strCache>
            </c:strRef>
          </c:cat>
          <c:val>
            <c:numRef>
              <c:f>'WS calcu'!$H$856:$H$857</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4-878B-44C5-9BEE-7B25E58934FE}"/>
            </c:ext>
          </c:extLst>
        </c:ser>
        <c:dLbls>
          <c:showLegendKey val="0"/>
          <c:showVal val="0"/>
          <c:showCatName val="0"/>
          <c:showSerName val="0"/>
          <c:showPercent val="0"/>
          <c:showBubbleSize val="0"/>
        </c:dLbls>
        <c:gapWidth val="76"/>
        <c:overlap val="100"/>
        <c:axId val="561587200"/>
        <c:axId val="540427392"/>
      </c:barChart>
      <c:catAx>
        <c:axId val="561587200"/>
        <c:scaling>
          <c:orientation val="minMax"/>
        </c:scaling>
        <c:delete val="0"/>
        <c:axPos val="l"/>
        <c:numFmt formatCode="General" sourceLinked="0"/>
        <c:majorTickMark val="out"/>
        <c:minorTickMark val="none"/>
        <c:tickLblPos val="nextTo"/>
        <c:txPr>
          <a:bodyPr/>
          <a:lstStyle/>
          <a:p>
            <a:pPr>
              <a:defRPr lang="en-US" sz="1100"/>
            </a:pPr>
            <a:endParaRPr lang="en-US"/>
          </a:p>
        </c:txPr>
        <c:crossAx val="540427392"/>
        <c:crosses val="autoZero"/>
        <c:auto val="1"/>
        <c:lblAlgn val="ctr"/>
        <c:lblOffset val="100"/>
        <c:noMultiLvlLbl val="0"/>
      </c:catAx>
      <c:valAx>
        <c:axId val="540427392"/>
        <c:scaling>
          <c:orientation val="minMax"/>
        </c:scaling>
        <c:delete val="0"/>
        <c:axPos val="b"/>
        <c:majorGridlines/>
        <c:numFmt formatCode="_(* #,##0_);_(* \(#,##0\);_(* &quot;-&quot;??_);_(@_)" sourceLinked="1"/>
        <c:majorTickMark val="out"/>
        <c:minorTickMark val="none"/>
        <c:tickLblPos val="nextTo"/>
        <c:txPr>
          <a:bodyPr/>
          <a:lstStyle/>
          <a:p>
            <a:pPr>
              <a:defRPr lang="en-US"/>
            </a:pPr>
            <a:endParaRPr lang="en-US"/>
          </a:p>
        </c:txPr>
        <c:crossAx val="561587200"/>
        <c:crosses val="autoZero"/>
        <c:crossBetween val="between"/>
      </c:valAx>
      <c:spPr>
        <a:solidFill>
          <a:sysClr val="window" lastClr="FFFFFF"/>
        </a:solidFill>
        <a:ln>
          <a:solidFill>
            <a:schemeClr val="bg1">
              <a:lumMod val="65000"/>
            </a:schemeClr>
          </a:solidFill>
        </a:ln>
      </c:spPr>
    </c:plotArea>
    <c:legend>
      <c:legendPos val="b"/>
      <c:layout>
        <c:manualLayout>
          <c:xMode val="edge"/>
          <c:yMode val="edge"/>
          <c:x val="0"/>
          <c:y val="0.9015623315541933"/>
          <c:w val="1"/>
          <c:h val="9.7089467843365182E-2"/>
        </c:manualLayout>
      </c:layout>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b="1" i="0" baseline="0"/>
              <a:t>Demand &amp; collection of solid waste taxes and charges</a:t>
            </a:r>
          </a:p>
        </c:rich>
      </c:tx>
      <c:layout>
        <c:manualLayout>
          <c:xMode val="edge"/>
          <c:yMode val="edge"/>
          <c:x val="0.18845166967859855"/>
          <c:y val="1.6051411702700902E-2"/>
        </c:manualLayout>
      </c:layout>
      <c:overlay val="1"/>
    </c:title>
    <c:autoTitleDeleted val="0"/>
    <c:plotArea>
      <c:layout>
        <c:manualLayout>
          <c:layoutTarget val="inner"/>
          <c:xMode val="edge"/>
          <c:yMode val="edge"/>
          <c:x val="0.17520801987461321"/>
          <c:y val="0.14066930246684944"/>
          <c:w val="0.801260734834777"/>
          <c:h val="0.67623504853466065"/>
        </c:manualLayout>
      </c:layout>
      <c:barChart>
        <c:barDir val="bar"/>
        <c:grouping val="stacked"/>
        <c:varyColors val="0"/>
        <c:ser>
          <c:idx val="0"/>
          <c:order val="0"/>
          <c:tx>
            <c:strRef>
              <c:f>'MSW calcu'!$D$316</c:f>
              <c:strCache>
                <c:ptCount val="1"/>
                <c:pt idx="0">
                  <c:v>Current</c:v>
                </c:pt>
              </c:strCache>
            </c:strRef>
          </c:tx>
          <c:invertIfNegative val="0"/>
          <c:dLbls>
            <c:spPr>
              <a:noFill/>
              <a:ln>
                <a:noFill/>
              </a:ln>
              <a:effectLst/>
            </c:spPr>
            <c:txPr>
              <a:bodyPr/>
              <a:lstStyle/>
              <a:p>
                <a:pPr>
                  <a:defRPr lang="en-US"/>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'MSW calcu'!$E$315:$F$315</c:f>
              <c:strCache>
                <c:ptCount val="2"/>
                <c:pt idx="0">
                  <c:v>Collected amount</c:v>
                </c:pt>
                <c:pt idx="1">
                  <c:v>Billed demand</c:v>
                </c:pt>
              </c:strCache>
            </c:strRef>
          </c:cat>
          <c:val>
            <c:numRef>
              <c:f>'MSW calcu'!$E$316:$F$316</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0-9965-44C6-B1E5-A3F9EEB5E93C}"/>
            </c:ext>
          </c:extLst>
        </c:ser>
        <c:ser>
          <c:idx val="1"/>
          <c:order val="1"/>
          <c:tx>
            <c:strRef>
              <c:f>'MSW calcu'!$D$317</c:f>
              <c:strCache>
                <c:ptCount val="1"/>
                <c:pt idx="0">
                  <c:v>Arrear</c:v>
                </c:pt>
              </c:strCache>
            </c:strRef>
          </c:tx>
          <c:spPr>
            <a:solidFill>
              <a:schemeClr val="accent3"/>
            </a:solidFill>
          </c:spPr>
          <c:invertIfNegative val="0"/>
          <c:dLbls>
            <c:spPr>
              <a:noFill/>
              <a:ln>
                <a:noFill/>
              </a:ln>
              <a:effectLst/>
            </c:spPr>
            <c:txPr>
              <a:bodyPr/>
              <a:lstStyle/>
              <a:p>
                <a:pPr>
                  <a:defRPr lang="en-US"/>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'MSW calcu'!$E$315:$F$315</c:f>
              <c:strCache>
                <c:ptCount val="2"/>
                <c:pt idx="0">
                  <c:v>Collected amount</c:v>
                </c:pt>
                <c:pt idx="1">
                  <c:v>Billed demand</c:v>
                </c:pt>
              </c:strCache>
            </c:strRef>
          </c:cat>
          <c:val>
            <c:numRef>
              <c:f>'MSW calcu'!$E$317:$F$317</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1-9965-44C6-B1E5-A3F9EEB5E93C}"/>
            </c:ext>
          </c:extLst>
        </c:ser>
        <c:dLbls>
          <c:showLegendKey val="0"/>
          <c:showVal val="0"/>
          <c:showCatName val="0"/>
          <c:showSerName val="0"/>
          <c:showPercent val="0"/>
          <c:showBubbleSize val="0"/>
        </c:dLbls>
        <c:gapWidth val="60"/>
        <c:overlap val="100"/>
        <c:axId val="41334784"/>
        <c:axId val="558228032"/>
      </c:barChart>
      <c:catAx>
        <c:axId val="41334784"/>
        <c:scaling>
          <c:orientation val="minMax"/>
        </c:scaling>
        <c:delete val="0"/>
        <c:axPos val="l"/>
        <c:numFmt formatCode="General" sourceLinked="0"/>
        <c:majorTickMark val="out"/>
        <c:minorTickMark val="none"/>
        <c:tickLblPos val="nextTo"/>
        <c:txPr>
          <a:bodyPr/>
          <a:lstStyle/>
          <a:p>
            <a:pPr>
              <a:defRPr lang="en-US" sz="1100"/>
            </a:pPr>
            <a:endParaRPr lang="en-US"/>
          </a:p>
        </c:txPr>
        <c:crossAx val="558228032"/>
        <c:crosses val="autoZero"/>
        <c:auto val="1"/>
        <c:lblAlgn val="ctr"/>
        <c:lblOffset val="100"/>
        <c:noMultiLvlLbl val="0"/>
      </c:catAx>
      <c:valAx>
        <c:axId val="558228032"/>
        <c:scaling>
          <c:orientation val="minMax"/>
        </c:scaling>
        <c:delete val="0"/>
        <c:axPos val="b"/>
        <c:majorGridlines/>
        <c:title>
          <c:tx>
            <c:rich>
              <a:bodyPr/>
              <a:lstStyle/>
              <a:p>
                <a:pPr>
                  <a:defRPr lang="en-US"/>
                </a:pPr>
                <a:r>
                  <a:rPr lang="en-US"/>
                  <a:t>Rs. Lakhs</a:t>
                </a:r>
              </a:p>
            </c:rich>
          </c:tx>
          <c:overlay val="0"/>
        </c:title>
        <c:numFmt formatCode="_(* #,##0_);_(* \(#,##0\);_(* &quot;-&quot;??_);_(@_)" sourceLinked="1"/>
        <c:majorTickMark val="out"/>
        <c:minorTickMark val="none"/>
        <c:tickLblPos val="nextTo"/>
        <c:txPr>
          <a:bodyPr/>
          <a:lstStyle/>
          <a:p>
            <a:pPr>
              <a:defRPr lang="en-US"/>
            </a:pPr>
            <a:endParaRPr lang="en-US"/>
          </a:p>
        </c:txPr>
        <c:crossAx val="41334784"/>
        <c:crosses val="autoZero"/>
        <c:crossBetween val="between"/>
      </c:valAx>
      <c:spPr>
        <a:solidFill>
          <a:schemeClr val="bg1"/>
        </a:solidFill>
        <a:ln>
          <a:solidFill>
            <a:schemeClr val="tx1">
              <a:lumMod val="50000"/>
              <a:lumOff val="50000"/>
            </a:schemeClr>
          </a:solid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b="1" i="0" baseline="0"/>
              <a:t>Solid waste operating finances</a:t>
            </a:r>
            <a:endParaRPr lang="en-US" sz="1400"/>
          </a:p>
        </c:rich>
      </c:tx>
      <c:layout>
        <c:manualLayout>
          <c:xMode val="edge"/>
          <c:yMode val="edge"/>
          <c:x val="0.38343402323096343"/>
          <c:y val="0"/>
        </c:manualLayout>
      </c:layout>
      <c:overlay val="1"/>
    </c:title>
    <c:autoTitleDeleted val="0"/>
    <c:plotArea>
      <c:layout>
        <c:manualLayout>
          <c:layoutTarget val="inner"/>
          <c:xMode val="edge"/>
          <c:yMode val="edge"/>
          <c:x val="0.10966370445712192"/>
          <c:y val="0.13403056396919286"/>
          <c:w val="0.85096603870035736"/>
          <c:h val="0.52437223693507495"/>
        </c:manualLayout>
      </c:layout>
      <c:barChart>
        <c:barDir val="bar"/>
        <c:grouping val="stacked"/>
        <c:varyColors val="0"/>
        <c:ser>
          <c:idx val="0"/>
          <c:order val="0"/>
          <c:tx>
            <c:strRef>
              <c:f>'MSW calcu'!$E$319</c:f>
              <c:strCache>
                <c:ptCount val="1"/>
                <c:pt idx="0">
                  <c:v>Admin.</c:v>
                </c:pt>
              </c:strCache>
            </c:strRef>
          </c:tx>
          <c:invertIfNegative val="0"/>
          <c:cat>
            <c:strRef>
              <c:f>'MSW calcu'!$D$320:$D$321</c:f>
              <c:strCache>
                <c:ptCount val="2"/>
                <c:pt idx="0">
                  <c:v>Rev Exp</c:v>
                </c:pt>
                <c:pt idx="1">
                  <c:v>Rev income</c:v>
                </c:pt>
              </c:strCache>
            </c:strRef>
          </c:cat>
          <c:val>
            <c:numRef>
              <c:f>'MSW calcu'!$E$320:$E$321</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0-6589-4B1B-A620-2327E08E54A1}"/>
            </c:ext>
          </c:extLst>
        </c:ser>
        <c:ser>
          <c:idx val="1"/>
          <c:order val="1"/>
          <c:tx>
            <c:strRef>
              <c:f>'MSW calcu'!$F$319</c:f>
              <c:strCache>
                <c:ptCount val="1"/>
                <c:pt idx="0">
                  <c:v>Energy</c:v>
                </c:pt>
              </c:strCache>
            </c:strRef>
          </c:tx>
          <c:invertIfNegative val="0"/>
          <c:cat>
            <c:strRef>
              <c:f>'MSW calcu'!$D$320:$D$321</c:f>
              <c:strCache>
                <c:ptCount val="2"/>
                <c:pt idx="0">
                  <c:v>Rev Exp</c:v>
                </c:pt>
                <c:pt idx="1">
                  <c:v>Rev income</c:v>
                </c:pt>
              </c:strCache>
            </c:strRef>
          </c:cat>
          <c:val>
            <c:numRef>
              <c:f>'MSW calcu'!$F$320:$F$321</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1-6589-4B1B-A620-2327E08E54A1}"/>
            </c:ext>
          </c:extLst>
        </c:ser>
        <c:ser>
          <c:idx val="2"/>
          <c:order val="2"/>
          <c:tx>
            <c:strRef>
              <c:f>'MSW calcu'!$G$319</c:f>
              <c:strCache>
                <c:ptCount val="1"/>
                <c:pt idx="0">
                  <c:v>O&amp;M</c:v>
                </c:pt>
              </c:strCache>
            </c:strRef>
          </c:tx>
          <c:invertIfNegative val="0"/>
          <c:cat>
            <c:strRef>
              <c:f>'MSW calcu'!$D$320:$D$321</c:f>
              <c:strCache>
                <c:ptCount val="2"/>
                <c:pt idx="0">
                  <c:v>Rev Exp</c:v>
                </c:pt>
                <c:pt idx="1">
                  <c:v>Rev income</c:v>
                </c:pt>
              </c:strCache>
            </c:strRef>
          </c:cat>
          <c:val>
            <c:numRef>
              <c:f>'MSW calcu'!$G$320:$G$321</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2-6589-4B1B-A620-2327E08E54A1}"/>
            </c:ext>
          </c:extLst>
        </c:ser>
        <c:ser>
          <c:idx val="3"/>
          <c:order val="3"/>
          <c:tx>
            <c:strRef>
              <c:f>'MSW calcu'!$H$319</c:f>
              <c:strCache>
                <c:ptCount val="1"/>
                <c:pt idx="0">
                  <c:v>Int. payment</c:v>
                </c:pt>
              </c:strCache>
            </c:strRef>
          </c:tx>
          <c:invertIfNegative val="0"/>
          <c:cat>
            <c:strRef>
              <c:f>'MSW calcu'!$D$320:$D$321</c:f>
              <c:strCache>
                <c:ptCount val="2"/>
                <c:pt idx="0">
                  <c:v>Rev Exp</c:v>
                </c:pt>
                <c:pt idx="1">
                  <c:v>Rev income</c:v>
                </c:pt>
              </c:strCache>
            </c:strRef>
          </c:cat>
          <c:val>
            <c:numRef>
              <c:f>'MSW calcu'!$H$320:$H$321</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3-6589-4B1B-A620-2327E08E54A1}"/>
            </c:ext>
          </c:extLst>
        </c:ser>
        <c:ser>
          <c:idx val="4"/>
          <c:order val="4"/>
          <c:tx>
            <c:strRef>
              <c:f>'MSW calcu'!$I$319</c:f>
              <c:strCache>
                <c:ptCount val="1"/>
                <c:pt idx="0">
                  <c:v>Misc.</c:v>
                </c:pt>
              </c:strCache>
            </c:strRef>
          </c:tx>
          <c:invertIfNegative val="0"/>
          <c:cat>
            <c:strRef>
              <c:f>'MSW calcu'!$D$320:$D$321</c:f>
              <c:strCache>
                <c:ptCount val="2"/>
                <c:pt idx="0">
                  <c:v>Rev Exp</c:v>
                </c:pt>
                <c:pt idx="1">
                  <c:v>Rev income</c:v>
                </c:pt>
              </c:strCache>
            </c:strRef>
          </c:cat>
          <c:val>
            <c:numRef>
              <c:f>'MSW calcu'!$I$320:$I$321</c:f>
              <c:numCache>
                <c:formatCode>General</c:formatCode>
                <c:ptCount val="2"/>
                <c:pt idx="0" formatCode="_(* #,##0.00_);_(* \(#,##0.00\);_(* &quot;-&quot;??_);_(@_)">
                  <c:v>0</c:v>
                </c:pt>
              </c:numCache>
            </c:numRef>
          </c:val>
          <c:extLst xmlns:c16r2="http://schemas.microsoft.com/office/drawing/2015/06/chart">
            <c:ext xmlns:c16="http://schemas.microsoft.com/office/drawing/2014/chart" uri="{C3380CC4-5D6E-409C-BE32-E72D297353CC}">
              <c16:uniqueId val="{00000004-6589-4B1B-A620-2327E08E54A1}"/>
            </c:ext>
          </c:extLst>
        </c:ser>
        <c:ser>
          <c:idx val="5"/>
          <c:order val="5"/>
          <c:tx>
            <c:strRef>
              <c:f>'MSW calcu'!$J$319</c:f>
              <c:strCache>
                <c:ptCount val="1"/>
                <c:pt idx="0">
                  <c:v>Taxes &amp; charges</c:v>
                </c:pt>
              </c:strCache>
            </c:strRef>
          </c:tx>
          <c:invertIfNegative val="0"/>
          <c:cat>
            <c:strRef>
              <c:f>'MSW calcu'!$D$320:$D$321</c:f>
              <c:strCache>
                <c:ptCount val="2"/>
                <c:pt idx="0">
                  <c:v>Rev Exp</c:v>
                </c:pt>
                <c:pt idx="1">
                  <c:v>Rev income</c:v>
                </c:pt>
              </c:strCache>
            </c:strRef>
          </c:cat>
          <c:val>
            <c:numRef>
              <c:f>'MSW calcu'!$J$320:$J$321</c:f>
              <c:numCache>
                <c:formatCode>_(* #,##0.00_);_(* \(#,##0.00\);_(* "-"??_);_(@_)</c:formatCode>
                <c:ptCount val="2"/>
                <c:pt idx="1">
                  <c:v>0</c:v>
                </c:pt>
              </c:numCache>
            </c:numRef>
          </c:val>
          <c:extLst xmlns:c16r2="http://schemas.microsoft.com/office/drawing/2015/06/chart">
            <c:ext xmlns:c16="http://schemas.microsoft.com/office/drawing/2014/chart" uri="{C3380CC4-5D6E-409C-BE32-E72D297353CC}">
              <c16:uniqueId val="{00000005-6589-4B1B-A620-2327E08E54A1}"/>
            </c:ext>
          </c:extLst>
        </c:ser>
        <c:ser>
          <c:idx val="6"/>
          <c:order val="6"/>
          <c:tx>
            <c:strRef>
              <c:f>'MSW calcu'!$K$319</c:f>
              <c:strCache>
                <c:ptCount val="1"/>
                <c:pt idx="0">
                  <c:v>Grants</c:v>
                </c:pt>
              </c:strCache>
            </c:strRef>
          </c:tx>
          <c:invertIfNegative val="0"/>
          <c:cat>
            <c:strRef>
              <c:f>'MSW calcu'!$D$320:$D$321</c:f>
              <c:strCache>
                <c:ptCount val="2"/>
                <c:pt idx="0">
                  <c:v>Rev Exp</c:v>
                </c:pt>
                <c:pt idx="1">
                  <c:v>Rev income</c:v>
                </c:pt>
              </c:strCache>
            </c:strRef>
          </c:cat>
          <c:val>
            <c:numRef>
              <c:f>'MSW calcu'!$K$320:$K$321</c:f>
              <c:numCache>
                <c:formatCode>_(* #,##0.00_);_(* \(#,##0.00\);_(* "-"??_);_(@_)</c:formatCode>
                <c:ptCount val="2"/>
                <c:pt idx="1">
                  <c:v>0</c:v>
                </c:pt>
              </c:numCache>
            </c:numRef>
          </c:val>
          <c:extLst xmlns:c16r2="http://schemas.microsoft.com/office/drawing/2015/06/chart">
            <c:ext xmlns:c16="http://schemas.microsoft.com/office/drawing/2014/chart" uri="{C3380CC4-5D6E-409C-BE32-E72D297353CC}">
              <c16:uniqueId val="{00000006-6589-4B1B-A620-2327E08E54A1}"/>
            </c:ext>
          </c:extLst>
        </c:ser>
        <c:ser>
          <c:idx val="7"/>
          <c:order val="7"/>
          <c:tx>
            <c:strRef>
              <c:f>'MSW calcu'!$L$319</c:f>
              <c:strCache>
                <c:ptCount val="1"/>
                <c:pt idx="0">
                  <c:v>Others</c:v>
                </c:pt>
              </c:strCache>
            </c:strRef>
          </c:tx>
          <c:invertIfNegative val="0"/>
          <c:cat>
            <c:strRef>
              <c:f>'MSW calcu'!$D$320:$D$321</c:f>
              <c:strCache>
                <c:ptCount val="2"/>
                <c:pt idx="0">
                  <c:v>Rev Exp</c:v>
                </c:pt>
                <c:pt idx="1">
                  <c:v>Rev income</c:v>
                </c:pt>
              </c:strCache>
            </c:strRef>
          </c:cat>
          <c:val>
            <c:numRef>
              <c:f>'MSW calcu'!$L$320:$L$321</c:f>
              <c:numCache>
                <c:formatCode>_(* #,##0.00_);_(* \(#,##0.00\);_(* "-"??_);_(@_)</c:formatCode>
                <c:ptCount val="2"/>
                <c:pt idx="1">
                  <c:v>0</c:v>
                </c:pt>
              </c:numCache>
            </c:numRef>
          </c:val>
          <c:extLst xmlns:c16r2="http://schemas.microsoft.com/office/drawing/2015/06/chart">
            <c:ext xmlns:c16="http://schemas.microsoft.com/office/drawing/2014/chart" uri="{C3380CC4-5D6E-409C-BE32-E72D297353CC}">
              <c16:uniqueId val="{00000007-6589-4B1B-A620-2327E08E54A1}"/>
            </c:ext>
          </c:extLst>
        </c:ser>
        <c:dLbls>
          <c:showLegendKey val="0"/>
          <c:showVal val="0"/>
          <c:showCatName val="0"/>
          <c:showSerName val="0"/>
          <c:showPercent val="0"/>
          <c:showBubbleSize val="0"/>
        </c:dLbls>
        <c:gapWidth val="60"/>
        <c:overlap val="100"/>
        <c:axId val="41335808"/>
        <c:axId val="558230336"/>
      </c:barChart>
      <c:catAx>
        <c:axId val="41335808"/>
        <c:scaling>
          <c:orientation val="minMax"/>
        </c:scaling>
        <c:delete val="0"/>
        <c:axPos val="l"/>
        <c:numFmt formatCode="General" sourceLinked="0"/>
        <c:majorTickMark val="out"/>
        <c:minorTickMark val="none"/>
        <c:tickLblPos val="nextTo"/>
        <c:txPr>
          <a:bodyPr/>
          <a:lstStyle/>
          <a:p>
            <a:pPr>
              <a:defRPr lang="en-US" sz="1100"/>
            </a:pPr>
            <a:endParaRPr lang="en-US"/>
          </a:p>
        </c:txPr>
        <c:crossAx val="558230336"/>
        <c:crosses val="autoZero"/>
        <c:auto val="1"/>
        <c:lblAlgn val="ctr"/>
        <c:lblOffset val="100"/>
        <c:noMultiLvlLbl val="0"/>
      </c:catAx>
      <c:valAx>
        <c:axId val="558230336"/>
        <c:scaling>
          <c:orientation val="minMax"/>
        </c:scaling>
        <c:delete val="0"/>
        <c:axPos val="b"/>
        <c:majorGridlines/>
        <c:title>
          <c:tx>
            <c:rich>
              <a:bodyPr/>
              <a:lstStyle/>
              <a:p>
                <a:pPr>
                  <a:defRPr lang="en-US"/>
                </a:pPr>
                <a:r>
                  <a:rPr lang="en-US"/>
                  <a:t>Rs. Lakhs</a:t>
                </a:r>
              </a:p>
            </c:rich>
          </c:tx>
          <c:layout>
            <c:manualLayout>
              <c:xMode val="edge"/>
              <c:yMode val="edge"/>
              <c:x val="0.48421149300181981"/>
              <c:y val="0.7953587557331665"/>
            </c:manualLayout>
          </c:layout>
          <c:overlay val="0"/>
        </c:title>
        <c:numFmt formatCode="_(* #,##0_);_(* \(#,##0\);_(* &quot;-&quot;_);_(@_)" sourceLinked="0"/>
        <c:majorTickMark val="out"/>
        <c:minorTickMark val="none"/>
        <c:tickLblPos val="nextTo"/>
        <c:txPr>
          <a:bodyPr/>
          <a:lstStyle/>
          <a:p>
            <a:pPr>
              <a:defRPr lang="en-US"/>
            </a:pPr>
            <a:endParaRPr lang="en-US"/>
          </a:p>
        </c:txPr>
        <c:crossAx val="41335808"/>
        <c:crosses val="autoZero"/>
        <c:crossBetween val="between"/>
      </c:valAx>
      <c:spPr>
        <a:solidFill>
          <a:schemeClr val="bg1"/>
        </a:solidFill>
        <a:ln>
          <a:solidFill>
            <a:schemeClr val="tx1">
              <a:lumMod val="50000"/>
              <a:lumOff val="50000"/>
            </a:schemeClr>
          </a:solidFill>
        </a:ln>
      </c:spPr>
    </c:plotArea>
    <c:legend>
      <c:legendPos val="b"/>
      <c:layout>
        <c:manualLayout>
          <c:xMode val="edge"/>
          <c:yMode val="edge"/>
          <c:x val="1.8246900562915603E-2"/>
          <c:y val="0.86442899154414365"/>
          <c:w val="0.97413553205042214"/>
          <c:h val="0.10794784778276408"/>
        </c:manualLayout>
      </c:layout>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tx>
        <c:rich>
          <a:bodyPr/>
          <a:lstStyle/>
          <a:p>
            <a:pPr>
              <a:defRPr lang="en-GB"/>
            </a:pPr>
            <a:r>
              <a:rPr lang="en-US" sz="1600">
                <a:solidFill>
                  <a:sysClr val="windowText" lastClr="000000"/>
                </a:solidFill>
              </a:rPr>
              <a:t> Peer comparison of</a:t>
            </a:r>
            <a:r>
              <a:rPr lang="en-US" sz="1600" baseline="0">
                <a:solidFill>
                  <a:sysClr val="windowText" lastClr="000000"/>
                </a:solidFill>
              </a:rPr>
              <a:t> Key Performance Indicators</a:t>
            </a:r>
            <a:endParaRPr lang="en-US" sz="1600">
              <a:solidFill>
                <a:sysClr val="windowText" lastClr="000000"/>
              </a:solidFill>
            </a:endParaRPr>
          </a:p>
        </c:rich>
      </c:tx>
      <c:layout>
        <c:manualLayout>
          <c:xMode val="edge"/>
          <c:yMode val="edge"/>
          <c:x val="0.32753061127246963"/>
          <c:y val="1.5555551200545645E-2"/>
        </c:manualLayout>
      </c:layout>
      <c:overlay val="0"/>
      <c:spPr>
        <a:solidFill>
          <a:schemeClr val="bg1">
            <a:lumMod val="50000"/>
          </a:schemeClr>
        </a:solidFill>
      </c:spPr>
    </c:title>
    <c:autoTitleDeleted val="0"/>
    <c:plotArea>
      <c:layout>
        <c:manualLayout>
          <c:layoutTarget val="inner"/>
          <c:xMode val="edge"/>
          <c:yMode val="edge"/>
          <c:x val="4.0562137200389974E-2"/>
          <c:y val="0.10115321752490848"/>
          <c:w val="0.93837805315392864"/>
          <c:h val="0.68139218018766257"/>
        </c:manualLayout>
      </c:layout>
      <c:barChart>
        <c:barDir val="col"/>
        <c:grouping val="clustered"/>
        <c:varyColors val="0"/>
        <c:ser>
          <c:idx val="0"/>
          <c:order val="0"/>
          <c:tx>
            <c:strRef>
              <c:f>Population!$D$156</c:f>
              <c:strCache>
                <c:ptCount val="1"/>
                <c:pt idx="0">
                  <c:v>Benchmark</c:v>
                </c:pt>
              </c:strCache>
            </c:strRef>
          </c:tx>
          <c:spPr>
            <a:solidFill>
              <a:schemeClr val="tx1">
                <a:lumMod val="75000"/>
                <a:lumOff val="25000"/>
              </a:schemeClr>
            </a:solidFill>
            <a:ln>
              <a:noFill/>
            </a:ln>
          </c:spPr>
          <c:invertIfNegative val="0"/>
          <c:cat>
            <c:strRef>
              <c:f>Population!$C$157:$C$166</c:f>
              <c:strCache>
                <c:ptCount val="10"/>
                <c:pt idx="0">
                  <c:v>Coverage of WS in city</c:v>
                </c:pt>
                <c:pt idx="1">
                  <c:v>Coverage of WS in slum</c:v>
                </c:pt>
                <c:pt idx="2">
                  <c:v>Per Capita supply of water</c:v>
                </c:pt>
                <c:pt idx="3">
                  <c:v>Continuity of WS</c:v>
                </c:pt>
                <c:pt idx="4">
                  <c:v>Extent of NRW</c:v>
                </c:pt>
                <c:pt idx="5">
                  <c:v>Extent of metering</c:v>
                </c:pt>
                <c:pt idx="6">
                  <c:v>Quality of water supplied</c:v>
                </c:pt>
                <c:pt idx="7">
                  <c:v>Customer complaint WS</c:v>
                </c:pt>
                <c:pt idx="8">
                  <c:v>Collection eff. of WS charges</c:v>
                </c:pt>
                <c:pt idx="9">
                  <c:v>Cost recovery WS</c:v>
                </c:pt>
              </c:strCache>
            </c:strRef>
          </c:cat>
          <c:val>
            <c:numRef>
              <c:f>Population!$D$157:$D$166</c:f>
              <c:numCache>
                <c:formatCode>0</c:formatCode>
                <c:ptCount val="10"/>
                <c:pt idx="0">
                  <c:v>100</c:v>
                </c:pt>
                <c:pt idx="1">
                  <c:v>100</c:v>
                </c:pt>
                <c:pt idx="2">
                  <c:v>70</c:v>
                </c:pt>
                <c:pt idx="3" formatCode="0.0">
                  <c:v>24</c:v>
                </c:pt>
                <c:pt idx="4">
                  <c:v>15</c:v>
                </c:pt>
                <c:pt idx="5">
                  <c:v>100</c:v>
                </c:pt>
                <c:pt idx="6">
                  <c:v>100</c:v>
                </c:pt>
                <c:pt idx="7">
                  <c:v>80</c:v>
                </c:pt>
                <c:pt idx="8">
                  <c:v>90</c:v>
                </c:pt>
                <c:pt idx="9">
                  <c:v>100</c:v>
                </c:pt>
              </c:numCache>
            </c:numRef>
          </c:val>
          <c:extLst xmlns:c16r2="http://schemas.microsoft.com/office/drawing/2015/06/chart">
            <c:ext xmlns:c16="http://schemas.microsoft.com/office/drawing/2014/chart" uri="{C3380CC4-5D6E-409C-BE32-E72D297353CC}">
              <c16:uniqueId val="{00000000-3BEE-4D86-BB1F-907D589AE298}"/>
            </c:ext>
          </c:extLst>
        </c:ser>
        <c:ser>
          <c:idx val="1"/>
          <c:order val="1"/>
          <c:tx>
            <c:strRef>
              <c:f>Population!$E$156</c:f>
              <c:strCache>
                <c:ptCount val="1"/>
                <c:pt idx="0">
                  <c:v>0%</c:v>
                </c:pt>
              </c:strCache>
            </c:strRef>
          </c:tx>
          <c:spPr>
            <a:solidFill>
              <a:schemeClr val="bg1">
                <a:lumMod val="50000"/>
              </a:schemeClr>
            </a:solidFill>
            <a:ln>
              <a:solidFill>
                <a:schemeClr val="bg1">
                  <a:lumMod val="75000"/>
                </a:schemeClr>
              </a:solidFill>
            </a:ln>
          </c:spPr>
          <c:invertIfNegative val="0"/>
          <c:cat>
            <c:strRef>
              <c:f>Population!$C$157:$C$166</c:f>
              <c:strCache>
                <c:ptCount val="10"/>
                <c:pt idx="0">
                  <c:v>Coverage of WS in city</c:v>
                </c:pt>
                <c:pt idx="1">
                  <c:v>Coverage of WS in slum</c:v>
                </c:pt>
                <c:pt idx="2">
                  <c:v>Per Capita supply of water</c:v>
                </c:pt>
                <c:pt idx="3">
                  <c:v>Continuity of WS</c:v>
                </c:pt>
                <c:pt idx="4">
                  <c:v>Extent of NRW</c:v>
                </c:pt>
                <c:pt idx="5">
                  <c:v>Extent of metering</c:v>
                </c:pt>
                <c:pt idx="6">
                  <c:v>Quality of water supplied</c:v>
                </c:pt>
                <c:pt idx="7">
                  <c:v>Customer complaint WS</c:v>
                </c:pt>
                <c:pt idx="8">
                  <c:v>Collection eff. of WS charges</c:v>
                </c:pt>
                <c:pt idx="9">
                  <c:v>Cost recovery WS</c:v>
                </c:pt>
              </c:strCache>
            </c:strRef>
          </c:cat>
          <c:val>
            <c:numRef>
              <c:f>Population!$E$157:$E$166</c:f>
              <c:numCache>
                <c:formatCode>0</c:formatCode>
                <c:ptCount val="10"/>
                <c:pt idx="0">
                  <c:v>#N/A</c:v>
                </c:pt>
                <c:pt idx="1">
                  <c:v>#N/A</c:v>
                </c:pt>
                <c:pt idx="2">
                  <c:v>#N/A</c:v>
                </c:pt>
                <c:pt idx="3" formatCode="0.0">
                  <c:v>#N/A</c:v>
                </c:pt>
                <c:pt idx="4">
                  <c:v>#N/A</c:v>
                </c:pt>
                <c:pt idx="5">
                  <c:v>#N/A</c:v>
                </c:pt>
                <c:pt idx="6">
                  <c:v>#N/A</c:v>
                </c:pt>
                <c:pt idx="7">
                  <c:v>#N/A</c:v>
                </c:pt>
                <c:pt idx="8">
                  <c:v>#N/A</c:v>
                </c:pt>
                <c:pt idx="9">
                  <c:v>#N/A</c:v>
                </c:pt>
              </c:numCache>
            </c:numRef>
          </c:val>
          <c:extLst xmlns:c16r2="http://schemas.microsoft.com/office/drawing/2015/06/chart">
            <c:ext xmlns:c16="http://schemas.microsoft.com/office/drawing/2014/chart" uri="{C3380CC4-5D6E-409C-BE32-E72D297353CC}">
              <c16:uniqueId val="{00000001-3BEE-4D86-BB1F-907D589AE298}"/>
            </c:ext>
          </c:extLst>
        </c:ser>
        <c:ser>
          <c:idx val="2"/>
          <c:order val="2"/>
          <c:tx>
            <c:strRef>
              <c:f>Population!$F$156</c:f>
              <c:strCache>
                <c:ptCount val="1"/>
                <c:pt idx="0">
                  <c:v>0%</c:v>
                </c:pt>
              </c:strCache>
            </c:strRef>
          </c:tx>
          <c:spPr>
            <a:solidFill>
              <a:schemeClr val="bg1">
                <a:lumMod val="75000"/>
              </a:schemeClr>
            </a:solidFill>
            <a:ln>
              <a:noFill/>
            </a:ln>
          </c:spPr>
          <c:invertIfNegative val="0"/>
          <c:cat>
            <c:strRef>
              <c:f>Population!$C$157:$C$166</c:f>
              <c:strCache>
                <c:ptCount val="10"/>
                <c:pt idx="0">
                  <c:v>Coverage of WS in city</c:v>
                </c:pt>
                <c:pt idx="1">
                  <c:v>Coverage of WS in slum</c:v>
                </c:pt>
                <c:pt idx="2">
                  <c:v>Per Capita supply of water</c:v>
                </c:pt>
                <c:pt idx="3">
                  <c:v>Continuity of WS</c:v>
                </c:pt>
                <c:pt idx="4">
                  <c:v>Extent of NRW</c:v>
                </c:pt>
                <c:pt idx="5">
                  <c:v>Extent of metering</c:v>
                </c:pt>
                <c:pt idx="6">
                  <c:v>Quality of water supplied</c:v>
                </c:pt>
                <c:pt idx="7">
                  <c:v>Customer complaint WS</c:v>
                </c:pt>
                <c:pt idx="8">
                  <c:v>Collection eff. of WS charges</c:v>
                </c:pt>
                <c:pt idx="9">
                  <c:v>Cost recovery WS</c:v>
                </c:pt>
              </c:strCache>
            </c:strRef>
          </c:cat>
          <c:val>
            <c:numRef>
              <c:f>Population!$F$157:$F$166</c:f>
              <c:numCache>
                <c:formatCode>0</c:formatCode>
                <c:ptCount val="10"/>
                <c:pt idx="0">
                  <c:v>#N/A</c:v>
                </c:pt>
                <c:pt idx="1">
                  <c:v>#N/A</c:v>
                </c:pt>
                <c:pt idx="2">
                  <c:v>#N/A</c:v>
                </c:pt>
                <c:pt idx="3" formatCode="0.0">
                  <c:v>#N/A</c:v>
                </c:pt>
                <c:pt idx="4">
                  <c:v>#N/A</c:v>
                </c:pt>
                <c:pt idx="5">
                  <c:v>#N/A</c:v>
                </c:pt>
                <c:pt idx="6">
                  <c:v>#N/A</c:v>
                </c:pt>
                <c:pt idx="7">
                  <c:v>#N/A</c:v>
                </c:pt>
                <c:pt idx="8">
                  <c:v>#N/A</c:v>
                </c:pt>
                <c:pt idx="9">
                  <c:v>#N/A</c:v>
                </c:pt>
              </c:numCache>
            </c:numRef>
          </c:val>
          <c:extLst xmlns:c16r2="http://schemas.microsoft.com/office/drawing/2015/06/chart">
            <c:ext xmlns:c16="http://schemas.microsoft.com/office/drawing/2014/chart" uri="{C3380CC4-5D6E-409C-BE32-E72D297353CC}">
              <c16:uniqueId val="{00000002-3BEE-4D86-BB1F-907D589AE298}"/>
            </c:ext>
          </c:extLst>
        </c:ser>
        <c:ser>
          <c:idx val="3"/>
          <c:order val="3"/>
          <c:tx>
            <c:strRef>
              <c:f>Population!$G$156</c:f>
              <c:strCache>
                <c:ptCount val="1"/>
                <c:pt idx="0">
                  <c:v>Wai</c:v>
                </c:pt>
              </c:strCache>
            </c:strRef>
          </c:tx>
          <c:spPr>
            <a:solidFill>
              <a:schemeClr val="accent1"/>
            </a:solidFill>
            <a:ln>
              <a:noFill/>
            </a:ln>
          </c:spPr>
          <c:invertIfNegative val="0"/>
          <c:cat>
            <c:strRef>
              <c:f>Population!$C$157:$C$166</c:f>
              <c:strCache>
                <c:ptCount val="10"/>
                <c:pt idx="0">
                  <c:v>Coverage of WS in city</c:v>
                </c:pt>
                <c:pt idx="1">
                  <c:v>Coverage of WS in slum</c:v>
                </c:pt>
                <c:pt idx="2">
                  <c:v>Per Capita supply of water</c:v>
                </c:pt>
                <c:pt idx="3">
                  <c:v>Continuity of WS</c:v>
                </c:pt>
                <c:pt idx="4">
                  <c:v>Extent of NRW</c:v>
                </c:pt>
                <c:pt idx="5">
                  <c:v>Extent of metering</c:v>
                </c:pt>
                <c:pt idx="6">
                  <c:v>Quality of water supplied</c:v>
                </c:pt>
                <c:pt idx="7">
                  <c:v>Customer complaint WS</c:v>
                </c:pt>
                <c:pt idx="8">
                  <c:v>Collection eff. of WS charges</c:v>
                </c:pt>
                <c:pt idx="9">
                  <c:v>Cost recovery WS</c:v>
                </c:pt>
              </c:strCache>
            </c:strRef>
          </c:cat>
          <c:val>
            <c:numRef>
              <c:f>Population!$G$157:$G$166</c:f>
              <c:numCache>
                <c:formatCode>_(* #,##0_);_(* \(#,##0\);_(* "-"??_);_(@_)</c:formatCode>
                <c:ptCount val="10"/>
                <c:pt idx="0">
                  <c:v>0</c:v>
                </c:pt>
                <c:pt idx="1">
                  <c:v>0</c:v>
                </c:pt>
                <c:pt idx="2">
                  <c:v>0</c:v>
                </c:pt>
                <c:pt idx="3" formatCode="_(* #,##0.00_);_(* \(#,##0.00\);_(* &quot;-&quot;??_);_(@_)">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3BEE-4D86-BB1F-907D589AE298}"/>
            </c:ext>
          </c:extLst>
        </c:ser>
        <c:dLbls>
          <c:showLegendKey val="0"/>
          <c:showVal val="0"/>
          <c:showCatName val="0"/>
          <c:showSerName val="0"/>
          <c:showPercent val="0"/>
          <c:showBubbleSize val="0"/>
        </c:dLbls>
        <c:gapWidth val="150"/>
        <c:axId val="41607168"/>
        <c:axId val="558232640"/>
      </c:barChart>
      <c:catAx>
        <c:axId val="41607168"/>
        <c:scaling>
          <c:orientation val="minMax"/>
        </c:scaling>
        <c:delete val="0"/>
        <c:axPos val="b"/>
        <c:majorGridlines/>
        <c:numFmt formatCode="General" sourceLinked="0"/>
        <c:majorTickMark val="out"/>
        <c:minorTickMark val="none"/>
        <c:tickLblPos val="nextTo"/>
        <c:spPr>
          <a:ln>
            <a:solidFill>
              <a:schemeClr val="bg1"/>
            </a:solidFill>
          </a:ln>
        </c:spPr>
        <c:txPr>
          <a:bodyPr rot="0" vert="horz" anchor="t" anchorCtr="0"/>
          <a:lstStyle/>
          <a:p>
            <a:pPr>
              <a:defRPr lang="en-GB" sz="1050"/>
            </a:pPr>
            <a:endParaRPr lang="en-US"/>
          </a:p>
        </c:txPr>
        <c:crossAx val="558232640"/>
        <c:crosses val="autoZero"/>
        <c:auto val="1"/>
        <c:lblAlgn val="ctr"/>
        <c:lblOffset val="100"/>
        <c:noMultiLvlLbl val="0"/>
      </c:catAx>
      <c:valAx>
        <c:axId val="558232640"/>
        <c:scaling>
          <c:orientation val="minMax"/>
        </c:scaling>
        <c:delete val="0"/>
        <c:axPos val="l"/>
        <c:majorGridlines/>
        <c:numFmt formatCode="0" sourceLinked="0"/>
        <c:majorTickMark val="out"/>
        <c:minorTickMark val="none"/>
        <c:tickLblPos val="nextTo"/>
        <c:spPr>
          <a:ln>
            <a:solidFill>
              <a:schemeClr val="bg1"/>
            </a:solidFill>
          </a:ln>
        </c:spPr>
        <c:txPr>
          <a:bodyPr/>
          <a:lstStyle/>
          <a:p>
            <a:pPr>
              <a:defRPr lang="en-GB" sz="1050"/>
            </a:pPr>
            <a:endParaRPr lang="en-US"/>
          </a:p>
        </c:txPr>
        <c:crossAx val="41607168"/>
        <c:crosses val="autoZero"/>
        <c:crossBetween val="between"/>
      </c:valAx>
      <c:spPr>
        <a:solidFill>
          <a:sysClr val="window" lastClr="FFFFFF">
            <a:lumMod val="95000"/>
          </a:sysClr>
        </a:solidFill>
        <a:ln>
          <a:solidFill>
            <a:schemeClr val="bg1"/>
          </a:solidFill>
        </a:ln>
      </c:spPr>
    </c:plotArea>
    <c:legend>
      <c:legendPos val="b"/>
      <c:legendEntry>
        <c:idx val="1"/>
        <c:delete val="1"/>
      </c:legendEntry>
      <c:legendEntry>
        <c:idx val="2"/>
        <c:delete val="1"/>
      </c:legendEntry>
      <c:layout>
        <c:manualLayout>
          <c:xMode val="edge"/>
          <c:yMode val="edge"/>
          <c:x val="0.21390744998427993"/>
          <c:y val="0.91179016600412277"/>
          <c:w val="0.46267799253552006"/>
          <c:h val="8.8209833995910827E-2"/>
        </c:manualLayout>
      </c:layout>
      <c:overlay val="0"/>
      <c:txPr>
        <a:bodyPr/>
        <a:lstStyle/>
        <a:p>
          <a:pPr>
            <a:defRPr lang="en-GB" sz="1200"/>
          </a:pPr>
          <a:endParaRPr lang="en-US"/>
        </a:p>
      </c:txPr>
    </c:legend>
    <c:plotVisOnly val="1"/>
    <c:dispBlanksAs val="gap"/>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Collection</a:t>
            </a:r>
            <a:r>
              <a:rPr lang="en-US" sz="1400" baseline="0"/>
              <a:t> and treatment of Septage</a:t>
            </a:r>
            <a:endParaRPr lang="en-US" sz="1400"/>
          </a:p>
        </c:rich>
      </c:tx>
      <c:layout>
        <c:manualLayout>
          <c:xMode val="edge"/>
          <c:yMode val="edge"/>
          <c:x val="0.22877669498912984"/>
          <c:y val="2.1455937402725823E-2"/>
        </c:manualLayout>
      </c:layout>
      <c:overlay val="1"/>
    </c:title>
    <c:autoTitleDeleted val="0"/>
    <c:plotArea>
      <c:layout>
        <c:manualLayout>
          <c:layoutTarget val="inner"/>
          <c:xMode val="edge"/>
          <c:yMode val="edge"/>
          <c:x val="0.21170663951614832"/>
          <c:y val="0.14471396236679518"/>
          <c:w val="0.73488074608707965"/>
          <c:h val="0.63186764220789293"/>
        </c:manualLayout>
      </c:layout>
      <c:barChart>
        <c:barDir val="bar"/>
        <c:grouping val="stacked"/>
        <c:varyColors val="0"/>
        <c:ser>
          <c:idx val="0"/>
          <c:order val="0"/>
          <c:invertIfNegative val="0"/>
          <c:cat>
            <c:strRef>
              <c:f>'WW calcu'!$G$1139:$G$1141</c:f>
              <c:strCache>
                <c:ptCount val="3"/>
                <c:pt idx="0">
                  <c:v>Generation</c:v>
                </c:pt>
                <c:pt idx="1">
                  <c:v>Collection</c:v>
                </c:pt>
                <c:pt idx="2">
                  <c:v>Treatment</c:v>
                </c:pt>
              </c:strCache>
            </c:strRef>
          </c:cat>
          <c:val>
            <c:numRef>
              <c:f>'WW calcu'!$H$1139:$H$1141</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B729-4FF7-A96D-303CD7012728}"/>
            </c:ext>
          </c:extLst>
        </c:ser>
        <c:dLbls>
          <c:showLegendKey val="0"/>
          <c:showVal val="0"/>
          <c:showCatName val="0"/>
          <c:showSerName val="0"/>
          <c:showPercent val="0"/>
          <c:showBubbleSize val="0"/>
        </c:dLbls>
        <c:gapWidth val="63"/>
        <c:overlap val="100"/>
        <c:axId val="41609216"/>
        <c:axId val="558234944"/>
      </c:barChart>
      <c:catAx>
        <c:axId val="41609216"/>
        <c:scaling>
          <c:orientation val="maxMin"/>
        </c:scaling>
        <c:delete val="0"/>
        <c:axPos val="l"/>
        <c:numFmt formatCode="General" sourceLinked="0"/>
        <c:majorTickMark val="out"/>
        <c:minorTickMark val="none"/>
        <c:tickLblPos val="nextTo"/>
        <c:txPr>
          <a:bodyPr/>
          <a:lstStyle/>
          <a:p>
            <a:pPr>
              <a:defRPr lang="en-US" sz="1100"/>
            </a:pPr>
            <a:endParaRPr lang="en-US"/>
          </a:p>
        </c:txPr>
        <c:crossAx val="558234944"/>
        <c:crosses val="autoZero"/>
        <c:auto val="1"/>
        <c:lblAlgn val="ctr"/>
        <c:lblOffset val="100"/>
        <c:noMultiLvlLbl val="0"/>
      </c:catAx>
      <c:valAx>
        <c:axId val="558234944"/>
        <c:scaling>
          <c:orientation val="minMax"/>
        </c:scaling>
        <c:delete val="0"/>
        <c:axPos val="t"/>
        <c:majorGridlines/>
        <c:title>
          <c:tx>
            <c:rich>
              <a:bodyPr/>
              <a:lstStyle/>
              <a:p>
                <a:pPr>
                  <a:defRPr lang="en-US" sz="1100"/>
                </a:pPr>
                <a:r>
                  <a:rPr lang="en-US" sz="1100"/>
                  <a:t>Septage in Cu.m.</a:t>
                </a:r>
                <a:r>
                  <a:rPr lang="en-US" sz="1100" baseline="0"/>
                  <a:t>/month</a:t>
                </a:r>
                <a:endParaRPr lang="en-US" sz="1100"/>
              </a:p>
            </c:rich>
          </c:tx>
          <c:layout>
            <c:manualLayout>
              <c:xMode val="edge"/>
              <c:yMode val="edge"/>
              <c:x val="0.3992599108816775"/>
              <c:y val="0.89828407407704558"/>
            </c:manualLayout>
          </c:layout>
          <c:overlay val="0"/>
        </c:title>
        <c:numFmt formatCode="_(* #,##0_);_(* \(#,##0\);_(* &quot;-&quot;??_);_(@_)" sourceLinked="1"/>
        <c:majorTickMark val="out"/>
        <c:minorTickMark val="none"/>
        <c:tickLblPos val="high"/>
        <c:txPr>
          <a:bodyPr/>
          <a:lstStyle/>
          <a:p>
            <a:pPr>
              <a:defRPr lang="en-US"/>
            </a:pPr>
            <a:endParaRPr lang="en-US"/>
          </a:p>
        </c:txPr>
        <c:crossAx val="41609216"/>
        <c:crosses val="autoZero"/>
        <c:crossBetween val="between"/>
      </c:valAx>
      <c:spPr>
        <a:solidFill>
          <a:schemeClr val="bg1"/>
        </a:solidFill>
        <a:ln>
          <a:solidFill>
            <a:schemeClr val="tx1">
              <a:lumMod val="50000"/>
              <a:lumOff val="50000"/>
            </a:schemeClr>
          </a:solid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Solid waste disposal</a:t>
            </a:r>
            <a:r>
              <a:rPr lang="en-US" sz="1400" baseline="0"/>
              <a:t> system</a:t>
            </a:r>
            <a:endParaRPr lang="en-US" sz="1400"/>
          </a:p>
        </c:rich>
      </c:tx>
      <c:layout>
        <c:manualLayout>
          <c:xMode val="edge"/>
          <c:yMode val="edge"/>
          <c:x val="0.43431666123603946"/>
          <c:y val="3.6709734190967423E-2"/>
        </c:manualLayout>
      </c:layout>
      <c:overlay val="1"/>
    </c:title>
    <c:autoTitleDeleted val="0"/>
    <c:plotArea>
      <c:layout>
        <c:manualLayout>
          <c:layoutTarget val="inner"/>
          <c:xMode val="edge"/>
          <c:yMode val="edge"/>
          <c:x val="0.12689095592629895"/>
          <c:y val="0.16269473399069498"/>
          <c:w val="0.71850342319675653"/>
          <c:h val="0.51096357477657228"/>
        </c:manualLayout>
      </c:layout>
      <c:barChart>
        <c:barDir val="bar"/>
        <c:grouping val="stacked"/>
        <c:varyColors val="0"/>
        <c:ser>
          <c:idx val="0"/>
          <c:order val="0"/>
          <c:tx>
            <c:strRef>
              <c:f>'MSW calcu'!$E$312</c:f>
              <c:strCache>
                <c:ptCount val="1"/>
                <c:pt idx="0">
                  <c:v>SW processed by-product</c:v>
                </c:pt>
              </c:strCache>
            </c:strRef>
          </c:tx>
          <c:invertIfNegative val="0"/>
          <c:cat>
            <c:strRef>
              <c:f>'MSW calcu'!$D$313</c:f>
              <c:strCache>
                <c:ptCount val="1"/>
                <c:pt idx="0">
                  <c:v>Solid waste (MT/day)</c:v>
                </c:pt>
              </c:strCache>
            </c:strRef>
          </c:cat>
          <c:val>
            <c:numRef>
              <c:f>'MSW calcu'!$E$313</c:f>
              <c:numCache>
                <c:formatCode>_(* #,##0.0_);_(* \(#,##0.0\);_(* "-"??_);_(@_)</c:formatCode>
                <c:ptCount val="1"/>
                <c:pt idx="0">
                  <c:v>0</c:v>
                </c:pt>
              </c:numCache>
            </c:numRef>
          </c:val>
          <c:extLst xmlns:c16r2="http://schemas.microsoft.com/office/drawing/2015/06/chart">
            <c:ext xmlns:c16="http://schemas.microsoft.com/office/drawing/2014/chart" uri="{C3380CC4-5D6E-409C-BE32-E72D297353CC}">
              <c16:uniqueId val="{00000000-9D17-407B-8254-96DB5B0FF253}"/>
            </c:ext>
          </c:extLst>
        </c:ser>
        <c:ser>
          <c:idx val="1"/>
          <c:order val="1"/>
          <c:tx>
            <c:strRef>
              <c:f>'MSW calcu'!$F$312</c:f>
              <c:strCache>
                <c:ptCount val="1"/>
                <c:pt idx="0">
                  <c:v>SW disposed scientifically</c:v>
                </c:pt>
              </c:strCache>
            </c:strRef>
          </c:tx>
          <c:invertIfNegative val="0"/>
          <c:cat>
            <c:strRef>
              <c:f>'MSW calcu'!$D$313</c:f>
              <c:strCache>
                <c:ptCount val="1"/>
                <c:pt idx="0">
                  <c:v>Solid waste (MT/day)</c:v>
                </c:pt>
              </c:strCache>
            </c:strRef>
          </c:cat>
          <c:val>
            <c:numRef>
              <c:f>'MSW calcu'!$F$313</c:f>
              <c:numCache>
                <c:formatCode>_(* #,##0.0_);_(* \(#,##0.0\);_(* "-"??_);_(@_)</c:formatCode>
                <c:ptCount val="1"/>
                <c:pt idx="0">
                  <c:v>0</c:v>
                </c:pt>
              </c:numCache>
            </c:numRef>
          </c:val>
          <c:extLst xmlns:c16r2="http://schemas.microsoft.com/office/drawing/2015/06/chart">
            <c:ext xmlns:c16="http://schemas.microsoft.com/office/drawing/2014/chart" uri="{C3380CC4-5D6E-409C-BE32-E72D297353CC}">
              <c16:uniqueId val="{00000001-9D17-407B-8254-96DB5B0FF253}"/>
            </c:ext>
          </c:extLst>
        </c:ser>
        <c:ser>
          <c:idx val="2"/>
          <c:order val="2"/>
          <c:tx>
            <c:strRef>
              <c:f>'MSW calcu'!$G$312</c:f>
              <c:strCache>
                <c:ptCount val="1"/>
                <c:pt idx="0">
                  <c:v>SW dumped in open site</c:v>
                </c:pt>
              </c:strCache>
            </c:strRef>
          </c:tx>
          <c:invertIfNegative val="0"/>
          <c:cat>
            <c:strRef>
              <c:f>'MSW calcu'!$D$313</c:f>
              <c:strCache>
                <c:ptCount val="1"/>
                <c:pt idx="0">
                  <c:v>Solid waste (MT/day)</c:v>
                </c:pt>
              </c:strCache>
            </c:strRef>
          </c:cat>
          <c:val>
            <c:numRef>
              <c:f>'MSW calcu'!$G$313</c:f>
              <c:numCache>
                <c:formatCode>_(* #,##0.0_);_(* \(#,##0.0\);_(* "-"??_);_(@_)</c:formatCode>
                <c:ptCount val="1"/>
                <c:pt idx="0">
                  <c:v>0</c:v>
                </c:pt>
              </c:numCache>
            </c:numRef>
          </c:val>
          <c:extLst xmlns:c16r2="http://schemas.microsoft.com/office/drawing/2015/06/chart">
            <c:ext xmlns:c16="http://schemas.microsoft.com/office/drawing/2014/chart" uri="{C3380CC4-5D6E-409C-BE32-E72D297353CC}">
              <c16:uniqueId val="{00000002-9D17-407B-8254-96DB5B0FF253}"/>
            </c:ext>
          </c:extLst>
        </c:ser>
        <c:dLbls>
          <c:showLegendKey val="0"/>
          <c:showVal val="0"/>
          <c:showCatName val="0"/>
          <c:showSerName val="0"/>
          <c:showPercent val="0"/>
          <c:showBubbleSize val="0"/>
        </c:dLbls>
        <c:gapWidth val="66"/>
        <c:overlap val="100"/>
        <c:axId val="41609728"/>
        <c:axId val="41682048"/>
      </c:barChart>
      <c:catAx>
        <c:axId val="41609728"/>
        <c:scaling>
          <c:orientation val="minMax"/>
        </c:scaling>
        <c:delete val="0"/>
        <c:axPos val="l"/>
        <c:numFmt formatCode="General" sourceLinked="0"/>
        <c:majorTickMark val="out"/>
        <c:minorTickMark val="none"/>
        <c:tickLblPos val="nextTo"/>
        <c:txPr>
          <a:bodyPr/>
          <a:lstStyle/>
          <a:p>
            <a:pPr>
              <a:defRPr lang="en-US" sz="1100"/>
            </a:pPr>
            <a:endParaRPr lang="en-US"/>
          </a:p>
        </c:txPr>
        <c:crossAx val="41682048"/>
        <c:crosses val="autoZero"/>
        <c:auto val="1"/>
        <c:lblAlgn val="ctr"/>
        <c:lblOffset val="100"/>
        <c:noMultiLvlLbl val="0"/>
      </c:catAx>
      <c:valAx>
        <c:axId val="41682048"/>
        <c:scaling>
          <c:orientation val="minMax"/>
        </c:scaling>
        <c:delete val="0"/>
        <c:axPos val="b"/>
        <c:majorGridlines/>
        <c:title>
          <c:tx>
            <c:rich>
              <a:bodyPr/>
              <a:lstStyle/>
              <a:p>
                <a:pPr>
                  <a:defRPr lang="en-US" sz="1100"/>
                </a:pPr>
                <a:r>
                  <a:rPr lang="en-US" sz="1100"/>
                  <a:t>Solid waste</a:t>
                </a:r>
                <a:r>
                  <a:rPr lang="en-US" sz="1100" baseline="0"/>
                  <a:t> (Metric tonnes)</a:t>
                </a:r>
                <a:endParaRPr lang="en-US" sz="1100"/>
              </a:p>
            </c:rich>
          </c:tx>
          <c:layout>
            <c:manualLayout>
              <c:xMode val="edge"/>
              <c:yMode val="edge"/>
              <c:x val="0.43150912721990276"/>
              <c:y val="0.82301902670891269"/>
            </c:manualLayout>
          </c:layout>
          <c:overlay val="0"/>
        </c:title>
        <c:numFmt formatCode="#,##0" sourceLinked="0"/>
        <c:majorTickMark val="out"/>
        <c:minorTickMark val="none"/>
        <c:tickLblPos val="nextTo"/>
        <c:txPr>
          <a:bodyPr/>
          <a:lstStyle/>
          <a:p>
            <a:pPr>
              <a:defRPr lang="en-US"/>
            </a:pPr>
            <a:endParaRPr lang="en-US"/>
          </a:p>
        </c:txPr>
        <c:crossAx val="41609728"/>
        <c:crosses val="autoZero"/>
        <c:crossBetween val="between"/>
      </c:valAx>
      <c:spPr>
        <a:solidFill>
          <a:schemeClr val="bg1"/>
        </a:solidFill>
        <a:ln>
          <a:solidFill>
            <a:schemeClr val="tx1">
              <a:lumMod val="50000"/>
              <a:lumOff val="50000"/>
            </a:schemeClr>
          </a:solidFill>
        </a:ln>
      </c:spPr>
    </c:plotArea>
    <c:legend>
      <c:legendPos val="r"/>
      <c:layout>
        <c:manualLayout>
          <c:xMode val="edge"/>
          <c:yMode val="edge"/>
          <c:x val="0.85982422421866622"/>
          <c:y val="0.15847166929360812"/>
          <c:w val="0.13356420610710598"/>
          <c:h val="0.58341595432301507"/>
        </c:manualLayout>
      </c:layout>
      <c:overlay val="0"/>
      <c:txPr>
        <a:bodyPr/>
        <a:lstStyle/>
        <a:p>
          <a:pPr>
            <a:defRPr lang="en-GB" sz="105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Extent of sewage reused</a:t>
            </a:r>
          </a:p>
        </c:rich>
      </c:tx>
      <c:layout>
        <c:manualLayout>
          <c:xMode val="edge"/>
          <c:yMode val="edge"/>
          <c:x val="0.31633257247807811"/>
          <c:y val="6.7532467532467583E-2"/>
        </c:manualLayout>
      </c:layout>
      <c:overlay val="1"/>
      <c:spPr>
        <a:noFill/>
      </c:spPr>
    </c:title>
    <c:autoTitleDeleted val="0"/>
    <c:plotArea>
      <c:layout>
        <c:manualLayout>
          <c:layoutTarget val="inner"/>
          <c:xMode val="edge"/>
          <c:yMode val="edge"/>
          <c:x val="0.19081094902861387"/>
          <c:y val="0.18237529399735194"/>
          <c:w val="0.74902733074651962"/>
          <c:h val="0.51120032723182329"/>
        </c:manualLayout>
      </c:layout>
      <c:barChart>
        <c:barDir val="bar"/>
        <c:grouping val="stacked"/>
        <c:varyColors val="0"/>
        <c:ser>
          <c:idx val="0"/>
          <c:order val="0"/>
          <c:tx>
            <c:strRef>
              <c:f>'WW calcu'!$K$1138</c:f>
              <c:strCache>
                <c:ptCount val="1"/>
                <c:pt idx="0">
                  <c:v>Reused</c:v>
                </c:pt>
              </c:strCache>
            </c:strRef>
          </c:tx>
          <c:invertIfNegative val="0"/>
          <c:cat>
            <c:strRef>
              <c:f>'WW calcu'!$J$1139</c:f>
              <c:strCache>
                <c:ptCount val="1"/>
                <c:pt idx="0">
                  <c:v>Treated sewage (MLD)</c:v>
                </c:pt>
              </c:strCache>
            </c:strRef>
          </c:cat>
          <c:val>
            <c:numRef>
              <c:f>'WW calcu'!$K$1139</c:f>
              <c:numCache>
                <c:formatCode>_(* #,##0.00_);_(* \(#,##0.00\);_(* "-"??_);_(@_)</c:formatCode>
                <c:ptCount val="1"/>
                <c:pt idx="0">
                  <c:v>0</c:v>
                </c:pt>
              </c:numCache>
            </c:numRef>
          </c:val>
          <c:extLst xmlns:c16r2="http://schemas.microsoft.com/office/drawing/2015/06/chart">
            <c:ext xmlns:c16="http://schemas.microsoft.com/office/drawing/2014/chart" uri="{C3380CC4-5D6E-409C-BE32-E72D297353CC}">
              <c16:uniqueId val="{00000000-F892-458D-BACC-594CDCEE6DC3}"/>
            </c:ext>
          </c:extLst>
        </c:ser>
        <c:ser>
          <c:idx val="1"/>
          <c:order val="1"/>
          <c:tx>
            <c:strRef>
              <c:f>'WW calcu'!$L$1138</c:f>
              <c:strCache>
                <c:ptCount val="1"/>
                <c:pt idx="0">
                  <c:v>Gap</c:v>
                </c:pt>
              </c:strCache>
            </c:strRef>
          </c:tx>
          <c:spPr>
            <a:solidFill>
              <a:schemeClr val="bg1">
                <a:lumMod val="65000"/>
              </a:schemeClr>
            </a:solidFill>
          </c:spPr>
          <c:invertIfNegative val="0"/>
          <c:cat>
            <c:strRef>
              <c:f>'WW calcu'!$J$1139</c:f>
              <c:strCache>
                <c:ptCount val="1"/>
                <c:pt idx="0">
                  <c:v>Treated sewage (MLD)</c:v>
                </c:pt>
              </c:strCache>
            </c:strRef>
          </c:cat>
          <c:val>
            <c:numRef>
              <c:f>'WW calcu'!$L$1139</c:f>
              <c:numCache>
                <c:formatCode>_(* #,##0.00_);_(* \(#,##0.00\);_(* "-"??_);_(@_)</c:formatCode>
                <c:ptCount val="1"/>
                <c:pt idx="0">
                  <c:v>0</c:v>
                </c:pt>
              </c:numCache>
            </c:numRef>
          </c:val>
          <c:extLst xmlns:c16r2="http://schemas.microsoft.com/office/drawing/2015/06/chart">
            <c:ext xmlns:c16="http://schemas.microsoft.com/office/drawing/2014/chart" uri="{C3380CC4-5D6E-409C-BE32-E72D297353CC}">
              <c16:uniqueId val="{00000001-F892-458D-BACC-594CDCEE6DC3}"/>
            </c:ext>
          </c:extLst>
        </c:ser>
        <c:dLbls>
          <c:showLegendKey val="0"/>
          <c:showVal val="0"/>
          <c:showCatName val="0"/>
          <c:showSerName val="0"/>
          <c:showPercent val="0"/>
          <c:showBubbleSize val="0"/>
        </c:dLbls>
        <c:gapWidth val="150"/>
        <c:overlap val="100"/>
        <c:axId val="41610752"/>
        <c:axId val="41684352"/>
      </c:barChart>
      <c:catAx>
        <c:axId val="41610752"/>
        <c:scaling>
          <c:orientation val="minMax"/>
        </c:scaling>
        <c:delete val="0"/>
        <c:axPos val="l"/>
        <c:numFmt formatCode="General" sourceLinked="1"/>
        <c:majorTickMark val="out"/>
        <c:minorTickMark val="none"/>
        <c:tickLblPos val="nextTo"/>
        <c:txPr>
          <a:bodyPr/>
          <a:lstStyle/>
          <a:p>
            <a:pPr>
              <a:defRPr lang="en-US" sz="1100"/>
            </a:pPr>
            <a:endParaRPr lang="en-US"/>
          </a:p>
        </c:txPr>
        <c:crossAx val="41684352"/>
        <c:crosses val="autoZero"/>
        <c:auto val="1"/>
        <c:lblAlgn val="ctr"/>
        <c:lblOffset val="100"/>
        <c:noMultiLvlLbl val="0"/>
      </c:catAx>
      <c:valAx>
        <c:axId val="41684352"/>
        <c:scaling>
          <c:orientation val="minMax"/>
        </c:scaling>
        <c:delete val="0"/>
        <c:axPos val="b"/>
        <c:majorGridlines/>
        <c:numFmt formatCode="_(* #,##0.00_);_(* \(#,##0.00\);_(* &quot;-&quot;??_);_(@_)" sourceLinked="1"/>
        <c:majorTickMark val="out"/>
        <c:minorTickMark val="none"/>
        <c:tickLblPos val="nextTo"/>
        <c:txPr>
          <a:bodyPr/>
          <a:lstStyle/>
          <a:p>
            <a:pPr>
              <a:defRPr lang="en-US"/>
            </a:pPr>
            <a:endParaRPr lang="en-US"/>
          </a:p>
        </c:txPr>
        <c:crossAx val="41610752"/>
        <c:crosses val="autoZero"/>
        <c:crossBetween val="between"/>
      </c:valAx>
      <c:spPr>
        <a:solidFill>
          <a:sysClr val="window" lastClr="FFFFFF"/>
        </a:solidFill>
        <a:ln>
          <a:solidFill>
            <a:schemeClr val="tx1">
              <a:lumMod val="50000"/>
              <a:lumOff val="50000"/>
            </a:schemeClr>
          </a:solidFill>
        </a:ln>
      </c:spPr>
    </c:plotArea>
    <c:legend>
      <c:legendPos val="b"/>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Extent of sullage reused</a:t>
            </a:r>
          </a:p>
        </c:rich>
      </c:tx>
      <c:layout>
        <c:manualLayout>
          <c:xMode val="edge"/>
          <c:yMode val="edge"/>
          <c:x val="0.38548533827476023"/>
          <c:y val="7.2727272727272724E-2"/>
        </c:manualLayout>
      </c:layout>
      <c:overlay val="1"/>
    </c:title>
    <c:autoTitleDeleted val="0"/>
    <c:plotArea>
      <c:layout>
        <c:manualLayout>
          <c:layoutTarget val="inner"/>
          <c:xMode val="edge"/>
          <c:yMode val="edge"/>
          <c:x val="0.20366275036269471"/>
          <c:y val="0.18237529399735194"/>
          <c:w val="0.73617527911675062"/>
          <c:h val="0.51120032723182329"/>
        </c:manualLayout>
      </c:layout>
      <c:barChart>
        <c:barDir val="bar"/>
        <c:grouping val="stacked"/>
        <c:varyColors val="0"/>
        <c:ser>
          <c:idx val="0"/>
          <c:order val="0"/>
          <c:tx>
            <c:strRef>
              <c:f>'WW calcu'!$K$1138</c:f>
              <c:strCache>
                <c:ptCount val="1"/>
                <c:pt idx="0">
                  <c:v>Reused</c:v>
                </c:pt>
              </c:strCache>
            </c:strRef>
          </c:tx>
          <c:invertIfNegative val="0"/>
          <c:cat>
            <c:strRef>
              <c:f>'WW calcu'!$J$1140</c:f>
              <c:strCache>
                <c:ptCount val="1"/>
                <c:pt idx="0">
                  <c:v>Treated sullage/ wastewater (MLD)</c:v>
                </c:pt>
              </c:strCache>
            </c:strRef>
          </c:cat>
          <c:val>
            <c:numRef>
              <c:f>'WW calcu'!$K$1140</c:f>
              <c:numCache>
                <c:formatCode>_(* #,##0.00_);_(* \(#,##0.00\);_(* "-"??_);_(@_)</c:formatCode>
                <c:ptCount val="1"/>
                <c:pt idx="0">
                  <c:v>0</c:v>
                </c:pt>
              </c:numCache>
            </c:numRef>
          </c:val>
          <c:extLst xmlns:c16r2="http://schemas.microsoft.com/office/drawing/2015/06/chart">
            <c:ext xmlns:c16="http://schemas.microsoft.com/office/drawing/2014/chart" uri="{C3380CC4-5D6E-409C-BE32-E72D297353CC}">
              <c16:uniqueId val="{00000000-E60A-48EF-9044-27FA2C4D2186}"/>
            </c:ext>
          </c:extLst>
        </c:ser>
        <c:ser>
          <c:idx val="1"/>
          <c:order val="1"/>
          <c:tx>
            <c:strRef>
              <c:f>'WW calcu'!$L$1138</c:f>
              <c:strCache>
                <c:ptCount val="1"/>
                <c:pt idx="0">
                  <c:v>Gap</c:v>
                </c:pt>
              </c:strCache>
            </c:strRef>
          </c:tx>
          <c:spPr>
            <a:solidFill>
              <a:schemeClr val="bg1">
                <a:lumMod val="65000"/>
              </a:schemeClr>
            </a:solidFill>
          </c:spPr>
          <c:invertIfNegative val="0"/>
          <c:cat>
            <c:strRef>
              <c:f>'WW calcu'!$J$1140</c:f>
              <c:strCache>
                <c:ptCount val="1"/>
                <c:pt idx="0">
                  <c:v>Treated sullage/ wastewater (MLD)</c:v>
                </c:pt>
              </c:strCache>
            </c:strRef>
          </c:cat>
          <c:val>
            <c:numRef>
              <c:f>'WW calcu'!$L$1140</c:f>
              <c:numCache>
                <c:formatCode>_(* #,##0.00_);_(* \(#,##0.00\);_(* "-"??_);_(@_)</c:formatCode>
                <c:ptCount val="1"/>
                <c:pt idx="0">
                  <c:v>0</c:v>
                </c:pt>
              </c:numCache>
            </c:numRef>
          </c:val>
          <c:extLst xmlns:c16r2="http://schemas.microsoft.com/office/drawing/2015/06/chart">
            <c:ext xmlns:c16="http://schemas.microsoft.com/office/drawing/2014/chart" uri="{C3380CC4-5D6E-409C-BE32-E72D297353CC}">
              <c16:uniqueId val="{00000001-E60A-48EF-9044-27FA2C4D2186}"/>
            </c:ext>
          </c:extLst>
        </c:ser>
        <c:dLbls>
          <c:showLegendKey val="0"/>
          <c:showVal val="0"/>
          <c:showCatName val="0"/>
          <c:showSerName val="0"/>
          <c:showPercent val="0"/>
          <c:showBubbleSize val="0"/>
        </c:dLbls>
        <c:gapWidth val="150"/>
        <c:overlap val="100"/>
        <c:axId val="42188800"/>
        <c:axId val="41686656"/>
      </c:barChart>
      <c:catAx>
        <c:axId val="42188800"/>
        <c:scaling>
          <c:orientation val="minMax"/>
        </c:scaling>
        <c:delete val="0"/>
        <c:axPos val="l"/>
        <c:numFmt formatCode="General" sourceLinked="1"/>
        <c:majorTickMark val="out"/>
        <c:minorTickMark val="none"/>
        <c:tickLblPos val="nextTo"/>
        <c:txPr>
          <a:bodyPr/>
          <a:lstStyle/>
          <a:p>
            <a:pPr>
              <a:defRPr lang="en-US" sz="1100"/>
            </a:pPr>
            <a:endParaRPr lang="en-US"/>
          </a:p>
        </c:txPr>
        <c:crossAx val="41686656"/>
        <c:crosses val="autoZero"/>
        <c:auto val="1"/>
        <c:lblAlgn val="ctr"/>
        <c:lblOffset val="100"/>
        <c:noMultiLvlLbl val="0"/>
      </c:catAx>
      <c:valAx>
        <c:axId val="41686656"/>
        <c:scaling>
          <c:orientation val="minMax"/>
        </c:scaling>
        <c:delete val="0"/>
        <c:axPos val="b"/>
        <c:majorGridlines/>
        <c:numFmt formatCode="_(* #,##0.00_);_(* \(#,##0.00\);_(* &quot;-&quot;??_);_(@_)" sourceLinked="1"/>
        <c:majorTickMark val="out"/>
        <c:minorTickMark val="none"/>
        <c:tickLblPos val="nextTo"/>
        <c:txPr>
          <a:bodyPr/>
          <a:lstStyle/>
          <a:p>
            <a:pPr>
              <a:defRPr lang="en-US"/>
            </a:pPr>
            <a:endParaRPr lang="en-US"/>
          </a:p>
        </c:txPr>
        <c:crossAx val="42188800"/>
        <c:crosses val="autoZero"/>
        <c:crossBetween val="between"/>
      </c:valAx>
      <c:spPr>
        <a:solidFill>
          <a:sysClr val="window" lastClr="FFFFFF"/>
        </a:solidFill>
        <a:ln>
          <a:solidFill>
            <a:schemeClr val="tx1">
              <a:lumMod val="50000"/>
              <a:lumOff val="50000"/>
            </a:schemeClr>
          </a:solidFill>
        </a:ln>
      </c:spPr>
    </c:plotArea>
    <c:legend>
      <c:legendPos val="b"/>
      <c:layout>
        <c:manualLayout>
          <c:xMode val="edge"/>
          <c:yMode val="edge"/>
          <c:x val="0.41308194145996863"/>
          <c:y val="0.86859392575928007"/>
          <c:w val="0.37142205580678694"/>
          <c:h val="0.10023724307189583"/>
        </c:manualLayout>
      </c:layout>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Extent of septage reused</a:t>
            </a:r>
          </a:p>
        </c:rich>
      </c:tx>
      <c:layout>
        <c:manualLayout>
          <c:xMode val="edge"/>
          <c:yMode val="edge"/>
          <c:x val="0.34648805865838872"/>
          <c:y val="6.2337662337662504E-2"/>
        </c:manualLayout>
      </c:layout>
      <c:overlay val="1"/>
    </c:title>
    <c:autoTitleDeleted val="0"/>
    <c:plotArea>
      <c:layout>
        <c:manualLayout>
          <c:layoutTarget val="inner"/>
          <c:xMode val="edge"/>
          <c:yMode val="edge"/>
          <c:x val="0.20366275036269471"/>
          <c:y val="0.18237529399735194"/>
          <c:w val="0.73617527911675062"/>
          <c:h val="0.51120032723182329"/>
        </c:manualLayout>
      </c:layout>
      <c:barChart>
        <c:barDir val="bar"/>
        <c:grouping val="stacked"/>
        <c:varyColors val="0"/>
        <c:ser>
          <c:idx val="0"/>
          <c:order val="0"/>
          <c:tx>
            <c:strRef>
              <c:f>'WW calcu'!$K$1138</c:f>
              <c:strCache>
                <c:ptCount val="1"/>
                <c:pt idx="0">
                  <c:v>Reused</c:v>
                </c:pt>
              </c:strCache>
            </c:strRef>
          </c:tx>
          <c:invertIfNegative val="0"/>
          <c:cat>
            <c:strRef>
              <c:f>'WW calcu'!$J$1141</c:f>
              <c:strCache>
                <c:ptCount val="1"/>
                <c:pt idx="0">
                  <c:v>Treated septage (Cu.m./ month)</c:v>
                </c:pt>
              </c:strCache>
            </c:strRef>
          </c:cat>
          <c:val>
            <c:numRef>
              <c:f>'WW calcu'!$K$1141</c:f>
              <c:numCache>
                <c:formatCode>_(* #,##0.0_);_(* \(#,##0.0\);_(* "-"??_);_(@_)</c:formatCode>
                <c:ptCount val="1"/>
                <c:pt idx="0">
                  <c:v>0</c:v>
                </c:pt>
              </c:numCache>
            </c:numRef>
          </c:val>
          <c:extLst xmlns:c16r2="http://schemas.microsoft.com/office/drawing/2015/06/chart">
            <c:ext xmlns:c16="http://schemas.microsoft.com/office/drawing/2014/chart" uri="{C3380CC4-5D6E-409C-BE32-E72D297353CC}">
              <c16:uniqueId val="{00000000-FD2B-4AA1-B226-A8762E7DEFAD}"/>
            </c:ext>
          </c:extLst>
        </c:ser>
        <c:ser>
          <c:idx val="1"/>
          <c:order val="1"/>
          <c:tx>
            <c:strRef>
              <c:f>'WW calcu'!$L$1138</c:f>
              <c:strCache>
                <c:ptCount val="1"/>
                <c:pt idx="0">
                  <c:v>Gap</c:v>
                </c:pt>
              </c:strCache>
            </c:strRef>
          </c:tx>
          <c:spPr>
            <a:solidFill>
              <a:schemeClr val="bg1">
                <a:lumMod val="65000"/>
              </a:schemeClr>
            </a:solidFill>
          </c:spPr>
          <c:invertIfNegative val="0"/>
          <c:cat>
            <c:strRef>
              <c:f>'WW calcu'!$J$1141</c:f>
              <c:strCache>
                <c:ptCount val="1"/>
                <c:pt idx="0">
                  <c:v>Treated septage (Cu.m./ month)</c:v>
                </c:pt>
              </c:strCache>
            </c:strRef>
          </c:cat>
          <c:val>
            <c:numRef>
              <c:f>'WW calcu'!$L$1141</c:f>
              <c:numCache>
                <c:formatCode>_(* #,##0.0_);_(* \(#,##0.0\);_(* "-"??_);_(@_)</c:formatCode>
                <c:ptCount val="1"/>
                <c:pt idx="0">
                  <c:v>0</c:v>
                </c:pt>
              </c:numCache>
            </c:numRef>
          </c:val>
          <c:extLst xmlns:c16r2="http://schemas.microsoft.com/office/drawing/2015/06/chart">
            <c:ext xmlns:c16="http://schemas.microsoft.com/office/drawing/2014/chart" uri="{C3380CC4-5D6E-409C-BE32-E72D297353CC}">
              <c16:uniqueId val="{00000001-FD2B-4AA1-B226-A8762E7DEFAD}"/>
            </c:ext>
          </c:extLst>
        </c:ser>
        <c:dLbls>
          <c:showLegendKey val="0"/>
          <c:showVal val="0"/>
          <c:showCatName val="0"/>
          <c:showSerName val="0"/>
          <c:showPercent val="0"/>
          <c:showBubbleSize val="0"/>
        </c:dLbls>
        <c:gapWidth val="150"/>
        <c:overlap val="100"/>
        <c:axId val="42189312"/>
        <c:axId val="41902656"/>
      </c:barChart>
      <c:catAx>
        <c:axId val="42189312"/>
        <c:scaling>
          <c:orientation val="minMax"/>
        </c:scaling>
        <c:delete val="0"/>
        <c:axPos val="l"/>
        <c:numFmt formatCode="General" sourceLinked="1"/>
        <c:majorTickMark val="out"/>
        <c:minorTickMark val="none"/>
        <c:tickLblPos val="nextTo"/>
        <c:txPr>
          <a:bodyPr/>
          <a:lstStyle/>
          <a:p>
            <a:pPr>
              <a:defRPr lang="en-US" sz="1100"/>
            </a:pPr>
            <a:endParaRPr lang="en-US"/>
          </a:p>
        </c:txPr>
        <c:crossAx val="41902656"/>
        <c:crosses val="autoZero"/>
        <c:auto val="1"/>
        <c:lblAlgn val="ctr"/>
        <c:lblOffset val="100"/>
        <c:noMultiLvlLbl val="0"/>
      </c:catAx>
      <c:valAx>
        <c:axId val="41902656"/>
        <c:scaling>
          <c:orientation val="minMax"/>
        </c:scaling>
        <c:delete val="0"/>
        <c:axPos val="b"/>
        <c:majorGridlines/>
        <c:numFmt formatCode="_(* #,##0.0_);_(* \(#,##0.0\);_(* &quot;-&quot;??_);_(@_)" sourceLinked="1"/>
        <c:majorTickMark val="out"/>
        <c:minorTickMark val="none"/>
        <c:tickLblPos val="nextTo"/>
        <c:txPr>
          <a:bodyPr/>
          <a:lstStyle/>
          <a:p>
            <a:pPr>
              <a:defRPr lang="en-US"/>
            </a:pPr>
            <a:endParaRPr lang="en-US"/>
          </a:p>
        </c:txPr>
        <c:crossAx val="42189312"/>
        <c:crosses val="autoZero"/>
        <c:crossBetween val="between"/>
      </c:valAx>
      <c:spPr>
        <a:solidFill>
          <a:sysClr val="window" lastClr="FFFFFF"/>
        </a:solidFill>
        <a:ln>
          <a:solidFill>
            <a:schemeClr val="tx1">
              <a:lumMod val="50000"/>
              <a:lumOff val="50000"/>
            </a:schemeClr>
          </a:solidFill>
        </a:ln>
      </c:spPr>
    </c:plotArea>
    <c:legend>
      <c:legendPos val="b"/>
      <c:layout>
        <c:manualLayout>
          <c:xMode val="edge"/>
          <c:yMode val="edge"/>
          <c:x val="0.41308194145996885"/>
          <c:y val="0.86859392575928007"/>
          <c:w val="0.37142205580678694"/>
          <c:h val="0.10023724307189583"/>
        </c:manualLayout>
      </c:layout>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Status of Community</a:t>
            </a:r>
            <a:r>
              <a:rPr lang="en-US" sz="1400" baseline="0"/>
              <a:t> and Public toilets</a:t>
            </a:r>
            <a:endParaRPr lang="en-US" sz="1400"/>
          </a:p>
        </c:rich>
      </c:tx>
      <c:layout>
        <c:manualLayout>
          <c:xMode val="edge"/>
          <c:yMode val="edge"/>
          <c:x val="0.28569430471217633"/>
          <c:y val="5.6647053630973845E-3"/>
        </c:manualLayout>
      </c:layout>
      <c:overlay val="1"/>
    </c:title>
    <c:autoTitleDeleted val="0"/>
    <c:plotArea>
      <c:layout>
        <c:manualLayout>
          <c:layoutTarget val="inner"/>
          <c:xMode val="edge"/>
          <c:yMode val="edge"/>
          <c:x val="0.2231129285558506"/>
          <c:y val="0.11458379913140891"/>
          <c:w val="0.74320020018250765"/>
          <c:h val="0.47500404410631164"/>
        </c:manualLayout>
      </c:layout>
      <c:barChart>
        <c:barDir val="bar"/>
        <c:grouping val="stacked"/>
        <c:varyColors val="0"/>
        <c:ser>
          <c:idx val="2"/>
          <c:order val="0"/>
          <c:tx>
            <c:strRef>
              <c:f>'WW calcu'!$C$1122</c:f>
              <c:strCache>
                <c:ptCount val="1"/>
                <c:pt idx="0">
                  <c:v>Existing functional seats with Safe sanitation system</c:v>
                </c:pt>
              </c:strCache>
            </c:strRef>
          </c:tx>
          <c:spPr>
            <a:solidFill>
              <a:schemeClr val="accent1"/>
            </a:solidFill>
          </c:spPr>
          <c:invertIfNegative val="0"/>
          <c:cat>
            <c:strRef>
              <c:f>'WW calcu'!$D$1119:$E$1119</c:f>
              <c:strCache>
                <c:ptCount val="2"/>
                <c:pt idx="0">
                  <c:v>Community toilet seats</c:v>
                </c:pt>
                <c:pt idx="1">
                  <c:v>Public toilet seats</c:v>
                </c:pt>
              </c:strCache>
            </c:strRef>
          </c:cat>
          <c:val>
            <c:numRef>
              <c:f>'WW calcu'!$D$1122:$E$1122</c:f>
              <c:numCache>
                <c:formatCode>_(* #,##0_);_(* \(#,##0\);_(* "-"??_);_(@_)</c:formatCode>
                <c:ptCount val="2"/>
                <c:pt idx="0">
                  <c:v>220</c:v>
                </c:pt>
                <c:pt idx="1">
                  <c:v>22</c:v>
                </c:pt>
              </c:numCache>
            </c:numRef>
          </c:val>
          <c:extLst xmlns:c16r2="http://schemas.microsoft.com/office/drawing/2015/06/chart">
            <c:ext xmlns:c16="http://schemas.microsoft.com/office/drawing/2014/chart" uri="{C3380CC4-5D6E-409C-BE32-E72D297353CC}">
              <c16:uniqueId val="{00000000-E539-458E-ACCF-DEE988920592}"/>
            </c:ext>
          </c:extLst>
        </c:ser>
        <c:ser>
          <c:idx val="1"/>
          <c:order val="1"/>
          <c:tx>
            <c:strRef>
              <c:f>'WW calcu'!$C$1121</c:f>
              <c:strCache>
                <c:ptCount val="1"/>
                <c:pt idx="0">
                  <c:v>Existing functional seats with Unsafe sanitation system</c:v>
                </c:pt>
              </c:strCache>
            </c:strRef>
          </c:tx>
          <c:spPr>
            <a:solidFill>
              <a:schemeClr val="accent2"/>
            </a:solidFill>
          </c:spPr>
          <c:invertIfNegative val="0"/>
          <c:cat>
            <c:strRef>
              <c:f>'WW calcu'!$D$1119:$E$1119</c:f>
              <c:strCache>
                <c:ptCount val="2"/>
                <c:pt idx="0">
                  <c:v>Community toilet seats</c:v>
                </c:pt>
                <c:pt idx="1">
                  <c:v>Public toilet seats</c:v>
                </c:pt>
              </c:strCache>
            </c:strRef>
          </c:cat>
          <c:val>
            <c:numRef>
              <c:f>'WW calcu'!$D$1121:$E$1121</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1-E539-458E-ACCF-DEE988920592}"/>
            </c:ext>
          </c:extLst>
        </c:ser>
        <c:ser>
          <c:idx val="0"/>
          <c:order val="2"/>
          <c:tx>
            <c:strRef>
              <c:f>'WW calcu'!$C$1120</c:f>
              <c:strCache>
                <c:ptCount val="1"/>
                <c:pt idx="0">
                  <c:v>Existing non-functional seats</c:v>
                </c:pt>
              </c:strCache>
            </c:strRef>
          </c:tx>
          <c:spPr>
            <a:solidFill>
              <a:schemeClr val="bg1">
                <a:lumMod val="65000"/>
              </a:schemeClr>
            </a:solidFill>
          </c:spPr>
          <c:invertIfNegative val="0"/>
          <c:cat>
            <c:strRef>
              <c:f>'WW calcu'!$D$1119:$E$1119</c:f>
              <c:strCache>
                <c:ptCount val="2"/>
                <c:pt idx="0">
                  <c:v>Community toilet seats</c:v>
                </c:pt>
                <c:pt idx="1">
                  <c:v>Public toilet seats</c:v>
                </c:pt>
              </c:strCache>
            </c:strRef>
          </c:cat>
          <c:val>
            <c:numRef>
              <c:f>'WW calcu'!$D$1120:$E$1120</c:f>
              <c:numCache>
                <c:formatCode>_(* #,##0_);_(* \(#,##0\);_(* "-"??_);_(@_)</c:formatCode>
                <c:ptCount val="2"/>
                <c:pt idx="0">
                  <c:v>45</c:v>
                </c:pt>
                <c:pt idx="1">
                  <c:v>0</c:v>
                </c:pt>
              </c:numCache>
            </c:numRef>
          </c:val>
          <c:extLst xmlns:c16r2="http://schemas.microsoft.com/office/drawing/2015/06/chart">
            <c:ext xmlns:c16="http://schemas.microsoft.com/office/drawing/2014/chart" uri="{C3380CC4-5D6E-409C-BE32-E72D297353CC}">
              <c16:uniqueId val="{00000002-E539-458E-ACCF-DEE988920592}"/>
            </c:ext>
          </c:extLst>
        </c:ser>
        <c:dLbls>
          <c:showLegendKey val="0"/>
          <c:showVal val="0"/>
          <c:showCatName val="0"/>
          <c:showSerName val="0"/>
          <c:showPercent val="0"/>
          <c:showBubbleSize val="0"/>
        </c:dLbls>
        <c:gapWidth val="60"/>
        <c:overlap val="100"/>
        <c:axId val="42189824"/>
        <c:axId val="41904960"/>
      </c:barChart>
      <c:catAx>
        <c:axId val="42189824"/>
        <c:scaling>
          <c:orientation val="minMax"/>
        </c:scaling>
        <c:delete val="0"/>
        <c:axPos val="l"/>
        <c:numFmt formatCode="General" sourceLinked="0"/>
        <c:majorTickMark val="out"/>
        <c:minorTickMark val="none"/>
        <c:tickLblPos val="nextTo"/>
        <c:txPr>
          <a:bodyPr/>
          <a:lstStyle/>
          <a:p>
            <a:pPr>
              <a:defRPr lang="en-US" sz="1100"/>
            </a:pPr>
            <a:endParaRPr lang="en-US"/>
          </a:p>
        </c:txPr>
        <c:crossAx val="41904960"/>
        <c:crosses val="autoZero"/>
        <c:auto val="1"/>
        <c:lblAlgn val="ctr"/>
        <c:lblOffset val="100"/>
        <c:noMultiLvlLbl val="0"/>
      </c:catAx>
      <c:valAx>
        <c:axId val="41904960"/>
        <c:scaling>
          <c:orientation val="minMax"/>
        </c:scaling>
        <c:delete val="0"/>
        <c:axPos val="b"/>
        <c:majorGridlines/>
        <c:numFmt formatCode="_(* #,##0_);_(* \(#,##0\);_(* &quot;-&quot;??_);_(@_)" sourceLinked="1"/>
        <c:majorTickMark val="out"/>
        <c:minorTickMark val="none"/>
        <c:tickLblPos val="nextTo"/>
        <c:txPr>
          <a:bodyPr/>
          <a:lstStyle/>
          <a:p>
            <a:pPr>
              <a:defRPr lang="en-US" sz="1050"/>
            </a:pPr>
            <a:endParaRPr lang="en-US"/>
          </a:p>
        </c:txPr>
        <c:crossAx val="42189824"/>
        <c:crosses val="autoZero"/>
        <c:crossBetween val="between"/>
      </c:valAx>
      <c:spPr>
        <a:solidFill>
          <a:schemeClr val="bg1"/>
        </a:solidFill>
        <a:ln>
          <a:solidFill>
            <a:schemeClr val="tx1">
              <a:lumMod val="50000"/>
              <a:lumOff val="50000"/>
            </a:schemeClr>
          </a:solidFill>
        </a:ln>
      </c:spPr>
    </c:plotArea>
    <c:legend>
      <c:legendPos val="b"/>
      <c:layout>
        <c:manualLayout>
          <c:xMode val="edge"/>
          <c:yMode val="edge"/>
          <c:x val="0.19893066090065417"/>
          <c:y val="0.73159847156012203"/>
          <c:w val="0.70468025598253403"/>
          <c:h val="0.24549942706734515"/>
        </c:manualLayout>
      </c:layout>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Access and coverage of water supply services - CITY  </a:t>
            </a:r>
          </a:p>
        </c:rich>
      </c:tx>
      <c:layout>
        <c:manualLayout>
          <c:xMode val="edge"/>
          <c:yMode val="edge"/>
          <c:x val="0.18615048299758044"/>
          <c:y val="3.6411496434146612E-3"/>
        </c:manualLayout>
      </c:layout>
      <c:overlay val="1"/>
      <c:spPr>
        <a:noFill/>
      </c:spPr>
    </c:title>
    <c:autoTitleDeleted val="0"/>
    <c:plotArea>
      <c:layout>
        <c:manualLayout>
          <c:layoutTarget val="inner"/>
          <c:xMode val="edge"/>
          <c:yMode val="edge"/>
          <c:x val="9.7539343123110189E-2"/>
          <c:y val="0.10161185378601729"/>
          <c:w val="0.86651612488139695"/>
          <c:h val="0.67305124025875462"/>
        </c:manualLayout>
      </c:layout>
      <c:areaChart>
        <c:grouping val="standard"/>
        <c:varyColors val="0"/>
        <c:ser>
          <c:idx val="0"/>
          <c:order val="0"/>
          <c:tx>
            <c:strRef>
              <c:f>'WS calcu'!$C$781</c:f>
              <c:strCache>
                <c:ptCount val="1"/>
                <c:pt idx="0">
                  <c:v>New distribution network</c:v>
                </c:pt>
              </c:strCache>
            </c:strRef>
          </c:tx>
          <c:dLbls>
            <c:delete val="1"/>
          </c:dLbls>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calcu'!$E$781:$O$781</c:f>
              <c:numCache>
                <c:formatCode>_(* #,##0_);_(* \(#,##0\);_(* "-"??_);_(@_)</c:formatCode>
                <c:ptCount val="11"/>
                <c:pt idx="0" formatCode="General">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BFB7-40E0-B9AE-9DBCF34DA0CA}"/>
            </c:ext>
          </c:extLst>
        </c:ser>
        <c:ser>
          <c:idx val="1"/>
          <c:order val="1"/>
          <c:tx>
            <c:strRef>
              <c:f>'WS calcu'!$C$780</c:f>
              <c:strCache>
                <c:ptCount val="1"/>
                <c:pt idx="0">
                  <c:v>Convert standposts</c:v>
                </c:pt>
              </c:strCache>
            </c:strRef>
          </c:tx>
          <c:dLbls>
            <c:delete val="1"/>
          </c:dLbls>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calcu'!$E$780:$O$780</c:f>
              <c:numCache>
                <c:formatCode>_(* #,##0_);_(* \(#,##0\);_(* "-"??_);_(@_)</c:formatCode>
                <c:ptCount val="11"/>
                <c:pt idx="0" formatCode="General">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BFB7-40E0-B9AE-9DBCF34DA0CA}"/>
            </c:ext>
          </c:extLst>
        </c:ser>
        <c:ser>
          <c:idx val="2"/>
          <c:order val="2"/>
          <c:tx>
            <c:strRef>
              <c:f>'WS calcu'!$C$779</c:f>
              <c:strCache>
                <c:ptCount val="1"/>
                <c:pt idx="0">
                  <c:v>Regularise illegal connection</c:v>
                </c:pt>
              </c:strCache>
            </c:strRef>
          </c:tx>
          <c:dLbls>
            <c:delete val="1"/>
          </c:dLbls>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calcu'!$E$779:$O$779</c:f>
              <c:numCache>
                <c:formatCode>_(* #,##0_);_(* \(#,##0\);_(* "-"??_);_(@_)</c:formatCode>
                <c:ptCount val="11"/>
                <c:pt idx="0" formatCode="General">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BFB7-40E0-B9AE-9DBCF34DA0CA}"/>
            </c:ext>
          </c:extLst>
        </c:ser>
        <c:ser>
          <c:idx val="3"/>
          <c:order val="3"/>
          <c:tx>
            <c:strRef>
              <c:f>'WS calcu'!$C$778</c:f>
              <c:strCache>
                <c:ptCount val="1"/>
                <c:pt idx="0">
                  <c:v>Existing distribution network</c:v>
                </c:pt>
              </c:strCache>
            </c:strRef>
          </c:tx>
          <c:dLbls>
            <c:delete val="1"/>
          </c:dLbls>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calcu'!$E$778:$O$778</c:f>
              <c:numCache>
                <c:formatCode>_(* #,##0_);_(* \(#,##0\);_(* "-"??_);_(@_)</c:formatCode>
                <c:ptCount val="11"/>
                <c:pt idx="0" formatCode="General">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BFB7-40E0-B9AE-9DBCF34DA0CA}"/>
            </c:ext>
          </c:extLst>
        </c:ser>
        <c:ser>
          <c:idx val="5"/>
          <c:order val="4"/>
          <c:tx>
            <c:strRef>
              <c:f>'WS calcu'!$C$782</c:f>
              <c:strCache>
                <c:ptCount val="1"/>
                <c:pt idx="0">
                  <c:v>Benchmark (Total population)</c:v>
                </c:pt>
              </c:strCache>
            </c:strRef>
          </c:tx>
          <c:spPr>
            <a:noFill/>
            <a:ln w="38100">
              <a:solidFill>
                <a:sysClr val="windowText" lastClr="000000"/>
              </a:solidFill>
              <a:prstDash val="sysDash"/>
            </a:ln>
          </c:spPr>
          <c:dLbls>
            <c:delete val="1"/>
          </c:dLbls>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calcu'!$E$782:$O$782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4-BFB7-40E0-B9AE-9DBCF34DA0CA}"/>
            </c:ext>
          </c:extLst>
        </c:ser>
        <c:dLbls>
          <c:showLegendKey val="0"/>
          <c:showVal val="1"/>
          <c:showCatName val="0"/>
          <c:showSerName val="0"/>
          <c:showPercent val="0"/>
          <c:showBubbleSize val="0"/>
        </c:dLbls>
        <c:axId val="43778048"/>
        <c:axId val="41907840"/>
      </c:areaChart>
      <c:catAx>
        <c:axId val="43778048"/>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41907840"/>
        <c:crosses val="autoZero"/>
        <c:auto val="1"/>
        <c:lblAlgn val="ctr"/>
        <c:lblOffset val="100"/>
        <c:noMultiLvlLbl val="0"/>
      </c:catAx>
      <c:valAx>
        <c:axId val="41907840"/>
        <c:scaling>
          <c:orientation val="minMax"/>
        </c:scaling>
        <c:delete val="0"/>
        <c:axPos val="l"/>
        <c:majorGridlines/>
        <c:title>
          <c:tx>
            <c:rich>
              <a:bodyPr rot="-5400000" vert="horz"/>
              <a:lstStyle/>
              <a:p>
                <a:pPr>
                  <a:defRPr lang="en-US"/>
                </a:pPr>
                <a:r>
                  <a:rPr lang="en-US" sz="1200">
                    <a:solidFill>
                      <a:schemeClr val="bg1"/>
                    </a:solidFill>
                  </a:rPr>
                  <a:t>No.</a:t>
                </a:r>
                <a:r>
                  <a:rPr lang="en-US" sz="1200" baseline="0">
                    <a:solidFill>
                      <a:schemeClr val="bg1"/>
                    </a:solidFill>
                  </a:rPr>
                  <a:t> of households</a:t>
                </a:r>
                <a:endParaRPr lang="en-US" sz="1200">
                  <a:solidFill>
                    <a:schemeClr val="bg1"/>
                  </a:solidFill>
                </a:endParaRPr>
              </a:p>
            </c:rich>
          </c:tx>
          <c:layout>
            <c:manualLayout>
              <c:xMode val="edge"/>
              <c:yMode val="edge"/>
              <c:x val="1.2658131117531741E-4"/>
              <c:y val="0.2797830509386095"/>
            </c:manualLayout>
          </c:layout>
          <c:overlay val="0"/>
        </c:title>
        <c:numFmt formatCode="General" sourceLinked="1"/>
        <c:majorTickMark val="out"/>
        <c:minorTickMark val="none"/>
        <c:tickLblPos val="nextTo"/>
        <c:txPr>
          <a:bodyPr rot="0"/>
          <a:lstStyle/>
          <a:p>
            <a:pPr>
              <a:defRPr lang="en-US" sz="1100">
                <a:solidFill>
                  <a:schemeClr val="bg1"/>
                </a:solidFill>
              </a:defRPr>
            </a:pPr>
            <a:endParaRPr lang="en-US"/>
          </a:p>
        </c:txPr>
        <c:crossAx val="43778048"/>
        <c:crosses val="autoZero"/>
        <c:crossBetween val="midCat"/>
      </c:valAx>
    </c:plotArea>
    <c:legend>
      <c:legendPos val="b"/>
      <c:layout>
        <c:manualLayout>
          <c:xMode val="edge"/>
          <c:yMode val="edge"/>
          <c:x val="7.3575062384385465E-3"/>
          <c:y val="0.87155376152396458"/>
          <c:w val="0.9878769502379835"/>
          <c:h val="0.11797305556970407"/>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Per capita supply of </a:t>
            </a:r>
            <a:r>
              <a:rPr lang="en-US" sz="1400" b="1"/>
              <a:t>water </a:t>
            </a:r>
            <a:r>
              <a:rPr lang="en-US" sz="1100" b="1"/>
              <a:t>(lpcd)</a:t>
            </a:r>
          </a:p>
        </c:rich>
      </c:tx>
      <c:layout>
        <c:manualLayout>
          <c:xMode val="edge"/>
          <c:yMode val="edge"/>
          <c:x val="0.26113116469148573"/>
          <c:y val="0"/>
        </c:manualLayout>
      </c:layout>
      <c:overlay val="1"/>
    </c:title>
    <c:autoTitleDeleted val="0"/>
    <c:plotArea>
      <c:layout>
        <c:manualLayout>
          <c:layoutTarget val="inner"/>
          <c:xMode val="edge"/>
          <c:yMode val="edge"/>
          <c:x val="0.26521172720931818"/>
          <c:y val="0.13806929516113964"/>
          <c:w val="0.68272666635831192"/>
          <c:h val="0.69464267226019627"/>
        </c:manualLayout>
      </c:layout>
      <c:barChart>
        <c:barDir val="bar"/>
        <c:grouping val="stacked"/>
        <c:varyColors val="0"/>
        <c:ser>
          <c:idx val="0"/>
          <c:order val="0"/>
          <c:invertIfNegative val="0"/>
          <c:cat>
            <c:strRef>
              <c:f>'WS calcu'!$C$865:$C$866</c:f>
              <c:strCache>
                <c:ptCount val="2"/>
                <c:pt idx="0">
                  <c:v>Lpcd at consumer</c:v>
                </c:pt>
                <c:pt idx="1">
                  <c:v>Lpcd at source</c:v>
                </c:pt>
              </c:strCache>
            </c:strRef>
          </c:cat>
          <c:val>
            <c:numRef>
              <c:f>'WS calcu'!$D$865:$D$866</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0-1674-480A-83F0-F5C5E24A987B}"/>
            </c:ext>
          </c:extLst>
        </c:ser>
        <c:ser>
          <c:idx val="1"/>
          <c:order val="1"/>
          <c:spPr>
            <a:solidFill>
              <a:schemeClr val="bg1">
                <a:lumMod val="65000"/>
              </a:schemeClr>
            </a:solidFill>
          </c:spPr>
          <c:invertIfNegative val="0"/>
          <c:cat>
            <c:strRef>
              <c:f>'WS calcu'!$C$865:$C$866</c:f>
              <c:strCache>
                <c:ptCount val="2"/>
                <c:pt idx="0">
                  <c:v>Lpcd at consumer</c:v>
                </c:pt>
                <c:pt idx="1">
                  <c:v>Lpcd at source</c:v>
                </c:pt>
              </c:strCache>
            </c:strRef>
          </c:cat>
          <c:val>
            <c:numRef>
              <c:f>'WS calcu'!$E$865:$E$866</c:f>
              <c:numCache>
                <c:formatCode>_(* #,##0_);_(* \(#,##0\);_(* "-"??_);_(@_)</c:formatCode>
                <c:ptCount val="2"/>
                <c:pt idx="0">
                  <c:v>135</c:v>
                </c:pt>
                <c:pt idx="1">
                  <c:v>135</c:v>
                </c:pt>
              </c:numCache>
            </c:numRef>
          </c:val>
          <c:extLst xmlns:c16r2="http://schemas.microsoft.com/office/drawing/2015/06/chart">
            <c:ext xmlns:c16="http://schemas.microsoft.com/office/drawing/2014/chart" uri="{C3380CC4-5D6E-409C-BE32-E72D297353CC}">
              <c16:uniqueId val="{00000001-1674-480A-83F0-F5C5E24A987B}"/>
            </c:ext>
          </c:extLst>
        </c:ser>
        <c:dLbls>
          <c:showLegendKey val="0"/>
          <c:showVal val="0"/>
          <c:showCatName val="0"/>
          <c:showSerName val="0"/>
          <c:showPercent val="0"/>
          <c:showBubbleSize val="0"/>
        </c:dLbls>
        <c:gapWidth val="150"/>
        <c:overlap val="100"/>
        <c:axId val="540239872"/>
        <c:axId val="540429696"/>
      </c:barChart>
      <c:catAx>
        <c:axId val="540239872"/>
        <c:scaling>
          <c:orientation val="minMax"/>
        </c:scaling>
        <c:delete val="0"/>
        <c:axPos val="l"/>
        <c:numFmt formatCode="General" sourceLinked="0"/>
        <c:majorTickMark val="out"/>
        <c:minorTickMark val="none"/>
        <c:tickLblPos val="nextTo"/>
        <c:txPr>
          <a:bodyPr/>
          <a:lstStyle/>
          <a:p>
            <a:pPr>
              <a:defRPr lang="en-US" sz="1100"/>
            </a:pPr>
            <a:endParaRPr lang="en-US"/>
          </a:p>
        </c:txPr>
        <c:crossAx val="540429696"/>
        <c:crosses val="autoZero"/>
        <c:auto val="1"/>
        <c:lblAlgn val="ctr"/>
        <c:lblOffset val="100"/>
        <c:noMultiLvlLbl val="0"/>
      </c:catAx>
      <c:valAx>
        <c:axId val="540429696"/>
        <c:scaling>
          <c:orientation val="minMax"/>
        </c:scaling>
        <c:delete val="0"/>
        <c:axPos val="b"/>
        <c:majorGridlines/>
        <c:numFmt formatCode="_(* #,##0_);_(* \(#,##0\);_(* &quot;-&quot;??_);_(@_)" sourceLinked="1"/>
        <c:majorTickMark val="out"/>
        <c:minorTickMark val="none"/>
        <c:tickLblPos val="nextTo"/>
        <c:txPr>
          <a:bodyPr/>
          <a:lstStyle/>
          <a:p>
            <a:pPr>
              <a:defRPr lang="en-US"/>
            </a:pPr>
            <a:endParaRPr lang="en-US"/>
          </a:p>
        </c:txPr>
        <c:crossAx val="540239872"/>
        <c:crosses val="autoZero"/>
        <c:crossBetween val="between"/>
      </c:valAx>
      <c:spPr>
        <a:solidFill>
          <a:sysClr val="window" lastClr="FFFFFF"/>
        </a:solidFill>
        <a:ln>
          <a:solidFill>
            <a:schemeClr val="tx1">
              <a:lumMod val="50000"/>
              <a:lumOff val="50000"/>
            </a:schemeClr>
          </a:solid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Financial outline for improving  Access</a:t>
            </a:r>
            <a:r>
              <a:rPr lang="en-US" baseline="0"/>
              <a:t> and</a:t>
            </a:r>
            <a:r>
              <a:rPr lang="en-US"/>
              <a:t> Coverage</a:t>
            </a:r>
          </a:p>
        </c:rich>
      </c:tx>
      <c:layout>
        <c:manualLayout>
          <c:xMode val="edge"/>
          <c:yMode val="edge"/>
          <c:x val="0.21656077838256824"/>
          <c:y val="2.0961983021220602E-2"/>
        </c:manualLayout>
      </c:layout>
      <c:overlay val="1"/>
    </c:title>
    <c:autoTitleDeleted val="0"/>
    <c:plotArea>
      <c:layout>
        <c:manualLayout>
          <c:layoutTarget val="inner"/>
          <c:xMode val="edge"/>
          <c:yMode val="edge"/>
          <c:x val="8.6231153477962647E-2"/>
          <c:y val="0.11399825021872266"/>
          <c:w val="0.87795611630825965"/>
          <c:h val="0.71259234956741457"/>
        </c:manualLayout>
      </c:layout>
      <c:areaChart>
        <c:grouping val="standard"/>
        <c:varyColors val="0"/>
        <c:ser>
          <c:idx val="0"/>
          <c:order val="0"/>
          <c:tx>
            <c:strRef>
              <c:f>'WS calcu'!$C$797</c:f>
              <c:strCache>
                <c:ptCount val="1"/>
                <c:pt idx="0">
                  <c:v>Capex</c:v>
                </c:pt>
              </c:strCache>
            </c:strRef>
          </c:tx>
          <c:spPr>
            <a:solidFill>
              <a:srgbClr val="C0504D">
                <a:alpha val="50000"/>
              </a:srgbClr>
            </a:solidFill>
            <a:ln>
              <a:solidFill>
                <a:sysClr val="windowText" lastClr="000000"/>
              </a:solidFill>
            </a:ln>
          </c:spPr>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calcu'!$E$797:$O$797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F9DF-4FA0-A508-2D461E716C23}"/>
            </c:ext>
          </c:extLst>
        </c:ser>
        <c:ser>
          <c:idx val="1"/>
          <c:order val="1"/>
          <c:tx>
            <c:strRef>
              <c:f>'WS calcu'!$C$798</c:f>
              <c:strCache>
                <c:ptCount val="1"/>
                <c:pt idx="0">
                  <c:v>O&amp;M</c:v>
                </c:pt>
              </c:strCache>
            </c:strRef>
          </c:tx>
          <c:spPr>
            <a:solidFill>
              <a:srgbClr val="FFC000">
                <a:alpha val="51000"/>
              </a:srgbClr>
            </a:solidFill>
            <a:ln>
              <a:solidFill>
                <a:schemeClr val="tx1"/>
              </a:solidFill>
            </a:ln>
          </c:spPr>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calcu'!$E$798:$O$798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F9DF-4FA0-A508-2D461E716C23}"/>
            </c:ext>
          </c:extLst>
        </c:ser>
        <c:ser>
          <c:idx val="2"/>
          <c:order val="2"/>
          <c:tx>
            <c:strRef>
              <c:f>'WS calcu'!$C$799</c:f>
              <c:strCache>
                <c:ptCount val="1"/>
                <c:pt idx="0">
                  <c:v>Revenue</c:v>
                </c:pt>
              </c:strCache>
            </c:strRef>
          </c:tx>
          <c:spPr>
            <a:solidFill>
              <a:srgbClr val="4F81BD">
                <a:alpha val="35000"/>
              </a:srgbClr>
            </a:solidFill>
            <a:ln>
              <a:solidFill>
                <a:schemeClr val="tx1"/>
              </a:solidFill>
            </a:ln>
          </c:spPr>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calcu'!$E$799:$O$799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F9DF-4FA0-A508-2D461E716C23}"/>
            </c:ext>
          </c:extLst>
        </c:ser>
        <c:dLbls>
          <c:showLegendKey val="0"/>
          <c:showVal val="0"/>
          <c:showCatName val="0"/>
          <c:showSerName val="0"/>
          <c:showPercent val="0"/>
          <c:showBubbleSize val="0"/>
        </c:dLbls>
        <c:axId val="43779584"/>
        <c:axId val="535592960"/>
      </c:areaChart>
      <c:catAx>
        <c:axId val="4377958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100"/>
            </a:pPr>
            <a:endParaRPr lang="en-US"/>
          </a:p>
        </c:txPr>
        <c:crossAx val="535592960"/>
        <c:crosses val="autoZero"/>
        <c:auto val="1"/>
        <c:lblAlgn val="ctr"/>
        <c:lblOffset val="100"/>
        <c:noMultiLvlLbl val="0"/>
      </c:catAx>
      <c:valAx>
        <c:axId val="535592960"/>
        <c:scaling>
          <c:orientation val="minMax"/>
        </c:scaling>
        <c:delete val="0"/>
        <c:axPos val="l"/>
        <c:majorGridlines/>
        <c:title>
          <c:tx>
            <c:strRef>
              <c:f>'General info'!$E$43:$G$43</c:f>
              <c:strCache>
                <c:ptCount val="1"/>
                <c:pt idx="0">
                  <c:v>INR Lakhs</c:v>
                </c:pt>
              </c:strCache>
            </c:strRef>
          </c:tx>
          <c:layout>
            <c:manualLayout>
              <c:xMode val="edge"/>
              <c:yMode val="edge"/>
              <c:x val="1.0889392535809754E-3"/>
              <c:y val="0.39717340222160741"/>
            </c:manualLayout>
          </c:layout>
          <c:overlay val="0"/>
          <c:txPr>
            <a:bodyPr rot="-5400000" vert="horz"/>
            <a:lstStyle/>
            <a:p>
              <a:pPr>
                <a:defRPr lang="en-US" sz="1200" b="1"/>
              </a:pPr>
              <a:endParaRPr lang="en-US"/>
            </a:p>
          </c:txPr>
        </c:title>
        <c:numFmt formatCode="_(* #,##0_);_(* \(#,##0\);_(* &quot;-&quot;??_);_(@_)" sourceLinked="1"/>
        <c:majorTickMark val="out"/>
        <c:minorTickMark val="none"/>
        <c:tickLblPos val="nextTo"/>
        <c:txPr>
          <a:bodyPr/>
          <a:lstStyle/>
          <a:p>
            <a:pPr>
              <a:defRPr lang="en-US" sz="1100"/>
            </a:pPr>
            <a:endParaRPr lang="en-US"/>
          </a:p>
        </c:txPr>
        <c:crossAx val="43779584"/>
        <c:crosses val="autoZero"/>
        <c:crossBetween val="midCat"/>
      </c:valAx>
    </c:plotArea>
    <c:legend>
      <c:legendPos val="b"/>
      <c:layout>
        <c:manualLayout>
          <c:xMode val="edge"/>
          <c:yMode val="edge"/>
          <c:x val="0.21084200832867933"/>
          <c:y val="0.91700860647844573"/>
          <c:w val="0.61398136804161751"/>
          <c:h val="6.4203401464871634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Breakup of Non-revenue water</a:t>
            </a:r>
          </a:p>
        </c:rich>
      </c:tx>
      <c:layout>
        <c:manualLayout>
          <c:xMode val="edge"/>
          <c:yMode val="edge"/>
          <c:x val="0.31374389087228632"/>
          <c:y val="1.3760290277588441E-2"/>
        </c:manualLayout>
      </c:layout>
      <c:overlay val="1"/>
    </c:title>
    <c:autoTitleDeleted val="0"/>
    <c:plotArea>
      <c:layout>
        <c:manualLayout>
          <c:layoutTarget val="inner"/>
          <c:xMode val="edge"/>
          <c:yMode val="edge"/>
          <c:x val="7.2494192498573154E-2"/>
          <c:y val="9.5775182901071565E-2"/>
          <c:w val="0.89156121945279687"/>
          <c:h val="0.67946151604275962"/>
        </c:manualLayout>
      </c:layout>
      <c:areaChart>
        <c:grouping val="standard"/>
        <c:varyColors val="0"/>
        <c:ser>
          <c:idx val="0"/>
          <c:order val="0"/>
          <c:tx>
            <c:strRef>
              <c:f>'WS calcu'!$C$825</c:f>
              <c:strCache>
                <c:ptCount val="1"/>
                <c:pt idx="0">
                  <c:v>Consumption</c:v>
                </c:pt>
              </c:strCache>
            </c:strRef>
          </c:tx>
          <c:dLbls>
            <c:delete val="1"/>
          </c:dLbls>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calcu'!$E$825:$O$825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2936-4672-920A-2D683077FF69}"/>
            </c:ext>
          </c:extLst>
        </c:ser>
        <c:ser>
          <c:idx val="1"/>
          <c:order val="1"/>
          <c:tx>
            <c:strRef>
              <c:f>'WS calcu'!$C$824</c:f>
              <c:strCache>
                <c:ptCount val="1"/>
                <c:pt idx="0">
                  <c:v>Distribution</c:v>
                </c:pt>
              </c:strCache>
            </c:strRef>
          </c:tx>
          <c:dLbls>
            <c:delete val="1"/>
          </c:dLbls>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calcu'!$E$824:$O$824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2936-4672-920A-2D683077FF69}"/>
            </c:ext>
          </c:extLst>
        </c:ser>
        <c:ser>
          <c:idx val="2"/>
          <c:order val="2"/>
          <c:tx>
            <c:strRef>
              <c:f>'WS calcu'!$C$823</c:f>
              <c:strCache>
                <c:ptCount val="1"/>
                <c:pt idx="0">
                  <c:v>Treated water transmission</c:v>
                </c:pt>
              </c:strCache>
            </c:strRef>
          </c:tx>
          <c:dLbls>
            <c:delete val="1"/>
          </c:dLbls>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calcu'!$E$823:$O$823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2936-4672-920A-2D683077FF69}"/>
            </c:ext>
          </c:extLst>
        </c:ser>
        <c:ser>
          <c:idx val="3"/>
          <c:order val="3"/>
          <c:tx>
            <c:strRef>
              <c:f>'WS calcu'!$C$822</c:f>
              <c:strCache>
                <c:ptCount val="1"/>
                <c:pt idx="0">
                  <c:v>Treatment</c:v>
                </c:pt>
              </c:strCache>
            </c:strRef>
          </c:tx>
          <c:dLbls>
            <c:delete val="1"/>
          </c:dLbls>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calcu'!$E$822:$O$822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2936-4672-920A-2D683077FF69}"/>
            </c:ext>
          </c:extLst>
        </c:ser>
        <c:ser>
          <c:idx val="4"/>
          <c:order val="4"/>
          <c:tx>
            <c:strRef>
              <c:f>'WS calcu'!$C$821</c:f>
              <c:strCache>
                <c:ptCount val="1"/>
                <c:pt idx="0">
                  <c:v>Raw water transmission</c:v>
                </c:pt>
              </c:strCache>
            </c:strRef>
          </c:tx>
          <c:dLbls>
            <c:delete val="1"/>
          </c:dLbls>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calcu'!$E$821:$O$821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4-2936-4672-920A-2D683077FF69}"/>
            </c:ext>
          </c:extLst>
        </c:ser>
        <c:ser>
          <c:idx val="5"/>
          <c:order val="5"/>
          <c:tx>
            <c:strRef>
              <c:f>'WS calcu'!$C$826</c:f>
              <c:strCache>
                <c:ptCount val="1"/>
                <c:pt idx="0">
                  <c:v>Benchmark</c:v>
                </c:pt>
              </c:strCache>
            </c:strRef>
          </c:tx>
          <c:spPr>
            <a:noFill/>
            <a:ln w="38100">
              <a:solidFill>
                <a:sysClr val="windowText" lastClr="000000"/>
              </a:solidFill>
              <a:prstDash val="sysDash"/>
            </a:ln>
          </c:spPr>
          <c:dLbls>
            <c:delete val="1"/>
          </c:dLbls>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calcu'!$E$826:$O$826</c:f>
              <c:numCache>
                <c:formatCode>0%</c:formatCode>
                <c:ptCount val="11"/>
                <c:pt idx="0">
                  <c:v>0.2</c:v>
                </c:pt>
                <c:pt idx="1">
                  <c:v>0.2</c:v>
                </c:pt>
                <c:pt idx="2">
                  <c:v>0.2</c:v>
                </c:pt>
                <c:pt idx="3">
                  <c:v>0.2</c:v>
                </c:pt>
                <c:pt idx="4">
                  <c:v>0.2</c:v>
                </c:pt>
                <c:pt idx="5">
                  <c:v>0.2</c:v>
                </c:pt>
                <c:pt idx="6">
                  <c:v>0.2</c:v>
                </c:pt>
                <c:pt idx="7">
                  <c:v>0.2</c:v>
                </c:pt>
                <c:pt idx="8">
                  <c:v>0.2</c:v>
                </c:pt>
                <c:pt idx="9">
                  <c:v>0.2</c:v>
                </c:pt>
                <c:pt idx="10">
                  <c:v>0.2</c:v>
                </c:pt>
              </c:numCache>
            </c:numRef>
          </c:val>
          <c:extLst xmlns:c16r2="http://schemas.microsoft.com/office/drawing/2015/06/chart">
            <c:ext xmlns:c16="http://schemas.microsoft.com/office/drawing/2014/chart" uri="{C3380CC4-5D6E-409C-BE32-E72D297353CC}">
              <c16:uniqueId val="{00000005-2936-4672-920A-2D683077FF69}"/>
            </c:ext>
          </c:extLst>
        </c:ser>
        <c:dLbls>
          <c:showLegendKey val="0"/>
          <c:showVal val="1"/>
          <c:showCatName val="0"/>
          <c:showSerName val="0"/>
          <c:showPercent val="0"/>
          <c:showBubbleSize val="0"/>
        </c:dLbls>
        <c:axId val="43780608"/>
        <c:axId val="535595264"/>
      </c:areaChart>
      <c:catAx>
        <c:axId val="43780608"/>
        <c:scaling>
          <c:orientation val="minMax"/>
        </c:scaling>
        <c:delete val="0"/>
        <c:axPos val="b"/>
        <c:majorGridlines/>
        <c:numFmt formatCode="General" sourceLinked="1"/>
        <c:majorTickMark val="out"/>
        <c:minorTickMark val="none"/>
        <c:tickLblPos val="nextTo"/>
        <c:txPr>
          <a:bodyPr/>
          <a:lstStyle/>
          <a:p>
            <a:pPr>
              <a:defRPr lang="en-US" sz="1100"/>
            </a:pPr>
            <a:endParaRPr lang="en-US"/>
          </a:p>
        </c:txPr>
        <c:crossAx val="535595264"/>
        <c:crosses val="autoZero"/>
        <c:auto val="1"/>
        <c:lblAlgn val="ctr"/>
        <c:lblOffset val="100"/>
        <c:noMultiLvlLbl val="0"/>
      </c:catAx>
      <c:valAx>
        <c:axId val="535595264"/>
        <c:scaling>
          <c:orientation val="minMax"/>
        </c:scaling>
        <c:delete val="0"/>
        <c:axPos val="l"/>
        <c:majorGridlines/>
        <c:numFmt formatCode="0%" sourceLinked="1"/>
        <c:majorTickMark val="out"/>
        <c:minorTickMark val="none"/>
        <c:tickLblPos val="nextTo"/>
        <c:txPr>
          <a:bodyPr rot="0"/>
          <a:lstStyle/>
          <a:p>
            <a:pPr>
              <a:defRPr lang="en-US" sz="1100"/>
            </a:pPr>
            <a:endParaRPr lang="en-US"/>
          </a:p>
        </c:txPr>
        <c:crossAx val="43780608"/>
        <c:crosses val="autoZero"/>
        <c:crossBetween val="midCat"/>
      </c:valAx>
    </c:plotArea>
    <c:legend>
      <c:legendPos val="b"/>
      <c:layout>
        <c:manualLayout>
          <c:xMode val="edge"/>
          <c:yMode val="edge"/>
          <c:x val="0"/>
          <c:y val="0.87062126250976912"/>
          <c:w val="1"/>
          <c:h val="0.11890569513634484"/>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u="none" strike="noStrike" baseline="0">
                <a:solidFill>
                  <a:schemeClr val="bg1"/>
                </a:solidFill>
              </a:rPr>
              <a:t>Extent of metering of water supply connections</a:t>
            </a:r>
            <a:endParaRPr lang="en-US">
              <a:solidFill>
                <a:schemeClr val="bg1"/>
              </a:solidFill>
            </a:endParaRPr>
          </a:p>
        </c:rich>
      </c:tx>
      <c:layout>
        <c:manualLayout>
          <c:xMode val="edge"/>
          <c:yMode val="edge"/>
          <c:x val="0.24214782339428176"/>
          <c:y val="1.6826383658564543E-2"/>
        </c:manualLayout>
      </c:layout>
      <c:overlay val="1"/>
    </c:title>
    <c:autoTitleDeleted val="0"/>
    <c:plotArea>
      <c:layout>
        <c:manualLayout>
          <c:layoutTarget val="inner"/>
          <c:xMode val="edge"/>
          <c:yMode val="edge"/>
          <c:x val="0.1118255313456176"/>
          <c:y val="0.10078064589752368"/>
          <c:w val="0.86045085060710536"/>
          <c:h val="0.65673867565989319"/>
        </c:manualLayout>
      </c:layout>
      <c:areaChart>
        <c:grouping val="standard"/>
        <c:varyColors val="0"/>
        <c:ser>
          <c:idx val="3"/>
          <c:order val="0"/>
          <c:tx>
            <c:strRef>
              <c:f>'WS calcu'!$C$833</c:f>
              <c:strCache>
                <c:ptCount val="1"/>
                <c:pt idx="0">
                  <c:v>Domestic metered conn</c:v>
                </c:pt>
              </c:strCache>
            </c:strRef>
          </c:tx>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calcu'!$E$833:$O$833</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76BE-414C-B6FC-736BBFCB6FE2}"/>
            </c:ext>
          </c:extLst>
        </c:ser>
        <c:ser>
          <c:idx val="2"/>
          <c:order val="1"/>
          <c:tx>
            <c:strRef>
              <c:f>'WS calcu'!$C$834</c:f>
              <c:strCache>
                <c:ptCount val="1"/>
                <c:pt idx="0">
                  <c:v>Slum metered conn</c:v>
                </c:pt>
              </c:strCache>
            </c:strRef>
          </c:tx>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calcu'!$E$834:$O$834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76BE-414C-B6FC-736BBFCB6FE2}"/>
            </c:ext>
          </c:extLst>
        </c:ser>
        <c:ser>
          <c:idx val="1"/>
          <c:order val="2"/>
          <c:tx>
            <c:strRef>
              <c:f>'WS calcu'!$C$835</c:f>
              <c:strCache>
                <c:ptCount val="1"/>
                <c:pt idx="0">
                  <c:v>Commercial/ Industrial metered conn</c:v>
                </c:pt>
              </c:strCache>
            </c:strRef>
          </c:tx>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calcu'!$E$835:$O$835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76BE-414C-B6FC-736BBFCB6FE2}"/>
            </c:ext>
          </c:extLst>
        </c:ser>
        <c:ser>
          <c:idx val="0"/>
          <c:order val="3"/>
          <c:tx>
            <c:strRef>
              <c:f>'WS calcu'!$C$836</c:f>
              <c:strCache>
                <c:ptCount val="1"/>
                <c:pt idx="0">
                  <c:v>Others metered conn</c:v>
                </c:pt>
              </c:strCache>
            </c:strRef>
          </c:tx>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calcu'!$E$836:$O$836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76BE-414C-B6FC-736BBFCB6FE2}"/>
            </c:ext>
          </c:extLst>
        </c:ser>
        <c:ser>
          <c:idx val="5"/>
          <c:order val="4"/>
          <c:tx>
            <c:strRef>
              <c:f>'WS calcu'!$C$837</c:f>
              <c:strCache>
                <c:ptCount val="1"/>
                <c:pt idx="0">
                  <c:v>Group metered conn in slums</c:v>
                </c:pt>
              </c:strCache>
            </c:strRef>
          </c:tx>
          <c:spPr>
            <a:solidFill>
              <a:schemeClr val="accent5">
                <a:lumMod val="75000"/>
              </a:schemeClr>
            </a:solidFill>
            <a:ln w="38100">
              <a:noFill/>
              <a:prstDash val="sysDash"/>
            </a:ln>
          </c:spPr>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calcu'!$E$837:$O$837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4-76BE-414C-B6FC-736BBFCB6FE2}"/>
            </c:ext>
          </c:extLst>
        </c:ser>
        <c:ser>
          <c:idx val="4"/>
          <c:order val="5"/>
          <c:tx>
            <c:strRef>
              <c:f>'WS calcu'!$C$832</c:f>
              <c:strCache>
                <c:ptCount val="1"/>
                <c:pt idx="0">
                  <c:v>Total water supply connections</c:v>
                </c:pt>
              </c:strCache>
            </c:strRef>
          </c:tx>
          <c:spPr>
            <a:noFill/>
            <a:ln w="38100">
              <a:solidFill>
                <a:sysClr val="windowText" lastClr="000000"/>
              </a:solidFill>
              <a:prstDash val="sysDash"/>
            </a:ln>
            <a:effectLst>
              <a:outerShdw blurRad="50800" dist="38100" dir="2700000" algn="tl" rotWithShape="0">
                <a:prstClr val="black">
                  <a:alpha val="40000"/>
                </a:prstClr>
              </a:outerShdw>
            </a:effectLst>
          </c:spPr>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calcu'!$E$832:$O$832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5-76BE-414C-B6FC-736BBFCB6FE2}"/>
            </c:ext>
          </c:extLst>
        </c:ser>
        <c:dLbls>
          <c:showLegendKey val="0"/>
          <c:showVal val="0"/>
          <c:showCatName val="0"/>
          <c:showSerName val="0"/>
          <c:showPercent val="0"/>
          <c:showBubbleSize val="0"/>
        </c:dLbls>
        <c:axId val="43781120"/>
        <c:axId val="535597568"/>
      </c:areaChart>
      <c:catAx>
        <c:axId val="43781120"/>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535597568"/>
        <c:crosses val="autoZero"/>
        <c:auto val="1"/>
        <c:lblAlgn val="ctr"/>
        <c:lblOffset val="100"/>
        <c:noMultiLvlLbl val="0"/>
      </c:catAx>
      <c:valAx>
        <c:axId val="535597568"/>
        <c:scaling>
          <c:orientation val="minMax"/>
        </c:scaling>
        <c:delete val="0"/>
        <c:axPos val="l"/>
        <c:majorGridlines/>
        <c:title>
          <c:tx>
            <c:rich>
              <a:bodyPr rot="-5400000" vert="horz"/>
              <a:lstStyle/>
              <a:p>
                <a:pPr>
                  <a:defRPr lang="en-GB" sz="1200" b="1">
                    <a:solidFill>
                      <a:schemeClr val="bg1"/>
                    </a:solidFill>
                  </a:defRPr>
                </a:pPr>
                <a:r>
                  <a:rPr lang="en-US" sz="1200" b="1">
                    <a:solidFill>
                      <a:schemeClr val="bg1"/>
                    </a:solidFill>
                  </a:rPr>
                  <a:t>Number of connections</a:t>
                </a:r>
              </a:p>
            </c:rich>
          </c:tx>
          <c:layout>
            <c:manualLayout>
              <c:xMode val="edge"/>
              <c:yMode val="edge"/>
              <c:x val="4.7128058610514459E-3"/>
              <c:y val="0.26991979336565036"/>
            </c:manualLayout>
          </c:layout>
          <c:overlay val="0"/>
        </c:title>
        <c:numFmt formatCode="_(* #,##0_);_(* \(#,##0\);_(* &quot;-&quot;??_);_(@_)" sourceLinked="1"/>
        <c:majorTickMark val="out"/>
        <c:minorTickMark val="none"/>
        <c:tickLblPos val="nextTo"/>
        <c:txPr>
          <a:bodyPr rot="0"/>
          <a:lstStyle/>
          <a:p>
            <a:pPr>
              <a:defRPr lang="en-US" sz="1100">
                <a:solidFill>
                  <a:schemeClr val="bg1"/>
                </a:solidFill>
              </a:defRPr>
            </a:pPr>
            <a:endParaRPr lang="en-US"/>
          </a:p>
        </c:txPr>
        <c:crossAx val="43781120"/>
        <c:crosses val="autoZero"/>
        <c:crossBetween val="midCat"/>
      </c:valAx>
    </c:plotArea>
    <c:legend>
      <c:legendPos val="b"/>
      <c:layout>
        <c:manualLayout>
          <c:xMode val="edge"/>
          <c:yMode val="edge"/>
          <c:x val="2.5541951128870669E-3"/>
          <c:y val="0.84918917761970703"/>
          <c:w val="0.99551662618876657"/>
          <c:h val="0.15081082238029841"/>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Financial outline for metering of consumer connections</a:t>
            </a:r>
          </a:p>
        </c:rich>
      </c:tx>
      <c:layout>
        <c:manualLayout>
          <c:xMode val="edge"/>
          <c:yMode val="edge"/>
          <c:x val="0.21656077838256824"/>
          <c:y val="2.0961983021220602E-2"/>
        </c:manualLayout>
      </c:layout>
      <c:overlay val="1"/>
    </c:title>
    <c:autoTitleDeleted val="0"/>
    <c:plotArea>
      <c:layout>
        <c:manualLayout>
          <c:layoutTarget val="inner"/>
          <c:xMode val="edge"/>
          <c:yMode val="edge"/>
          <c:x val="8.1666605627784897E-2"/>
          <c:y val="0.11467265514981666"/>
          <c:w val="0.88252066166147825"/>
          <c:h val="0.71191782509074519"/>
        </c:manualLayout>
      </c:layout>
      <c:areaChart>
        <c:grouping val="standard"/>
        <c:varyColors val="0"/>
        <c:ser>
          <c:idx val="0"/>
          <c:order val="0"/>
          <c:tx>
            <c:strRef>
              <c:f>'WS calcu'!$C$839</c:f>
              <c:strCache>
                <c:ptCount val="1"/>
                <c:pt idx="0">
                  <c:v>Capex</c:v>
                </c:pt>
              </c:strCache>
            </c:strRef>
          </c:tx>
          <c:spPr>
            <a:solidFill>
              <a:srgbClr val="C0504D">
                <a:alpha val="50000"/>
              </a:srgbClr>
            </a:solidFill>
            <a:ln>
              <a:solidFill>
                <a:sysClr val="windowText" lastClr="000000"/>
              </a:solidFill>
            </a:ln>
          </c:spPr>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calcu'!$E$839:$O$839</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0F89-444F-A7E2-A88AC12873C0}"/>
            </c:ext>
          </c:extLst>
        </c:ser>
        <c:ser>
          <c:idx val="1"/>
          <c:order val="1"/>
          <c:tx>
            <c:strRef>
              <c:f>'WS calcu'!$C$840</c:f>
              <c:strCache>
                <c:ptCount val="1"/>
                <c:pt idx="0">
                  <c:v>O&amp;M</c:v>
                </c:pt>
              </c:strCache>
            </c:strRef>
          </c:tx>
          <c:spPr>
            <a:solidFill>
              <a:srgbClr val="FFC000">
                <a:alpha val="51000"/>
              </a:srgbClr>
            </a:solidFill>
            <a:ln>
              <a:solidFill>
                <a:schemeClr val="tx1"/>
              </a:solidFill>
            </a:ln>
          </c:spPr>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calcu'!$E$840:$O$840</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0F89-444F-A7E2-A88AC12873C0}"/>
            </c:ext>
          </c:extLst>
        </c:ser>
        <c:ser>
          <c:idx val="2"/>
          <c:order val="2"/>
          <c:tx>
            <c:strRef>
              <c:f>'WS calcu'!$C$841</c:f>
              <c:strCache>
                <c:ptCount val="1"/>
                <c:pt idx="0">
                  <c:v>Revenue</c:v>
                </c:pt>
              </c:strCache>
            </c:strRef>
          </c:tx>
          <c:spPr>
            <a:solidFill>
              <a:srgbClr val="4F81BD">
                <a:alpha val="35000"/>
              </a:srgbClr>
            </a:solidFill>
            <a:ln>
              <a:solidFill>
                <a:schemeClr val="tx1"/>
              </a:solidFill>
            </a:ln>
          </c:spPr>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calcu'!$E$841:$O$841</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0F89-444F-A7E2-A88AC12873C0}"/>
            </c:ext>
          </c:extLst>
        </c:ser>
        <c:dLbls>
          <c:showLegendKey val="0"/>
          <c:showVal val="0"/>
          <c:showCatName val="0"/>
          <c:showSerName val="0"/>
          <c:showPercent val="0"/>
          <c:showBubbleSize val="0"/>
        </c:dLbls>
        <c:axId val="44441600"/>
        <c:axId val="535599872"/>
      </c:areaChart>
      <c:catAx>
        <c:axId val="44441600"/>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100"/>
            </a:pPr>
            <a:endParaRPr lang="en-US"/>
          </a:p>
        </c:txPr>
        <c:crossAx val="535599872"/>
        <c:crosses val="autoZero"/>
        <c:auto val="1"/>
        <c:lblAlgn val="ctr"/>
        <c:lblOffset val="100"/>
        <c:noMultiLvlLbl val="0"/>
      </c:catAx>
      <c:valAx>
        <c:axId val="535599872"/>
        <c:scaling>
          <c:orientation val="minMax"/>
        </c:scaling>
        <c:delete val="0"/>
        <c:axPos val="l"/>
        <c:majorGridlines/>
        <c:title>
          <c:tx>
            <c:strRef>
              <c:f>'General info'!$E$43:$G$43</c:f>
              <c:strCache>
                <c:ptCount val="1"/>
                <c:pt idx="0">
                  <c:v>INR Lakhs</c:v>
                </c:pt>
              </c:strCache>
            </c:strRef>
          </c:tx>
          <c:layout>
            <c:manualLayout>
              <c:xMode val="edge"/>
              <c:yMode val="edge"/>
              <c:x val="9.9700909479338525E-4"/>
              <c:y val="0.41602697266462446"/>
            </c:manualLayout>
          </c:layout>
          <c:overlay val="0"/>
          <c:txPr>
            <a:bodyPr rot="-5400000" vert="horz"/>
            <a:lstStyle/>
            <a:p>
              <a:pPr>
                <a:defRPr lang="en-US" sz="1200" b="1"/>
              </a:pPr>
              <a:endParaRPr lang="en-US"/>
            </a:p>
          </c:txPr>
        </c:title>
        <c:numFmt formatCode="_(* #,##0.0_);_(* \(#,##0.0\);_(* &quot;-&quot;??_);_(@_)" sourceLinked="1"/>
        <c:majorTickMark val="out"/>
        <c:minorTickMark val="none"/>
        <c:tickLblPos val="nextTo"/>
        <c:txPr>
          <a:bodyPr/>
          <a:lstStyle/>
          <a:p>
            <a:pPr>
              <a:defRPr lang="en-US" sz="1100"/>
            </a:pPr>
            <a:endParaRPr lang="en-US"/>
          </a:p>
        </c:txPr>
        <c:crossAx val="44441600"/>
        <c:crosses val="autoZero"/>
        <c:crossBetween val="midCat"/>
      </c:valAx>
    </c:plotArea>
    <c:legend>
      <c:legendPos val="b"/>
      <c:layout>
        <c:manualLayout>
          <c:xMode val="edge"/>
          <c:yMode val="edge"/>
          <c:x val="0.26602828119787858"/>
          <c:y val="0.92743725309490321"/>
          <c:w val="0.5021514044121177"/>
          <c:h val="5.6135642182304206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Financial outline for reducing Non-revenue water</a:t>
            </a:r>
          </a:p>
        </c:rich>
      </c:tx>
      <c:layout>
        <c:manualLayout>
          <c:xMode val="edge"/>
          <c:yMode val="edge"/>
          <c:x val="0.21033749671074581"/>
          <c:y val="2.0962146963207438E-2"/>
        </c:manualLayout>
      </c:layout>
      <c:overlay val="1"/>
    </c:title>
    <c:autoTitleDeleted val="0"/>
    <c:plotArea>
      <c:layout>
        <c:manualLayout>
          <c:layoutTarget val="inner"/>
          <c:xMode val="edge"/>
          <c:yMode val="edge"/>
          <c:x val="7.2287469144901514E-2"/>
          <c:y val="0.10414488601879052"/>
          <c:w val="0.89189987374503765"/>
          <c:h val="0.72962893798203565"/>
        </c:manualLayout>
      </c:layout>
      <c:areaChart>
        <c:grouping val="standard"/>
        <c:varyColors val="0"/>
        <c:ser>
          <c:idx val="0"/>
          <c:order val="0"/>
          <c:tx>
            <c:strRef>
              <c:f>'WS calcu'!$C$828</c:f>
              <c:strCache>
                <c:ptCount val="1"/>
                <c:pt idx="0">
                  <c:v>Capex</c:v>
                </c:pt>
              </c:strCache>
            </c:strRef>
          </c:tx>
          <c:spPr>
            <a:solidFill>
              <a:srgbClr val="C0504D">
                <a:alpha val="50000"/>
              </a:srgbClr>
            </a:solidFill>
            <a:ln>
              <a:solidFill>
                <a:sysClr val="windowText" lastClr="000000"/>
              </a:solidFill>
            </a:ln>
          </c:spPr>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calcu'!$E$828:$O$828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AB07-4EE9-B7E2-1893516B5F16}"/>
            </c:ext>
          </c:extLst>
        </c:ser>
        <c:ser>
          <c:idx val="1"/>
          <c:order val="1"/>
          <c:tx>
            <c:strRef>
              <c:f>'WS calcu'!$C$829</c:f>
              <c:strCache>
                <c:ptCount val="1"/>
                <c:pt idx="0">
                  <c:v>O&amp;M</c:v>
                </c:pt>
              </c:strCache>
            </c:strRef>
          </c:tx>
          <c:spPr>
            <a:solidFill>
              <a:srgbClr val="FFC000">
                <a:alpha val="51000"/>
              </a:srgbClr>
            </a:solidFill>
            <a:ln>
              <a:solidFill>
                <a:schemeClr val="tx1"/>
              </a:solidFill>
            </a:ln>
          </c:spPr>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calcu'!$E$829:$O$829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AB07-4EE9-B7E2-1893516B5F16}"/>
            </c:ext>
          </c:extLst>
        </c:ser>
        <c:ser>
          <c:idx val="2"/>
          <c:order val="2"/>
          <c:tx>
            <c:strRef>
              <c:f>'WS calcu'!$C$830</c:f>
              <c:strCache>
                <c:ptCount val="1"/>
                <c:pt idx="0">
                  <c:v>Revenue</c:v>
                </c:pt>
              </c:strCache>
            </c:strRef>
          </c:tx>
          <c:spPr>
            <a:solidFill>
              <a:srgbClr val="4F81BD">
                <a:alpha val="35000"/>
              </a:srgbClr>
            </a:solidFill>
            <a:ln>
              <a:solidFill>
                <a:schemeClr val="tx1"/>
              </a:solidFill>
            </a:ln>
          </c:spPr>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calcu'!$E$830:$O$830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AB07-4EE9-B7E2-1893516B5F16}"/>
            </c:ext>
          </c:extLst>
        </c:ser>
        <c:dLbls>
          <c:showLegendKey val="0"/>
          <c:showVal val="0"/>
          <c:showCatName val="0"/>
          <c:showSerName val="0"/>
          <c:showPercent val="0"/>
          <c:showBubbleSize val="0"/>
        </c:dLbls>
        <c:axId val="43781632"/>
        <c:axId val="44517632"/>
      </c:areaChart>
      <c:catAx>
        <c:axId val="43781632"/>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100" b="0"/>
            </a:pPr>
            <a:endParaRPr lang="en-US"/>
          </a:p>
        </c:txPr>
        <c:crossAx val="44517632"/>
        <c:crosses val="autoZero"/>
        <c:auto val="1"/>
        <c:lblAlgn val="ctr"/>
        <c:lblOffset val="100"/>
        <c:noMultiLvlLbl val="0"/>
      </c:catAx>
      <c:valAx>
        <c:axId val="44517632"/>
        <c:scaling>
          <c:orientation val="minMax"/>
        </c:scaling>
        <c:delete val="0"/>
        <c:axPos val="l"/>
        <c:majorGridlines/>
        <c:title>
          <c:tx>
            <c:strRef>
              <c:f>'General info'!$E$43:$G$43</c:f>
              <c:strCache>
                <c:ptCount val="1"/>
                <c:pt idx="0">
                  <c:v>INR Lakhs</c:v>
                </c:pt>
              </c:strCache>
            </c:strRef>
          </c:tx>
          <c:layout/>
          <c:overlay val="0"/>
          <c:txPr>
            <a:bodyPr rot="-5400000" vert="horz"/>
            <a:lstStyle/>
            <a:p>
              <a:pPr>
                <a:defRPr lang="en-US" sz="1200" b="1"/>
              </a:pPr>
              <a:endParaRPr lang="en-US"/>
            </a:p>
          </c:txPr>
        </c:title>
        <c:numFmt formatCode="_(* #,##0_);_(* \(#,##0\);_(* &quot;-&quot;??_);_(@_)" sourceLinked="1"/>
        <c:majorTickMark val="out"/>
        <c:minorTickMark val="none"/>
        <c:tickLblPos val="nextTo"/>
        <c:txPr>
          <a:bodyPr/>
          <a:lstStyle/>
          <a:p>
            <a:pPr>
              <a:defRPr lang="en-US" sz="1100"/>
            </a:pPr>
            <a:endParaRPr lang="en-US"/>
          </a:p>
        </c:txPr>
        <c:crossAx val="43781632"/>
        <c:crosses val="autoZero"/>
        <c:crossBetween val="midCat"/>
      </c:valAx>
    </c:plotArea>
    <c:legend>
      <c:legendPos val="b"/>
      <c:layout>
        <c:manualLayout>
          <c:xMode val="edge"/>
          <c:yMode val="edge"/>
          <c:x val="0.17938664561932571"/>
          <c:y val="0.93462746716515765"/>
          <c:w val="0.66931331083784051"/>
          <c:h val="5.0573183462406836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Cost</a:t>
            </a:r>
            <a:r>
              <a:rPr lang="en-US" baseline="0"/>
              <a:t> recovery for water supply services</a:t>
            </a:r>
            <a:endParaRPr lang="en-US"/>
          </a:p>
        </c:rich>
      </c:tx>
      <c:layout>
        <c:manualLayout>
          <c:xMode val="edge"/>
          <c:yMode val="edge"/>
          <c:x val="0.26024811870181075"/>
          <c:y val="2.4433751336638467E-3"/>
        </c:manualLayout>
      </c:layout>
      <c:overlay val="1"/>
    </c:title>
    <c:autoTitleDeleted val="0"/>
    <c:plotArea>
      <c:layout>
        <c:manualLayout>
          <c:layoutTarget val="inner"/>
          <c:xMode val="edge"/>
          <c:yMode val="edge"/>
          <c:x val="8.3178149989127717E-2"/>
          <c:y val="9.1582969669063208E-2"/>
          <c:w val="0.88878827136106231"/>
          <c:h val="0.75105130503314665"/>
        </c:manualLayout>
      </c:layout>
      <c:areaChart>
        <c:grouping val="standard"/>
        <c:varyColors val="0"/>
        <c:ser>
          <c:idx val="1"/>
          <c:order val="0"/>
          <c:tx>
            <c:strRef>
              <c:f>'WS calcu'!$C$846</c:f>
              <c:strCache>
                <c:ptCount val="1"/>
                <c:pt idx="0">
                  <c:v>Revenue expenditure</c:v>
                </c:pt>
              </c:strCache>
            </c:strRef>
          </c:tx>
          <c:spPr>
            <a:solidFill>
              <a:srgbClr val="C0504D">
                <a:alpha val="45000"/>
              </a:srgbClr>
            </a:solidFill>
            <a:ln>
              <a:solidFill>
                <a:schemeClr val="tx1"/>
              </a:solidFill>
            </a:ln>
          </c:spPr>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calcu'!$E$846:$O$846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D6FE-4D04-92BF-CA254D46525F}"/>
            </c:ext>
          </c:extLst>
        </c:ser>
        <c:ser>
          <c:idx val="0"/>
          <c:order val="1"/>
          <c:tx>
            <c:strRef>
              <c:f>'WS calcu'!$C$845</c:f>
              <c:strCache>
                <c:ptCount val="1"/>
                <c:pt idx="0">
                  <c:v>Revenue income</c:v>
                </c:pt>
              </c:strCache>
            </c:strRef>
          </c:tx>
          <c:spPr>
            <a:solidFill>
              <a:srgbClr val="4F81BD">
                <a:alpha val="33000"/>
              </a:srgbClr>
            </a:solidFill>
            <a:ln>
              <a:solidFill>
                <a:sysClr val="windowText" lastClr="000000"/>
              </a:solidFill>
            </a:ln>
          </c:spPr>
          <c:cat>
            <c:numRef>
              <c:f>'WS calcu'!$E$813:$O$813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calcu'!$E$845:$O$845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D6FE-4D04-92BF-CA254D46525F}"/>
            </c:ext>
          </c:extLst>
        </c:ser>
        <c:dLbls>
          <c:showLegendKey val="0"/>
          <c:showVal val="0"/>
          <c:showCatName val="0"/>
          <c:showSerName val="0"/>
          <c:showPercent val="0"/>
          <c:showBubbleSize val="0"/>
        </c:dLbls>
        <c:axId val="44442112"/>
        <c:axId val="44520512"/>
      </c:areaChart>
      <c:catAx>
        <c:axId val="44442112"/>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100"/>
            </a:pPr>
            <a:endParaRPr lang="en-US"/>
          </a:p>
        </c:txPr>
        <c:crossAx val="44520512"/>
        <c:crosses val="autoZero"/>
        <c:auto val="1"/>
        <c:lblAlgn val="ctr"/>
        <c:lblOffset val="100"/>
        <c:noMultiLvlLbl val="0"/>
      </c:catAx>
      <c:valAx>
        <c:axId val="44520512"/>
        <c:scaling>
          <c:orientation val="minMax"/>
        </c:scaling>
        <c:delete val="0"/>
        <c:axPos val="l"/>
        <c:majorGridlines/>
        <c:title>
          <c:tx>
            <c:strRef>
              <c:f>'General info'!$E$43:$G$43</c:f>
              <c:strCache>
                <c:ptCount val="1"/>
                <c:pt idx="0">
                  <c:v>INR Lakhs</c:v>
                </c:pt>
              </c:strCache>
            </c:strRef>
          </c:tx>
          <c:layout>
            <c:manualLayout>
              <c:xMode val="edge"/>
              <c:yMode val="edge"/>
              <c:x val="1.5558148580318942E-3"/>
              <c:y val="0.42874199326218437"/>
            </c:manualLayout>
          </c:layout>
          <c:overlay val="0"/>
          <c:txPr>
            <a:bodyPr rot="-5400000" vert="horz"/>
            <a:lstStyle/>
            <a:p>
              <a:pPr>
                <a:defRPr lang="en-US" sz="1200" b="1"/>
              </a:pPr>
              <a:endParaRPr lang="en-US"/>
            </a:p>
          </c:txPr>
        </c:title>
        <c:numFmt formatCode="_(* #,##0_);_(* \(#,##0\);_(* &quot;-&quot;??_);_(@_)" sourceLinked="1"/>
        <c:majorTickMark val="out"/>
        <c:minorTickMark val="none"/>
        <c:tickLblPos val="nextTo"/>
        <c:txPr>
          <a:bodyPr/>
          <a:lstStyle/>
          <a:p>
            <a:pPr>
              <a:defRPr lang="en-US" sz="1100"/>
            </a:pPr>
            <a:endParaRPr lang="en-US"/>
          </a:p>
        </c:txPr>
        <c:crossAx val="44442112"/>
        <c:crosses val="autoZero"/>
        <c:crossBetween val="midCat"/>
      </c:valAx>
    </c:plotArea>
    <c:legend>
      <c:legendPos val="b"/>
      <c:layout>
        <c:manualLayout>
          <c:xMode val="edge"/>
          <c:yMode val="edge"/>
          <c:x val="0.16474817543956374"/>
          <c:y val="0.93319837855806775"/>
          <c:w val="0.66739189689981482"/>
          <c:h val="5.1678748095996346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u="none" strike="noStrike" baseline="0">
                <a:solidFill>
                  <a:schemeClr val="bg1"/>
                </a:solidFill>
              </a:rPr>
              <a:t>Adequacy of water treatment plant capacity</a:t>
            </a:r>
            <a:endParaRPr lang="en-US">
              <a:solidFill>
                <a:schemeClr val="bg1"/>
              </a:solidFill>
            </a:endParaRPr>
          </a:p>
        </c:rich>
      </c:tx>
      <c:layout>
        <c:manualLayout>
          <c:xMode val="edge"/>
          <c:yMode val="edge"/>
          <c:x val="0.23256202065500853"/>
          <c:y val="3.2362439368920658E-2"/>
        </c:manualLayout>
      </c:layout>
      <c:overlay val="1"/>
    </c:title>
    <c:autoTitleDeleted val="0"/>
    <c:plotArea>
      <c:layout>
        <c:manualLayout>
          <c:layoutTarget val="inner"/>
          <c:xMode val="edge"/>
          <c:yMode val="edge"/>
          <c:x val="7.2494192498573154E-2"/>
          <c:y val="0.15252085218624944"/>
          <c:w val="0.89156121945279687"/>
          <c:h val="0.63918561749033809"/>
        </c:manualLayout>
      </c:layout>
      <c:areaChart>
        <c:grouping val="standard"/>
        <c:varyColors val="0"/>
        <c:ser>
          <c:idx val="4"/>
          <c:order val="0"/>
          <c:tx>
            <c:strRef>
              <c:f>'WS calcu'!$C$804</c:f>
              <c:strCache>
                <c:ptCount val="1"/>
                <c:pt idx="0">
                  <c:v>Treatment plant capacity efficiency</c:v>
                </c:pt>
              </c:strCache>
            </c:strRef>
          </c:tx>
          <c:spPr>
            <a:solidFill>
              <a:schemeClr val="accent3"/>
            </a:solidFill>
          </c:spPr>
          <c:cat>
            <c:numRef>
              <c:f>'WS calcu'!$E$801:$O$801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calcu'!$E$804:$O$804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7396-4D25-846A-72C8D5B761DD}"/>
            </c:ext>
          </c:extLst>
        </c:ser>
        <c:ser>
          <c:idx val="3"/>
          <c:order val="1"/>
          <c:tx>
            <c:strRef>
              <c:f>'WS calcu'!$C$805</c:f>
              <c:strCache>
                <c:ptCount val="1"/>
                <c:pt idx="0">
                  <c:v>Benchmark</c:v>
                </c:pt>
              </c:strCache>
            </c:strRef>
          </c:tx>
          <c:spPr>
            <a:noFill/>
            <a:ln w="38100">
              <a:solidFill>
                <a:schemeClr val="tx1"/>
              </a:solidFill>
              <a:prstDash val="sysDash"/>
            </a:ln>
          </c:spPr>
          <c:cat>
            <c:numRef>
              <c:f>'WS calcu'!$E$801:$O$801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calcu'!$E$805:$O$805</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xmlns:c16r2="http://schemas.microsoft.com/office/drawing/2015/06/chart">
            <c:ext xmlns:c16="http://schemas.microsoft.com/office/drawing/2014/chart" uri="{C3380CC4-5D6E-409C-BE32-E72D297353CC}">
              <c16:uniqueId val="{00000001-7396-4D25-846A-72C8D5B761DD}"/>
            </c:ext>
          </c:extLst>
        </c:ser>
        <c:dLbls>
          <c:showLegendKey val="0"/>
          <c:showVal val="0"/>
          <c:showCatName val="0"/>
          <c:showSerName val="0"/>
          <c:showPercent val="0"/>
          <c:showBubbleSize val="0"/>
        </c:dLbls>
        <c:axId val="44443136"/>
        <c:axId val="44522816"/>
      </c:areaChart>
      <c:catAx>
        <c:axId val="44443136"/>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44522816"/>
        <c:crosses val="autoZero"/>
        <c:auto val="1"/>
        <c:lblAlgn val="ctr"/>
        <c:lblOffset val="100"/>
        <c:noMultiLvlLbl val="0"/>
      </c:catAx>
      <c:valAx>
        <c:axId val="44522816"/>
        <c:scaling>
          <c:orientation val="minMax"/>
          <c:min val="0"/>
        </c:scaling>
        <c:delete val="0"/>
        <c:axPos val="l"/>
        <c:majorGridlines/>
        <c:numFmt formatCode="0%" sourceLinked="1"/>
        <c:majorTickMark val="out"/>
        <c:minorTickMark val="none"/>
        <c:tickLblPos val="nextTo"/>
        <c:txPr>
          <a:bodyPr rot="0"/>
          <a:lstStyle/>
          <a:p>
            <a:pPr>
              <a:defRPr lang="en-US" sz="1100">
                <a:solidFill>
                  <a:schemeClr val="bg1"/>
                </a:solidFill>
              </a:defRPr>
            </a:pPr>
            <a:endParaRPr lang="en-US"/>
          </a:p>
        </c:txPr>
        <c:crossAx val="44443136"/>
        <c:crosses val="autoZero"/>
        <c:crossBetween val="midCat"/>
      </c:valAx>
    </c:plotArea>
    <c:legend>
      <c:legendPos val="b"/>
      <c:layout>
        <c:manualLayout>
          <c:xMode val="edge"/>
          <c:yMode val="edge"/>
          <c:x val="1.9779449231476013E-2"/>
          <c:y val="0.88745541011003981"/>
          <c:w val="0.8759474393968627"/>
          <c:h val="8.7790677702129713E-2"/>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Per capita supply of water </a:t>
            </a:r>
          </a:p>
        </c:rich>
      </c:tx>
      <c:layout>
        <c:manualLayout>
          <c:xMode val="edge"/>
          <c:yMode val="edge"/>
          <c:x val="0.33078518130904799"/>
          <c:y val="3.1056500426835561E-3"/>
        </c:manualLayout>
      </c:layout>
      <c:overlay val="1"/>
    </c:title>
    <c:autoTitleDeleted val="0"/>
    <c:plotArea>
      <c:layout>
        <c:manualLayout>
          <c:layoutTarget val="inner"/>
          <c:xMode val="edge"/>
          <c:yMode val="edge"/>
          <c:x val="7.2494192498573154E-2"/>
          <c:y val="0.12208358075410022"/>
          <c:w val="0.89156121945279687"/>
          <c:h val="0.67690564323024205"/>
        </c:manualLayout>
      </c:layout>
      <c:areaChart>
        <c:grouping val="standard"/>
        <c:varyColors val="0"/>
        <c:ser>
          <c:idx val="0"/>
          <c:order val="0"/>
          <c:tx>
            <c:strRef>
              <c:f>'WS calcu'!$C$802</c:f>
              <c:strCache>
                <c:ptCount val="1"/>
                <c:pt idx="0">
                  <c:v>Per capita liter supply at source (litres/ capita/ day)</c:v>
                </c:pt>
              </c:strCache>
            </c:strRef>
          </c:tx>
          <c:dLbls>
            <c:delete val="1"/>
          </c:dLbls>
          <c:cat>
            <c:numRef>
              <c:f>'WS calcu'!$E$801:$O$801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calcu'!$E$802:$O$802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94E8-4AC1-9853-18F60CC17218}"/>
            </c:ext>
          </c:extLst>
        </c:ser>
        <c:ser>
          <c:idx val="1"/>
          <c:order val="1"/>
          <c:tx>
            <c:strRef>
              <c:f>'WS calcu'!$C$803</c:f>
              <c:strCache>
                <c:ptCount val="1"/>
                <c:pt idx="0">
                  <c:v>Benchmark</c:v>
                </c:pt>
              </c:strCache>
            </c:strRef>
          </c:tx>
          <c:spPr>
            <a:noFill/>
            <a:ln w="38100">
              <a:solidFill>
                <a:schemeClr val="tx1"/>
              </a:solidFill>
              <a:prstDash val="sysDash"/>
            </a:ln>
          </c:spPr>
          <c:dLbls>
            <c:delete val="1"/>
          </c:dLbls>
          <c:cat>
            <c:numRef>
              <c:f>'WS calcu'!$E$801:$O$801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calcu'!$E$803:$O$803</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94E8-4AC1-9853-18F60CC17218}"/>
            </c:ext>
          </c:extLst>
        </c:ser>
        <c:dLbls>
          <c:showLegendKey val="0"/>
          <c:showVal val="1"/>
          <c:showCatName val="0"/>
          <c:showSerName val="0"/>
          <c:showPercent val="0"/>
          <c:showBubbleSize val="0"/>
        </c:dLbls>
        <c:axId val="44443648"/>
        <c:axId val="44385408"/>
      </c:areaChart>
      <c:catAx>
        <c:axId val="44443648"/>
        <c:scaling>
          <c:orientation val="minMax"/>
        </c:scaling>
        <c:delete val="0"/>
        <c:axPos val="b"/>
        <c:majorGridlines/>
        <c:numFmt formatCode="General" sourceLinked="1"/>
        <c:majorTickMark val="out"/>
        <c:minorTickMark val="none"/>
        <c:tickLblPos val="nextTo"/>
        <c:txPr>
          <a:bodyPr/>
          <a:lstStyle/>
          <a:p>
            <a:pPr>
              <a:defRPr lang="en-US" sz="1100"/>
            </a:pPr>
            <a:endParaRPr lang="en-US"/>
          </a:p>
        </c:txPr>
        <c:crossAx val="44385408"/>
        <c:crosses val="autoZero"/>
        <c:auto val="1"/>
        <c:lblAlgn val="ctr"/>
        <c:lblOffset val="100"/>
        <c:noMultiLvlLbl val="0"/>
      </c:catAx>
      <c:valAx>
        <c:axId val="44385408"/>
        <c:scaling>
          <c:orientation val="minMax"/>
        </c:scaling>
        <c:delete val="0"/>
        <c:axPos val="l"/>
        <c:majorGridlines/>
        <c:numFmt formatCode="_(* #,##0_);_(* \(#,##0\);_(* &quot;-&quot;??_);_(@_)" sourceLinked="1"/>
        <c:majorTickMark val="out"/>
        <c:minorTickMark val="none"/>
        <c:tickLblPos val="nextTo"/>
        <c:txPr>
          <a:bodyPr rot="0"/>
          <a:lstStyle/>
          <a:p>
            <a:pPr>
              <a:defRPr lang="en-US" sz="1100"/>
            </a:pPr>
            <a:endParaRPr lang="en-US"/>
          </a:p>
        </c:txPr>
        <c:crossAx val="44443648"/>
        <c:crosses val="autoZero"/>
        <c:crossBetween val="midCat"/>
      </c:valAx>
    </c:plotArea>
    <c:legend>
      <c:legendPos val="b"/>
      <c:layout>
        <c:manualLayout>
          <c:xMode val="edge"/>
          <c:yMode val="edge"/>
          <c:x val="1.9779391871883843E-2"/>
          <c:y val="0.91220931784671355"/>
          <c:w val="0.95682225946246868"/>
          <c:h val="7.7317499661162012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u="none" strike="noStrike" baseline="0">
                <a:solidFill>
                  <a:schemeClr val="bg1"/>
                </a:solidFill>
              </a:rPr>
              <a:t>Adequacy of water storage capacity</a:t>
            </a:r>
            <a:endParaRPr lang="en-US">
              <a:solidFill>
                <a:schemeClr val="bg1"/>
              </a:solidFill>
            </a:endParaRPr>
          </a:p>
        </c:rich>
      </c:tx>
      <c:layout>
        <c:manualLayout>
          <c:xMode val="edge"/>
          <c:yMode val="edge"/>
          <c:x val="0.2698275978008195"/>
          <c:y val="2.9899398476021459E-2"/>
        </c:manualLayout>
      </c:layout>
      <c:overlay val="1"/>
    </c:title>
    <c:autoTitleDeleted val="0"/>
    <c:plotArea>
      <c:layout>
        <c:manualLayout>
          <c:layoutTarget val="inner"/>
          <c:xMode val="edge"/>
          <c:yMode val="edge"/>
          <c:x val="7.2494192498573154E-2"/>
          <c:y val="0.15253796753352591"/>
          <c:w val="0.89156121945279687"/>
          <c:h val="0.64688708329220002"/>
        </c:manualLayout>
      </c:layout>
      <c:areaChart>
        <c:grouping val="standard"/>
        <c:varyColors val="0"/>
        <c:ser>
          <c:idx val="4"/>
          <c:order val="0"/>
          <c:tx>
            <c:strRef>
              <c:f>'WS calcu'!$C$806</c:f>
              <c:strCache>
                <c:ptCount val="1"/>
                <c:pt idx="0">
                  <c:v>Storage capacity efficiency</c:v>
                </c:pt>
              </c:strCache>
            </c:strRef>
          </c:tx>
          <c:spPr>
            <a:solidFill>
              <a:schemeClr val="accent4"/>
            </a:solidFill>
          </c:spPr>
          <c:cat>
            <c:numRef>
              <c:f>'WS calcu'!$E$801:$O$801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calcu'!$E$806:$O$806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7068-48A0-A1B7-B64ACD8E095C}"/>
            </c:ext>
          </c:extLst>
        </c:ser>
        <c:ser>
          <c:idx val="3"/>
          <c:order val="1"/>
          <c:tx>
            <c:strRef>
              <c:f>'WS calcu'!$C$807</c:f>
              <c:strCache>
                <c:ptCount val="1"/>
                <c:pt idx="0">
                  <c:v>Benchmark</c:v>
                </c:pt>
              </c:strCache>
            </c:strRef>
          </c:tx>
          <c:spPr>
            <a:noFill/>
            <a:ln w="38100">
              <a:solidFill>
                <a:sysClr val="windowText" lastClr="000000"/>
              </a:solidFill>
              <a:prstDash val="sysDash"/>
            </a:ln>
          </c:spPr>
          <c:cat>
            <c:numRef>
              <c:f>'WS calcu'!$E$801:$O$801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calcu'!$E$807:$O$807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xmlns:c16r2="http://schemas.microsoft.com/office/drawing/2015/06/chart">
            <c:ext xmlns:c16="http://schemas.microsoft.com/office/drawing/2014/chart" uri="{C3380CC4-5D6E-409C-BE32-E72D297353CC}">
              <c16:uniqueId val="{00000001-7068-48A0-A1B7-B64ACD8E095C}"/>
            </c:ext>
          </c:extLst>
        </c:ser>
        <c:dLbls>
          <c:showLegendKey val="0"/>
          <c:showVal val="0"/>
          <c:showCatName val="0"/>
          <c:showSerName val="0"/>
          <c:showPercent val="0"/>
          <c:showBubbleSize val="0"/>
        </c:dLbls>
        <c:axId val="44444160"/>
        <c:axId val="44387712"/>
      </c:areaChart>
      <c:catAx>
        <c:axId val="44444160"/>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44387712"/>
        <c:crosses val="autoZero"/>
        <c:auto val="1"/>
        <c:lblAlgn val="ctr"/>
        <c:lblOffset val="100"/>
        <c:noMultiLvlLbl val="0"/>
      </c:catAx>
      <c:valAx>
        <c:axId val="44387712"/>
        <c:scaling>
          <c:orientation val="minMax"/>
        </c:scaling>
        <c:delete val="0"/>
        <c:axPos val="l"/>
        <c:majorGridlines/>
        <c:numFmt formatCode="0%" sourceLinked="1"/>
        <c:majorTickMark val="out"/>
        <c:minorTickMark val="none"/>
        <c:tickLblPos val="nextTo"/>
        <c:txPr>
          <a:bodyPr rot="0"/>
          <a:lstStyle/>
          <a:p>
            <a:pPr>
              <a:defRPr lang="en-US" sz="1100">
                <a:solidFill>
                  <a:schemeClr val="bg1"/>
                </a:solidFill>
              </a:defRPr>
            </a:pPr>
            <a:endParaRPr lang="en-US"/>
          </a:p>
        </c:txPr>
        <c:crossAx val="44444160"/>
        <c:crosses val="autoZero"/>
        <c:crossBetween val="midCat"/>
      </c:valAx>
    </c:plotArea>
    <c:legend>
      <c:legendPos val="b"/>
      <c:layout>
        <c:manualLayout>
          <c:xMode val="edge"/>
          <c:yMode val="edge"/>
          <c:x val="1.667390052487245E-2"/>
          <c:y val="0.91637129512990889"/>
          <c:w val="0.88686196089139058"/>
          <c:h val="8.3060464213947208E-2"/>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Financial outline for service levels</a:t>
            </a:r>
            <a:r>
              <a:rPr lang="en-US" baseline="0"/>
              <a:t> and quality</a:t>
            </a:r>
            <a:endParaRPr lang="en-US"/>
          </a:p>
        </c:rich>
      </c:tx>
      <c:layout>
        <c:manualLayout>
          <c:xMode val="edge"/>
          <c:yMode val="edge"/>
          <c:x val="0.21656077838256824"/>
          <c:y val="2.0961983021220602E-2"/>
        </c:manualLayout>
      </c:layout>
      <c:overlay val="1"/>
    </c:title>
    <c:autoTitleDeleted val="0"/>
    <c:plotArea>
      <c:layout>
        <c:manualLayout>
          <c:layoutTarget val="inner"/>
          <c:xMode val="edge"/>
          <c:yMode val="edge"/>
          <c:x val="8.0066520273064268E-2"/>
          <c:y val="0.12001352804277533"/>
          <c:w val="0.88412082678696657"/>
          <c:h val="0.7065770512754691"/>
        </c:manualLayout>
      </c:layout>
      <c:areaChart>
        <c:grouping val="standard"/>
        <c:varyColors val="0"/>
        <c:ser>
          <c:idx val="0"/>
          <c:order val="0"/>
          <c:tx>
            <c:strRef>
              <c:f>'WS calcu'!$C$809</c:f>
              <c:strCache>
                <c:ptCount val="1"/>
                <c:pt idx="0">
                  <c:v>Capex</c:v>
                </c:pt>
              </c:strCache>
            </c:strRef>
          </c:tx>
          <c:spPr>
            <a:solidFill>
              <a:srgbClr val="C0504D">
                <a:alpha val="50000"/>
              </a:srgbClr>
            </a:solidFill>
            <a:ln>
              <a:solidFill>
                <a:sysClr val="windowText" lastClr="000000"/>
              </a:solidFill>
            </a:ln>
          </c:spPr>
          <c:cat>
            <c:numRef>
              <c:f>'WS calcu'!$E$801:$O$801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calcu'!$E$809:$O$809</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A1E8-4575-8E34-7DEB1D862583}"/>
            </c:ext>
          </c:extLst>
        </c:ser>
        <c:ser>
          <c:idx val="1"/>
          <c:order val="1"/>
          <c:tx>
            <c:strRef>
              <c:f>'WS calcu'!$C$810</c:f>
              <c:strCache>
                <c:ptCount val="1"/>
                <c:pt idx="0">
                  <c:v>O&amp;M</c:v>
                </c:pt>
              </c:strCache>
            </c:strRef>
          </c:tx>
          <c:spPr>
            <a:solidFill>
              <a:srgbClr val="FFC000">
                <a:alpha val="51000"/>
              </a:srgbClr>
            </a:solidFill>
            <a:ln>
              <a:solidFill>
                <a:schemeClr val="tx1"/>
              </a:solidFill>
            </a:ln>
          </c:spPr>
          <c:cat>
            <c:numRef>
              <c:f>'WS calcu'!$E$801:$O$801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calcu'!$E$810:$O$810</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A1E8-4575-8E34-7DEB1D862583}"/>
            </c:ext>
          </c:extLst>
        </c:ser>
        <c:ser>
          <c:idx val="2"/>
          <c:order val="2"/>
          <c:tx>
            <c:strRef>
              <c:f>'WS calcu'!$C$811</c:f>
              <c:strCache>
                <c:ptCount val="1"/>
                <c:pt idx="0">
                  <c:v>Revenue</c:v>
                </c:pt>
              </c:strCache>
            </c:strRef>
          </c:tx>
          <c:spPr>
            <a:solidFill>
              <a:srgbClr val="4F81BD">
                <a:alpha val="35000"/>
              </a:srgbClr>
            </a:solidFill>
            <a:ln>
              <a:solidFill>
                <a:schemeClr val="tx1"/>
              </a:solidFill>
            </a:ln>
          </c:spPr>
          <c:cat>
            <c:numRef>
              <c:f>'WS calcu'!$E$801:$O$801</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calcu'!$E$811:$O$811</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A1E8-4575-8E34-7DEB1D862583}"/>
            </c:ext>
          </c:extLst>
        </c:ser>
        <c:dLbls>
          <c:showLegendKey val="0"/>
          <c:showVal val="0"/>
          <c:showCatName val="0"/>
          <c:showSerName val="0"/>
          <c:showPercent val="0"/>
          <c:showBubbleSize val="0"/>
        </c:dLbls>
        <c:axId val="44444672"/>
        <c:axId val="44390016"/>
      </c:areaChart>
      <c:catAx>
        <c:axId val="44444672"/>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100"/>
            </a:pPr>
            <a:endParaRPr lang="en-US"/>
          </a:p>
        </c:txPr>
        <c:crossAx val="44390016"/>
        <c:crosses val="autoZero"/>
        <c:auto val="1"/>
        <c:lblAlgn val="ctr"/>
        <c:lblOffset val="100"/>
        <c:noMultiLvlLbl val="0"/>
      </c:catAx>
      <c:valAx>
        <c:axId val="44390016"/>
        <c:scaling>
          <c:orientation val="minMax"/>
        </c:scaling>
        <c:delete val="0"/>
        <c:axPos val="l"/>
        <c:majorGridlines/>
        <c:title>
          <c:tx>
            <c:strRef>
              <c:f>'General info'!$E$43:$G$43</c:f>
              <c:strCache>
                <c:ptCount val="1"/>
                <c:pt idx="0">
                  <c:v>INR Lakhs</c:v>
                </c:pt>
              </c:strCache>
            </c:strRef>
          </c:tx>
          <c:layout>
            <c:manualLayout>
              <c:xMode val="edge"/>
              <c:yMode val="edge"/>
              <c:x val="6.3699902680704234E-4"/>
              <c:y val="0.39676189057006506"/>
            </c:manualLayout>
          </c:layout>
          <c:overlay val="0"/>
          <c:txPr>
            <a:bodyPr rot="-5400000" vert="horz"/>
            <a:lstStyle/>
            <a:p>
              <a:pPr>
                <a:defRPr lang="en-US" sz="1200" b="1"/>
              </a:pPr>
              <a:endParaRPr lang="en-US"/>
            </a:p>
          </c:txPr>
        </c:title>
        <c:numFmt formatCode="_(* #,##0.0_);_(* \(#,##0.0\);_(* &quot;-&quot;??_);_(@_)" sourceLinked="1"/>
        <c:majorTickMark val="out"/>
        <c:minorTickMark val="none"/>
        <c:tickLblPos val="nextTo"/>
        <c:txPr>
          <a:bodyPr/>
          <a:lstStyle/>
          <a:p>
            <a:pPr>
              <a:defRPr lang="en-US" sz="1100"/>
            </a:pPr>
            <a:endParaRPr lang="en-US"/>
          </a:p>
        </c:txPr>
        <c:crossAx val="44444672"/>
        <c:crosses val="autoZero"/>
        <c:crossBetween val="midCat"/>
      </c:valAx>
    </c:plotArea>
    <c:legend>
      <c:legendPos val="b"/>
      <c:layout>
        <c:manualLayout>
          <c:xMode val="edge"/>
          <c:yMode val="edge"/>
          <c:x val="0.20832654961303687"/>
          <c:y val="0.91611143039861864"/>
          <c:w val="0.61135144571339362"/>
          <c:h val="6.4897470495259013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400"/>
            </a:pPr>
            <a:r>
              <a:rPr lang="en-US" sz="1400"/>
              <a:t>Continuity</a:t>
            </a:r>
            <a:r>
              <a:rPr lang="en-US" sz="1400" baseline="0"/>
              <a:t> of water supplied</a:t>
            </a:r>
            <a:endParaRPr lang="en-US" sz="1400"/>
          </a:p>
        </c:rich>
      </c:tx>
      <c:layout>
        <c:manualLayout>
          <c:xMode val="edge"/>
          <c:yMode val="edge"/>
          <c:x val="0.26891454602112025"/>
          <c:y val="1.1488570455468928E-2"/>
        </c:manualLayout>
      </c:layout>
      <c:overlay val="1"/>
    </c:title>
    <c:autoTitleDeleted val="0"/>
    <c:plotArea>
      <c:layout>
        <c:manualLayout>
          <c:layoutTarget val="inner"/>
          <c:xMode val="edge"/>
          <c:yMode val="edge"/>
          <c:x val="0.17652916458330944"/>
          <c:y val="0.14370916270456643"/>
          <c:w val="0.76955669516065017"/>
          <c:h val="0.64584429173115565"/>
        </c:manualLayout>
      </c:layout>
      <c:barChart>
        <c:barDir val="bar"/>
        <c:grouping val="stacked"/>
        <c:varyColors val="0"/>
        <c:ser>
          <c:idx val="0"/>
          <c:order val="0"/>
          <c:invertIfNegative val="0"/>
          <c:cat>
            <c:strRef>
              <c:f>'WS calcu'!$C$869:$C$870</c:f>
              <c:strCache>
                <c:ptCount val="2"/>
                <c:pt idx="0">
                  <c:v>Days in a month</c:v>
                </c:pt>
                <c:pt idx="1">
                  <c:v>Hours of supply</c:v>
                </c:pt>
              </c:strCache>
            </c:strRef>
          </c:cat>
          <c:val>
            <c:numRef>
              <c:f>'WS calcu'!$D$869:$D$870</c:f>
              <c:numCache>
                <c:formatCode>_(* #,##0.0_);_(* \(#,##0.0\);_(* "-"??_);_(@_)</c:formatCode>
                <c:ptCount val="2"/>
                <c:pt idx="0">
                  <c:v>0</c:v>
                </c:pt>
                <c:pt idx="1">
                  <c:v>0</c:v>
                </c:pt>
              </c:numCache>
            </c:numRef>
          </c:val>
          <c:extLst xmlns:c16r2="http://schemas.microsoft.com/office/drawing/2015/06/chart">
            <c:ext xmlns:c16="http://schemas.microsoft.com/office/drawing/2014/chart" uri="{C3380CC4-5D6E-409C-BE32-E72D297353CC}">
              <c16:uniqueId val="{00000000-9242-4BA2-9437-B4C7C00825F8}"/>
            </c:ext>
          </c:extLst>
        </c:ser>
        <c:ser>
          <c:idx val="1"/>
          <c:order val="1"/>
          <c:spPr>
            <a:solidFill>
              <a:schemeClr val="bg1">
                <a:lumMod val="65000"/>
              </a:schemeClr>
            </a:solidFill>
          </c:spPr>
          <c:invertIfNegative val="0"/>
          <c:cat>
            <c:strRef>
              <c:f>'WS calcu'!$C$869:$C$870</c:f>
              <c:strCache>
                <c:ptCount val="2"/>
                <c:pt idx="0">
                  <c:v>Days in a month</c:v>
                </c:pt>
                <c:pt idx="1">
                  <c:v>Hours of supply</c:v>
                </c:pt>
              </c:strCache>
            </c:strRef>
          </c:cat>
          <c:val>
            <c:numRef>
              <c:f>'WS calcu'!$E$869:$E$870</c:f>
              <c:numCache>
                <c:formatCode>_(* #,##0.0_);_(* \(#,##0.0\);_(* "-"??_);_(@_)</c:formatCode>
                <c:ptCount val="2"/>
                <c:pt idx="0">
                  <c:v>30</c:v>
                </c:pt>
                <c:pt idx="1">
                  <c:v>24</c:v>
                </c:pt>
              </c:numCache>
            </c:numRef>
          </c:val>
          <c:extLst xmlns:c16r2="http://schemas.microsoft.com/office/drawing/2015/06/chart">
            <c:ext xmlns:c16="http://schemas.microsoft.com/office/drawing/2014/chart" uri="{C3380CC4-5D6E-409C-BE32-E72D297353CC}">
              <c16:uniqueId val="{00000001-9242-4BA2-9437-B4C7C00825F8}"/>
            </c:ext>
          </c:extLst>
        </c:ser>
        <c:dLbls>
          <c:showLegendKey val="0"/>
          <c:showVal val="0"/>
          <c:showCatName val="0"/>
          <c:showSerName val="0"/>
          <c:showPercent val="0"/>
          <c:showBubbleSize val="0"/>
        </c:dLbls>
        <c:gapWidth val="150"/>
        <c:overlap val="100"/>
        <c:axId val="561587712"/>
        <c:axId val="540431424"/>
      </c:barChart>
      <c:catAx>
        <c:axId val="561587712"/>
        <c:scaling>
          <c:orientation val="minMax"/>
        </c:scaling>
        <c:delete val="0"/>
        <c:axPos val="l"/>
        <c:numFmt formatCode="General" sourceLinked="0"/>
        <c:majorTickMark val="out"/>
        <c:minorTickMark val="none"/>
        <c:tickLblPos val="nextTo"/>
        <c:txPr>
          <a:bodyPr/>
          <a:lstStyle/>
          <a:p>
            <a:pPr>
              <a:defRPr lang="en-US" sz="1100"/>
            </a:pPr>
            <a:endParaRPr lang="en-US"/>
          </a:p>
        </c:txPr>
        <c:crossAx val="540431424"/>
        <c:crosses val="autoZero"/>
        <c:auto val="1"/>
        <c:lblAlgn val="ctr"/>
        <c:lblOffset val="100"/>
        <c:noMultiLvlLbl val="0"/>
      </c:catAx>
      <c:valAx>
        <c:axId val="540431424"/>
        <c:scaling>
          <c:orientation val="minMax"/>
        </c:scaling>
        <c:delete val="0"/>
        <c:axPos val="b"/>
        <c:majorGridlines/>
        <c:numFmt formatCode="#,##0" sourceLinked="0"/>
        <c:majorTickMark val="out"/>
        <c:minorTickMark val="none"/>
        <c:tickLblPos val="nextTo"/>
        <c:txPr>
          <a:bodyPr/>
          <a:lstStyle/>
          <a:p>
            <a:pPr>
              <a:defRPr lang="en-US"/>
            </a:pPr>
            <a:endParaRPr lang="en-US"/>
          </a:p>
        </c:txPr>
        <c:crossAx val="561587712"/>
        <c:crosses val="autoZero"/>
        <c:crossBetween val="between"/>
      </c:valAx>
      <c:spPr>
        <a:solidFill>
          <a:sysClr val="window" lastClr="FFFFFF"/>
        </a:solidFill>
        <a:ln>
          <a:solidFill>
            <a:schemeClr val="tx1">
              <a:lumMod val="50000"/>
              <a:lumOff val="50000"/>
            </a:schemeClr>
          </a:solid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Access and coverage of water supply services - SLUMS</a:t>
            </a:r>
          </a:p>
        </c:rich>
      </c:tx>
      <c:layout>
        <c:manualLayout>
          <c:xMode val="edge"/>
          <c:yMode val="edge"/>
          <c:x val="0.17528141560089674"/>
          <c:y val="6.7509473539609033E-3"/>
        </c:manualLayout>
      </c:layout>
      <c:overlay val="1"/>
      <c:spPr>
        <a:noFill/>
      </c:spPr>
    </c:title>
    <c:autoTitleDeleted val="0"/>
    <c:plotArea>
      <c:layout>
        <c:manualLayout>
          <c:layoutTarget val="inner"/>
          <c:xMode val="edge"/>
          <c:yMode val="edge"/>
          <c:x val="9.1301413418970981E-2"/>
          <c:y val="0.10161185378601729"/>
          <c:w val="0.87275391296267579"/>
          <c:h val="0.66989281789943289"/>
        </c:manualLayout>
      </c:layout>
      <c:areaChart>
        <c:grouping val="standard"/>
        <c:varyColors val="0"/>
        <c:ser>
          <c:idx val="0"/>
          <c:order val="0"/>
          <c:tx>
            <c:strRef>
              <c:f>'WS calcu'!$C$790</c:f>
              <c:strCache>
                <c:ptCount val="1"/>
                <c:pt idx="0">
                  <c:v>New distribution network</c:v>
                </c:pt>
              </c:strCache>
            </c:strRef>
          </c:tx>
          <c:dLbls>
            <c:delete val="1"/>
          </c:dLbls>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calcu'!$E$790:$O$790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A7A4-4808-A266-BA9750FDD219}"/>
            </c:ext>
          </c:extLst>
        </c:ser>
        <c:ser>
          <c:idx val="1"/>
          <c:order val="1"/>
          <c:tx>
            <c:strRef>
              <c:f>'WS calcu'!$C$791</c:f>
              <c:strCache>
                <c:ptCount val="1"/>
                <c:pt idx="0">
                  <c:v>Convert standposts</c:v>
                </c:pt>
              </c:strCache>
            </c:strRef>
          </c:tx>
          <c:dLbls>
            <c:delete val="1"/>
          </c:dLbls>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calcu'!$E$791:$O$791</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A7A4-4808-A266-BA9750FDD219}"/>
            </c:ext>
          </c:extLst>
        </c:ser>
        <c:ser>
          <c:idx val="2"/>
          <c:order val="2"/>
          <c:tx>
            <c:strRef>
              <c:f>'WS calcu'!$C$792</c:f>
              <c:strCache>
                <c:ptCount val="1"/>
                <c:pt idx="0">
                  <c:v>Regularise illegal connection</c:v>
                </c:pt>
              </c:strCache>
            </c:strRef>
          </c:tx>
          <c:dLbls>
            <c:delete val="1"/>
          </c:dLbls>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calcu'!$E$792:$O$792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A7A4-4808-A266-BA9750FDD219}"/>
            </c:ext>
          </c:extLst>
        </c:ser>
        <c:ser>
          <c:idx val="3"/>
          <c:order val="3"/>
          <c:tx>
            <c:strRef>
              <c:f>'WS calcu'!$C$793</c:f>
              <c:strCache>
                <c:ptCount val="1"/>
                <c:pt idx="0">
                  <c:v>Existing distribution network</c:v>
                </c:pt>
              </c:strCache>
            </c:strRef>
          </c:tx>
          <c:dLbls>
            <c:delete val="1"/>
          </c:dLbls>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calcu'!$E$793:$O$793</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A7A4-4808-A266-BA9750FDD219}"/>
            </c:ext>
          </c:extLst>
        </c:ser>
        <c:ser>
          <c:idx val="5"/>
          <c:order val="4"/>
          <c:tx>
            <c:strRef>
              <c:f>'WS calcu'!$C$795</c:f>
              <c:strCache>
                <c:ptCount val="1"/>
                <c:pt idx="0">
                  <c:v>Benchmark (Total population)</c:v>
                </c:pt>
              </c:strCache>
            </c:strRef>
          </c:tx>
          <c:spPr>
            <a:noFill/>
            <a:ln w="38100">
              <a:solidFill>
                <a:sysClr val="windowText" lastClr="000000"/>
              </a:solidFill>
              <a:prstDash val="sysDash"/>
            </a:ln>
          </c:spPr>
          <c:dLbls>
            <c:delete val="1"/>
          </c:dLbls>
          <c:cat>
            <c:numRef>
              <c:f>'WS calcu'!$E$774:$O$774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'WS calcu'!$E$795:$O$795</c:f>
              <c:numCache>
                <c:formatCode>0%</c:formatCode>
                <c:ptCount val="11"/>
                <c:pt idx="0" formatCode="_(* #,##0_);_(* \(#,##0\);_(* &quot;-&quot;??_);_(@_)">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4-A7A4-4808-A266-BA9750FDD219}"/>
            </c:ext>
          </c:extLst>
        </c:ser>
        <c:dLbls>
          <c:showLegendKey val="0"/>
          <c:showVal val="1"/>
          <c:showCatName val="0"/>
          <c:showSerName val="0"/>
          <c:showPercent val="0"/>
          <c:showBubbleSize val="0"/>
        </c:dLbls>
        <c:axId val="44445184"/>
        <c:axId val="44933120"/>
      </c:areaChart>
      <c:catAx>
        <c:axId val="44445184"/>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44933120"/>
        <c:crosses val="autoZero"/>
        <c:auto val="1"/>
        <c:lblAlgn val="ctr"/>
        <c:lblOffset val="100"/>
        <c:noMultiLvlLbl val="0"/>
      </c:catAx>
      <c:valAx>
        <c:axId val="44933120"/>
        <c:scaling>
          <c:orientation val="minMax"/>
        </c:scaling>
        <c:delete val="0"/>
        <c:axPos val="l"/>
        <c:majorGridlines/>
        <c:title>
          <c:tx>
            <c:rich>
              <a:bodyPr rot="-5400000" vert="horz"/>
              <a:lstStyle/>
              <a:p>
                <a:pPr>
                  <a:defRPr lang="en-US"/>
                </a:pPr>
                <a:r>
                  <a:rPr lang="en-US" sz="1200" b="1" i="0" baseline="0">
                    <a:solidFill>
                      <a:schemeClr val="bg1"/>
                    </a:solidFill>
                    <a:effectLst/>
                  </a:rPr>
                  <a:t>No. of households</a:t>
                </a:r>
                <a:endParaRPr lang="en-US" sz="1200">
                  <a:solidFill>
                    <a:schemeClr val="bg1"/>
                  </a:solidFill>
                  <a:effectLst/>
                </a:endParaRPr>
              </a:p>
            </c:rich>
          </c:tx>
          <c:layout>
            <c:manualLayout>
              <c:xMode val="edge"/>
              <c:yMode val="edge"/>
              <c:x val="1.3371163380067269E-3"/>
              <c:y val="0.28041770544479938"/>
            </c:manualLayout>
          </c:layout>
          <c:overlay val="0"/>
        </c:title>
        <c:numFmt formatCode="#,##0" sourceLinked="0"/>
        <c:majorTickMark val="out"/>
        <c:minorTickMark val="none"/>
        <c:tickLblPos val="nextTo"/>
        <c:txPr>
          <a:bodyPr rot="0"/>
          <a:lstStyle/>
          <a:p>
            <a:pPr>
              <a:defRPr lang="en-US" sz="1100">
                <a:solidFill>
                  <a:schemeClr val="bg1"/>
                </a:solidFill>
              </a:defRPr>
            </a:pPr>
            <a:endParaRPr lang="en-US"/>
          </a:p>
        </c:txPr>
        <c:crossAx val="44445184"/>
        <c:crosses val="autoZero"/>
        <c:crossBetween val="midCat"/>
      </c:valAx>
    </c:plotArea>
    <c:legend>
      <c:legendPos val="b"/>
      <c:layout>
        <c:manualLayout>
          <c:xMode val="edge"/>
          <c:yMode val="edge"/>
          <c:x val="1.9779391871883843E-2"/>
          <c:y val="0.86845637243657625"/>
          <c:w val="0.95682225946246868"/>
          <c:h val="0.12107027480542602"/>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Financial outline for</a:t>
            </a:r>
            <a:r>
              <a:rPr lang="en-US" baseline="0"/>
              <a:t> improving service levels and quality</a:t>
            </a:r>
            <a:endParaRPr lang="en-US"/>
          </a:p>
        </c:rich>
      </c:tx>
      <c:layout>
        <c:manualLayout>
          <c:xMode val="edge"/>
          <c:yMode val="edge"/>
          <c:x val="0.15554941166063357"/>
          <c:y val="1.9249781277340543E-2"/>
        </c:manualLayout>
      </c:layout>
      <c:overlay val="1"/>
    </c:title>
    <c:autoTitleDeleted val="0"/>
    <c:plotArea>
      <c:layout>
        <c:manualLayout>
          <c:layoutTarget val="inner"/>
          <c:xMode val="edge"/>
          <c:yMode val="edge"/>
          <c:x val="8.1642567413025932E-2"/>
          <c:y val="0.11003394511247913"/>
          <c:w val="0.8825447593960325"/>
          <c:h val="0.7165565128588689"/>
        </c:manualLayout>
      </c:layout>
      <c:areaChart>
        <c:grouping val="standard"/>
        <c:varyColors val="0"/>
        <c:ser>
          <c:idx val="0"/>
          <c:order val="0"/>
          <c:tx>
            <c:strRef>
              <c:f>'WW calcu'!$C$1093</c:f>
              <c:strCache>
                <c:ptCount val="1"/>
                <c:pt idx="0">
                  <c:v>Capex</c:v>
                </c:pt>
              </c:strCache>
            </c:strRef>
          </c:tx>
          <c:spPr>
            <a:solidFill>
              <a:srgbClr val="C0504D">
                <a:alpha val="50000"/>
              </a:srgbClr>
            </a:solidFill>
            <a:ln>
              <a:solidFill>
                <a:sysClr val="windowText" lastClr="000000"/>
              </a:solidFill>
            </a:ln>
          </c:spPr>
          <c:cat>
            <c:numRef>
              <c:f>'WW calcu'!$D$1043:$N$1043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calcu'!$D$1093:$N$1093</c:f>
              <c:numCache>
                <c:formatCode>_(* #,##0_);_(* \(#,##0\);_(* "-"??_);_(@_)</c:formatCode>
                <c:ptCount val="11"/>
                <c:pt idx="0">
                  <c:v>0</c:v>
                </c:pt>
                <c:pt idx="1">
                  <c:v>57</c:v>
                </c:pt>
                <c:pt idx="2">
                  <c:v>60.989999999999995</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1E69-422F-9A26-6C5F3470F625}"/>
            </c:ext>
          </c:extLst>
        </c:ser>
        <c:ser>
          <c:idx val="1"/>
          <c:order val="1"/>
          <c:tx>
            <c:strRef>
              <c:f>'WW calcu'!$C$1094</c:f>
              <c:strCache>
                <c:ptCount val="1"/>
                <c:pt idx="0">
                  <c:v>O&amp;M</c:v>
                </c:pt>
              </c:strCache>
            </c:strRef>
          </c:tx>
          <c:spPr>
            <a:solidFill>
              <a:srgbClr val="FFC000">
                <a:alpha val="51000"/>
              </a:srgbClr>
            </a:solidFill>
            <a:ln>
              <a:solidFill>
                <a:schemeClr val="tx1"/>
              </a:solidFill>
            </a:ln>
          </c:spPr>
          <c:cat>
            <c:numRef>
              <c:f>'WW calcu'!$D$1043:$N$1043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calcu'!$D$1094:$N$1094</c:f>
              <c:numCache>
                <c:formatCode>_(* #,##0_);_(* \(#,##0\);_(* "-"??_);_(@_)</c:formatCode>
                <c:ptCount val="11"/>
                <c:pt idx="0">
                  <c:v>0</c:v>
                </c:pt>
                <c:pt idx="1">
                  <c:v>1.35</c:v>
                </c:pt>
                <c:pt idx="2">
                  <c:v>14.458500000000001</c:v>
                </c:pt>
                <c:pt idx="3">
                  <c:v>20.316318750000001</c:v>
                </c:pt>
                <c:pt idx="4">
                  <c:v>21.332134687500002</c:v>
                </c:pt>
                <c:pt idx="5">
                  <c:v>22.398741421875005</c:v>
                </c:pt>
                <c:pt idx="6">
                  <c:v>23.518678492968757</c:v>
                </c:pt>
                <c:pt idx="7">
                  <c:v>24.694612417617194</c:v>
                </c:pt>
                <c:pt idx="8">
                  <c:v>25.929343038498054</c:v>
                </c:pt>
                <c:pt idx="9">
                  <c:v>27.225810190422962</c:v>
                </c:pt>
                <c:pt idx="10">
                  <c:v>28.587100699944109</c:v>
                </c:pt>
              </c:numCache>
            </c:numRef>
          </c:val>
          <c:extLst xmlns:c16r2="http://schemas.microsoft.com/office/drawing/2015/06/chart">
            <c:ext xmlns:c16="http://schemas.microsoft.com/office/drawing/2014/chart" uri="{C3380CC4-5D6E-409C-BE32-E72D297353CC}">
              <c16:uniqueId val="{00000001-1E69-422F-9A26-6C5F3470F625}"/>
            </c:ext>
          </c:extLst>
        </c:ser>
        <c:ser>
          <c:idx val="2"/>
          <c:order val="2"/>
          <c:tx>
            <c:strRef>
              <c:f>'WW calcu'!$C$1095</c:f>
              <c:strCache>
                <c:ptCount val="1"/>
                <c:pt idx="0">
                  <c:v>Revenue</c:v>
                </c:pt>
              </c:strCache>
            </c:strRef>
          </c:tx>
          <c:spPr>
            <a:solidFill>
              <a:srgbClr val="4F81BD">
                <a:alpha val="35000"/>
              </a:srgbClr>
            </a:solidFill>
            <a:ln>
              <a:solidFill>
                <a:schemeClr val="tx1"/>
              </a:solidFill>
            </a:ln>
          </c:spPr>
          <c:cat>
            <c:numRef>
              <c:f>'WW calcu'!$D$1043:$N$1043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calcu'!$D$1095:$N$1095</c:f>
              <c:numCache>
                <c:formatCode>_(* #,##0_);_(* \(#,##0\);_(* "-"??_);_(@_)</c:formatCode>
                <c:ptCount val="11"/>
                <c:pt idx="0">
                  <c:v>0</c:v>
                </c:pt>
                <c:pt idx="1">
                  <c:v>0.70666666666666667</c:v>
                </c:pt>
                <c:pt idx="2">
                  <c:v>0.72786666666666677</c:v>
                </c:pt>
                <c:pt idx="3">
                  <c:v>0.74970266666666685</c:v>
                </c:pt>
                <c:pt idx="4">
                  <c:v>8.9818516976666665</c:v>
                </c:pt>
                <c:pt idx="5">
                  <c:v>9.2513072485966674</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1E69-422F-9A26-6C5F3470F625}"/>
            </c:ext>
          </c:extLst>
        </c:ser>
        <c:dLbls>
          <c:showLegendKey val="0"/>
          <c:showVal val="0"/>
          <c:showCatName val="0"/>
          <c:showSerName val="0"/>
          <c:showPercent val="0"/>
          <c:showBubbleSize val="0"/>
        </c:dLbls>
        <c:axId val="43891200"/>
        <c:axId val="44939456"/>
      </c:areaChart>
      <c:catAx>
        <c:axId val="43891200"/>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100"/>
            </a:pPr>
            <a:endParaRPr lang="en-US"/>
          </a:p>
        </c:txPr>
        <c:crossAx val="44939456"/>
        <c:crosses val="autoZero"/>
        <c:auto val="1"/>
        <c:lblAlgn val="ctr"/>
        <c:lblOffset val="100"/>
        <c:noMultiLvlLbl val="0"/>
      </c:catAx>
      <c:valAx>
        <c:axId val="44939456"/>
        <c:scaling>
          <c:orientation val="minMax"/>
        </c:scaling>
        <c:delete val="0"/>
        <c:axPos val="l"/>
        <c:majorGridlines/>
        <c:title>
          <c:tx>
            <c:strRef>
              <c:f>'General info'!$E$43:$G$43</c:f>
              <c:strCache>
                <c:ptCount val="1"/>
                <c:pt idx="0">
                  <c:v>INR Lakhs</c:v>
                </c:pt>
              </c:strCache>
            </c:strRef>
          </c:tx>
          <c:overlay val="0"/>
          <c:txPr>
            <a:bodyPr rot="-5400000" vert="horz"/>
            <a:lstStyle/>
            <a:p>
              <a:pPr>
                <a:defRPr lang="en-US" sz="1200"/>
              </a:pPr>
              <a:endParaRPr lang="en-US"/>
            </a:p>
          </c:txPr>
        </c:title>
        <c:numFmt formatCode="_(* #,##0_);_(* \(#,##0\);_(* &quot;-&quot;??_);_(@_)" sourceLinked="1"/>
        <c:majorTickMark val="out"/>
        <c:minorTickMark val="none"/>
        <c:tickLblPos val="nextTo"/>
        <c:txPr>
          <a:bodyPr/>
          <a:lstStyle/>
          <a:p>
            <a:pPr>
              <a:defRPr lang="en-US" sz="1100"/>
            </a:pPr>
            <a:endParaRPr lang="en-US"/>
          </a:p>
        </c:txPr>
        <c:crossAx val="43891200"/>
        <c:crosses val="autoZero"/>
        <c:crossBetween val="midCat"/>
      </c:valAx>
    </c:plotArea>
    <c:legend>
      <c:legendPos val="b"/>
      <c:layout>
        <c:manualLayout>
          <c:xMode val="edge"/>
          <c:yMode val="edge"/>
          <c:x val="9.4453921466577717E-2"/>
          <c:y val="0.91354604165468045"/>
          <c:w val="0.8188741052786267"/>
          <c:h val="6.6882094158650124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Cost recovery of wastewater</a:t>
            </a:r>
            <a:r>
              <a:rPr lang="en-US" baseline="0"/>
              <a:t> services</a:t>
            </a:r>
            <a:endParaRPr lang="en-US"/>
          </a:p>
        </c:rich>
      </c:tx>
      <c:layout>
        <c:manualLayout>
          <c:xMode val="edge"/>
          <c:yMode val="edge"/>
          <c:x val="0.29588235777567695"/>
          <c:y val="1.6310170515253661E-2"/>
        </c:manualLayout>
      </c:layout>
      <c:overlay val="1"/>
    </c:title>
    <c:autoTitleDeleted val="0"/>
    <c:plotArea>
      <c:layout>
        <c:manualLayout>
          <c:layoutTarget val="inner"/>
          <c:xMode val="edge"/>
          <c:yMode val="edge"/>
          <c:x val="7.610238731239391E-2"/>
          <c:y val="0.12634393627095986"/>
          <c:w val="0.88808485591447961"/>
          <c:h val="0.67676837889483465"/>
        </c:manualLayout>
      </c:layout>
      <c:areaChart>
        <c:grouping val="standard"/>
        <c:varyColors val="0"/>
        <c:ser>
          <c:idx val="0"/>
          <c:order val="0"/>
          <c:tx>
            <c:strRef>
              <c:f>'WW calcu'!$C$1106</c:f>
              <c:strCache>
                <c:ptCount val="1"/>
                <c:pt idx="0">
                  <c:v>Revenue expenditure</c:v>
                </c:pt>
              </c:strCache>
            </c:strRef>
          </c:tx>
          <c:spPr>
            <a:solidFill>
              <a:srgbClr val="C0504D">
                <a:alpha val="34000"/>
              </a:srgbClr>
            </a:solidFill>
            <a:ln>
              <a:solidFill>
                <a:sysClr val="windowText" lastClr="000000"/>
              </a:solidFill>
            </a:ln>
          </c:spPr>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calcu'!$D$1106:$N$1106</c:f>
              <c:numCache>
                <c:formatCode>_(* #,##0_);_(* \(#,##0\);_(* "-"??_);_(@_)</c:formatCode>
                <c:ptCount val="11"/>
                <c:pt idx="0">
                  <c:v>0</c:v>
                </c:pt>
                <c:pt idx="1">
                  <c:v>131.72021256666667</c:v>
                </c:pt>
                <c:pt idx="2">
                  <c:v>152.56697319500003</c:v>
                </c:pt>
                <c:pt idx="3">
                  <c:v>166.61095310475005</c:v>
                </c:pt>
                <c:pt idx="4">
                  <c:v>174.94150075998755</c:v>
                </c:pt>
                <c:pt idx="5">
                  <c:v>183.68857579798697</c:v>
                </c:pt>
                <c:pt idx="6">
                  <c:v>192.8730045878863</c:v>
                </c:pt>
                <c:pt idx="7">
                  <c:v>202.51665481728062</c:v>
                </c:pt>
                <c:pt idx="8">
                  <c:v>212.64248755814467</c:v>
                </c:pt>
                <c:pt idx="9">
                  <c:v>223.27461193605191</c:v>
                </c:pt>
                <c:pt idx="10">
                  <c:v>234.43834253285451</c:v>
                </c:pt>
              </c:numCache>
            </c:numRef>
          </c:val>
          <c:extLst xmlns:c16r2="http://schemas.microsoft.com/office/drawing/2015/06/chart">
            <c:ext xmlns:c16="http://schemas.microsoft.com/office/drawing/2014/chart" uri="{C3380CC4-5D6E-409C-BE32-E72D297353CC}">
              <c16:uniqueId val="{00000000-CEA4-454B-9A9C-658A9EDBB4B4}"/>
            </c:ext>
          </c:extLst>
        </c:ser>
        <c:ser>
          <c:idx val="1"/>
          <c:order val="1"/>
          <c:tx>
            <c:strRef>
              <c:f>'WW calcu'!$C$1105</c:f>
              <c:strCache>
                <c:ptCount val="1"/>
                <c:pt idx="0">
                  <c:v>Revenue income</c:v>
                </c:pt>
              </c:strCache>
            </c:strRef>
          </c:tx>
          <c:spPr>
            <a:solidFill>
              <a:srgbClr val="4F81BD">
                <a:alpha val="38000"/>
              </a:srgbClr>
            </a:solidFill>
            <a:ln>
              <a:solidFill>
                <a:schemeClr val="tx1"/>
              </a:solidFill>
            </a:ln>
          </c:spPr>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calcu'!$D$1105:$N$1105</c:f>
              <c:numCache>
                <c:formatCode>_(* #,##0_);_(* \(#,##0\);_(* "-"??_);_(@_)</c:formatCode>
                <c:ptCount val="11"/>
                <c:pt idx="0">
                  <c:v>0</c:v>
                </c:pt>
                <c:pt idx="1">
                  <c:v>1.4133333333333336</c:v>
                </c:pt>
                <c:pt idx="2">
                  <c:v>1.4345333333333334</c:v>
                </c:pt>
                <c:pt idx="3">
                  <c:v>1.4563693333333336</c:v>
                </c:pt>
                <c:pt idx="4">
                  <c:v>18.845451697666668</c:v>
                </c:pt>
                <c:pt idx="5">
                  <c:v>19.114907248596666</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CEA4-454B-9A9C-658A9EDBB4B4}"/>
            </c:ext>
          </c:extLst>
        </c:ser>
        <c:dLbls>
          <c:showLegendKey val="0"/>
          <c:showVal val="0"/>
          <c:showCatName val="0"/>
          <c:showSerName val="0"/>
          <c:showPercent val="0"/>
          <c:showBubbleSize val="0"/>
        </c:dLbls>
        <c:axId val="43889152"/>
        <c:axId val="44057152"/>
      </c:areaChart>
      <c:catAx>
        <c:axId val="43889152"/>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100"/>
            </a:pPr>
            <a:endParaRPr lang="en-US"/>
          </a:p>
        </c:txPr>
        <c:crossAx val="44057152"/>
        <c:crosses val="autoZero"/>
        <c:auto val="1"/>
        <c:lblAlgn val="ctr"/>
        <c:lblOffset val="100"/>
        <c:noMultiLvlLbl val="0"/>
      </c:catAx>
      <c:valAx>
        <c:axId val="44057152"/>
        <c:scaling>
          <c:orientation val="minMax"/>
        </c:scaling>
        <c:delete val="0"/>
        <c:axPos val="l"/>
        <c:majorGridlines/>
        <c:title>
          <c:tx>
            <c:strRef>
              <c:f>'General info'!$E$43:$G$43</c:f>
              <c:strCache>
                <c:ptCount val="1"/>
                <c:pt idx="0">
                  <c:v>INR Lakhs</c:v>
                </c:pt>
              </c:strCache>
            </c:strRef>
          </c:tx>
          <c:overlay val="0"/>
          <c:txPr>
            <a:bodyPr rot="-5400000" vert="horz"/>
            <a:lstStyle/>
            <a:p>
              <a:pPr>
                <a:defRPr lang="en-US" sz="1200" b="0"/>
              </a:pPr>
              <a:endParaRPr lang="en-US"/>
            </a:p>
          </c:txPr>
        </c:title>
        <c:numFmt formatCode="_(* #,##0_);_(* \(#,##0\);_(* &quot;-&quot;??_);_(@_)" sourceLinked="1"/>
        <c:majorTickMark val="out"/>
        <c:minorTickMark val="none"/>
        <c:tickLblPos val="nextTo"/>
        <c:txPr>
          <a:bodyPr/>
          <a:lstStyle/>
          <a:p>
            <a:pPr>
              <a:defRPr lang="en-US" sz="1100"/>
            </a:pPr>
            <a:endParaRPr lang="en-US"/>
          </a:p>
        </c:txPr>
        <c:crossAx val="43889152"/>
        <c:crosses val="autoZero"/>
        <c:crossBetween val="midCat"/>
      </c:valAx>
    </c:plotArea>
    <c:legend>
      <c:legendPos val="b"/>
      <c:layout>
        <c:manualLayout>
          <c:xMode val="edge"/>
          <c:yMode val="edge"/>
          <c:x val="0.14397146816430806"/>
          <c:y val="0.91765522137601663"/>
          <c:w val="0.69167330075221956"/>
          <c:h val="8.2344778623983497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Financial outline for improving efficiency</a:t>
            </a:r>
            <a:r>
              <a:rPr lang="en-US" baseline="0"/>
              <a:t> in service operations</a:t>
            </a:r>
            <a:endParaRPr lang="en-US"/>
          </a:p>
        </c:rich>
      </c:tx>
      <c:layout>
        <c:manualLayout>
          <c:xMode val="edge"/>
          <c:yMode val="edge"/>
          <c:x val="0.15773179908153981"/>
          <c:y val="2.0961998630018751E-2"/>
        </c:manualLayout>
      </c:layout>
      <c:overlay val="1"/>
    </c:title>
    <c:autoTitleDeleted val="0"/>
    <c:plotArea>
      <c:layout>
        <c:manualLayout>
          <c:layoutTarget val="inner"/>
          <c:xMode val="edge"/>
          <c:yMode val="edge"/>
          <c:x val="6.7761054794947734E-2"/>
          <c:y val="0.10660350245072422"/>
          <c:w val="0.89737476348410394"/>
          <c:h val="0.72782141390333344"/>
        </c:manualLayout>
      </c:layout>
      <c:areaChart>
        <c:grouping val="standard"/>
        <c:varyColors val="0"/>
        <c:ser>
          <c:idx val="0"/>
          <c:order val="0"/>
          <c:tx>
            <c:strRef>
              <c:f>'WW calcu'!$C$1100</c:f>
              <c:strCache>
                <c:ptCount val="1"/>
                <c:pt idx="0">
                  <c:v>Capex</c:v>
                </c:pt>
              </c:strCache>
            </c:strRef>
          </c:tx>
          <c:spPr>
            <a:solidFill>
              <a:srgbClr val="C0504D">
                <a:alpha val="50000"/>
              </a:srgbClr>
            </a:solidFill>
            <a:ln>
              <a:solidFill>
                <a:sysClr val="windowText" lastClr="000000"/>
              </a:solidFill>
            </a:ln>
          </c:spPr>
          <c:cat>
            <c:numRef>
              <c:f>'WW calcu'!$D$1098:$N$1098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calcu'!$D$1100:$N$1100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B9A7-4E17-97F6-A3FCBCC4AAFC}"/>
            </c:ext>
          </c:extLst>
        </c:ser>
        <c:ser>
          <c:idx val="1"/>
          <c:order val="1"/>
          <c:tx>
            <c:strRef>
              <c:f>'WW calcu'!$C$1101</c:f>
              <c:strCache>
                <c:ptCount val="1"/>
                <c:pt idx="0">
                  <c:v>O&amp;M</c:v>
                </c:pt>
              </c:strCache>
            </c:strRef>
          </c:tx>
          <c:spPr>
            <a:solidFill>
              <a:srgbClr val="FFC000">
                <a:alpha val="51000"/>
              </a:srgbClr>
            </a:solidFill>
            <a:ln>
              <a:solidFill>
                <a:schemeClr val="tx1"/>
              </a:solidFill>
            </a:ln>
          </c:spPr>
          <c:cat>
            <c:numRef>
              <c:f>'WW calcu'!$D$1098:$N$1098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calcu'!$D$1101:$N$1101</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B9A7-4E17-97F6-A3FCBCC4AAFC}"/>
            </c:ext>
          </c:extLst>
        </c:ser>
        <c:ser>
          <c:idx val="2"/>
          <c:order val="2"/>
          <c:tx>
            <c:strRef>
              <c:f>'WW calcu'!$C$1102</c:f>
              <c:strCache>
                <c:ptCount val="1"/>
                <c:pt idx="0">
                  <c:v>Revenue</c:v>
                </c:pt>
              </c:strCache>
            </c:strRef>
          </c:tx>
          <c:spPr>
            <a:solidFill>
              <a:srgbClr val="4F81BD">
                <a:alpha val="35000"/>
              </a:srgbClr>
            </a:solidFill>
            <a:ln>
              <a:solidFill>
                <a:schemeClr val="tx1"/>
              </a:solidFill>
            </a:ln>
          </c:spPr>
          <c:cat>
            <c:numRef>
              <c:f>'WW calcu'!$D$1098:$N$1098</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calcu'!$D$1102:$N$1102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B9A7-4E17-97F6-A3FCBCC4AAFC}"/>
            </c:ext>
          </c:extLst>
        </c:ser>
        <c:dLbls>
          <c:showLegendKey val="0"/>
          <c:showVal val="0"/>
          <c:showCatName val="0"/>
          <c:showSerName val="0"/>
          <c:showPercent val="0"/>
          <c:showBubbleSize val="0"/>
        </c:dLbls>
        <c:axId val="43892224"/>
        <c:axId val="44059456"/>
      </c:areaChart>
      <c:catAx>
        <c:axId val="4389222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solidFill>
            <a:schemeClr val="bg1">
              <a:lumMod val="50000"/>
            </a:schemeClr>
          </a:solidFill>
        </c:spPr>
        <c:txPr>
          <a:bodyPr/>
          <a:lstStyle/>
          <a:p>
            <a:pPr>
              <a:defRPr lang="en-US" sz="1100"/>
            </a:pPr>
            <a:endParaRPr lang="en-US"/>
          </a:p>
        </c:txPr>
        <c:crossAx val="44059456"/>
        <c:crosses val="autoZero"/>
        <c:auto val="1"/>
        <c:lblAlgn val="ctr"/>
        <c:lblOffset val="100"/>
        <c:noMultiLvlLbl val="0"/>
      </c:catAx>
      <c:valAx>
        <c:axId val="44059456"/>
        <c:scaling>
          <c:orientation val="minMax"/>
        </c:scaling>
        <c:delete val="0"/>
        <c:axPos val="l"/>
        <c:majorGridlines/>
        <c:title>
          <c:tx>
            <c:strRef>
              <c:f>'General info'!$E$43:$G$43</c:f>
              <c:strCache>
                <c:ptCount val="1"/>
                <c:pt idx="0">
                  <c:v>INR Lakhs</c:v>
                </c:pt>
              </c:strCache>
            </c:strRef>
          </c:tx>
          <c:overlay val="0"/>
          <c:txPr>
            <a:bodyPr rot="-5400000" vert="horz"/>
            <a:lstStyle/>
            <a:p>
              <a:pPr>
                <a:defRPr lang="en-US" sz="1200" b="0"/>
              </a:pPr>
              <a:endParaRPr lang="en-US"/>
            </a:p>
          </c:txPr>
        </c:title>
        <c:numFmt formatCode="_(* #,##0_);_(* \(#,##0\);_(* &quot;-&quot;??_);_(@_)" sourceLinked="1"/>
        <c:majorTickMark val="out"/>
        <c:minorTickMark val="none"/>
        <c:tickLblPos val="nextTo"/>
        <c:txPr>
          <a:bodyPr/>
          <a:lstStyle/>
          <a:p>
            <a:pPr>
              <a:defRPr lang="en-US" sz="1100"/>
            </a:pPr>
            <a:endParaRPr lang="en-US"/>
          </a:p>
        </c:txPr>
        <c:crossAx val="43892224"/>
        <c:crosses val="autoZero"/>
        <c:crossBetween val="midCat"/>
      </c:valAx>
    </c:plotArea>
    <c:legend>
      <c:legendPos val="b"/>
      <c:layout>
        <c:manualLayout>
          <c:xMode val="edge"/>
          <c:yMode val="edge"/>
          <c:x val="0.20085934752646675"/>
          <c:y val="0.93344998541850865"/>
          <c:w val="0.60469811679205165"/>
          <c:h val="5.1484101210512515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Financial outline for access and coverage of sanitation services</a:t>
            </a:r>
          </a:p>
        </c:rich>
      </c:tx>
      <c:layout>
        <c:manualLayout>
          <c:xMode val="edge"/>
          <c:yMode val="edge"/>
          <c:x val="0.14979728558670977"/>
          <c:y val="1.6901782988524246E-2"/>
        </c:manualLayout>
      </c:layout>
      <c:overlay val="1"/>
    </c:title>
    <c:autoTitleDeleted val="0"/>
    <c:plotArea>
      <c:layout>
        <c:manualLayout>
          <c:layoutTarget val="inner"/>
          <c:xMode val="edge"/>
          <c:yMode val="edge"/>
          <c:x val="8.5488522079536444E-2"/>
          <c:y val="0.10106556099131719"/>
          <c:w val="0.88066491688538961"/>
          <c:h val="0.72552506162360264"/>
        </c:manualLayout>
      </c:layout>
      <c:areaChart>
        <c:grouping val="standard"/>
        <c:varyColors val="0"/>
        <c:ser>
          <c:idx val="0"/>
          <c:order val="0"/>
          <c:tx>
            <c:strRef>
              <c:f>'WW calcu'!$C$1039</c:f>
              <c:strCache>
                <c:ptCount val="1"/>
                <c:pt idx="0">
                  <c:v>Capex</c:v>
                </c:pt>
              </c:strCache>
            </c:strRef>
          </c:tx>
          <c:spPr>
            <a:solidFill>
              <a:srgbClr val="C0504D">
                <a:alpha val="50000"/>
              </a:srgbClr>
            </a:solidFill>
            <a:ln>
              <a:solidFill>
                <a:sysClr val="windowText" lastClr="000000"/>
              </a:solidFill>
            </a:ln>
          </c:spPr>
          <c:cat>
            <c:numRef>
              <c:f>'WW calcu'!$D$1097:$N$1097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calcu'!$D$1039:$N$1039</c:f>
              <c:numCache>
                <c:formatCode>_(* #,##0_);_(* \(#,##0\);_(* "-"??_);_(@_)</c:formatCode>
                <c:ptCount val="11"/>
                <c:pt idx="0">
                  <c:v>0</c:v>
                </c:pt>
                <c:pt idx="1">
                  <c:v>288.26666666666671</c:v>
                </c:pt>
                <c:pt idx="2">
                  <c:v>240.07233333333335</c:v>
                </c:pt>
                <c:pt idx="3">
                  <c:v>256.87739666666664</c:v>
                </c:pt>
                <c:pt idx="4">
                  <c:v>242.19100109999999</c:v>
                </c:pt>
                <c:pt idx="5">
                  <c:v>259.14437117700004</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217E-4B95-8A45-9D01C0DFD742}"/>
            </c:ext>
          </c:extLst>
        </c:ser>
        <c:ser>
          <c:idx val="1"/>
          <c:order val="1"/>
          <c:tx>
            <c:strRef>
              <c:f>'WW calcu'!$C$1040</c:f>
              <c:strCache>
                <c:ptCount val="1"/>
                <c:pt idx="0">
                  <c:v>O&amp;M</c:v>
                </c:pt>
              </c:strCache>
            </c:strRef>
          </c:tx>
          <c:spPr>
            <a:solidFill>
              <a:srgbClr val="FFC000">
                <a:alpha val="51000"/>
              </a:srgbClr>
            </a:solidFill>
            <a:ln>
              <a:solidFill>
                <a:schemeClr val="tx1"/>
              </a:solidFill>
            </a:ln>
          </c:spPr>
          <c:cat>
            <c:numRef>
              <c:f>'WW calcu'!$D$1097:$N$1097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calcu'!$D$1040:$N$1040</c:f>
              <c:numCache>
                <c:formatCode>_(* #,##0_);_(* \(#,##0\);_(* "-"??_);_(@_)</c:formatCode>
                <c:ptCount val="11"/>
                <c:pt idx="0">
                  <c:v>0</c:v>
                </c:pt>
                <c:pt idx="1">
                  <c:v>1.1616666666666666</c:v>
                </c:pt>
                <c:pt idx="2">
                  <c:v>2.4394999999999998</c:v>
                </c:pt>
                <c:pt idx="3">
                  <c:v>3.8422124999999996</c:v>
                </c:pt>
                <c:pt idx="4">
                  <c:v>4.0343231250000002</c:v>
                </c:pt>
                <c:pt idx="5">
                  <c:v>4.236039281250001</c:v>
                </c:pt>
                <c:pt idx="6">
                  <c:v>4.4478412453125014</c:v>
                </c:pt>
                <c:pt idx="7">
                  <c:v>4.6702333075781262</c:v>
                </c:pt>
                <c:pt idx="8">
                  <c:v>4.9037449729570328</c:v>
                </c:pt>
                <c:pt idx="9">
                  <c:v>5.148932221604885</c:v>
                </c:pt>
                <c:pt idx="10">
                  <c:v>5.406378832685129</c:v>
                </c:pt>
              </c:numCache>
            </c:numRef>
          </c:val>
          <c:extLst xmlns:c16r2="http://schemas.microsoft.com/office/drawing/2015/06/chart">
            <c:ext xmlns:c16="http://schemas.microsoft.com/office/drawing/2014/chart" uri="{C3380CC4-5D6E-409C-BE32-E72D297353CC}">
              <c16:uniqueId val="{00000001-217E-4B95-8A45-9D01C0DFD742}"/>
            </c:ext>
          </c:extLst>
        </c:ser>
        <c:ser>
          <c:idx val="2"/>
          <c:order val="2"/>
          <c:tx>
            <c:strRef>
              <c:f>'WW calcu'!$C$1041</c:f>
              <c:strCache>
                <c:ptCount val="1"/>
                <c:pt idx="0">
                  <c:v>Revenue</c:v>
                </c:pt>
              </c:strCache>
            </c:strRef>
          </c:tx>
          <c:spPr>
            <a:solidFill>
              <a:srgbClr val="4F81BD">
                <a:alpha val="35000"/>
              </a:srgbClr>
            </a:solidFill>
            <a:ln>
              <a:solidFill>
                <a:schemeClr val="tx1"/>
              </a:solidFill>
            </a:ln>
          </c:spPr>
          <c:cat>
            <c:numRef>
              <c:f>'WW calcu'!$D$1097:$N$1097</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calcu'!$D$1041:$N$1041</c:f>
              <c:numCache>
                <c:formatCode>_(* #,##0_);_(* \(#,##0\);_(* "-"??_);_(@_)</c:formatCode>
                <c:ptCount val="11"/>
                <c:pt idx="0" formatCode="_(* #,##0.00_);_(* \(#,##0.00\);_(* &quot;-&quot;??_);_(@_)">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217E-4B95-8A45-9D01C0DFD742}"/>
            </c:ext>
          </c:extLst>
        </c:ser>
        <c:dLbls>
          <c:showLegendKey val="0"/>
          <c:showVal val="0"/>
          <c:showCatName val="0"/>
          <c:showSerName val="0"/>
          <c:showPercent val="0"/>
          <c:showBubbleSize val="0"/>
        </c:dLbls>
        <c:axId val="43975168"/>
        <c:axId val="44061760"/>
      </c:areaChart>
      <c:catAx>
        <c:axId val="43975168"/>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100"/>
            </a:pPr>
            <a:endParaRPr lang="en-US"/>
          </a:p>
        </c:txPr>
        <c:crossAx val="44061760"/>
        <c:crosses val="autoZero"/>
        <c:auto val="1"/>
        <c:lblAlgn val="ctr"/>
        <c:lblOffset val="100"/>
        <c:noMultiLvlLbl val="0"/>
      </c:catAx>
      <c:valAx>
        <c:axId val="44061760"/>
        <c:scaling>
          <c:orientation val="minMax"/>
        </c:scaling>
        <c:delete val="0"/>
        <c:axPos val="l"/>
        <c:majorGridlines/>
        <c:title>
          <c:tx>
            <c:strRef>
              <c:f>'General info'!$E$43:$G$43</c:f>
              <c:strCache>
                <c:ptCount val="1"/>
                <c:pt idx="0">
                  <c:v>INR Lakhs</c:v>
                </c:pt>
              </c:strCache>
            </c:strRef>
          </c:tx>
          <c:overlay val="0"/>
          <c:txPr>
            <a:bodyPr rot="-5400000" vert="horz"/>
            <a:lstStyle/>
            <a:p>
              <a:pPr>
                <a:defRPr lang="en-US" sz="1200"/>
              </a:pPr>
              <a:endParaRPr lang="en-US"/>
            </a:p>
          </c:txPr>
        </c:title>
        <c:numFmt formatCode="_(* #,##0_);_(* \(#,##0\);_(* &quot;-&quot;??_);_(@_)" sourceLinked="1"/>
        <c:majorTickMark val="out"/>
        <c:minorTickMark val="none"/>
        <c:tickLblPos val="nextTo"/>
        <c:txPr>
          <a:bodyPr/>
          <a:lstStyle/>
          <a:p>
            <a:pPr>
              <a:defRPr lang="en-US" sz="1100"/>
            </a:pPr>
            <a:endParaRPr lang="en-US"/>
          </a:p>
        </c:txPr>
        <c:crossAx val="43975168"/>
        <c:crosses val="autoZero"/>
        <c:crossBetween val="midCat"/>
      </c:valAx>
    </c:plotArea>
    <c:legend>
      <c:legendPos val="b"/>
      <c:layout>
        <c:manualLayout>
          <c:xMode val="edge"/>
          <c:yMode val="edge"/>
          <c:x val="0.11134709173017385"/>
          <c:y val="0.93140240951087361"/>
          <c:w val="0.72377346816746879"/>
          <c:h val="5.3068137005649024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Access and coverage of toilet facilities - CITY </a:t>
            </a:r>
          </a:p>
        </c:rich>
      </c:tx>
      <c:layout>
        <c:manualLayout>
          <c:xMode val="edge"/>
          <c:yMode val="edge"/>
          <c:x val="0.22666567722643466"/>
          <c:y val="7.8068433824473255E-3"/>
        </c:manualLayout>
      </c:layout>
      <c:overlay val="1"/>
      <c:spPr>
        <a:noFill/>
      </c:spPr>
    </c:title>
    <c:autoTitleDeleted val="0"/>
    <c:plotArea>
      <c:layout>
        <c:manualLayout>
          <c:layoutTarget val="inner"/>
          <c:xMode val="edge"/>
          <c:yMode val="edge"/>
          <c:x val="0.10555601104569066"/>
          <c:y val="8.6845924247365605E-2"/>
          <c:w val="0.85849943768920156"/>
          <c:h val="0.64167366579177665"/>
        </c:manualLayout>
      </c:layout>
      <c:areaChart>
        <c:grouping val="standard"/>
        <c:varyColors val="0"/>
        <c:ser>
          <c:idx val="5"/>
          <c:order val="0"/>
          <c:tx>
            <c:strRef>
              <c:f>'WW calcu'!$C$997</c:f>
              <c:strCache>
                <c:ptCount val="1"/>
                <c:pt idx="0">
                  <c:v>HHs dependent on unsafe community toilets</c:v>
                </c:pt>
              </c:strCache>
            </c:strRef>
          </c:tx>
          <c:spPr>
            <a:solidFill>
              <a:schemeClr val="accent6">
                <a:lumMod val="75000"/>
              </a:schemeClr>
            </a:solidFill>
            <a:ln w="25400">
              <a:noFill/>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calcu'!$D$997:$N$997</c:f>
              <c:numCache>
                <c:formatCode>_(* #,##0_);_(* \(#,##0\);_(* "-"??_);_(@_)</c:formatCode>
                <c:ptCount val="11"/>
                <c:pt idx="0">
                  <c:v>6878</c:v>
                </c:pt>
                <c:pt idx="1">
                  <c:v>7675</c:v>
                </c:pt>
                <c:pt idx="2">
                  <c:v>8472</c:v>
                </c:pt>
                <c:pt idx="3">
                  <c:v>9269</c:v>
                </c:pt>
                <c:pt idx="4">
                  <c:v>9928</c:v>
                </c:pt>
                <c:pt idx="5">
                  <c:v>10587</c:v>
                </c:pt>
                <c:pt idx="6">
                  <c:v>10587</c:v>
                </c:pt>
                <c:pt idx="7">
                  <c:v>10587</c:v>
                </c:pt>
                <c:pt idx="8">
                  <c:v>10587</c:v>
                </c:pt>
                <c:pt idx="9">
                  <c:v>10587</c:v>
                </c:pt>
                <c:pt idx="10">
                  <c:v>10587</c:v>
                </c:pt>
              </c:numCache>
            </c:numRef>
          </c:val>
          <c:extLst xmlns:c16r2="http://schemas.microsoft.com/office/drawing/2015/06/chart">
            <c:ext xmlns:c16="http://schemas.microsoft.com/office/drawing/2014/chart" uri="{C3380CC4-5D6E-409C-BE32-E72D297353CC}">
              <c16:uniqueId val="{00000000-964D-475D-A1F8-51B5CB8B4075}"/>
            </c:ext>
          </c:extLst>
        </c:ser>
        <c:ser>
          <c:idx val="1"/>
          <c:order val="1"/>
          <c:tx>
            <c:strRef>
              <c:f>'WW calcu'!$C$996</c:f>
              <c:strCache>
                <c:ptCount val="1"/>
                <c:pt idx="0">
                  <c:v>HHs dependent on safe community toilets</c:v>
                </c:pt>
              </c:strCache>
            </c:strRef>
          </c:tx>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calcu'!$D$996:$N$996</c:f>
              <c:numCache>
                <c:formatCode>_(* #,##0_);_(* \(#,##0\);_(* "-"??_);_(@_)</c:formatCode>
                <c:ptCount val="11"/>
                <c:pt idx="0">
                  <c:v>6878</c:v>
                </c:pt>
                <c:pt idx="1">
                  <c:v>7675</c:v>
                </c:pt>
                <c:pt idx="2">
                  <c:v>8472</c:v>
                </c:pt>
                <c:pt idx="3">
                  <c:v>9269</c:v>
                </c:pt>
                <c:pt idx="4">
                  <c:v>9928</c:v>
                </c:pt>
                <c:pt idx="5">
                  <c:v>10587</c:v>
                </c:pt>
                <c:pt idx="6">
                  <c:v>10587</c:v>
                </c:pt>
                <c:pt idx="7">
                  <c:v>10587</c:v>
                </c:pt>
                <c:pt idx="8">
                  <c:v>10587</c:v>
                </c:pt>
                <c:pt idx="9">
                  <c:v>10587</c:v>
                </c:pt>
                <c:pt idx="10">
                  <c:v>10587</c:v>
                </c:pt>
              </c:numCache>
            </c:numRef>
          </c:val>
          <c:extLst xmlns:c16r2="http://schemas.microsoft.com/office/drawing/2015/06/chart">
            <c:ext xmlns:c16="http://schemas.microsoft.com/office/drawing/2014/chart" uri="{C3380CC4-5D6E-409C-BE32-E72D297353CC}">
              <c16:uniqueId val="{00000001-964D-475D-A1F8-51B5CB8B4075}"/>
            </c:ext>
          </c:extLst>
        </c:ser>
        <c:ser>
          <c:idx val="6"/>
          <c:order val="2"/>
          <c:tx>
            <c:strRef>
              <c:f>'WW calcu'!$C$995</c:f>
              <c:strCache>
                <c:ptCount val="1"/>
                <c:pt idx="0">
                  <c:v>HHs dependent on group toilets</c:v>
                </c:pt>
              </c:strCache>
            </c:strRef>
          </c:tx>
          <c:spPr>
            <a:solidFill>
              <a:schemeClr val="accent3">
                <a:lumMod val="75000"/>
              </a:schemeClr>
            </a:solidFill>
            <a:ln w="25400">
              <a:noFill/>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calcu'!$D$995:$N$995</c:f>
              <c:numCache>
                <c:formatCode>_(* #,##0_);_(* \(#,##0\);_(* "-"??_);_(@_)</c:formatCode>
                <c:ptCount val="11"/>
                <c:pt idx="0">
                  <c:v>4642</c:v>
                </c:pt>
                <c:pt idx="1">
                  <c:v>5301</c:v>
                </c:pt>
                <c:pt idx="2">
                  <c:v>5960</c:v>
                </c:pt>
                <c:pt idx="3">
                  <c:v>6619</c:v>
                </c:pt>
                <c:pt idx="4">
                  <c:v>7278.0000000000009</c:v>
                </c:pt>
                <c:pt idx="5">
                  <c:v>7937.0000000000009</c:v>
                </c:pt>
                <c:pt idx="6">
                  <c:v>7937.0000000000009</c:v>
                </c:pt>
                <c:pt idx="7">
                  <c:v>7937.0000000000009</c:v>
                </c:pt>
                <c:pt idx="8">
                  <c:v>7937.0000000000009</c:v>
                </c:pt>
                <c:pt idx="9">
                  <c:v>7937.0000000000009</c:v>
                </c:pt>
                <c:pt idx="10">
                  <c:v>7937.0000000000009</c:v>
                </c:pt>
              </c:numCache>
            </c:numRef>
          </c:val>
          <c:extLst xmlns:c16r2="http://schemas.microsoft.com/office/drawing/2015/06/chart">
            <c:ext xmlns:c16="http://schemas.microsoft.com/office/drawing/2014/chart" uri="{C3380CC4-5D6E-409C-BE32-E72D297353CC}">
              <c16:uniqueId val="{00000002-964D-475D-A1F8-51B5CB8B4075}"/>
            </c:ext>
          </c:extLst>
        </c:ser>
        <c:ser>
          <c:idx val="4"/>
          <c:order val="3"/>
          <c:tx>
            <c:strRef>
              <c:f>'WW calcu'!$C$994</c:f>
              <c:strCache>
                <c:ptCount val="1"/>
                <c:pt idx="0">
                  <c:v>Individual toilet with unsafe sanitation</c:v>
                </c:pt>
              </c:strCache>
            </c:strRef>
          </c:tx>
          <c:spPr>
            <a:ln w="25400">
              <a:noFill/>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calcu'!$D$994:$N$994</c:f>
              <c:numCache>
                <c:formatCode>_(* #,##0_);_(* \(#,##0\);_(* "-"??_);_(@_)</c:formatCode>
                <c:ptCount val="11"/>
                <c:pt idx="0">
                  <c:v>4642</c:v>
                </c:pt>
                <c:pt idx="1">
                  <c:v>5301</c:v>
                </c:pt>
                <c:pt idx="2">
                  <c:v>5960</c:v>
                </c:pt>
                <c:pt idx="3">
                  <c:v>6619</c:v>
                </c:pt>
                <c:pt idx="4">
                  <c:v>7278.0000000000009</c:v>
                </c:pt>
                <c:pt idx="5">
                  <c:v>7937.0000000000009</c:v>
                </c:pt>
                <c:pt idx="6">
                  <c:v>7937.0000000000009</c:v>
                </c:pt>
                <c:pt idx="7">
                  <c:v>7937.0000000000009</c:v>
                </c:pt>
                <c:pt idx="8">
                  <c:v>7937.0000000000009</c:v>
                </c:pt>
                <c:pt idx="9">
                  <c:v>7937.0000000000009</c:v>
                </c:pt>
                <c:pt idx="10">
                  <c:v>7937.0000000000009</c:v>
                </c:pt>
              </c:numCache>
            </c:numRef>
          </c:val>
          <c:extLst xmlns:c16r2="http://schemas.microsoft.com/office/drawing/2015/06/chart">
            <c:ext xmlns:c16="http://schemas.microsoft.com/office/drawing/2014/chart" uri="{C3380CC4-5D6E-409C-BE32-E72D297353CC}">
              <c16:uniqueId val="{00000003-964D-475D-A1F8-51B5CB8B4075}"/>
            </c:ext>
          </c:extLst>
        </c:ser>
        <c:ser>
          <c:idx val="2"/>
          <c:order val="4"/>
          <c:tx>
            <c:strRef>
              <c:f>'WW calcu'!$C$993</c:f>
              <c:strCache>
                <c:ptCount val="1"/>
                <c:pt idx="0">
                  <c:v>Individual toilet - onsite sanitation</c:v>
                </c:pt>
              </c:strCache>
            </c:strRef>
          </c:tx>
          <c:spPr>
            <a:solidFill>
              <a:schemeClr val="tx2">
                <a:lumMod val="75000"/>
              </a:schemeClr>
            </a:solidFill>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calcu'!$D$993:$N$993</c:f>
              <c:numCache>
                <c:formatCode>_(* #,##0_);_(* \(#,##0\);_(* "-"??_);_(@_)</c:formatCode>
                <c:ptCount val="11"/>
                <c:pt idx="0">
                  <c:v>424</c:v>
                </c:pt>
                <c:pt idx="1">
                  <c:v>1926.6000000000001</c:v>
                </c:pt>
                <c:pt idx="2">
                  <c:v>3429.2000000000003</c:v>
                </c:pt>
                <c:pt idx="3">
                  <c:v>4931.8</c:v>
                </c:pt>
                <c:pt idx="4">
                  <c:v>6434.4000000000005</c:v>
                </c:pt>
                <c:pt idx="5">
                  <c:v>7937.0000000000009</c:v>
                </c:pt>
                <c:pt idx="6">
                  <c:v>7937.0000000000009</c:v>
                </c:pt>
                <c:pt idx="7">
                  <c:v>7937.0000000000009</c:v>
                </c:pt>
                <c:pt idx="8">
                  <c:v>7937.0000000000009</c:v>
                </c:pt>
                <c:pt idx="9">
                  <c:v>7937.0000000000009</c:v>
                </c:pt>
                <c:pt idx="10">
                  <c:v>7937.0000000000009</c:v>
                </c:pt>
              </c:numCache>
            </c:numRef>
          </c:val>
          <c:extLst xmlns:c16r2="http://schemas.microsoft.com/office/drawing/2015/06/chart">
            <c:ext xmlns:c16="http://schemas.microsoft.com/office/drawing/2014/chart" uri="{C3380CC4-5D6E-409C-BE32-E72D297353CC}">
              <c16:uniqueId val="{00000004-964D-475D-A1F8-51B5CB8B4075}"/>
            </c:ext>
          </c:extLst>
        </c:ser>
        <c:ser>
          <c:idx val="3"/>
          <c:order val="5"/>
          <c:tx>
            <c:strRef>
              <c:f>'WW calcu'!$C$992</c:f>
              <c:strCache>
                <c:ptCount val="1"/>
                <c:pt idx="0">
                  <c:v>Individual toilet - sewerage conn.</c:v>
                </c:pt>
              </c:strCache>
            </c:strRef>
          </c:tx>
          <c:spPr>
            <a:solidFill>
              <a:srgbClr val="0070C0"/>
            </a:solidFill>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calcu'!$D$992:$N$992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5-964D-475D-A1F8-51B5CB8B4075}"/>
            </c:ext>
          </c:extLst>
        </c:ser>
        <c:ser>
          <c:idx val="0"/>
          <c:order val="6"/>
          <c:tx>
            <c:strRef>
              <c:f>'WW calcu'!$C$991</c:f>
              <c:strCache>
                <c:ptCount val="1"/>
                <c:pt idx="0">
                  <c:v>Benchmark (Total population)</c:v>
                </c:pt>
              </c:strCache>
            </c:strRef>
          </c:tx>
          <c:spPr>
            <a:noFill/>
            <a:ln w="38100">
              <a:solidFill>
                <a:sysClr val="windowText" lastClr="000000"/>
              </a:solidFill>
              <a:prstDash val="sysDash"/>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calcu'!$D$991:$N$991</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6-964D-475D-A1F8-51B5CB8B4075}"/>
            </c:ext>
          </c:extLst>
        </c:ser>
        <c:dLbls>
          <c:showLegendKey val="0"/>
          <c:showVal val="1"/>
          <c:showCatName val="0"/>
          <c:showSerName val="0"/>
          <c:showPercent val="0"/>
          <c:showBubbleSize val="0"/>
        </c:dLbls>
        <c:axId val="44685312"/>
        <c:axId val="44064064"/>
      </c:areaChart>
      <c:catAx>
        <c:axId val="44685312"/>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44064064"/>
        <c:crosses val="autoZero"/>
        <c:auto val="1"/>
        <c:lblAlgn val="ctr"/>
        <c:lblOffset val="100"/>
        <c:noMultiLvlLbl val="0"/>
      </c:catAx>
      <c:valAx>
        <c:axId val="44064064"/>
        <c:scaling>
          <c:orientation val="minMax"/>
        </c:scaling>
        <c:delete val="0"/>
        <c:axPos val="l"/>
        <c:majorGridlines/>
        <c:title>
          <c:tx>
            <c:rich>
              <a:bodyPr rot="-5400000" vert="horz"/>
              <a:lstStyle/>
              <a:p>
                <a:pPr>
                  <a:defRPr lang="en-US" sz="1200">
                    <a:solidFill>
                      <a:schemeClr val="bg1"/>
                    </a:solidFill>
                  </a:defRPr>
                </a:pPr>
                <a:r>
                  <a:rPr lang="en-US" sz="1200">
                    <a:solidFill>
                      <a:schemeClr val="bg1"/>
                    </a:solidFill>
                  </a:rPr>
                  <a:t>No. of households</a:t>
                </a:r>
              </a:p>
            </c:rich>
          </c:tx>
          <c:layout>
            <c:manualLayout>
              <c:xMode val="edge"/>
              <c:yMode val="edge"/>
              <c:x val="1.6696618742518753E-3"/>
              <c:y val="0.28999554800635013"/>
            </c:manualLayout>
          </c:layout>
          <c:overlay val="0"/>
        </c:title>
        <c:numFmt formatCode="#,##0" sourceLinked="0"/>
        <c:majorTickMark val="out"/>
        <c:minorTickMark val="none"/>
        <c:tickLblPos val="nextTo"/>
        <c:txPr>
          <a:bodyPr rot="0"/>
          <a:lstStyle/>
          <a:p>
            <a:pPr>
              <a:defRPr lang="en-US" sz="1100">
                <a:solidFill>
                  <a:schemeClr val="bg1"/>
                </a:solidFill>
              </a:defRPr>
            </a:pPr>
            <a:endParaRPr lang="en-US"/>
          </a:p>
        </c:txPr>
        <c:crossAx val="44685312"/>
        <c:crosses val="autoZero"/>
        <c:crossBetween val="midCat"/>
      </c:valAx>
    </c:plotArea>
    <c:legend>
      <c:legendPos val="b"/>
      <c:layout>
        <c:manualLayout>
          <c:xMode val="edge"/>
          <c:yMode val="edge"/>
          <c:x val="1.6513998929462273E-2"/>
          <c:y val="0.82137095363079871"/>
          <c:w val="0.96785745058972805"/>
          <c:h val="0.1786290463692039"/>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Status of Community toilets</a:t>
            </a:r>
          </a:p>
        </c:rich>
      </c:tx>
      <c:layout>
        <c:manualLayout>
          <c:xMode val="edge"/>
          <c:yMode val="edge"/>
          <c:x val="0.31898932604701447"/>
          <c:y val="1.0730858895950861E-2"/>
        </c:manualLayout>
      </c:layout>
      <c:overlay val="1"/>
      <c:spPr>
        <a:noFill/>
      </c:spPr>
    </c:title>
    <c:autoTitleDeleted val="0"/>
    <c:plotArea>
      <c:layout>
        <c:manualLayout>
          <c:layoutTarget val="inner"/>
          <c:xMode val="edge"/>
          <c:yMode val="edge"/>
          <c:x val="8.3577941032789191E-2"/>
          <c:y val="8.6845924247365605E-2"/>
          <c:w val="0.88047746307258445"/>
          <c:h val="0.61079791666666883"/>
        </c:manualLayout>
      </c:layout>
      <c:areaChart>
        <c:grouping val="stacked"/>
        <c:varyColors val="0"/>
        <c:ser>
          <c:idx val="2"/>
          <c:order val="0"/>
          <c:tx>
            <c:strRef>
              <c:f>'WW calcu'!$C$1032</c:f>
              <c:strCache>
                <c:ptCount val="1"/>
                <c:pt idx="0">
                  <c:v>New toilet seats</c:v>
                </c:pt>
              </c:strCache>
            </c:strRef>
          </c:tx>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calcu'!$D$1032:$N$1032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119A-4400-8714-89A22A962E10}"/>
            </c:ext>
          </c:extLst>
        </c:ser>
        <c:ser>
          <c:idx val="4"/>
          <c:order val="1"/>
          <c:tx>
            <c:strRef>
              <c:f>'WW calcu'!$C$1031</c:f>
              <c:strCache>
                <c:ptCount val="1"/>
                <c:pt idx="0">
                  <c:v>Existing functional seats with Safe sanitation system</c:v>
                </c:pt>
              </c:strCache>
            </c:strRef>
          </c:tx>
          <c:spPr>
            <a:ln w="25400">
              <a:noFill/>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calcu'!$D$1031:$N$1031</c:f>
              <c:numCache>
                <c:formatCode>_(* #,##0_);_(* \(#,##0\);_(* "-"??_);_(@_)</c:formatCode>
                <c:ptCount val="11"/>
                <c:pt idx="0">
                  <c:v>220</c:v>
                </c:pt>
                <c:pt idx="1">
                  <c:v>235</c:v>
                </c:pt>
                <c:pt idx="2">
                  <c:v>250</c:v>
                </c:pt>
                <c:pt idx="3">
                  <c:v>265</c:v>
                </c:pt>
                <c:pt idx="4">
                  <c:v>265</c:v>
                </c:pt>
                <c:pt idx="5">
                  <c:v>265</c:v>
                </c:pt>
                <c:pt idx="6">
                  <c:v>265</c:v>
                </c:pt>
                <c:pt idx="7">
                  <c:v>265</c:v>
                </c:pt>
                <c:pt idx="8">
                  <c:v>265</c:v>
                </c:pt>
                <c:pt idx="9">
                  <c:v>265</c:v>
                </c:pt>
                <c:pt idx="10">
                  <c:v>265</c:v>
                </c:pt>
              </c:numCache>
            </c:numRef>
          </c:val>
          <c:extLst xmlns:c16r2="http://schemas.microsoft.com/office/drawing/2015/06/chart">
            <c:ext xmlns:c16="http://schemas.microsoft.com/office/drawing/2014/chart" uri="{C3380CC4-5D6E-409C-BE32-E72D297353CC}">
              <c16:uniqueId val="{00000001-119A-4400-8714-89A22A962E10}"/>
            </c:ext>
          </c:extLst>
        </c:ser>
        <c:ser>
          <c:idx val="1"/>
          <c:order val="2"/>
          <c:tx>
            <c:strRef>
              <c:f>'WW calcu'!$C$1030</c:f>
              <c:strCache>
                <c:ptCount val="1"/>
                <c:pt idx="0">
                  <c:v>Existing functional seats with Unsafe sanitation system</c:v>
                </c:pt>
              </c:strCache>
            </c:strRef>
          </c:tx>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calcu'!$D$1030:$N$1030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119A-4400-8714-89A22A962E10}"/>
            </c:ext>
          </c:extLst>
        </c:ser>
        <c:ser>
          <c:idx val="5"/>
          <c:order val="3"/>
          <c:tx>
            <c:strRef>
              <c:f>'WW calcu'!$C$1029</c:f>
              <c:strCache>
                <c:ptCount val="1"/>
                <c:pt idx="0">
                  <c:v>Existing non-functional seats</c:v>
                </c:pt>
              </c:strCache>
            </c:strRef>
          </c:tx>
          <c:spPr>
            <a:solidFill>
              <a:schemeClr val="tx1"/>
            </a:solidFill>
            <a:ln w="25400">
              <a:noFill/>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calcu'!$D$1029:$N$1029</c:f>
              <c:numCache>
                <c:formatCode>_(* #,##0_);_(* \(#,##0\);_(* "-"??_);_(@_)</c:formatCode>
                <c:ptCount val="11"/>
                <c:pt idx="0">
                  <c:v>45</c:v>
                </c:pt>
                <c:pt idx="1">
                  <c:v>30</c:v>
                </c:pt>
                <c:pt idx="2">
                  <c:v>15</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119A-4400-8714-89A22A962E10}"/>
            </c:ext>
          </c:extLst>
        </c:ser>
        <c:dLbls>
          <c:showLegendKey val="0"/>
          <c:showVal val="1"/>
          <c:showCatName val="0"/>
          <c:showSerName val="0"/>
          <c:showPercent val="0"/>
          <c:showBubbleSize val="0"/>
        </c:dLbls>
        <c:axId val="43976704"/>
        <c:axId val="580520192"/>
      </c:areaChart>
      <c:catAx>
        <c:axId val="43976704"/>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580520192"/>
        <c:crosses val="autoZero"/>
        <c:auto val="1"/>
        <c:lblAlgn val="ctr"/>
        <c:lblOffset val="100"/>
        <c:noMultiLvlLbl val="0"/>
      </c:catAx>
      <c:valAx>
        <c:axId val="580520192"/>
        <c:scaling>
          <c:orientation val="minMax"/>
        </c:scaling>
        <c:delete val="0"/>
        <c:axPos val="l"/>
        <c:majorGridlines/>
        <c:title>
          <c:tx>
            <c:rich>
              <a:bodyPr rot="-5400000" vert="horz"/>
              <a:lstStyle/>
              <a:p>
                <a:pPr>
                  <a:defRPr lang="en-US"/>
                </a:pPr>
                <a:r>
                  <a:rPr lang="en-US" sz="1200">
                    <a:solidFill>
                      <a:schemeClr val="bg1"/>
                    </a:solidFill>
                  </a:rPr>
                  <a:t>Toilet</a:t>
                </a:r>
                <a:r>
                  <a:rPr lang="en-US" sz="1200" baseline="0">
                    <a:solidFill>
                      <a:schemeClr val="bg1"/>
                    </a:solidFill>
                  </a:rPr>
                  <a:t> seats</a:t>
                </a:r>
                <a:endParaRPr lang="en-US" sz="1200">
                  <a:solidFill>
                    <a:schemeClr val="bg1"/>
                  </a:solidFill>
                </a:endParaRPr>
              </a:p>
            </c:rich>
          </c:tx>
          <c:layout>
            <c:manualLayout>
              <c:xMode val="edge"/>
              <c:yMode val="edge"/>
              <c:x val="5.5923632684592803E-3"/>
              <c:y val="0.35286942257217846"/>
            </c:manualLayout>
          </c:layout>
          <c:overlay val="0"/>
        </c:title>
        <c:numFmt formatCode="#,##0" sourceLinked="0"/>
        <c:majorTickMark val="out"/>
        <c:minorTickMark val="none"/>
        <c:tickLblPos val="nextTo"/>
        <c:txPr>
          <a:bodyPr rot="0"/>
          <a:lstStyle/>
          <a:p>
            <a:pPr>
              <a:defRPr lang="en-US" sz="1100">
                <a:solidFill>
                  <a:schemeClr val="bg1"/>
                </a:solidFill>
              </a:defRPr>
            </a:pPr>
            <a:endParaRPr lang="en-US"/>
          </a:p>
        </c:txPr>
        <c:crossAx val="43976704"/>
        <c:crosses val="autoZero"/>
        <c:crossBetween val="midCat"/>
      </c:valAx>
    </c:plotArea>
    <c:legend>
      <c:legendPos val="b"/>
      <c:layout>
        <c:manualLayout>
          <c:xMode val="edge"/>
          <c:yMode val="edge"/>
          <c:x val="5.3100623776413123E-3"/>
          <c:y val="0.80682662037037223"/>
          <c:w val="0.99468993762235869"/>
          <c:h val="0.18096157407407409"/>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Status of Public toilets</a:t>
            </a:r>
          </a:p>
        </c:rich>
      </c:tx>
      <c:layout>
        <c:manualLayout>
          <c:xMode val="edge"/>
          <c:yMode val="edge"/>
          <c:x val="0.35984928589733917"/>
          <c:y val="1.0730711552778514E-2"/>
        </c:manualLayout>
      </c:layout>
      <c:overlay val="1"/>
      <c:spPr>
        <a:noFill/>
      </c:spPr>
    </c:title>
    <c:autoTitleDeleted val="0"/>
    <c:plotArea>
      <c:layout>
        <c:manualLayout>
          <c:layoutTarget val="inner"/>
          <c:xMode val="edge"/>
          <c:yMode val="edge"/>
          <c:x val="7.2494240531547113E-2"/>
          <c:y val="8.6845924247365605E-2"/>
          <c:w val="0.8915611635738262"/>
          <c:h val="0.61876342592592559"/>
        </c:manualLayout>
      </c:layout>
      <c:areaChart>
        <c:grouping val="stacked"/>
        <c:varyColors val="0"/>
        <c:ser>
          <c:idx val="2"/>
          <c:order val="0"/>
          <c:tx>
            <c:strRef>
              <c:f>'WW calcu'!$C$1037</c:f>
              <c:strCache>
                <c:ptCount val="1"/>
                <c:pt idx="0">
                  <c:v>New toilet seats</c:v>
                </c:pt>
              </c:strCache>
            </c:strRef>
          </c:tx>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calcu'!$D$1037:$N$1037</c:f>
              <c:numCache>
                <c:formatCode>_(* #,##0_);_(* \(#,##0\);_(* "-"??_);_(@_)</c:formatCode>
                <c:ptCount val="11"/>
                <c:pt idx="0">
                  <c:v>0</c:v>
                </c:pt>
                <c:pt idx="1">
                  <c:v>4</c:v>
                </c:pt>
                <c:pt idx="2">
                  <c:v>7</c:v>
                </c:pt>
                <c:pt idx="3">
                  <c:v>11</c:v>
                </c:pt>
                <c:pt idx="4">
                  <c:v>11</c:v>
                </c:pt>
                <c:pt idx="5">
                  <c:v>11</c:v>
                </c:pt>
                <c:pt idx="6">
                  <c:v>11</c:v>
                </c:pt>
                <c:pt idx="7">
                  <c:v>11</c:v>
                </c:pt>
                <c:pt idx="8">
                  <c:v>11</c:v>
                </c:pt>
                <c:pt idx="9">
                  <c:v>11</c:v>
                </c:pt>
                <c:pt idx="10">
                  <c:v>11</c:v>
                </c:pt>
              </c:numCache>
            </c:numRef>
          </c:val>
          <c:extLst xmlns:c16r2="http://schemas.microsoft.com/office/drawing/2015/06/chart">
            <c:ext xmlns:c16="http://schemas.microsoft.com/office/drawing/2014/chart" uri="{C3380CC4-5D6E-409C-BE32-E72D297353CC}">
              <c16:uniqueId val="{00000000-0981-4FA7-A871-6C17AAB0E0BC}"/>
            </c:ext>
          </c:extLst>
        </c:ser>
        <c:ser>
          <c:idx val="4"/>
          <c:order val="1"/>
          <c:tx>
            <c:strRef>
              <c:f>'WW calcu'!$C$1036</c:f>
              <c:strCache>
                <c:ptCount val="1"/>
                <c:pt idx="0">
                  <c:v>Existing functional seats with Safe sanitation system</c:v>
                </c:pt>
              </c:strCache>
            </c:strRef>
          </c:tx>
          <c:spPr>
            <a:ln w="25400">
              <a:noFill/>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calcu'!$D$1036:$N$1036</c:f>
              <c:numCache>
                <c:formatCode>_(* #,##0_);_(* \(#,##0\);_(* "-"??_);_(@_)</c:formatCode>
                <c:ptCount val="11"/>
                <c:pt idx="0">
                  <c:v>22</c:v>
                </c:pt>
                <c:pt idx="1">
                  <c:v>22</c:v>
                </c:pt>
                <c:pt idx="2">
                  <c:v>22</c:v>
                </c:pt>
                <c:pt idx="3">
                  <c:v>22</c:v>
                </c:pt>
                <c:pt idx="4">
                  <c:v>22</c:v>
                </c:pt>
                <c:pt idx="5">
                  <c:v>22</c:v>
                </c:pt>
                <c:pt idx="6">
                  <c:v>22</c:v>
                </c:pt>
                <c:pt idx="7">
                  <c:v>22</c:v>
                </c:pt>
                <c:pt idx="8">
                  <c:v>22</c:v>
                </c:pt>
                <c:pt idx="9">
                  <c:v>22</c:v>
                </c:pt>
                <c:pt idx="10">
                  <c:v>22</c:v>
                </c:pt>
              </c:numCache>
            </c:numRef>
          </c:val>
          <c:extLst xmlns:c16r2="http://schemas.microsoft.com/office/drawing/2015/06/chart">
            <c:ext xmlns:c16="http://schemas.microsoft.com/office/drawing/2014/chart" uri="{C3380CC4-5D6E-409C-BE32-E72D297353CC}">
              <c16:uniqueId val="{00000001-0981-4FA7-A871-6C17AAB0E0BC}"/>
            </c:ext>
          </c:extLst>
        </c:ser>
        <c:ser>
          <c:idx val="1"/>
          <c:order val="2"/>
          <c:tx>
            <c:strRef>
              <c:f>'WW calcu'!$C$1035</c:f>
              <c:strCache>
                <c:ptCount val="1"/>
                <c:pt idx="0">
                  <c:v>Existing functional seats with Unsafe sanitation system</c:v>
                </c:pt>
              </c:strCache>
            </c:strRef>
          </c:tx>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calcu'!$D$1035:$N$1035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0981-4FA7-A871-6C17AAB0E0BC}"/>
            </c:ext>
          </c:extLst>
        </c:ser>
        <c:ser>
          <c:idx val="5"/>
          <c:order val="3"/>
          <c:tx>
            <c:strRef>
              <c:f>'WW calcu'!$C$1034</c:f>
              <c:strCache>
                <c:ptCount val="1"/>
                <c:pt idx="0">
                  <c:v>Existing non-functional seats</c:v>
                </c:pt>
              </c:strCache>
            </c:strRef>
          </c:tx>
          <c:spPr>
            <a:solidFill>
              <a:schemeClr val="tx1"/>
            </a:solidFill>
            <a:ln w="25400">
              <a:noFill/>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calcu'!$D$1034:$N$1034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0981-4FA7-A871-6C17AAB0E0BC}"/>
            </c:ext>
          </c:extLst>
        </c:ser>
        <c:dLbls>
          <c:showLegendKey val="0"/>
          <c:showVal val="1"/>
          <c:showCatName val="0"/>
          <c:showSerName val="0"/>
          <c:showPercent val="0"/>
          <c:showBubbleSize val="0"/>
        </c:dLbls>
        <c:axId val="580628480"/>
        <c:axId val="580522496"/>
      </c:areaChart>
      <c:catAx>
        <c:axId val="580628480"/>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580522496"/>
        <c:crosses val="autoZero"/>
        <c:auto val="1"/>
        <c:lblAlgn val="ctr"/>
        <c:lblOffset val="100"/>
        <c:noMultiLvlLbl val="0"/>
      </c:catAx>
      <c:valAx>
        <c:axId val="580522496"/>
        <c:scaling>
          <c:orientation val="minMax"/>
        </c:scaling>
        <c:delete val="0"/>
        <c:axPos val="l"/>
        <c:majorGridlines/>
        <c:title>
          <c:tx>
            <c:rich>
              <a:bodyPr rot="-5400000" vert="horz"/>
              <a:lstStyle/>
              <a:p>
                <a:pPr>
                  <a:defRPr lang="en-US"/>
                </a:pPr>
                <a:r>
                  <a:rPr lang="en-US" sz="1200" b="1" i="0" baseline="0">
                    <a:solidFill>
                      <a:schemeClr val="bg1"/>
                    </a:solidFill>
                  </a:rPr>
                  <a:t>Toilet seats</a:t>
                </a:r>
              </a:p>
            </c:rich>
          </c:tx>
          <c:layout>
            <c:manualLayout>
              <c:xMode val="edge"/>
              <c:yMode val="edge"/>
              <c:x val="1.9405366414417528E-4"/>
              <c:y val="0.34545297462817148"/>
            </c:manualLayout>
          </c:layout>
          <c:overlay val="0"/>
        </c:title>
        <c:numFmt formatCode="#,##0" sourceLinked="0"/>
        <c:majorTickMark val="out"/>
        <c:minorTickMark val="none"/>
        <c:tickLblPos val="nextTo"/>
        <c:txPr>
          <a:bodyPr rot="0"/>
          <a:lstStyle/>
          <a:p>
            <a:pPr>
              <a:defRPr lang="en-US" sz="1100">
                <a:solidFill>
                  <a:schemeClr val="bg1"/>
                </a:solidFill>
              </a:defRPr>
            </a:pPr>
            <a:endParaRPr lang="en-US"/>
          </a:p>
        </c:txPr>
        <c:crossAx val="580628480"/>
        <c:crosses val="autoZero"/>
        <c:crossBetween val="midCat"/>
      </c:valAx>
    </c:plotArea>
    <c:legend>
      <c:legendPos val="b"/>
      <c:layout>
        <c:manualLayout>
          <c:xMode val="edge"/>
          <c:yMode val="edge"/>
          <c:x val="6.8066322300371462E-2"/>
          <c:y val="0.79237608412437266"/>
          <c:w val="0.91145638482880942"/>
          <c:h val="0.20054513888888931"/>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Access and coverage of toilet facilities - SLUMS</a:t>
            </a:r>
          </a:p>
        </c:rich>
      </c:tx>
      <c:layout>
        <c:manualLayout>
          <c:xMode val="edge"/>
          <c:yMode val="edge"/>
          <c:x val="0.22666567722643466"/>
          <c:y val="7.8068433824473255E-3"/>
        </c:manualLayout>
      </c:layout>
      <c:overlay val="1"/>
      <c:spPr>
        <a:noFill/>
      </c:spPr>
    </c:title>
    <c:autoTitleDeleted val="0"/>
    <c:plotArea>
      <c:layout>
        <c:manualLayout>
          <c:layoutTarget val="inner"/>
          <c:xMode val="edge"/>
          <c:yMode val="edge"/>
          <c:x val="9.7612855876540644E-2"/>
          <c:y val="8.6845924247365605E-2"/>
          <c:w val="0.86644252770314167"/>
          <c:h val="0.64722922134733163"/>
        </c:manualLayout>
      </c:layout>
      <c:areaChart>
        <c:grouping val="standard"/>
        <c:varyColors val="0"/>
        <c:ser>
          <c:idx val="5"/>
          <c:order val="0"/>
          <c:tx>
            <c:strRef>
              <c:f>'WW calcu'!$C$1013</c:f>
              <c:strCache>
                <c:ptCount val="1"/>
                <c:pt idx="0">
                  <c:v>HHs dependent on unsafe community toilets</c:v>
                </c:pt>
              </c:strCache>
            </c:strRef>
          </c:tx>
          <c:spPr>
            <a:solidFill>
              <a:schemeClr val="accent6">
                <a:lumMod val="75000"/>
              </a:schemeClr>
            </a:solidFill>
            <a:ln w="25400">
              <a:noFill/>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calcu'!$D$1013:$N$1013</c:f>
              <c:numCache>
                <c:formatCode>_(* #,##0_);_(* \(#,##0\);_(* "-"??_);_(@_)</c:formatCode>
                <c:ptCount val="11"/>
                <c:pt idx="0">
                  <c:v>347</c:v>
                </c:pt>
                <c:pt idx="1">
                  <c:v>368</c:v>
                </c:pt>
                <c:pt idx="2">
                  <c:v>389</c:v>
                </c:pt>
                <c:pt idx="3">
                  <c:v>410</c:v>
                </c:pt>
                <c:pt idx="4">
                  <c:v>443</c:v>
                </c:pt>
                <c:pt idx="5">
                  <c:v>476</c:v>
                </c:pt>
                <c:pt idx="6">
                  <c:v>476</c:v>
                </c:pt>
                <c:pt idx="7">
                  <c:v>476</c:v>
                </c:pt>
                <c:pt idx="8">
                  <c:v>476</c:v>
                </c:pt>
                <c:pt idx="9">
                  <c:v>476</c:v>
                </c:pt>
                <c:pt idx="10">
                  <c:v>476</c:v>
                </c:pt>
              </c:numCache>
            </c:numRef>
          </c:val>
          <c:extLst xmlns:c16r2="http://schemas.microsoft.com/office/drawing/2015/06/chart">
            <c:ext xmlns:c16="http://schemas.microsoft.com/office/drawing/2014/chart" uri="{C3380CC4-5D6E-409C-BE32-E72D297353CC}">
              <c16:uniqueId val="{00000000-A898-4875-B67A-D7F9A17123F6}"/>
            </c:ext>
          </c:extLst>
        </c:ser>
        <c:ser>
          <c:idx val="1"/>
          <c:order val="1"/>
          <c:tx>
            <c:strRef>
              <c:f>'WW calcu'!$C$1014</c:f>
              <c:strCache>
                <c:ptCount val="1"/>
                <c:pt idx="0">
                  <c:v>HHs dependent on safe community toilets</c:v>
                </c:pt>
              </c:strCache>
            </c:strRef>
          </c:tx>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calcu'!$D$1014:$N$1014</c:f>
              <c:numCache>
                <c:formatCode>_(* #,##0_);_(* \(#,##0\);_(* "-"??_);_(@_)</c:formatCode>
                <c:ptCount val="11"/>
                <c:pt idx="0">
                  <c:v>347</c:v>
                </c:pt>
                <c:pt idx="1">
                  <c:v>368</c:v>
                </c:pt>
                <c:pt idx="2">
                  <c:v>389</c:v>
                </c:pt>
                <c:pt idx="3">
                  <c:v>410</c:v>
                </c:pt>
                <c:pt idx="4">
                  <c:v>443</c:v>
                </c:pt>
                <c:pt idx="5">
                  <c:v>476</c:v>
                </c:pt>
                <c:pt idx="6">
                  <c:v>476</c:v>
                </c:pt>
                <c:pt idx="7">
                  <c:v>476</c:v>
                </c:pt>
                <c:pt idx="8">
                  <c:v>476</c:v>
                </c:pt>
                <c:pt idx="9">
                  <c:v>476</c:v>
                </c:pt>
                <c:pt idx="10">
                  <c:v>476</c:v>
                </c:pt>
              </c:numCache>
            </c:numRef>
          </c:val>
          <c:extLst xmlns:c16r2="http://schemas.microsoft.com/office/drawing/2015/06/chart">
            <c:ext xmlns:c16="http://schemas.microsoft.com/office/drawing/2014/chart" uri="{C3380CC4-5D6E-409C-BE32-E72D297353CC}">
              <c16:uniqueId val="{00000001-A898-4875-B67A-D7F9A17123F6}"/>
            </c:ext>
          </c:extLst>
        </c:ser>
        <c:ser>
          <c:idx val="6"/>
          <c:order val="2"/>
          <c:tx>
            <c:strRef>
              <c:f>'WW calcu'!$C$1015</c:f>
              <c:strCache>
                <c:ptCount val="1"/>
                <c:pt idx="0">
                  <c:v>HHs dependent on group toilets</c:v>
                </c:pt>
              </c:strCache>
            </c:strRef>
          </c:tx>
          <c:spPr>
            <a:solidFill>
              <a:schemeClr val="accent3">
                <a:lumMod val="75000"/>
              </a:schemeClr>
            </a:solidFill>
            <a:ln w="25400">
              <a:noFill/>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calcu'!$D$1015:$N$1015</c:f>
              <c:numCache>
                <c:formatCode>_(* #,##0_);_(* \(#,##0\);_(* "-"??_);_(@_)</c:formatCode>
                <c:ptCount val="11"/>
                <c:pt idx="0">
                  <c:v>191</c:v>
                </c:pt>
                <c:pt idx="1">
                  <c:v>224</c:v>
                </c:pt>
                <c:pt idx="2">
                  <c:v>257</c:v>
                </c:pt>
                <c:pt idx="3">
                  <c:v>290</c:v>
                </c:pt>
                <c:pt idx="4">
                  <c:v>323</c:v>
                </c:pt>
                <c:pt idx="5">
                  <c:v>356</c:v>
                </c:pt>
                <c:pt idx="6">
                  <c:v>356</c:v>
                </c:pt>
                <c:pt idx="7">
                  <c:v>356</c:v>
                </c:pt>
                <c:pt idx="8">
                  <c:v>356</c:v>
                </c:pt>
                <c:pt idx="9">
                  <c:v>356</c:v>
                </c:pt>
                <c:pt idx="10">
                  <c:v>356</c:v>
                </c:pt>
              </c:numCache>
            </c:numRef>
          </c:val>
          <c:extLst xmlns:c16r2="http://schemas.microsoft.com/office/drawing/2015/06/chart">
            <c:ext xmlns:c16="http://schemas.microsoft.com/office/drawing/2014/chart" uri="{C3380CC4-5D6E-409C-BE32-E72D297353CC}">
              <c16:uniqueId val="{00000002-A898-4875-B67A-D7F9A17123F6}"/>
            </c:ext>
          </c:extLst>
        </c:ser>
        <c:ser>
          <c:idx val="4"/>
          <c:order val="3"/>
          <c:tx>
            <c:strRef>
              <c:f>'WW calcu'!$C$1016</c:f>
              <c:strCache>
                <c:ptCount val="1"/>
                <c:pt idx="0">
                  <c:v>Individual toilet with unsafe sanitation</c:v>
                </c:pt>
              </c:strCache>
            </c:strRef>
          </c:tx>
          <c:spPr>
            <a:ln w="25400">
              <a:noFill/>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calcu'!$D$1016:$N$1016</c:f>
              <c:numCache>
                <c:formatCode>_(* #,##0_);_(* \(#,##0\);_(* "-"??_);_(@_)</c:formatCode>
                <c:ptCount val="11"/>
                <c:pt idx="0">
                  <c:v>191</c:v>
                </c:pt>
                <c:pt idx="1">
                  <c:v>224</c:v>
                </c:pt>
                <c:pt idx="2">
                  <c:v>257</c:v>
                </c:pt>
                <c:pt idx="3">
                  <c:v>290</c:v>
                </c:pt>
                <c:pt idx="4">
                  <c:v>323</c:v>
                </c:pt>
                <c:pt idx="5">
                  <c:v>356</c:v>
                </c:pt>
                <c:pt idx="6">
                  <c:v>356</c:v>
                </c:pt>
                <c:pt idx="7">
                  <c:v>356</c:v>
                </c:pt>
                <c:pt idx="8">
                  <c:v>356</c:v>
                </c:pt>
                <c:pt idx="9">
                  <c:v>356</c:v>
                </c:pt>
                <c:pt idx="10">
                  <c:v>356</c:v>
                </c:pt>
              </c:numCache>
            </c:numRef>
          </c:val>
          <c:extLst xmlns:c16r2="http://schemas.microsoft.com/office/drawing/2015/06/chart">
            <c:ext xmlns:c16="http://schemas.microsoft.com/office/drawing/2014/chart" uri="{C3380CC4-5D6E-409C-BE32-E72D297353CC}">
              <c16:uniqueId val="{00000003-A898-4875-B67A-D7F9A17123F6}"/>
            </c:ext>
          </c:extLst>
        </c:ser>
        <c:ser>
          <c:idx val="2"/>
          <c:order val="4"/>
          <c:tx>
            <c:strRef>
              <c:f>'WW calcu'!$C$1017</c:f>
              <c:strCache>
                <c:ptCount val="1"/>
                <c:pt idx="0">
                  <c:v>Individual toilet - onsite sanitation</c:v>
                </c:pt>
              </c:strCache>
            </c:strRef>
          </c:tx>
          <c:spPr>
            <a:solidFill>
              <a:schemeClr val="tx2">
                <a:lumMod val="75000"/>
              </a:schemeClr>
            </a:solidFill>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calcu'!$D$1017:$N$1017</c:f>
              <c:numCache>
                <c:formatCode>_(* #,##0_);_(* \(#,##0\);_(* "-"??_);_(@_)</c:formatCode>
                <c:ptCount val="11"/>
                <c:pt idx="0">
                  <c:v>0</c:v>
                </c:pt>
                <c:pt idx="1">
                  <c:v>71.2</c:v>
                </c:pt>
                <c:pt idx="2">
                  <c:v>142.4</c:v>
                </c:pt>
                <c:pt idx="3">
                  <c:v>213.60000000000002</c:v>
                </c:pt>
                <c:pt idx="4">
                  <c:v>284.8</c:v>
                </c:pt>
                <c:pt idx="5">
                  <c:v>356</c:v>
                </c:pt>
                <c:pt idx="6">
                  <c:v>356</c:v>
                </c:pt>
                <c:pt idx="7">
                  <c:v>356</c:v>
                </c:pt>
                <c:pt idx="8">
                  <c:v>356</c:v>
                </c:pt>
                <c:pt idx="9">
                  <c:v>356</c:v>
                </c:pt>
                <c:pt idx="10">
                  <c:v>356</c:v>
                </c:pt>
              </c:numCache>
            </c:numRef>
          </c:val>
          <c:extLst xmlns:c16r2="http://schemas.microsoft.com/office/drawing/2015/06/chart">
            <c:ext xmlns:c16="http://schemas.microsoft.com/office/drawing/2014/chart" uri="{C3380CC4-5D6E-409C-BE32-E72D297353CC}">
              <c16:uniqueId val="{00000004-A898-4875-B67A-D7F9A17123F6}"/>
            </c:ext>
          </c:extLst>
        </c:ser>
        <c:ser>
          <c:idx val="3"/>
          <c:order val="5"/>
          <c:tx>
            <c:strRef>
              <c:f>'WW calcu'!$C$1018</c:f>
              <c:strCache>
                <c:ptCount val="1"/>
                <c:pt idx="0">
                  <c:v>Individual toilet - sewerage conn.</c:v>
                </c:pt>
              </c:strCache>
            </c:strRef>
          </c:tx>
          <c:spPr>
            <a:solidFill>
              <a:srgbClr val="0070C0"/>
            </a:solidFill>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calcu'!$D$1018:$N$1018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5-A898-4875-B67A-D7F9A17123F6}"/>
            </c:ext>
          </c:extLst>
        </c:ser>
        <c:ser>
          <c:idx val="0"/>
          <c:order val="6"/>
          <c:tx>
            <c:strRef>
              <c:f>'WW calcu'!$C$1019</c:f>
              <c:strCache>
                <c:ptCount val="1"/>
                <c:pt idx="0">
                  <c:v>Benchmark (Total population)</c:v>
                </c:pt>
              </c:strCache>
            </c:strRef>
          </c:tx>
          <c:spPr>
            <a:noFill/>
            <a:ln w="38100">
              <a:solidFill>
                <a:sysClr val="windowText" lastClr="000000"/>
              </a:solidFill>
              <a:prstDash val="sysDash"/>
            </a:ln>
          </c:spPr>
          <c:dLbls>
            <c:delete val="1"/>
          </c:dLbls>
          <c:cat>
            <c:numRef>
              <c:f>'WW calcu'!$D$983:$N$983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calcu'!$D$1019:$N$1019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6-A898-4875-B67A-D7F9A17123F6}"/>
            </c:ext>
          </c:extLst>
        </c:ser>
        <c:dLbls>
          <c:showLegendKey val="0"/>
          <c:showVal val="1"/>
          <c:showCatName val="0"/>
          <c:showSerName val="0"/>
          <c:showPercent val="0"/>
          <c:showBubbleSize val="0"/>
        </c:dLbls>
        <c:axId val="580630528"/>
        <c:axId val="580524224"/>
      </c:areaChart>
      <c:catAx>
        <c:axId val="580630528"/>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580524224"/>
        <c:crosses val="autoZero"/>
        <c:auto val="1"/>
        <c:lblAlgn val="ctr"/>
        <c:lblOffset val="100"/>
        <c:noMultiLvlLbl val="0"/>
      </c:catAx>
      <c:valAx>
        <c:axId val="580524224"/>
        <c:scaling>
          <c:orientation val="minMax"/>
        </c:scaling>
        <c:delete val="0"/>
        <c:axPos val="l"/>
        <c:majorGridlines/>
        <c:title>
          <c:tx>
            <c:rich>
              <a:bodyPr rot="-5400000" vert="horz"/>
              <a:lstStyle/>
              <a:p>
                <a:pPr>
                  <a:defRPr lang="en-US"/>
                </a:pPr>
                <a:r>
                  <a:rPr lang="en-US" sz="1200">
                    <a:solidFill>
                      <a:schemeClr val="bg1"/>
                    </a:solidFill>
                  </a:rPr>
                  <a:t>No. of households</a:t>
                </a:r>
              </a:p>
            </c:rich>
          </c:tx>
          <c:layout>
            <c:manualLayout>
              <c:xMode val="edge"/>
              <c:yMode val="edge"/>
              <c:x val="1.2315768645474309E-3"/>
              <c:y val="0.29800787479235891"/>
            </c:manualLayout>
          </c:layout>
          <c:overlay val="0"/>
        </c:title>
        <c:numFmt formatCode="#,##0" sourceLinked="0"/>
        <c:majorTickMark val="out"/>
        <c:minorTickMark val="none"/>
        <c:tickLblPos val="nextTo"/>
        <c:txPr>
          <a:bodyPr rot="0"/>
          <a:lstStyle/>
          <a:p>
            <a:pPr>
              <a:defRPr lang="en-US" sz="1100">
                <a:solidFill>
                  <a:schemeClr val="bg1"/>
                </a:solidFill>
              </a:defRPr>
            </a:pPr>
            <a:endParaRPr lang="en-US"/>
          </a:p>
        </c:txPr>
        <c:crossAx val="580630528"/>
        <c:crosses val="autoZero"/>
        <c:crossBetween val="midCat"/>
      </c:valAx>
    </c:plotArea>
    <c:legend>
      <c:legendPos val="b"/>
      <c:layout>
        <c:manualLayout>
          <c:xMode val="edge"/>
          <c:yMode val="edge"/>
          <c:x val="1.6513998929462273E-2"/>
          <c:y val="0.81859317585301827"/>
          <c:w val="0.96785745058972805"/>
          <c:h val="0.18140682414698223"/>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Wastewater collection and treatment</a:t>
            </a:r>
          </a:p>
        </c:rich>
      </c:tx>
      <c:layout>
        <c:manualLayout>
          <c:xMode val="edge"/>
          <c:yMode val="edge"/>
          <c:x val="0.2896472704634972"/>
          <c:y val="7.8068107134959029E-3"/>
        </c:manualLayout>
      </c:layout>
      <c:overlay val="1"/>
      <c:spPr>
        <a:noFill/>
      </c:spPr>
    </c:title>
    <c:autoTitleDeleted val="0"/>
    <c:plotArea>
      <c:layout>
        <c:manualLayout>
          <c:layoutTarget val="inner"/>
          <c:xMode val="edge"/>
          <c:yMode val="edge"/>
          <c:x val="8.1852129435399226E-2"/>
          <c:y val="8.8866531901794027E-2"/>
          <c:w val="0.88220341357242504"/>
          <c:h val="0.60616845193784208"/>
        </c:manualLayout>
      </c:layout>
      <c:areaChart>
        <c:grouping val="standard"/>
        <c:varyColors val="0"/>
        <c:ser>
          <c:idx val="1"/>
          <c:order val="0"/>
          <c:tx>
            <c:strRef>
              <c:f>'WW calcu'!$C$1082</c:f>
              <c:strCache>
                <c:ptCount val="1"/>
                <c:pt idx="0">
                  <c:v>WW collected &amp; conveyed Safely (soak pit, settled, sewerage)</c:v>
                </c:pt>
              </c:strCache>
            </c:strRef>
          </c:tx>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calcu'!$D$1082:$N$1082</c:f>
              <c:numCache>
                <c:formatCode>_(* #,##0.00_);_(* \(#,##0.00\);_(*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CB0F-4BB5-93A1-00E83EDAD31E}"/>
            </c:ext>
          </c:extLst>
        </c:ser>
        <c:ser>
          <c:idx val="2"/>
          <c:order val="1"/>
          <c:tx>
            <c:strRef>
              <c:f>'WW calcu'!$C$1083</c:f>
              <c:strCache>
                <c:ptCount val="1"/>
                <c:pt idx="0">
                  <c:v>WW treated</c:v>
                </c:pt>
              </c:strCache>
            </c:strRef>
          </c:tx>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calcu'!$D$1083:$N$1083</c:f>
              <c:numCache>
                <c:formatCode>_(* #,##0.00_);_(* \(#,##0.00\);_(*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CB0F-4BB5-93A1-00E83EDAD31E}"/>
            </c:ext>
          </c:extLst>
        </c:ser>
        <c:ser>
          <c:idx val="3"/>
          <c:order val="2"/>
          <c:tx>
            <c:strRef>
              <c:f>'WW calcu'!$C$1084</c:f>
              <c:strCache>
                <c:ptCount val="1"/>
                <c:pt idx="0">
                  <c:v>WW by-product derived from treatment</c:v>
                </c:pt>
              </c:strCache>
            </c:strRef>
          </c:tx>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calcu'!$D$1084:$N$1084</c:f>
              <c:numCache>
                <c:formatCode>_(* #,##0.00_);_(* \(#,##0.00\);_(*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CB0F-4BB5-93A1-00E83EDAD31E}"/>
            </c:ext>
          </c:extLst>
        </c:ser>
        <c:ser>
          <c:idx val="0"/>
          <c:order val="3"/>
          <c:tx>
            <c:strRef>
              <c:f>'WW calcu'!$C$1085</c:f>
              <c:strCache>
                <c:ptCount val="1"/>
                <c:pt idx="0">
                  <c:v>WW by-product reused</c:v>
                </c:pt>
              </c:strCache>
            </c:strRef>
          </c:tx>
          <c:spPr>
            <a:solidFill>
              <a:srgbClr val="C35D09"/>
            </a:solidFill>
            <a:ln w="25400">
              <a:noFill/>
            </a:ln>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calcu'!$D$1085:$N$1085</c:f>
              <c:numCache>
                <c:formatCode>_(* #,##0.00_);_(* \(#,##0.00\);_(*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CB0F-4BB5-93A1-00E83EDAD31E}"/>
            </c:ext>
          </c:extLst>
        </c:ser>
        <c:ser>
          <c:idx val="5"/>
          <c:order val="4"/>
          <c:tx>
            <c:strRef>
              <c:f>'WW calcu'!$C$1081</c:f>
              <c:strCache>
                <c:ptCount val="1"/>
                <c:pt idx="0">
                  <c:v>WW generated </c:v>
                </c:pt>
              </c:strCache>
            </c:strRef>
          </c:tx>
          <c:spPr>
            <a:noFill/>
            <a:ln w="38100">
              <a:solidFill>
                <a:sysClr val="windowText" lastClr="000000"/>
              </a:solidFill>
              <a:prstDash val="sysDash"/>
            </a:ln>
            <a:effectLst>
              <a:outerShdw blurRad="50800" dist="38100" dir="2700000" algn="tl" rotWithShape="0">
                <a:prstClr val="black">
                  <a:alpha val="40000"/>
                </a:prstClr>
              </a:outerShdw>
            </a:effectLst>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calcu'!$D$1081:$N$1081</c:f>
              <c:numCache>
                <c:formatCode>_(* #,##0.00_);_(* \(#,##0.00\);_(*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4-CB0F-4BB5-93A1-00E83EDAD31E}"/>
            </c:ext>
          </c:extLst>
        </c:ser>
        <c:dLbls>
          <c:showLegendKey val="0"/>
          <c:showVal val="1"/>
          <c:showCatName val="0"/>
          <c:showSerName val="0"/>
          <c:showPercent val="0"/>
          <c:showBubbleSize val="0"/>
        </c:dLbls>
        <c:axId val="580632064"/>
        <c:axId val="580870720"/>
      </c:areaChart>
      <c:catAx>
        <c:axId val="580632064"/>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580870720"/>
        <c:crosses val="autoZero"/>
        <c:auto val="1"/>
        <c:lblAlgn val="ctr"/>
        <c:lblOffset val="100"/>
        <c:noMultiLvlLbl val="0"/>
      </c:catAx>
      <c:valAx>
        <c:axId val="580870720"/>
        <c:scaling>
          <c:orientation val="minMax"/>
        </c:scaling>
        <c:delete val="0"/>
        <c:axPos val="l"/>
        <c:majorGridlines/>
        <c:title>
          <c:tx>
            <c:rich>
              <a:bodyPr rot="-5400000" vert="horz"/>
              <a:lstStyle/>
              <a:p>
                <a:pPr>
                  <a:defRPr lang="en-US" sz="1200">
                    <a:solidFill>
                      <a:schemeClr val="bg1"/>
                    </a:solidFill>
                  </a:defRPr>
                </a:pPr>
                <a:r>
                  <a:rPr lang="en-US" sz="1200">
                    <a:solidFill>
                      <a:schemeClr val="bg1"/>
                    </a:solidFill>
                  </a:rPr>
                  <a:t>MLD</a:t>
                </a:r>
              </a:p>
            </c:rich>
          </c:tx>
          <c:layout>
            <c:manualLayout>
              <c:xMode val="edge"/>
              <c:yMode val="edge"/>
              <c:x val="1.5694856584389629E-3"/>
              <c:y val="0.37261437980760309"/>
            </c:manualLayout>
          </c:layout>
          <c:overlay val="0"/>
        </c:title>
        <c:numFmt formatCode="#,##0.0" sourceLinked="0"/>
        <c:majorTickMark val="out"/>
        <c:minorTickMark val="none"/>
        <c:tickLblPos val="nextTo"/>
        <c:txPr>
          <a:bodyPr rot="0"/>
          <a:lstStyle/>
          <a:p>
            <a:pPr>
              <a:defRPr lang="en-US" sz="1100">
                <a:solidFill>
                  <a:schemeClr val="bg1"/>
                </a:solidFill>
              </a:defRPr>
            </a:pPr>
            <a:endParaRPr lang="en-US"/>
          </a:p>
        </c:txPr>
        <c:crossAx val="580632064"/>
        <c:crosses val="autoZero"/>
        <c:crossBetween val="midCat"/>
      </c:valAx>
    </c:plotArea>
    <c:legend>
      <c:legendPos val="b"/>
      <c:layout>
        <c:manualLayout>
          <c:xMode val="edge"/>
          <c:yMode val="edge"/>
          <c:x val="0"/>
          <c:y val="0.76916711111111113"/>
          <c:w val="0.99842499030180121"/>
          <c:h val="0.23079444444444513"/>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400"/>
            </a:pPr>
            <a:r>
              <a:rPr lang="en-US" sz="1400"/>
              <a:t>Connection</a:t>
            </a:r>
            <a:r>
              <a:rPr lang="en-US" sz="1400" baseline="0"/>
              <a:t> type wise extent of metering</a:t>
            </a:r>
            <a:endParaRPr lang="en-US" sz="1400"/>
          </a:p>
        </c:rich>
      </c:tx>
      <c:layout>
        <c:manualLayout>
          <c:xMode val="edge"/>
          <c:yMode val="edge"/>
          <c:x val="0.24093666859224047"/>
          <c:y val="0"/>
        </c:manualLayout>
      </c:layout>
      <c:overlay val="1"/>
    </c:title>
    <c:autoTitleDeleted val="0"/>
    <c:plotArea>
      <c:layout>
        <c:manualLayout>
          <c:layoutTarget val="inner"/>
          <c:xMode val="edge"/>
          <c:yMode val="edge"/>
          <c:x val="0.20115497450243044"/>
          <c:y val="0.12474720470235627"/>
          <c:w val="0.71683395140869965"/>
          <c:h val="0.61313863127362433"/>
        </c:manualLayout>
      </c:layout>
      <c:barChart>
        <c:barDir val="bar"/>
        <c:grouping val="percentStacked"/>
        <c:varyColors val="0"/>
        <c:ser>
          <c:idx val="0"/>
          <c:order val="0"/>
          <c:tx>
            <c:strRef>
              <c:f>'WS calcu'!$E$877</c:f>
              <c:strCache>
                <c:ptCount val="1"/>
                <c:pt idx="0">
                  <c:v>Metered connections</c:v>
                </c:pt>
              </c:strCache>
            </c:strRef>
          </c:tx>
          <c:spPr>
            <a:solidFill>
              <a:schemeClr val="accent1"/>
            </a:solidFill>
          </c:spPr>
          <c:invertIfNegative val="0"/>
          <c:cat>
            <c:strRef>
              <c:f>'WS calcu'!$C$878:$C$881</c:f>
              <c:strCache>
                <c:ptCount val="4"/>
                <c:pt idx="0">
                  <c:v>Misc.</c:v>
                </c:pt>
                <c:pt idx="1">
                  <c:v>Others</c:v>
                </c:pt>
                <c:pt idx="2">
                  <c:v>Commercial/ Institutional</c:v>
                </c:pt>
                <c:pt idx="3">
                  <c:v>Domestic</c:v>
                </c:pt>
              </c:strCache>
            </c:strRef>
          </c:cat>
          <c:val>
            <c:numRef>
              <c:f>'WS calcu'!$E$878:$E$881</c:f>
              <c:numCache>
                <c:formatCode>_(* #,##0_);_(* \(#,##0\);_(* "-"??_);_(@_)</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1CA9-44CA-AD6F-BC97F2C7D7A6}"/>
            </c:ext>
          </c:extLst>
        </c:ser>
        <c:ser>
          <c:idx val="1"/>
          <c:order val="1"/>
          <c:tx>
            <c:strRef>
              <c:f>'WS calcu'!$D$877</c:f>
              <c:strCache>
                <c:ptCount val="1"/>
                <c:pt idx="0">
                  <c:v>Gap</c:v>
                </c:pt>
              </c:strCache>
            </c:strRef>
          </c:tx>
          <c:spPr>
            <a:solidFill>
              <a:schemeClr val="bg1">
                <a:lumMod val="65000"/>
              </a:schemeClr>
            </a:solidFill>
          </c:spPr>
          <c:invertIfNegative val="0"/>
          <c:cat>
            <c:strRef>
              <c:f>'WS calcu'!$C$878:$C$881</c:f>
              <c:strCache>
                <c:ptCount val="4"/>
                <c:pt idx="0">
                  <c:v>Misc.</c:v>
                </c:pt>
                <c:pt idx="1">
                  <c:v>Others</c:v>
                </c:pt>
                <c:pt idx="2">
                  <c:v>Commercial/ Institutional</c:v>
                </c:pt>
                <c:pt idx="3">
                  <c:v>Domestic</c:v>
                </c:pt>
              </c:strCache>
            </c:strRef>
          </c:cat>
          <c:val>
            <c:numRef>
              <c:f>'WS calcu'!$D$878:$D$881</c:f>
              <c:numCache>
                <c:formatCode>_(* #,##0_);_(* \(#,##0\);_(* "-"??_);_(@_)</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1CA9-44CA-AD6F-BC97F2C7D7A6}"/>
            </c:ext>
          </c:extLst>
        </c:ser>
        <c:dLbls>
          <c:showLegendKey val="0"/>
          <c:showVal val="0"/>
          <c:showCatName val="0"/>
          <c:showSerName val="0"/>
          <c:showPercent val="0"/>
          <c:showBubbleSize val="0"/>
        </c:dLbls>
        <c:gapWidth val="76"/>
        <c:overlap val="100"/>
        <c:axId val="561588224"/>
        <c:axId val="540433152"/>
      </c:barChart>
      <c:catAx>
        <c:axId val="561588224"/>
        <c:scaling>
          <c:orientation val="minMax"/>
        </c:scaling>
        <c:delete val="0"/>
        <c:axPos val="l"/>
        <c:numFmt formatCode="General" sourceLinked="0"/>
        <c:majorTickMark val="out"/>
        <c:minorTickMark val="none"/>
        <c:tickLblPos val="nextTo"/>
        <c:txPr>
          <a:bodyPr/>
          <a:lstStyle/>
          <a:p>
            <a:pPr>
              <a:defRPr lang="en-US" sz="1100"/>
            </a:pPr>
            <a:endParaRPr lang="en-US"/>
          </a:p>
        </c:txPr>
        <c:crossAx val="540433152"/>
        <c:crosses val="autoZero"/>
        <c:auto val="1"/>
        <c:lblAlgn val="ctr"/>
        <c:lblOffset val="100"/>
        <c:noMultiLvlLbl val="0"/>
      </c:catAx>
      <c:valAx>
        <c:axId val="540433152"/>
        <c:scaling>
          <c:orientation val="minMax"/>
        </c:scaling>
        <c:delete val="0"/>
        <c:axPos val="b"/>
        <c:majorGridlines/>
        <c:numFmt formatCode="0%" sourceLinked="1"/>
        <c:majorTickMark val="out"/>
        <c:minorTickMark val="none"/>
        <c:tickLblPos val="nextTo"/>
        <c:txPr>
          <a:bodyPr/>
          <a:lstStyle/>
          <a:p>
            <a:pPr>
              <a:defRPr lang="en-US"/>
            </a:pPr>
            <a:endParaRPr lang="en-US"/>
          </a:p>
        </c:txPr>
        <c:crossAx val="561588224"/>
        <c:crosses val="autoZero"/>
        <c:crossBetween val="between"/>
      </c:valAx>
      <c:spPr>
        <a:solidFill>
          <a:sysClr val="window" lastClr="FFFFFF"/>
        </a:solidFill>
        <a:ln>
          <a:solidFill>
            <a:schemeClr val="tx1">
              <a:lumMod val="50000"/>
              <a:lumOff val="50000"/>
            </a:schemeClr>
          </a:solidFill>
        </a:ln>
      </c:spPr>
    </c:plotArea>
    <c:legend>
      <c:legendPos val="b"/>
      <c:layout>
        <c:manualLayout>
          <c:xMode val="edge"/>
          <c:yMode val="edge"/>
          <c:x val="0.20374868847542099"/>
          <c:y val="0.8639340964200618"/>
          <c:w val="0.71957332350187364"/>
          <c:h val="0.10379178534746562"/>
        </c:manualLayout>
      </c:layout>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Septage collection and treatment</a:t>
            </a:r>
          </a:p>
        </c:rich>
      </c:tx>
      <c:layout>
        <c:manualLayout>
          <c:xMode val="edge"/>
          <c:yMode val="edge"/>
          <c:x val="0.31326207323836941"/>
          <c:y val="1.8169412004691722E-2"/>
        </c:manualLayout>
      </c:layout>
      <c:overlay val="1"/>
      <c:spPr>
        <a:noFill/>
      </c:spPr>
    </c:title>
    <c:autoTitleDeleted val="0"/>
    <c:plotArea>
      <c:layout>
        <c:manualLayout>
          <c:layoutTarget val="inner"/>
          <c:xMode val="edge"/>
          <c:yMode val="edge"/>
          <c:x val="8.8096602269947061E-2"/>
          <c:y val="9.4373195981437244E-2"/>
          <c:w val="0.87595894073787761"/>
          <c:h val="0.64194305555555853"/>
        </c:manualLayout>
      </c:layout>
      <c:areaChart>
        <c:grouping val="standard"/>
        <c:varyColors val="0"/>
        <c:ser>
          <c:idx val="1"/>
          <c:order val="0"/>
          <c:tx>
            <c:strRef>
              <c:f>'WW calcu'!$C$1088</c:f>
              <c:strCache>
                <c:ptCount val="1"/>
                <c:pt idx="0">
                  <c:v>Septage collected</c:v>
                </c:pt>
              </c:strCache>
            </c:strRef>
          </c:tx>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calcu'!$D$1088:$N$1088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F9A8-475C-82F7-E41F238FBF28}"/>
            </c:ext>
          </c:extLst>
        </c:ser>
        <c:ser>
          <c:idx val="2"/>
          <c:order val="1"/>
          <c:tx>
            <c:strRef>
              <c:f>'WW calcu'!$C$1089</c:f>
              <c:strCache>
                <c:ptCount val="1"/>
                <c:pt idx="0">
                  <c:v>Septage treated</c:v>
                </c:pt>
              </c:strCache>
            </c:strRef>
          </c:tx>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calcu'!$D$1089:$N$1089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F9A8-475C-82F7-E41F238FBF28}"/>
            </c:ext>
          </c:extLst>
        </c:ser>
        <c:ser>
          <c:idx val="3"/>
          <c:order val="2"/>
          <c:tx>
            <c:strRef>
              <c:f>'WW calcu'!$C$1090</c:f>
              <c:strCache>
                <c:ptCount val="1"/>
                <c:pt idx="0">
                  <c:v>Septage by-product derived from treatment</c:v>
                </c:pt>
              </c:strCache>
            </c:strRef>
          </c:tx>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calcu'!$D$1090:$N$1090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F9A8-475C-82F7-E41F238FBF28}"/>
            </c:ext>
          </c:extLst>
        </c:ser>
        <c:ser>
          <c:idx val="0"/>
          <c:order val="3"/>
          <c:tx>
            <c:strRef>
              <c:f>'WW calcu'!$C$1091</c:f>
              <c:strCache>
                <c:ptCount val="1"/>
                <c:pt idx="0">
                  <c:v>Septage reused</c:v>
                </c:pt>
              </c:strCache>
            </c:strRef>
          </c:tx>
          <c:spPr>
            <a:solidFill>
              <a:srgbClr val="C35D09"/>
            </a:solidFill>
            <a:ln w="25400">
              <a:noFill/>
            </a:ln>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calcu'!$D$1091:$N$1091</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F9A8-475C-82F7-E41F238FBF28}"/>
            </c:ext>
          </c:extLst>
        </c:ser>
        <c:ser>
          <c:idx val="5"/>
          <c:order val="4"/>
          <c:tx>
            <c:strRef>
              <c:f>'WW calcu'!$C$1087</c:f>
              <c:strCache>
                <c:ptCount val="1"/>
                <c:pt idx="0">
                  <c:v>Septage generated </c:v>
                </c:pt>
              </c:strCache>
            </c:strRef>
          </c:tx>
          <c:spPr>
            <a:noFill/>
            <a:ln w="38100">
              <a:solidFill>
                <a:sysClr val="windowText" lastClr="000000"/>
              </a:solidFill>
              <a:prstDash val="sysDash"/>
            </a:ln>
            <a:effectLst>
              <a:outerShdw blurRad="50800" dist="38100" dir="2700000" algn="tl" rotWithShape="0">
                <a:prstClr val="black">
                  <a:alpha val="40000"/>
                </a:prstClr>
              </a:outerShdw>
            </a:effectLst>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calcu'!$D$1087:$N$1087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4-F9A8-475C-82F7-E41F238FBF28}"/>
            </c:ext>
          </c:extLst>
        </c:ser>
        <c:dLbls>
          <c:showLegendKey val="0"/>
          <c:showVal val="1"/>
          <c:showCatName val="0"/>
          <c:showSerName val="0"/>
          <c:showPercent val="0"/>
          <c:showBubbleSize val="0"/>
        </c:dLbls>
        <c:axId val="580932096"/>
        <c:axId val="580873024"/>
      </c:areaChart>
      <c:catAx>
        <c:axId val="580932096"/>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580873024"/>
        <c:crosses val="autoZero"/>
        <c:auto val="1"/>
        <c:lblAlgn val="ctr"/>
        <c:lblOffset val="100"/>
        <c:noMultiLvlLbl val="0"/>
      </c:catAx>
      <c:valAx>
        <c:axId val="580873024"/>
        <c:scaling>
          <c:orientation val="minMax"/>
        </c:scaling>
        <c:delete val="0"/>
        <c:axPos val="l"/>
        <c:majorGridlines/>
        <c:title>
          <c:tx>
            <c:rich>
              <a:bodyPr rot="-5400000" vert="horz"/>
              <a:lstStyle/>
              <a:p>
                <a:pPr>
                  <a:defRPr lang="en-US" sz="1200">
                    <a:solidFill>
                      <a:schemeClr val="bg1"/>
                    </a:solidFill>
                  </a:defRPr>
                </a:pPr>
                <a:r>
                  <a:rPr lang="en-US" sz="1200">
                    <a:solidFill>
                      <a:schemeClr val="bg1"/>
                    </a:solidFill>
                  </a:rPr>
                  <a:t>cu.m. / month</a:t>
                </a:r>
              </a:p>
            </c:rich>
          </c:tx>
          <c:layout>
            <c:manualLayout>
              <c:xMode val="edge"/>
              <c:yMode val="edge"/>
              <c:x val="4.8921820374439847E-3"/>
              <c:y val="0.33931191979898861"/>
            </c:manualLayout>
          </c:layout>
          <c:overlay val="0"/>
        </c:title>
        <c:numFmt formatCode="#,##0" sourceLinked="0"/>
        <c:majorTickMark val="out"/>
        <c:minorTickMark val="none"/>
        <c:tickLblPos val="nextTo"/>
        <c:txPr>
          <a:bodyPr rot="0"/>
          <a:lstStyle/>
          <a:p>
            <a:pPr>
              <a:defRPr lang="en-US" sz="1100">
                <a:solidFill>
                  <a:schemeClr val="bg1"/>
                </a:solidFill>
              </a:defRPr>
            </a:pPr>
            <a:endParaRPr lang="en-US"/>
          </a:p>
        </c:txPr>
        <c:crossAx val="580932096"/>
        <c:crosses val="autoZero"/>
        <c:crossBetween val="midCat"/>
      </c:valAx>
    </c:plotArea>
    <c:legend>
      <c:legendPos val="b"/>
      <c:layout>
        <c:manualLayout>
          <c:xMode val="edge"/>
          <c:yMode val="edge"/>
          <c:x val="1.8891842219895663E-2"/>
          <c:y val="0.82989837962962965"/>
          <c:w val="0.94489804975198866"/>
          <c:h val="0.16129930555555574"/>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Access to household level adequate sanitation system - CITY </a:t>
            </a:r>
            <a:endParaRPr lang="en-US"/>
          </a:p>
        </c:rich>
      </c:tx>
      <c:layout>
        <c:manualLayout>
          <c:xMode val="edge"/>
          <c:yMode val="edge"/>
          <c:x val="0.16841581490159771"/>
          <c:y val="1.0819934360077185E-2"/>
        </c:manualLayout>
      </c:layout>
      <c:overlay val="1"/>
      <c:spPr>
        <a:noFill/>
      </c:spPr>
    </c:title>
    <c:autoTitleDeleted val="0"/>
    <c:plotArea>
      <c:layout>
        <c:manualLayout>
          <c:layoutTarget val="inner"/>
          <c:xMode val="edge"/>
          <c:yMode val="edge"/>
          <c:x val="9.9021178014379582E-2"/>
          <c:y val="8.6845924247365605E-2"/>
          <c:w val="0.8650341294517111"/>
          <c:h val="0.6821129033703085"/>
        </c:manualLayout>
      </c:layout>
      <c:areaChart>
        <c:grouping val="standard"/>
        <c:varyColors val="0"/>
        <c:ser>
          <c:idx val="0"/>
          <c:order val="0"/>
          <c:tx>
            <c:strRef>
              <c:f>'WW calcu'!$C$1054</c:f>
              <c:strCache>
                <c:ptCount val="1"/>
                <c:pt idx="0">
                  <c:v>Unsafe sanitation disposal system</c:v>
                </c:pt>
              </c:strCache>
            </c:strRef>
          </c:tx>
          <c:spPr>
            <a:ln w="25400">
              <a:noFill/>
            </a:ln>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calcu'!$D$1054:$N$1054</c:f>
              <c:numCache>
                <c:formatCode>_(* #,##0_);_(* \(#,##0\);_(* "-"??_);_(@_)</c:formatCode>
                <c:ptCount val="11"/>
                <c:pt idx="0">
                  <c:v>4642</c:v>
                </c:pt>
                <c:pt idx="1">
                  <c:v>5301</c:v>
                </c:pt>
                <c:pt idx="2">
                  <c:v>5960</c:v>
                </c:pt>
                <c:pt idx="3">
                  <c:v>6619</c:v>
                </c:pt>
                <c:pt idx="4">
                  <c:v>7278.0000000000009</c:v>
                </c:pt>
                <c:pt idx="5">
                  <c:v>7937</c:v>
                </c:pt>
                <c:pt idx="6">
                  <c:v>7937</c:v>
                </c:pt>
                <c:pt idx="7">
                  <c:v>7937</c:v>
                </c:pt>
                <c:pt idx="8">
                  <c:v>7937</c:v>
                </c:pt>
                <c:pt idx="9">
                  <c:v>7937</c:v>
                </c:pt>
                <c:pt idx="10">
                  <c:v>7937</c:v>
                </c:pt>
              </c:numCache>
            </c:numRef>
          </c:val>
          <c:extLst xmlns:c16r2="http://schemas.microsoft.com/office/drawing/2015/06/chart">
            <c:ext xmlns:c16="http://schemas.microsoft.com/office/drawing/2014/chart" uri="{C3380CC4-5D6E-409C-BE32-E72D297353CC}">
              <c16:uniqueId val="{00000000-AD62-45F1-A52A-5308099380E8}"/>
            </c:ext>
          </c:extLst>
        </c:ser>
        <c:ser>
          <c:idx val="2"/>
          <c:order val="1"/>
          <c:tx>
            <c:strRef>
              <c:f>'WW calcu'!$C$1053</c:f>
              <c:strCache>
                <c:ptCount val="1"/>
                <c:pt idx="0">
                  <c:v>On-site sanitation with soak pits</c:v>
                </c:pt>
              </c:strCache>
            </c:strRef>
          </c:tx>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calcu'!$D$1053:$N$1053</c:f>
              <c:numCache>
                <c:formatCode>_(* #,##0_);_(* \(#,##0\);_(* "-"??_);_(@_)</c:formatCode>
                <c:ptCount val="11"/>
                <c:pt idx="0">
                  <c:v>424</c:v>
                </c:pt>
                <c:pt idx="1">
                  <c:v>1926.6000000000001</c:v>
                </c:pt>
                <c:pt idx="2">
                  <c:v>3429.2000000000003</c:v>
                </c:pt>
                <c:pt idx="3">
                  <c:v>4931.8</c:v>
                </c:pt>
                <c:pt idx="4">
                  <c:v>6434.4000000000005</c:v>
                </c:pt>
                <c:pt idx="5">
                  <c:v>7937</c:v>
                </c:pt>
                <c:pt idx="6">
                  <c:v>7937</c:v>
                </c:pt>
                <c:pt idx="7">
                  <c:v>7937</c:v>
                </c:pt>
                <c:pt idx="8">
                  <c:v>7937</c:v>
                </c:pt>
                <c:pt idx="9">
                  <c:v>7937</c:v>
                </c:pt>
                <c:pt idx="10">
                  <c:v>7937</c:v>
                </c:pt>
              </c:numCache>
            </c:numRef>
          </c:val>
          <c:extLst xmlns:c16r2="http://schemas.microsoft.com/office/drawing/2015/06/chart">
            <c:ext xmlns:c16="http://schemas.microsoft.com/office/drawing/2014/chart" uri="{C3380CC4-5D6E-409C-BE32-E72D297353CC}">
              <c16:uniqueId val="{00000001-AD62-45F1-A52A-5308099380E8}"/>
            </c:ext>
          </c:extLst>
        </c:ser>
        <c:ser>
          <c:idx val="4"/>
          <c:order val="2"/>
          <c:tx>
            <c:strRef>
              <c:f>'WW calcu'!$C$1052</c:f>
              <c:strCache>
                <c:ptCount val="1"/>
                <c:pt idx="0">
                  <c:v>On-site sanitation with settled sewer</c:v>
                </c:pt>
              </c:strCache>
            </c:strRef>
          </c:tx>
          <c:spPr>
            <a:ln w="25400">
              <a:noFill/>
            </a:ln>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calcu'!$D$1052:$N$1052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AD62-45F1-A52A-5308099380E8}"/>
            </c:ext>
          </c:extLst>
        </c:ser>
        <c:ser>
          <c:idx val="1"/>
          <c:order val="3"/>
          <c:tx>
            <c:strRef>
              <c:f>'WW calcu'!$C$1051</c:f>
              <c:strCache>
                <c:ptCount val="1"/>
                <c:pt idx="0">
                  <c:v>New sewerage</c:v>
                </c:pt>
              </c:strCache>
            </c:strRef>
          </c:tx>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calcu'!$D$1051:$N$1051</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AD62-45F1-A52A-5308099380E8}"/>
            </c:ext>
          </c:extLst>
        </c:ser>
        <c:ser>
          <c:idx val="5"/>
          <c:order val="4"/>
          <c:tx>
            <c:strRef>
              <c:f>'WW calcu'!$C$1050</c:f>
              <c:strCache>
                <c:ptCount val="1"/>
                <c:pt idx="0">
                  <c:v>Existing sewerage</c:v>
                </c:pt>
              </c:strCache>
            </c:strRef>
          </c:tx>
          <c:spPr>
            <a:ln w="25400">
              <a:noFill/>
            </a:ln>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calcu'!$D$1050:$N$1050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4-AD62-45F1-A52A-5308099380E8}"/>
            </c:ext>
          </c:extLst>
        </c:ser>
        <c:ser>
          <c:idx val="3"/>
          <c:order val="5"/>
          <c:tx>
            <c:strRef>
              <c:f>'WW calcu'!$C$1055</c:f>
              <c:strCache>
                <c:ptCount val="1"/>
                <c:pt idx="0">
                  <c:v>Benchmark (Total population)</c:v>
                </c:pt>
              </c:strCache>
            </c:strRef>
          </c:tx>
          <c:spPr>
            <a:noFill/>
            <a:ln w="38100">
              <a:solidFill>
                <a:schemeClr val="tx1"/>
              </a:solidFill>
              <a:prstDash val="sysDash"/>
            </a:ln>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calcu'!$D$1055:$N$1055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5-AD62-45F1-A52A-5308099380E8}"/>
            </c:ext>
          </c:extLst>
        </c:ser>
        <c:dLbls>
          <c:showLegendKey val="0"/>
          <c:showVal val="1"/>
          <c:showCatName val="0"/>
          <c:showSerName val="0"/>
          <c:showPercent val="0"/>
          <c:showBubbleSize val="0"/>
        </c:dLbls>
        <c:axId val="580933632"/>
        <c:axId val="580875328"/>
      </c:areaChart>
      <c:catAx>
        <c:axId val="580933632"/>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580875328"/>
        <c:crosses val="autoZero"/>
        <c:auto val="1"/>
        <c:lblAlgn val="ctr"/>
        <c:lblOffset val="100"/>
        <c:noMultiLvlLbl val="0"/>
      </c:catAx>
      <c:valAx>
        <c:axId val="580875328"/>
        <c:scaling>
          <c:orientation val="minMax"/>
        </c:scaling>
        <c:delete val="0"/>
        <c:axPos val="l"/>
        <c:majorGridlines/>
        <c:title>
          <c:tx>
            <c:rich>
              <a:bodyPr rot="-5400000" vert="horz"/>
              <a:lstStyle/>
              <a:p>
                <a:pPr>
                  <a:defRPr lang="en-US"/>
                </a:pPr>
                <a:r>
                  <a:rPr lang="en-US" sz="1200">
                    <a:solidFill>
                      <a:schemeClr val="bg1"/>
                    </a:solidFill>
                  </a:rPr>
                  <a:t>No. of households</a:t>
                </a:r>
              </a:p>
            </c:rich>
          </c:tx>
          <c:layout>
            <c:manualLayout>
              <c:xMode val="edge"/>
              <c:yMode val="edge"/>
              <c:x val="7.5108752878933534E-4"/>
              <c:y val="0.29116622922134738"/>
            </c:manualLayout>
          </c:layout>
          <c:overlay val="0"/>
        </c:title>
        <c:numFmt formatCode="#,##0" sourceLinked="0"/>
        <c:majorTickMark val="out"/>
        <c:minorTickMark val="none"/>
        <c:tickLblPos val="nextTo"/>
        <c:txPr>
          <a:bodyPr rot="0"/>
          <a:lstStyle/>
          <a:p>
            <a:pPr>
              <a:defRPr lang="en-US" sz="1100">
                <a:solidFill>
                  <a:schemeClr val="bg1"/>
                </a:solidFill>
              </a:defRPr>
            </a:pPr>
            <a:endParaRPr lang="en-US"/>
          </a:p>
        </c:txPr>
        <c:crossAx val="580933632"/>
        <c:crosses val="autoZero"/>
        <c:crossBetween val="midCat"/>
      </c:valAx>
    </c:plotArea>
    <c:legend>
      <c:legendPos val="b"/>
      <c:layout>
        <c:manualLayout>
          <c:xMode val="edge"/>
          <c:yMode val="edge"/>
          <c:x val="3.7958609707864884E-3"/>
          <c:y val="0.85738057969196657"/>
          <c:w val="0.99620413902921356"/>
          <c:h val="0.14261942030803321"/>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Access to household level adequate sanitation system - SLUMS </a:t>
            </a:r>
            <a:endParaRPr lang="en-US"/>
          </a:p>
        </c:rich>
      </c:tx>
      <c:layout>
        <c:manualLayout>
          <c:xMode val="edge"/>
          <c:yMode val="edge"/>
          <c:x val="0.14824453609829749"/>
          <c:y val="1.0819991251093614E-2"/>
        </c:manualLayout>
      </c:layout>
      <c:overlay val="1"/>
      <c:spPr>
        <a:noFill/>
      </c:spPr>
    </c:title>
    <c:autoTitleDeleted val="0"/>
    <c:plotArea>
      <c:layout>
        <c:manualLayout>
          <c:layoutTarget val="inner"/>
          <c:xMode val="edge"/>
          <c:yMode val="edge"/>
          <c:x val="9.5927836700150565E-2"/>
          <c:y val="8.6845924247365605E-2"/>
          <c:w val="0.86812754786981483"/>
          <c:h val="0.68302230277400178"/>
        </c:manualLayout>
      </c:layout>
      <c:areaChart>
        <c:grouping val="standard"/>
        <c:varyColors val="0"/>
        <c:ser>
          <c:idx val="0"/>
          <c:order val="0"/>
          <c:tx>
            <c:strRef>
              <c:f>'WW calcu'!$C$1072</c:f>
              <c:strCache>
                <c:ptCount val="1"/>
                <c:pt idx="0">
                  <c:v>Unsafe sanitation disposal system</c:v>
                </c:pt>
              </c:strCache>
            </c:strRef>
          </c:tx>
          <c:spPr>
            <a:ln w="25400">
              <a:noFill/>
            </a:ln>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calcu'!$D$1072:$N$1072</c:f>
              <c:numCache>
                <c:formatCode>_(* #,##0_);_(* \(#,##0\);_(* "-"??_);_(@_)</c:formatCode>
                <c:ptCount val="11"/>
                <c:pt idx="0">
                  <c:v>191</c:v>
                </c:pt>
                <c:pt idx="1">
                  <c:v>224</c:v>
                </c:pt>
                <c:pt idx="2">
                  <c:v>257</c:v>
                </c:pt>
                <c:pt idx="3">
                  <c:v>290</c:v>
                </c:pt>
                <c:pt idx="4">
                  <c:v>323</c:v>
                </c:pt>
                <c:pt idx="5">
                  <c:v>356</c:v>
                </c:pt>
                <c:pt idx="6">
                  <c:v>356</c:v>
                </c:pt>
                <c:pt idx="7">
                  <c:v>356</c:v>
                </c:pt>
                <c:pt idx="8">
                  <c:v>356</c:v>
                </c:pt>
                <c:pt idx="9">
                  <c:v>356</c:v>
                </c:pt>
                <c:pt idx="10">
                  <c:v>356</c:v>
                </c:pt>
              </c:numCache>
            </c:numRef>
          </c:val>
          <c:extLst xmlns:c16r2="http://schemas.microsoft.com/office/drawing/2015/06/chart">
            <c:ext xmlns:c16="http://schemas.microsoft.com/office/drawing/2014/chart" uri="{C3380CC4-5D6E-409C-BE32-E72D297353CC}">
              <c16:uniqueId val="{00000000-1AD2-4731-9272-90E443CF14C6}"/>
            </c:ext>
          </c:extLst>
        </c:ser>
        <c:ser>
          <c:idx val="2"/>
          <c:order val="1"/>
          <c:tx>
            <c:strRef>
              <c:f>'WW calcu'!$C$1071</c:f>
              <c:strCache>
                <c:ptCount val="1"/>
                <c:pt idx="0">
                  <c:v>On-site sanitation with soak pits</c:v>
                </c:pt>
              </c:strCache>
            </c:strRef>
          </c:tx>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calcu'!$D$1071:$N$1071</c:f>
              <c:numCache>
                <c:formatCode>_(* #,##0_);_(* \(#,##0\);_(* "-"??_);_(@_)</c:formatCode>
                <c:ptCount val="11"/>
                <c:pt idx="0">
                  <c:v>0</c:v>
                </c:pt>
                <c:pt idx="1">
                  <c:v>71.2</c:v>
                </c:pt>
                <c:pt idx="2">
                  <c:v>142.4</c:v>
                </c:pt>
                <c:pt idx="3">
                  <c:v>213.60000000000002</c:v>
                </c:pt>
                <c:pt idx="4">
                  <c:v>284.8</c:v>
                </c:pt>
                <c:pt idx="5">
                  <c:v>356</c:v>
                </c:pt>
                <c:pt idx="6">
                  <c:v>356</c:v>
                </c:pt>
                <c:pt idx="7">
                  <c:v>356</c:v>
                </c:pt>
                <c:pt idx="8">
                  <c:v>356</c:v>
                </c:pt>
                <c:pt idx="9">
                  <c:v>356</c:v>
                </c:pt>
                <c:pt idx="10">
                  <c:v>356</c:v>
                </c:pt>
              </c:numCache>
            </c:numRef>
          </c:val>
          <c:extLst xmlns:c16r2="http://schemas.microsoft.com/office/drawing/2015/06/chart">
            <c:ext xmlns:c16="http://schemas.microsoft.com/office/drawing/2014/chart" uri="{C3380CC4-5D6E-409C-BE32-E72D297353CC}">
              <c16:uniqueId val="{00000001-1AD2-4731-9272-90E443CF14C6}"/>
            </c:ext>
          </c:extLst>
        </c:ser>
        <c:ser>
          <c:idx val="4"/>
          <c:order val="2"/>
          <c:tx>
            <c:strRef>
              <c:f>'WW calcu'!$C$1070</c:f>
              <c:strCache>
                <c:ptCount val="1"/>
                <c:pt idx="0">
                  <c:v>On-site sanitation with Settled sewer</c:v>
                </c:pt>
              </c:strCache>
            </c:strRef>
          </c:tx>
          <c:spPr>
            <a:ln w="25400">
              <a:noFill/>
            </a:ln>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calcu'!$D$1070:$N$1070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1AD2-4731-9272-90E443CF14C6}"/>
            </c:ext>
          </c:extLst>
        </c:ser>
        <c:ser>
          <c:idx val="1"/>
          <c:order val="3"/>
          <c:tx>
            <c:strRef>
              <c:f>'WW calcu'!$C$1069</c:f>
              <c:strCache>
                <c:ptCount val="1"/>
                <c:pt idx="0">
                  <c:v>New sewerage</c:v>
                </c:pt>
              </c:strCache>
            </c:strRef>
          </c:tx>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calcu'!$D$1069:$N$1069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1AD2-4731-9272-90E443CF14C6}"/>
            </c:ext>
          </c:extLst>
        </c:ser>
        <c:ser>
          <c:idx val="5"/>
          <c:order val="4"/>
          <c:tx>
            <c:strRef>
              <c:f>'WW calcu'!$C$1068</c:f>
              <c:strCache>
                <c:ptCount val="1"/>
                <c:pt idx="0">
                  <c:v>Existing sewerage</c:v>
                </c:pt>
              </c:strCache>
            </c:strRef>
          </c:tx>
          <c:spPr>
            <a:ln w="25400">
              <a:noFill/>
            </a:ln>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calcu'!$D$1068:$N$1068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4-1AD2-4731-9272-90E443CF14C6}"/>
            </c:ext>
          </c:extLst>
        </c:ser>
        <c:ser>
          <c:idx val="3"/>
          <c:order val="5"/>
          <c:tx>
            <c:strRef>
              <c:f>'WW calcu'!$C$1073</c:f>
              <c:strCache>
                <c:ptCount val="1"/>
                <c:pt idx="0">
                  <c:v>Benchmark (Total population)</c:v>
                </c:pt>
              </c:strCache>
            </c:strRef>
          </c:tx>
          <c:spPr>
            <a:noFill/>
            <a:ln w="38100">
              <a:solidFill>
                <a:schemeClr val="tx1"/>
              </a:solidFill>
              <a:prstDash val="sysDash"/>
            </a:ln>
          </c:spPr>
          <c:dLbls>
            <c:delete val="1"/>
          </c:dLbls>
          <c:cat>
            <c:numRef>
              <c:f>'WW calcu'!$D$1044:$N$1044</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'WW calcu'!$D$1073:$N$1073</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5-1AD2-4731-9272-90E443CF14C6}"/>
            </c:ext>
          </c:extLst>
        </c:ser>
        <c:dLbls>
          <c:showLegendKey val="0"/>
          <c:showVal val="1"/>
          <c:showCatName val="0"/>
          <c:showSerName val="0"/>
          <c:showPercent val="0"/>
          <c:showBubbleSize val="0"/>
        </c:dLbls>
        <c:axId val="580934656"/>
        <c:axId val="580877632"/>
      </c:areaChart>
      <c:catAx>
        <c:axId val="580934656"/>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580877632"/>
        <c:crosses val="autoZero"/>
        <c:auto val="1"/>
        <c:lblAlgn val="ctr"/>
        <c:lblOffset val="100"/>
        <c:noMultiLvlLbl val="0"/>
      </c:catAx>
      <c:valAx>
        <c:axId val="580877632"/>
        <c:scaling>
          <c:orientation val="minMax"/>
        </c:scaling>
        <c:delete val="0"/>
        <c:axPos val="l"/>
        <c:majorGridlines/>
        <c:title>
          <c:tx>
            <c:rich>
              <a:bodyPr rot="-5400000" vert="horz"/>
              <a:lstStyle/>
              <a:p>
                <a:pPr>
                  <a:defRPr lang="en-US"/>
                </a:pPr>
                <a:r>
                  <a:rPr lang="en-US" sz="1200">
                    <a:solidFill>
                      <a:schemeClr val="bg1"/>
                    </a:solidFill>
                  </a:rPr>
                  <a:t>No. of households</a:t>
                </a:r>
              </a:p>
            </c:rich>
          </c:tx>
          <c:layout>
            <c:manualLayout>
              <c:xMode val="edge"/>
              <c:yMode val="edge"/>
              <c:x val="1.5654407368863956E-3"/>
              <c:y val="0.29439873140857398"/>
            </c:manualLayout>
          </c:layout>
          <c:overlay val="0"/>
        </c:title>
        <c:numFmt formatCode="#,##0" sourceLinked="0"/>
        <c:majorTickMark val="out"/>
        <c:minorTickMark val="none"/>
        <c:tickLblPos val="nextTo"/>
        <c:txPr>
          <a:bodyPr rot="0"/>
          <a:lstStyle/>
          <a:p>
            <a:pPr>
              <a:defRPr lang="en-US" sz="1100">
                <a:solidFill>
                  <a:schemeClr val="bg1"/>
                </a:solidFill>
              </a:defRPr>
            </a:pPr>
            <a:endParaRPr lang="en-US"/>
          </a:p>
        </c:txPr>
        <c:crossAx val="580934656"/>
        <c:crosses val="autoZero"/>
        <c:crossBetween val="midCat"/>
      </c:valAx>
    </c:plotArea>
    <c:legend>
      <c:legendPos val="b"/>
      <c:layout>
        <c:manualLayout>
          <c:xMode val="edge"/>
          <c:yMode val="edge"/>
          <c:x val="2.1841871541847285E-3"/>
          <c:y val="0.85824328703703701"/>
          <c:w val="0.99592894380109576"/>
          <c:h val="0.13267341287821577"/>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Cost recovery for solid</a:t>
            </a:r>
            <a:r>
              <a:rPr lang="en-US" baseline="0"/>
              <a:t> waste services</a:t>
            </a:r>
            <a:endParaRPr lang="en-US"/>
          </a:p>
        </c:rich>
      </c:tx>
      <c:layout>
        <c:manualLayout>
          <c:xMode val="edge"/>
          <c:yMode val="edge"/>
          <c:x val="0.28941515075775881"/>
          <c:y val="2.0961752894637108E-2"/>
        </c:manualLayout>
      </c:layout>
      <c:overlay val="1"/>
    </c:title>
    <c:autoTitleDeleted val="0"/>
    <c:plotArea>
      <c:layout>
        <c:manualLayout>
          <c:layoutTarget val="inner"/>
          <c:xMode val="edge"/>
          <c:yMode val="edge"/>
          <c:x val="8.5968316941909345E-2"/>
          <c:y val="0.14506020918105134"/>
          <c:w val="0.87821911145216491"/>
          <c:h val="0.66749330558793651"/>
        </c:manualLayout>
      </c:layout>
      <c:areaChart>
        <c:grouping val="standard"/>
        <c:varyColors val="0"/>
        <c:ser>
          <c:idx val="0"/>
          <c:order val="0"/>
          <c:tx>
            <c:strRef>
              <c:f>'MSW calcu'!$D$293</c:f>
              <c:strCache>
                <c:ptCount val="1"/>
                <c:pt idx="0">
                  <c:v>Revenue income</c:v>
                </c:pt>
              </c:strCache>
            </c:strRef>
          </c:tx>
          <c:spPr>
            <a:solidFill>
              <a:srgbClr val="4F81BD">
                <a:alpha val="54000"/>
              </a:srgbClr>
            </a:solidFill>
            <a:ln>
              <a:solidFill>
                <a:sysClr val="windowText" lastClr="000000"/>
              </a:solidFill>
            </a:ln>
          </c:spPr>
          <c:cat>
            <c:numRef>
              <c:f>'MSW calcu'!$F$292:$P$292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calcu'!$F$293:$P$293</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9223-43FC-9A6A-C0D38E9123DF}"/>
            </c:ext>
          </c:extLst>
        </c:ser>
        <c:ser>
          <c:idx val="1"/>
          <c:order val="1"/>
          <c:tx>
            <c:strRef>
              <c:f>'MSW calcu'!$D$294</c:f>
              <c:strCache>
                <c:ptCount val="1"/>
                <c:pt idx="0">
                  <c:v>Revenue expenditure</c:v>
                </c:pt>
              </c:strCache>
            </c:strRef>
          </c:tx>
          <c:spPr>
            <a:solidFill>
              <a:srgbClr val="C0504D">
                <a:alpha val="35000"/>
              </a:srgbClr>
            </a:solidFill>
            <a:ln>
              <a:solidFill>
                <a:schemeClr val="tx1"/>
              </a:solidFill>
            </a:ln>
          </c:spPr>
          <c:cat>
            <c:numRef>
              <c:f>'MSW calcu'!$F$292:$P$292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calcu'!$F$294:$P$294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9223-43FC-9A6A-C0D38E9123DF}"/>
            </c:ext>
          </c:extLst>
        </c:ser>
        <c:dLbls>
          <c:showLegendKey val="0"/>
          <c:showVal val="0"/>
          <c:showCatName val="0"/>
          <c:showSerName val="0"/>
          <c:showPercent val="0"/>
          <c:showBubbleSize val="0"/>
        </c:dLbls>
        <c:axId val="581428736"/>
        <c:axId val="582162624"/>
      </c:areaChart>
      <c:catAx>
        <c:axId val="581428736"/>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a:pPr>
            <a:endParaRPr lang="en-US"/>
          </a:p>
        </c:txPr>
        <c:crossAx val="582162624"/>
        <c:crosses val="autoZero"/>
        <c:auto val="1"/>
        <c:lblAlgn val="ctr"/>
        <c:lblOffset val="100"/>
        <c:noMultiLvlLbl val="0"/>
      </c:catAx>
      <c:valAx>
        <c:axId val="582162624"/>
        <c:scaling>
          <c:orientation val="minMax"/>
        </c:scaling>
        <c:delete val="0"/>
        <c:axPos val="l"/>
        <c:majorGridlines/>
        <c:title>
          <c:tx>
            <c:strRef>
              <c:f>'General info'!$E$43:$G$43</c:f>
              <c:strCache>
                <c:ptCount val="1"/>
                <c:pt idx="0">
                  <c:v>INR Lakhs</c:v>
                </c:pt>
              </c:strCache>
            </c:strRef>
          </c:tx>
          <c:overlay val="0"/>
          <c:txPr>
            <a:bodyPr rot="-5400000" vert="horz"/>
            <a:lstStyle/>
            <a:p>
              <a:pPr>
                <a:defRPr lang="en-US" sz="1200"/>
              </a:pPr>
              <a:endParaRPr lang="en-US"/>
            </a:p>
          </c:txPr>
        </c:title>
        <c:numFmt formatCode="_(* #,##0_);_(* \(#,##0\);_(* &quot;-&quot;??_);_(@_)" sourceLinked="1"/>
        <c:majorTickMark val="out"/>
        <c:minorTickMark val="none"/>
        <c:tickLblPos val="nextTo"/>
        <c:txPr>
          <a:bodyPr/>
          <a:lstStyle/>
          <a:p>
            <a:pPr>
              <a:defRPr lang="en-US" sz="1100"/>
            </a:pPr>
            <a:endParaRPr lang="en-US"/>
          </a:p>
        </c:txPr>
        <c:crossAx val="581428736"/>
        <c:crosses val="autoZero"/>
        <c:crossBetween val="midCat"/>
      </c:valAx>
    </c:plotArea>
    <c:legend>
      <c:legendPos val="b"/>
      <c:layout>
        <c:manualLayout>
          <c:xMode val="edge"/>
          <c:yMode val="edge"/>
          <c:x val="0.14755747181285594"/>
          <c:y val="0.91765522137601663"/>
          <c:w val="0.71397549479015165"/>
          <c:h val="8.2344778623983497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Financial outline for efficiency</a:t>
            </a:r>
            <a:r>
              <a:rPr lang="en-US" baseline="0"/>
              <a:t> in service operations</a:t>
            </a:r>
            <a:endParaRPr lang="en-US"/>
          </a:p>
        </c:rich>
      </c:tx>
      <c:layout>
        <c:manualLayout>
          <c:xMode val="edge"/>
          <c:yMode val="edge"/>
          <c:x val="0.21656077838256824"/>
          <c:y val="2.0961983021220602E-2"/>
        </c:manualLayout>
      </c:layout>
      <c:overlay val="1"/>
    </c:title>
    <c:autoTitleDeleted val="0"/>
    <c:plotArea>
      <c:layout>
        <c:manualLayout>
          <c:layoutTarget val="inner"/>
          <c:xMode val="edge"/>
          <c:yMode val="edge"/>
          <c:x val="8.7532211332338461E-2"/>
          <c:y val="0.11249520717478972"/>
          <c:w val="0.87665509239433337"/>
          <c:h val="0.72290603495111061"/>
        </c:manualLayout>
      </c:layout>
      <c:areaChart>
        <c:grouping val="standard"/>
        <c:varyColors val="0"/>
        <c:ser>
          <c:idx val="0"/>
          <c:order val="0"/>
          <c:tx>
            <c:strRef>
              <c:f>'MSW calcu'!$D$288</c:f>
              <c:strCache>
                <c:ptCount val="1"/>
                <c:pt idx="0">
                  <c:v>Capex</c:v>
                </c:pt>
              </c:strCache>
            </c:strRef>
          </c:tx>
          <c:spPr>
            <a:solidFill>
              <a:srgbClr val="C0504D">
                <a:alpha val="50000"/>
              </a:srgbClr>
            </a:solidFill>
            <a:ln>
              <a:solidFill>
                <a:sysClr val="windowText" lastClr="000000"/>
              </a:solidFill>
            </a:ln>
          </c:spPr>
          <c:cat>
            <c:numRef>
              <c:f>'MSW calcu'!$F$292:$P$292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calcu'!$F$288:$P$288</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FDD6-452B-8C0D-FF86A0476624}"/>
            </c:ext>
          </c:extLst>
        </c:ser>
        <c:ser>
          <c:idx val="1"/>
          <c:order val="1"/>
          <c:tx>
            <c:strRef>
              <c:f>'MSW calcu'!$D$289</c:f>
              <c:strCache>
                <c:ptCount val="1"/>
                <c:pt idx="0">
                  <c:v>O&amp;M</c:v>
                </c:pt>
              </c:strCache>
            </c:strRef>
          </c:tx>
          <c:spPr>
            <a:solidFill>
              <a:srgbClr val="FFC000">
                <a:alpha val="51000"/>
              </a:srgbClr>
            </a:solidFill>
            <a:ln>
              <a:solidFill>
                <a:schemeClr val="tx1"/>
              </a:solidFill>
            </a:ln>
          </c:spPr>
          <c:cat>
            <c:numRef>
              <c:f>'MSW calcu'!$F$292:$P$292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calcu'!$F$289:$P$289</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FDD6-452B-8C0D-FF86A0476624}"/>
            </c:ext>
          </c:extLst>
        </c:ser>
        <c:ser>
          <c:idx val="2"/>
          <c:order val="2"/>
          <c:tx>
            <c:strRef>
              <c:f>'MSW calcu'!$D$290</c:f>
              <c:strCache>
                <c:ptCount val="1"/>
                <c:pt idx="0">
                  <c:v>Revenue</c:v>
                </c:pt>
              </c:strCache>
            </c:strRef>
          </c:tx>
          <c:spPr>
            <a:solidFill>
              <a:srgbClr val="4F81BD">
                <a:alpha val="35000"/>
              </a:srgbClr>
            </a:solidFill>
            <a:ln>
              <a:solidFill>
                <a:schemeClr val="tx1"/>
              </a:solidFill>
            </a:ln>
          </c:spPr>
          <c:cat>
            <c:numRef>
              <c:f>'MSW calcu'!$F$292:$P$292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calcu'!$F$290:$P$290</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FDD6-452B-8C0D-FF86A0476624}"/>
            </c:ext>
          </c:extLst>
        </c:ser>
        <c:dLbls>
          <c:showLegendKey val="0"/>
          <c:showVal val="0"/>
          <c:showCatName val="0"/>
          <c:showSerName val="0"/>
          <c:showPercent val="0"/>
          <c:showBubbleSize val="0"/>
        </c:dLbls>
        <c:axId val="581429248"/>
        <c:axId val="582197824"/>
      </c:areaChart>
      <c:catAx>
        <c:axId val="581429248"/>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100"/>
            </a:pPr>
            <a:endParaRPr lang="en-US"/>
          </a:p>
        </c:txPr>
        <c:crossAx val="582197824"/>
        <c:crosses val="autoZero"/>
        <c:auto val="1"/>
        <c:lblAlgn val="ctr"/>
        <c:lblOffset val="100"/>
        <c:noMultiLvlLbl val="0"/>
      </c:catAx>
      <c:valAx>
        <c:axId val="582197824"/>
        <c:scaling>
          <c:orientation val="minMax"/>
        </c:scaling>
        <c:delete val="0"/>
        <c:axPos val="l"/>
        <c:majorGridlines/>
        <c:title>
          <c:tx>
            <c:strRef>
              <c:f>'General info'!$E$43:$G$43</c:f>
              <c:strCache>
                <c:ptCount val="1"/>
                <c:pt idx="0">
                  <c:v>INR Lakhs</c:v>
                </c:pt>
              </c:strCache>
            </c:strRef>
          </c:tx>
          <c:layout>
            <c:manualLayout>
              <c:xMode val="edge"/>
              <c:yMode val="edge"/>
              <c:x val="7.4047643432229504E-4"/>
              <c:y val="0.40496473175417697"/>
            </c:manualLayout>
          </c:layout>
          <c:overlay val="0"/>
          <c:txPr>
            <a:bodyPr rot="-5400000" vert="horz"/>
            <a:lstStyle/>
            <a:p>
              <a:pPr>
                <a:defRPr lang="en-US" sz="1200"/>
              </a:pPr>
              <a:endParaRPr lang="en-US"/>
            </a:p>
          </c:txPr>
        </c:title>
        <c:numFmt formatCode="_(* #,##0.0_);_(* \(#,##0.0\);_(* &quot;-&quot;??_);_(@_)" sourceLinked="1"/>
        <c:majorTickMark val="out"/>
        <c:minorTickMark val="none"/>
        <c:tickLblPos val="nextTo"/>
        <c:txPr>
          <a:bodyPr/>
          <a:lstStyle/>
          <a:p>
            <a:pPr>
              <a:defRPr lang="en-US" sz="1100"/>
            </a:pPr>
            <a:endParaRPr lang="en-US"/>
          </a:p>
        </c:txPr>
        <c:crossAx val="581429248"/>
        <c:crosses val="autoZero"/>
        <c:crossBetween val="midCat"/>
      </c:valAx>
    </c:plotArea>
    <c:legend>
      <c:legendPos val="b"/>
      <c:layout>
        <c:manualLayout>
          <c:xMode val="edge"/>
          <c:yMode val="edge"/>
          <c:x val="0.25639682827589838"/>
          <c:y val="0.92309734499119989"/>
          <c:w val="0.56969407132390903"/>
          <c:h val="5.9493060951634751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Financial outline </a:t>
            </a:r>
            <a:r>
              <a:rPr lang="en-US" baseline="0"/>
              <a:t>for improving service levels and quality</a:t>
            </a:r>
            <a:endParaRPr lang="en-US"/>
          </a:p>
        </c:rich>
      </c:tx>
      <c:layout>
        <c:manualLayout>
          <c:xMode val="edge"/>
          <c:yMode val="edge"/>
          <c:x val="0.17317812749392292"/>
          <c:y val="1.2111021289011661E-2"/>
        </c:manualLayout>
      </c:layout>
      <c:overlay val="1"/>
    </c:title>
    <c:autoTitleDeleted val="0"/>
    <c:plotArea>
      <c:layout>
        <c:manualLayout>
          <c:layoutTarget val="inner"/>
          <c:xMode val="edge"/>
          <c:yMode val="edge"/>
          <c:x val="7.9947146928065982E-2"/>
          <c:y val="9.4038410396938263E-2"/>
          <c:w val="0.88424024070969953"/>
          <c:h val="0.74136274815868286"/>
        </c:manualLayout>
      </c:layout>
      <c:areaChart>
        <c:grouping val="standard"/>
        <c:varyColors val="0"/>
        <c:ser>
          <c:idx val="0"/>
          <c:order val="0"/>
          <c:tx>
            <c:strRef>
              <c:f>'MSW calcu'!$D$279</c:f>
              <c:strCache>
                <c:ptCount val="1"/>
                <c:pt idx="0">
                  <c:v>Capex</c:v>
                </c:pt>
              </c:strCache>
            </c:strRef>
          </c:tx>
          <c:spPr>
            <a:solidFill>
              <a:srgbClr val="C0504D">
                <a:alpha val="50000"/>
              </a:srgbClr>
            </a:solidFill>
            <a:ln>
              <a:solidFill>
                <a:sysClr val="windowText" lastClr="000000"/>
              </a:solidFill>
            </a:ln>
          </c:spPr>
          <c:cat>
            <c:numRef>
              <c:f>'MSW calcu'!$F$292:$P$292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calcu'!$F$279:$P$279</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BDA4-4AAF-9A8A-CC26D010F8D2}"/>
            </c:ext>
          </c:extLst>
        </c:ser>
        <c:ser>
          <c:idx val="1"/>
          <c:order val="1"/>
          <c:tx>
            <c:strRef>
              <c:f>'MSW calcu'!$D$280</c:f>
              <c:strCache>
                <c:ptCount val="1"/>
                <c:pt idx="0">
                  <c:v>O&amp;M</c:v>
                </c:pt>
              </c:strCache>
            </c:strRef>
          </c:tx>
          <c:spPr>
            <a:solidFill>
              <a:srgbClr val="FFC000">
                <a:alpha val="38000"/>
              </a:srgbClr>
            </a:solidFill>
            <a:ln>
              <a:solidFill>
                <a:schemeClr val="tx1"/>
              </a:solidFill>
            </a:ln>
          </c:spPr>
          <c:cat>
            <c:numRef>
              <c:f>'MSW calcu'!$F$292:$P$292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calcu'!$F$280:$P$280</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BDA4-4AAF-9A8A-CC26D010F8D2}"/>
            </c:ext>
          </c:extLst>
        </c:ser>
        <c:ser>
          <c:idx val="2"/>
          <c:order val="2"/>
          <c:tx>
            <c:strRef>
              <c:f>'MSW calcu'!$D$281</c:f>
              <c:strCache>
                <c:ptCount val="1"/>
                <c:pt idx="0">
                  <c:v>Revenue</c:v>
                </c:pt>
              </c:strCache>
            </c:strRef>
          </c:tx>
          <c:spPr>
            <a:solidFill>
              <a:srgbClr val="4F81BD">
                <a:alpha val="45000"/>
              </a:srgbClr>
            </a:solidFill>
            <a:ln>
              <a:solidFill>
                <a:schemeClr val="tx1"/>
              </a:solidFill>
            </a:ln>
          </c:spPr>
          <c:cat>
            <c:numRef>
              <c:f>'MSW calcu'!$F$292:$P$292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calcu'!$F$281:$P$281</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BDA4-4AAF-9A8A-CC26D010F8D2}"/>
            </c:ext>
          </c:extLst>
        </c:ser>
        <c:dLbls>
          <c:showLegendKey val="0"/>
          <c:showVal val="0"/>
          <c:showCatName val="0"/>
          <c:showSerName val="0"/>
          <c:showPercent val="0"/>
          <c:showBubbleSize val="0"/>
        </c:dLbls>
        <c:axId val="40835072"/>
        <c:axId val="582200128"/>
      </c:areaChart>
      <c:catAx>
        <c:axId val="40835072"/>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100"/>
            </a:pPr>
            <a:endParaRPr lang="en-US"/>
          </a:p>
        </c:txPr>
        <c:crossAx val="582200128"/>
        <c:crosses val="autoZero"/>
        <c:auto val="1"/>
        <c:lblAlgn val="ctr"/>
        <c:lblOffset val="100"/>
        <c:noMultiLvlLbl val="0"/>
      </c:catAx>
      <c:valAx>
        <c:axId val="582200128"/>
        <c:scaling>
          <c:orientation val="minMax"/>
        </c:scaling>
        <c:delete val="0"/>
        <c:axPos val="l"/>
        <c:majorGridlines/>
        <c:title>
          <c:tx>
            <c:strRef>
              <c:f>'General info'!$E$43:$G$43</c:f>
              <c:strCache>
                <c:ptCount val="1"/>
                <c:pt idx="0">
                  <c:v>INR Lakhs</c:v>
                </c:pt>
              </c:strCache>
            </c:strRef>
          </c:tx>
          <c:overlay val="0"/>
          <c:txPr>
            <a:bodyPr rot="-5400000" vert="horz"/>
            <a:lstStyle/>
            <a:p>
              <a:pPr>
                <a:defRPr lang="en-US" sz="1200"/>
              </a:pPr>
              <a:endParaRPr lang="en-US"/>
            </a:p>
          </c:txPr>
        </c:title>
        <c:numFmt formatCode="_(* #,##0.0_);_(* \(#,##0.0\);_(* &quot;-&quot;??_);_(@_)" sourceLinked="1"/>
        <c:majorTickMark val="out"/>
        <c:minorTickMark val="none"/>
        <c:tickLblPos val="nextTo"/>
        <c:txPr>
          <a:bodyPr/>
          <a:lstStyle/>
          <a:p>
            <a:pPr>
              <a:defRPr lang="en-US" sz="1100"/>
            </a:pPr>
            <a:endParaRPr lang="en-US"/>
          </a:p>
        </c:txPr>
        <c:crossAx val="40835072"/>
        <c:crosses val="autoZero"/>
        <c:crossBetween val="midCat"/>
      </c:valAx>
    </c:plotArea>
    <c:legend>
      <c:legendPos val="b"/>
      <c:layout>
        <c:manualLayout>
          <c:xMode val="edge"/>
          <c:yMode val="edge"/>
          <c:x val="0.18982378127686941"/>
          <c:y val="0.92593820699148865"/>
          <c:w val="0.64945926202561965"/>
          <c:h val="5.7295326996694693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pPr>
            <a:r>
              <a:rPr lang="en-US"/>
              <a:t>Financial outline of access and coverage</a:t>
            </a:r>
            <a:r>
              <a:rPr lang="en-US" baseline="0"/>
              <a:t> of solid waste services</a:t>
            </a:r>
            <a:endParaRPr lang="en-US"/>
          </a:p>
        </c:rich>
      </c:tx>
      <c:layout>
        <c:manualLayout>
          <c:xMode val="edge"/>
          <c:yMode val="edge"/>
          <c:x val="0.12233857777736837"/>
          <c:y val="3.7616092840034292E-3"/>
        </c:manualLayout>
      </c:layout>
      <c:overlay val="1"/>
    </c:title>
    <c:autoTitleDeleted val="0"/>
    <c:plotArea>
      <c:layout>
        <c:manualLayout>
          <c:layoutTarget val="inner"/>
          <c:xMode val="edge"/>
          <c:yMode val="edge"/>
          <c:x val="8.7598014879961383E-2"/>
          <c:y val="9.4038410396938263E-2"/>
          <c:w val="0.87658931726115563"/>
          <c:h val="0.74136274815868286"/>
        </c:manualLayout>
      </c:layout>
      <c:areaChart>
        <c:grouping val="standard"/>
        <c:varyColors val="0"/>
        <c:ser>
          <c:idx val="0"/>
          <c:order val="0"/>
          <c:tx>
            <c:strRef>
              <c:f>'MSW calcu'!$D$261</c:f>
              <c:strCache>
                <c:ptCount val="1"/>
                <c:pt idx="0">
                  <c:v>Capex</c:v>
                </c:pt>
              </c:strCache>
            </c:strRef>
          </c:tx>
          <c:spPr>
            <a:solidFill>
              <a:srgbClr val="C0504D">
                <a:alpha val="50000"/>
              </a:srgbClr>
            </a:solidFill>
            <a:ln>
              <a:solidFill>
                <a:sysClr val="windowText" lastClr="000000"/>
              </a:solidFill>
            </a:ln>
          </c:spPr>
          <c:cat>
            <c:numRef>
              <c:f>'MSW calcu'!$F$292:$P$292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calcu'!$F$261:$P$261</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A751-4FD9-A965-C208BE62EB1E}"/>
            </c:ext>
          </c:extLst>
        </c:ser>
        <c:ser>
          <c:idx val="1"/>
          <c:order val="1"/>
          <c:tx>
            <c:strRef>
              <c:f>'MSW calcu'!$D$262</c:f>
              <c:strCache>
                <c:ptCount val="1"/>
                <c:pt idx="0">
                  <c:v>O&amp;M</c:v>
                </c:pt>
              </c:strCache>
            </c:strRef>
          </c:tx>
          <c:spPr>
            <a:solidFill>
              <a:srgbClr val="FFC000">
                <a:alpha val="34000"/>
              </a:srgbClr>
            </a:solidFill>
            <a:ln>
              <a:solidFill>
                <a:schemeClr val="tx1"/>
              </a:solidFill>
            </a:ln>
          </c:spPr>
          <c:cat>
            <c:numRef>
              <c:f>'MSW calcu'!$F$292:$P$292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calcu'!$F$262:$P$262</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A751-4FD9-A965-C208BE62EB1E}"/>
            </c:ext>
          </c:extLst>
        </c:ser>
        <c:ser>
          <c:idx val="2"/>
          <c:order val="2"/>
          <c:tx>
            <c:strRef>
              <c:f>'MSW calcu'!$D$263</c:f>
              <c:strCache>
                <c:ptCount val="1"/>
                <c:pt idx="0">
                  <c:v>Revenue</c:v>
                </c:pt>
              </c:strCache>
            </c:strRef>
          </c:tx>
          <c:spPr>
            <a:solidFill>
              <a:srgbClr val="4F81BD">
                <a:alpha val="35000"/>
              </a:srgbClr>
            </a:solidFill>
            <a:ln>
              <a:solidFill>
                <a:schemeClr val="tx1"/>
              </a:solidFill>
            </a:ln>
          </c:spPr>
          <c:cat>
            <c:numRef>
              <c:f>'MSW calcu'!$F$292:$P$292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calcu'!$F$263:$P$263</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A751-4FD9-A965-C208BE62EB1E}"/>
            </c:ext>
          </c:extLst>
        </c:ser>
        <c:dLbls>
          <c:showLegendKey val="0"/>
          <c:showVal val="0"/>
          <c:showCatName val="0"/>
          <c:showSerName val="0"/>
          <c:showPercent val="0"/>
          <c:showBubbleSize val="0"/>
        </c:dLbls>
        <c:axId val="581429760"/>
        <c:axId val="582203008"/>
      </c:areaChart>
      <c:catAx>
        <c:axId val="581429760"/>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100"/>
            </a:pPr>
            <a:endParaRPr lang="en-US"/>
          </a:p>
        </c:txPr>
        <c:crossAx val="582203008"/>
        <c:crosses val="autoZero"/>
        <c:auto val="1"/>
        <c:lblAlgn val="ctr"/>
        <c:lblOffset val="100"/>
        <c:noMultiLvlLbl val="0"/>
      </c:catAx>
      <c:valAx>
        <c:axId val="582203008"/>
        <c:scaling>
          <c:orientation val="minMax"/>
        </c:scaling>
        <c:delete val="0"/>
        <c:axPos val="l"/>
        <c:majorGridlines/>
        <c:title>
          <c:tx>
            <c:strRef>
              <c:f>'General info'!$E$43:$G$43</c:f>
              <c:strCache>
                <c:ptCount val="1"/>
                <c:pt idx="0">
                  <c:v>INR Lakhs</c:v>
                </c:pt>
              </c:strCache>
            </c:strRef>
          </c:tx>
          <c:overlay val="0"/>
          <c:txPr>
            <a:bodyPr rot="-5400000" vert="horz"/>
            <a:lstStyle/>
            <a:p>
              <a:pPr>
                <a:defRPr lang="en-US" sz="1200"/>
              </a:pPr>
              <a:endParaRPr lang="en-US"/>
            </a:p>
          </c:txPr>
        </c:title>
        <c:numFmt formatCode="_(* #,##0.0_);_(* \(#,##0.0\);_(* &quot;-&quot;??_);_(@_)" sourceLinked="1"/>
        <c:majorTickMark val="out"/>
        <c:minorTickMark val="none"/>
        <c:tickLblPos val="nextTo"/>
        <c:txPr>
          <a:bodyPr/>
          <a:lstStyle/>
          <a:p>
            <a:pPr>
              <a:defRPr lang="en-US" sz="1100"/>
            </a:pPr>
            <a:endParaRPr lang="en-US"/>
          </a:p>
        </c:txPr>
        <c:crossAx val="581429760"/>
        <c:crosses val="autoZero"/>
        <c:crossBetween val="midCat"/>
      </c:valAx>
    </c:plotArea>
    <c:legend>
      <c:legendPos val="b"/>
      <c:layout>
        <c:manualLayout>
          <c:xMode val="edge"/>
          <c:yMode val="edge"/>
          <c:x val="0.26655478284646689"/>
          <c:y val="0.92637904636920465"/>
          <c:w val="0.52813278112343709"/>
          <c:h val="5.6954286964129484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Access and coverage of solid waste services - CITY</a:t>
            </a:r>
          </a:p>
        </c:rich>
      </c:tx>
      <c:layout>
        <c:manualLayout>
          <c:xMode val="edge"/>
          <c:yMode val="edge"/>
          <c:x val="0.21948280597001971"/>
          <c:y val="1.1086601018974801E-2"/>
        </c:manualLayout>
      </c:layout>
      <c:overlay val="1"/>
    </c:title>
    <c:autoTitleDeleted val="0"/>
    <c:plotArea>
      <c:layout>
        <c:manualLayout>
          <c:layoutTarget val="inner"/>
          <c:xMode val="edge"/>
          <c:yMode val="edge"/>
          <c:x val="0.11015373947318036"/>
          <c:y val="0.10161185378601729"/>
          <c:w val="0.85448125473307934"/>
          <c:h val="0.65744451052694264"/>
        </c:manualLayout>
      </c:layout>
      <c:areaChart>
        <c:grouping val="standard"/>
        <c:varyColors val="0"/>
        <c:ser>
          <c:idx val="5"/>
          <c:order val="0"/>
          <c:tx>
            <c:strRef>
              <c:f>'MSW calcu'!$D$251</c:f>
              <c:strCache>
                <c:ptCount val="1"/>
                <c:pt idx="0">
                  <c:v>HHs served with segregation of waste</c:v>
                </c:pt>
              </c:strCache>
            </c:strRef>
          </c:tx>
          <c:spPr>
            <a:ln w="25400">
              <a:noFill/>
            </a:ln>
          </c:spPr>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calcu'!$F$251:$P$251</c:f>
              <c:numCache>
                <c:formatCode>_(* #,##0_);_(* \(#,##0\);_(* "-"??_);_(@_)</c:formatCode>
                <c:ptCount val="11"/>
                <c:pt idx="0">
                  <c:v>9007</c:v>
                </c:pt>
                <c:pt idx="1">
                  <c:v>9007</c:v>
                </c:pt>
                <c:pt idx="2">
                  <c:v>9007</c:v>
                </c:pt>
                <c:pt idx="3">
                  <c:v>9007</c:v>
                </c:pt>
                <c:pt idx="4">
                  <c:v>9007</c:v>
                </c:pt>
                <c:pt idx="5">
                  <c:v>9007</c:v>
                </c:pt>
                <c:pt idx="6">
                  <c:v>9007</c:v>
                </c:pt>
                <c:pt idx="7">
                  <c:v>9007</c:v>
                </c:pt>
                <c:pt idx="8">
                  <c:v>9007</c:v>
                </c:pt>
                <c:pt idx="9">
                  <c:v>9007</c:v>
                </c:pt>
                <c:pt idx="10">
                  <c:v>9007</c:v>
                </c:pt>
              </c:numCache>
            </c:numRef>
          </c:val>
          <c:extLst xmlns:c16r2="http://schemas.microsoft.com/office/drawing/2015/06/chart">
            <c:ext xmlns:c16="http://schemas.microsoft.com/office/drawing/2014/chart" uri="{C3380CC4-5D6E-409C-BE32-E72D297353CC}">
              <c16:uniqueId val="{00000000-BCF2-4E31-A211-EEA1B3BE8932}"/>
            </c:ext>
          </c:extLst>
        </c:ser>
        <c:ser>
          <c:idx val="0"/>
          <c:order val="1"/>
          <c:tx>
            <c:strRef>
              <c:f>'MSW calcu'!$D$250</c:f>
              <c:strCache>
                <c:ptCount val="1"/>
                <c:pt idx="0">
                  <c:v>HHs served by procuring equipments</c:v>
                </c:pt>
              </c:strCache>
            </c:strRef>
          </c:tx>
          <c:spPr>
            <a:ln w="25400">
              <a:noFill/>
            </a:ln>
          </c:spPr>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calcu'!$F$250:$P$250</c:f>
              <c:numCache>
                <c:formatCode>_(* #,##0_);_(* \(#,##0\);_(* "-"??_);_(@_)</c:formatCode>
                <c:ptCount val="11"/>
                <c:pt idx="0">
                  <c:v>9007</c:v>
                </c:pt>
                <c:pt idx="1">
                  <c:v>9007</c:v>
                </c:pt>
                <c:pt idx="2">
                  <c:v>9007</c:v>
                </c:pt>
                <c:pt idx="3">
                  <c:v>9007</c:v>
                </c:pt>
                <c:pt idx="4">
                  <c:v>9007</c:v>
                </c:pt>
                <c:pt idx="5">
                  <c:v>9007</c:v>
                </c:pt>
                <c:pt idx="6">
                  <c:v>9007</c:v>
                </c:pt>
                <c:pt idx="7">
                  <c:v>9007</c:v>
                </c:pt>
                <c:pt idx="8">
                  <c:v>9007</c:v>
                </c:pt>
                <c:pt idx="9">
                  <c:v>9007</c:v>
                </c:pt>
                <c:pt idx="10">
                  <c:v>9007</c:v>
                </c:pt>
              </c:numCache>
            </c:numRef>
          </c:val>
          <c:extLst xmlns:c16r2="http://schemas.microsoft.com/office/drawing/2015/06/chart">
            <c:ext xmlns:c16="http://schemas.microsoft.com/office/drawing/2014/chart" uri="{C3380CC4-5D6E-409C-BE32-E72D297353CC}">
              <c16:uniqueId val="{00000001-BCF2-4E31-A211-EEA1B3BE8932}"/>
            </c:ext>
          </c:extLst>
        </c:ser>
        <c:ser>
          <c:idx val="3"/>
          <c:order val="2"/>
          <c:tx>
            <c:strRef>
              <c:f>'MSW calcu'!$D$249</c:f>
              <c:strCache>
                <c:ptCount val="1"/>
                <c:pt idx="0">
                  <c:v>HHs served by private contract</c:v>
                </c:pt>
              </c:strCache>
            </c:strRef>
          </c:tx>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calcu'!$F$249:$P$249</c:f>
              <c:numCache>
                <c:formatCode>_(* #,##0_);_(* \(#,##0\);_(* "-"??_);_(@_)</c:formatCode>
                <c:ptCount val="11"/>
                <c:pt idx="0">
                  <c:v>9007</c:v>
                </c:pt>
                <c:pt idx="1">
                  <c:v>9007</c:v>
                </c:pt>
                <c:pt idx="2">
                  <c:v>9007</c:v>
                </c:pt>
                <c:pt idx="3">
                  <c:v>9007</c:v>
                </c:pt>
                <c:pt idx="4">
                  <c:v>9007</c:v>
                </c:pt>
                <c:pt idx="5">
                  <c:v>9007</c:v>
                </c:pt>
                <c:pt idx="6">
                  <c:v>9007</c:v>
                </c:pt>
                <c:pt idx="7">
                  <c:v>9007</c:v>
                </c:pt>
                <c:pt idx="8">
                  <c:v>9007</c:v>
                </c:pt>
                <c:pt idx="9">
                  <c:v>9007</c:v>
                </c:pt>
                <c:pt idx="10">
                  <c:v>9007</c:v>
                </c:pt>
              </c:numCache>
            </c:numRef>
          </c:val>
          <c:extLst xmlns:c16r2="http://schemas.microsoft.com/office/drawing/2015/06/chart">
            <c:ext xmlns:c16="http://schemas.microsoft.com/office/drawing/2014/chart" uri="{C3380CC4-5D6E-409C-BE32-E72D297353CC}">
              <c16:uniqueId val="{00000002-BCF2-4E31-A211-EEA1B3BE8932}"/>
            </c:ext>
          </c:extLst>
        </c:ser>
        <c:ser>
          <c:idx val="2"/>
          <c:order val="3"/>
          <c:tx>
            <c:strRef>
              <c:f>'MSW calcu'!$D$248</c:f>
              <c:strCache>
                <c:ptCount val="1"/>
                <c:pt idx="0">
                  <c:v>HHs served by additional staff</c:v>
                </c:pt>
              </c:strCache>
            </c:strRef>
          </c:tx>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calcu'!$F$248:$P$248</c:f>
              <c:numCache>
                <c:formatCode>_(* #,##0_);_(* \(#,##0\);_(* "-"??_);_(@_)</c:formatCode>
                <c:ptCount val="11"/>
                <c:pt idx="0">
                  <c:v>9007</c:v>
                </c:pt>
                <c:pt idx="1">
                  <c:v>9007</c:v>
                </c:pt>
                <c:pt idx="2">
                  <c:v>9007</c:v>
                </c:pt>
                <c:pt idx="3">
                  <c:v>9007</c:v>
                </c:pt>
                <c:pt idx="4">
                  <c:v>9007</c:v>
                </c:pt>
                <c:pt idx="5">
                  <c:v>9007</c:v>
                </c:pt>
                <c:pt idx="6">
                  <c:v>9007</c:v>
                </c:pt>
                <c:pt idx="7">
                  <c:v>9007</c:v>
                </c:pt>
                <c:pt idx="8">
                  <c:v>9007</c:v>
                </c:pt>
                <c:pt idx="9">
                  <c:v>9007</c:v>
                </c:pt>
                <c:pt idx="10">
                  <c:v>9007</c:v>
                </c:pt>
              </c:numCache>
            </c:numRef>
          </c:val>
          <c:extLst xmlns:c16r2="http://schemas.microsoft.com/office/drawing/2015/06/chart">
            <c:ext xmlns:c16="http://schemas.microsoft.com/office/drawing/2014/chart" uri="{C3380CC4-5D6E-409C-BE32-E72D297353CC}">
              <c16:uniqueId val="{00000003-BCF2-4E31-A211-EEA1B3BE8932}"/>
            </c:ext>
          </c:extLst>
        </c:ser>
        <c:ser>
          <c:idx val="1"/>
          <c:order val="4"/>
          <c:tx>
            <c:strRef>
              <c:f>'MSW calcu'!$D$247</c:f>
              <c:strCache>
                <c:ptCount val="1"/>
                <c:pt idx="0">
                  <c:v>HHs served by existing resources/infrastructure</c:v>
                </c:pt>
              </c:strCache>
            </c:strRef>
          </c:tx>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calcu'!$F$247:$P$247</c:f>
              <c:numCache>
                <c:formatCode>_(* #,##0_);_(* \(#,##0\);_(* "-"??_);_(@_)</c:formatCode>
                <c:ptCount val="11"/>
                <c:pt idx="0">
                  <c:v>9007</c:v>
                </c:pt>
                <c:pt idx="1">
                  <c:v>9007</c:v>
                </c:pt>
                <c:pt idx="2">
                  <c:v>9007</c:v>
                </c:pt>
                <c:pt idx="3">
                  <c:v>9007</c:v>
                </c:pt>
                <c:pt idx="4">
                  <c:v>9007</c:v>
                </c:pt>
                <c:pt idx="5">
                  <c:v>9007</c:v>
                </c:pt>
                <c:pt idx="6">
                  <c:v>9007</c:v>
                </c:pt>
                <c:pt idx="7">
                  <c:v>9007</c:v>
                </c:pt>
                <c:pt idx="8">
                  <c:v>9007</c:v>
                </c:pt>
                <c:pt idx="9">
                  <c:v>9007</c:v>
                </c:pt>
                <c:pt idx="10">
                  <c:v>9007</c:v>
                </c:pt>
              </c:numCache>
            </c:numRef>
          </c:val>
          <c:extLst xmlns:c16r2="http://schemas.microsoft.com/office/drawing/2015/06/chart">
            <c:ext xmlns:c16="http://schemas.microsoft.com/office/drawing/2014/chart" uri="{C3380CC4-5D6E-409C-BE32-E72D297353CC}">
              <c16:uniqueId val="{00000004-BCF2-4E31-A211-EEA1B3BE8932}"/>
            </c:ext>
          </c:extLst>
        </c:ser>
        <c:ser>
          <c:idx val="4"/>
          <c:order val="5"/>
          <c:tx>
            <c:strRef>
              <c:f>'MSW calcu'!$D$252</c:f>
              <c:strCache>
                <c:ptCount val="1"/>
                <c:pt idx="0">
                  <c:v>Benchmark (Total population)</c:v>
                </c:pt>
              </c:strCache>
            </c:strRef>
          </c:tx>
          <c:spPr>
            <a:noFill/>
            <a:ln w="38100">
              <a:solidFill>
                <a:sysClr val="windowText" lastClr="000000"/>
              </a:solidFill>
              <a:prstDash val="sysDash"/>
            </a:ln>
          </c:spPr>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calcu'!$F$252:$P$252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5-BCF2-4E31-A211-EEA1B3BE8932}"/>
            </c:ext>
          </c:extLst>
        </c:ser>
        <c:dLbls>
          <c:showLegendKey val="0"/>
          <c:showVal val="1"/>
          <c:showCatName val="0"/>
          <c:showSerName val="0"/>
          <c:showPercent val="0"/>
          <c:showBubbleSize val="0"/>
        </c:dLbls>
        <c:axId val="581427712"/>
        <c:axId val="1433600"/>
      </c:areaChart>
      <c:catAx>
        <c:axId val="581427712"/>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1433600"/>
        <c:crosses val="autoZero"/>
        <c:auto val="1"/>
        <c:lblAlgn val="ctr"/>
        <c:lblOffset val="100"/>
        <c:noMultiLvlLbl val="0"/>
      </c:catAx>
      <c:valAx>
        <c:axId val="1433600"/>
        <c:scaling>
          <c:orientation val="minMax"/>
        </c:scaling>
        <c:delete val="0"/>
        <c:axPos val="l"/>
        <c:majorGridlines/>
        <c:title>
          <c:tx>
            <c:rich>
              <a:bodyPr rot="-5400000" vert="horz"/>
              <a:lstStyle/>
              <a:p>
                <a:pPr>
                  <a:defRPr lang="en-US"/>
                </a:pPr>
                <a:r>
                  <a:rPr lang="en-US" sz="1200">
                    <a:solidFill>
                      <a:schemeClr val="bg1"/>
                    </a:solidFill>
                  </a:rPr>
                  <a:t>No. of households</a:t>
                </a:r>
              </a:p>
            </c:rich>
          </c:tx>
          <c:overlay val="0"/>
        </c:title>
        <c:numFmt formatCode="_(* #,##0_);_(* \(#,##0\);_(* &quot;-&quot;??_);_(@_)" sourceLinked="1"/>
        <c:majorTickMark val="out"/>
        <c:minorTickMark val="none"/>
        <c:tickLblPos val="nextTo"/>
        <c:txPr>
          <a:bodyPr rot="0"/>
          <a:lstStyle/>
          <a:p>
            <a:pPr>
              <a:defRPr lang="en-US" sz="1100">
                <a:solidFill>
                  <a:schemeClr val="bg1"/>
                </a:solidFill>
              </a:defRPr>
            </a:pPr>
            <a:endParaRPr lang="en-US"/>
          </a:p>
        </c:txPr>
        <c:crossAx val="581427712"/>
        <c:crosses val="autoZero"/>
        <c:crossBetween val="midCat"/>
      </c:valAx>
    </c:plotArea>
    <c:legend>
      <c:legendPos val="b"/>
      <c:layout>
        <c:manualLayout>
          <c:xMode val="edge"/>
          <c:yMode val="edge"/>
          <c:x val="1.0509393162471138E-2"/>
          <c:y val="0.85480314024027593"/>
          <c:w val="0.9885941429974785"/>
          <c:h val="0.14519685975972421"/>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Solid waste transportation and processing</a:t>
            </a:r>
          </a:p>
        </c:rich>
      </c:tx>
      <c:layout>
        <c:manualLayout>
          <c:xMode val="edge"/>
          <c:yMode val="edge"/>
          <c:x val="0.26586107782729496"/>
          <c:y val="1.7956198098188561E-2"/>
        </c:manualLayout>
      </c:layout>
      <c:overlay val="1"/>
    </c:title>
    <c:autoTitleDeleted val="0"/>
    <c:plotArea>
      <c:layout>
        <c:manualLayout>
          <c:layoutTarget val="inner"/>
          <c:xMode val="edge"/>
          <c:yMode val="edge"/>
          <c:x val="7.7087557715896413E-2"/>
          <c:y val="0.10161185378601729"/>
          <c:w val="0.88696797129195049"/>
          <c:h val="0.70873555255310605"/>
        </c:manualLayout>
      </c:layout>
      <c:areaChart>
        <c:grouping val="standard"/>
        <c:varyColors val="0"/>
        <c:ser>
          <c:idx val="0"/>
          <c:order val="0"/>
          <c:tx>
            <c:strRef>
              <c:f>'MSW calcu'!$D$267</c:f>
              <c:strCache>
                <c:ptCount val="1"/>
                <c:pt idx="0">
                  <c:v>Solid waste collected</c:v>
                </c:pt>
              </c:strCache>
            </c:strRef>
          </c:tx>
          <c:spPr>
            <a:ln w="25400">
              <a:noFill/>
            </a:ln>
          </c:spPr>
          <c:dLbls>
            <c:delete val="1"/>
          </c:dLbls>
          <c:cat>
            <c:numRef>
              <c:f>'MSW calcu'!$F$265:$P$265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calcu'!$F$267:$P$267</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5C13-4392-8DC8-6E9F39D1226D}"/>
            </c:ext>
          </c:extLst>
        </c:ser>
        <c:ser>
          <c:idx val="1"/>
          <c:order val="1"/>
          <c:tx>
            <c:strRef>
              <c:f>'MSW calcu'!$D$268</c:f>
              <c:strCache>
                <c:ptCount val="1"/>
                <c:pt idx="0">
                  <c:v>Solid waste stored safely</c:v>
                </c:pt>
              </c:strCache>
            </c:strRef>
          </c:tx>
          <c:spPr>
            <a:ln w="25400">
              <a:noFill/>
            </a:ln>
          </c:spPr>
          <c:dLbls>
            <c:delete val="1"/>
          </c:dLbls>
          <c:cat>
            <c:numRef>
              <c:f>'MSW calcu'!$F$265:$P$265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calcu'!$F$268:$P$268</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5C13-4392-8DC8-6E9F39D1226D}"/>
            </c:ext>
          </c:extLst>
        </c:ser>
        <c:ser>
          <c:idx val="3"/>
          <c:order val="2"/>
          <c:tx>
            <c:strRef>
              <c:f>'MSW calcu'!$D$269</c:f>
              <c:strCache>
                <c:ptCount val="1"/>
                <c:pt idx="0">
                  <c:v>Solid waste transported</c:v>
                </c:pt>
              </c:strCache>
            </c:strRef>
          </c:tx>
          <c:spPr>
            <a:ln w="25400">
              <a:noFill/>
            </a:ln>
          </c:spPr>
          <c:dLbls>
            <c:delete val="1"/>
          </c:dLbls>
          <c:cat>
            <c:numRef>
              <c:f>'MSW calcu'!$F$265:$P$265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calcu'!$F$269:$P$269</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5C13-4392-8DC8-6E9F39D1226D}"/>
            </c:ext>
          </c:extLst>
        </c:ser>
        <c:ser>
          <c:idx val="4"/>
          <c:order val="3"/>
          <c:tx>
            <c:strRef>
              <c:f>'MSW calcu'!$D$270</c:f>
              <c:strCache>
                <c:ptCount val="1"/>
                <c:pt idx="0">
                  <c:v>Solid waste processed</c:v>
                </c:pt>
              </c:strCache>
            </c:strRef>
          </c:tx>
          <c:spPr>
            <a:ln w="25400">
              <a:noFill/>
            </a:ln>
          </c:spPr>
          <c:dLbls>
            <c:delete val="1"/>
          </c:dLbls>
          <c:cat>
            <c:numRef>
              <c:f>'MSW calcu'!$F$265:$P$265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calcu'!$F$270:$P$270</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5C13-4392-8DC8-6E9F39D1226D}"/>
            </c:ext>
          </c:extLst>
        </c:ser>
        <c:ser>
          <c:idx val="5"/>
          <c:order val="4"/>
          <c:tx>
            <c:strRef>
              <c:f>'MSW calcu'!$D$271</c:f>
              <c:strCache>
                <c:ptCount val="1"/>
                <c:pt idx="0">
                  <c:v>Solid waste reused</c:v>
                </c:pt>
              </c:strCache>
            </c:strRef>
          </c:tx>
          <c:spPr>
            <a:ln w="25400">
              <a:noFill/>
            </a:ln>
          </c:spPr>
          <c:dLbls>
            <c:delete val="1"/>
          </c:dLbls>
          <c:cat>
            <c:numRef>
              <c:f>'MSW calcu'!$F$265:$P$265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calcu'!$F$271:$P$271</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4-5C13-4392-8DC8-6E9F39D1226D}"/>
            </c:ext>
          </c:extLst>
        </c:ser>
        <c:ser>
          <c:idx val="2"/>
          <c:order val="5"/>
          <c:tx>
            <c:strRef>
              <c:f>'MSW calcu'!$D$266</c:f>
              <c:strCache>
                <c:ptCount val="1"/>
                <c:pt idx="0">
                  <c:v>Solid waste generated</c:v>
                </c:pt>
              </c:strCache>
            </c:strRef>
          </c:tx>
          <c:spPr>
            <a:noFill/>
            <a:ln w="38100">
              <a:solidFill>
                <a:sysClr val="windowText" lastClr="000000"/>
              </a:solidFill>
              <a:prstDash val="sysDash"/>
            </a:ln>
            <a:effectLst>
              <a:outerShdw blurRad="50800" dist="38100" dir="2700000" algn="tl" rotWithShape="0">
                <a:prstClr val="black">
                  <a:alpha val="40000"/>
                </a:prstClr>
              </a:outerShdw>
            </a:effectLst>
          </c:spPr>
          <c:dLbls>
            <c:delete val="1"/>
          </c:dLbls>
          <c:cat>
            <c:numRef>
              <c:f>'MSW calcu'!$F$265:$P$265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calcu'!$F$266:$P$266</c:f>
              <c:numCache>
                <c:formatCode>_(* #,##0.0_);_(* \(#,##0.0\);_(* "-"??_);_(@_)</c:formatCode>
                <c:ptCount val="11"/>
                <c:pt idx="0">
                  <c:v>12</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5-5C13-4392-8DC8-6E9F39D1226D}"/>
            </c:ext>
          </c:extLst>
        </c:ser>
        <c:dLbls>
          <c:showLegendKey val="0"/>
          <c:showVal val="1"/>
          <c:showCatName val="0"/>
          <c:showSerName val="0"/>
          <c:showPercent val="0"/>
          <c:showBubbleSize val="0"/>
        </c:dLbls>
        <c:axId val="583081984"/>
        <c:axId val="1435904"/>
      </c:areaChart>
      <c:catAx>
        <c:axId val="583081984"/>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1435904"/>
        <c:crosses val="autoZero"/>
        <c:auto val="1"/>
        <c:lblAlgn val="ctr"/>
        <c:lblOffset val="100"/>
        <c:noMultiLvlLbl val="0"/>
      </c:catAx>
      <c:valAx>
        <c:axId val="1435904"/>
        <c:scaling>
          <c:orientation val="minMax"/>
        </c:scaling>
        <c:delete val="0"/>
        <c:axPos val="l"/>
        <c:majorGridlines/>
        <c:title>
          <c:tx>
            <c:rich>
              <a:bodyPr rot="-5400000" vert="horz"/>
              <a:lstStyle/>
              <a:p>
                <a:pPr>
                  <a:defRPr lang="en-GB" sz="1200"/>
                </a:pPr>
                <a:r>
                  <a:rPr lang="en-GB" sz="1200">
                    <a:solidFill>
                      <a:schemeClr val="bg1"/>
                    </a:solidFill>
                  </a:rPr>
                  <a:t>Metric tonnes/ day</a:t>
                </a:r>
              </a:p>
            </c:rich>
          </c:tx>
          <c:layout>
            <c:manualLayout>
              <c:xMode val="edge"/>
              <c:yMode val="edge"/>
              <c:x val="5.4055863813312827E-4"/>
              <c:y val="0.33087803484718797"/>
            </c:manualLayout>
          </c:layout>
          <c:overlay val="0"/>
        </c:title>
        <c:numFmt formatCode="#,##0" sourceLinked="0"/>
        <c:majorTickMark val="out"/>
        <c:minorTickMark val="none"/>
        <c:tickLblPos val="nextTo"/>
        <c:txPr>
          <a:bodyPr rot="0"/>
          <a:lstStyle/>
          <a:p>
            <a:pPr>
              <a:defRPr lang="en-US" sz="1100">
                <a:solidFill>
                  <a:schemeClr val="bg1"/>
                </a:solidFill>
              </a:defRPr>
            </a:pPr>
            <a:endParaRPr lang="en-US"/>
          </a:p>
        </c:txPr>
        <c:crossAx val="583081984"/>
        <c:crosses val="autoZero"/>
        <c:crossBetween val="midCat"/>
      </c:valAx>
    </c:plotArea>
    <c:legend>
      <c:legendPos val="b"/>
      <c:layout>
        <c:manualLayout>
          <c:xMode val="edge"/>
          <c:yMode val="edge"/>
          <c:x val="1.1903784332869339E-3"/>
          <c:y val="0.90113772096196387"/>
          <c:w val="0.98113581688731555"/>
          <c:h val="9.8862279038005665E-2"/>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Solid waste collection system</a:t>
            </a:r>
          </a:p>
        </c:rich>
      </c:tx>
      <c:layout>
        <c:manualLayout>
          <c:xMode val="edge"/>
          <c:yMode val="edge"/>
          <c:x val="0.33935192094819538"/>
          <c:y val="2.033516304844625E-2"/>
        </c:manualLayout>
      </c:layout>
      <c:overlay val="1"/>
    </c:title>
    <c:autoTitleDeleted val="0"/>
    <c:plotArea>
      <c:layout>
        <c:manualLayout>
          <c:layoutTarget val="inner"/>
          <c:xMode val="edge"/>
          <c:yMode val="edge"/>
          <c:x val="7.4003461038981103E-2"/>
          <c:y val="0.10161185378601729"/>
          <c:w val="0.89005197641140765"/>
          <c:h val="0.69781381568821421"/>
        </c:manualLayout>
      </c:layout>
      <c:areaChart>
        <c:grouping val="standard"/>
        <c:varyColors val="0"/>
        <c:ser>
          <c:idx val="0"/>
          <c:order val="0"/>
          <c:tx>
            <c:strRef>
              <c:f>'MSW calcu'!$D$276</c:f>
              <c:strCache>
                <c:ptCount val="1"/>
                <c:pt idx="0">
                  <c:v>Secondary collection at storage bin</c:v>
                </c:pt>
              </c:strCache>
            </c:strRef>
          </c:tx>
          <c:spPr>
            <a:solidFill>
              <a:schemeClr val="accent4">
                <a:lumMod val="75000"/>
              </a:schemeClr>
            </a:solidFill>
            <a:ln w="25400">
              <a:noFill/>
            </a:ln>
          </c:spPr>
          <c:dLbls>
            <c:delete val="1"/>
          </c:dLbls>
          <c:cat>
            <c:numRef>
              <c:f>'MSW calcu'!$F$272:$P$272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calcu'!$F$276:$P$276</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3E13-4B74-A465-EDFD39900990}"/>
            </c:ext>
          </c:extLst>
        </c:ser>
        <c:ser>
          <c:idx val="1"/>
          <c:order val="1"/>
          <c:tx>
            <c:strRef>
              <c:f>'MSW calcu'!$D$275</c:f>
              <c:strCache>
                <c:ptCount val="1"/>
                <c:pt idx="0">
                  <c:v>Primary collection at doorstep</c:v>
                </c:pt>
              </c:strCache>
            </c:strRef>
          </c:tx>
          <c:spPr>
            <a:ln w="25400">
              <a:noFill/>
            </a:ln>
          </c:spPr>
          <c:dLbls>
            <c:delete val="1"/>
          </c:dLbls>
          <c:cat>
            <c:numRef>
              <c:f>'MSW calcu'!$F$272:$P$272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calcu'!$F$275:$P$275</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3E13-4B74-A465-EDFD39900990}"/>
            </c:ext>
          </c:extLst>
        </c:ser>
        <c:ser>
          <c:idx val="4"/>
          <c:order val="2"/>
          <c:tx>
            <c:strRef>
              <c:f>'MSW calcu'!$D$274</c:f>
              <c:strCache>
                <c:ptCount val="1"/>
                <c:pt idx="0">
                  <c:v>Primary collection at doorstep in segregated manner</c:v>
                </c:pt>
              </c:strCache>
            </c:strRef>
          </c:tx>
          <c:spPr>
            <a:ln w="25400">
              <a:noFill/>
            </a:ln>
          </c:spPr>
          <c:dLbls>
            <c:delete val="1"/>
          </c:dLbls>
          <c:cat>
            <c:numRef>
              <c:f>'MSW calcu'!$F$272:$P$272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calcu'!$F$274:$P$274</c:f>
              <c:numCache>
                <c:formatCode>_(* #,##0.0_);_(* \(#,##0.0\);_(*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2-3E13-4B74-A465-EDFD39900990}"/>
            </c:ext>
          </c:extLst>
        </c:ser>
        <c:ser>
          <c:idx val="3"/>
          <c:order val="3"/>
          <c:tx>
            <c:strRef>
              <c:f>'MSW calcu'!$D$273</c:f>
              <c:strCache>
                <c:ptCount val="1"/>
                <c:pt idx="0">
                  <c:v>Solid waste generated</c:v>
                </c:pt>
              </c:strCache>
            </c:strRef>
          </c:tx>
          <c:spPr>
            <a:noFill/>
            <a:ln w="38100">
              <a:solidFill>
                <a:sysClr val="windowText" lastClr="000000"/>
              </a:solidFill>
              <a:prstDash val="sysDash"/>
            </a:ln>
            <a:effectLst>
              <a:outerShdw blurRad="50800" dist="38100" dir="2700000" algn="tl" rotWithShape="0">
                <a:prstClr val="black">
                  <a:alpha val="40000"/>
                </a:prstClr>
              </a:outerShdw>
            </a:effectLst>
          </c:spPr>
          <c:dLbls>
            <c:delete val="1"/>
          </c:dLbls>
          <c:cat>
            <c:numRef>
              <c:f>'MSW calcu'!$F$272:$P$272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calcu'!$F$273:$P$273</c:f>
              <c:numCache>
                <c:formatCode>_(* #,##0.0_);_(* \(#,##0.0\);_(* "-"??_);_(@_)</c:formatCode>
                <c:ptCount val="11"/>
                <c:pt idx="0">
                  <c:v>12</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3E13-4B74-A465-EDFD39900990}"/>
            </c:ext>
          </c:extLst>
        </c:ser>
        <c:dLbls>
          <c:showLegendKey val="0"/>
          <c:showVal val="1"/>
          <c:showCatName val="0"/>
          <c:showSerName val="0"/>
          <c:showPercent val="0"/>
          <c:showBubbleSize val="0"/>
        </c:dLbls>
        <c:axId val="583082496"/>
        <c:axId val="1438208"/>
      </c:areaChart>
      <c:catAx>
        <c:axId val="583082496"/>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1438208"/>
        <c:crosses val="autoZero"/>
        <c:auto val="1"/>
        <c:lblAlgn val="ctr"/>
        <c:lblOffset val="100"/>
        <c:noMultiLvlLbl val="0"/>
      </c:catAx>
      <c:valAx>
        <c:axId val="1438208"/>
        <c:scaling>
          <c:orientation val="minMax"/>
        </c:scaling>
        <c:delete val="0"/>
        <c:axPos val="l"/>
        <c:majorGridlines/>
        <c:title>
          <c:tx>
            <c:rich>
              <a:bodyPr rot="-5400000" vert="horz"/>
              <a:lstStyle/>
              <a:p>
                <a:pPr>
                  <a:defRPr lang="en-GB" sz="1200"/>
                </a:pPr>
                <a:r>
                  <a:rPr lang="en-GB" sz="1200">
                    <a:solidFill>
                      <a:schemeClr val="bg1"/>
                    </a:solidFill>
                  </a:rPr>
                  <a:t>Metric tonnes/ day</a:t>
                </a:r>
              </a:p>
            </c:rich>
          </c:tx>
          <c:layout>
            <c:manualLayout>
              <c:xMode val="edge"/>
              <c:yMode val="edge"/>
              <c:x val="1.1094789281119713E-4"/>
              <c:y val="0.31626951266726738"/>
            </c:manualLayout>
          </c:layout>
          <c:overlay val="0"/>
        </c:title>
        <c:numFmt formatCode="#,##0" sourceLinked="0"/>
        <c:majorTickMark val="out"/>
        <c:minorTickMark val="none"/>
        <c:tickLblPos val="nextTo"/>
        <c:txPr>
          <a:bodyPr rot="0"/>
          <a:lstStyle/>
          <a:p>
            <a:pPr>
              <a:defRPr lang="en-US" sz="1100">
                <a:solidFill>
                  <a:schemeClr val="bg1"/>
                </a:solidFill>
              </a:defRPr>
            </a:pPr>
            <a:endParaRPr lang="en-US"/>
          </a:p>
        </c:txPr>
        <c:crossAx val="583082496"/>
        <c:crosses val="autoZero"/>
        <c:crossBetween val="midCat"/>
      </c:valAx>
    </c:plotArea>
    <c:legend>
      <c:legendPos val="b"/>
      <c:layout>
        <c:manualLayout>
          <c:xMode val="edge"/>
          <c:yMode val="edge"/>
          <c:x val="0"/>
          <c:y val="0.88579794430559944"/>
          <c:w val="0.9931918522603157"/>
          <c:h val="0.10230744766159865"/>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3"/>
    </mc:Choice>
    <mc:Fallback>
      <c:style val="33"/>
    </mc:Fallback>
  </mc:AlternateContent>
  <c:chart>
    <c:title>
      <c:tx>
        <c:rich>
          <a:bodyPr/>
          <a:lstStyle/>
          <a:p>
            <a:pPr>
              <a:defRPr lang="en-GB"/>
            </a:pPr>
            <a:r>
              <a:rPr lang="en-US" sz="1600" b="1" i="0" baseline="0">
                <a:solidFill>
                  <a:sysClr val="windowText" lastClr="000000"/>
                </a:solidFill>
              </a:rPr>
              <a:t>Peer comparison of Key performance indicators</a:t>
            </a:r>
          </a:p>
        </c:rich>
      </c:tx>
      <c:layout>
        <c:manualLayout>
          <c:xMode val="edge"/>
          <c:yMode val="edge"/>
          <c:x val="0.28098666935955086"/>
          <c:y val="4.8473411951868231E-3"/>
        </c:manualLayout>
      </c:layout>
      <c:overlay val="0"/>
      <c:spPr>
        <a:solidFill>
          <a:schemeClr val="bg1">
            <a:lumMod val="50000"/>
          </a:schemeClr>
        </a:solidFill>
      </c:spPr>
    </c:title>
    <c:autoTitleDeleted val="0"/>
    <c:plotArea>
      <c:layout>
        <c:manualLayout>
          <c:layoutTarget val="inner"/>
          <c:xMode val="edge"/>
          <c:yMode val="edge"/>
          <c:x val="4.7144467475050654E-2"/>
          <c:y val="9.5715093684892963E-2"/>
          <c:w val="0.93301697796671057"/>
          <c:h val="0.65181440775054189"/>
        </c:manualLayout>
      </c:layout>
      <c:barChart>
        <c:barDir val="col"/>
        <c:grouping val="clustered"/>
        <c:varyColors val="0"/>
        <c:ser>
          <c:idx val="0"/>
          <c:order val="0"/>
          <c:tx>
            <c:strRef>
              <c:f>Population!$D$156</c:f>
              <c:strCache>
                <c:ptCount val="1"/>
                <c:pt idx="0">
                  <c:v>Benchmark</c:v>
                </c:pt>
              </c:strCache>
            </c:strRef>
          </c:tx>
          <c:spPr>
            <a:solidFill>
              <a:schemeClr val="tx1">
                <a:lumMod val="75000"/>
                <a:lumOff val="25000"/>
              </a:schemeClr>
            </a:solidFill>
            <a:ln>
              <a:noFill/>
            </a:ln>
          </c:spPr>
          <c:invertIfNegative val="0"/>
          <c:cat>
            <c:strRef>
              <c:f>Population!$C$168:$C$177</c:f>
              <c:strCache>
                <c:ptCount val="10"/>
                <c:pt idx="0">
                  <c:v>Coverage of toilets in city </c:v>
                </c:pt>
                <c:pt idx="1">
                  <c:v>Coverage of toilets in slums </c:v>
                </c:pt>
                <c:pt idx="2">
                  <c:v>Coverage of adequate sanitation</c:v>
                </c:pt>
                <c:pt idx="3">
                  <c:v>Collection eff. of WW &amp; septage</c:v>
                </c:pt>
                <c:pt idx="4">
                  <c:v>Treatment adequacy of WW &amp; septage</c:v>
                </c:pt>
                <c:pt idx="5">
                  <c:v>Quality of WW &amp; septage</c:v>
                </c:pt>
                <c:pt idx="6">
                  <c:v>Extent of reuse &amp; recycle</c:v>
                </c:pt>
                <c:pt idx="7">
                  <c:v>Customer complaint WW</c:v>
                </c:pt>
                <c:pt idx="8">
                  <c:v>Collection eff. of WW charges</c:v>
                </c:pt>
                <c:pt idx="9">
                  <c:v>Cost recovery WW</c:v>
                </c:pt>
              </c:strCache>
            </c:strRef>
          </c:cat>
          <c:val>
            <c:numRef>
              <c:f>Population!$D$168:$D$177</c:f>
              <c:numCache>
                <c:formatCode>0</c:formatCode>
                <c:ptCount val="10"/>
                <c:pt idx="0">
                  <c:v>100</c:v>
                </c:pt>
                <c:pt idx="1">
                  <c:v>100</c:v>
                </c:pt>
                <c:pt idx="2">
                  <c:v>100</c:v>
                </c:pt>
                <c:pt idx="3">
                  <c:v>100</c:v>
                </c:pt>
                <c:pt idx="4">
                  <c:v>100</c:v>
                </c:pt>
                <c:pt idx="5">
                  <c:v>100</c:v>
                </c:pt>
                <c:pt idx="6">
                  <c:v>20</c:v>
                </c:pt>
                <c:pt idx="7">
                  <c:v>80</c:v>
                </c:pt>
                <c:pt idx="8">
                  <c:v>90</c:v>
                </c:pt>
                <c:pt idx="9">
                  <c:v>100</c:v>
                </c:pt>
              </c:numCache>
            </c:numRef>
          </c:val>
          <c:extLst xmlns:c16r2="http://schemas.microsoft.com/office/drawing/2015/06/chart">
            <c:ext xmlns:c16="http://schemas.microsoft.com/office/drawing/2014/chart" uri="{C3380CC4-5D6E-409C-BE32-E72D297353CC}">
              <c16:uniqueId val="{00000000-64DE-4131-9FFA-5E64A22ED122}"/>
            </c:ext>
          </c:extLst>
        </c:ser>
        <c:ser>
          <c:idx val="1"/>
          <c:order val="1"/>
          <c:tx>
            <c:strRef>
              <c:f>Population!$E$167</c:f>
              <c:strCache>
                <c:ptCount val="1"/>
                <c:pt idx="0">
                  <c:v>City 2</c:v>
                </c:pt>
              </c:strCache>
            </c:strRef>
          </c:tx>
          <c:spPr>
            <a:solidFill>
              <a:schemeClr val="bg1">
                <a:lumMod val="50000"/>
              </a:schemeClr>
            </a:solidFill>
            <a:ln>
              <a:solidFill>
                <a:schemeClr val="bg1">
                  <a:lumMod val="75000"/>
                </a:schemeClr>
              </a:solidFill>
            </a:ln>
          </c:spPr>
          <c:invertIfNegative val="0"/>
          <c:cat>
            <c:strRef>
              <c:f>Population!$C$168:$C$177</c:f>
              <c:strCache>
                <c:ptCount val="10"/>
                <c:pt idx="0">
                  <c:v>Coverage of toilets in city </c:v>
                </c:pt>
                <c:pt idx="1">
                  <c:v>Coverage of toilets in slums </c:v>
                </c:pt>
                <c:pt idx="2">
                  <c:v>Coverage of adequate sanitation</c:v>
                </c:pt>
                <c:pt idx="3">
                  <c:v>Collection eff. of WW &amp; septage</c:v>
                </c:pt>
                <c:pt idx="4">
                  <c:v>Treatment adequacy of WW &amp; septage</c:v>
                </c:pt>
                <c:pt idx="5">
                  <c:v>Quality of WW &amp; septage</c:v>
                </c:pt>
                <c:pt idx="6">
                  <c:v>Extent of reuse &amp; recycle</c:v>
                </c:pt>
                <c:pt idx="7">
                  <c:v>Customer complaint WW</c:v>
                </c:pt>
                <c:pt idx="8">
                  <c:v>Collection eff. of WW charges</c:v>
                </c:pt>
                <c:pt idx="9">
                  <c:v>Cost recovery WW</c:v>
                </c:pt>
              </c:strCache>
            </c:strRef>
          </c:cat>
          <c:val>
            <c:numRef>
              <c:f>Population!$E$168:$E$177</c:f>
              <c:numCache>
                <c:formatCode>0</c:formatCode>
                <c:ptCount val="10"/>
                <c:pt idx="0">
                  <c:v>52</c:v>
                </c:pt>
                <c:pt idx="1">
                  <c:v>67</c:v>
                </c:pt>
                <c:pt idx="2">
                  <c:v>45</c:v>
                </c:pt>
                <c:pt idx="3">
                  <c:v>20</c:v>
                </c:pt>
                <c:pt idx="4">
                  <c:v>100</c:v>
                </c:pt>
                <c:pt idx="5">
                  <c:v>48</c:v>
                </c:pt>
                <c:pt idx="6">
                  <c:v>6</c:v>
                </c:pt>
                <c:pt idx="7">
                  <c:v>96</c:v>
                </c:pt>
                <c:pt idx="8">
                  <c:v>67</c:v>
                </c:pt>
                <c:pt idx="9">
                  <c:v>59</c:v>
                </c:pt>
              </c:numCache>
            </c:numRef>
          </c:val>
          <c:extLst xmlns:c16r2="http://schemas.microsoft.com/office/drawing/2015/06/chart">
            <c:ext xmlns:c16="http://schemas.microsoft.com/office/drawing/2014/chart" uri="{C3380CC4-5D6E-409C-BE32-E72D297353CC}">
              <c16:uniqueId val="{00000001-64DE-4131-9FFA-5E64A22ED122}"/>
            </c:ext>
          </c:extLst>
        </c:ser>
        <c:ser>
          <c:idx val="2"/>
          <c:order val="2"/>
          <c:tx>
            <c:strRef>
              <c:f>Population!$F$167</c:f>
              <c:strCache>
                <c:ptCount val="1"/>
                <c:pt idx="0">
                  <c:v>ABC</c:v>
                </c:pt>
              </c:strCache>
            </c:strRef>
          </c:tx>
          <c:spPr>
            <a:solidFill>
              <a:schemeClr val="bg1">
                <a:lumMod val="75000"/>
              </a:schemeClr>
            </a:solidFill>
            <a:ln>
              <a:noFill/>
            </a:ln>
          </c:spPr>
          <c:invertIfNegative val="0"/>
          <c:cat>
            <c:strRef>
              <c:f>Population!$C$168:$C$177</c:f>
              <c:strCache>
                <c:ptCount val="10"/>
                <c:pt idx="0">
                  <c:v>Coverage of toilets in city </c:v>
                </c:pt>
                <c:pt idx="1">
                  <c:v>Coverage of toilets in slums </c:v>
                </c:pt>
                <c:pt idx="2">
                  <c:v>Coverage of adequate sanitation</c:v>
                </c:pt>
                <c:pt idx="3">
                  <c:v>Collection eff. of WW &amp; septage</c:v>
                </c:pt>
                <c:pt idx="4">
                  <c:v>Treatment adequacy of WW &amp; septage</c:v>
                </c:pt>
                <c:pt idx="5">
                  <c:v>Quality of WW &amp; septage</c:v>
                </c:pt>
                <c:pt idx="6">
                  <c:v>Extent of reuse &amp; recycle</c:v>
                </c:pt>
                <c:pt idx="7">
                  <c:v>Customer complaint WW</c:v>
                </c:pt>
                <c:pt idx="8">
                  <c:v>Collection eff. of WW charges</c:v>
                </c:pt>
                <c:pt idx="9">
                  <c:v>Cost recovery WW</c:v>
                </c:pt>
              </c:strCache>
            </c:strRef>
          </c:cat>
          <c:val>
            <c:numRef>
              <c:f>Population!$F$168:$F$177</c:f>
              <c:numCache>
                <c:formatCode>0</c:formatCode>
                <c:ptCount val="10"/>
                <c:pt idx="0">
                  <c:v>64</c:v>
                </c:pt>
                <c:pt idx="1">
                  <c:v>65</c:v>
                </c:pt>
                <c:pt idx="2">
                  <c:v>29</c:v>
                </c:pt>
                <c:pt idx="3">
                  <c:v>29</c:v>
                </c:pt>
                <c:pt idx="4">
                  <c:v>0</c:v>
                </c:pt>
                <c:pt idx="5">
                  <c:v>52</c:v>
                </c:pt>
                <c:pt idx="6">
                  <c:v>0</c:v>
                </c:pt>
                <c:pt idx="7">
                  <c:v>95</c:v>
                </c:pt>
                <c:pt idx="8">
                  <c:v>61</c:v>
                </c:pt>
                <c:pt idx="9">
                  <c:v>43</c:v>
                </c:pt>
              </c:numCache>
            </c:numRef>
          </c:val>
          <c:extLst xmlns:c16r2="http://schemas.microsoft.com/office/drawing/2015/06/chart">
            <c:ext xmlns:c16="http://schemas.microsoft.com/office/drawing/2014/chart" uri="{C3380CC4-5D6E-409C-BE32-E72D297353CC}">
              <c16:uniqueId val="{00000002-64DE-4131-9FFA-5E64A22ED122}"/>
            </c:ext>
          </c:extLst>
        </c:ser>
        <c:ser>
          <c:idx val="3"/>
          <c:order val="3"/>
          <c:tx>
            <c:strRef>
              <c:f>Population!$G$156</c:f>
              <c:strCache>
                <c:ptCount val="1"/>
                <c:pt idx="0">
                  <c:v>Wai</c:v>
                </c:pt>
              </c:strCache>
            </c:strRef>
          </c:tx>
          <c:spPr>
            <a:solidFill>
              <a:schemeClr val="bg2">
                <a:lumMod val="50000"/>
              </a:schemeClr>
            </a:solidFill>
            <a:ln>
              <a:noFill/>
            </a:ln>
          </c:spPr>
          <c:invertIfNegative val="0"/>
          <c:cat>
            <c:strRef>
              <c:f>Population!$C$168:$C$177</c:f>
              <c:strCache>
                <c:ptCount val="10"/>
                <c:pt idx="0">
                  <c:v>Coverage of toilets in city </c:v>
                </c:pt>
                <c:pt idx="1">
                  <c:v>Coverage of toilets in slums </c:v>
                </c:pt>
                <c:pt idx="2">
                  <c:v>Coverage of adequate sanitation</c:v>
                </c:pt>
                <c:pt idx="3">
                  <c:v>Collection eff. of WW &amp; septage</c:v>
                </c:pt>
                <c:pt idx="4">
                  <c:v>Treatment adequacy of WW &amp; septage</c:v>
                </c:pt>
                <c:pt idx="5">
                  <c:v>Quality of WW &amp; septage</c:v>
                </c:pt>
                <c:pt idx="6">
                  <c:v>Extent of reuse &amp; recycle</c:v>
                </c:pt>
                <c:pt idx="7">
                  <c:v>Customer complaint WW</c:v>
                </c:pt>
                <c:pt idx="8">
                  <c:v>Collection eff. of WW charges</c:v>
                </c:pt>
                <c:pt idx="9">
                  <c:v>Cost recovery WW</c:v>
                </c:pt>
              </c:strCache>
            </c:strRef>
          </c:cat>
          <c:val>
            <c:numRef>
              <c:f>Population!$G$168:$G$177</c:f>
              <c:numCache>
                <c:formatCode>0</c:formatCode>
                <c:ptCount val="10"/>
                <c:pt idx="0">
                  <c:v>0</c:v>
                </c:pt>
                <c:pt idx="1">
                  <c:v>0</c:v>
                </c:pt>
                <c:pt idx="2">
                  <c:v>0</c:v>
                </c:pt>
                <c:pt idx="3">
                  <c:v>0</c:v>
                </c:pt>
                <c:pt idx="4">
                  <c:v>0</c:v>
                </c:pt>
                <c:pt idx="5">
                  <c:v>0</c:v>
                </c:pt>
                <c:pt idx="6">
                  <c:v>0</c:v>
                </c:pt>
                <c:pt idx="7">
                  <c:v>100</c:v>
                </c:pt>
                <c:pt idx="8">
                  <c:v>0</c:v>
                </c:pt>
                <c:pt idx="9">
                  <c:v>0</c:v>
                </c:pt>
              </c:numCache>
            </c:numRef>
          </c:val>
          <c:extLst xmlns:c16r2="http://schemas.microsoft.com/office/drawing/2015/06/chart">
            <c:ext xmlns:c16="http://schemas.microsoft.com/office/drawing/2014/chart" uri="{C3380CC4-5D6E-409C-BE32-E72D297353CC}">
              <c16:uniqueId val="{00000003-64DE-4131-9FFA-5E64A22ED122}"/>
            </c:ext>
          </c:extLst>
        </c:ser>
        <c:dLbls>
          <c:showLegendKey val="0"/>
          <c:showVal val="0"/>
          <c:showCatName val="0"/>
          <c:showSerName val="0"/>
          <c:showPercent val="0"/>
          <c:showBubbleSize val="0"/>
        </c:dLbls>
        <c:gapWidth val="150"/>
        <c:axId val="561588736"/>
        <c:axId val="581690496"/>
      </c:barChart>
      <c:catAx>
        <c:axId val="561588736"/>
        <c:scaling>
          <c:orientation val="minMax"/>
        </c:scaling>
        <c:delete val="0"/>
        <c:axPos val="b"/>
        <c:majorGridlines/>
        <c:numFmt formatCode="General" sourceLinked="0"/>
        <c:majorTickMark val="out"/>
        <c:minorTickMark val="none"/>
        <c:tickLblPos val="nextTo"/>
        <c:spPr>
          <a:ln>
            <a:solidFill>
              <a:schemeClr val="bg1"/>
            </a:solidFill>
          </a:ln>
        </c:spPr>
        <c:txPr>
          <a:bodyPr rot="0" vert="horz"/>
          <a:lstStyle/>
          <a:p>
            <a:pPr>
              <a:defRPr lang="en-GB" sz="1050"/>
            </a:pPr>
            <a:endParaRPr lang="en-US"/>
          </a:p>
        </c:txPr>
        <c:crossAx val="581690496"/>
        <c:crosses val="autoZero"/>
        <c:auto val="1"/>
        <c:lblAlgn val="ctr"/>
        <c:lblOffset val="100"/>
        <c:noMultiLvlLbl val="0"/>
      </c:catAx>
      <c:valAx>
        <c:axId val="581690496"/>
        <c:scaling>
          <c:orientation val="minMax"/>
        </c:scaling>
        <c:delete val="0"/>
        <c:axPos val="l"/>
        <c:majorGridlines/>
        <c:numFmt formatCode="0" sourceLinked="1"/>
        <c:majorTickMark val="out"/>
        <c:minorTickMark val="none"/>
        <c:tickLblPos val="nextTo"/>
        <c:spPr>
          <a:ln>
            <a:solidFill>
              <a:schemeClr val="bg1"/>
            </a:solidFill>
          </a:ln>
        </c:spPr>
        <c:txPr>
          <a:bodyPr/>
          <a:lstStyle/>
          <a:p>
            <a:pPr>
              <a:defRPr lang="en-GB"/>
            </a:pPr>
            <a:endParaRPr lang="en-US"/>
          </a:p>
        </c:txPr>
        <c:crossAx val="561588736"/>
        <c:crosses val="autoZero"/>
        <c:crossBetween val="between"/>
      </c:valAx>
      <c:spPr>
        <a:solidFill>
          <a:sysClr val="window" lastClr="FFFFFF">
            <a:lumMod val="95000"/>
          </a:sysClr>
        </a:solidFill>
      </c:spPr>
    </c:plotArea>
    <c:legend>
      <c:legendPos val="b"/>
      <c:layout>
        <c:manualLayout>
          <c:xMode val="edge"/>
          <c:yMode val="edge"/>
          <c:x val="0.16475757582954487"/>
          <c:y val="0.91914258773444857"/>
          <c:w val="0.55851738606610757"/>
          <c:h val="7.7602531905559533E-2"/>
        </c:manualLayout>
      </c:layout>
      <c:overlay val="0"/>
      <c:txPr>
        <a:bodyPr/>
        <a:lstStyle/>
        <a:p>
          <a:pPr>
            <a:defRPr lang="en-GB" sz="1200"/>
          </a:pPr>
          <a:endParaRPr lang="en-US"/>
        </a:p>
      </c:txPr>
    </c:legend>
    <c:plotVisOnly val="1"/>
    <c:dispBlanksAs val="gap"/>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Access and coverage of solid waste services - SLUMS</a:t>
            </a:r>
          </a:p>
        </c:rich>
      </c:tx>
      <c:layout>
        <c:manualLayout>
          <c:xMode val="edge"/>
          <c:yMode val="edge"/>
          <c:x val="0.21025510330788241"/>
          <c:y val="1.1028381398567809E-2"/>
        </c:manualLayout>
      </c:layout>
      <c:overlay val="1"/>
    </c:title>
    <c:autoTitleDeleted val="0"/>
    <c:plotArea>
      <c:layout>
        <c:manualLayout>
          <c:layoutTarget val="inner"/>
          <c:xMode val="edge"/>
          <c:yMode val="edge"/>
          <c:x val="9.4124202029787288E-2"/>
          <c:y val="0.10161185378601729"/>
          <c:w val="0.8699312354206038"/>
          <c:h val="0.67255021476259913"/>
        </c:manualLayout>
      </c:layout>
      <c:areaChart>
        <c:grouping val="standard"/>
        <c:varyColors val="0"/>
        <c:ser>
          <c:idx val="5"/>
          <c:order val="0"/>
          <c:tx>
            <c:strRef>
              <c:f>'MSW calcu'!$D$254</c:f>
              <c:strCache>
                <c:ptCount val="1"/>
                <c:pt idx="0">
                  <c:v>HHs served with segregation of waste</c:v>
                </c:pt>
              </c:strCache>
            </c:strRef>
          </c:tx>
          <c:spPr>
            <a:ln w="25400">
              <a:noFill/>
            </a:ln>
          </c:spPr>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calcu'!$F$254:$P$254</c:f>
              <c:numCache>
                <c:formatCode>0%</c:formatCode>
                <c:ptCount val="11"/>
              </c:numCache>
            </c:numRef>
          </c:val>
          <c:extLst xmlns:c16r2="http://schemas.microsoft.com/office/drawing/2015/06/chart">
            <c:ext xmlns:c16="http://schemas.microsoft.com/office/drawing/2014/chart" uri="{C3380CC4-5D6E-409C-BE32-E72D297353CC}">
              <c16:uniqueId val="{00000000-D4D8-4EFB-B9A3-D56D2911EF6F}"/>
            </c:ext>
          </c:extLst>
        </c:ser>
        <c:ser>
          <c:idx val="0"/>
          <c:order val="1"/>
          <c:tx>
            <c:strRef>
              <c:f>'MSW calcu'!$D$255</c:f>
              <c:strCache>
                <c:ptCount val="1"/>
                <c:pt idx="0">
                  <c:v>HHs served by procuring equipments</c:v>
                </c:pt>
              </c:strCache>
            </c:strRef>
          </c:tx>
          <c:spPr>
            <a:ln w="25400">
              <a:noFill/>
            </a:ln>
          </c:spPr>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calcu'!$F$255:$P$255</c:f>
              <c:numCache>
                <c:formatCode>_(* #,##0_);_(* \(#,##0\);_(* "-"??_);_(@_)</c:formatCode>
                <c:ptCount val="11"/>
                <c:pt idx="0">
                  <c:v>360</c:v>
                </c:pt>
                <c:pt idx="1">
                  <c:v>360</c:v>
                </c:pt>
                <c:pt idx="2">
                  <c:v>360</c:v>
                </c:pt>
                <c:pt idx="3">
                  <c:v>360</c:v>
                </c:pt>
                <c:pt idx="4">
                  <c:v>360</c:v>
                </c:pt>
                <c:pt idx="5">
                  <c:v>360</c:v>
                </c:pt>
                <c:pt idx="6">
                  <c:v>360</c:v>
                </c:pt>
                <c:pt idx="7">
                  <c:v>360</c:v>
                </c:pt>
                <c:pt idx="8">
                  <c:v>360</c:v>
                </c:pt>
                <c:pt idx="9">
                  <c:v>360</c:v>
                </c:pt>
                <c:pt idx="10">
                  <c:v>360</c:v>
                </c:pt>
              </c:numCache>
            </c:numRef>
          </c:val>
          <c:extLst xmlns:c16r2="http://schemas.microsoft.com/office/drawing/2015/06/chart">
            <c:ext xmlns:c16="http://schemas.microsoft.com/office/drawing/2014/chart" uri="{C3380CC4-5D6E-409C-BE32-E72D297353CC}">
              <c16:uniqueId val="{00000001-D4D8-4EFB-B9A3-D56D2911EF6F}"/>
            </c:ext>
          </c:extLst>
        </c:ser>
        <c:ser>
          <c:idx val="3"/>
          <c:order val="2"/>
          <c:tx>
            <c:strRef>
              <c:f>'MSW calcu'!$D$256</c:f>
              <c:strCache>
                <c:ptCount val="1"/>
                <c:pt idx="0">
                  <c:v>HHs served by private contract</c:v>
                </c:pt>
              </c:strCache>
            </c:strRef>
          </c:tx>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calcu'!$F$256:$P$256</c:f>
              <c:numCache>
                <c:formatCode>_(* #,##0_);_(* \(#,##0\);_(* "-"??_);_(@_)</c:formatCode>
                <c:ptCount val="11"/>
                <c:pt idx="0">
                  <c:v>360</c:v>
                </c:pt>
                <c:pt idx="1">
                  <c:v>360</c:v>
                </c:pt>
                <c:pt idx="2">
                  <c:v>360</c:v>
                </c:pt>
                <c:pt idx="3">
                  <c:v>360</c:v>
                </c:pt>
                <c:pt idx="4">
                  <c:v>360</c:v>
                </c:pt>
                <c:pt idx="5">
                  <c:v>360</c:v>
                </c:pt>
                <c:pt idx="6">
                  <c:v>360</c:v>
                </c:pt>
                <c:pt idx="7">
                  <c:v>360</c:v>
                </c:pt>
                <c:pt idx="8">
                  <c:v>360</c:v>
                </c:pt>
                <c:pt idx="9">
                  <c:v>360</c:v>
                </c:pt>
                <c:pt idx="10">
                  <c:v>360</c:v>
                </c:pt>
              </c:numCache>
            </c:numRef>
          </c:val>
          <c:extLst xmlns:c16r2="http://schemas.microsoft.com/office/drawing/2015/06/chart">
            <c:ext xmlns:c16="http://schemas.microsoft.com/office/drawing/2014/chart" uri="{C3380CC4-5D6E-409C-BE32-E72D297353CC}">
              <c16:uniqueId val="{00000002-D4D8-4EFB-B9A3-D56D2911EF6F}"/>
            </c:ext>
          </c:extLst>
        </c:ser>
        <c:ser>
          <c:idx val="2"/>
          <c:order val="3"/>
          <c:tx>
            <c:strRef>
              <c:f>'MSW calcu'!$D$257</c:f>
              <c:strCache>
                <c:ptCount val="1"/>
                <c:pt idx="0">
                  <c:v>HHs served by additional staff</c:v>
                </c:pt>
              </c:strCache>
            </c:strRef>
          </c:tx>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calcu'!$F$257:$P$257</c:f>
              <c:numCache>
                <c:formatCode>_(* #,##0_);_(* \(#,##0\);_(* "-"??_);_(@_)</c:formatCode>
                <c:ptCount val="11"/>
                <c:pt idx="0">
                  <c:v>360</c:v>
                </c:pt>
                <c:pt idx="1">
                  <c:v>360</c:v>
                </c:pt>
                <c:pt idx="2">
                  <c:v>360</c:v>
                </c:pt>
                <c:pt idx="3">
                  <c:v>360</c:v>
                </c:pt>
                <c:pt idx="4">
                  <c:v>360</c:v>
                </c:pt>
                <c:pt idx="5">
                  <c:v>360</c:v>
                </c:pt>
                <c:pt idx="6">
                  <c:v>360</c:v>
                </c:pt>
                <c:pt idx="7">
                  <c:v>360</c:v>
                </c:pt>
                <c:pt idx="8">
                  <c:v>360</c:v>
                </c:pt>
                <c:pt idx="9">
                  <c:v>360</c:v>
                </c:pt>
                <c:pt idx="10">
                  <c:v>360</c:v>
                </c:pt>
              </c:numCache>
            </c:numRef>
          </c:val>
          <c:extLst xmlns:c16r2="http://schemas.microsoft.com/office/drawing/2015/06/chart">
            <c:ext xmlns:c16="http://schemas.microsoft.com/office/drawing/2014/chart" uri="{C3380CC4-5D6E-409C-BE32-E72D297353CC}">
              <c16:uniqueId val="{00000003-D4D8-4EFB-B9A3-D56D2911EF6F}"/>
            </c:ext>
          </c:extLst>
        </c:ser>
        <c:ser>
          <c:idx val="1"/>
          <c:order val="4"/>
          <c:tx>
            <c:strRef>
              <c:f>'MSW calcu'!$D$258</c:f>
              <c:strCache>
                <c:ptCount val="1"/>
                <c:pt idx="0">
                  <c:v>HHs served by existing resources/infrastructure</c:v>
                </c:pt>
              </c:strCache>
            </c:strRef>
          </c:tx>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calcu'!$F$258:$P$258</c:f>
              <c:numCache>
                <c:formatCode>_(* #,##0_);_(* \(#,##0\);_(* "-"??_);_(@_)</c:formatCode>
                <c:ptCount val="11"/>
                <c:pt idx="0">
                  <c:v>360</c:v>
                </c:pt>
                <c:pt idx="1">
                  <c:v>360</c:v>
                </c:pt>
                <c:pt idx="2">
                  <c:v>360</c:v>
                </c:pt>
                <c:pt idx="3">
                  <c:v>360</c:v>
                </c:pt>
                <c:pt idx="4">
                  <c:v>360</c:v>
                </c:pt>
                <c:pt idx="5">
                  <c:v>360</c:v>
                </c:pt>
                <c:pt idx="6">
                  <c:v>360</c:v>
                </c:pt>
                <c:pt idx="7">
                  <c:v>360</c:v>
                </c:pt>
                <c:pt idx="8">
                  <c:v>360</c:v>
                </c:pt>
                <c:pt idx="9">
                  <c:v>360</c:v>
                </c:pt>
                <c:pt idx="10">
                  <c:v>360</c:v>
                </c:pt>
              </c:numCache>
            </c:numRef>
          </c:val>
          <c:extLst xmlns:c16r2="http://schemas.microsoft.com/office/drawing/2015/06/chart">
            <c:ext xmlns:c16="http://schemas.microsoft.com/office/drawing/2014/chart" uri="{C3380CC4-5D6E-409C-BE32-E72D297353CC}">
              <c16:uniqueId val="{00000004-D4D8-4EFB-B9A3-D56D2911EF6F}"/>
            </c:ext>
          </c:extLst>
        </c:ser>
        <c:ser>
          <c:idx val="4"/>
          <c:order val="5"/>
          <c:tx>
            <c:strRef>
              <c:f>'MSW calcu'!$D$259</c:f>
              <c:strCache>
                <c:ptCount val="1"/>
                <c:pt idx="0">
                  <c:v>Benchmark (Total population)</c:v>
                </c:pt>
              </c:strCache>
            </c:strRef>
          </c:tx>
          <c:spPr>
            <a:noFill/>
            <a:ln w="38100">
              <a:solidFill>
                <a:sysClr val="windowText" lastClr="000000"/>
              </a:solidFill>
              <a:prstDash val="sysDash"/>
            </a:ln>
          </c:spPr>
          <c:dLbls>
            <c:delete val="1"/>
          </c:dLbls>
          <c:cat>
            <c:numRef>
              <c:f>'MSW calcu'!$F$245:$P$245</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'MSW calcu'!$F$259:$P$259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5-D4D8-4EFB-B9A3-D56D2911EF6F}"/>
            </c:ext>
          </c:extLst>
        </c:ser>
        <c:dLbls>
          <c:showLegendKey val="0"/>
          <c:showVal val="1"/>
          <c:showCatName val="0"/>
          <c:showSerName val="0"/>
          <c:showPercent val="0"/>
          <c:showBubbleSize val="0"/>
        </c:dLbls>
        <c:axId val="583084032"/>
        <c:axId val="1440512"/>
      </c:areaChart>
      <c:catAx>
        <c:axId val="583084032"/>
        <c:scaling>
          <c:orientation val="minMax"/>
        </c:scaling>
        <c:delete val="0"/>
        <c:axPos val="b"/>
        <c:majorGridlines/>
        <c:numFmt formatCode="General" sourceLinked="1"/>
        <c:majorTickMark val="out"/>
        <c:minorTickMark val="none"/>
        <c:tickLblPos val="nextTo"/>
        <c:txPr>
          <a:bodyPr/>
          <a:lstStyle/>
          <a:p>
            <a:pPr>
              <a:defRPr lang="en-US" sz="1100">
                <a:solidFill>
                  <a:schemeClr val="bg1"/>
                </a:solidFill>
              </a:defRPr>
            </a:pPr>
            <a:endParaRPr lang="en-US"/>
          </a:p>
        </c:txPr>
        <c:crossAx val="1440512"/>
        <c:crosses val="autoZero"/>
        <c:auto val="1"/>
        <c:lblAlgn val="ctr"/>
        <c:lblOffset val="100"/>
        <c:noMultiLvlLbl val="0"/>
      </c:catAx>
      <c:valAx>
        <c:axId val="1440512"/>
        <c:scaling>
          <c:orientation val="minMax"/>
        </c:scaling>
        <c:delete val="0"/>
        <c:axPos val="l"/>
        <c:majorGridlines/>
        <c:title>
          <c:tx>
            <c:rich>
              <a:bodyPr rot="-5400000" vert="horz"/>
              <a:lstStyle/>
              <a:p>
                <a:pPr>
                  <a:defRPr lang="en-US"/>
                </a:pPr>
                <a:r>
                  <a:rPr lang="en-US" sz="1200">
                    <a:solidFill>
                      <a:schemeClr val="bg1"/>
                    </a:solidFill>
                  </a:rPr>
                  <a:t>No. of households</a:t>
                </a:r>
              </a:p>
            </c:rich>
          </c:tx>
          <c:layout>
            <c:manualLayout>
              <c:xMode val="edge"/>
              <c:yMode val="edge"/>
              <c:x val="8.0339899575125541E-4"/>
              <c:y val="0.30004963534224377"/>
            </c:manualLayout>
          </c:layout>
          <c:overlay val="0"/>
        </c:title>
        <c:numFmt formatCode="#,##0" sourceLinked="0"/>
        <c:majorTickMark val="out"/>
        <c:minorTickMark val="none"/>
        <c:tickLblPos val="nextTo"/>
        <c:txPr>
          <a:bodyPr rot="0"/>
          <a:lstStyle/>
          <a:p>
            <a:pPr>
              <a:defRPr lang="en-US" sz="1100">
                <a:solidFill>
                  <a:schemeClr val="bg1"/>
                </a:solidFill>
              </a:defRPr>
            </a:pPr>
            <a:endParaRPr lang="en-US"/>
          </a:p>
        </c:txPr>
        <c:crossAx val="583084032"/>
        <c:crosses val="autoZero"/>
        <c:crossBetween val="midCat"/>
      </c:valAx>
    </c:plotArea>
    <c:legend>
      <c:legendPos val="b"/>
      <c:layout>
        <c:manualLayout>
          <c:xMode val="edge"/>
          <c:yMode val="edge"/>
          <c:x val="1.0509393162471138E-2"/>
          <c:y val="0.86386568856545665"/>
          <c:w val="0.9885941429974785"/>
          <c:h val="0.13613431143454369"/>
        </c:manualLayout>
      </c:layout>
      <c:overlay val="0"/>
      <c:txPr>
        <a:bodyPr/>
        <a:lstStyle/>
        <a:p>
          <a:pPr>
            <a:defRPr lang="en-US" sz="1400">
              <a:solidFill>
                <a:schemeClr val="bg1"/>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lang="en-GB" sz="1600">
                <a:solidFill>
                  <a:sysClr val="windowText" lastClr="000000"/>
                </a:solidFill>
              </a:defRPr>
            </a:pPr>
            <a:r>
              <a:rPr lang="en-US" sz="1600">
                <a:solidFill>
                  <a:sysClr val="windowText" lastClr="000000"/>
                </a:solidFill>
              </a:rPr>
              <a:t>Projections</a:t>
            </a:r>
            <a:r>
              <a:rPr lang="en-US" sz="1600" baseline="0">
                <a:solidFill>
                  <a:sysClr val="windowText" lastClr="000000"/>
                </a:solidFill>
              </a:rPr>
              <a:t> of Revenue account</a:t>
            </a:r>
            <a:endParaRPr lang="en-US" sz="1600">
              <a:solidFill>
                <a:sysClr val="windowText" lastClr="000000"/>
              </a:solidFill>
            </a:endParaRPr>
          </a:p>
        </c:rich>
      </c:tx>
      <c:layout>
        <c:manualLayout>
          <c:xMode val="edge"/>
          <c:yMode val="edge"/>
          <c:x val="0.31649757368724368"/>
          <c:y val="1.0325495168424417E-2"/>
        </c:manualLayout>
      </c:layout>
      <c:overlay val="1"/>
    </c:title>
    <c:autoTitleDeleted val="0"/>
    <c:plotArea>
      <c:layout>
        <c:manualLayout>
          <c:layoutTarget val="inner"/>
          <c:xMode val="edge"/>
          <c:yMode val="edge"/>
          <c:x val="6.3939379004986321E-2"/>
          <c:y val="9.9941520984728527E-2"/>
          <c:w val="0.90274361405483394"/>
          <c:h val="0.67119681823975375"/>
        </c:manualLayout>
      </c:layout>
      <c:areaChart>
        <c:grouping val="standard"/>
        <c:varyColors val="0"/>
        <c:ser>
          <c:idx val="0"/>
          <c:order val="0"/>
          <c:tx>
            <c:strRef>
              <c:f>'PIP finance'!$C$901</c:f>
              <c:strCache>
                <c:ptCount val="1"/>
                <c:pt idx="0">
                  <c:v>Revenue income</c:v>
                </c:pt>
              </c:strCache>
            </c:strRef>
          </c:tx>
          <c:spPr>
            <a:solidFill>
              <a:schemeClr val="accent1">
                <a:alpha val="39000"/>
              </a:schemeClr>
            </a:solidFill>
            <a:ln>
              <a:solidFill>
                <a:schemeClr val="bg1"/>
              </a:solidFill>
            </a:ln>
          </c:spPr>
          <c:cat>
            <c:strRef>
              <c:f>'PIP finance'!$D$895:$S$895</c:f>
              <c:strCache>
                <c:ptCount val="16"/>
                <c:pt idx="0">
                  <c:v>2009 </c:v>
                </c:pt>
                <c:pt idx="1">
                  <c:v>2010  (A)</c:v>
                </c:pt>
                <c:pt idx="2">
                  <c:v>2011  (A)</c:v>
                </c:pt>
                <c:pt idx="3">
                  <c:v>2012  (A)</c:v>
                </c:pt>
                <c:pt idx="4">
                  <c:v>2013  (RE)</c:v>
                </c:pt>
                <c:pt idx="5">
                  <c:v>2014 (BE)</c:v>
                </c:pt>
                <c:pt idx="6">
                  <c:v>2015</c:v>
                </c:pt>
                <c:pt idx="7">
                  <c:v>2016</c:v>
                </c:pt>
                <c:pt idx="8">
                  <c:v>2017</c:v>
                </c:pt>
                <c:pt idx="9">
                  <c:v>2018</c:v>
                </c:pt>
                <c:pt idx="10">
                  <c:v>2019</c:v>
                </c:pt>
                <c:pt idx="11">
                  <c:v>2020</c:v>
                </c:pt>
                <c:pt idx="12">
                  <c:v>2021</c:v>
                </c:pt>
                <c:pt idx="13">
                  <c:v>2022</c:v>
                </c:pt>
                <c:pt idx="14">
                  <c:v>2023</c:v>
                </c:pt>
                <c:pt idx="15">
                  <c:v>2024</c:v>
                </c:pt>
              </c:strCache>
            </c:strRef>
          </c:cat>
          <c:val>
            <c:numRef>
              <c:f>'PIP finance'!$D$901:$S$901</c:f>
              <c:numCache>
                <c:formatCode>_(* #,##0_);_(* \(#,##0\);_(* "-"??_);_(@_)</c:formatCode>
                <c:ptCount val="16"/>
                <c:pt idx="0">
                  <c:v>0</c:v>
                </c:pt>
                <c:pt idx="1">
                  <c:v>759.99063500000011</c:v>
                </c:pt>
                <c:pt idx="2">
                  <c:v>807.48027500000012</c:v>
                </c:pt>
                <c:pt idx="3">
                  <c:v>1001.9959299999999</c:v>
                </c:pt>
                <c:pt idx="4">
                  <c:v>1388.9668499999998</c:v>
                </c:pt>
                <c:pt idx="5">
                  <c:v>1403.942</c:v>
                </c:pt>
                <c:pt idx="6">
                  <c:v>952.50332266882515</c:v>
                </c:pt>
                <c:pt idx="7">
                  <c:v>973.99343460337968</c:v>
                </c:pt>
                <c:pt idx="8">
                  <c:v>1013.8523995689334</c:v>
                </c:pt>
                <c:pt idx="9">
                  <c:v>1077.3660813821552</c:v>
                </c:pt>
                <c:pt idx="10">
                  <c:v>1127.3087727463972</c:v>
                </c:pt>
                <c:pt idx="11">
                  <c:v>1160.4893023576205</c:v>
                </c:pt>
                <c:pt idx="12">
                  <c:v>1215.1513120803172</c:v>
                </c:pt>
                <c:pt idx="13">
                  <c:v>1272.1227155401864</c:v>
                </c:pt>
                <c:pt idx="14">
                  <c:v>1331.451789312104</c:v>
                </c:pt>
                <c:pt idx="15">
                  <c:v>1393.2228083875889</c:v>
                </c:pt>
              </c:numCache>
            </c:numRef>
          </c:val>
          <c:extLst xmlns:c16r2="http://schemas.microsoft.com/office/drawing/2015/06/chart">
            <c:ext xmlns:c16="http://schemas.microsoft.com/office/drawing/2014/chart" uri="{C3380CC4-5D6E-409C-BE32-E72D297353CC}">
              <c16:uniqueId val="{00000000-54ED-4549-B65F-7A2604AFADE5}"/>
            </c:ext>
          </c:extLst>
        </c:ser>
        <c:ser>
          <c:idx val="1"/>
          <c:order val="1"/>
          <c:tx>
            <c:strRef>
              <c:f>'PIP finance'!$C$902</c:f>
              <c:strCache>
                <c:ptCount val="1"/>
                <c:pt idx="0">
                  <c:v>Revenue expenditure</c:v>
                </c:pt>
              </c:strCache>
            </c:strRef>
          </c:tx>
          <c:spPr>
            <a:solidFill>
              <a:srgbClr val="C0504D">
                <a:alpha val="32000"/>
              </a:srgbClr>
            </a:solidFill>
          </c:spPr>
          <c:cat>
            <c:strRef>
              <c:f>'PIP finance'!$D$895:$S$895</c:f>
              <c:strCache>
                <c:ptCount val="16"/>
                <c:pt idx="0">
                  <c:v>2009 </c:v>
                </c:pt>
                <c:pt idx="1">
                  <c:v>2010  (A)</c:v>
                </c:pt>
                <c:pt idx="2">
                  <c:v>2011  (A)</c:v>
                </c:pt>
                <c:pt idx="3">
                  <c:v>2012  (A)</c:v>
                </c:pt>
                <c:pt idx="4">
                  <c:v>2013  (RE)</c:v>
                </c:pt>
                <c:pt idx="5">
                  <c:v>2014 (BE)</c:v>
                </c:pt>
                <c:pt idx="6">
                  <c:v>2015</c:v>
                </c:pt>
                <c:pt idx="7">
                  <c:v>2016</c:v>
                </c:pt>
                <c:pt idx="8">
                  <c:v>2017</c:v>
                </c:pt>
                <c:pt idx="9">
                  <c:v>2018</c:v>
                </c:pt>
                <c:pt idx="10">
                  <c:v>2019</c:v>
                </c:pt>
                <c:pt idx="11">
                  <c:v>2020</c:v>
                </c:pt>
                <c:pt idx="12">
                  <c:v>2021</c:v>
                </c:pt>
                <c:pt idx="13">
                  <c:v>2022</c:v>
                </c:pt>
                <c:pt idx="14">
                  <c:v>2023</c:v>
                </c:pt>
                <c:pt idx="15">
                  <c:v>2024</c:v>
                </c:pt>
              </c:strCache>
            </c:strRef>
          </c:cat>
          <c:val>
            <c:numRef>
              <c:f>'PIP finance'!$D$902:$S$902</c:f>
              <c:numCache>
                <c:formatCode>_(* #,##0_);_(* \(#,##0\);_(* "-"??_);_(@_)</c:formatCode>
                <c:ptCount val="16"/>
                <c:pt idx="0">
                  <c:v>0</c:v>
                </c:pt>
                <c:pt idx="1">
                  <c:v>802.12968000000001</c:v>
                </c:pt>
                <c:pt idx="2">
                  <c:v>724.71022999999991</c:v>
                </c:pt>
                <c:pt idx="3">
                  <c:v>918.3304599999999</c:v>
                </c:pt>
                <c:pt idx="4">
                  <c:v>1169.3414</c:v>
                </c:pt>
                <c:pt idx="5">
                  <c:v>1320.70433</c:v>
                </c:pt>
                <c:pt idx="6">
                  <c:v>1052.0641850710294</c:v>
                </c:pt>
                <c:pt idx="7">
                  <c:v>1113.3625601112581</c:v>
                </c:pt>
                <c:pt idx="8">
                  <c:v>1169.7387057641372</c:v>
                </c:pt>
                <c:pt idx="9">
                  <c:v>1222.3721406838933</c:v>
                </c:pt>
                <c:pt idx="10">
                  <c:v>1277.487398103566</c:v>
                </c:pt>
                <c:pt idx="11">
                  <c:v>1335.2044991065263</c:v>
                </c:pt>
                <c:pt idx="12">
                  <c:v>1395.6493557939848</c:v>
                </c:pt>
                <c:pt idx="13">
                  <c:v>1458.9540633469417</c:v>
                </c:pt>
                <c:pt idx="14">
                  <c:v>1525.257206681362</c:v>
                </c:pt>
                <c:pt idx="15">
                  <c:v>1594.7041824307187</c:v>
                </c:pt>
              </c:numCache>
            </c:numRef>
          </c:val>
          <c:extLst xmlns:c16r2="http://schemas.microsoft.com/office/drawing/2015/06/chart">
            <c:ext xmlns:c16="http://schemas.microsoft.com/office/drawing/2014/chart" uri="{C3380CC4-5D6E-409C-BE32-E72D297353CC}">
              <c16:uniqueId val="{00000001-54ED-4549-B65F-7A2604AFADE5}"/>
            </c:ext>
          </c:extLst>
        </c:ser>
        <c:dLbls>
          <c:showLegendKey val="0"/>
          <c:showVal val="0"/>
          <c:showCatName val="0"/>
          <c:showSerName val="0"/>
          <c:showPercent val="0"/>
          <c:showBubbleSize val="0"/>
        </c:dLbls>
        <c:axId val="45127680"/>
        <c:axId val="584538880"/>
      </c:areaChart>
      <c:lineChart>
        <c:grouping val="standard"/>
        <c:varyColors val="0"/>
        <c:ser>
          <c:idx val="2"/>
          <c:order val="2"/>
          <c:tx>
            <c:strRef>
              <c:f>'PIP finance'!$C$903</c:f>
              <c:strCache>
                <c:ptCount val="1"/>
                <c:pt idx="0">
                  <c:v>WSS revenue income</c:v>
                </c:pt>
              </c:strCache>
            </c:strRef>
          </c:tx>
          <c:spPr>
            <a:ln w="50800">
              <a:solidFill>
                <a:schemeClr val="accent1">
                  <a:lumMod val="75000"/>
                </a:schemeClr>
              </a:solidFill>
            </a:ln>
            <a:effectLst/>
          </c:spPr>
          <c:marker>
            <c:symbol val="star"/>
            <c:size val="5"/>
            <c:spPr>
              <a:solidFill>
                <a:schemeClr val="tx2"/>
              </a:solidFill>
              <a:ln>
                <a:solidFill>
                  <a:schemeClr val="accent1">
                    <a:lumMod val="75000"/>
                  </a:schemeClr>
                </a:solidFill>
              </a:ln>
              <a:effectLst/>
            </c:spPr>
          </c:marker>
          <c:cat>
            <c:strRef>
              <c:f>'PIP finance'!$D$895:$S$895</c:f>
              <c:strCache>
                <c:ptCount val="16"/>
                <c:pt idx="0">
                  <c:v>2009 </c:v>
                </c:pt>
                <c:pt idx="1">
                  <c:v>2010  (A)</c:v>
                </c:pt>
                <c:pt idx="2">
                  <c:v>2011  (A)</c:v>
                </c:pt>
                <c:pt idx="3">
                  <c:v>2012  (A)</c:v>
                </c:pt>
                <c:pt idx="4">
                  <c:v>2013  (RE)</c:v>
                </c:pt>
                <c:pt idx="5">
                  <c:v>2014 (BE)</c:v>
                </c:pt>
                <c:pt idx="6">
                  <c:v>2015</c:v>
                </c:pt>
                <c:pt idx="7">
                  <c:v>2016</c:v>
                </c:pt>
                <c:pt idx="8">
                  <c:v>2017</c:v>
                </c:pt>
                <c:pt idx="9">
                  <c:v>2018</c:v>
                </c:pt>
                <c:pt idx="10">
                  <c:v>2019</c:v>
                </c:pt>
                <c:pt idx="11">
                  <c:v>2020</c:v>
                </c:pt>
                <c:pt idx="12">
                  <c:v>2021</c:v>
                </c:pt>
                <c:pt idx="13">
                  <c:v>2022</c:v>
                </c:pt>
                <c:pt idx="14">
                  <c:v>2023</c:v>
                </c:pt>
                <c:pt idx="15">
                  <c:v>2024</c:v>
                </c:pt>
              </c:strCache>
            </c:strRef>
          </c:cat>
          <c:val>
            <c:numRef>
              <c:f>'PIP finance'!$D$903:$S$903</c:f>
              <c:numCache>
                <c:formatCode>_(* #,##0_);_(* \(#,##0\);_(* "-"??_);_(@_)</c:formatCode>
                <c:ptCount val="16"/>
                <c:pt idx="0">
                  <c:v>0</c:v>
                </c:pt>
                <c:pt idx="1">
                  <c:v>0</c:v>
                </c:pt>
                <c:pt idx="2">
                  <c:v>0</c:v>
                </c:pt>
                <c:pt idx="3">
                  <c:v>0</c:v>
                </c:pt>
                <c:pt idx="4">
                  <c:v>0</c:v>
                </c:pt>
                <c:pt idx="5">
                  <c:v>0</c:v>
                </c:pt>
                <c:pt idx="6">
                  <c:v>1.4133333333333336</c:v>
                </c:pt>
                <c:pt idx="7">
                  <c:v>1.4345333333333334</c:v>
                </c:pt>
                <c:pt idx="8">
                  <c:v>1.4563693333333336</c:v>
                </c:pt>
                <c:pt idx="9">
                  <c:v>18.845451697666668</c:v>
                </c:pt>
                <c:pt idx="10">
                  <c:v>19.114907248596666</c:v>
                </c:pt>
                <c:pt idx="11">
                  <c:v>0</c:v>
                </c:pt>
                <c:pt idx="12">
                  <c:v>0</c:v>
                </c:pt>
                <c:pt idx="13">
                  <c:v>0</c:v>
                </c:pt>
                <c:pt idx="14">
                  <c:v>0</c:v>
                </c:pt>
                <c:pt idx="15">
                  <c:v>0</c:v>
                </c:pt>
              </c:numCache>
            </c:numRef>
          </c:val>
          <c:smooth val="0"/>
          <c:extLst xmlns:c16r2="http://schemas.microsoft.com/office/drawing/2015/06/chart">
            <c:ext xmlns:c16="http://schemas.microsoft.com/office/drawing/2014/chart" uri="{C3380CC4-5D6E-409C-BE32-E72D297353CC}">
              <c16:uniqueId val="{00000002-54ED-4549-B65F-7A2604AFADE5}"/>
            </c:ext>
          </c:extLst>
        </c:ser>
        <c:ser>
          <c:idx val="3"/>
          <c:order val="3"/>
          <c:tx>
            <c:strRef>
              <c:f>'PIP finance'!$C$904</c:f>
              <c:strCache>
                <c:ptCount val="1"/>
                <c:pt idx="0">
                  <c:v>WSS revenue expenditure</c:v>
                </c:pt>
              </c:strCache>
            </c:strRef>
          </c:tx>
          <c:spPr>
            <a:ln w="50800">
              <a:solidFill>
                <a:schemeClr val="accent2"/>
              </a:solidFill>
            </a:ln>
            <a:effectLst/>
          </c:spPr>
          <c:marker>
            <c:symbol val="diamond"/>
            <c:size val="7"/>
            <c:spPr>
              <a:solidFill>
                <a:srgbClr val="C0504D"/>
              </a:solidFill>
              <a:ln>
                <a:solidFill>
                  <a:schemeClr val="accent2"/>
                </a:solidFill>
              </a:ln>
              <a:effectLst/>
            </c:spPr>
          </c:marker>
          <c:cat>
            <c:strRef>
              <c:f>'PIP finance'!$D$895:$S$895</c:f>
              <c:strCache>
                <c:ptCount val="16"/>
                <c:pt idx="0">
                  <c:v>2009 </c:v>
                </c:pt>
                <c:pt idx="1">
                  <c:v>2010  (A)</c:v>
                </c:pt>
                <c:pt idx="2">
                  <c:v>2011  (A)</c:v>
                </c:pt>
                <c:pt idx="3">
                  <c:v>2012  (A)</c:v>
                </c:pt>
                <c:pt idx="4">
                  <c:v>2013  (RE)</c:v>
                </c:pt>
                <c:pt idx="5">
                  <c:v>2014 (BE)</c:v>
                </c:pt>
                <c:pt idx="6">
                  <c:v>2015</c:v>
                </c:pt>
                <c:pt idx="7">
                  <c:v>2016</c:v>
                </c:pt>
                <c:pt idx="8">
                  <c:v>2017</c:v>
                </c:pt>
                <c:pt idx="9">
                  <c:v>2018</c:v>
                </c:pt>
                <c:pt idx="10">
                  <c:v>2019</c:v>
                </c:pt>
                <c:pt idx="11">
                  <c:v>2020</c:v>
                </c:pt>
                <c:pt idx="12">
                  <c:v>2021</c:v>
                </c:pt>
                <c:pt idx="13">
                  <c:v>2022</c:v>
                </c:pt>
                <c:pt idx="14">
                  <c:v>2023</c:v>
                </c:pt>
                <c:pt idx="15">
                  <c:v>2024</c:v>
                </c:pt>
              </c:strCache>
            </c:strRef>
          </c:cat>
          <c:val>
            <c:numRef>
              <c:f>'PIP finance'!$D$904:$S$904</c:f>
              <c:numCache>
                <c:formatCode>_(* #,##0_);_(* \(#,##0\);_(* "-"??_);_(@_)</c:formatCode>
                <c:ptCount val="16"/>
                <c:pt idx="0">
                  <c:v>55.488790000000002</c:v>
                </c:pt>
                <c:pt idx="1">
                  <c:v>68.531319999999994</c:v>
                </c:pt>
                <c:pt idx="2">
                  <c:v>84.86090999999999</c:v>
                </c:pt>
                <c:pt idx="3">
                  <c:v>111.61520000000002</c:v>
                </c:pt>
                <c:pt idx="4">
                  <c:v>121.2</c:v>
                </c:pt>
                <c:pt idx="5">
                  <c:v>108</c:v>
                </c:pt>
                <c:pt idx="6">
                  <c:v>131.72021256666667</c:v>
                </c:pt>
                <c:pt idx="7">
                  <c:v>152.56697319500003</c:v>
                </c:pt>
                <c:pt idx="8">
                  <c:v>166.61095310475005</c:v>
                </c:pt>
                <c:pt idx="9">
                  <c:v>174.94150075998755</c:v>
                </c:pt>
                <c:pt idx="10">
                  <c:v>183.68857579798697</c:v>
                </c:pt>
                <c:pt idx="11">
                  <c:v>192.8730045878863</c:v>
                </c:pt>
                <c:pt idx="12">
                  <c:v>202.51665481728062</c:v>
                </c:pt>
                <c:pt idx="13">
                  <c:v>212.64248755814467</c:v>
                </c:pt>
                <c:pt idx="14">
                  <c:v>223.27461193605191</c:v>
                </c:pt>
                <c:pt idx="15">
                  <c:v>234.43834253285451</c:v>
                </c:pt>
              </c:numCache>
            </c:numRef>
          </c:val>
          <c:smooth val="0"/>
          <c:extLst xmlns:c16r2="http://schemas.microsoft.com/office/drawing/2015/06/chart">
            <c:ext xmlns:c16="http://schemas.microsoft.com/office/drawing/2014/chart" uri="{C3380CC4-5D6E-409C-BE32-E72D297353CC}">
              <c16:uniqueId val="{00000003-54ED-4549-B65F-7A2604AFADE5}"/>
            </c:ext>
          </c:extLst>
        </c:ser>
        <c:dLbls>
          <c:showLegendKey val="0"/>
          <c:showVal val="0"/>
          <c:showCatName val="0"/>
          <c:showSerName val="0"/>
          <c:showPercent val="0"/>
          <c:showBubbleSize val="0"/>
        </c:dLbls>
        <c:marker val="1"/>
        <c:smooth val="0"/>
        <c:axId val="45127680"/>
        <c:axId val="584538880"/>
      </c:lineChart>
      <c:catAx>
        <c:axId val="45127680"/>
        <c:scaling>
          <c:orientation val="minMax"/>
        </c:scaling>
        <c:delete val="0"/>
        <c:axPos val="b"/>
        <c:majorGridlines>
          <c:spPr>
            <a:ln>
              <a:solidFill>
                <a:schemeClr val="bg1">
                  <a:lumMod val="85000"/>
                </a:schemeClr>
              </a:solidFill>
            </a:ln>
          </c:spPr>
        </c:majorGridlines>
        <c:numFmt formatCode="General" sourceLinked="0"/>
        <c:majorTickMark val="out"/>
        <c:minorTickMark val="none"/>
        <c:tickLblPos val="nextTo"/>
        <c:txPr>
          <a:bodyPr/>
          <a:lstStyle/>
          <a:p>
            <a:pPr>
              <a:defRPr lang="en-GB" sz="1100">
                <a:solidFill>
                  <a:sysClr val="windowText" lastClr="000000"/>
                </a:solidFill>
              </a:defRPr>
            </a:pPr>
            <a:endParaRPr lang="en-US"/>
          </a:p>
        </c:txPr>
        <c:crossAx val="584538880"/>
        <c:crosses val="autoZero"/>
        <c:auto val="1"/>
        <c:lblAlgn val="ctr"/>
        <c:lblOffset val="100"/>
        <c:noMultiLvlLbl val="0"/>
      </c:catAx>
      <c:valAx>
        <c:axId val="584538880"/>
        <c:scaling>
          <c:orientation val="minMax"/>
        </c:scaling>
        <c:delete val="0"/>
        <c:axPos val="l"/>
        <c:majorGridlines>
          <c:spPr>
            <a:ln>
              <a:solidFill>
                <a:schemeClr val="bg1">
                  <a:lumMod val="85000"/>
                </a:schemeClr>
              </a:solidFill>
            </a:ln>
          </c:spPr>
        </c:majorGridlines>
        <c:numFmt formatCode="_(* #,##0_);_(* \(#,##0\);_(* &quot;-&quot;??_);_(@_)" sourceLinked="1"/>
        <c:majorTickMark val="out"/>
        <c:minorTickMark val="none"/>
        <c:tickLblPos val="nextTo"/>
        <c:txPr>
          <a:bodyPr/>
          <a:lstStyle/>
          <a:p>
            <a:pPr>
              <a:defRPr lang="en-GB" sz="1100">
                <a:solidFill>
                  <a:sysClr val="windowText" lastClr="000000"/>
                </a:solidFill>
              </a:defRPr>
            </a:pPr>
            <a:endParaRPr lang="en-US"/>
          </a:p>
        </c:txPr>
        <c:crossAx val="45127680"/>
        <c:crosses val="autoZero"/>
        <c:crossBetween val="between"/>
      </c:valAx>
    </c:plotArea>
    <c:legend>
      <c:legendPos val="b"/>
      <c:layout>
        <c:manualLayout>
          <c:xMode val="edge"/>
          <c:yMode val="edge"/>
          <c:x val="1.0304415543177401E-2"/>
          <c:y val="0.9299258940807501"/>
          <c:w val="0.98294082313163267"/>
          <c:h val="6.0392443789992013E-2"/>
        </c:manualLayout>
      </c:layout>
      <c:overlay val="0"/>
      <c:txPr>
        <a:bodyPr/>
        <a:lstStyle/>
        <a:p>
          <a:pPr>
            <a:defRPr lang="en-GB" sz="1200">
              <a:solidFill>
                <a:sysClr val="windowText" lastClr="000000"/>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50800" dist="38100" dir="2700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lang="en-GB" sz="1600">
                <a:solidFill>
                  <a:sysClr val="windowText" lastClr="000000"/>
                </a:solidFill>
              </a:defRPr>
            </a:pPr>
            <a:r>
              <a:rPr lang="en-US" sz="1600">
                <a:solidFill>
                  <a:sysClr val="windowText" lastClr="000000"/>
                </a:solidFill>
              </a:rPr>
              <a:t>Projections</a:t>
            </a:r>
            <a:r>
              <a:rPr lang="en-US" sz="1600" baseline="0">
                <a:solidFill>
                  <a:sysClr val="windowText" lastClr="000000"/>
                </a:solidFill>
              </a:rPr>
              <a:t> of Capital account</a:t>
            </a:r>
            <a:endParaRPr lang="en-US" sz="1600">
              <a:solidFill>
                <a:sysClr val="windowText" lastClr="000000"/>
              </a:solidFill>
            </a:endParaRPr>
          </a:p>
        </c:rich>
      </c:tx>
      <c:layout>
        <c:manualLayout>
          <c:xMode val="edge"/>
          <c:yMode val="edge"/>
          <c:x val="0.31668307086614267"/>
          <c:y val="1.0325481730304061E-2"/>
        </c:manualLayout>
      </c:layout>
      <c:overlay val="1"/>
    </c:title>
    <c:autoTitleDeleted val="0"/>
    <c:plotArea>
      <c:layout>
        <c:manualLayout>
          <c:layoutTarget val="inner"/>
          <c:xMode val="edge"/>
          <c:yMode val="edge"/>
          <c:x val="6.3939379004986321E-2"/>
          <c:y val="9.9935077085976765E-2"/>
          <c:w val="0.90274361405483416"/>
          <c:h val="0.68398343724042265"/>
        </c:manualLayout>
      </c:layout>
      <c:areaChart>
        <c:grouping val="standard"/>
        <c:varyColors val="0"/>
        <c:ser>
          <c:idx val="0"/>
          <c:order val="0"/>
          <c:tx>
            <c:strRef>
              <c:f>'PIP finance'!$C$896</c:f>
              <c:strCache>
                <c:ptCount val="1"/>
                <c:pt idx="0">
                  <c:v>Capital income</c:v>
                </c:pt>
              </c:strCache>
            </c:strRef>
          </c:tx>
          <c:spPr>
            <a:solidFill>
              <a:schemeClr val="accent1">
                <a:alpha val="39000"/>
              </a:schemeClr>
            </a:solidFill>
            <a:ln>
              <a:solidFill>
                <a:schemeClr val="bg1"/>
              </a:solidFill>
            </a:ln>
          </c:spPr>
          <c:cat>
            <c:strRef>
              <c:f>'PIP finance'!$D$895:$S$895</c:f>
              <c:strCache>
                <c:ptCount val="16"/>
                <c:pt idx="0">
                  <c:v>2009 </c:v>
                </c:pt>
                <c:pt idx="1">
                  <c:v>2010  (A)</c:v>
                </c:pt>
                <c:pt idx="2">
                  <c:v>2011  (A)</c:v>
                </c:pt>
                <c:pt idx="3">
                  <c:v>2012  (A)</c:v>
                </c:pt>
                <c:pt idx="4">
                  <c:v>2013  (RE)</c:v>
                </c:pt>
                <c:pt idx="5">
                  <c:v>2014 (BE)</c:v>
                </c:pt>
                <c:pt idx="6">
                  <c:v>2015</c:v>
                </c:pt>
                <c:pt idx="7">
                  <c:v>2016</c:v>
                </c:pt>
                <c:pt idx="8">
                  <c:v>2017</c:v>
                </c:pt>
                <c:pt idx="9">
                  <c:v>2018</c:v>
                </c:pt>
                <c:pt idx="10">
                  <c:v>2019</c:v>
                </c:pt>
                <c:pt idx="11">
                  <c:v>2020</c:v>
                </c:pt>
                <c:pt idx="12">
                  <c:v>2021</c:v>
                </c:pt>
                <c:pt idx="13">
                  <c:v>2022</c:v>
                </c:pt>
                <c:pt idx="14">
                  <c:v>2023</c:v>
                </c:pt>
                <c:pt idx="15">
                  <c:v>2024</c:v>
                </c:pt>
              </c:strCache>
            </c:strRef>
          </c:cat>
          <c:val>
            <c:numRef>
              <c:f>'PIP finance'!$D$896:$S$896</c:f>
              <c:numCache>
                <c:formatCode>_(* #,##0_);_(* \(#,##0\);_(* "-"??_);_(@_)</c:formatCode>
                <c:ptCount val="16"/>
                <c:pt idx="0">
                  <c:v>0</c:v>
                </c:pt>
                <c:pt idx="1">
                  <c:v>196.53337499999998</c:v>
                </c:pt>
                <c:pt idx="2">
                  <c:v>644.02077500000007</c:v>
                </c:pt>
                <c:pt idx="3">
                  <c:v>128.93708999999998</c:v>
                </c:pt>
                <c:pt idx="4">
                  <c:v>962.6</c:v>
                </c:pt>
                <c:pt idx="5">
                  <c:v>688.2</c:v>
                </c:pt>
                <c:pt idx="6">
                  <c:v>373.74</c:v>
                </c:pt>
                <c:pt idx="7">
                  <c:v>358.87799999999999</c:v>
                </c:pt>
                <c:pt idx="8">
                  <c:v>371.63453999999996</c:v>
                </c:pt>
                <c:pt idx="9">
                  <c:v>387.50560175999999</c:v>
                </c:pt>
                <c:pt idx="10">
                  <c:v>414.63099388320006</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0-0DD6-44ED-A4FF-62E210231089}"/>
            </c:ext>
          </c:extLst>
        </c:ser>
        <c:ser>
          <c:idx val="1"/>
          <c:order val="1"/>
          <c:tx>
            <c:strRef>
              <c:f>'PIP finance'!$C$897</c:f>
              <c:strCache>
                <c:ptCount val="1"/>
                <c:pt idx="0">
                  <c:v>Capital expenditure</c:v>
                </c:pt>
              </c:strCache>
            </c:strRef>
          </c:tx>
          <c:spPr>
            <a:solidFill>
              <a:srgbClr val="C0504D">
                <a:alpha val="32000"/>
              </a:srgbClr>
            </a:solidFill>
          </c:spPr>
          <c:cat>
            <c:strRef>
              <c:f>'PIP finance'!$D$895:$S$895</c:f>
              <c:strCache>
                <c:ptCount val="16"/>
                <c:pt idx="0">
                  <c:v>2009 </c:v>
                </c:pt>
                <c:pt idx="1">
                  <c:v>2010  (A)</c:v>
                </c:pt>
                <c:pt idx="2">
                  <c:v>2011  (A)</c:v>
                </c:pt>
                <c:pt idx="3">
                  <c:v>2012  (A)</c:v>
                </c:pt>
                <c:pt idx="4">
                  <c:v>2013  (RE)</c:v>
                </c:pt>
                <c:pt idx="5">
                  <c:v>2014 (BE)</c:v>
                </c:pt>
                <c:pt idx="6">
                  <c:v>2015</c:v>
                </c:pt>
                <c:pt idx="7">
                  <c:v>2016</c:v>
                </c:pt>
                <c:pt idx="8">
                  <c:v>2017</c:v>
                </c:pt>
                <c:pt idx="9">
                  <c:v>2018</c:v>
                </c:pt>
                <c:pt idx="10">
                  <c:v>2019</c:v>
                </c:pt>
                <c:pt idx="11">
                  <c:v>2020</c:v>
                </c:pt>
                <c:pt idx="12">
                  <c:v>2021</c:v>
                </c:pt>
                <c:pt idx="13">
                  <c:v>2022</c:v>
                </c:pt>
                <c:pt idx="14">
                  <c:v>2023</c:v>
                </c:pt>
                <c:pt idx="15">
                  <c:v>2024</c:v>
                </c:pt>
              </c:strCache>
            </c:strRef>
          </c:cat>
          <c:val>
            <c:numRef>
              <c:f>'PIP finance'!$D$897:$S$897</c:f>
              <c:numCache>
                <c:formatCode>_(* #,##0_);_(* \(#,##0\);_(* "-"??_);_(@_)</c:formatCode>
                <c:ptCount val="16"/>
                <c:pt idx="0">
                  <c:v>0</c:v>
                </c:pt>
                <c:pt idx="1">
                  <c:v>188.28072999999998</c:v>
                </c:pt>
                <c:pt idx="2">
                  <c:v>958.62439000000006</c:v>
                </c:pt>
                <c:pt idx="3">
                  <c:v>215.00096000000002</c:v>
                </c:pt>
                <c:pt idx="4">
                  <c:v>939.1</c:v>
                </c:pt>
                <c:pt idx="5">
                  <c:v>471.2</c:v>
                </c:pt>
                <c:pt idx="6">
                  <c:v>345.26666666666671</c:v>
                </c:pt>
                <c:pt idx="7">
                  <c:v>301.06233333333336</c:v>
                </c:pt>
                <c:pt idx="8">
                  <c:v>256.87739666666664</c:v>
                </c:pt>
                <c:pt idx="9">
                  <c:v>242.19100109999999</c:v>
                </c:pt>
                <c:pt idx="10">
                  <c:v>259.14437117700004</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1-0DD6-44ED-A4FF-62E210231089}"/>
            </c:ext>
          </c:extLst>
        </c:ser>
        <c:dLbls>
          <c:showLegendKey val="0"/>
          <c:showVal val="0"/>
          <c:showCatName val="0"/>
          <c:showSerName val="0"/>
          <c:showPercent val="0"/>
          <c:showBubbleSize val="0"/>
        </c:dLbls>
        <c:axId val="45129216"/>
        <c:axId val="585867840"/>
      </c:areaChart>
      <c:lineChart>
        <c:grouping val="standard"/>
        <c:varyColors val="0"/>
        <c:ser>
          <c:idx val="2"/>
          <c:order val="2"/>
          <c:tx>
            <c:strRef>
              <c:f>'PIP finance'!$C$898</c:f>
              <c:strCache>
                <c:ptCount val="1"/>
                <c:pt idx="0">
                  <c:v>WSS capital income</c:v>
                </c:pt>
              </c:strCache>
            </c:strRef>
          </c:tx>
          <c:spPr>
            <a:ln w="50800">
              <a:solidFill>
                <a:schemeClr val="accent1">
                  <a:lumMod val="75000"/>
                </a:schemeClr>
              </a:solidFill>
            </a:ln>
            <a:effectLst/>
          </c:spPr>
          <c:marker>
            <c:symbol val="star"/>
            <c:size val="5"/>
            <c:spPr>
              <a:solidFill>
                <a:schemeClr val="tx2"/>
              </a:solidFill>
              <a:ln>
                <a:solidFill>
                  <a:schemeClr val="accent1">
                    <a:lumMod val="75000"/>
                  </a:schemeClr>
                </a:solidFill>
              </a:ln>
              <a:effectLst/>
            </c:spPr>
          </c:marker>
          <c:val>
            <c:numRef>
              <c:f>'PIP finance'!$D$898:$S$898</c:f>
              <c:numCache>
                <c:formatCode>_(* #,##0_);_(* \(#,##0\);_(* "-"??_);_(@_)</c:formatCode>
                <c:ptCount val="16"/>
                <c:pt idx="0">
                  <c:v>0</c:v>
                </c:pt>
                <c:pt idx="1">
                  <c:v>0</c:v>
                </c:pt>
                <c:pt idx="2">
                  <c:v>0</c:v>
                </c:pt>
                <c:pt idx="3">
                  <c:v>0</c:v>
                </c:pt>
                <c:pt idx="4">
                  <c:v>0</c:v>
                </c:pt>
                <c:pt idx="5">
                  <c:v>0</c:v>
                </c:pt>
                <c:pt idx="6">
                  <c:v>373.74</c:v>
                </c:pt>
                <c:pt idx="7">
                  <c:v>358.87799999999999</c:v>
                </c:pt>
                <c:pt idx="8">
                  <c:v>371.63453999999996</c:v>
                </c:pt>
                <c:pt idx="9">
                  <c:v>387.50560175999999</c:v>
                </c:pt>
                <c:pt idx="10">
                  <c:v>414.63099388320006</c:v>
                </c:pt>
                <c:pt idx="11">
                  <c:v>0</c:v>
                </c:pt>
                <c:pt idx="12">
                  <c:v>0</c:v>
                </c:pt>
                <c:pt idx="13">
                  <c:v>0</c:v>
                </c:pt>
                <c:pt idx="14">
                  <c:v>0</c:v>
                </c:pt>
                <c:pt idx="15">
                  <c:v>0</c:v>
                </c:pt>
              </c:numCache>
            </c:numRef>
          </c:val>
          <c:smooth val="0"/>
          <c:extLst xmlns:c16r2="http://schemas.microsoft.com/office/drawing/2015/06/chart">
            <c:ext xmlns:c16="http://schemas.microsoft.com/office/drawing/2014/chart" uri="{C3380CC4-5D6E-409C-BE32-E72D297353CC}">
              <c16:uniqueId val="{00000002-0DD6-44ED-A4FF-62E210231089}"/>
            </c:ext>
          </c:extLst>
        </c:ser>
        <c:ser>
          <c:idx val="3"/>
          <c:order val="3"/>
          <c:tx>
            <c:strRef>
              <c:f>'PIP finance'!$C$899</c:f>
              <c:strCache>
                <c:ptCount val="1"/>
                <c:pt idx="0">
                  <c:v>WSS capital expenditure</c:v>
                </c:pt>
              </c:strCache>
            </c:strRef>
          </c:tx>
          <c:spPr>
            <a:ln w="50800">
              <a:solidFill>
                <a:schemeClr val="accent2"/>
              </a:solidFill>
            </a:ln>
            <a:effectLst/>
          </c:spPr>
          <c:marker>
            <c:symbol val="diamond"/>
            <c:size val="7"/>
            <c:spPr>
              <a:solidFill>
                <a:srgbClr val="C0504D"/>
              </a:solidFill>
              <a:ln>
                <a:solidFill>
                  <a:schemeClr val="accent2"/>
                </a:solidFill>
              </a:ln>
              <a:effectLst/>
            </c:spPr>
          </c:marker>
          <c:val>
            <c:numRef>
              <c:f>'PIP finance'!$D$899:$S$899</c:f>
              <c:numCache>
                <c:formatCode>_(* #,##0_);_(* \(#,##0\);_(* "-"??_);_(@_)</c:formatCode>
                <c:ptCount val="16"/>
                <c:pt idx="0">
                  <c:v>0</c:v>
                </c:pt>
                <c:pt idx="1">
                  <c:v>0</c:v>
                </c:pt>
                <c:pt idx="2">
                  <c:v>0</c:v>
                </c:pt>
                <c:pt idx="3">
                  <c:v>0</c:v>
                </c:pt>
                <c:pt idx="4">
                  <c:v>0</c:v>
                </c:pt>
                <c:pt idx="5">
                  <c:v>0</c:v>
                </c:pt>
                <c:pt idx="6">
                  <c:v>345.26666666666671</c:v>
                </c:pt>
                <c:pt idx="7">
                  <c:v>301.06233333333336</c:v>
                </c:pt>
                <c:pt idx="8">
                  <c:v>256.87739666666664</c:v>
                </c:pt>
                <c:pt idx="9">
                  <c:v>242.19100109999999</c:v>
                </c:pt>
                <c:pt idx="10">
                  <c:v>259.14437117700004</c:v>
                </c:pt>
                <c:pt idx="11">
                  <c:v>0</c:v>
                </c:pt>
                <c:pt idx="12">
                  <c:v>0</c:v>
                </c:pt>
                <c:pt idx="13">
                  <c:v>0</c:v>
                </c:pt>
                <c:pt idx="14">
                  <c:v>0</c:v>
                </c:pt>
                <c:pt idx="15">
                  <c:v>0</c:v>
                </c:pt>
              </c:numCache>
            </c:numRef>
          </c:val>
          <c:smooth val="0"/>
          <c:extLst xmlns:c16r2="http://schemas.microsoft.com/office/drawing/2015/06/chart">
            <c:ext xmlns:c16="http://schemas.microsoft.com/office/drawing/2014/chart" uri="{C3380CC4-5D6E-409C-BE32-E72D297353CC}">
              <c16:uniqueId val="{00000003-0DD6-44ED-A4FF-62E210231089}"/>
            </c:ext>
          </c:extLst>
        </c:ser>
        <c:dLbls>
          <c:showLegendKey val="0"/>
          <c:showVal val="0"/>
          <c:showCatName val="0"/>
          <c:showSerName val="0"/>
          <c:showPercent val="0"/>
          <c:showBubbleSize val="0"/>
        </c:dLbls>
        <c:marker val="1"/>
        <c:smooth val="0"/>
        <c:axId val="45129216"/>
        <c:axId val="585867840"/>
      </c:lineChart>
      <c:catAx>
        <c:axId val="45129216"/>
        <c:scaling>
          <c:orientation val="minMax"/>
        </c:scaling>
        <c:delete val="0"/>
        <c:axPos val="b"/>
        <c:majorGridlines>
          <c:spPr>
            <a:ln>
              <a:solidFill>
                <a:schemeClr val="bg1">
                  <a:lumMod val="85000"/>
                </a:schemeClr>
              </a:solidFill>
            </a:ln>
          </c:spPr>
        </c:majorGridlines>
        <c:numFmt formatCode="General" sourceLinked="0"/>
        <c:majorTickMark val="out"/>
        <c:minorTickMark val="none"/>
        <c:tickLblPos val="nextTo"/>
        <c:txPr>
          <a:bodyPr/>
          <a:lstStyle/>
          <a:p>
            <a:pPr>
              <a:defRPr lang="en-GB" sz="1100">
                <a:solidFill>
                  <a:sysClr val="windowText" lastClr="000000"/>
                </a:solidFill>
              </a:defRPr>
            </a:pPr>
            <a:endParaRPr lang="en-US"/>
          </a:p>
        </c:txPr>
        <c:crossAx val="585867840"/>
        <c:crosses val="autoZero"/>
        <c:auto val="1"/>
        <c:lblAlgn val="ctr"/>
        <c:lblOffset val="100"/>
        <c:noMultiLvlLbl val="0"/>
      </c:catAx>
      <c:valAx>
        <c:axId val="585867840"/>
        <c:scaling>
          <c:orientation val="minMax"/>
        </c:scaling>
        <c:delete val="0"/>
        <c:axPos val="l"/>
        <c:majorGridlines>
          <c:spPr>
            <a:ln>
              <a:solidFill>
                <a:schemeClr val="bg1">
                  <a:lumMod val="85000"/>
                </a:schemeClr>
              </a:solidFill>
            </a:ln>
          </c:spPr>
        </c:majorGridlines>
        <c:numFmt formatCode="_(* #,##0_);_(* \(#,##0\);_(* &quot;-&quot;??_);_(@_)" sourceLinked="1"/>
        <c:majorTickMark val="out"/>
        <c:minorTickMark val="none"/>
        <c:tickLblPos val="nextTo"/>
        <c:txPr>
          <a:bodyPr/>
          <a:lstStyle/>
          <a:p>
            <a:pPr>
              <a:defRPr lang="en-GB" sz="1100">
                <a:solidFill>
                  <a:sysClr val="windowText" lastClr="000000"/>
                </a:solidFill>
              </a:defRPr>
            </a:pPr>
            <a:endParaRPr lang="en-US"/>
          </a:p>
        </c:txPr>
        <c:crossAx val="45129216"/>
        <c:crosses val="autoZero"/>
        <c:crossBetween val="between"/>
      </c:valAx>
    </c:plotArea>
    <c:legend>
      <c:legendPos val="b"/>
      <c:layout>
        <c:manualLayout>
          <c:xMode val="edge"/>
          <c:yMode val="edge"/>
          <c:x val="0"/>
          <c:y val="0.93331890213828772"/>
          <c:w val="1"/>
          <c:h val="6.3513843816339802E-2"/>
        </c:manualLayout>
      </c:layout>
      <c:overlay val="0"/>
      <c:txPr>
        <a:bodyPr/>
        <a:lstStyle/>
        <a:p>
          <a:pPr>
            <a:defRPr lang="en-GB" sz="1200">
              <a:solidFill>
                <a:sysClr val="windowText" lastClr="000000"/>
              </a:solidFill>
            </a:defRPr>
          </a:pPr>
          <a:endParaRPr lang="en-US"/>
        </a:p>
      </c:txPr>
    </c:legend>
    <c:plotVisOnly val="1"/>
    <c:dispBlanksAs val="zero"/>
    <c:showDLblsOverMax val="0"/>
  </c:chart>
  <c:spPr>
    <a:solidFill>
      <a:schemeClr val="bg1">
        <a:lumMod val="50000"/>
      </a:schemeClr>
    </a:solidFill>
    <a:ln>
      <a:solidFill>
        <a:schemeClr val="bg1"/>
      </a:solidFill>
    </a:ln>
    <a:effectLst>
      <a:outerShdw blurRad="50800" dist="38100" dir="2700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a:t>Financial ratios of Income</a:t>
            </a:r>
          </a:p>
        </c:rich>
      </c:tx>
      <c:layout>
        <c:manualLayout>
          <c:xMode val="edge"/>
          <c:yMode val="edge"/>
          <c:x val="0.29849528056118929"/>
          <c:y val="1.0325379539000461E-2"/>
        </c:manualLayout>
      </c:layout>
      <c:overlay val="1"/>
    </c:title>
    <c:autoTitleDeleted val="0"/>
    <c:plotArea>
      <c:layout>
        <c:manualLayout>
          <c:layoutTarget val="inner"/>
          <c:xMode val="edge"/>
          <c:yMode val="edge"/>
          <c:x val="6.3939379004986321E-2"/>
          <c:y val="9.389929355988802E-2"/>
          <c:w val="0.90274361405483461"/>
          <c:h val="0.63406293984147188"/>
        </c:manualLayout>
      </c:layout>
      <c:lineChart>
        <c:grouping val="standard"/>
        <c:varyColors val="0"/>
        <c:ser>
          <c:idx val="0"/>
          <c:order val="0"/>
          <c:tx>
            <c:v>RI as % of total income</c:v>
          </c:tx>
          <c:spPr>
            <a:ln w="44450">
              <a:solidFill>
                <a:schemeClr val="accent6"/>
              </a:solidFill>
            </a:ln>
          </c:spPr>
          <c:marker>
            <c:symbol val="none"/>
          </c:marker>
          <c:val>
            <c:numRef>
              <c:f>'Financial Projections'!$E$327:$T$327</c:f>
            </c:numRef>
          </c:val>
          <c:smooth val="0"/>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'Financial Projections'!$E$320:$T$320</c15:sqref>
                        </c15:formulaRef>
                      </c:ext>
                    </c:extLst>
                  </c:multiLvlStrRef>
                </c15:cat>
              </c15:filteredCategoryTitle>
            </c:ext>
            <c:ext xmlns:c16="http://schemas.microsoft.com/office/drawing/2014/chart" uri="{C3380CC4-5D6E-409C-BE32-E72D297353CC}">
              <c16:uniqueId val="{00000000-BCA4-4735-AF93-6A199794C28C}"/>
            </c:ext>
          </c:extLst>
        </c:ser>
        <c:ser>
          <c:idx val="1"/>
          <c:order val="1"/>
          <c:tx>
            <c:v>RI from own sources</c:v>
          </c:tx>
          <c:spPr>
            <a:ln w="44450"/>
          </c:spPr>
          <c:marker>
            <c:symbol val="none"/>
          </c:marker>
          <c:val>
            <c:numRef>
              <c:f>'Financial Projections'!$E$328:$T$328</c:f>
            </c:numRef>
          </c:val>
          <c:smooth val="0"/>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'Financial Projections'!$E$320:$T$320</c15:sqref>
                        </c15:formulaRef>
                      </c:ext>
                    </c:extLst>
                  </c:multiLvlStrRef>
                </c15:cat>
              </c15:filteredCategoryTitle>
            </c:ext>
            <c:ext xmlns:c16="http://schemas.microsoft.com/office/drawing/2014/chart" uri="{C3380CC4-5D6E-409C-BE32-E72D297353CC}">
              <c16:uniqueId val="{00000001-BCA4-4735-AF93-6A199794C28C}"/>
            </c:ext>
          </c:extLst>
        </c:ser>
        <c:ser>
          <c:idx val="2"/>
          <c:order val="2"/>
          <c:tx>
            <c:v>RI from grants</c:v>
          </c:tx>
          <c:spPr>
            <a:ln w="44450"/>
          </c:spPr>
          <c:marker>
            <c:symbol val="none"/>
          </c:marker>
          <c:val>
            <c:numRef>
              <c:f>'Financial Projections'!$E$329:$T$329</c:f>
            </c:numRef>
          </c:val>
          <c:smooth val="0"/>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'Financial Projections'!$E$320:$T$320</c15:sqref>
                        </c15:formulaRef>
                      </c:ext>
                    </c:extLst>
                  </c:multiLvlStrRef>
                </c15:cat>
              </c15:filteredCategoryTitle>
            </c:ext>
            <c:ext xmlns:c16="http://schemas.microsoft.com/office/drawing/2014/chart" uri="{C3380CC4-5D6E-409C-BE32-E72D297353CC}">
              <c16:uniqueId val="{00000002-BCA4-4735-AF93-6A199794C28C}"/>
            </c:ext>
          </c:extLst>
        </c:ser>
        <c:ser>
          <c:idx val="3"/>
          <c:order val="3"/>
          <c:tx>
            <c:v>WSS RI as % of total RI</c:v>
          </c:tx>
          <c:spPr>
            <a:ln w="44450"/>
          </c:spPr>
          <c:marker>
            <c:symbol val="none"/>
          </c:marker>
          <c:val>
            <c:numRef>
              <c:f>'Financial Projections'!$E$330:$T$330</c:f>
            </c:numRef>
          </c:val>
          <c:smooth val="0"/>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'Financial Projections'!$E$320:$T$320</c15:sqref>
                        </c15:formulaRef>
                      </c:ext>
                    </c:extLst>
                  </c:multiLvlStrRef>
                </c15:cat>
              </c15:filteredCategoryTitle>
            </c:ext>
            <c:ext xmlns:c16="http://schemas.microsoft.com/office/drawing/2014/chart" uri="{C3380CC4-5D6E-409C-BE32-E72D297353CC}">
              <c16:uniqueId val="{00000003-BCA4-4735-AF93-6A199794C28C}"/>
            </c:ext>
          </c:extLst>
        </c:ser>
        <c:ser>
          <c:idx val="4"/>
          <c:order val="4"/>
          <c:tx>
            <c:v>WSS CapIn as total CapIn</c:v>
          </c:tx>
          <c:spPr>
            <a:ln w="44450"/>
          </c:spPr>
          <c:marker>
            <c:symbol val="none"/>
          </c:marker>
          <c:val>
            <c:numRef>
              <c:f>'Financial Projections'!$E$331:$T$331</c:f>
            </c:numRef>
          </c:val>
          <c:smooth val="0"/>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'Financial Projections'!$E$320:$T$320</c15:sqref>
                        </c15:formulaRef>
                      </c:ext>
                    </c:extLst>
                  </c:multiLvlStrRef>
                </c15:cat>
              </c15:filteredCategoryTitle>
            </c:ext>
            <c:ext xmlns:c16="http://schemas.microsoft.com/office/drawing/2014/chart" uri="{C3380CC4-5D6E-409C-BE32-E72D297353CC}">
              <c16:uniqueId val="{00000004-BCA4-4735-AF93-6A199794C28C}"/>
            </c:ext>
          </c:extLst>
        </c:ser>
        <c:dLbls>
          <c:showLegendKey val="0"/>
          <c:showVal val="0"/>
          <c:showCatName val="0"/>
          <c:showSerName val="0"/>
          <c:showPercent val="0"/>
          <c:showBubbleSize val="0"/>
        </c:dLbls>
        <c:marker val="1"/>
        <c:smooth val="0"/>
        <c:axId val="45404672"/>
        <c:axId val="585870144"/>
      </c:lineChart>
      <c:catAx>
        <c:axId val="45404672"/>
        <c:scaling>
          <c:orientation val="minMax"/>
        </c:scaling>
        <c:delete val="0"/>
        <c:axPos val="b"/>
        <c:majorGridlines>
          <c:spPr>
            <a:ln>
              <a:solidFill>
                <a:schemeClr val="bg1">
                  <a:lumMod val="85000"/>
                </a:schemeClr>
              </a:solidFill>
            </a:ln>
          </c:spPr>
        </c:majorGridlines>
        <c:numFmt formatCode="General" sourceLinked="0"/>
        <c:majorTickMark val="out"/>
        <c:minorTickMark val="none"/>
        <c:tickLblPos val="nextTo"/>
        <c:txPr>
          <a:bodyPr/>
          <a:lstStyle/>
          <a:p>
            <a:pPr>
              <a:defRPr lang="en-GB" sz="1100"/>
            </a:pPr>
            <a:endParaRPr lang="en-US"/>
          </a:p>
        </c:txPr>
        <c:crossAx val="585870144"/>
        <c:crosses val="autoZero"/>
        <c:auto val="1"/>
        <c:lblAlgn val="ctr"/>
        <c:lblOffset val="100"/>
        <c:noMultiLvlLbl val="0"/>
      </c:catAx>
      <c:valAx>
        <c:axId val="585870144"/>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lang="en-GB" sz="1100"/>
            </a:pPr>
            <a:endParaRPr lang="en-US"/>
          </a:p>
        </c:txPr>
        <c:crossAx val="45404672"/>
        <c:crosses val="autoZero"/>
        <c:crossBetween val="between"/>
      </c:valAx>
    </c:plotArea>
    <c:legend>
      <c:legendPos val="b"/>
      <c:layout>
        <c:manualLayout>
          <c:xMode val="edge"/>
          <c:yMode val="edge"/>
          <c:x val="1.0304415543177401E-2"/>
          <c:y val="0.88800614178631265"/>
          <c:w val="0.97574417665156254"/>
          <c:h val="0.11199385821363129"/>
        </c:manualLayout>
      </c:layout>
      <c:overlay val="0"/>
      <c:txPr>
        <a:bodyPr/>
        <a:lstStyle/>
        <a:p>
          <a:pPr>
            <a:defRPr lang="en-GB" sz="1200"/>
          </a:pPr>
          <a:endParaRPr lang="en-US"/>
        </a:p>
      </c:txPr>
    </c:legend>
    <c:plotVisOnly val="1"/>
    <c:dispBlanksAs val="zero"/>
    <c:showDLblsOverMax val="0"/>
  </c:chart>
  <c:spPr>
    <a:solidFill>
      <a:schemeClr val="bg1">
        <a:lumMod val="50000"/>
      </a:schemeClr>
    </a:solidFill>
    <a:ln>
      <a:solidFill>
        <a:schemeClr val="bg1"/>
      </a:solidFill>
    </a:ln>
    <a:effectLst>
      <a:outerShdw blurRad="50800" dist="38100" dir="2700000" algn="tl" rotWithShape="0">
        <a:prstClr val="black">
          <a:alpha val="40000"/>
        </a:prstClr>
      </a:outerShdw>
    </a:effectLst>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a:t>Financial ratios of Expenditure</a:t>
            </a:r>
          </a:p>
        </c:rich>
      </c:tx>
      <c:layout>
        <c:manualLayout>
          <c:xMode val="edge"/>
          <c:yMode val="edge"/>
          <c:x val="0.29849528056118929"/>
          <c:y val="1.0325379539000461E-2"/>
        </c:manualLayout>
      </c:layout>
      <c:overlay val="1"/>
    </c:title>
    <c:autoTitleDeleted val="0"/>
    <c:plotArea>
      <c:layout>
        <c:manualLayout>
          <c:layoutTarget val="inner"/>
          <c:xMode val="edge"/>
          <c:yMode val="edge"/>
          <c:x val="6.3939379004986321E-2"/>
          <c:y val="9.3900439169245745E-2"/>
          <c:w val="0.90274361405483483"/>
          <c:h val="0.64432570928633925"/>
        </c:manualLayout>
      </c:layout>
      <c:lineChart>
        <c:grouping val="standard"/>
        <c:varyColors val="0"/>
        <c:ser>
          <c:idx val="0"/>
          <c:order val="0"/>
          <c:tx>
            <c:v>RE as % of total expenditure</c:v>
          </c:tx>
          <c:spPr>
            <a:ln w="44450">
              <a:solidFill>
                <a:schemeClr val="accent5"/>
              </a:solidFill>
            </a:ln>
          </c:spPr>
          <c:marker>
            <c:symbol val="none"/>
          </c:marker>
          <c:val>
            <c:numRef>
              <c:f>'Financial Projections'!$E$333:$T$333</c:f>
            </c:numRef>
          </c:val>
          <c:smooth val="0"/>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'Financial Projections'!$E$320:$T$320</c15:sqref>
                        </c15:formulaRef>
                      </c:ext>
                    </c:extLst>
                  </c:multiLvlStrRef>
                </c15:cat>
              </c15:filteredCategoryTitle>
            </c:ext>
            <c:ext xmlns:c16="http://schemas.microsoft.com/office/drawing/2014/chart" uri="{C3380CC4-5D6E-409C-BE32-E72D297353CC}">
              <c16:uniqueId val="{00000000-8727-4325-9735-1E42ACF33604}"/>
            </c:ext>
          </c:extLst>
        </c:ser>
        <c:ser>
          <c:idx val="1"/>
          <c:order val="1"/>
          <c:tx>
            <c:v>Admin expenditure as % of total RE</c:v>
          </c:tx>
          <c:spPr>
            <a:ln w="44450"/>
          </c:spPr>
          <c:marker>
            <c:symbol val="none"/>
          </c:marker>
          <c:val>
            <c:numRef>
              <c:f>'Financial Projections'!$E$334:$T$334</c:f>
            </c:numRef>
          </c:val>
          <c:smooth val="0"/>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'Financial Projections'!$E$320:$T$320</c15:sqref>
                        </c15:formulaRef>
                      </c:ext>
                    </c:extLst>
                  </c:multiLvlStrRef>
                </c15:cat>
              </c15:filteredCategoryTitle>
            </c:ext>
            <c:ext xmlns:c16="http://schemas.microsoft.com/office/drawing/2014/chart" uri="{C3380CC4-5D6E-409C-BE32-E72D297353CC}">
              <c16:uniqueId val="{00000001-8727-4325-9735-1E42ACF33604}"/>
            </c:ext>
          </c:extLst>
        </c:ser>
        <c:ser>
          <c:idx val="2"/>
          <c:order val="2"/>
          <c:tx>
            <c:v>WSS RE as % of total RE</c:v>
          </c:tx>
          <c:spPr>
            <a:ln w="44450"/>
          </c:spPr>
          <c:marker>
            <c:symbol val="none"/>
          </c:marker>
          <c:val>
            <c:numRef>
              <c:f>'Financial Projections'!$E$335:$T$335</c:f>
            </c:numRef>
          </c:val>
          <c:smooth val="0"/>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'Financial Projections'!$E$320:$T$320</c15:sqref>
                        </c15:formulaRef>
                      </c:ext>
                    </c:extLst>
                  </c:multiLvlStrRef>
                </c15:cat>
              </c15:filteredCategoryTitle>
            </c:ext>
            <c:ext xmlns:c16="http://schemas.microsoft.com/office/drawing/2014/chart" uri="{C3380CC4-5D6E-409C-BE32-E72D297353CC}">
              <c16:uniqueId val="{00000002-8727-4325-9735-1E42ACF33604}"/>
            </c:ext>
          </c:extLst>
        </c:ser>
        <c:ser>
          <c:idx val="3"/>
          <c:order val="3"/>
          <c:tx>
            <c:v>WSS capex as % total capex</c:v>
          </c:tx>
          <c:spPr>
            <a:ln w="44450"/>
          </c:spPr>
          <c:marker>
            <c:symbol val="none"/>
          </c:marker>
          <c:val>
            <c:numRef>
              <c:f>'Financial Projections'!$E$336:$T$336</c:f>
            </c:numRef>
          </c:val>
          <c:smooth val="0"/>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'Financial Projections'!$E$320:$T$320</c15:sqref>
                        </c15:formulaRef>
                      </c:ext>
                    </c:extLst>
                  </c:multiLvlStrRef>
                </c15:cat>
              </c15:filteredCategoryTitle>
            </c:ext>
            <c:ext xmlns:c16="http://schemas.microsoft.com/office/drawing/2014/chart" uri="{C3380CC4-5D6E-409C-BE32-E72D297353CC}">
              <c16:uniqueId val="{00000003-8727-4325-9735-1E42ACF33604}"/>
            </c:ext>
          </c:extLst>
        </c:ser>
        <c:dLbls>
          <c:showLegendKey val="0"/>
          <c:showVal val="0"/>
          <c:showCatName val="0"/>
          <c:showSerName val="0"/>
          <c:showPercent val="0"/>
          <c:showBubbleSize val="0"/>
        </c:dLbls>
        <c:marker val="1"/>
        <c:smooth val="0"/>
        <c:axId val="45405696"/>
        <c:axId val="585872448"/>
      </c:lineChart>
      <c:catAx>
        <c:axId val="45405696"/>
        <c:scaling>
          <c:orientation val="minMax"/>
        </c:scaling>
        <c:delete val="0"/>
        <c:axPos val="b"/>
        <c:majorGridlines>
          <c:spPr>
            <a:ln>
              <a:solidFill>
                <a:schemeClr val="bg1">
                  <a:lumMod val="85000"/>
                </a:schemeClr>
              </a:solidFill>
            </a:ln>
          </c:spPr>
        </c:majorGridlines>
        <c:numFmt formatCode="General" sourceLinked="0"/>
        <c:majorTickMark val="out"/>
        <c:minorTickMark val="none"/>
        <c:tickLblPos val="nextTo"/>
        <c:txPr>
          <a:bodyPr/>
          <a:lstStyle/>
          <a:p>
            <a:pPr>
              <a:defRPr lang="en-GB" sz="1100"/>
            </a:pPr>
            <a:endParaRPr lang="en-US"/>
          </a:p>
        </c:txPr>
        <c:crossAx val="585872448"/>
        <c:crosses val="autoZero"/>
        <c:auto val="1"/>
        <c:lblAlgn val="ctr"/>
        <c:lblOffset val="100"/>
        <c:noMultiLvlLbl val="0"/>
      </c:catAx>
      <c:valAx>
        <c:axId val="58587244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lang="en-GB" sz="1100"/>
            </a:pPr>
            <a:endParaRPr lang="en-US"/>
          </a:p>
        </c:txPr>
        <c:crossAx val="45405696"/>
        <c:crosses val="autoZero"/>
        <c:crossBetween val="between"/>
      </c:valAx>
    </c:plotArea>
    <c:legend>
      <c:legendPos val="b"/>
      <c:layout>
        <c:manualLayout>
          <c:xMode val="edge"/>
          <c:yMode val="edge"/>
          <c:x val="1.0304415543177401E-2"/>
          <c:y val="0.89142625394067987"/>
          <c:w val="0.97574417665156299"/>
          <c:h val="0.10857374605932035"/>
        </c:manualLayout>
      </c:layout>
      <c:overlay val="0"/>
      <c:txPr>
        <a:bodyPr/>
        <a:lstStyle/>
        <a:p>
          <a:pPr>
            <a:defRPr lang="en-GB" sz="1200"/>
          </a:pPr>
          <a:endParaRPr lang="en-US"/>
        </a:p>
      </c:txPr>
    </c:legend>
    <c:plotVisOnly val="1"/>
    <c:dispBlanksAs val="zero"/>
    <c:showDLblsOverMax val="0"/>
  </c:chart>
  <c:spPr>
    <a:solidFill>
      <a:schemeClr val="bg1">
        <a:lumMod val="50000"/>
      </a:schemeClr>
    </a:solidFill>
    <a:ln>
      <a:solidFill>
        <a:schemeClr val="bg1"/>
      </a:solidFill>
    </a:ln>
    <a:effectLst>
      <a:outerShdw blurRad="50800" dist="38100" dir="2700000" algn="tl" rotWithShape="0">
        <a:prstClr val="black">
          <a:alpha val="40000"/>
        </a:prstClr>
      </a:outerShdw>
    </a:effectLst>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GB"/>
            </a:pPr>
            <a:r>
              <a:rPr lang="en-US"/>
              <a:t>Financial impact of CSP</a:t>
            </a:r>
            <a:r>
              <a:rPr lang="en-US" baseline="0"/>
              <a:t> Action Plan</a:t>
            </a:r>
            <a:endParaRPr lang="en-US"/>
          </a:p>
        </c:rich>
      </c:tx>
      <c:overlay val="1"/>
    </c:title>
    <c:autoTitleDeleted val="0"/>
    <c:plotArea>
      <c:layout>
        <c:manualLayout>
          <c:layoutTarget val="inner"/>
          <c:xMode val="edge"/>
          <c:yMode val="edge"/>
          <c:x val="9.6596884286067747E-2"/>
          <c:y val="0.10717629604207859"/>
          <c:w val="0.87188531972382965"/>
          <c:h val="0.7174157293833856"/>
        </c:manualLayout>
      </c:layout>
      <c:areaChart>
        <c:grouping val="standard"/>
        <c:varyColors val="0"/>
        <c:ser>
          <c:idx val="0"/>
          <c:order val="0"/>
          <c:tx>
            <c:strRef>
              <c:f>'PIP finance'!$P$593</c:f>
              <c:strCache>
                <c:ptCount val="1"/>
                <c:pt idx="0">
                  <c:v>Capex</c:v>
                </c:pt>
              </c:strCache>
            </c:strRef>
          </c:tx>
          <c:spPr>
            <a:solidFill>
              <a:srgbClr val="C0504D">
                <a:alpha val="38000"/>
              </a:srgbClr>
            </a:solidFill>
            <a:ln>
              <a:solidFill>
                <a:schemeClr val="accent2"/>
              </a:solidFill>
            </a:ln>
          </c:spPr>
          <c:cat>
            <c:numRef>
              <c:f>'PIP finance'!$Q$592:$Z$592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finance'!$Q$593:$Z$593</c:f>
              <c:numCache>
                <c:formatCode>_(* #,##0_);_(* \(#,##0\);_(* "-"??_);_(@_)</c:formatCode>
                <c:ptCount val="10"/>
                <c:pt idx="0">
                  <c:v>345.26666666666671</c:v>
                </c:pt>
                <c:pt idx="1">
                  <c:v>301.06233333333336</c:v>
                </c:pt>
                <c:pt idx="2">
                  <c:v>256.87739666666664</c:v>
                </c:pt>
                <c:pt idx="3">
                  <c:v>242.19100109999999</c:v>
                </c:pt>
                <c:pt idx="4">
                  <c:v>259.14437117700004</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CA67-45C5-B9D6-487126A8C086}"/>
            </c:ext>
          </c:extLst>
        </c:ser>
        <c:ser>
          <c:idx val="1"/>
          <c:order val="1"/>
          <c:tx>
            <c:strRef>
              <c:f>'PIP finance'!$P$594</c:f>
              <c:strCache>
                <c:ptCount val="1"/>
                <c:pt idx="0">
                  <c:v>O&amp;M</c:v>
                </c:pt>
              </c:strCache>
            </c:strRef>
          </c:tx>
          <c:spPr>
            <a:solidFill>
              <a:srgbClr val="FFC000">
                <a:alpha val="35000"/>
              </a:srgbClr>
            </a:solidFill>
            <a:ln>
              <a:solidFill>
                <a:srgbClr val="FFC000"/>
              </a:solidFill>
            </a:ln>
          </c:spPr>
          <c:cat>
            <c:numRef>
              <c:f>'PIP finance'!$Q$592:$Z$592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finance'!$Q$594:$Z$594</c:f>
              <c:numCache>
                <c:formatCode>_(* #,##0_);_(* \(#,##0\);_(* "-"??_);_(@_)</c:formatCode>
                <c:ptCount val="10"/>
                <c:pt idx="0">
                  <c:v>2.5116666666666667</c:v>
                </c:pt>
                <c:pt idx="1">
                  <c:v>16.898</c:v>
                </c:pt>
                <c:pt idx="2">
                  <c:v>24.158531249999999</c:v>
                </c:pt>
                <c:pt idx="3">
                  <c:v>25.366457812500002</c:v>
                </c:pt>
                <c:pt idx="4">
                  <c:v>26.634780703125006</c:v>
                </c:pt>
                <c:pt idx="5">
                  <c:v>27.96651973828126</c:v>
                </c:pt>
                <c:pt idx="6">
                  <c:v>29.364845725195323</c:v>
                </c:pt>
                <c:pt idx="7">
                  <c:v>30.833088011455089</c:v>
                </c:pt>
                <c:pt idx="8">
                  <c:v>32.374742412027842</c:v>
                </c:pt>
                <c:pt idx="9">
                  <c:v>33.993479532629237</c:v>
                </c:pt>
              </c:numCache>
            </c:numRef>
          </c:val>
          <c:extLst xmlns:c16r2="http://schemas.microsoft.com/office/drawing/2015/06/chart">
            <c:ext xmlns:c16="http://schemas.microsoft.com/office/drawing/2014/chart" uri="{C3380CC4-5D6E-409C-BE32-E72D297353CC}">
              <c16:uniqueId val="{00000001-CA67-45C5-B9D6-487126A8C086}"/>
            </c:ext>
          </c:extLst>
        </c:ser>
        <c:ser>
          <c:idx val="2"/>
          <c:order val="2"/>
          <c:tx>
            <c:strRef>
              <c:f>'PIP finance'!$P$595</c:f>
              <c:strCache>
                <c:ptCount val="1"/>
                <c:pt idx="0">
                  <c:v>Revenue</c:v>
                </c:pt>
              </c:strCache>
            </c:strRef>
          </c:tx>
          <c:spPr>
            <a:solidFill>
              <a:srgbClr val="4F81BD">
                <a:alpha val="35000"/>
              </a:srgbClr>
            </a:solidFill>
            <a:ln>
              <a:solidFill>
                <a:schemeClr val="accent1"/>
              </a:solidFill>
            </a:ln>
          </c:spPr>
          <c:cat>
            <c:numRef>
              <c:f>'PIP finance'!$Q$592:$Z$592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finance'!$Q$595:$Z$595</c:f>
              <c:numCache>
                <c:formatCode>_(* #,##0_);_(* \(#,##0\);_(* "-"??_);_(@_)</c:formatCode>
                <c:ptCount val="10"/>
                <c:pt idx="0">
                  <c:v>1.4133333333333336</c:v>
                </c:pt>
                <c:pt idx="1">
                  <c:v>1.4345333333333334</c:v>
                </c:pt>
                <c:pt idx="2">
                  <c:v>1.4563693333333336</c:v>
                </c:pt>
                <c:pt idx="3">
                  <c:v>17.201518364333332</c:v>
                </c:pt>
                <c:pt idx="4">
                  <c:v>17.470973915263336</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CA67-45C5-B9D6-487126A8C086}"/>
            </c:ext>
          </c:extLst>
        </c:ser>
        <c:dLbls>
          <c:showLegendKey val="0"/>
          <c:showVal val="0"/>
          <c:showCatName val="0"/>
          <c:showSerName val="0"/>
          <c:showPercent val="0"/>
          <c:showBubbleSize val="0"/>
        </c:dLbls>
        <c:axId val="582836224"/>
        <c:axId val="586925760"/>
      </c:areaChart>
      <c:catAx>
        <c:axId val="58283622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200"/>
            </a:pPr>
            <a:endParaRPr lang="en-US"/>
          </a:p>
        </c:txPr>
        <c:crossAx val="586925760"/>
        <c:crosses val="autoZero"/>
        <c:auto val="1"/>
        <c:lblAlgn val="ctr"/>
        <c:lblOffset val="100"/>
        <c:noMultiLvlLbl val="0"/>
      </c:catAx>
      <c:valAx>
        <c:axId val="586925760"/>
        <c:scaling>
          <c:orientation val="minMax"/>
        </c:scaling>
        <c:delete val="0"/>
        <c:axPos val="l"/>
        <c:majorGridlines/>
        <c:title>
          <c:tx>
            <c:strRef>
              <c:f>'General info'!$E$43:$G$43</c:f>
              <c:strCache>
                <c:ptCount val="1"/>
                <c:pt idx="0">
                  <c:v>INR Lakhs</c:v>
                </c:pt>
              </c:strCache>
            </c:strRef>
          </c:tx>
          <c:overlay val="0"/>
          <c:txPr>
            <a:bodyPr rot="-5400000" vert="horz"/>
            <a:lstStyle/>
            <a:p>
              <a:pPr>
                <a:defRPr lang="en-US" sz="1200"/>
              </a:pPr>
              <a:endParaRPr lang="en-US"/>
            </a:p>
          </c:txPr>
        </c:title>
        <c:numFmt formatCode="_(* #,##0_);_(* \(#,##0\);_(* &quot;-&quot;??_);_(@_)" sourceLinked="1"/>
        <c:majorTickMark val="out"/>
        <c:minorTickMark val="none"/>
        <c:tickLblPos val="nextTo"/>
        <c:txPr>
          <a:bodyPr/>
          <a:lstStyle/>
          <a:p>
            <a:pPr>
              <a:defRPr lang="en-US" sz="1200"/>
            </a:pPr>
            <a:endParaRPr lang="en-US"/>
          </a:p>
        </c:txPr>
        <c:crossAx val="582836224"/>
        <c:crosses val="autoZero"/>
        <c:crossBetween val="midCat"/>
      </c:valAx>
    </c:plotArea>
    <c:legend>
      <c:legendPos val="b"/>
      <c:layout>
        <c:manualLayout>
          <c:xMode val="edge"/>
          <c:yMode val="edge"/>
          <c:x val="0.13050101736567107"/>
          <c:y val="0.93236806104650938"/>
          <c:w val="0.76143524650690064"/>
          <c:h val="6.4602065054629884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GB"/>
            </a:pPr>
            <a:r>
              <a:rPr lang="en-US"/>
              <a:t>Sources of funds for CapEx</a:t>
            </a:r>
          </a:p>
        </c:rich>
      </c:tx>
      <c:layout>
        <c:manualLayout>
          <c:xMode val="edge"/>
          <c:yMode val="edge"/>
          <c:x val="0.39696075572255179"/>
          <c:y val="9.2396540731717568E-3"/>
        </c:manualLayout>
      </c:layout>
      <c:overlay val="1"/>
    </c:title>
    <c:autoTitleDeleted val="0"/>
    <c:plotArea>
      <c:layout>
        <c:manualLayout>
          <c:layoutTarget val="inner"/>
          <c:xMode val="edge"/>
          <c:yMode val="edge"/>
          <c:x val="9.6596884286067747E-2"/>
          <c:y val="0.10717629604207859"/>
          <c:w val="0.87188531972382965"/>
          <c:h val="0.7174157293833856"/>
        </c:manualLayout>
      </c:layout>
      <c:areaChart>
        <c:grouping val="stacked"/>
        <c:varyColors val="0"/>
        <c:ser>
          <c:idx val="3"/>
          <c:order val="0"/>
          <c:tx>
            <c:strRef>
              <c:f>'PIP finance'!$P$627</c:f>
              <c:strCache>
                <c:ptCount val="1"/>
                <c:pt idx="0">
                  <c:v>LG share</c:v>
                </c:pt>
              </c:strCache>
            </c:strRef>
          </c:tx>
          <c:spPr>
            <a:solidFill>
              <a:schemeClr val="bg2">
                <a:lumMod val="75000"/>
              </a:schemeClr>
            </a:solidFill>
            <a:ln w="12700">
              <a:solidFill>
                <a:schemeClr val="tx1"/>
              </a:solidFill>
            </a:ln>
            <a:effectLst/>
            <a:scene3d>
              <a:camera prst="orthographicFront"/>
              <a:lightRig rig="balanced" dir="t">
                <a:rot lat="0" lon="0" rev="8700000"/>
              </a:lightRig>
            </a:scene3d>
            <a:sp3d>
              <a:bevelT w="190500" h="38100"/>
            </a:sp3d>
          </c:spPr>
          <c:cat>
            <c:numRef>
              <c:f>'PIP finance'!$Q$615:$Z$615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finance'!$Q$627:$Z$627</c:f>
              <c:numCache>
                <c:formatCode>_(* #,##0_);_(* \(#,##0\);_(* "-"??_);_(@_)</c:formatCode>
                <c:ptCount val="10"/>
                <c:pt idx="0">
                  <c:v>-28.473333333333329</c:v>
                </c:pt>
                <c:pt idx="1">
                  <c:v>-57.815666666666679</c:v>
                </c:pt>
                <c:pt idx="2">
                  <c:v>-114.75714333333335</c:v>
                </c:pt>
                <c:pt idx="3">
                  <c:v>-145.31460066000002</c:v>
                </c:pt>
                <c:pt idx="4">
                  <c:v>-155.48662270620005</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C330-4A16-BDC4-FEA161EC99BC}"/>
            </c:ext>
          </c:extLst>
        </c:ser>
        <c:ser>
          <c:idx val="0"/>
          <c:order val="1"/>
          <c:tx>
            <c:strRef>
              <c:f>'PIP finance'!$P$624</c:f>
              <c:strCache>
                <c:ptCount val="1"/>
                <c:pt idx="0">
                  <c:v>Grant-in-aids</c:v>
                </c:pt>
              </c:strCache>
            </c:strRef>
          </c:tx>
          <c:spPr>
            <a:solidFill>
              <a:srgbClr val="C0504D">
                <a:alpha val="50000"/>
              </a:srgbClr>
            </a:solidFill>
            <a:ln>
              <a:solidFill>
                <a:schemeClr val="accent2"/>
              </a:solidFill>
            </a:ln>
            <a:effectLst/>
          </c:spPr>
          <c:cat>
            <c:numRef>
              <c:f>'PIP finance'!$Q$615:$Z$615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finance'!$Q$624:$Z$624</c:f>
              <c:numCache>
                <c:formatCode>_(* #,##0_);_(* \(#,##0\);_(* "-"??_);_(@_)</c:formatCode>
                <c:ptCount val="10"/>
                <c:pt idx="0">
                  <c:v>19.080000000000002</c:v>
                </c:pt>
                <c:pt idx="1">
                  <c:v>20.415600000000001</c:v>
                </c:pt>
                <c:pt idx="2">
                  <c:v>9.4797720000000005</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C330-4A16-BDC4-FEA161EC99BC}"/>
            </c:ext>
          </c:extLst>
        </c:ser>
        <c:ser>
          <c:idx val="1"/>
          <c:order val="2"/>
          <c:tx>
            <c:strRef>
              <c:f>'PIP finance'!$P$625</c:f>
              <c:strCache>
                <c:ptCount val="1"/>
                <c:pt idx="0">
                  <c:v>Debts</c:v>
                </c:pt>
              </c:strCache>
            </c:strRef>
          </c:tx>
          <c:spPr>
            <a:solidFill>
              <a:srgbClr val="FFC000">
                <a:alpha val="51000"/>
              </a:srgbClr>
            </a:solidFill>
            <a:ln>
              <a:solidFill>
                <a:srgbClr val="FFC000"/>
              </a:solidFill>
            </a:ln>
          </c:spPr>
          <c:cat>
            <c:numRef>
              <c:f>'PIP finance'!$Q$615:$Z$615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finance'!$Q$625:$Z$625</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C330-4A16-BDC4-FEA161EC99BC}"/>
            </c:ext>
          </c:extLst>
        </c:ser>
        <c:ser>
          <c:idx val="2"/>
          <c:order val="3"/>
          <c:tx>
            <c:strRef>
              <c:f>'PIP finance'!$P$626</c:f>
              <c:strCache>
                <c:ptCount val="1"/>
                <c:pt idx="0">
                  <c:v>Private contributions</c:v>
                </c:pt>
              </c:strCache>
            </c:strRef>
          </c:tx>
          <c:spPr>
            <a:solidFill>
              <a:srgbClr val="4F81BD">
                <a:alpha val="35000"/>
              </a:srgbClr>
            </a:solidFill>
            <a:ln>
              <a:solidFill>
                <a:schemeClr val="accent1"/>
              </a:solidFill>
            </a:ln>
            <a:effectLst/>
          </c:spPr>
          <c:cat>
            <c:numRef>
              <c:f>'PIP finance'!$Q$615:$Z$615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finance'!$Q$626:$Z$626</c:f>
              <c:numCache>
                <c:formatCode>_(* #,##0_);_(* \(#,##0\);_(* "-"??_);_(@_)</c:formatCode>
                <c:ptCount val="10"/>
                <c:pt idx="0">
                  <c:v>354.65999999999997</c:v>
                </c:pt>
                <c:pt idx="1">
                  <c:v>338.4624</c:v>
                </c:pt>
                <c:pt idx="2">
                  <c:v>362.15476799999999</c:v>
                </c:pt>
                <c:pt idx="3">
                  <c:v>387.50560175999999</c:v>
                </c:pt>
                <c:pt idx="4">
                  <c:v>414.63099388320006</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C330-4A16-BDC4-FEA161EC99BC}"/>
            </c:ext>
          </c:extLst>
        </c:ser>
        <c:dLbls>
          <c:showLegendKey val="0"/>
          <c:showVal val="0"/>
          <c:showCatName val="0"/>
          <c:showSerName val="0"/>
          <c:showPercent val="0"/>
          <c:showBubbleSize val="0"/>
        </c:dLbls>
        <c:axId val="582836736"/>
        <c:axId val="586926336"/>
      </c:areaChart>
      <c:catAx>
        <c:axId val="582836736"/>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txPr>
          <a:bodyPr/>
          <a:lstStyle/>
          <a:p>
            <a:pPr>
              <a:defRPr lang="en-US" sz="1200"/>
            </a:pPr>
            <a:endParaRPr lang="en-US"/>
          </a:p>
        </c:txPr>
        <c:crossAx val="586926336"/>
        <c:crosses val="autoZero"/>
        <c:auto val="1"/>
        <c:lblAlgn val="ctr"/>
        <c:lblOffset val="100"/>
        <c:noMultiLvlLbl val="0"/>
      </c:catAx>
      <c:valAx>
        <c:axId val="586926336"/>
        <c:scaling>
          <c:orientation val="minMax"/>
        </c:scaling>
        <c:delete val="0"/>
        <c:axPos val="l"/>
        <c:majorGridlines/>
        <c:title>
          <c:tx>
            <c:strRef>
              <c:f>'General info'!$E$43:$G$43</c:f>
              <c:strCache>
                <c:ptCount val="1"/>
                <c:pt idx="0">
                  <c:v>INR Lakhs</c:v>
                </c:pt>
              </c:strCache>
            </c:strRef>
          </c:tx>
          <c:overlay val="0"/>
          <c:txPr>
            <a:bodyPr rot="-5400000" vert="horz"/>
            <a:lstStyle/>
            <a:p>
              <a:pPr>
                <a:defRPr lang="en-US" sz="1200"/>
              </a:pPr>
              <a:endParaRPr lang="en-US"/>
            </a:p>
          </c:txPr>
        </c:title>
        <c:numFmt formatCode="_(* #,##0_);_(* \(#,##0\);_(* &quot;-&quot;??_);_(@_)" sourceLinked="1"/>
        <c:majorTickMark val="out"/>
        <c:minorTickMark val="none"/>
        <c:tickLblPos val="nextTo"/>
        <c:txPr>
          <a:bodyPr/>
          <a:lstStyle/>
          <a:p>
            <a:pPr>
              <a:defRPr lang="en-US" sz="1200"/>
            </a:pPr>
            <a:endParaRPr lang="en-US"/>
          </a:p>
        </c:txPr>
        <c:crossAx val="582836736"/>
        <c:crosses val="autoZero"/>
        <c:crossBetween val="midCat"/>
      </c:valAx>
      <c:spPr>
        <a:ln>
          <a:noFill/>
        </a:ln>
        <a:effectLst/>
      </c:spPr>
    </c:plotArea>
    <c:legend>
      <c:legendPos val="b"/>
      <c:layout>
        <c:manualLayout>
          <c:xMode val="edge"/>
          <c:yMode val="edge"/>
          <c:x val="5.4974468060773454E-2"/>
          <c:y val="0.93236806104650938"/>
          <c:w val="0.89232600826858965"/>
          <c:h val="6.7631842709561296E-2"/>
        </c:manualLayout>
      </c:layout>
      <c:overlay val="0"/>
      <c:txPr>
        <a:bodyPr/>
        <a:lstStyle/>
        <a:p>
          <a:pPr>
            <a:defRPr lang="en-US" sz="1400"/>
          </a:pPr>
          <a:endParaRPr lang="en-US"/>
        </a:p>
      </c:txPr>
    </c:legend>
    <c:plotVisOnly val="1"/>
    <c:dispBlanksAs val="zero"/>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582839808"/>
        <c:axId val="586929792"/>
      </c:barChart>
      <c:catAx>
        <c:axId val="582839808"/>
        <c:scaling>
          <c:orientation val="minMax"/>
        </c:scaling>
        <c:delete val="0"/>
        <c:axPos val="b"/>
        <c:majorTickMark val="out"/>
        <c:minorTickMark val="none"/>
        <c:tickLblPos val="nextTo"/>
        <c:crossAx val="586929792"/>
        <c:crosses val="autoZero"/>
        <c:auto val="1"/>
        <c:lblAlgn val="ctr"/>
        <c:lblOffset val="100"/>
        <c:noMultiLvlLbl val="0"/>
      </c:catAx>
      <c:valAx>
        <c:axId val="586929792"/>
        <c:scaling>
          <c:orientation val="minMax"/>
        </c:scaling>
        <c:delete val="0"/>
        <c:axPos val="l"/>
        <c:majorGridlines/>
        <c:majorTickMark val="out"/>
        <c:minorTickMark val="none"/>
        <c:tickLblPos val="nextTo"/>
        <c:crossAx val="582839808"/>
        <c:crosses val="autoZero"/>
        <c:crossBetween val="between"/>
      </c:valAx>
    </c:plotArea>
    <c:legend>
      <c:legendPos val="r"/>
      <c:overlay val="0"/>
    </c:legend>
    <c:plotVisOnly val="1"/>
    <c:dispBlanksAs val="gap"/>
    <c:showDLblsOverMax val="0"/>
  </c:chart>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Improvement in revenues from own income sources</a:t>
            </a:r>
          </a:p>
        </c:rich>
      </c:tx>
      <c:layout>
        <c:manualLayout>
          <c:xMode val="edge"/>
          <c:yMode val="edge"/>
          <c:x val="0.21239428772094626"/>
          <c:y val="2.0380177541896752E-2"/>
        </c:manualLayout>
      </c:layout>
      <c:overlay val="1"/>
    </c:title>
    <c:autoTitleDeleted val="0"/>
    <c:plotArea>
      <c:layout>
        <c:manualLayout>
          <c:layoutTarget val="inner"/>
          <c:xMode val="edge"/>
          <c:yMode val="edge"/>
          <c:x val="8.5939525237936548E-2"/>
          <c:y val="9.3584288806004542E-2"/>
          <c:w val="0.87966388508272741"/>
          <c:h val="0.74889926660609962"/>
        </c:manualLayout>
      </c:layout>
      <c:areaChart>
        <c:grouping val="standard"/>
        <c:varyColors val="0"/>
        <c:ser>
          <c:idx val="3"/>
          <c:order val="2"/>
          <c:tx>
            <c:strRef>
              <c:f>'PIP finance'!$O$738</c:f>
              <c:strCache>
                <c:ptCount val="1"/>
                <c:pt idx="0">
                  <c:v>Municipal Revenue expenditure</c:v>
                </c:pt>
              </c:strCache>
            </c:strRef>
          </c:tx>
          <c:spPr>
            <a:solidFill>
              <a:schemeClr val="bg2">
                <a:lumMod val="90000"/>
                <a:alpha val="40000"/>
              </a:schemeClr>
            </a:solidFill>
            <a:ln>
              <a:noFill/>
            </a:ln>
          </c:spPr>
          <c:val>
            <c:numRef>
              <c:f>'PIP finance'!$P$738:$Y$738</c:f>
              <c:numCache>
                <c:formatCode>_(* #,##0_);_(* \(#,##0\);_(* "-"??_);_(@_)</c:formatCode>
                <c:ptCount val="10"/>
                <c:pt idx="0">
                  <c:v>920</c:v>
                </c:pt>
                <c:pt idx="1">
                  <c:v>961</c:v>
                </c:pt>
                <c:pt idx="2">
                  <c:v>1003</c:v>
                </c:pt>
                <c:pt idx="3">
                  <c:v>1047</c:v>
                </c:pt>
                <c:pt idx="4">
                  <c:v>1094</c:v>
                </c:pt>
                <c:pt idx="5">
                  <c:v>1142</c:v>
                </c:pt>
                <c:pt idx="6">
                  <c:v>1193</c:v>
                </c:pt>
                <c:pt idx="7">
                  <c:v>1246</c:v>
                </c:pt>
                <c:pt idx="8">
                  <c:v>1302</c:v>
                </c:pt>
                <c:pt idx="9">
                  <c:v>1360</c:v>
                </c:pt>
              </c:numCache>
            </c:numRef>
          </c:val>
          <c:extLst xmlns:c16r2="http://schemas.microsoft.com/office/drawing/2015/06/chart">
            <c:ext xmlns:c15="http://schemas.microsoft.com/office/drawing/2012/chart" uri="{02D57815-91ED-43cb-92C2-25804820EDAC}">
              <c15:filteredCategoryTitle>
                <c15:cat>
                  <c:numRef>
                    <c:extLst>
                      <c:ext uri="{02D57815-91ED-43cb-92C2-25804820EDAC}">
                        <c15:formulaRef>
                          <c15:sqref>'Financing Plan'!$F$136:$O$136</c15:sqref>
                        </c15:formulaRef>
                      </c:ext>
                    </c:extLst>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15:cat>
              </c15:filteredCategoryTitle>
            </c:ext>
            <c:ext xmlns:c16="http://schemas.microsoft.com/office/drawing/2014/chart" uri="{C3380CC4-5D6E-409C-BE32-E72D297353CC}">
              <c16:uniqueId val="{00000000-1D8A-439F-A512-9A476DCBB27A}"/>
            </c:ext>
          </c:extLst>
        </c:ser>
        <c:dLbls>
          <c:showLegendKey val="0"/>
          <c:showVal val="0"/>
          <c:showCatName val="0"/>
          <c:showSerName val="0"/>
          <c:showPercent val="0"/>
          <c:showBubbleSize val="0"/>
        </c:dLbls>
        <c:axId val="587061248"/>
        <c:axId val="41092224"/>
      </c:areaChart>
      <c:lineChart>
        <c:grouping val="standard"/>
        <c:varyColors val="0"/>
        <c:ser>
          <c:idx val="1"/>
          <c:order val="0"/>
          <c:tx>
            <c:strRef>
              <c:f>'PIP finance'!$O$736</c:f>
              <c:strCache>
                <c:ptCount val="1"/>
                <c:pt idx="0">
                  <c:v>Municipal Revenue income - BAU</c:v>
                </c:pt>
              </c:strCache>
            </c:strRef>
          </c:tx>
          <c:spPr>
            <a:ln w="82550"/>
            <a:effectLst/>
          </c:spPr>
          <c:marker>
            <c:symbol val="square"/>
            <c:size val="10"/>
            <c:spPr>
              <a:ln>
                <a:noFill/>
              </a:ln>
              <a:effectLst/>
            </c:spPr>
          </c:marker>
          <c:dLbls>
            <c:spPr>
              <a:noFill/>
              <a:ln>
                <a:noFill/>
              </a:ln>
              <a:effectLst/>
            </c:spPr>
            <c:txPr>
              <a:bodyPr/>
              <a:lstStyle/>
              <a:p>
                <a:pPr>
                  <a:defRPr lang="en-IN"/>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'Financing Plan'!$F$136:$O$136</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finance'!$P$736:$Y$736</c:f>
              <c:numCache>
                <c:formatCode>_(* #,##0_);_(* \(#,##0\);_(* "-"??_);_(@_)</c:formatCode>
                <c:ptCount val="10"/>
                <c:pt idx="0">
                  <c:v>946.58358389581349</c:v>
                </c:pt>
                <c:pt idx="1">
                  <c:v>972.55890127004636</c:v>
                </c:pt>
                <c:pt idx="2">
                  <c:v>1012.3960302356001</c:v>
                </c:pt>
                <c:pt idx="3">
                  <c:v>1058.5206296844885</c:v>
                </c:pt>
                <c:pt idx="4">
                  <c:v>1108.1938654978005</c:v>
                </c:pt>
                <c:pt idx="5">
                  <c:v>1160.4893023576205</c:v>
                </c:pt>
                <c:pt idx="6">
                  <c:v>1215.1513120803172</c:v>
                </c:pt>
                <c:pt idx="7">
                  <c:v>1272.1227155401864</c:v>
                </c:pt>
                <c:pt idx="8">
                  <c:v>1331.451789312104</c:v>
                </c:pt>
                <c:pt idx="9">
                  <c:v>1393.2228083875889</c:v>
                </c:pt>
              </c:numCache>
            </c:numRef>
          </c:val>
          <c:smooth val="0"/>
          <c:extLst xmlns:c16r2="http://schemas.microsoft.com/office/drawing/2015/06/chart">
            <c:ext xmlns:c15="http://schemas.microsoft.com/office/drawing/2012/chart" uri="{02D57815-91ED-43cb-92C2-25804820EDAC}">
              <c15:filteredCategoryTitle>
                <c15:cat>
                  <c:numRef>
                    <c:extLst>
                      <c:ext uri="{02D57815-91ED-43cb-92C2-25804820EDAC}">
                        <c15:formulaRef>
                          <c15:sqref>'Financing Plan'!$F$140:$O$140</c15:sqref>
                        </c15:formulaRef>
                      </c:ext>
                    </c:extLst>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15:cat>
              </c15:filteredCategoryTitle>
            </c:ext>
            <c:ext xmlns:c16="http://schemas.microsoft.com/office/drawing/2014/chart" uri="{C3380CC4-5D6E-409C-BE32-E72D297353CC}">
              <c16:uniqueId val="{00000001-1D8A-439F-A512-9A476DCBB27A}"/>
            </c:ext>
          </c:extLst>
        </c:ser>
        <c:ser>
          <c:idx val="2"/>
          <c:order val="1"/>
          <c:tx>
            <c:strRef>
              <c:f>'PIP finance'!$O$737</c:f>
              <c:strCache>
                <c:ptCount val="1"/>
                <c:pt idx="0">
                  <c:v>Municipal Revenue income  - Tax revision</c:v>
                </c:pt>
              </c:strCache>
            </c:strRef>
          </c:tx>
          <c:spPr>
            <a:ln w="82550">
              <a:solidFill>
                <a:schemeClr val="accent1"/>
              </a:solidFill>
            </a:ln>
            <a:effectLst/>
          </c:spPr>
          <c:marker>
            <c:symbol val="triangle"/>
            <c:size val="12"/>
            <c:spPr>
              <a:solidFill>
                <a:schemeClr val="accent1">
                  <a:lumMod val="75000"/>
                </a:schemeClr>
              </a:solidFill>
              <a:ln>
                <a:noFill/>
              </a:ln>
              <a:effectLst/>
            </c:spPr>
          </c:marker>
          <c:dLbls>
            <c:spPr>
              <a:noFill/>
              <a:ln>
                <a:noFill/>
              </a:ln>
              <a:effectLst/>
            </c:spPr>
            <c:txPr>
              <a:bodyPr/>
              <a:lstStyle/>
              <a:p>
                <a:pPr>
                  <a:defRPr lang="en-IN"/>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'Financing Plan'!$F$136:$O$136</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finance'!$P$737:$Y$737</c:f>
              <c:numCache>
                <c:formatCode>_(* #,##0_);_(* \(#,##0\);_(* "-"??_);_(@_)</c:formatCode>
                <c:ptCount val="10"/>
                <c:pt idx="0">
                  <c:v>951.08998933549185</c:v>
                </c:pt>
                <c:pt idx="1">
                  <c:v>972.55890127004636</c:v>
                </c:pt>
                <c:pt idx="2">
                  <c:v>1012.3960302356001</c:v>
                </c:pt>
                <c:pt idx="3">
                  <c:v>1058.5206296844885</c:v>
                </c:pt>
                <c:pt idx="4">
                  <c:v>1108.1938654978005</c:v>
                </c:pt>
                <c:pt idx="5">
                  <c:v>1160.4893023576205</c:v>
                </c:pt>
                <c:pt idx="6">
                  <c:v>1215.1513120803172</c:v>
                </c:pt>
                <c:pt idx="7">
                  <c:v>1272.1227155401864</c:v>
                </c:pt>
                <c:pt idx="8">
                  <c:v>1331.451789312104</c:v>
                </c:pt>
                <c:pt idx="9">
                  <c:v>1393.2228083875889</c:v>
                </c:pt>
              </c:numCache>
            </c:numRef>
          </c:val>
          <c:smooth val="0"/>
          <c:extLst xmlns:c16r2="http://schemas.microsoft.com/office/drawing/2015/06/chart">
            <c:ext xmlns:c15="http://schemas.microsoft.com/office/drawing/2012/chart" uri="{02D57815-91ED-43cb-92C2-25804820EDAC}">
              <c15:filteredCategoryTitle>
                <c15:cat>
                  <c:numRef>
                    <c:extLst>
                      <c:ext uri="{02D57815-91ED-43cb-92C2-25804820EDAC}">
                        <c15:formulaRef>
                          <c15:sqref>'Financing Plan'!$F$140:$O$140</c15:sqref>
                        </c15:formulaRef>
                      </c:ext>
                    </c:extLst>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15:cat>
              </c15:filteredCategoryTitle>
            </c:ext>
            <c:ext xmlns:c16="http://schemas.microsoft.com/office/drawing/2014/chart" uri="{C3380CC4-5D6E-409C-BE32-E72D297353CC}">
              <c16:uniqueId val="{00000002-1D8A-439F-A512-9A476DCBB27A}"/>
            </c:ext>
          </c:extLst>
        </c:ser>
        <c:dLbls>
          <c:showLegendKey val="0"/>
          <c:showVal val="1"/>
          <c:showCatName val="0"/>
          <c:showSerName val="0"/>
          <c:showPercent val="0"/>
          <c:showBubbleSize val="0"/>
        </c:dLbls>
        <c:marker val="1"/>
        <c:smooth val="0"/>
        <c:axId val="587061248"/>
        <c:axId val="41092224"/>
      </c:lineChart>
      <c:catAx>
        <c:axId val="587061248"/>
        <c:scaling>
          <c:orientation val="minMax"/>
        </c:scaling>
        <c:delete val="0"/>
        <c:axPos val="b"/>
        <c:majorGridlines/>
        <c:numFmt formatCode="0" sourceLinked="1"/>
        <c:majorTickMark val="out"/>
        <c:minorTickMark val="none"/>
        <c:tickLblPos val="nextTo"/>
        <c:spPr>
          <a:solidFill>
            <a:schemeClr val="tx1">
              <a:lumMod val="50000"/>
              <a:lumOff val="50000"/>
            </a:schemeClr>
          </a:solidFill>
        </c:spPr>
        <c:txPr>
          <a:bodyPr/>
          <a:lstStyle/>
          <a:p>
            <a:pPr>
              <a:defRPr lang="en-US" sz="1100" b="1">
                <a:solidFill>
                  <a:schemeClr val="bg1"/>
                </a:solidFill>
              </a:defRPr>
            </a:pPr>
            <a:endParaRPr lang="en-US"/>
          </a:p>
        </c:txPr>
        <c:crossAx val="41092224"/>
        <c:crosses val="autoZero"/>
        <c:auto val="1"/>
        <c:lblAlgn val="ctr"/>
        <c:lblOffset val="100"/>
        <c:noMultiLvlLbl val="0"/>
      </c:catAx>
      <c:valAx>
        <c:axId val="41092224"/>
        <c:scaling>
          <c:orientation val="minMax"/>
        </c:scaling>
        <c:delete val="0"/>
        <c:axPos val="l"/>
        <c:majorGridlines/>
        <c:title>
          <c:tx>
            <c:strRef>
              <c:f>'General info'!$E$43:$G$43</c:f>
              <c:strCache>
                <c:ptCount val="1"/>
                <c:pt idx="0">
                  <c:v>INR Lakhs</c:v>
                </c:pt>
              </c:strCache>
            </c:strRef>
          </c:tx>
          <c:overlay val="0"/>
          <c:txPr>
            <a:bodyPr rot="-5400000" vert="horz"/>
            <a:lstStyle/>
            <a:p>
              <a:pPr>
                <a:defRPr lang="en-IN" sz="1200">
                  <a:solidFill>
                    <a:schemeClr val="bg1"/>
                  </a:solidFill>
                </a:defRPr>
              </a:pPr>
              <a:endParaRPr lang="en-US"/>
            </a:p>
          </c:txPr>
        </c:title>
        <c:numFmt formatCode="_(* #,##0_);_(* \(#,##0\);_(* &quot;-&quot;??_);_(@_)" sourceLinked="1"/>
        <c:majorTickMark val="out"/>
        <c:minorTickMark val="none"/>
        <c:tickLblPos val="nextTo"/>
        <c:txPr>
          <a:bodyPr rot="0"/>
          <a:lstStyle/>
          <a:p>
            <a:pPr>
              <a:defRPr lang="en-US" sz="1100">
                <a:solidFill>
                  <a:schemeClr val="bg1"/>
                </a:solidFill>
              </a:defRPr>
            </a:pPr>
            <a:endParaRPr lang="en-US"/>
          </a:p>
        </c:txPr>
        <c:crossAx val="587061248"/>
        <c:crosses val="autoZero"/>
        <c:crossBetween val="between"/>
      </c:valAx>
    </c:plotArea>
    <c:legend>
      <c:legendPos val="b"/>
      <c:layout>
        <c:manualLayout>
          <c:xMode val="edge"/>
          <c:yMode val="edge"/>
          <c:x val="0"/>
          <c:y val="0.9346687889087919"/>
          <c:w val="1"/>
          <c:h val="4.7770030923694133E-2"/>
        </c:manualLayout>
      </c:layout>
      <c:overlay val="0"/>
      <c:txPr>
        <a:bodyPr/>
        <a:lstStyle/>
        <a:p>
          <a:pPr>
            <a:defRPr lang="en-US" sz="1400">
              <a:solidFill>
                <a:schemeClr val="bg1"/>
              </a:solidFill>
            </a:defRPr>
          </a:pPr>
          <a:endParaRPr lang="en-US"/>
        </a:p>
      </c:txPr>
    </c:legend>
    <c:plotVisOnly val="1"/>
    <c:dispBlanksAs val="gap"/>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Improvement in revenues of water supply services</a:t>
            </a:r>
            <a:endParaRPr lang="en-US"/>
          </a:p>
        </c:rich>
      </c:tx>
      <c:layout>
        <c:manualLayout>
          <c:xMode val="edge"/>
          <c:yMode val="edge"/>
          <c:x val="0.2673437563969836"/>
          <c:y val="1.5042744611499383E-2"/>
        </c:manualLayout>
      </c:layout>
      <c:overlay val="1"/>
    </c:title>
    <c:autoTitleDeleted val="0"/>
    <c:plotArea>
      <c:layout>
        <c:manualLayout>
          <c:layoutTarget val="inner"/>
          <c:xMode val="edge"/>
          <c:yMode val="edge"/>
          <c:x val="7.6776830949329133E-2"/>
          <c:y val="9.3584288806004542E-2"/>
          <c:w val="0.88882653746912565"/>
          <c:h val="0.77054945404636765"/>
        </c:manualLayout>
      </c:layout>
      <c:areaChart>
        <c:grouping val="standard"/>
        <c:varyColors val="0"/>
        <c:ser>
          <c:idx val="3"/>
          <c:order val="2"/>
          <c:tx>
            <c:v>WS revenue expenditure</c:v>
          </c:tx>
          <c:spPr>
            <a:solidFill>
              <a:srgbClr val="EEECE1">
                <a:lumMod val="90000"/>
                <a:alpha val="40000"/>
              </a:srgbClr>
            </a:solidFill>
            <a:ln>
              <a:noFill/>
            </a:ln>
          </c:spPr>
          <c:val>
            <c:numRef>
              <c:f>'PIP finance'!$D$717:$M$717</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5="http://schemas.microsoft.com/office/drawing/2012/chart" uri="{02D57815-91ED-43cb-92C2-25804820EDAC}">
              <c15:filteredCategoryTitle>
                <c15:cat>
                  <c:numRef>
                    <c:extLst>
                      <c:ext uri="{02D57815-91ED-43cb-92C2-25804820EDAC}">
                        <c15:formulaRef>
                          <c15:sqref>'Financing Plan'!$F$136:$O$136</c15:sqref>
                        </c15:formulaRef>
                      </c:ext>
                    </c:extLst>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15:cat>
              </c15:filteredCategoryTitle>
            </c:ext>
            <c:ext xmlns:c16="http://schemas.microsoft.com/office/drawing/2014/chart" uri="{C3380CC4-5D6E-409C-BE32-E72D297353CC}">
              <c16:uniqueId val="{00000000-A3DA-4347-A7C8-07CD4A987EAC}"/>
            </c:ext>
          </c:extLst>
        </c:ser>
        <c:dLbls>
          <c:showLegendKey val="0"/>
          <c:showVal val="0"/>
          <c:showCatName val="0"/>
          <c:showSerName val="0"/>
          <c:showPercent val="0"/>
          <c:showBubbleSize val="0"/>
        </c:dLbls>
        <c:axId val="587059200"/>
        <c:axId val="41094528"/>
      </c:areaChart>
      <c:lineChart>
        <c:grouping val="standard"/>
        <c:varyColors val="0"/>
        <c:ser>
          <c:idx val="1"/>
          <c:order val="0"/>
          <c:tx>
            <c:v>WS revenue income - BAU/ CSP</c:v>
          </c:tx>
          <c:spPr>
            <a:ln w="82550"/>
            <a:effectLst/>
          </c:spPr>
          <c:marker>
            <c:symbol val="square"/>
            <c:size val="10"/>
            <c:spPr>
              <a:ln>
                <a:noFill/>
              </a:ln>
              <a:effectLst/>
            </c:spPr>
          </c:marker>
          <c:dLbls>
            <c:spPr>
              <a:noFill/>
              <a:ln>
                <a:noFill/>
              </a:ln>
              <a:effectLst/>
            </c:spPr>
            <c:txPr>
              <a:bodyPr/>
              <a:lstStyle/>
              <a:p>
                <a:pPr>
                  <a:defRPr lang="en-IN"/>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'Financing Plan'!$F$159:$O$159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finance'!$D$716:$M$716</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extLst xmlns:c16r2="http://schemas.microsoft.com/office/drawing/2015/06/chart">
            <c:ext xmlns:c15="http://schemas.microsoft.com/office/drawing/2012/chart" uri="{02D57815-91ED-43cb-92C2-25804820EDAC}">
              <c15:filteredCategoryTitle>
                <c15:cat>
                  <c:numRef>
                    <c:extLst>
                      <c:ext uri="{02D57815-91ED-43cb-92C2-25804820EDAC}">
                        <c15:formulaRef>
                          <c15:sqref>'Financing Plan'!$F$171:$O$171</c15:sqref>
                        </c15:formulaRef>
                      </c:ext>
                    </c:extLst>
                  </c:numRef>
                </c15:cat>
              </c15:filteredCategoryTitle>
            </c:ext>
            <c:ext xmlns:c16="http://schemas.microsoft.com/office/drawing/2014/chart" uri="{C3380CC4-5D6E-409C-BE32-E72D297353CC}">
              <c16:uniqueId val="{00000001-A3DA-4347-A7C8-07CD4A987EAC}"/>
            </c:ext>
          </c:extLst>
        </c:ser>
        <c:ser>
          <c:idx val="2"/>
          <c:order val="1"/>
          <c:tx>
            <c:v>WS revenue income - Tariff revision</c:v>
          </c:tx>
          <c:spPr>
            <a:ln w="82550">
              <a:solidFill>
                <a:schemeClr val="accent1"/>
              </a:solidFill>
            </a:ln>
            <a:effectLst/>
          </c:spPr>
          <c:marker>
            <c:symbol val="triangle"/>
            <c:size val="12"/>
            <c:spPr>
              <a:solidFill>
                <a:schemeClr val="accent1">
                  <a:lumMod val="75000"/>
                </a:schemeClr>
              </a:solidFill>
              <a:ln>
                <a:noFill/>
              </a:ln>
              <a:effectLst/>
            </c:spPr>
          </c:marker>
          <c:dLbls>
            <c:spPr>
              <a:noFill/>
              <a:ln>
                <a:noFill/>
              </a:ln>
              <a:effectLst/>
            </c:spPr>
            <c:txPr>
              <a:bodyPr/>
              <a:lstStyle/>
              <a:p>
                <a:pPr>
                  <a:defRPr lang="en-IN"/>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'Financing Plan'!$F$159:$O$159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finance'!$D$737:$M$737</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extLst xmlns:c16r2="http://schemas.microsoft.com/office/drawing/2015/06/chart">
            <c:ext xmlns:c15="http://schemas.microsoft.com/office/drawing/2012/chart" uri="{02D57815-91ED-43cb-92C2-25804820EDAC}">
              <c15:filteredCategoryTitle>
                <c15:cat>
                  <c:numRef>
                    <c:extLst>
                      <c:ext uri="{02D57815-91ED-43cb-92C2-25804820EDAC}">
                        <c15:formulaRef>
                          <c15:sqref>'Financing Plan'!$F$171:$O$171</c15:sqref>
                        </c15:formulaRef>
                      </c:ext>
                    </c:extLst>
                  </c:numRef>
                </c15:cat>
              </c15:filteredCategoryTitle>
            </c:ext>
            <c:ext xmlns:c16="http://schemas.microsoft.com/office/drawing/2014/chart" uri="{C3380CC4-5D6E-409C-BE32-E72D297353CC}">
              <c16:uniqueId val="{00000002-A3DA-4347-A7C8-07CD4A987EAC}"/>
            </c:ext>
          </c:extLst>
        </c:ser>
        <c:dLbls>
          <c:showLegendKey val="0"/>
          <c:showVal val="1"/>
          <c:showCatName val="0"/>
          <c:showSerName val="0"/>
          <c:showPercent val="0"/>
          <c:showBubbleSize val="0"/>
        </c:dLbls>
        <c:marker val="1"/>
        <c:smooth val="0"/>
        <c:axId val="587059200"/>
        <c:axId val="41094528"/>
      </c:lineChart>
      <c:catAx>
        <c:axId val="587059200"/>
        <c:scaling>
          <c:orientation val="minMax"/>
        </c:scaling>
        <c:delete val="0"/>
        <c:axPos val="b"/>
        <c:majorGridlines/>
        <c:numFmt formatCode="0" sourceLinked="1"/>
        <c:majorTickMark val="out"/>
        <c:minorTickMark val="none"/>
        <c:tickLblPos val="nextTo"/>
        <c:spPr>
          <a:solidFill>
            <a:schemeClr val="tx1">
              <a:lumMod val="50000"/>
              <a:lumOff val="50000"/>
            </a:schemeClr>
          </a:solidFill>
        </c:spPr>
        <c:txPr>
          <a:bodyPr/>
          <a:lstStyle/>
          <a:p>
            <a:pPr>
              <a:defRPr lang="en-US" sz="1100" b="1">
                <a:solidFill>
                  <a:schemeClr val="bg1"/>
                </a:solidFill>
              </a:defRPr>
            </a:pPr>
            <a:endParaRPr lang="en-US"/>
          </a:p>
        </c:txPr>
        <c:crossAx val="41094528"/>
        <c:crosses val="autoZero"/>
        <c:auto val="1"/>
        <c:lblAlgn val="ctr"/>
        <c:lblOffset val="100"/>
        <c:noMultiLvlLbl val="0"/>
      </c:catAx>
      <c:valAx>
        <c:axId val="41094528"/>
        <c:scaling>
          <c:orientation val="minMax"/>
        </c:scaling>
        <c:delete val="0"/>
        <c:axPos val="l"/>
        <c:majorGridlines/>
        <c:title>
          <c:tx>
            <c:strRef>
              <c:f>'General info'!$E$43:$G$43</c:f>
              <c:strCache>
                <c:ptCount val="1"/>
                <c:pt idx="0">
                  <c:v>INR Lakhs</c:v>
                </c:pt>
              </c:strCache>
            </c:strRef>
          </c:tx>
          <c:overlay val="0"/>
          <c:txPr>
            <a:bodyPr rot="-5400000" vert="horz"/>
            <a:lstStyle/>
            <a:p>
              <a:pPr>
                <a:defRPr lang="en-IN" sz="1200">
                  <a:solidFill>
                    <a:schemeClr val="bg1"/>
                  </a:solidFill>
                </a:defRPr>
              </a:pPr>
              <a:endParaRPr lang="en-US"/>
            </a:p>
          </c:txPr>
        </c:title>
        <c:numFmt formatCode="_(* #,##0_);_(* \(#,##0\);_(* &quot;-&quot;??_);_(@_)" sourceLinked="1"/>
        <c:majorTickMark val="out"/>
        <c:minorTickMark val="none"/>
        <c:tickLblPos val="nextTo"/>
        <c:txPr>
          <a:bodyPr rot="0"/>
          <a:lstStyle/>
          <a:p>
            <a:pPr>
              <a:defRPr lang="en-US" sz="1100">
                <a:solidFill>
                  <a:schemeClr val="bg1"/>
                </a:solidFill>
              </a:defRPr>
            </a:pPr>
            <a:endParaRPr lang="en-US"/>
          </a:p>
        </c:txPr>
        <c:crossAx val="587059200"/>
        <c:crosses val="autoZero"/>
        <c:crossBetween val="between"/>
      </c:valAx>
    </c:plotArea>
    <c:legend>
      <c:legendPos val="b"/>
      <c:layout>
        <c:manualLayout>
          <c:xMode val="edge"/>
          <c:yMode val="edge"/>
          <c:x val="1.5438721879426727E-2"/>
          <c:y val="0.94049593109473195"/>
          <c:w val="0.97231332635441414"/>
          <c:h val="5.4459690858649004E-2"/>
        </c:manualLayout>
      </c:layout>
      <c:overlay val="0"/>
      <c:txPr>
        <a:bodyPr/>
        <a:lstStyle/>
        <a:p>
          <a:pPr>
            <a:defRPr lang="en-US" sz="1400">
              <a:solidFill>
                <a:schemeClr val="bg1"/>
              </a:solidFill>
            </a:defRPr>
          </a:pPr>
          <a:endParaRPr lang="en-US"/>
        </a:p>
      </c:txPr>
    </c:legend>
    <c:plotVisOnly val="1"/>
    <c:dispBlanksAs val="gap"/>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Coverage of toilet</a:t>
            </a:r>
            <a:r>
              <a:rPr lang="en-US" sz="1400" baseline="0"/>
              <a:t> facilities</a:t>
            </a:r>
            <a:endParaRPr lang="en-US" sz="1400"/>
          </a:p>
        </c:rich>
      </c:tx>
      <c:layout>
        <c:manualLayout>
          <c:xMode val="edge"/>
          <c:yMode val="edge"/>
          <c:x val="0.34337348514305416"/>
          <c:y val="4.0675788596951666E-2"/>
        </c:manualLayout>
      </c:layout>
      <c:overlay val="1"/>
    </c:title>
    <c:autoTitleDeleted val="0"/>
    <c:plotArea>
      <c:layout>
        <c:manualLayout>
          <c:layoutTarget val="inner"/>
          <c:xMode val="edge"/>
          <c:yMode val="edge"/>
          <c:x val="5.0582651256620037E-2"/>
          <c:y val="0.13919394044621941"/>
          <c:w val="0.9157305734029082"/>
          <c:h val="0.45575826584648982"/>
        </c:manualLayout>
      </c:layout>
      <c:barChart>
        <c:barDir val="bar"/>
        <c:grouping val="stacked"/>
        <c:varyColors val="0"/>
        <c:ser>
          <c:idx val="0"/>
          <c:order val="0"/>
          <c:tx>
            <c:strRef>
              <c:f>'WW calcu'!$C$1111</c:f>
              <c:strCache>
                <c:ptCount val="1"/>
                <c:pt idx="0">
                  <c:v>Individual toilet - sewerage conn.</c:v>
                </c:pt>
              </c:strCache>
            </c:strRef>
          </c:tx>
          <c:spPr>
            <a:solidFill>
              <a:schemeClr val="tx2"/>
            </a:solidFill>
          </c:spPr>
          <c:invertIfNegative val="0"/>
          <c:cat>
            <c:strRef>
              <c:f>'WW calcu'!$D$1110:$E$1110</c:f>
              <c:strCache>
                <c:ptCount val="2"/>
                <c:pt idx="0">
                  <c:v>Slum</c:v>
                </c:pt>
                <c:pt idx="1">
                  <c:v>City</c:v>
                </c:pt>
              </c:strCache>
            </c:strRef>
          </c:cat>
          <c:val>
            <c:numRef>
              <c:f>'WW calcu'!$D$1111:$E$1111</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0-95D4-4421-B408-27E5B7713B63}"/>
            </c:ext>
          </c:extLst>
        </c:ser>
        <c:ser>
          <c:idx val="1"/>
          <c:order val="1"/>
          <c:tx>
            <c:strRef>
              <c:f>'WW calcu'!$C$1112</c:f>
              <c:strCache>
                <c:ptCount val="1"/>
                <c:pt idx="0">
                  <c:v>Individual toilet - onsite sanitation</c:v>
                </c:pt>
              </c:strCache>
            </c:strRef>
          </c:tx>
          <c:spPr>
            <a:solidFill>
              <a:schemeClr val="accent1"/>
            </a:solidFill>
          </c:spPr>
          <c:invertIfNegative val="0"/>
          <c:cat>
            <c:strRef>
              <c:f>'WW calcu'!$D$1110:$E$1110</c:f>
              <c:strCache>
                <c:ptCount val="2"/>
                <c:pt idx="0">
                  <c:v>Slum</c:v>
                </c:pt>
                <c:pt idx="1">
                  <c:v>City</c:v>
                </c:pt>
              </c:strCache>
            </c:strRef>
          </c:cat>
          <c:val>
            <c:numRef>
              <c:f>'WW calcu'!$D$1112:$E$1112</c:f>
              <c:numCache>
                <c:formatCode>_(* #,##0_);_(* \(#,##0\);_(* "-"??_);_(@_)</c:formatCode>
                <c:ptCount val="2"/>
                <c:pt idx="0">
                  <c:v>0</c:v>
                </c:pt>
                <c:pt idx="1">
                  <c:v>424</c:v>
                </c:pt>
              </c:numCache>
            </c:numRef>
          </c:val>
          <c:extLst xmlns:c16r2="http://schemas.microsoft.com/office/drawing/2015/06/chart">
            <c:ext xmlns:c16="http://schemas.microsoft.com/office/drawing/2014/chart" uri="{C3380CC4-5D6E-409C-BE32-E72D297353CC}">
              <c16:uniqueId val="{00000001-95D4-4421-B408-27E5B7713B63}"/>
            </c:ext>
          </c:extLst>
        </c:ser>
        <c:ser>
          <c:idx val="2"/>
          <c:order val="2"/>
          <c:tx>
            <c:strRef>
              <c:f>'WW calcu'!$C$1113</c:f>
              <c:strCache>
                <c:ptCount val="1"/>
                <c:pt idx="0">
                  <c:v>Individual toilet with unsafe sanitation</c:v>
                </c:pt>
              </c:strCache>
            </c:strRef>
          </c:tx>
          <c:spPr>
            <a:solidFill>
              <a:schemeClr val="tx2">
                <a:lumMod val="40000"/>
                <a:lumOff val="60000"/>
              </a:schemeClr>
            </a:solidFill>
          </c:spPr>
          <c:invertIfNegative val="0"/>
          <c:cat>
            <c:strRef>
              <c:f>'WW calcu'!$D$1110:$E$1110</c:f>
              <c:strCache>
                <c:ptCount val="2"/>
                <c:pt idx="0">
                  <c:v>Slum</c:v>
                </c:pt>
                <c:pt idx="1">
                  <c:v>City</c:v>
                </c:pt>
              </c:strCache>
            </c:strRef>
          </c:cat>
          <c:val>
            <c:numRef>
              <c:f>'WW calcu'!$D$1113:$E$1113</c:f>
              <c:numCache>
                <c:formatCode>_(* #,##0_);_(* \(#,##0\);_(* "-"??_);_(@_)</c:formatCode>
                <c:ptCount val="2"/>
                <c:pt idx="0">
                  <c:v>191</c:v>
                </c:pt>
                <c:pt idx="1">
                  <c:v>4218</c:v>
                </c:pt>
              </c:numCache>
            </c:numRef>
          </c:val>
          <c:extLst xmlns:c16r2="http://schemas.microsoft.com/office/drawing/2015/06/chart">
            <c:ext xmlns:c16="http://schemas.microsoft.com/office/drawing/2014/chart" uri="{C3380CC4-5D6E-409C-BE32-E72D297353CC}">
              <c16:uniqueId val="{00000002-95D4-4421-B408-27E5B7713B63}"/>
            </c:ext>
          </c:extLst>
        </c:ser>
        <c:ser>
          <c:idx val="3"/>
          <c:order val="3"/>
          <c:tx>
            <c:strRef>
              <c:f>'WW calcu'!$C$1114</c:f>
              <c:strCache>
                <c:ptCount val="1"/>
                <c:pt idx="0">
                  <c:v>HHs dependent on safe community toilets</c:v>
                </c:pt>
              </c:strCache>
            </c:strRef>
          </c:tx>
          <c:spPr>
            <a:solidFill>
              <a:schemeClr val="accent2">
                <a:lumMod val="75000"/>
              </a:schemeClr>
            </a:solidFill>
            <a:ln>
              <a:noFill/>
            </a:ln>
          </c:spPr>
          <c:invertIfNegative val="0"/>
          <c:cat>
            <c:strRef>
              <c:f>'WW calcu'!$D$1110:$E$1110</c:f>
              <c:strCache>
                <c:ptCount val="2"/>
                <c:pt idx="0">
                  <c:v>Slum</c:v>
                </c:pt>
                <c:pt idx="1">
                  <c:v>City</c:v>
                </c:pt>
              </c:strCache>
            </c:strRef>
          </c:cat>
          <c:val>
            <c:numRef>
              <c:f>'WW calcu'!$D$1114:$E$1114</c:f>
              <c:numCache>
                <c:formatCode>_(* #,##0_);_(* \(#,##0\);_(* "-"??_);_(@_)</c:formatCode>
                <c:ptCount val="2"/>
                <c:pt idx="0">
                  <c:v>156</c:v>
                </c:pt>
                <c:pt idx="1">
                  <c:v>2236</c:v>
                </c:pt>
              </c:numCache>
            </c:numRef>
          </c:val>
          <c:extLst xmlns:c16r2="http://schemas.microsoft.com/office/drawing/2015/06/chart">
            <c:ext xmlns:c16="http://schemas.microsoft.com/office/drawing/2014/chart" uri="{C3380CC4-5D6E-409C-BE32-E72D297353CC}">
              <c16:uniqueId val="{00000003-95D4-4421-B408-27E5B7713B63}"/>
            </c:ext>
          </c:extLst>
        </c:ser>
        <c:ser>
          <c:idx val="4"/>
          <c:order val="4"/>
          <c:tx>
            <c:strRef>
              <c:f>'WW calcu'!$C$1115</c:f>
              <c:strCache>
                <c:ptCount val="1"/>
                <c:pt idx="0">
                  <c:v>HHs dependent on unsafe community toilets</c:v>
                </c:pt>
              </c:strCache>
            </c:strRef>
          </c:tx>
          <c:spPr>
            <a:solidFill>
              <a:schemeClr val="accent2"/>
            </a:solidFill>
            <a:ln>
              <a:noFill/>
            </a:ln>
          </c:spPr>
          <c:invertIfNegative val="0"/>
          <c:dPt>
            <c:idx val="1"/>
            <c:invertIfNegative val="0"/>
            <c:bubble3D val="0"/>
            <c:spPr>
              <a:solidFill>
                <a:srgbClr val="CE7674"/>
              </a:solidFill>
              <a:ln>
                <a:noFill/>
              </a:ln>
            </c:spPr>
            <c:extLst xmlns:c16r2="http://schemas.microsoft.com/office/drawing/2015/06/chart">
              <c:ext xmlns:c16="http://schemas.microsoft.com/office/drawing/2014/chart" uri="{C3380CC4-5D6E-409C-BE32-E72D297353CC}">
                <c16:uniqueId val="{00000005-95D4-4421-B408-27E5B7713B63}"/>
              </c:ext>
            </c:extLst>
          </c:dPt>
          <c:cat>
            <c:strRef>
              <c:f>'WW calcu'!$D$1110:$E$1110</c:f>
              <c:strCache>
                <c:ptCount val="2"/>
                <c:pt idx="0">
                  <c:v>Slum</c:v>
                </c:pt>
                <c:pt idx="1">
                  <c:v>City</c:v>
                </c:pt>
              </c:strCache>
            </c:strRef>
          </c:cat>
          <c:val>
            <c:numRef>
              <c:f>'WW calcu'!$D$1115:$E$1115</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6-95D4-4421-B408-27E5B7713B63}"/>
            </c:ext>
          </c:extLst>
        </c:ser>
        <c:ser>
          <c:idx val="5"/>
          <c:order val="5"/>
          <c:tx>
            <c:strRef>
              <c:f>'WW calcu'!$C$1116</c:f>
              <c:strCache>
                <c:ptCount val="1"/>
                <c:pt idx="0">
                  <c:v>Unserved HHs</c:v>
                </c:pt>
              </c:strCache>
            </c:strRef>
          </c:tx>
          <c:spPr>
            <a:solidFill>
              <a:schemeClr val="bg1">
                <a:lumMod val="75000"/>
              </a:schemeClr>
            </a:solidFill>
          </c:spPr>
          <c:invertIfNegative val="0"/>
          <c:dPt>
            <c:idx val="1"/>
            <c:invertIfNegative val="0"/>
            <c:bubble3D val="0"/>
            <c:spPr>
              <a:solidFill>
                <a:schemeClr val="bg1">
                  <a:lumMod val="65000"/>
                </a:schemeClr>
              </a:solidFill>
            </c:spPr>
            <c:extLst xmlns:c16r2="http://schemas.microsoft.com/office/drawing/2015/06/chart">
              <c:ext xmlns:c16="http://schemas.microsoft.com/office/drawing/2014/chart" uri="{C3380CC4-5D6E-409C-BE32-E72D297353CC}">
                <c16:uniqueId val="{00000008-95D4-4421-B408-27E5B7713B63}"/>
              </c:ext>
            </c:extLst>
          </c:dPt>
          <c:cat>
            <c:strRef>
              <c:f>'WW calcu'!$D$1110:$E$1110</c:f>
              <c:strCache>
                <c:ptCount val="2"/>
                <c:pt idx="0">
                  <c:v>Slum</c:v>
                </c:pt>
                <c:pt idx="1">
                  <c:v>City</c:v>
                </c:pt>
              </c:strCache>
            </c:strRef>
          </c:cat>
          <c:val>
            <c:numRef>
              <c:f>'WW calcu'!$D$1116:$E$1116</c:f>
              <c:numCache>
                <c:formatCode>_(* #,##0_);_(* \(#,##0\);_(* "-"??_);_(@_)</c:formatCode>
                <c:ptCount val="2"/>
                <c:pt idx="0" formatCode="0">
                  <c:v>0</c:v>
                </c:pt>
                <c:pt idx="1">
                  <c:v>0</c:v>
                </c:pt>
              </c:numCache>
            </c:numRef>
          </c:val>
          <c:extLst xmlns:c16r2="http://schemas.microsoft.com/office/drawing/2015/06/chart">
            <c:ext xmlns:c16="http://schemas.microsoft.com/office/drawing/2014/chart" uri="{C3380CC4-5D6E-409C-BE32-E72D297353CC}">
              <c16:uniqueId val="{00000009-95D4-4421-B408-27E5B7713B63}"/>
            </c:ext>
          </c:extLst>
        </c:ser>
        <c:dLbls>
          <c:showLegendKey val="0"/>
          <c:showVal val="0"/>
          <c:showCatName val="0"/>
          <c:showSerName val="0"/>
          <c:showPercent val="0"/>
          <c:showBubbleSize val="0"/>
        </c:dLbls>
        <c:gapWidth val="60"/>
        <c:overlap val="100"/>
        <c:axId val="561589760"/>
        <c:axId val="581692800"/>
      </c:barChart>
      <c:catAx>
        <c:axId val="561589760"/>
        <c:scaling>
          <c:orientation val="minMax"/>
        </c:scaling>
        <c:delete val="0"/>
        <c:axPos val="l"/>
        <c:numFmt formatCode="General" sourceLinked="0"/>
        <c:majorTickMark val="out"/>
        <c:minorTickMark val="none"/>
        <c:tickLblPos val="nextTo"/>
        <c:txPr>
          <a:bodyPr/>
          <a:lstStyle/>
          <a:p>
            <a:pPr>
              <a:defRPr lang="en-US" sz="1100"/>
            </a:pPr>
            <a:endParaRPr lang="en-US"/>
          </a:p>
        </c:txPr>
        <c:crossAx val="581692800"/>
        <c:crosses val="autoZero"/>
        <c:auto val="1"/>
        <c:lblAlgn val="ctr"/>
        <c:lblOffset val="100"/>
        <c:noMultiLvlLbl val="0"/>
      </c:catAx>
      <c:valAx>
        <c:axId val="581692800"/>
        <c:scaling>
          <c:orientation val="minMax"/>
        </c:scaling>
        <c:delete val="0"/>
        <c:axPos val="b"/>
        <c:majorGridlines/>
        <c:numFmt formatCode="_(* #,##0_);_(* \(#,##0\);_(* &quot;-&quot;??_);_(@_)" sourceLinked="1"/>
        <c:majorTickMark val="out"/>
        <c:minorTickMark val="none"/>
        <c:tickLblPos val="nextTo"/>
        <c:txPr>
          <a:bodyPr/>
          <a:lstStyle/>
          <a:p>
            <a:pPr>
              <a:defRPr lang="en-US" sz="1050"/>
            </a:pPr>
            <a:endParaRPr lang="en-US"/>
          </a:p>
        </c:txPr>
        <c:crossAx val="561589760"/>
        <c:crosses val="autoZero"/>
        <c:crossBetween val="between"/>
      </c:valAx>
      <c:spPr>
        <a:solidFill>
          <a:schemeClr val="bg1"/>
        </a:solidFill>
        <a:ln>
          <a:solidFill>
            <a:schemeClr val="tx1">
              <a:lumMod val="50000"/>
              <a:lumOff val="50000"/>
            </a:schemeClr>
          </a:solidFill>
        </a:ln>
      </c:spPr>
    </c:plotArea>
    <c:legend>
      <c:legendPos val="b"/>
      <c:layout>
        <c:manualLayout>
          <c:xMode val="edge"/>
          <c:yMode val="edge"/>
          <c:x val="0"/>
          <c:y val="0.74769058124211873"/>
          <c:w val="1"/>
          <c:h val="0.22083397653971937"/>
        </c:manualLayout>
      </c:layout>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Improvement in revenues of  FSM and wastewater services</a:t>
            </a:r>
            <a:endParaRPr lang="en-US"/>
          </a:p>
        </c:rich>
      </c:tx>
      <c:layout>
        <c:manualLayout>
          <c:xMode val="edge"/>
          <c:yMode val="edge"/>
          <c:x val="0.21695132550973995"/>
          <c:y val="2.5006516608476477E-2"/>
        </c:manualLayout>
      </c:layout>
      <c:overlay val="1"/>
    </c:title>
    <c:autoTitleDeleted val="0"/>
    <c:plotArea>
      <c:layout>
        <c:manualLayout>
          <c:layoutTarget val="inner"/>
          <c:xMode val="edge"/>
          <c:yMode val="edge"/>
          <c:x val="6.9798882972556583E-2"/>
          <c:y val="9.3584288806004542E-2"/>
          <c:w val="0.89580448911284649"/>
          <c:h val="0.7634883951124054"/>
        </c:manualLayout>
      </c:layout>
      <c:areaChart>
        <c:grouping val="standard"/>
        <c:varyColors val="0"/>
        <c:ser>
          <c:idx val="3"/>
          <c:order val="2"/>
          <c:tx>
            <c:v>WW revenue expenditure</c:v>
          </c:tx>
          <c:spPr>
            <a:solidFill>
              <a:schemeClr val="bg2">
                <a:lumMod val="90000"/>
                <a:alpha val="40000"/>
              </a:schemeClr>
            </a:solidFill>
            <a:ln>
              <a:noFill/>
            </a:ln>
          </c:spPr>
          <c:val>
            <c:numRef>
              <c:f>'PIP finance'!$D$721:$M$721</c:f>
              <c:numCache>
                <c:formatCode>_(* #,##0_);_(* \(#,##0\);_(* "-"??_);_(@_)</c:formatCode>
                <c:ptCount val="10"/>
                <c:pt idx="0">
                  <c:v>10.830114687146667</c:v>
                </c:pt>
                <c:pt idx="1">
                  <c:v>25.5491859412992</c:v>
                </c:pt>
                <c:pt idx="2">
                  <c:v>33.155764628951168</c:v>
                </c:pt>
                <c:pt idx="3">
                  <c:v>34.723580526609219</c:v>
                </c:pt>
                <c:pt idx="4">
                  <c:v>36.366188325798589</c:v>
                </c:pt>
                <c:pt idx="5">
                  <c:v>38.087183665861787</c:v>
                </c:pt>
                <c:pt idx="6">
                  <c:v>39.890336209879074</c:v>
                </c:pt>
                <c:pt idx="7">
                  <c:v>41.779598115526191</c:v>
                </c:pt>
                <c:pt idx="8">
                  <c:v>43.759112920261785</c:v>
                </c:pt>
                <c:pt idx="9">
                  <c:v>45.833224861192541</c:v>
                </c:pt>
              </c:numCache>
            </c:numRef>
          </c:val>
          <c:extLst xmlns:c16r2="http://schemas.microsoft.com/office/drawing/2015/06/chart">
            <c:ext xmlns:c15="http://schemas.microsoft.com/office/drawing/2012/chart" uri="{02D57815-91ED-43cb-92C2-25804820EDAC}">
              <c15:filteredCategoryTitle>
                <c15:cat>
                  <c:numRef>
                    <c:extLst>
                      <c:ext uri="{02D57815-91ED-43cb-92C2-25804820EDAC}">
                        <c15:formulaRef>
                          <c15:sqref>'Financing Plan'!$F$136:$O$136</c15:sqref>
                        </c15:formulaRef>
                      </c:ext>
                    </c:extLst>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15:cat>
              </c15:filteredCategoryTitle>
            </c:ext>
            <c:ext xmlns:c16="http://schemas.microsoft.com/office/drawing/2014/chart" uri="{C3380CC4-5D6E-409C-BE32-E72D297353CC}">
              <c16:uniqueId val="{00000000-67CC-4044-B13B-075AC47AC4EF}"/>
            </c:ext>
          </c:extLst>
        </c:ser>
        <c:dLbls>
          <c:showLegendKey val="0"/>
          <c:showVal val="0"/>
          <c:showCatName val="0"/>
          <c:showSerName val="0"/>
          <c:showPercent val="0"/>
          <c:showBubbleSize val="0"/>
        </c:dLbls>
        <c:axId val="541454336"/>
        <c:axId val="41096832"/>
      </c:areaChart>
      <c:lineChart>
        <c:grouping val="standard"/>
        <c:varyColors val="0"/>
        <c:ser>
          <c:idx val="1"/>
          <c:order val="0"/>
          <c:tx>
            <c:v>WW revenue income - BAU/ PIP</c:v>
          </c:tx>
          <c:spPr>
            <a:ln w="82550"/>
            <a:effectLst/>
          </c:spPr>
          <c:marker>
            <c:symbol val="square"/>
            <c:size val="10"/>
            <c:spPr>
              <a:ln>
                <a:noFill/>
              </a:ln>
              <a:effectLst/>
            </c:spPr>
          </c:marker>
          <c:dLbls>
            <c:spPr>
              <a:noFill/>
              <a:ln>
                <a:noFill/>
              </a:ln>
              <a:effectLst/>
            </c:spPr>
            <c:txPr>
              <a:bodyPr/>
              <a:lstStyle/>
              <a:p>
                <a:pPr>
                  <a:defRPr lang="en-IN"/>
                </a:pPr>
                <a:endParaRPr lang="en-US"/>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'Financing Plan'!$F$201:$O$201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finance'!$D$720:$M$720</c:f>
              <c:numCache>
                <c:formatCode>_(* #,##0_);_(* \(#,##0\);_(* "-"??_);_(@_)</c:formatCode>
                <c:ptCount val="10"/>
                <c:pt idx="0">
                  <c:v>1.4133333333333336</c:v>
                </c:pt>
                <c:pt idx="1">
                  <c:v>1.4345333333333334</c:v>
                </c:pt>
                <c:pt idx="2">
                  <c:v>1.4563693333333336</c:v>
                </c:pt>
                <c:pt idx="3">
                  <c:v>17.201518364333332</c:v>
                </c:pt>
                <c:pt idx="4">
                  <c:v>17.470973915263336</c:v>
                </c:pt>
                <c:pt idx="5">
                  <c:v>0</c:v>
                </c:pt>
                <c:pt idx="6">
                  <c:v>0</c:v>
                </c:pt>
                <c:pt idx="7">
                  <c:v>0</c:v>
                </c:pt>
                <c:pt idx="8">
                  <c:v>0</c:v>
                </c:pt>
                <c:pt idx="9">
                  <c:v>0</c:v>
                </c:pt>
              </c:numCache>
            </c:numRef>
          </c:val>
          <c:smooth val="0"/>
          <c:extLst xmlns:c16r2="http://schemas.microsoft.com/office/drawing/2015/06/chart">
            <c:ext xmlns:c15="http://schemas.microsoft.com/office/drawing/2012/chart" uri="{02D57815-91ED-43cb-92C2-25804820EDAC}">
              <c15:filteredCategoryTitle>
                <c15:cat>
                  <c:numRef>
                    <c:extLst>
                      <c:ext uri="{02D57815-91ED-43cb-92C2-25804820EDAC}">
                        <c15:formulaRef>
                          <c15:sqref>'Financing Plan'!$F$207:$O$207</c15:sqref>
                        </c15:formulaRef>
                      </c:ext>
                    </c:extLst>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15:cat>
              </c15:filteredCategoryTitle>
            </c:ext>
            <c:ext xmlns:c16="http://schemas.microsoft.com/office/drawing/2014/chart" uri="{C3380CC4-5D6E-409C-BE32-E72D297353CC}">
              <c16:uniqueId val="{00000001-67CC-4044-B13B-075AC47AC4EF}"/>
            </c:ext>
          </c:extLst>
        </c:ser>
        <c:ser>
          <c:idx val="2"/>
          <c:order val="1"/>
          <c:tx>
            <c:v>WW revenue income - Tariff revision</c:v>
          </c:tx>
          <c:spPr>
            <a:ln w="82550">
              <a:solidFill>
                <a:schemeClr val="accent1"/>
              </a:solidFill>
            </a:ln>
            <a:effectLst/>
          </c:spPr>
          <c:marker>
            <c:symbol val="triangle"/>
            <c:size val="12"/>
            <c:spPr>
              <a:solidFill>
                <a:schemeClr val="accent1">
                  <a:lumMod val="75000"/>
                </a:schemeClr>
              </a:solidFill>
              <a:ln>
                <a:noFill/>
              </a:ln>
              <a:effectLst/>
            </c:spPr>
          </c:marker>
          <c:dLbls>
            <c:spPr>
              <a:noFill/>
              <a:ln>
                <a:noFill/>
              </a:ln>
              <a:effectLst/>
            </c:spPr>
            <c:txPr>
              <a:bodyPr/>
              <a:lstStyle/>
              <a:p>
                <a:pPr>
                  <a:defRPr lang="en-IN"/>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'Financing Plan'!$F$201:$O$201</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finance'!$D$741:$M$741</c:f>
              <c:numCache>
                <c:formatCode>_(* #,##0_);_(* \(#,##0\);_(* "-"??_);_(@_)</c:formatCode>
                <c:ptCount val="10"/>
                <c:pt idx="0">
                  <c:v>1.4133333333333336</c:v>
                </c:pt>
                <c:pt idx="1">
                  <c:v>1.4345333333333334</c:v>
                </c:pt>
                <c:pt idx="2">
                  <c:v>1.4563693333333336</c:v>
                </c:pt>
                <c:pt idx="3">
                  <c:v>18.845451697666668</c:v>
                </c:pt>
                <c:pt idx="4">
                  <c:v>19.114907248596666</c:v>
                </c:pt>
                <c:pt idx="5">
                  <c:v>0</c:v>
                </c:pt>
                <c:pt idx="6">
                  <c:v>0</c:v>
                </c:pt>
                <c:pt idx="7">
                  <c:v>0</c:v>
                </c:pt>
                <c:pt idx="8">
                  <c:v>0</c:v>
                </c:pt>
                <c:pt idx="9">
                  <c:v>0</c:v>
                </c:pt>
              </c:numCache>
            </c:numRef>
          </c:val>
          <c:smooth val="0"/>
          <c:extLst xmlns:c16r2="http://schemas.microsoft.com/office/drawing/2015/06/chart">
            <c:ext xmlns:c15="http://schemas.microsoft.com/office/drawing/2012/chart" uri="{02D57815-91ED-43cb-92C2-25804820EDAC}">
              <c15:filteredCategoryTitle>
                <c15:cat>
                  <c:numRef>
                    <c:extLst>
                      <c:ext uri="{02D57815-91ED-43cb-92C2-25804820EDAC}">
                        <c15:formulaRef>
                          <c15:sqref>'Financing Plan'!$F$207:$O$207</c15:sqref>
                        </c15:formulaRef>
                      </c:ext>
                    </c:extLst>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15:cat>
              </c15:filteredCategoryTitle>
            </c:ext>
            <c:ext xmlns:c16="http://schemas.microsoft.com/office/drawing/2014/chart" uri="{C3380CC4-5D6E-409C-BE32-E72D297353CC}">
              <c16:uniqueId val="{00000002-67CC-4044-B13B-075AC47AC4EF}"/>
            </c:ext>
          </c:extLst>
        </c:ser>
        <c:dLbls>
          <c:showLegendKey val="0"/>
          <c:showVal val="1"/>
          <c:showCatName val="0"/>
          <c:showSerName val="0"/>
          <c:showPercent val="0"/>
          <c:showBubbleSize val="0"/>
        </c:dLbls>
        <c:marker val="1"/>
        <c:smooth val="0"/>
        <c:axId val="541454336"/>
        <c:axId val="41096832"/>
      </c:lineChart>
      <c:catAx>
        <c:axId val="541454336"/>
        <c:scaling>
          <c:orientation val="minMax"/>
        </c:scaling>
        <c:delete val="0"/>
        <c:axPos val="b"/>
        <c:majorGridlines/>
        <c:numFmt formatCode="0" sourceLinked="1"/>
        <c:majorTickMark val="out"/>
        <c:minorTickMark val="none"/>
        <c:tickLblPos val="nextTo"/>
        <c:spPr>
          <a:solidFill>
            <a:schemeClr val="tx1">
              <a:lumMod val="50000"/>
              <a:lumOff val="50000"/>
            </a:schemeClr>
          </a:solidFill>
        </c:spPr>
        <c:txPr>
          <a:bodyPr/>
          <a:lstStyle/>
          <a:p>
            <a:pPr>
              <a:defRPr lang="en-US" sz="1100" b="1">
                <a:solidFill>
                  <a:schemeClr val="bg1"/>
                </a:solidFill>
              </a:defRPr>
            </a:pPr>
            <a:endParaRPr lang="en-US"/>
          </a:p>
        </c:txPr>
        <c:crossAx val="41096832"/>
        <c:crosses val="autoZero"/>
        <c:auto val="1"/>
        <c:lblAlgn val="ctr"/>
        <c:lblOffset val="100"/>
        <c:noMultiLvlLbl val="0"/>
      </c:catAx>
      <c:valAx>
        <c:axId val="41096832"/>
        <c:scaling>
          <c:orientation val="minMax"/>
        </c:scaling>
        <c:delete val="0"/>
        <c:axPos val="l"/>
        <c:majorGridlines/>
        <c:title>
          <c:tx>
            <c:strRef>
              <c:f>'General info'!$E$43:$G$43</c:f>
              <c:strCache>
                <c:ptCount val="1"/>
                <c:pt idx="0">
                  <c:v>INR Lakhs</c:v>
                </c:pt>
              </c:strCache>
            </c:strRef>
          </c:tx>
          <c:overlay val="0"/>
          <c:txPr>
            <a:bodyPr rot="-5400000" vert="horz"/>
            <a:lstStyle/>
            <a:p>
              <a:pPr>
                <a:defRPr lang="en-IN" sz="1200">
                  <a:solidFill>
                    <a:schemeClr val="bg1"/>
                  </a:solidFill>
                </a:defRPr>
              </a:pPr>
              <a:endParaRPr lang="en-US"/>
            </a:p>
          </c:txPr>
        </c:title>
        <c:numFmt formatCode="_(* #,##0_);_(* \(#,##0\);_(* &quot;-&quot;??_);_(@_)" sourceLinked="1"/>
        <c:majorTickMark val="out"/>
        <c:minorTickMark val="none"/>
        <c:tickLblPos val="nextTo"/>
        <c:txPr>
          <a:bodyPr rot="0"/>
          <a:lstStyle/>
          <a:p>
            <a:pPr>
              <a:defRPr lang="en-US" sz="1100">
                <a:solidFill>
                  <a:schemeClr val="bg1"/>
                </a:solidFill>
              </a:defRPr>
            </a:pPr>
            <a:endParaRPr lang="en-US"/>
          </a:p>
        </c:txPr>
        <c:crossAx val="541454336"/>
        <c:crosses val="autoZero"/>
        <c:crossBetween val="between"/>
      </c:valAx>
    </c:plotArea>
    <c:legend>
      <c:legendPos val="b"/>
      <c:layout>
        <c:manualLayout>
          <c:xMode val="edge"/>
          <c:yMode val="edge"/>
          <c:x val="1.5526941902139119E-2"/>
          <c:y val="0.94049593109473195"/>
          <c:w val="0.97691163671071524"/>
          <c:h val="5.4459690858649053E-2"/>
        </c:manualLayout>
      </c:layout>
      <c:overlay val="0"/>
      <c:txPr>
        <a:bodyPr/>
        <a:lstStyle/>
        <a:p>
          <a:pPr>
            <a:defRPr lang="en-US" sz="1400">
              <a:solidFill>
                <a:schemeClr val="bg1"/>
              </a:solidFill>
            </a:defRPr>
          </a:pPr>
          <a:endParaRPr lang="en-US"/>
        </a:p>
      </c:txPr>
    </c:legend>
    <c:plotVisOnly val="1"/>
    <c:dispBlanksAs val="gap"/>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80604961745302E-2"/>
          <c:y val="9.1503474458128384E-2"/>
          <c:w val="0.88270363506542482"/>
          <c:h val="0.68591700644971665"/>
        </c:manualLayout>
      </c:layout>
      <c:areaChart>
        <c:grouping val="standard"/>
        <c:varyColors val="0"/>
        <c:ser>
          <c:idx val="4"/>
          <c:order val="4"/>
          <c:tx>
            <c:strRef>
              <c:f>'PIP finance'!$C$919</c:f>
              <c:strCache>
                <c:ptCount val="1"/>
                <c:pt idx="0">
                  <c:v>WSS OpEx</c:v>
                </c:pt>
              </c:strCache>
            </c:strRef>
          </c:tx>
          <c:spPr>
            <a:solidFill>
              <a:srgbClr val="EEECE1">
                <a:lumMod val="75000"/>
                <a:alpha val="50000"/>
              </a:srgbClr>
            </a:solidFill>
          </c:spPr>
          <c:cat>
            <c:numRef>
              <c:f>'PIP finance'!$D$906:$M$906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finance'!$D$919:$M$919</c:f>
              <c:numCache>
                <c:formatCode>_(* #,##0_);_(* \(#,##0\);_(* "-"??_);_(@_)</c:formatCode>
                <c:ptCount val="10"/>
                <c:pt idx="0">
                  <c:v>132</c:v>
                </c:pt>
                <c:pt idx="1">
                  <c:v>153</c:v>
                </c:pt>
                <c:pt idx="2">
                  <c:v>167</c:v>
                </c:pt>
                <c:pt idx="3">
                  <c:v>175</c:v>
                </c:pt>
                <c:pt idx="4">
                  <c:v>184</c:v>
                </c:pt>
                <c:pt idx="5">
                  <c:v>193</c:v>
                </c:pt>
                <c:pt idx="6">
                  <c:v>209</c:v>
                </c:pt>
                <c:pt idx="7">
                  <c:v>219</c:v>
                </c:pt>
                <c:pt idx="8">
                  <c:v>229</c:v>
                </c:pt>
                <c:pt idx="9">
                  <c:v>240</c:v>
                </c:pt>
              </c:numCache>
            </c:numRef>
          </c:val>
          <c:extLst xmlns:c16r2="http://schemas.microsoft.com/office/drawing/2015/06/chart">
            <c:ext xmlns:c16="http://schemas.microsoft.com/office/drawing/2014/chart" uri="{C3380CC4-5D6E-409C-BE32-E72D297353CC}">
              <c16:uniqueId val="{00000000-8DED-4A15-91F6-5C407F4295A4}"/>
            </c:ext>
          </c:extLst>
        </c:ser>
        <c:dLbls>
          <c:showLegendKey val="0"/>
          <c:showVal val="0"/>
          <c:showCatName val="0"/>
          <c:showSerName val="0"/>
          <c:showPercent val="0"/>
          <c:showBubbleSize val="0"/>
        </c:dLbls>
        <c:axId val="587059712"/>
        <c:axId val="587767808"/>
      </c:areaChart>
      <c:barChart>
        <c:barDir val="col"/>
        <c:grouping val="stacked"/>
        <c:varyColors val="0"/>
        <c:ser>
          <c:idx val="0"/>
          <c:order val="0"/>
          <c:tx>
            <c:strRef>
              <c:f>'PIP finance'!$C$915</c:f>
              <c:strCache>
                <c:ptCount val="1"/>
                <c:pt idx="0">
                  <c:v>WSS rev inc - BAU</c:v>
                </c:pt>
              </c:strCache>
            </c:strRef>
          </c:tx>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finance'!$D$915:$M$915</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8DED-4A15-91F6-5C407F4295A4}"/>
            </c:ext>
          </c:extLst>
        </c:ser>
        <c:ser>
          <c:idx val="1"/>
          <c:order val="1"/>
          <c:tx>
            <c:strRef>
              <c:f>'PIP finance'!$C$916</c:f>
              <c:strCache>
                <c:ptCount val="1"/>
                <c:pt idx="0">
                  <c:v>WSS rev inc - CSP actions</c:v>
                </c:pt>
              </c:strCache>
            </c:strRef>
          </c:tx>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finance'!$D$916:$M$916</c:f>
              <c:numCache>
                <c:formatCode>_(* #,##0_);_(* \(#,##0\);_(* "-"??_);_(@_)</c:formatCode>
                <c:ptCount val="10"/>
                <c:pt idx="0">
                  <c:v>1</c:v>
                </c:pt>
                <c:pt idx="1">
                  <c:v>1</c:v>
                </c:pt>
                <c:pt idx="2">
                  <c:v>1</c:v>
                </c:pt>
                <c:pt idx="3">
                  <c:v>17</c:v>
                </c:pt>
                <c:pt idx="4">
                  <c:v>17</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8DED-4A15-91F6-5C407F4295A4}"/>
            </c:ext>
          </c:extLst>
        </c:ser>
        <c:ser>
          <c:idx val="2"/>
          <c:order val="2"/>
          <c:tx>
            <c:strRef>
              <c:f>'PIP finance'!$C$917</c:f>
              <c:strCache>
                <c:ptCount val="1"/>
                <c:pt idx="0">
                  <c:v>WSS rev inc - Tariff revision</c:v>
                </c:pt>
              </c:strCache>
            </c:strRef>
          </c:tx>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finance'!$D$917:$M$917</c:f>
              <c:numCache>
                <c:formatCode>_(* #,##0_);_(* \(#,##0\);_(* "-"??_);_(@_)</c:formatCode>
                <c:ptCount val="10"/>
                <c:pt idx="0">
                  <c:v>0</c:v>
                </c:pt>
                <c:pt idx="1">
                  <c:v>0</c:v>
                </c:pt>
                <c:pt idx="2">
                  <c:v>0</c:v>
                </c:pt>
                <c:pt idx="3">
                  <c:v>2</c:v>
                </c:pt>
                <c:pt idx="4">
                  <c:v>2</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8DED-4A15-91F6-5C407F4295A4}"/>
            </c:ext>
          </c:extLst>
        </c:ser>
        <c:ser>
          <c:idx val="3"/>
          <c:order val="3"/>
          <c:tx>
            <c:strRef>
              <c:f>'PIP finance'!$C$918</c:f>
              <c:strCache>
                <c:ptCount val="1"/>
                <c:pt idx="0">
                  <c:v>Non WSS rev surplus transfer</c:v>
                </c:pt>
              </c:strCache>
            </c:strRef>
          </c:tx>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finance'!$D$918:$M$918</c:f>
              <c:numCache>
                <c:formatCode>_(* #,##0_);_(* \(#,##0\);_(* "-"??_);_(@_)</c:formatCode>
                <c:ptCount val="10"/>
                <c:pt idx="0">
                  <c:v>192</c:v>
                </c:pt>
                <c:pt idx="1">
                  <c:v>140</c:v>
                </c:pt>
                <c:pt idx="2">
                  <c:v>102</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4-8DED-4A15-91F6-5C407F4295A4}"/>
            </c:ext>
          </c:extLst>
        </c:ser>
        <c:ser>
          <c:idx val="5"/>
          <c:order val="5"/>
          <c:tx>
            <c:strRef>
              <c:f>'Financing Plan'!$S$73:$W$73</c:f>
              <c:strCache>
                <c:ptCount val="1"/>
                <c:pt idx="0">
                  <c:v>Opening balance</c:v>
                </c:pt>
              </c:strCache>
            </c:strRef>
          </c:tx>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'Financing Plan'!$X$73:$AG$73</c:f>
              <c:numCache>
                <c:formatCode>_(* #,##0_);_(* \(#,##0\);_(* "-"??_);_(@_)</c:formatCode>
                <c:ptCount val="10"/>
                <c:pt idx="0">
                  <c:v>0</c:v>
                </c:pt>
                <c:pt idx="1">
                  <c:v>0</c:v>
                </c:pt>
                <c:pt idx="2">
                  <c:v>-50</c:v>
                </c:pt>
                <c:pt idx="3">
                  <c:v>-114</c:v>
                </c:pt>
                <c:pt idx="4">
                  <c:v>-270</c:v>
                </c:pt>
                <c:pt idx="5">
                  <c:v>-435</c:v>
                </c:pt>
                <c:pt idx="6">
                  <c:v>-628</c:v>
                </c:pt>
                <c:pt idx="7">
                  <c:v>-837</c:v>
                </c:pt>
                <c:pt idx="8">
                  <c:v>-1056</c:v>
                </c:pt>
                <c:pt idx="9">
                  <c:v>-1285</c:v>
                </c:pt>
              </c:numCache>
            </c:numRef>
          </c:val>
          <c:extLst xmlns:c16r2="http://schemas.microsoft.com/office/drawing/2015/06/chart">
            <c:ext xmlns:c16="http://schemas.microsoft.com/office/drawing/2014/chart" uri="{C3380CC4-5D6E-409C-BE32-E72D297353CC}">
              <c16:uniqueId val="{00000005-8DED-4A15-91F6-5C407F4295A4}"/>
            </c:ext>
          </c:extLst>
        </c:ser>
        <c:dLbls>
          <c:showLegendKey val="0"/>
          <c:showVal val="0"/>
          <c:showCatName val="0"/>
          <c:showSerName val="0"/>
          <c:showPercent val="0"/>
          <c:showBubbleSize val="0"/>
        </c:dLbls>
        <c:gapWidth val="150"/>
        <c:overlap val="100"/>
        <c:axId val="587059712"/>
        <c:axId val="587767808"/>
      </c:barChart>
      <c:catAx>
        <c:axId val="587059712"/>
        <c:scaling>
          <c:orientation val="minMax"/>
        </c:scaling>
        <c:delete val="0"/>
        <c:axPos val="b"/>
        <c:majorGridlines/>
        <c:numFmt formatCode="General" sourceLinked="1"/>
        <c:majorTickMark val="out"/>
        <c:minorTickMark val="none"/>
        <c:tickLblPos val="nextTo"/>
        <c:spPr>
          <a:solidFill>
            <a:schemeClr val="bg1">
              <a:lumMod val="50000"/>
            </a:schemeClr>
          </a:solidFill>
        </c:spPr>
        <c:txPr>
          <a:bodyPr/>
          <a:lstStyle/>
          <a:p>
            <a:pPr>
              <a:defRPr lang="en-GB" sz="1100"/>
            </a:pPr>
            <a:endParaRPr lang="en-US"/>
          </a:p>
        </c:txPr>
        <c:crossAx val="587767808"/>
        <c:crosses val="autoZero"/>
        <c:auto val="1"/>
        <c:lblAlgn val="ctr"/>
        <c:lblOffset val="100"/>
        <c:noMultiLvlLbl val="0"/>
      </c:catAx>
      <c:valAx>
        <c:axId val="587767808"/>
        <c:scaling>
          <c:orientation val="minMax"/>
        </c:scaling>
        <c:delete val="0"/>
        <c:axPos val="l"/>
        <c:majorGridlines/>
        <c:title>
          <c:tx>
            <c:strRef>
              <c:f>'General info'!$E$43:$G$43</c:f>
              <c:strCache>
                <c:ptCount val="1"/>
                <c:pt idx="0">
                  <c:v>INR Lakhs</c:v>
                </c:pt>
              </c:strCache>
            </c:strRef>
          </c:tx>
          <c:layout>
            <c:manualLayout>
              <c:xMode val="edge"/>
              <c:yMode val="edge"/>
              <c:x val="7.4554239265329034E-3"/>
              <c:y val="0.3933816498413269"/>
            </c:manualLayout>
          </c:layout>
          <c:overlay val="0"/>
          <c:txPr>
            <a:bodyPr rot="-5400000" vert="horz"/>
            <a:lstStyle/>
            <a:p>
              <a:pPr>
                <a:defRPr lang="en-GB"/>
              </a:pPr>
              <a:endParaRPr lang="en-US"/>
            </a:p>
          </c:txPr>
        </c:title>
        <c:numFmt formatCode="_(* #,##0_);_(* \(#,##0\);_(* &quot;-&quot;??_);_(@_)" sourceLinked="1"/>
        <c:majorTickMark val="out"/>
        <c:minorTickMark val="none"/>
        <c:tickLblPos val="nextTo"/>
        <c:txPr>
          <a:bodyPr rot="0"/>
          <a:lstStyle/>
          <a:p>
            <a:pPr>
              <a:defRPr lang="en-GB" sz="1100"/>
            </a:pPr>
            <a:endParaRPr lang="en-US"/>
          </a:p>
        </c:txPr>
        <c:crossAx val="587059712"/>
        <c:crosses val="autoZero"/>
        <c:crossBetween val="between"/>
      </c:valAx>
    </c:plotArea>
    <c:legend>
      <c:legendPos val="b"/>
      <c:layout>
        <c:manualLayout>
          <c:xMode val="edge"/>
          <c:yMode val="edge"/>
          <c:x val="3.7253907106530412E-2"/>
          <c:y val="0.88658528005604087"/>
          <c:w val="0.92140525744228563"/>
          <c:h val="0.11341471994393212"/>
        </c:manualLayout>
      </c:layout>
      <c:overlay val="0"/>
      <c:txPr>
        <a:bodyPr/>
        <a:lstStyle/>
        <a:p>
          <a:pPr>
            <a:defRPr lang="en-GB" sz="1200"/>
          </a:pPr>
          <a:endParaRPr lang="en-US"/>
        </a:p>
      </c:txPr>
    </c:legend>
    <c:plotVisOnly val="1"/>
    <c:dispBlanksAs val="gap"/>
    <c:showDLblsOverMax val="0"/>
  </c:chart>
  <c:spPr>
    <a:solidFill>
      <a:schemeClr val="bg1">
        <a:lumMod val="50000"/>
      </a:schemeClr>
    </a:solidFill>
    <a:ln>
      <a:solidFill>
        <a:schemeClr val="bg1"/>
      </a:solidFill>
    </a:ln>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0885867346245"/>
          <c:y val="9.4004681771210047E-2"/>
          <c:w val="0.86737548060496095"/>
          <c:h val="0.65475251176304061"/>
        </c:manualLayout>
      </c:layout>
      <c:areaChart>
        <c:grouping val="standard"/>
        <c:varyColors val="0"/>
        <c:ser>
          <c:idx val="6"/>
          <c:order val="6"/>
          <c:tx>
            <c:strRef>
              <c:f>'PIP finance'!$C$913</c:f>
              <c:strCache>
                <c:ptCount val="1"/>
                <c:pt idx="0">
                  <c:v>WSS CapEx</c:v>
                </c:pt>
              </c:strCache>
            </c:strRef>
          </c:tx>
          <c:spPr>
            <a:solidFill>
              <a:srgbClr val="EEECE1">
                <a:lumMod val="75000"/>
                <a:alpha val="50000"/>
              </a:srgbClr>
            </a:solidFill>
          </c:spPr>
          <c:cat>
            <c:numRef>
              <c:f>'PIP finance'!$D$906:$M$906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finance'!$D$913:$M$913</c:f>
              <c:numCache>
                <c:formatCode>General</c:formatCode>
                <c:ptCount val="10"/>
                <c:pt idx="0">
                  <c:v>345</c:v>
                </c:pt>
                <c:pt idx="1">
                  <c:v>301</c:v>
                </c:pt>
                <c:pt idx="2">
                  <c:v>257</c:v>
                </c:pt>
                <c:pt idx="3">
                  <c:v>242</c:v>
                </c:pt>
                <c:pt idx="4">
                  <c:v>259</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23D6-4054-912A-CEC8E297FDC5}"/>
            </c:ext>
          </c:extLst>
        </c:ser>
        <c:dLbls>
          <c:showLegendKey val="0"/>
          <c:showVal val="0"/>
          <c:showCatName val="0"/>
          <c:showSerName val="0"/>
          <c:showPercent val="0"/>
          <c:showBubbleSize val="0"/>
        </c:dLbls>
        <c:axId val="541456384"/>
        <c:axId val="587770688"/>
      </c:areaChart>
      <c:barChart>
        <c:barDir val="col"/>
        <c:grouping val="stacked"/>
        <c:varyColors val="0"/>
        <c:ser>
          <c:idx val="0"/>
          <c:order val="0"/>
          <c:tx>
            <c:strRef>
              <c:f>'PIP finance'!$C$907</c:f>
              <c:strCache>
                <c:ptCount val="1"/>
                <c:pt idx="0">
                  <c:v>WSS own CapIn funds</c:v>
                </c:pt>
              </c:strCache>
            </c:strRef>
          </c:tx>
          <c:spPr>
            <a:solidFill>
              <a:srgbClr val="D16309"/>
            </a:solidFill>
          </c:spPr>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finance'!$D$907:$M$907</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23D6-4054-912A-CEC8E297FDC5}"/>
            </c:ext>
          </c:extLst>
        </c:ser>
        <c:ser>
          <c:idx val="1"/>
          <c:order val="1"/>
          <c:tx>
            <c:strRef>
              <c:f>'PIP finance'!$C$908</c:f>
              <c:strCache>
                <c:ptCount val="1"/>
                <c:pt idx="0">
                  <c:v>WSS rev surplus transfer</c:v>
                </c:pt>
              </c:strCache>
            </c:strRef>
          </c:tx>
          <c:spPr>
            <a:solidFill>
              <a:schemeClr val="accent1"/>
            </a:solidFill>
          </c:spPr>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finance'!$D$908:$M$908</c:f>
              <c:numCache>
                <c:formatCode>_(* #,##0_);_(* \(#,##0\);_(* "-"??_);_(@_)</c:formatCode>
                <c:ptCount val="10"/>
                <c:pt idx="0">
                  <c:v>61</c:v>
                </c:pt>
                <c:pt idx="1">
                  <c:v>38</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2-23D6-4054-912A-CEC8E297FDC5}"/>
            </c:ext>
          </c:extLst>
        </c:ser>
        <c:ser>
          <c:idx val="2"/>
          <c:order val="2"/>
          <c:tx>
            <c:strRef>
              <c:f>'PIP finance'!$C$909</c:f>
              <c:strCache>
                <c:ptCount val="1"/>
                <c:pt idx="0">
                  <c:v>Non WSS CapIn surplus transfer</c:v>
                </c:pt>
              </c:strCache>
            </c:strRef>
          </c:tx>
          <c:spPr>
            <a:solidFill>
              <a:schemeClr val="accent5"/>
            </a:solidFill>
          </c:spPr>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finance'!$D$909:$M$909</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3-23D6-4054-912A-CEC8E297FDC5}"/>
            </c:ext>
          </c:extLst>
        </c:ser>
        <c:ser>
          <c:idx val="3"/>
          <c:order val="3"/>
          <c:tx>
            <c:strRef>
              <c:f>'PIP finance'!$C$910</c:f>
              <c:strCache>
                <c:ptCount val="1"/>
                <c:pt idx="0">
                  <c:v>Grants</c:v>
                </c:pt>
              </c:strCache>
            </c:strRef>
          </c:tx>
          <c:spPr>
            <a:solidFill>
              <a:schemeClr val="accent2"/>
            </a:solidFill>
          </c:spPr>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finance'!$D$910:$M$910</c:f>
              <c:numCache>
                <c:formatCode>_(* #,##0_);_(* \(#,##0\);_(* "-"??_);_(@_)</c:formatCode>
                <c:ptCount val="10"/>
                <c:pt idx="0">
                  <c:v>19.080000000000002</c:v>
                </c:pt>
                <c:pt idx="1">
                  <c:v>20.415600000000001</c:v>
                </c:pt>
                <c:pt idx="2">
                  <c:v>9.4797720000000005</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4-23D6-4054-912A-CEC8E297FDC5}"/>
            </c:ext>
          </c:extLst>
        </c:ser>
        <c:ser>
          <c:idx val="4"/>
          <c:order val="4"/>
          <c:tx>
            <c:strRef>
              <c:f>'PIP finance'!$C$911</c:f>
              <c:strCache>
                <c:ptCount val="1"/>
                <c:pt idx="0">
                  <c:v>Public contributions</c:v>
                </c:pt>
              </c:strCache>
            </c:strRef>
          </c:tx>
          <c:spPr>
            <a:solidFill>
              <a:srgbClr val="8AAB47"/>
            </a:solidFill>
            <a:ln>
              <a:noFill/>
            </a:ln>
          </c:spPr>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finance'!$D$911:$M$911</c:f>
              <c:numCache>
                <c:formatCode>_(* #,##0_);_(* \(#,##0\);_(* "-"??_);_(@_)</c:formatCode>
                <c:ptCount val="10"/>
                <c:pt idx="0">
                  <c:v>354.65999999999997</c:v>
                </c:pt>
                <c:pt idx="1">
                  <c:v>338.4624</c:v>
                </c:pt>
                <c:pt idx="2">
                  <c:v>362.15476799999999</c:v>
                </c:pt>
                <c:pt idx="3">
                  <c:v>387.50560175999999</c:v>
                </c:pt>
                <c:pt idx="4">
                  <c:v>414.63099388320006</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5-23D6-4054-912A-CEC8E297FDC5}"/>
            </c:ext>
          </c:extLst>
        </c:ser>
        <c:ser>
          <c:idx val="5"/>
          <c:order val="5"/>
          <c:tx>
            <c:strRef>
              <c:f>'PIP finance'!$C$912</c:f>
              <c:strCache>
                <c:ptCount val="1"/>
                <c:pt idx="0">
                  <c:v>Borrowings</c:v>
                </c:pt>
              </c:strCache>
            </c:strRef>
          </c:tx>
          <c:spPr>
            <a:solidFill>
              <a:schemeClr val="accent4"/>
            </a:solidFill>
            <a:effectLst>
              <a:softEdge rad="12700"/>
            </a:effectLst>
          </c:spPr>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finance'!$D$912:$M$912</c:f>
              <c:numCache>
                <c:formatCode>_(* #,##0_);_(* \(#,##0\);_(* "-"??_);_(@_)</c:formatCode>
                <c:ptCount val="10"/>
                <c:pt idx="0">
                  <c:v>0</c:v>
                </c:pt>
                <c:pt idx="1">
                  <c:v>0</c:v>
                </c:pt>
                <c:pt idx="2">
                  <c:v>36</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6-23D6-4054-912A-CEC8E297FDC5}"/>
            </c:ext>
          </c:extLst>
        </c:ser>
        <c:ser>
          <c:idx val="7"/>
          <c:order val="7"/>
          <c:tx>
            <c:strRef>
              <c:f>'Financing Plan'!$S$92:$W$92</c:f>
              <c:strCache>
                <c:ptCount val="1"/>
                <c:pt idx="0">
                  <c:v>Opening balance</c:v>
                </c:pt>
              </c:strCache>
            </c:strRef>
          </c:tx>
          <c:invertIfNegative val="0"/>
          <c:cat>
            <c:numRef>
              <c:f>'Financing Plan'!$X$68:$AG$68</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'Financing Plan'!$X$92:$AG$92</c:f>
              <c:numCache>
                <c:formatCode>_(* #,##0_);_(* \(#,##0\);_(* "-"??_);_(@_)</c:formatCode>
                <c:ptCount val="10"/>
                <c:pt idx="0">
                  <c:v>0</c:v>
                </c:pt>
                <c:pt idx="1">
                  <c:v>90</c:v>
                </c:pt>
                <c:pt idx="2">
                  <c:v>186</c:v>
                </c:pt>
                <c:pt idx="3">
                  <c:v>337</c:v>
                </c:pt>
                <c:pt idx="4">
                  <c:v>483</c:v>
                </c:pt>
                <c:pt idx="5">
                  <c:v>639</c:v>
                </c:pt>
                <c:pt idx="6">
                  <c:v>639</c:v>
                </c:pt>
                <c:pt idx="7">
                  <c:v>639</c:v>
                </c:pt>
                <c:pt idx="8">
                  <c:v>639</c:v>
                </c:pt>
                <c:pt idx="9">
                  <c:v>639</c:v>
                </c:pt>
              </c:numCache>
            </c:numRef>
          </c:val>
          <c:extLst xmlns:c16r2="http://schemas.microsoft.com/office/drawing/2015/06/chart">
            <c:ext xmlns:c16="http://schemas.microsoft.com/office/drawing/2014/chart" uri="{C3380CC4-5D6E-409C-BE32-E72D297353CC}">
              <c16:uniqueId val="{00000007-23D6-4054-912A-CEC8E297FDC5}"/>
            </c:ext>
          </c:extLst>
        </c:ser>
        <c:dLbls>
          <c:showLegendKey val="0"/>
          <c:showVal val="0"/>
          <c:showCatName val="0"/>
          <c:showSerName val="0"/>
          <c:showPercent val="0"/>
          <c:showBubbleSize val="0"/>
        </c:dLbls>
        <c:gapWidth val="150"/>
        <c:overlap val="100"/>
        <c:axId val="541456384"/>
        <c:axId val="587770688"/>
      </c:barChart>
      <c:catAx>
        <c:axId val="541456384"/>
        <c:scaling>
          <c:orientation val="minMax"/>
        </c:scaling>
        <c:delete val="0"/>
        <c:axPos val="b"/>
        <c:majorGridlines/>
        <c:numFmt formatCode="General" sourceLinked="1"/>
        <c:majorTickMark val="out"/>
        <c:minorTickMark val="none"/>
        <c:tickLblPos val="nextTo"/>
        <c:txPr>
          <a:bodyPr/>
          <a:lstStyle/>
          <a:p>
            <a:pPr>
              <a:defRPr lang="en-GB" sz="1100"/>
            </a:pPr>
            <a:endParaRPr lang="en-US"/>
          </a:p>
        </c:txPr>
        <c:crossAx val="587770688"/>
        <c:crosses val="autoZero"/>
        <c:auto val="1"/>
        <c:lblAlgn val="ctr"/>
        <c:lblOffset val="100"/>
        <c:noMultiLvlLbl val="0"/>
      </c:catAx>
      <c:valAx>
        <c:axId val="587770688"/>
        <c:scaling>
          <c:orientation val="minMax"/>
        </c:scaling>
        <c:delete val="0"/>
        <c:axPos val="l"/>
        <c:majorGridlines/>
        <c:title>
          <c:tx>
            <c:strRef>
              <c:f>'General info'!$E$43:$G$43</c:f>
              <c:strCache>
                <c:ptCount val="1"/>
                <c:pt idx="0">
                  <c:v>INR Lakhs</c:v>
                </c:pt>
              </c:strCache>
            </c:strRef>
          </c:tx>
          <c:layout>
            <c:manualLayout>
              <c:xMode val="edge"/>
              <c:yMode val="edge"/>
              <c:x val="7.4554239265329034E-3"/>
              <c:y val="0.39338164984132673"/>
            </c:manualLayout>
          </c:layout>
          <c:overlay val="0"/>
          <c:txPr>
            <a:bodyPr rot="-5400000" vert="horz"/>
            <a:lstStyle/>
            <a:p>
              <a:pPr>
                <a:defRPr lang="en-GB"/>
              </a:pPr>
              <a:endParaRPr lang="en-US"/>
            </a:p>
          </c:txPr>
        </c:title>
        <c:numFmt formatCode="General" sourceLinked="1"/>
        <c:majorTickMark val="out"/>
        <c:minorTickMark val="none"/>
        <c:tickLblPos val="nextTo"/>
        <c:txPr>
          <a:bodyPr rot="0"/>
          <a:lstStyle/>
          <a:p>
            <a:pPr>
              <a:defRPr lang="en-GB" sz="1100"/>
            </a:pPr>
            <a:endParaRPr lang="en-US"/>
          </a:p>
        </c:txPr>
        <c:crossAx val="541456384"/>
        <c:crosses val="autoZero"/>
        <c:crossBetween val="between"/>
      </c:valAx>
    </c:plotArea>
    <c:legend>
      <c:legendPos val="b"/>
      <c:layout>
        <c:manualLayout>
          <c:xMode val="edge"/>
          <c:yMode val="edge"/>
          <c:x val="7.9721523577859551E-3"/>
          <c:y val="0.85745710931286456"/>
          <c:w val="0.98067592391440173"/>
          <c:h val="0.14254289068714401"/>
        </c:manualLayout>
      </c:layout>
      <c:overlay val="0"/>
      <c:txPr>
        <a:bodyPr/>
        <a:lstStyle/>
        <a:p>
          <a:pPr>
            <a:defRPr lang="en-GB" sz="1200"/>
          </a:pPr>
          <a:endParaRPr lang="en-US"/>
        </a:p>
      </c:txPr>
    </c:legend>
    <c:plotVisOnly val="1"/>
    <c:dispBlanksAs val="gap"/>
    <c:showDLblsOverMax val="0"/>
  </c:chart>
  <c:spPr>
    <a:solidFill>
      <a:schemeClr val="bg1">
        <a:lumMod val="50000"/>
      </a:schemeClr>
    </a:solidFill>
    <a:ln>
      <a:solidFill>
        <a:schemeClr val="bg1"/>
      </a:solidFill>
    </a:ln>
    <a:effectLst/>
  </c:spPr>
  <c:txPr>
    <a:bodyPr/>
    <a:lstStyle/>
    <a:p>
      <a:pPr>
        <a:defRPr>
          <a:solidFill>
            <a:schemeClr val="bg1"/>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US">
                <a:solidFill>
                  <a:schemeClr val="bg1"/>
                </a:solidFill>
              </a:defRPr>
            </a:pPr>
            <a:r>
              <a:rPr lang="en-US" sz="1800" b="1" i="0" baseline="0"/>
              <a:t>Improvement in revenues of solid waste services</a:t>
            </a:r>
            <a:endParaRPr lang="en-US"/>
          </a:p>
        </c:rich>
      </c:tx>
      <c:layout>
        <c:manualLayout>
          <c:xMode val="edge"/>
          <c:yMode val="edge"/>
          <c:x val="0.2673437563969836"/>
          <c:y val="1.5042744611499383E-2"/>
        </c:manualLayout>
      </c:layout>
      <c:overlay val="1"/>
    </c:title>
    <c:autoTitleDeleted val="0"/>
    <c:plotArea>
      <c:layout>
        <c:manualLayout>
          <c:layoutTarget val="inner"/>
          <c:xMode val="edge"/>
          <c:yMode val="edge"/>
          <c:x val="7.646736673417405E-2"/>
          <c:y val="9.3584288806004542E-2"/>
          <c:w val="0.8891360017390203"/>
          <c:h val="0.76331375721811612"/>
        </c:manualLayout>
      </c:layout>
      <c:areaChart>
        <c:grouping val="standard"/>
        <c:varyColors val="0"/>
        <c:ser>
          <c:idx val="3"/>
          <c:order val="2"/>
          <c:tx>
            <c:v>SW revenue expenditure</c:v>
          </c:tx>
          <c:spPr>
            <a:solidFill>
              <a:srgbClr val="EEECE1">
                <a:lumMod val="75000"/>
                <a:alpha val="40000"/>
              </a:srgbClr>
            </a:solidFill>
            <a:ln>
              <a:noFill/>
            </a:ln>
          </c:spPr>
          <c:val>
            <c:numRef>
              <c:f>'PIP finance'!$D$725:$M$725</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numRef>
                    <c:extLst>
                      <c:ext uri="{02D57815-91ED-43cb-92C2-25804820EDAC}">
                        <c15:formulaRef>
                          <c15:sqref>'Financing Plan'!$F$139:$O$139</c15:sqref>
                        </c15:formulaRef>
                      </c:ext>
                    </c:extLst>
                    <c:numCache>
                      <c:formatCode>0</c:formatCode>
                      <c:ptCount val="10"/>
                      <c:pt idx="0">
                        <c:v>2010</c:v>
                      </c:pt>
                      <c:pt idx="1">
                        <c:v>2011</c:v>
                      </c:pt>
                      <c:pt idx="2">
                        <c:v>2012</c:v>
                      </c:pt>
                      <c:pt idx="3">
                        <c:v>2013</c:v>
                      </c:pt>
                      <c:pt idx="4">
                        <c:v>2014</c:v>
                      </c:pt>
                      <c:pt idx="5">
                        <c:v>2015</c:v>
                      </c:pt>
                      <c:pt idx="6">
                        <c:v>2016</c:v>
                      </c:pt>
                      <c:pt idx="7">
                        <c:v>2017</c:v>
                      </c:pt>
                      <c:pt idx="8">
                        <c:v>2018</c:v>
                      </c:pt>
                      <c:pt idx="9">
                        <c:v>2019</c:v>
                      </c:pt>
                    </c:numCache>
                  </c:numRef>
                </c15:cat>
              </c15:filteredCategoryTitle>
            </c:ext>
          </c:extLst>
        </c:ser>
        <c:dLbls>
          <c:showLegendKey val="0"/>
          <c:showVal val="0"/>
          <c:showCatName val="0"/>
          <c:showSerName val="0"/>
          <c:showPercent val="0"/>
          <c:showBubbleSize val="0"/>
        </c:dLbls>
        <c:axId val="588613120"/>
        <c:axId val="589024064"/>
      </c:areaChart>
      <c:lineChart>
        <c:grouping val="standard"/>
        <c:varyColors val="0"/>
        <c:ser>
          <c:idx val="1"/>
          <c:order val="0"/>
          <c:tx>
            <c:v>SW revenue income - BAU/ CSP</c:v>
          </c:tx>
          <c:spPr>
            <a:ln w="82550"/>
            <a:effectLst/>
          </c:spPr>
          <c:marker>
            <c:symbol val="square"/>
            <c:size val="10"/>
            <c:spPr>
              <a:ln>
                <a:noFill/>
              </a:ln>
              <a:effectLst/>
            </c:spPr>
          </c:marker>
          <c:dLbls>
            <c:spPr>
              <a:noFill/>
              <a:ln>
                <a:noFill/>
              </a:ln>
              <a:effectLst/>
            </c:spPr>
            <c:txPr>
              <a:bodyPr/>
              <a:lstStyle/>
              <a:p>
                <a:pPr>
                  <a:defRPr lang="en-IN"/>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'Financing Plan'!$F$229:$O$229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finance'!$D$724:$M$724</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extLst>
            <c:ext xmlns:c15="http://schemas.microsoft.com/office/drawing/2012/chart" uri="{02D57815-91ED-43cb-92C2-25804820EDAC}">
              <c15:filteredCategoryTitle>
                <c15:cat>
                  <c:numRef>
                    <c:extLst>
                      <c:ext uri="{02D57815-91ED-43cb-92C2-25804820EDAC}">
                        <c15:formulaRef>
                          <c15:sqref>'[3]CSP finance'!$D$714:$M$714</c15:sqref>
                        </c15:formulaRef>
                      </c:ext>
                    </c:extLst>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15:cat>
              </c15:filteredCategoryTitle>
            </c:ext>
          </c:extLst>
        </c:ser>
        <c:ser>
          <c:idx val="2"/>
          <c:order val="1"/>
          <c:tx>
            <c:v>SW revenue income - Tariff revision</c:v>
          </c:tx>
          <c:spPr>
            <a:ln w="82550">
              <a:solidFill>
                <a:schemeClr val="accent1"/>
              </a:solidFill>
            </a:ln>
            <a:effectLst/>
          </c:spPr>
          <c:marker>
            <c:symbol val="triangle"/>
            <c:size val="12"/>
            <c:spPr>
              <a:solidFill>
                <a:schemeClr val="accent1">
                  <a:lumMod val="75000"/>
                </a:schemeClr>
              </a:solidFill>
              <a:ln>
                <a:noFill/>
              </a:ln>
              <a:effectLst/>
            </c:spPr>
          </c:marker>
          <c:dLbls>
            <c:spPr>
              <a:noFill/>
              <a:ln>
                <a:noFill/>
              </a:ln>
              <a:effectLst/>
            </c:spPr>
            <c:txPr>
              <a:bodyPr/>
              <a:lstStyle/>
              <a:p>
                <a:pPr>
                  <a:defRPr lang="en-IN"/>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'Financing Plan'!$F$229:$O$229</c:f>
              <c:numCache>
                <c:formatCode>0</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'PIP finance'!$D$745:$M$745</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extLst>
            <c:ext xmlns:c15="http://schemas.microsoft.com/office/drawing/2012/chart" uri="{02D57815-91ED-43cb-92C2-25804820EDAC}">
              <c15:filteredCategoryTitle>
                <c15:cat>
                  <c:numRef>
                    <c:extLst>
                      <c:ext uri="{02D57815-91ED-43cb-92C2-25804820EDAC}">
                        <c15:formulaRef>
                          <c15:sqref>'[3]CSP finance'!$D$714:$M$714</c15:sqref>
                        </c15:formulaRef>
                      </c:ext>
                    </c:extLst>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15:cat>
              </c15:filteredCategoryTitle>
            </c:ext>
          </c:extLst>
        </c:ser>
        <c:dLbls>
          <c:showLegendKey val="0"/>
          <c:showVal val="1"/>
          <c:showCatName val="0"/>
          <c:showSerName val="0"/>
          <c:showPercent val="0"/>
          <c:showBubbleSize val="0"/>
        </c:dLbls>
        <c:marker val="1"/>
        <c:smooth val="0"/>
        <c:axId val="588613120"/>
        <c:axId val="589024064"/>
      </c:lineChart>
      <c:catAx>
        <c:axId val="588613120"/>
        <c:scaling>
          <c:orientation val="minMax"/>
        </c:scaling>
        <c:delete val="0"/>
        <c:axPos val="b"/>
        <c:majorGridlines/>
        <c:numFmt formatCode="0" sourceLinked="1"/>
        <c:majorTickMark val="out"/>
        <c:minorTickMark val="none"/>
        <c:tickLblPos val="nextTo"/>
        <c:spPr>
          <a:solidFill>
            <a:schemeClr val="tx1">
              <a:lumMod val="50000"/>
              <a:lumOff val="50000"/>
            </a:schemeClr>
          </a:solidFill>
        </c:spPr>
        <c:txPr>
          <a:bodyPr/>
          <a:lstStyle/>
          <a:p>
            <a:pPr>
              <a:defRPr lang="en-US" sz="1100" b="1">
                <a:solidFill>
                  <a:schemeClr val="bg1"/>
                </a:solidFill>
              </a:defRPr>
            </a:pPr>
            <a:endParaRPr lang="en-US"/>
          </a:p>
        </c:txPr>
        <c:crossAx val="589024064"/>
        <c:crosses val="autoZero"/>
        <c:auto val="1"/>
        <c:lblAlgn val="ctr"/>
        <c:lblOffset val="100"/>
        <c:noMultiLvlLbl val="0"/>
      </c:catAx>
      <c:valAx>
        <c:axId val="589024064"/>
        <c:scaling>
          <c:orientation val="minMax"/>
        </c:scaling>
        <c:delete val="0"/>
        <c:axPos val="l"/>
        <c:majorGridlines/>
        <c:title>
          <c:tx>
            <c:strRef>
              <c:f>'General info'!$E$43:$G$43</c:f>
              <c:strCache>
                <c:ptCount val="1"/>
                <c:pt idx="0">
                  <c:v>INR Lakhs</c:v>
                </c:pt>
              </c:strCache>
            </c:strRef>
          </c:tx>
          <c:overlay val="0"/>
          <c:txPr>
            <a:bodyPr rot="-5400000" vert="horz"/>
            <a:lstStyle/>
            <a:p>
              <a:pPr>
                <a:defRPr lang="en-IN" sz="1200">
                  <a:solidFill>
                    <a:schemeClr val="bg1"/>
                  </a:solidFill>
                </a:defRPr>
              </a:pPr>
              <a:endParaRPr lang="en-US"/>
            </a:p>
          </c:txPr>
        </c:title>
        <c:numFmt formatCode="_(* #,##0_);_(* \(#,##0\);_(* &quot;-&quot;??_);_(@_)" sourceLinked="1"/>
        <c:majorTickMark val="out"/>
        <c:minorTickMark val="none"/>
        <c:tickLblPos val="nextTo"/>
        <c:txPr>
          <a:bodyPr rot="0"/>
          <a:lstStyle/>
          <a:p>
            <a:pPr>
              <a:defRPr lang="en-US" sz="1100">
                <a:solidFill>
                  <a:schemeClr val="bg1"/>
                </a:solidFill>
              </a:defRPr>
            </a:pPr>
            <a:endParaRPr lang="en-US"/>
          </a:p>
        </c:txPr>
        <c:crossAx val="588613120"/>
        <c:crosses val="autoZero"/>
        <c:crossBetween val="between"/>
      </c:valAx>
    </c:plotArea>
    <c:legend>
      <c:legendPos val="b"/>
      <c:layout>
        <c:manualLayout>
          <c:xMode val="edge"/>
          <c:yMode val="edge"/>
          <c:x val="1.2859552960042169E-2"/>
          <c:y val="0.94049593109473195"/>
          <c:w val="0.97291065344243965"/>
          <c:h val="5.4459690858649094E-2"/>
        </c:manualLayout>
      </c:layout>
      <c:overlay val="0"/>
      <c:txPr>
        <a:bodyPr/>
        <a:lstStyle/>
        <a:p>
          <a:pPr>
            <a:defRPr lang="en-US" sz="1400">
              <a:solidFill>
                <a:schemeClr val="bg1"/>
              </a:solidFill>
            </a:defRPr>
          </a:pPr>
          <a:endParaRPr lang="en-US"/>
        </a:p>
      </c:txPr>
    </c:legend>
    <c:plotVisOnly val="1"/>
    <c:dispBlanksAs val="gap"/>
    <c:showDLblsOverMax val="0"/>
  </c:chart>
  <c:spPr>
    <a:solidFill>
      <a:schemeClr val="bg1">
        <a:lumMod val="50000"/>
      </a:schemeClr>
    </a:solidFill>
    <a:ln>
      <a:solidFill>
        <a:schemeClr val="bg1"/>
      </a:solidFill>
    </a:ln>
    <a:effectLst>
      <a:outerShdw blurRad="127000" dist="38100" dir="2700000" sx="101000" sy="101000" algn="tl" rotWithShape="0">
        <a:prstClr val="black">
          <a:alpha val="40000"/>
        </a:prstClr>
      </a:outerShdw>
    </a:effectLst>
  </c:sp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0.18323961079185244"/>
          <c:y val="3.4315615100109401E-2"/>
          <c:w val="0.66987603441929455"/>
          <c:h val="0.94116940726682663"/>
        </c:manualLayout>
      </c:layout>
      <c:pieChart>
        <c:varyColors val="1"/>
        <c:ser>
          <c:idx val="0"/>
          <c:order val="0"/>
          <c:dLbls>
            <c:spPr>
              <a:noFill/>
              <a:ln>
                <a:noFill/>
              </a:ln>
              <a:effectLst/>
            </c:spPr>
            <c:txPr>
              <a:bodyPr/>
              <a:lstStyle/>
              <a:p>
                <a:pPr>
                  <a:defRPr lang="en-US" sz="1050"/>
                </a:pPr>
                <a:endParaRPr lang="en-US"/>
              </a:p>
            </c:txPr>
            <c:dLblPos val="bestFit"/>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strRef>
              <c:f>'PIP options'!$L$24:$L$27</c:f>
              <c:strCache>
                <c:ptCount val="4"/>
                <c:pt idx="0">
                  <c:v>WSS rev inc</c:v>
                </c:pt>
                <c:pt idx="1">
                  <c:v>Rev from PIP</c:v>
                </c:pt>
                <c:pt idx="2">
                  <c:v>Tariff revision</c:v>
                </c:pt>
                <c:pt idx="3">
                  <c:v>Non-WSS transfer</c:v>
                </c:pt>
              </c:strCache>
            </c:strRef>
          </c:cat>
          <c:val>
            <c:numRef>
              <c:f>'PIP options'!$M$24:$M$27</c:f>
              <c:numCache>
                <c:formatCode>0</c:formatCode>
                <c:ptCount val="4"/>
                <c:pt idx="0">
                  <c:v>0</c:v>
                </c:pt>
                <c:pt idx="1">
                  <c:v>37</c:v>
                </c:pt>
                <c:pt idx="2">
                  <c:v>4</c:v>
                </c:pt>
                <c:pt idx="3">
                  <c:v>434</c:v>
                </c:pt>
              </c:numCache>
            </c:numRef>
          </c:val>
          <c:extLst xmlns:c16r2="http://schemas.microsoft.com/office/drawing/2015/06/chart">
            <c:ext xmlns:c16="http://schemas.microsoft.com/office/drawing/2014/chart" uri="{C3380CC4-5D6E-409C-BE32-E72D297353CC}">
              <c16:uniqueId val="{00000000-B1AD-432A-9EE4-10B1D8D35AC4}"/>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0.18323961079185244"/>
          <c:y val="3.4315615100109401E-2"/>
          <c:w val="0.669876034419295"/>
          <c:h val="0.94116940726682663"/>
        </c:manualLayout>
      </c:layout>
      <c:pieChart>
        <c:varyColors val="1"/>
        <c:ser>
          <c:idx val="0"/>
          <c:order val="0"/>
          <c:dLbls>
            <c:spPr>
              <a:noFill/>
              <a:ln>
                <a:noFill/>
              </a:ln>
              <a:effectLst/>
            </c:spPr>
            <c:txPr>
              <a:bodyPr/>
              <a:lstStyle/>
              <a:p>
                <a:pPr>
                  <a:defRPr lang="en-US" sz="1050"/>
                </a:pPr>
                <a:endParaRPr lang="en-US"/>
              </a:p>
            </c:txPr>
            <c:dLblPos val="bestFit"/>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'PIP options'!$L$58:$L$61</c:f>
              <c:numCache>
                <c:formatCode>General</c:formatCode>
                <c:ptCount val="4"/>
              </c:numCache>
            </c:numRef>
          </c:cat>
          <c:val>
            <c:numRef>
              <c:f>'PIP options'!$M$58:$M$61</c:f>
              <c:numCache>
                <c:formatCode>0</c:formatCode>
                <c:ptCount val="4"/>
              </c:numCache>
            </c:numRef>
          </c:val>
          <c:extLst xmlns:c16r2="http://schemas.microsoft.com/office/drawing/2015/06/chart">
            <c:ext xmlns:c16="http://schemas.microsoft.com/office/drawing/2014/chart" uri="{C3380CC4-5D6E-409C-BE32-E72D297353CC}">
              <c16:uniqueId val="{00000000-0A37-4A00-8882-46E176E9D4C6}"/>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0.18323961079185244"/>
          <c:y val="3.4315615100109401E-2"/>
          <c:w val="0.66987603441929544"/>
          <c:h val="0.94116940726682663"/>
        </c:manualLayout>
      </c:layout>
      <c:pieChart>
        <c:varyColors val="1"/>
        <c:ser>
          <c:idx val="0"/>
          <c:order val="0"/>
          <c:dLbls>
            <c:spPr>
              <a:noFill/>
              <a:ln>
                <a:noFill/>
              </a:ln>
              <a:effectLst/>
            </c:spPr>
            <c:txPr>
              <a:bodyPr/>
              <a:lstStyle/>
              <a:p>
                <a:pPr>
                  <a:defRPr lang="en-US" sz="1050"/>
                </a:pPr>
                <a:endParaRPr lang="en-US"/>
              </a:p>
            </c:txPr>
            <c:dLblPos val="bestFit"/>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'PIP options'!$L$82:$L$85</c:f>
              <c:numCache>
                <c:formatCode>General</c:formatCode>
                <c:ptCount val="4"/>
              </c:numCache>
            </c:numRef>
          </c:cat>
          <c:val>
            <c:numRef>
              <c:f>'PIP options'!$M$82:$M$85</c:f>
              <c:numCache>
                <c:formatCode>0</c:formatCode>
                <c:ptCount val="4"/>
              </c:numCache>
            </c:numRef>
          </c:val>
          <c:extLst xmlns:c16r2="http://schemas.microsoft.com/office/drawing/2015/06/chart">
            <c:ext xmlns:c16="http://schemas.microsoft.com/office/drawing/2014/chart" uri="{C3380CC4-5D6E-409C-BE32-E72D297353CC}">
              <c16:uniqueId val="{00000000-E4A0-4C39-98F0-FBA1A5A0C6F3}"/>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0.18323961079185244"/>
          <c:y val="3.4315615100109401E-2"/>
          <c:w val="0.66987603441929566"/>
          <c:h val="0.94116940726682663"/>
        </c:manualLayout>
      </c:layout>
      <c:pieChart>
        <c:varyColors val="1"/>
        <c:ser>
          <c:idx val="0"/>
          <c:order val="0"/>
          <c:dLbls>
            <c:spPr>
              <a:noFill/>
              <a:ln>
                <a:noFill/>
              </a:ln>
              <a:effectLst/>
            </c:spPr>
            <c:txPr>
              <a:bodyPr/>
              <a:lstStyle/>
              <a:p>
                <a:pPr>
                  <a:defRPr lang="en-US" sz="1050"/>
                </a:pPr>
                <a:endParaRPr lang="en-US"/>
              </a:p>
            </c:txPr>
            <c:dLblPos val="bestFit"/>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'PIP options'!$L$106:$L$109</c:f>
              <c:numCache>
                <c:formatCode>General</c:formatCode>
                <c:ptCount val="4"/>
              </c:numCache>
            </c:numRef>
          </c:cat>
          <c:val>
            <c:numRef>
              <c:f>'PIP options'!$M$106:$M$109</c:f>
              <c:numCache>
                <c:formatCode>0</c:formatCode>
                <c:ptCount val="4"/>
              </c:numCache>
            </c:numRef>
          </c:val>
          <c:extLst xmlns:c16r2="http://schemas.microsoft.com/office/drawing/2015/06/chart">
            <c:ext xmlns:c16="http://schemas.microsoft.com/office/drawing/2014/chart" uri="{C3380CC4-5D6E-409C-BE32-E72D297353CC}">
              <c16:uniqueId val="{00000000-59B1-4FDB-8304-6F7AF87BAB64}"/>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0.18323961079185244"/>
          <c:y val="3.4315615100109401E-2"/>
          <c:w val="0.66987603441929588"/>
          <c:h val="0.94116940726682663"/>
        </c:manualLayout>
      </c:layout>
      <c:pieChart>
        <c:varyColors val="1"/>
        <c:ser>
          <c:idx val="0"/>
          <c:order val="0"/>
          <c:dLbls>
            <c:spPr>
              <a:noFill/>
              <a:ln>
                <a:noFill/>
              </a:ln>
              <a:effectLst/>
            </c:spPr>
            <c:txPr>
              <a:bodyPr/>
              <a:lstStyle/>
              <a:p>
                <a:pPr>
                  <a:defRPr lang="en-US" sz="1050"/>
                </a:pPr>
                <a:endParaRPr lang="en-US"/>
              </a:p>
            </c:txPr>
            <c:dLblPos val="bestFit"/>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'PIP options'!$L$130:$L$133</c:f>
              <c:numCache>
                <c:formatCode>General</c:formatCode>
                <c:ptCount val="4"/>
              </c:numCache>
            </c:numRef>
          </c:cat>
          <c:val>
            <c:numRef>
              <c:f>'PIP options'!$M$130:$M$133</c:f>
              <c:numCache>
                <c:formatCode>0</c:formatCode>
                <c:ptCount val="4"/>
              </c:numCache>
            </c:numRef>
          </c:val>
          <c:extLst xmlns:c16r2="http://schemas.microsoft.com/office/drawing/2015/06/chart">
            <c:ext xmlns:c16="http://schemas.microsoft.com/office/drawing/2014/chart" uri="{C3380CC4-5D6E-409C-BE32-E72D297353CC}">
              <c16:uniqueId val="{00000000-4F44-47E3-9A2F-8AC64EB802CF}"/>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0.18323961079185244"/>
          <c:y val="3.4315615100109401E-2"/>
          <c:w val="0.66987603441929611"/>
          <c:h val="0.94116940726682663"/>
        </c:manualLayout>
      </c:layout>
      <c:pieChart>
        <c:varyColors val="1"/>
        <c:ser>
          <c:idx val="0"/>
          <c:order val="0"/>
          <c:dLbls>
            <c:spPr>
              <a:noFill/>
              <a:ln>
                <a:noFill/>
              </a:ln>
              <a:effectLst/>
            </c:spPr>
            <c:txPr>
              <a:bodyPr/>
              <a:lstStyle/>
              <a:p>
                <a:pPr>
                  <a:defRPr lang="en-US" sz="1050"/>
                </a:pPr>
                <a:endParaRPr lang="en-US"/>
              </a:p>
            </c:txPr>
            <c:dLblPos val="bestFit"/>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'PIP options'!$L$154:$L$157</c:f>
              <c:numCache>
                <c:formatCode>General</c:formatCode>
                <c:ptCount val="4"/>
              </c:numCache>
            </c:numRef>
          </c:cat>
          <c:val>
            <c:numRef>
              <c:f>'PIP options'!$M$154:$M$157</c:f>
              <c:numCache>
                <c:formatCode>0</c:formatCode>
                <c:ptCount val="4"/>
              </c:numCache>
            </c:numRef>
          </c:val>
          <c:extLst xmlns:c16r2="http://schemas.microsoft.com/office/drawing/2015/06/chart">
            <c:ext xmlns:c16="http://schemas.microsoft.com/office/drawing/2014/chart" uri="{C3380CC4-5D6E-409C-BE32-E72D297353CC}">
              <c16:uniqueId val="{00000000-E054-4D41-95FF-013DCB131C26}"/>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400"/>
            </a:pPr>
            <a:r>
              <a:rPr lang="en-US" sz="1400"/>
              <a:t>Households with adequate sanitation system</a:t>
            </a:r>
          </a:p>
        </c:rich>
      </c:tx>
      <c:layout>
        <c:manualLayout>
          <c:xMode val="edge"/>
          <c:yMode val="edge"/>
          <c:x val="0.1877546483846757"/>
          <c:y val="2.7470995991090652E-2"/>
        </c:manualLayout>
      </c:layout>
      <c:overlay val="1"/>
    </c:title>
    <c:autoTitleDeleted val="0"/>
    <c:plotArea>
      <c:layout>
        <c:manualLayout>
          <c:layoutTarget val="inner"/>
          <c:xMode val="edge"/>
          <c:yMode val="edge"/>
          <c:x val="0.11120799810653068"/>
          <c:y val="0.14421734569173919"/>
          <c:w val="0.82814586630364251"/>
          <c:h val="0.60780550462055305"/>
        </c:manualLayout>
      </c:layout>
      <c:barChart>
        <c:barDir val="bar"/>
        <c:grouping val="stacked"/>
        <c:varyColors val="0"/>
        <c:ser>
          <c:idx val="0"/>
          <c:order val="0"/>
          <c:tx>
            <c:strRef>
              <c:f>'WW calcu'!$C$1125</c:f>
              <c:strCache>
                <c:ptCount val="1"/>
                <c:pt idx="0">
                  <c:v>Sewered sanitation</c:v>
                </c:pt>
              </c:strCache>
            </c:strRef>
          </c:tx>
          <c:invertIfNegative val="0"/>
          <c:cat>
            <c:strRef>
              <c:f>'WW calcu'!$D$1124:$E$1124</c:f>
              <c:strCache>
                <c:ptCount val="2"/>
                <c:pt idx="0">
                  <c:v>Slum</c:v>
                </c:pt>
                <c:pt idx="1">
                  <c:v>City</c:v>
                </c:pt>
              </c:strCache>
            </c:strRef>
          </c:cat>
          <c:val>
            <c:numRef>
              <c:f>'WW calcu'!$D$1125:$E$1125</c:f>
              <c:numCache>
                <c:formatCode>_(* #,##0_);_(* \(#,##0\);_(* "-"??_);_(@_)</c:formatCode>
                <c:ptCount val="2"/>
                <c:pt idx="0">
                  <c:v>0</c:v>
                </c:pt>
                <c:pt idx="1">
                  <c:v>0</c:v>
                </c:pt>
              </c:numCache>
            </c:numRef>
          </c:val>
          <c:extLst xmlns:c16r2="http://schemas.microsoft.com/office/drawing/2015/06/chart">
            <c:ext xmlns:c16="http://schemas.microsoft.com/office/drawing/2014/chart" uri="{C3380CC4-5D6E-409C-BE32-E72D297353CC}">
              <c16:uniqueId val="{00000000-02DC-4DBB-9CC8-99220D78598D}"/>
            </c:ext>
          </c:extLst>
        </c:ser>
        <c:ser>
          <c:idx val="1"/>
          <c:order val="1"/>
          <c:tx>
            <c:strRef>
              <c:f>'WW calcu'!$C$1126</c:f>
              <c:strCache>
                <c:ptCount val="1"/>
                <c:pt idx="0">
                  <c:v>On-site sanitation</c:v>
                </c:pt>
              </c:strCache>
            </c:strRef>
          </c:tx>
          <c:spPr>
            <a:solidFill>
              <a:schemeClr val="accent2"/>
            </a:solidFill>
          </c:spPr>
          <c:invertIfNegative val="0"/>
          <c:cat>
            <c:strRef>
              <c:f>'WW calcu'!$D$1124:$E$1124</c:f>
              <c:strCache>
                <c:ptCount val="2"/>
                <c:pt idx="0">
                  <c:v>Slum</c:v>
                </c:pt>
                <c:pt idx="1">
                  <c:v>City</c:v>
                </c:pt>
              </c:strCache>
            </c:strRef>
          </c:cat>
          <c:val>
            <c:numRef>
              <c:f>'WW calcu'!$D$1126:$E$1126</c:f>
              <c:numCache>
                <c:formatCode>_(* #,##0_);_(* \(#,##0\);_(* "-"??_);_(@_)</c:formatCode>
                <c:ptCount val="2"/>
                <c:pt idx="0">
                  <c:v>0</c:v>
                </c:pt>
                <c:pt idx="1">
                  <c:v>424</c:v>
                </c:pt>
              </c:numCache>
            </c:numRef>
          </c:val>
          <c:extLst xmlns:c16r2="http://schemas.microsoft.com/office/drawing/2015/06/chart">
            <c:ext xmlns:c16="http://schemas.microsoft.com/office/drawing/2014/chart" uri="{C3380CC4-5D6E-409C-BE32-E72D297353CC}">
              <c16:uniqueId val="{00000001-02DC-4DBB-9CC8-99220D78598D}"/>
            </c:ext>
          </c:extLst>
        </c:ser>
        <c:ser>
          <c:idx val="3"/>
          <c:order val="2"/>
          <c:tx>
            <c:strRef>
              <c:f>'WW calcu'!$C$1127</c:f>
              <c:strCache>
                <c:ptCount val="1"/>
                <c:pt idx="0">
                  <c:v>Unsafe sanitation</c:v>
                </c:pt>
              </c:strCache>
            </c:strRef>
          </c:tx>
          <c:invertIfNegative val="0"/>
          <c:cat>
            <c:strRef>
              <c:f>'WW calcu'!$D$1124:$E$1124</c:f>
              <c:strCache>
                <c:ptCount val="2"/>
                <c:pt idx="0">
                  <c:v>Slum</c:v>
                </c:pt>
                <c:pt idx="1">
                  <c:v>City</c:v>
                </c:pt>
              </c:strCache>
            </c:strRef>
          </c:cat>
          <c:val>
            <c:numRef>
              <c:f>'WW calcu'!$D$1127:$E$1127</c:f>
              <c:numCache>
                <c:formatCode>_(* #,##0_);_(* \(#,##0\);_(* "-"??_);_(@_)</c:formatCode>
                <c:ptCount val="2"/>
                <c:pt idx="0">
                  <c:v>191</c:v>
                </c:pt>
                <c:pt idx="1">
                  <c:v>4218</c:v>
                </c:pt>
              </c:numCache>
            </c:numRef>
          </c:val>
          <c:extLst xmlns:c16r2="http://schemas.microsoft.com/office/drawing/2015/06/chart">
            <c:ext xmlns:c16="http://schemas.microsoft.com/office/drawing/2014/chart" uri="{C3380CC4-5D6E-409C-BE32-E72D297353CC}">
              <c16:uniqueId val="{00000002-02DC-4DBB-9CC8-99220D78598D}"/>
            </c:ext>
          </c:extLst>
        </c:ser>
        <c:ser>
          <c:idx val="2"/>
          <c:order val="3"/>
          <c:tx>
            <c:strRef>
              <c:f>'WW calcu'!$C$1128</c:f>
              <c:strCache>
                <c:ptCount val="1"/>
                <c:pt idx="0">
                  <c:v>Unserved HHs</c:v>
                </c:pt>
              </c:strCache>
            </c:strRef>
          </c:tx>
          <c:spPr>
            <a:solidFill>
              <a:schemeClr val="bg1">
                <a:lumMod val="65000"/>
              </a:schemeClr>
            </a:solidFill>
          </c:spPr>
          <c:invertIfNegative val="0"/>
          <c:cat>
            <c:strRef>
              <c:f>'WW calcu'!$D$1124:$E$1124</c:f>
              <c:strCache>
                <c:ptCount val="2"/>
                <c:pt idx="0">
                  <c:v>Slum</c:v>
                </c:pt>
                <c:pt idx="1">
                  <c:v>City</c:v>
                </c:pt>
              </c:strCache>
            </c:strRef>
          </c:cat>
          <c:val>
            <c:numRef>
              <c:f>'WW calcu'!$D$1128:$E$1128</c:f>
              <c:numCache>
                <c:formatCode>_(* #,##0_);_(* \(#,##0\);_(* "-"??_);_(@_)</c:formatCode>
                <c:ptCount val="2"/>
                <c:pt idx="0">
                  <c:v>-191</c:v>
                </c:pt>
                <c:pt idx="1">
                  <c:v>-4642</c:v>
                </c:pt>
              </c:numCache>
            </c:numRef>
          </c:val>
          <c:extLst xmlns:c16r2="http://schemas.microsoft.com/office/drawing/2015/06/chart">
            <c:ext xmlns:c16="http://schemas.microsoft.com/office/drawing/2014/chart" uri="{C3380CC4-5D6E-409C-BE32-E72D297353CC}">
              <c16:uniqueId val="{00000003-02DC-4DBB-9CC8-99220D78598D}"/>
            </c:ext>
          </c:extLst>
        </c:ser>
        <c:dLbls>
          <c:showLegendKey val="0"/>
          <c:showVal val="0"/>
          <c:showCatName val="0"/>
          <c:showSerName val="0"/>
          <c:showPercent val="0"/>
          <c:showBubbleSize val="0"/>
        </c:dLbls>
        <c:gapWidth val="76"/>
        <c:overlap val="100"/>
        <c:axId val="581826048"/>
        <c:axId val="581695104"/>
      </c:barChart>
      <c:catAx>
        <c:axId val="581826048"/>
        <c:scaling>
          <c:orientation val="minMax"/>
        </c:scaling>
        <c:delete val="0"/>
        <c:axPos val="l"/>
        <c:numFmt formatCode="General" sourceLinked="0"/>
        <c:majorTickMark val="out"/>
        <c:minorTickMark val="none"/>
        <c:tickLblPos val="nextTo"/>
        <c:txPr>
          <a:bodyPr/>
          <a:lstStyle/>
          <a:p>
            <a:pPr>
              <a:defRPr lang="en-US" sz="1100"/>
            </a:pPr>
            <a:endParaRPr lang="en-US"/>
          </a:p>
        </c:txPr>
        <c:crossAx val="581695104"/>
        <c:crosses val="autoZero"/>
        <c:auto val="1"/>
        <c:lblAlgn val="ctr"/>
        <c:lblOffset val="100"/>
        <c:noMultiLvlLbl val="0"/>
      </c:catAx>
      <c:valAx>
        <c:axId val="581695104"/>
        <c:scaling>
          <c:orientation val="minMax"/>
        </c:scaling>
        <c:delete val="0"/>
        <c:axPos val="b"/>
        <c:majorGridlines/>
        <c:numFmt formatCode="_(* #,##0_);_(* \(#,##0\);_(* &quot;-&quot;??_);_(@_)" sourceLinked="1"/>
        <c:majorTickMark val="out"/>
        <c:minorTickMark val="none"/>
        <c:tickLblPos val="nextTo"/>
        <c:txPr>
          <a:bodyPr/>
          <a:lstStyle/>
          <a:p>
            <a:pPr>
              <a:defRPr lang="en-US"/>
            </a:pPr>
            <a:endParaRPr lang="en-US"/>
          </a:p>
        </c:txPr>
        <c:crossAx val="581826048"/>
        <c:crosses val="autoZero"/>
        <c:crossBetween val="between"/>
      </c:valAx>
      <c:spPr>
        <a:solidFill>
          <a:schemeClr val="bg1"/>
        </a:solidFill>
        <a:ln>
          <a:solidFill>
            <a:schemeClr val="tx1">
              <a:lumMod val="50000"/>
              <a:lumOff val="50000"/>
            </a:schemeClr>
          </a:solidFill>
        </a:ln>
      </c:spPr>
    </c:plotArea>
    <c:legend>
      <c:legendPos val="b"/>
      <c:layout>
        <c:manualLayout>
          <c:xMode val="edge"/>
          <c:yMode val="edge"/>
          <c:x val="1.7206366988777838E-2"/>
          <c:y val="0.88966028920301532"/>
          <c:w val="0.96554658417111749"/>
          <c:h val="0.10601442770465402"/>
        </c:manualLayout>
      </c:layout>
      <c:overlay val="0"/>
      <c:txPr>
        <a:bodyPr/>
        <a:lstStyle/>
        <a:p>
          <a:pPr>
            <a:defRPr lang="en-US" sz="1100"/>
          </a:pPr>
          <a:endParaRPr lang="en-US"/>
        </a:p>
      </c:txPr>
    </c:legend>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9.9612958614215347E-2"/>
          <c:y val="1.4729707551973378E-2"/>
          <c:w val="0.74061745934613465"/>
          <c:h val="0.96595470508556669"/>
        </c:manualLayout>
      </c:layout>
      <c:pieChart>
        <c:varyColors val="1"/>
        <c:ser>
          <c:idx val="0"/>
          <c:order val="0"/>
          <c:dLbls>
            <c:spPr>
              <a:noFill/>
              <a:ln>
                <a:noFill/>
              </a:ln>
              <a:effectLst/>
            </c:spPr>
            <c:txPr>
              <a:bodyPr/>
              <a:lstStyle/>
              <a:p>
                <a:pPr>
                  <a:defRPr lang="en-US" sz="1050"/>
                </a:pPr>
                <a:endParaRPr lang="en-US"/>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strRef>
              <c:f>'PIP options'!$J$24:$J$27</c:f>
              <c:strCache>
                <c:ptCount val="4"/>
                <c:pt idx="0">
                  <c:v>Own funds</c:v>
                </c:pt>
                <c:pt idx="1">
                  <c:v>Grants</c:v>
                </c:pt>
                <c:pt idx="2">
                  <c:v>Private contri.</c:v>
                </c:pt>
                <c:pt idx="3">
                  <c:v>Debt</c:v>
                </c:pt>
              </c:strCache>
            </c:strRef>
          </c:cat>
          <c:val>
            <c:numRef>
              <c:f>'PIP options'!$K$24:$K$27</c:f>
              <c:numCache>
                <c:formatCode>0</c:formatCode>
                <c:ptCount val="4"/>
                <c:pt idx="0">
                  <c:v>99</c:v>
                </c:pt>
                <c:pt idx="1">
                  <c:v>48.975372000000007</c:v>
                </c:pt>
                <c:pt idx="2">
                  <c:v>1857.4137636432001</c:v>
                </c:pt>
                <c:pt idx="3">
                  <c:v>36</c:v>
                </c:pt>
              </c:numCache>
            </c:numRef>
          </c:val>
          <c:extLst xmlns:c16r2="http://schemas.microsoft.com/office/drawing/2015/06/chart">
            <c:ext xmlns:c16="http://schemas.microsoft.com/office/drawing/2014/chart" uri="{C3380CC4-5D6E-409C-BE32-E72D297353CC}">
              <c16:uniqueId val="{00000000-8451-4D5C-8CAB-45777A9FDDBC}"/>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9.9612958614215347E-2"/>
          <c:y val="1.4729707551973378E-2"/>
          <c:w val="0.74061745934613465"/>
          <c:h val="0.96595470508556669"/>
        </c:manualLayout>
      </c:layout>
      <c:pieChart>
        <c:varyColors val="1"/>
        <c:ser>
          <c:idx val="0"/>
          <c:order val="0"/>
          <c:dLbls>
            <c:spPr>
              <a:noFill/>
              <a:ln>
                <a:noFill/>
              </a:ln>
              <a:effectLst/>
            </c:spPr>
            <c:txPr>
              <a:bodyPr/>
              <a:lstStyle/>
              <a:p>
                <a:pPr>
                  <a:defRPr lang="en-US" sz="1050"/>
                </a:pPr>
                <a:endParaRPr lang="en-US"/>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'PIP options'!$J$58:$J$61</c:f>
              <c:numCache>
                <c:formatCode>General</c:formatCode>
                <c:ptCount val="4"/>
              </c:numCache>
            </c:numRef>
          </c:cat>
          <c:val>
            <c:numRef>
              <c:f>'PIP options'!$K$58:$K$61</c:f>
              <c:numCache>
                <c:formatCode>0</c:formatCode>
                <c:ptCount val="4"/>
              </c:numCache>
            </c:numRef>
          </c:val>
          <c:extLst xmlns:c16r2="http://schemas.microsoft.com/office/drawing/2015/06/chart">
            <c:ext xmlns:c16="http://schemas.microsoft.com/office/drawing/2014/chart" uri="{C3380CC4-5D6E-409C-BE32-E72D297353CC}">
              <c16:uniqueId val="{00000000-23BF-45A8-B8F2-B49CB4699AE3}"/>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9.9612958614215347E-2"/>
          <c:y val="1.4729707551973378E-2"/>
          <c:w val="0.74061745934613465"/>
          <c:h val="0.96595470508556669"/>
        </c:manualLayout>
      </c:layout>
      <c:pieChart>
        <c:varyColors val="1"/>
        <c:ser>
          <c:idx val="0"/>
          <c:order val="0"/>
          <c:dLbls>
            <c:spPr>
              <a:noFill/>
              <a:ln>
                <a:noFill/>
              </a:ln>
              <a:effectLst/>
            </c:spPr>
            <c:txPr>
              <a:bodyPr/>
              <a:lstStyle/>
              <a:p>
                <a:pPr>
                  <a:defRPr lang="en-US" sz="1050"/>
                </a:pPr>
                <a:endParaRPr lang="en-US"/>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'PIP options'!$J$82:$J$85</c:f>
              <c:numCache>
                <c:formatCode>General</c:formatCode>
                <c:ptCount val="4"/>
              </c:numCache>
            </c:numRef>
          </c:cat>
          <c:val>
            <c:numRef>
              <c:f>'PIP options'!$K$82:$K$85</c:f>
              <c:numCache>
                <c:formatCode>0</c:formatCode>
                <c:ptCount val="4"/>
              </c:numCache>
            </c:numRef>
          </c:val>
          <c:extLst xmlns:c16r2="http://schemas.microsoft.com/office/drawing/2015/06/chart">
            <c:ext xmlns:c16="http://schemas.microsoft.com/office/drawing/2014/chart" uri="{C3380CC4-5D6E-409C-BE32-E72D297353CC}">
              <c16:uniqueId val="{00000000-D8EA-4DDE-9BAE-F168CB41A583}"/>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9.9612958614215347E-2"/>
          <c:y val="1.4729707551973378E-2"/>
          <c:w val="0.74061745934613465"/>
          <c:h val="0.96595470508556669"/>
        </c:manualLayout>
      </c:layout>
      <c:pieChart>
        <c:varyColors val="1"/>
        <c:ser>
          <c:idx val="0"/>
          <c:order val="0"/>
          <c:dLbls>
            <c:spPr>
              <a:noFill/>
              <a:ln>
                <a:noFill/>
              </a:ln>
              <a:effectLst/>
            </c:spPr>
            <c:txPr>
              <a:bodyPr/>
              <a:lstStyle/>
              <a:p>
                <a:pPr>
                  <a:defRPr lang="en-US" sz="1050"/>
                </a:pPr>
                <a:endParaRPr lang="en-US"/>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'PIP options'!$J$106:$J$109</c:f>
              <c:numCache>
                <c:formatCode>General</c:formatCode>
                <c:ptCount val="4"/>
              </c:numCache>
            </c:numRef>
          </c:cat>
          <c:val>
            <c:numRef>
              <c:f>'PIP options'!$K$106:$K$109</c:f>
              <c:numCache>
                <c:formatCode>0</c:formatCode>
                <c:ptCount val="4"/>
              </c:numCache>
            </c:numRef>
          </c:val>
          <c:extLst xmlns:c16r2="http://schemas.microsoft.com/office/drawing/2015/06/chart">
            <c:ext xmlns:c16="http://schemas.microsoft.com/office/drawing/2014/chart" uri="{C3380CC4-5D6E-409C-BE32-E72D297353CC}">
              <c16:uniqueId val="{00000000-CF4A-4D87-8FA1-0BC63E56814C}"/>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9.9612958614215347E-2"/>
          <c:y val="1.4729707551973378E-2"/>
          <c:w val="0.74061745934613465"/>
          <c:h val="0.96595470508556669"/>
        </c:manualLayout>
      </c:layout>
      <c:pieChart>
        <c:varyColors val="1"/>
        <c:ser>
          <c:idx val="0"/>
          <c:order val="0"/>
          <c:dLbls>
            <c:spPr>
              <a:noFill/>
              <a:ln>
                <a:noFill/>
              </a:ln>
              <a:effectLst/>
            </c:spPr>
            <c:txPr>
              <a:bodyPr/>
              <a:lstStyle/>
              <a:p>
                <a:pPr>
                  <a:defRPr lang="en-US" sz="1050"/>
                </a:pPr>
                <a:endParaRPr lang="en-US"/>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'PIP options'!$J$130:$J$133</c:f>
              <c:numCache>
                <c:formatCode>General</c:formatCode>
                <c:ptCount val="4"/>
              </c:numCache>
            </c:numRef>
          </c:cat>
          <c:val>
            <c:numRef>
              <c:f>'PIP options'!$K$130:$K$133</c:f>
              <c:numCache>
                <c:formatCode>0</c:formatCode>
                <c:ptCount val="4"/>
              </c:numCache>
            </c:numRef>
          </c:val>
          <c:extLst xmlns:c16r2="http://schemas.microsoft.com/office/drawing/2015/06/chart">
            <c:ext xmlns:c16="http://schemas.microsoft.com/office/drawing/2014/chart" uri="{C3380CC4-5D6E-409C-BE32-E72D297353CC}">
              <c16:uniqueId val="{00000000-7E17-4E57-9B65-CAC97FD095EA}"/>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9.9612958614215347E-2"/>
          <c:y val="1.4729707551973378E-2"/>
          <c:w val="0.74061745934613465"/>
          <c:h val="0.96595470508556669"/>
        </c:manualLayout>
      </c:layout>
      <c:pieChart>
        <c:varyColors val="1"/>
        <c:ser>
          <c:idx val="0"/>
          <c:order val="0"/>
          <c:dLbls>
            <c:spPr>
              <a:noFill/>
              <a:ln>
                <a:noFill/>
              </a:ln>
              <a:effectLst/>
            </c:spPr>
            <c:txPr>
              <a:bodyPr/>
              <a:lstStyle/>
              <a:p>
                <a:pPr>
                  <a:defRPr lang="en-US" sz="1050"/>
                </a:pPr>
                <a:endParaRPr lang="en-US"/>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'PIP options'!$J$154:$J$157</c:f>
              <c:numCache>
                <c:formatCode>General</c:formatCode>
                <c:ptCount val="4"/>
              </c:numCache>
            </c:numRef>
          </c:cat>
          <c:val>
            <c:numRef>
              <c:f>'PIP options'!$K$154:$K$157</c:f>
              <c:numCache>
                <c:formatCode>0</c:formatCode>
                <c:ptCount val="4"/>
              </c:numCache>
            </c:numRef>
          </c:val>
          <c:extLst xmlns:c16r2="http://schemas.microsoft.com/office/drawing/2015/06/chart">
            <c:ext xmlns:c16="http://schemas.microsoft.com/office/drawing/2014/chart" uri="{C3380CC4-5D6E-409C-BE32-E72D297353CC}">
              <c16:uniqueId val="{00000000-ABF2-4944-A048-37EE17CB0D9E}"/>
            </c:ext>
          </c:extLst>
        </c:ser>
        <c:dLbls>
          <c:showLegendKey val="0"/>
          <c:showVal val="0"/>
          <c:showCatName val="1"/>
          <c:showSerName val="0"/>
          <c:showPercent val="1"/>
          <c:showBubbleSize val="0"/>
          <c:showLeaderLines val="1"/>
        </c:dLbls>
        <c:firstSliceAng val="0"/>
      </c:pieChart>
    </c:plotArea>
    <c:plotVisOnly val="1"/>
    <c:dispBlanksAs val="zero"/>
    <c:showDLblsOverMax val="0"/>
  </c:chart>
  <c:spPr>
    <a:solidFill>
      <a:srgbClr val="FAF0F0"/>
    </a:solidFill>
    <a:ln>
      <a:noFill/>
    </a:ln>
  </c:sp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26560587955766E-2"/>
          <c:y val="6.5450681448773348E-2"/>
          <c:w val="0.65514447473204562"/>
          <c:h val="0.75572658610583965"/>
        </c:manualLayout>
      </c:layout>
      <c:lineChart>
        <c:grouping val="standard"/>
        <c:varyColors val="0"/>
        <c:ser>
          <c:idx val="0"/>
          <c:order val="0"/>
          <c:tx>
            <c:strRef>
              <c:f>'PIP finance'!$R$244</c:f>
              <c:strCache>
                <c:ptCount val="1"/>
                <c:pt idx="0">
                  <c:v>Coverage of households with improved sanitation facility in city</c:v>
                </c:pt>
              </c:strCache>
            </c:strRef>
          </c:tx>
          <c:spPr>
            <a:ln>
              <a:solidFill>
                <a:schemeClr val="accent4"/>
              </a:solidFill>
            </a:ln>
          </c:spPr>
          <c:marker>
            <c:symbol val="circle"/>
            <c:size val="4"/>
            <c:spPr>
              <a:solidFill>
                <a:schemeClr val="accent4"/>
              </a:solidFill>
              <a:ln>
                <a:solidFill>
                  <a:schemeClr val="accent4"/>
                </a:solidFill>
              </a:ln>
            </c:spPr>
          </c:marker>
          <c:cat>
            <c:numRef>
              <c:f>'PIP finance'!$S$243:$AC$243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'PIP finance'!$S$244:$AC$244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6r2="http://schemas.microsoft.com/office/drawing/2015/06/chart">
            <c:ext xmlns:c16="http://schemas.microsoft.com/office/drawing/2014/chart" uri="{C3380CC4-5D6E-409C-BE32-E72D297353CC}">
              <c16:uniqueId val="{00000000-EB97-4D28-9B32-718E0B232BF6}"/>
            </c:ext>
          </c:extLst>
        </c:ser>
        <c:ser>
          <c:idx val="1"/>
          <c:order val="1"/>
          <c:tx>
            <c:strRef>
              <c:f>'PIP finance'!$R$245</c:f>
              <c:strCache>
                <c:ptCount val="1"/>
                <c:pt idx="0">
                  <c:v>Septic tanks cleaned annually in city </c:v>
                </c:pt>
              </c:strCache>
            </c:strRef>
          </c:tx>
          <c:spPr>
            <a:ln>
              <a:solidFill>
                <a:schemeClr val="accent6">
                  <a:lumMod val="75000"/>
                </a:schemeClr>
              </a:solidFill>
            </a:ln>
          </c:spPr>
          <c:marker>
            <c:symbol val="circle"/>
            <c:size val="4"/>
            <c:spPr>
              <a:solidFill>
                <a:schemeClr val="accent6"/>
              </a:solidFill>
              <a:ln>
                <a:solidFill>
                  <a:schemeClr val="accent6">
                    <a:lumMod val="75000"/>
                  </a:schemeClr>
                </a:solidFill>
              </a:ln>
            </c:spPr>
          </c:marker>
          <c:cat>
            <c:numRef>
              <c:f>'PIP finance'!$S$243:$AC$243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'PIP finance'!$S$245:$AC$245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6r2="http://schemas.microsoft.com/office/drawing/2015/06/chart">
            <c:ext xmlns:c16="http://schemas.microsoft.com/office/drawing/2014/chart" uri="{C3380CC4-5D6E-409C-BE32-E72D297353CC}">
              <c16:uniqueId val="{00000001-EB97-4D28-9B32-718E0B232BF6}"/>
            </c:ext>
          </c:extLst>
        </c:ser>
        <c:ser>
          <c:idx val="2"/>
          <c:order val="2"/>
          <c:tx>
            <c:strRef>
              <c:f>'PIP finance'!$R$246</c:f>
              <c:strCache>
                <c:ptCount val="1"/>
                <c:pt idx="0">
                  <c:v>Adequacy of septage treatment capacity</c:v>
                </c:pt>
              </c:strCache>
            </c:strRef>
          </c:tx>
          <c:spPr>
            <a:ln>
              <a:solidFill>
                <a:srgbClr val="00B050"/>
              </a:solidFill>
            </a:ln>
          </c:spPr>
          <c:marker>
            <c:symbol val="circle"/>
            <c:size val="4"/>
            <c:spPr>
              <a:solidFill>
                <a:srgbClr val="00B050"/>
              </a:solidFill>
              <a:ln>
                <a:solidFill>
                  <a:srgbClr val="00B050"/>
                </a:solidFill>
              </a:ln>
            </c:spPr>
          </c:marker>
          <c:cat>
            <c:numRef>
              <c:f>'PIP finance'!$S$243:$AC$243</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'PIP finance'!$S$246:$AC$246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6r2="http://schemas.microsoft.com/office/drawing/2015/06/chart">
            <c:ext xmlns:c16="http://schemas.microsoft.com/office/drawing/2014/chart" uri="{C3380CC4-5D6E-409C-BE32-E72D297353CC}">
              <c16:uniqueId val="{00000002-EB97-4D28-9B32-718E0B232BF6}"/>
            </c:ext>
          </c:extLst>
        </c:ser>
        <c:dLbls>
          <c:showLegendKey val="0"/>
          <c:showVal val="0"/>
          <c:showCatName val="0"/>
          <c:showSerName val="0"/>
          <c:showPercent val="0"/>
          <c:showBubbleSize val="0"/>
        </c:dLbls>
        <c:marker val="1"/>
        <c:smooth val="0"/>
        <c:axId val="589595648"/>
        <c:axId val="588295552"/>
      </c:lineChart>
      <c:catAx>
        <c:axId val="589595648"/>
        <c:scaling>
          <c:orientation val="minMax"/>
        </c:scaling>
        <c:delete val="0"/>
        <c:axPos val="b"/>
        <c:numFmt formatCode="General" sourceLinked="1"/>
        <c:majorTickMark val="none"/>
        <c:minorTickMark val="none"/>
        <c:tickLblPos val="nextTo"/>
        <c:txPr>
          <a:bodyPr/>
          <a:lstStyle/>
          <a:p>
            <a:pPr>
              <a:defRPr lang="en-US" sz="900"/>
            </a:pPr>
            <a:endParaRPr lang="en-US"/>
          </a:p>
        </c:txPr>
        <c:crossAx val="588295552"/>
        <c:crosses val="autoZero"/>
        <c:auto val="1"/>
        <c:lblAlgn val="ctr"/>
        <c:lblOffset val="100"/>
        <c:noMultiLvlLbl val="0"/>
      </c:catAx>
      <c:valAx>
        <c:axId val="588295552"/>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lang="en-US"/>
            </a:pPr>
            <a:endParaRPr lang="en-US"/>
          </a:p>
        </c:txPr>
        <c:crossAx val="589595648"/>
        <c:crosses val="autoZero"/>
        <c:crossBetween val="between"/>
      </c:valAx>
      <c:spPr>
        <a:solidFill>
          <a:schemeClr val="bg1">
            <a:alpha val="56000"/>
          </a:schemeClr>
        </a:solidFill>
        <a:ln>
          <a:solidFill>
            <a:schemeClr val="tx1">
              <a:lumMod val="50000"/>
              <a:lumOff val="50000"/>
            </a:schemeClr>
          </a:solidFill>
        </a:ln>
      </c:spPr>
    </c:plotArea>
    <c:legend>
      <c:legendPos val="r"/>
      <c:layout>
        <c:manualLayout>
          <c:xMode val="edge"/>
          <c:yMode val="edge"/>
          <c:x val="0.73927373855989265"/>
          <c:y val="0.10548256982294105"/>
          <c:w val="0.25987079061424539"/>
          <c:h val="0.82454630319978361"/>
        </c:manualLayout>
      </c:layout>
      <c:overlay val="0"/>
      <c:txPr>
        <a:bodyPr/>
        <a:lstStyle/>
        <a:p>
          <a:pPr>
            <a:defRPr lang="en-US" sz="900"/>
          </a:pPr>
          <a:endParaRPr lang="en-US"/>
        </a:p>
      </c:txPr>
    </c:legend>
    <c:plotVisOnly val="1"/>
    <c:dispBlanksAs val="gap"/>
    <c:showDLblsOverMax val="0"/>
  </c:chart>
  <c:spPr>
    <a:solidFill>
      <a:sysClr val="window" lastClr="FFFFFF"/>
    </a:solidFill>
    <a:ln>
      <a:noFill/>
    </a:ln>
  </c:spPr>
  <c:printSettings>
    <c:headerFooter/>
    <c:pageMargins b="0.750000000000004" l="0.70000000000000062" r="0.70000000000000062" t="0.750000000000004"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Capital</a:t>
            </a:r>
            <a:r>
              <a:rPr lang="en-US" sz="1400" baseline="0"/>
              <a:t> financing plan </a:t>
            </a:r>
            <a:r>
              <a:rPr lang="en-US" sz="1000" b="0" baseline="0"/>
              <a:t>(Rs. lakhs)</a:t>
            </a:r>
            <a:endParaRPr lang="en-US" sz="1000" b="0"/>
          </a:p>
        </c:rich>
      </c:tx>
      <c:layout>
        <c:manualLayout>
          <c:xMode val="edge"/>
          <c:yMode val="edge"/>
          <c:x val="0.15474171035980941"/>
          <c:y val="0"/>
        </c:manualLayout>
      </c:layout>
      <c:overlay val="1"/>
    </c:title>
    <c:autoTitleDeleted val="0"/>
    <c:plotArea>
      <c:layout>
        <c:manualLayout>
          <c:layoutTarget val="inner"/>
          <c:xMode val="edge"/>
          <c:yMode val="edge"/>
          <c:x val="8.3641314821780902E-2"/>
          <c:y val="0.23213695505970389"/>
          <c:w val="0.84074802593204534"/>
          <c:h val="0.46292704556653325"/>
        </c:manualLayout>
      </c:layout>
      <c:barChart>
        <c:barDir val="bar"/>
        <c:grouping val="stacked"/>
        <c:varyColors val="0"/>
        <c:ser>
          <c:idx val="0"/>
          <c:order val="0"/>
          <c:tx>
            <c:strRef>
              <c:f>'PIP finance'!$P$909</c:f>
              <c:strCache>
                <c:ptCount val="1"/>
                <c:pt idx="0">
                  <c:v>ULB funds</c:v>
                </c:pt>
              </c:strCache>
            </c:strRef>
          </c:tx>
          <c:invertIfNegative val="0"/>
          <c:val>
            <c:numRef>
              <c:f>'PIP finance'!$Q$909</c:f>
              <c:numCache>
                <c:formatCode>_(* #,##0_);_(* \(#,##0\);_(* "-"??_);_(@_)</c:formatCode>
                <c:ptCount val="1"/>
                <c:pt idx="0">
                  <c:v>99</c:v>
                </c:pt>
              </c:numCache>
            </c:numRef>
          </c:val>
          <c:extLst xmlns:c16r2="http://schemas.microsoft.com/office/drawing/2015/06/chart">
            <c:ext xmlns:c16="http://schemas.microsoft.com/office/drawing/2014/chart" uri="{C3380CC4-5D6E-409C-BE32-E72D297353CC}">
              <c16:uniqueId val="{00000000-9021-47FA-A5C8-E256D28D1682}"/>
            </c:ext>
          </c:extLst>
        </c:ser>
        <c:ser>
          <c:idx val="1"/>
          <c:order val="1"/>
          <c:tx>
            <c:strRef>
              <c:f>'PIP finance'!$P$910</c:f>
              <c:strCache>
                <c:ptCount val="1"/>
                <c:pt idx="0">
                  <c:v>Grants</c:v>
                </c:pt>
              </c:strCache>
            </c:strRef>
          </c:tx>
          <c:invertIfNegative val="0"/>
          <c:val>
            <c:numRef>
              <c:f>'PIP finance'!$Q$910</c:f>
              <c:numCache>
                <c:formatCode>_(* #,##0_);_(* \(#,##0\);_(* "-"??_);_(@_)</c:formatCode>
                <c:ptCount val="1"/>
                <c:pt idx="0">
                  <c:v>48.975372000000007</c:v>
                </c:pt>
              </c:numCache>
            </c:numRef>
          </c:val>
          <c:extLst xmlns:c16r2="http://schemas.microsoft.com/office/drawing/2015/06/chart">
            <c:ext xmlns:c16="http://schemas.microsoft.com/office/drawing/2014/chart" uri="{C3380CC4-5D6E-409C-BE32-E72D297353CC}">
              <c16:uniqueId val="{00000001-9021-47FA-A5C8-E256D28D1682}"/>
            </c:ext>
          </c:extLst>
        </c:ser>
        <c:ser>
          <c:idx val="2"/>
          <c:order val="2"/>
          <c:tx>
            <c:strRef>
              <c:f>'PIP finance'!$P$911</c:f>
              <c:strCache>
                <c:ptCount val="1"/>
                <c:pt idx="0">
                  <c:v>Private contri.</c:v>
                </c:pt>
              </c:strCache>
            </c:strRef>
          </c:tx>
          <c:invertIfNegative val="0"/>
          <c:val>
            <c:numRef>
              <c:f>'PIP finance'!$Q$911</c:f>
              <c:numCache>
                <c:formatCode>_(* #,##0_);_(* \(#,##0\);_(* "-"??_);_(@_)</c:formatCode>
                <c:ptCount val="1"/>
                <c:pt idx="0">
                  <c:v>1857.4137636432001</c:v>
                </c:pt>
              </c:numCache>
            </c:numRef>
          </c:val>
          <c:extLst xmlns:c16r2="http://schemas.microsoft.com/office/drawing/2015/06/chart">
            <c:ext xmlns:c16="http://schemas.microsoft.com/office/drawing/2014/chart" uri="{C3380CC4-5D6E-409C-BE32-E72D297353CC}">
              <c16:uniqueId val="{00000002-9021-47FA-A5C8-E256D28D1682}"/>
            </c:ext>
          </c:extLst>
        </c:ser>
        <c:ser>
          <c:idx val="3"/>
          <c:order val="3"/>
          <c:tx>
            <c:strRef>
              <c:f>'PIP finance'!$P$912</c:f>
              <c:strCache>
                <c:ptCount val="1"/>
                <c:pt idx="0">
                  <c:v>Debt</c:v>
                </c:pt>
              </c:strCache>
            </c:strRef>
          </c:tx>
          <c:invertIfNegative val="0"/>
          <c:val>
            <c:numRef>
              <c:f>'PIP finance'!$Q$912</c:f>
              <c:numCache>
                <c:formatCode>_(* #,##0_);_(* \(#,##0\);_(* "-"??_);_(@_)</c:formatCode>
                <c:ptCount val="1"/>
                <c:pt idx="0">
                  <c:v>36</c:v>
                </c:pt>
              </c:numCache>
            </c:numRef>
          </c:val>
          <c:extLst xmlns:c16r2="http://schemas.microsoft.com/office/drawing/2015/06/chart">
            <c:ext xmlns:c16="http://schemas.microsoft.com/office/drawing/2014/chart" uri="{C3380CC4-5D6E-409C-BE32-E72D297353CC}">
              <c16:uniqueId val="{00000003-9021-47FA-A5C8-E256D28D1682}"/>
            </c:ext>
          </c:extLst>
        </c:ser>
        <c:dLbls>
          <c:showLegendKey val="0"/>
          <c:showVal val="0"/>
          <c:showCatName val="0"/>
          <c:showSerName val="0"/>
          <c:showPercent val="0"/>
          <c:showBubbleSize val="0"/>
        </c:dLbls>
        <c:gapWidth val="57"/>
        <c:overlap val="100"/>
        <c:axId val="589596160"/>
        <c:axId val="588299584"/>
      </c:barChart>
      <c:catAx>
        <c:axId val="589596160"/>
        <c:scaling>
          <c:orientation val="minMax"/>
        </c:scaling>
        <c:delete val="1"/>
        <c:axPos val="l"/>
        <c:majorTickMark val="out"/>
        <c:minorTickMark val="none"/>
        <c:tickLblPos val="nextTo"/>
        <c:crossAx val="588299584"/>
        <c:crosses val="autoZero"/>
        <c:auto val="1"/>
        <c:lblAlgn val="ctr"/>
        <c:lblOffset val="100"/>
        <c:noMultiLvlLbl val="0"/>
      </c:catAx>
      <c:valAx>
        <c:axId val="588299584"/>
        <c:scaling>
          <c:orientation val="minMax"/>
        </c:scaling>
        <c:delete val="0"/>
        <c:axPos val="b"/>
        <c:majorGridlines>
          <c:spPr>
            <a:ln>
              <a:solidFill>
                <a:schemeClr val="bg1">
                  <a:lumMod val="85000"/>
                </a:schemeClr>
              </a:solidFill>
            </a:ln>
          </c:spPr>
        </c:majorGridlines>
        <c:numFmt formatCode="_(* #,##0_);_(* \(#,##0\);_(* &quot;-&quot;??_);_(@_)" sourceLinked="1"/>
        <c:majorTickMark val="out"/>
        <c:minorTickMark val="none"/>
        <c:tickLblPos val="nextTo"/>
        <c:txPr>
          <a:bodyPr/>
          <a:lstStyle/>
          <a:p>
            <a:pPr>
              <a:defRPr lang="en-US"/>
            </a:pPr>
            <a:endParaRPr lang="en-US"/>
          </a:p>
        </c:txPr>
        <c:crossAx val="589596160"/>
        <c:crosses val="autoZero"/>
        <c:crossBetween val="between"/>
      </c:valAx>
      <c:spPr>
        <a:noFill/>
        <a:ln>
          <a:solidFill>
            <a:schemeClr val="bg1">
              <a:lumMod val="65000"/>
            </a:schemeClr>
          </a:solidFill>
        </a:ln>
      </c:spPr>
    </c:plotArea>
    <c:legend>
      <c:legendPos val="b"/>
      <c:layout>
        <c:manualLayout>
          <c:xMode val="edge"/>
          <c:yMode val="edge"/>
          <c:x val="5.4079055222511462E-2"/>
          <c:y val="0.85837168728828095"/>
          <c:w val="0.79079084848390235"/>
          <c:h val="0.11468205794801473"/>
        </c:manualLayout>
      </c:layout>
      <c:overlay val="0"/>
      <c:txPr>
        <a:bodyPr/>
        <a:lstStyle/>
        <a:p>
          <a:pPr>
            <a:defRPr lang="en-US"/>
          </a:pPr>
          <a:endParaRPr lang="en-US"/>
        </a:p>
      </c:txPr>
    </c:legend>
    <c:plotVisOnly val="1"/>
    <c:dispBlanksAs val="gap"/>
    <c:showDLblsOverMax val="0"/>
  </c:chart>
  <c:spPr>
    <a:solidFill>
      <a:sysClr val="window" lastClr="FFFFFF"/>
    </a:solidFill>
    <a:ln>
      <a:noFill/>
    </a:ln>
  </c:spPr>
  <c:printSettings>
    <c:headerFooter/>
    <c:pageMargins b="0.75000000000000366" l="0.70000000000000062" r="0.70000000000000062" t="0.7500000000000036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Tariff level</a:t>
            </a:r>
            <a:r>
              <a:rPr lang="en-US" sz="1400" baseline="0"/>
              <a:t> required </a:t>
            </a:r>
            <a:r>
              <a:rPr lang="en-US" sz="900" b="0"/>
              <a:t>(Rs/Household/annum)</a:t>
            </a:r>
          </a:p>
        </c:rich>
      </c:tx>
      <c:layout>
        <c:manualLayout>
          <c:xMode val="edge"/>
          <c:yMode val="edge"/>
          <c:x val="0.14801912351236524"/>
          <c:y val="4.0963707891885524E-3"/>
        </c:manualLayout>
      </c:layout>
      <c:overlay val="1"/>
    </c:title>
    <c:autoTitleDeleted val="0"/>
    <c:plotArea>
      <c:layout>
        <c:manualLayout>
          <c:layoutTarget val="inner"/>
          <c:xMode val="edge"/>
          <c:yMode val="edge"/>
          <c:x val="7.9630536613545522E-2"/>
          <c:y val="0.2593745374710148"/>
          <c:w val="0.85354129776840326"/>
          <c:h val="0.44648046277566927"/>
        </c:manualLayout>
      </c:layout>
      <c:barChart>
        <c:barDir val="bar"/>
        <c:grouping val="stacked"/>
        <c:varyColors val="0"/>
        <c:ser>
          <c:idx val="0"/>
          <c:order val="0"/>
          <c:tx>
            <c:v>Base tariff</c:v>
          </c:tx>
          <c:spPr>
            <a:solidFill>
              <a:schemeClr val="tx1">
                <a:lumMod val="50000"/>
                <a:lumOff val="50000"/>
              </a:schemeClr>
            </a:solidFill>
          </c:spPr>
          <c:invertIfNegative val="0"/>
          <c:dPt>
            <c:idx val="0"/>
            <c:invertIfNegative val="0"/>
            <c:bubble3D val="0"/>
            <c:spPr>
              <a:solidFill>
                <a:schemeClr val="tx1">
                  <a:lumMod val="50000"/>
                  <a:lumOff val="50000"/>
                </a:schemeClr>
              </a:solidFill>
              <a:ln w="28575">
                <a:noFill/>
              </a:ln>
            </c:spPr>
            <c:extLst xmlns:c16r2="http://schemas.microsoft.com/office/drawing/2015/06/chart">
              <c:ext xmlns:c16="http://schemas.microsoft.com/office/drawing/2014/chart" uri="{C3380CC4-5D6E-409C-BE32-E72D297353CC}">
                <c16:uniqueId val="{00000001-EED3-45C0-8E73-BAAFE5C4093D}"/>
              </c:ext>
            </c:extLst>
          </c:dPt>
          <c:dLbls>
            <c:spPr>
              <a:noFill/>
              <a:ln>
                <a:noFill/>
              </a:ln>
              <a:effectLst/>
            </c:spPr>
            <c:txPr>
              <a:bodyPr/>
              <a:lstStyle/>
              <a:p>
                <a:pPr>
                  <a:defRPr lang="en-US">
                    <a:solidFill>
                      <a:schemeClr val="bg1"/>
                    </a:solidFill>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'PIP finance'!$S$907</c:f>
              <c:numCache>
                <c:formatCode>0</c:formatCode>
                <c:ptCount val="1"/>
                <c:pt idx="0">
                  <c:v>0</c:v>
                </c:pt>
              </c:numCache>
            </c:numRef>
          </c:val>
          <c:extLst xmlns:c16r2="http://schemas.microsoft.com/office/drawing/2015/06/chart">
            <c:ext xmlns:c16="http://schemas.microsoft.com/office/drawing/2014/chart" uri="{C3380CC4-5D6E-409C-BE32-E72D297353CC}">
              <c16:uniqueId val="{00000002-EED3-45C0-8E73-BAAFE5C4093D}"/>
            </c:ext>
          </c:extLst>
        </c:ser>
        <c:ser>
          <c:idx val="1"/>
          <c:order val="1"/>
          <c:tx>
            <c:v>Tariff increment</c:v>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'PIP finance'!$S$908</c:f>
              <c:numCache>
                <c:formatCode>0</c:formatCode>
                <c:ptCount val="1"/>
                <c:pt idx="0">
                  <c:v>100</c:v>
                </c:pt>
              </c:numCache>
            </c:numRef>
          </c:val>
          <c:extLst xmlns:c16r2="http://schemas.microsoft.com/office/drawing/2015/06/chart">
            <c:ext xmlns:c16="http://schemas.microsoft.com/office/drawing/2014/chart" uri="{C3380CC4-5D6E-409C-BE32-E72D297353CC}">
              <c16:uniqueId val="{00000003-EED3-45C0-8E73-BAAFE5C4093D}"/>
            </c:ext>
          </c:extLst>
        </c:ser>
        <c:dLbls>
          <c:showLegendKey val="0"/>
          <c:showVal val="1"/>
          <c:showCatName val="0"/>
          <c:showSerName val="0"/>
          <c:showPercent val="0"/>
          <c:showBubbleSize val="0"/>
        </c:dLbls>
        <c:gapWidth val="69"/>
        <c:overlap val="100"/>
        <c:axId val="589597184"/>
        <c:axId val="589498048"/>
      </c:barChart>
      <c:catAx>
        <c:axId val="589597184"/>
        <c:scaling>
          <c:orientation val="minMax"/>
        </c:scaling>
        <c:delete val="1"/>
        <c:axPos val="l"/>
        <c:majorTickMark val="out"/>
        <c:minorTickMark val="none"/>
        <c:tickLblPos val="nextTo"/>
        <c:crossAx val="589498048"/>
        <c:crosses val="autoZero"/>
        <c:auto val="1"/>
        <c:lblAlgn val="ctr"/>
        <c:lblOffset val="100"/>
        <c:noMultiLvlLbl val="0"/>
      </c:catAx>
      <c:valAx>
        <c:axId val="589498048"/>
        <c:scaling>
          <c:orientation val="minMax"/>
        </c:scaling>
        <c:delete val="0"/>
        <c:axPos val="b"/>
        <c:majorGridlines>
          <c:spPr>
            <a:ln>
              <a:solidFill>
                <a:schemeClr val="bg1">
                  <a:lumMod val="85000"/>
                </a:schemeClr>
              </a:solidFill>
            </a:ln>
          </c:spPr>
        </c:majorGridlines>
        <c:numFmt formatCode="0" sourceLinked="1"/>
        <c:majorTickMark val="out"/>
        <c:minorTickMark val="none"/>
        <c:tickLblPos val="nextTo"/>
        <c:txPr>
          <a:bodyPr/>
          <a:lstStyle/>
          <a:p>
            <a:pPr>
              <a:defRPr lang="en-US"/>
            </a:pPr>
            <a:endParaRPr lang="en-US"/>
          </a:p>
        </c:txPr>
        <c:crossAx val="589597184"/>
        <c:crosses val="autoZero"/>
        <c:crossBetween val="between"/>
      </c:valAx>
      <c:spPr>
        <a:ln>
          <a:solidFill>
            <a:schemeClr val="bg1">
              <a:lumMod val="65000"/>
            </a:schemeClr>
          </a:solidFill>
        </a:ln>
      </c:spPr>
    </c:plotArea>
    <c:legend>
      <c:legendPos val="b"/>
      <c:layout>
        <c:manualLayout>
          <c:xMode val="edge"/>
          <c:yMode val="edge"/>
          <c:x val="3.4471647878547652E-2"/>
          <c:y val="0.85053941115738663"/>
          <c:w val="0.933227440095168"/>
          <c:h val="0.14162822536878925"/>
        </c:manualLayout>
      </c:layout>
      <c:overlay val="0"/>
      <c:txPr>
        <a:bodyPr/>
        <a:lstStyle/>
        <a:p>
          <a:pPr>
            <a:defRPr lang="en-US"/>
          </a:pPr>
          <a:endParaRPr lang="en-US"/>
        </a:p>
      </c:txPr>
    </c:legend>
    <c:plotVisOnly val="1"/>
    <c:dispBlanksAs val="gap"/>
    <c:showDLblsOverMax val="0"/>
  </c:chart>
  <c:spPr>
    <a:solidFill>
      <a:sysClr val="window" lastClr="FFFFFF"/>
    </a:solidFill>
    <a:ln>
      <a:noFill/>
    </a:ln>
  </c:spPr>
  <c:printSettings>
    <c:headerFooter/>
    <c:pageMargins b="0.75000000000000311" l="0.70000000000000062" r="0.70000000000000062" t="0.750000000000003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400"/>
              <a:t>Collection</a:t>
            </a:r>
            <a:r>
              <a:rPr lang="en-US" sz="1400" baseline="0"/>
              <a:t> and treatment of Wastewater</a:t>
            </a:r>
            <a:endParaRPr lang="en-US" sz="1400"/>
          </a:p>
        </c:rich>
      </c:tx>
      <c:layout>
        <c:manualLayout>
          <c:xMode val="edge"/>
          <c:yMode val="edge"/>
          <c:x val="0.20583139181681262"/>
          <c:y val="3.2234693276604456E-2"/>
        </c:manualLayout>
      </c:layout>
      <c:overlay val="1"/>
    </c:title>
    <c:autoTitleDeleted val="0"/>
    <c:plotArea>
      <c:layout>
        <c:manualLayout>
          <c:layoutTarget val="inner"/>
          <c:xMode val="edge"/>
          <c:yMode val="edge"/>
          <c:x val="0.21200893738426893"/>
          <c:y val="0.15012873794445519"/>
          <c:w val="0.71914785682149085"/>
          <c:h val="0.6264532007807746"/>
        </c:manualLayout>
      </c:layout>
      <c:barChart>
        <c:barDir val="bar"/>
        <c:grouping val="stacked"/>
        <c:varyColors val="0"/>
        <c:ser>
          <c:idx val="0"/>
          <c:order val="0"/>
          <c:invertIfNegative val="0"/>
          <c:dLbls>
            <c:dLbl>
              <c:idx val="1"/>
              <c:layout>
                <c:manualLayout>
                  <c:x val="1.7499998851706139E-2"/>
                  <c:y val="-5.3795809799167113E-3"/>
                </c:manualLayout>
              </c:layout>
              <c:tx>
                <c:rich>
                  <a:bodyPr/>
                  <a:lstStyle/>
                  <a:p>
                    <a:r>
                      <a:rPr lang="en-US" sz="1050"/>
                      <a:t>Safe </a:t>
                    </a:r>
                  </a:p>
                </c:rich>
              </c:tx>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7D9-44DC-B121-325669FAA0D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'WW calcu'!$C$1139:$C$1141</c:f>
              <c:strCache>
                <c:ptCount val="3"/>
                <c:pt idx="0">
                  <c:v>Generation</c:v>
                </c:pt>
                <c:pt idx="1">
                  <c:v>Collection</c:v>
                </c:pt>
                <c:pt idx="2">
                  <c:v>Treatment</c:v>
                </c:pt>
              </c:strCache>
            </c:strRef>
          </c:cat>
          <c:val>
            <c:numRef>
              <c:f>'WW calcu'!$D$1139:$D$1141</c:f>
              <c:numCache>
                <c:formatCode>_(* #,##0.00_);_(* \(#,##0.00\);_(*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AAC3-45C4-8E7F-4F2339F2490A}"/>
            </c:ext>
          </c:extLst>
        </c:ser>
        <c:ser>
          <c:idx val="1"/>
          <c:order val="1"/>
          <c:spPr>
            <a:solidFill>
              <a:schemeClr val="bg1">
                <a:lumMod val="65000"/>
              </a:schemeClr>
            </a:solidFill>
          </c:spPr>
          <c:invertIfNegative val="0"/>
          <c:dLbls>
            <c:dLbl>
              <c:idx val="1"/>
              <c:tx>
                <c:rich>
                  <a:bodyPr/>
                  <a:lstStyle/>
                  <a:p>
                    <a:r>
                      <a:rPr lang="en-US" sz="1050"/>
                      <a:t>Unsafe</a:t>
                    </a:r>
                    <a:r>
                      <a:rPr lang="en-US" sz="1050" baseline="0"/>
                      <a:t> means</a:t>
                    </a:r>
                    <a:endParaRPr lang="en-US" sz="1050"/>
                  </a:p>
                </c:rich>
              </c:tx>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7D9-44DC-B121-325669FAA0D0}"/>
                </c:ext>
              </c:extLst>
            </c:dLbl>
            <c:spPr>
              <a:noFill/>
              <a:ln>
                <a:noFill/>
              </a:ln>
              <a:effectLst/>
            </c:spPr>
            <c:txPr>
              <a:bodyPr/>
              <a:lstStyle/>
              <a:p>
                <a:pPr>
                  <a:defRPr lang="en-US" sz="1050"/>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'WW calcu'!$C$1139:$C$1141</c:f>
              <c:strCache>
                <c:ptCount val="3"/>
                <c:pt idx="0">
                  <c:v>Generation</c:v>
                </c:pt>
                <c:pt idx="1">
                  <c:v>Collection</c:v>
                </c:pt>
                <c:pt idx="2">
                  <c:v>Treatment</c:v>
                </c:pt>
              </c:strCache>
            </c:strRef>
          </c:cat>
          <c:val>
            <c:numRef>
              <c:f>'WW calcu'!$E$1139:$E$1141</c:f>
              <c:numCache>
                <c:formatCode>_(* #,##0.00_);_(* \(#,##0.00\);_(* "-"??_);_(@_)</c:formatCode>
                <c:ptCount val="3"/>
                <c:pt idx="1">
                  <c:v>0</c:v>
                </c:pt>
              </c:numCache>
            </c:numRef>
          </c:val>
          <c:extLst xmlns:c16r2="http://schemas.microsoft.com/office/drawing/2015/06/chart">
            <c:ext xmlns:c16="http://schemas.microsoft.com/office/drawing/2014/chart" uri="{C3380CC4-5D6E-409C-BE32-E72D297353CC}">
              <c16:uniqueId val="{00000003-AAC3-45C4-8E7F-4F2339F2490A}"/>
            </c:ext>
          </c:extLst>
        </c:ser>
        <c:dLbls>
          <c:showLegendKey val="0"/>
          <c:showVal val="0"/>
          <c:showCatName val="0"/>
          <c:showSerName val="0"/>
          <c:showPercent val="0"/>
          <c:showBubbleSize val="0"/>
        </c:dLbls>
        <c:gapWidth val="63"/>
        <c:overlap val="100"/>
        <c:axId val="581827072"/>
        <c:axId val="40574976"/>
      </c:barChart>
      <c:catAx>
        <c:axId val="581827072"/>
        <c:scaling>
          <c:orientation val="maxMin"/>
        </c:scaling>
        <c:delete val="0"/>
        <c:axPos val="l"/>
        <c:numFmt formatCode="General" sourceLinked="0"/>
        <c:majorTickMark val="out"/>
        <c:minorTickMark val="none"/>
        <c:tickLblPos val="nextTo"/>
        <c:txPr>
          <a:bodyPr/>
          <a:lstStyle/>
          <a:p>
            <a:pPr>
              <a:defRPr lang="en-US" sz="1100"/>
            </a:pPr>
            <a:endParaRPr lang="en-US"/>
          </a:p>
        </c:txPr>
        <c:crossAx val="40574976"/>
        <c:crosses val="autoZero"/>
        <c:auto val="1"/>
        <c:lblAlgn val="ctr"/>
        <c:lblOffset val="100"/>
        <c:noMultiLvlLbl val="0"/>
      </c:catAx>
      <c:valAx>
        <c:axId val="40574976"/>
        <c:scaling>
          <c:orientation val="minMax"/>
        </c:scaling>
        <c:delete val="0"/>
        <c:axPos val="t"/>
        <c:majorGridlines/>
        <c:title>
          <c:tx>
            <c:rich>
              <a:bodyPr/>
              <a:lstStyle/>
              <a:p>
                <a:pPr>
                  <a:defRPr lang="en-US" sz="1100"/>
                </a:pPr>
                <a:r>
                  <a:rPr lang="en-US" sz="1100"/>
                  <a:t>Waste</a:t>
                </a:r>
                <a:r>
                  <a:rPr lang="en-US" sz="1100" baseline="0"/>
                  <a:t>water in MLD</a:t>
                </a:r>
                <a:endParaRPr lang="en-US" sz="1100"/>
              </a:p>
            </c:rich>
          </c:tx>
          <c:layout>
            <c:manualLayout>
              <c:xMode val="edge"/>
              <c:yMode val="edge"/>
              <c:x val="0.42197119144514988"/>
              <c:y val="0.90368147728542914"/>
            </c:manualLayout>
          </c:layout>
          <c:overlay val="0"/>
        </c:title>
        <c:numFmt formatCode="_(* #,##0_);_(* \(#,##0\);_(* &quot;-&quot;_);_(@_)" sourceLinked="0"/>
        <c:majorTickMark val="out"/>
        <c:minorTickMark val="none"/>
        <c:tickLblPos val="high"/>
        <c:txPr>
          <a:bodyPr/>
          <a:lstStyle/>
          <a:p>
            <a:pPr>
              <a:defRPr lang="en-US"/>
            </a:pPr>
            <a:endParaRPr lang="en-US"/>
          </a:p>
        </c:txPr>
        <c:crossAx val="581827072"/>
        <c:crosses val="autoZero"/>
        <c:crossBetween val="between"/>
      </c:valAx>
      <c:spPr>
        <a:solidFill>
          <a:schemeClr val="bg1"/>
        </a:solidFill>
        <a:ln>
          <a:solidFill>
            <a:schemeClr val="tx1">
              <a:lumMod val="50000"/>
              <a:lumOff val="50000"/>
            </a:schemeClr>
          </a:solid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1465" l="0.70000000000000062" r="0.70000000000000062" t="0.75000000000001465"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4.xml"/></Relationships>
</file>

<file path=xl/chartsheets/sheet1.xml><?xml version="1.0" encoding="utf-8"?>
<chartsheet xmlns="http://schemas.openxmlformats.org/spreadsheetml/2006/main" xmlns:r="http://schemas.openxmlformats.org/officeDocument/2006/relationships">
  <sheetPr codeName="Chart11">
    <tabColor theme="5"/>
  </sheetPr>
  <sheetViews>
    <sheetView zoomScale="99" workbookViewId="0" zoomToFit="1"/>
  </sheetViews>
  <pageMargins left="0.7" right="0.7" top="0.75" bottom="0.75" header="0.3" footer="0.3"/>
  <drawing r:id="rId1"/>
</chartsheet>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fmlaLink="$U$87" lockText="1"/>
</file>

<file path=xl/ctrlProps/ctrlProp101.xml><?xml version="1.0" encoding="utf-8"?>
<formControlPr xmlns="http://schemas.microsoft.com/office/spreadsheetml/2009/9/main" objectType="CheckBox" fmlaLink="$U$88" lockText="1"/>
</file>

<file path=xl/ctrlProps/ctrlProp102.xml><?xml version="1.0" encoding="utf-8"?>
<formControlPr xmlns="http://schemas.microsoft.com/office/spreadsheetml/2009/9/main" objectType="CheckBox" fmlaLink="$U$89" lockText="1"/>
</file>

<file path=xl/ctrlProps/ctrlProp103.xml><?xml version="1.0" encoding="utf-8"?>
<formControlPr xmlns="http://schemas.microsoft.com/office/spreadsheetml/2009/9/main" objectType="CheckBox" fmlaLink="$U$90" lockText="1"/>
</file>

<file path=xl/ctrlProps/ctrlProp104.xml><?xml version="1.0" encoding="utf-8"?>
<formControlPr xmlns="http://schemas.microsoft.com/office/spreadsheetml/2009/9/main" objectType="CheckBox" fmlaLink="$U$75" lockText="1"/>
</file>

<file path=xl/ctrlProps/ctrlProp105.xml><?xml version="1.0" encoding="utf-8"?>
<formControlPr xmlns="http://schemas.microsoft.com/office/spreadsheetml/2009/9/main" objectType="CheckBox" fmlaLink="$U$76" lockText="1"/>
</file>

<file path=xl/ctrlProps/ctrlProp106.xml><?xml version="1.0" encoding="utf-8"?>
<formControlPr xmlns="http://schemas.microsoft.com/office/spreadsheetml/2009/9/main" objectType="CheckBox" fmlaLink="$U$77" lockText="1"/>
</file>

<file path=xl/ctrlProps/ctrlProp107.xml><?xml version="1.0" encoding="utf-8"?>
<formControlPr xmlns="http://schemas.microsoft.com/office/spreadsheetml/2009/9/main" objectType="CheckBox" fmlaLink="$U$91" lockText="1"/>
</file>

<file path=xl/ctrlProps/ctrlProp108.xml><?xml version="1.0" encoding="utf-8"?>
<formControlPr xmlns="http://schemas.microsoft.com/office/spreadsheetml/2009/9/main" objectType="CheckBox" fmlaLink="$U$94" lockText="1"/>
</file>

<file path=xl/ctrlProps/ctrlProp109.xml><?xml version="1.0" encoding="utf-8"?>
<formControlPr xmlns="http://schemas.microsoft.com/office/spreadsheetml/2009/9/main" objectType="CheckBox" fmlaLink="$U$100"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CheckBox" fmlaLink="$U$102" lockText="1"/>
</file>

<file path=xl/ctrlProps/ctrlProp111.xml><?xml version="1.0" encoding="utf-8"?>
<formControlPr xmlns="http://schemas.microsoft.com/office/spreadsheetml/2009/9/main" objectType="CheckBox" fmlaLink="$U$103" lockText="1"/>
</file>

<file path=xl/ctrlProps/ctrlProp112.xml><?xml version="1.0" encoding="utf-8"?>
<formControlPr xmlns="http://schemas.microsoft.com/office/spreadsheetml/2009/9/main" objectType="CheckBox" fmlaLink="$U$104" lockText="1"/>
</file>

<file path=xl/ctrlProps/ctrlProp113.xml><?xml version="1.0" encoding="utf-8"?>
<formControlPr xmlns="http://schemas.microsoft.com/office/spreadsheetml/2009/9/main" objectType="CheckBox" fmlaLink="$U$192" lockText="1"/>
</file>

<file path=xl/ctrlProps/ctrlProp114.xml><?xml version="1.0" encoding="utf-8"?>
<formControlPr xmlns="http://schemas.microsoft.com/office/spreadsheetml/2009/9/main" objectType="CheckBox" fmlaLink="$U$193" lockText="1"/>
</file>

<file path=xl/ctrlProps/ctrlProp115.xml><?xml version="1.0" encoding="utf-8"?>
<formControlPr xmlns="http://schemas.microsoft.com/office/spreadsheetml/2009/9/main" objectType="CheckBox" fmlaLink="$U$194" lockText="1"/>
</file>

<file path=xl/ctrlProps/ctrlProp116.xml><?xml version="1.0" encoding="utf-8"?>
<formControlPr xmlns="http://schemas.microsoft.com/office/spreadsheetml/2009/9/main" objectType="CheckBox" checked="Checked" fmlaLink="$U$195" lockText="1"/>
</file>

<file path=xl/ctrlProps/ctrlProp117.xml><?xml version="1.0" encoding="utf-8"?>
<formControlPr xmlns="http://schemas.microsoft.com/office/spreadsheetml/2009/9/main" objectType="CheckBox" checked="Checked" fmlaLink="$U$196" lockText="1"/>
</file>

<file path=xl/ctrlProps/ctrlProp118.xml><?xml version="1.0" encoding="utf-8"?>
<formControlPr xmlns="http://schemas.microsoft.com/office/spreadsheetml/2009/9/main" objectType="CheckBox" fmlaLink="$U$197" lockText="1"/>
</file>

<file path=xl/ctrlProps/ctrlProp119.xml><?xml version="1.0" encoding="utf-8"?>
<formControlPr xmlns="http://schemas.microsoft.com/office/spreadsheetml/2009/9/main" objectType="CheckBox" fmlaLink="$U$198"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CheckBox" fmlaLink="$U$199" lockText="1"/>
</file>

<file path=xl/ctrlProps/ctrlProp121.xml><?xml version="1.0" encoding="utf-8"?>
<formControlPr xmlns="http://schemas.microsoft.com/office/spreadsheetml/2009/9/main" objectType="CheckBox" checked="Checked" fmlaLink="$U$200" lockText="1"/>
</file>

<file path=xl/ctrlProps/ctrlProp122.xml><?xml version="1.0" encoding="utf-8"?>
<formControlPr xmlns="http://schemas.microsoft.com/office/spreadsheetml/2009/9/main" objectType="CheckBox" fmlaLink="$U$209" lockText="1"/>
</file>

<file path=xl/ctrlProps/ctrlProp123.xml><?xml version="1.0" encoding="utf-8"?>
<formControlPr xmlns="http://schemas.microsoft.com/office/spreadsheetml/2009/9/main" objectType="CheckBox" checked="Checked" fmlaLink="$U$212" lockText="1"/>
</file>

<file path=xl/ctrlProps/ctrlProp124.xml><?xml version="1.0" encoding="utf-8"?>
<formControlPr xmlns="http://schemas.microsoft.com/office/spreadsheetml/2009/9/main" objectType="CheckBox" checked="Checked" fmlaLink="$U$214" lockText="1"/>
</file>

<file path=xl/ctrlProps/ctrlProp125.xml><?xml version="1.0" encoding="utf-8"?>
<formControlPr xmlns="http://schemas.microsoft.com/office/spreadsheetml/2009/9/main" objectType="CheckBox" checked="Checked" fmlaLink="$U$215" lockText="1"/>
</file>

<file path=xl/ctrlProps/ctrlProp126.xml><?xml version="1.0" encoding="utf-8"?>
<formControlPr xmlns="http://schemas.microsoft.com/office/spreadsheetml/2009/9/main" objectType="CheckBox" fmlaLink="$U$218" lockText="1"/>
</file>

<file path=xl/ctrlProps/ctrlProp127.xml><?xml version="1.0" encoding="utf-8"?>
<formControlPr xmlns="http://schemas.microsoft.com/office/spreadsheetml/2009/9/main" objectType="CheckBox" checked="Checked" fmlaLink="$U$219" lockText="1"/>
</file>

<file path=xl/ctrlProps/ctrlProp128.xml><?xml version="1.0" encoding="utf-8"?>
<formControlPr xmlns="http://schemas.microsoft.com/office/spreadsheetml/2009/9/main" objectType="CheckBox" checked="Checked" fmlaLink="$U$216" lockText="1"/>
</file>

<file path=xl/ctrlProps/ctrlProp129.xml><?xml version="1.0" encoding="utf-8"?>
<formControlPr xmlns="http://schemas.microsoft.com/office/spreadsheetml/2009/9/main" objectType="CheckBox" checked="Checked" fmlaLink="$U$210"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CheckBox" checked="Checked" fmlaLink="$U$230" lockText="1"/>
</file>

<file path=xl/ctrlProps/ctrlProp131.xml><?xml version="1.0" encoding="utf-8"?>
<formControlPr xmlns="http://schemas.microsoft.com/office/spreadsheetml/2009/9/main" objectType="CheckBox" checked="Checked" fmlaLink="$U$234" lockText="1"/>
</file>

<file path=xl/ctrlProps/ctrlProp132.xml><?xml version="1.0" encoding="utf-8"?>
<formControlPr xmlns="http://schemas.microsoft.com/office/spreadsheetml/2009/9/main" objectType="CheckBox" checked="Checked" fmlaLink="$U$239" lockText="1"/>
</file>

<file path=xl/ctrlProps/ctrlProp133.xml><?xml version="1.0" encoding="utf-8"?>
<formControlPr xmlns="http://schemas.microsoft.com/office/spreadsheetml/2009/9/main" objectType="CheckBox" checked="Checked" fmlaLink="$U$227" lockText="1"/>
</file>

<file path=xl/ctrlProps/ctrlProp134.xml><?xml version="1.0" encoding="utf-8"?>
<formControlPr xmlns="http://schemas.microsoft.com/office/spreadsheetml/2009/9/main" objectType="CheckBox" fmlaLink="$U$228" lockText="1"/>
</file>

<file path=xl/ctrlProps/ctrlProp135.xml><?xml version="1.0" encoding="utf-8"?>
<formControlPr xmlns="http://schemas.microsoft.com/office/spreadsheetml/2009/9/main" objectType="CheckBox" fmlaLink="$U$231" lockText="1"/>
</file>

<file path=xl/ctrlProps/ctrlProp136.xml><?xml version="1.0" encoding="utf-8"?>
<formControlPr xmlns="http://schemas.microsoft.com/office/spreadsheetml/2009/9/main" objectType="CheckBox" checked="Checked" fmlaLink="$U$232" lockText="1"/>
</file>

<file path=xl/ctrlProps/ctrlProp137.xml><?xml version="1.0" encoding="utf-8"?>
<formControlPr xmlns="http://schemas.microsoft.com/office/spreadsheetml/2009/9/main" objectType="CheckBox" fmlaLink="$U$233" lockText="1"/>
</file>

<file path=xl/ctrlProps/ctrlProp138.xml><?xml version="1.0" encoding="utf-8"?>
<formControlPr xmlns="http://schemas.microsoft.com/office/spreadsheetml/2009/9/main" objectType="CheckBox" checked="Checked" fmlaLink="$U$236" lockText="1"/>
</file>

<file path=xl/ctrlProps/ctrlProp139.xml><?xml version="1.0" encoding="utf-8"?>
<formControlPr xmlns="http://schemas.microsoft.com/office/spreadsheetml/2009/9/main" objectType="CheckBox" checked="Checked" fmlaLink="$U$238" lockText="1"/>
</file>

<file path=xl/ctrlProps/ctrlProp14.xml><?xml version="1.0" encoding="utf-8"?>
<formControlPr xmlns="http://schemas.microsoft.com/office/spreadsheetml/2009/9/main" objectType="CheckBox" checked="Checked" fmlaLink="$E$14" lockText="1" noThreeD="1"/>
</file>

<file path=xl/ctrlProps/ctrlProp140.xml><?xml version="1.0" encoding="utf-8"?>
<formControlPr xmlns="http://schemas.microsoft.com/office/spreadsheetml/2009/9/main" objectType="CheckBox" checked="Checked" fmlaLink="$U$225" lockText="1"/>
</file>

<file path=xl/ctrlProps/ctrlProp141.xml><?xml version="1.0" encoding="utf-8"?>
<formControlPr xmlns="http://schemas.microsoft.com/office/spreadsheetml/2009/9/main" objectType="CheckBox" checked="Checked" fmlaLink="$U$237" lockText="1"/>
</file>

<file path=xl/ctrlProps/ctrlProp142.xml><?xml version="1.0" encoding="utf-8"?>
<formControlPr xmlns="http://schemas.microsoft.com/office/spreadsheetml/2009/9/main" objectType="CheckBox" checked="Checked" fmlaLink="$U$245" lockText="1"/>
</file>

<file path=xl/ctrlProps/ctrlProp143.xml><?xml version="1.0" encoding="utf-8"?>
<formControlPr xmlns="http://schemas.microsoft.com/office/spreadsheetml/2009/9/main" objectType="CheckBox" fmlaLink="$U$246" lockText="1"/>
</file>

<file path=xl/ctrlProps/ctrlProp144.xml><?xml version="1.0" encoding="utf-8"?>
<formControlPr xmlns="http://schemas.microsoft.com/office/spreadsheetml/2009/9/main" objectType="CheckBox" checked="Checked" fmlaLink="$U$247" lockText="1"/>
</file>

<file path=xl/ctrlProps/ctrlProp145.xml><?xml version="1.0" encoding="utf-8"?>
<formControlPr xmlns="http://schemas.microsoft.com/office/spreadsheetml/2009/9/main" objectType="CheckBox" fmlaLink="$U$248" lockText="1"/>
</file>

<file path=xl/ctrlProps/ctrlProp146.xml><?xml version="1.0" encoding="utf-8"?>
<formControlPr xmlns="http://schemas.microsoft.com/office/spreadsheetml/2009/9/main" objectType="CheckBox" checked="Checked" fmlaLink="$U$250" lockText="1"/>
</file>

<file path=xl/ctrlProps/ctrlProp147.xml><?xml version="1.0" encoding="utf-8"?>
<formControlPr xmlns="http://schemas.microsoft.com/office/spreadsheetml/2009/9/main" objectType="CheckBox" fmlaLink="$U$252" lockText="1"/>
</file>

<file path=xl/ctrlProps/ctrlProp148.xml><?xml version="1.0" encoding="utf-8"?>
<formControlPr xmlns="http://schemas.microsoft.com/office/spreadsheetml/2009/9/main" objectType="CheckBox" fmlaLink="$U$253" lockText="1"/>
</file>

<file path=xl/ctrlProps/ctrlProp149.xml><?xml version="1.0" encoding="utf-8"?>
<formControlPr xmlns="http://schemas.microsoft.com/office/spreadsheetml/2009/9/main" objectType="CheckBox" fmlaLink="$U$261" lockText="1"/>
</file>

<file path=xl/ctrlProps/ctrlProp15.xml><?xml version="1.0" encoding="utf-8"?>
<formControlPr xmlns="http://schemas.microsoft.com/office/spreadsheetml/2009/9/main" objectType="CheckBox" checked="Checked" fmlaLink="$F$14" lockText="1" noThreeD="1"/>
</file>

<file path=xl/ctrlProps/ctrlProp150.xml><?xml version="1.0" encoding="utf-8"?>
<formControlPr xmlns="http://schemas.microsoft.com/office/spreadsheetml/2009/9/main" objectType="CheckBox" fmlaLink="$U$259" lockText="1"/>
</file>

<file path=xl/ctrlProps/ctrlProp151.xml><?xml version="1.0" encoding="utf-8"?>
<formControlPr xmlns="http://schemas.microsoft.com/office/spreadsheetml/2009/9/main" objectType="CheckBox" fmlaLink="$U$43" lockText="1"/>
</file>

<file path=xl/ctrlProps/ctrlProp152.xml><?xml version="1.0" encoding="utf-8"?>
<formControlPr xmlns="http://schemas.microsoft.com/office/spreadsheetml/2009/9/main" objectType="CheckBox" fmlaLink="$U$44" lockText="1"/>
</file>

<file path=xl/ctrlProps/ctrlProp153.xml><?xml version="1.0" encoding="utf-8"?>
<formControlPr xmlns="http://schemas.microsoft.com/office/spreadsheetml/2009/9/main" objectType="CheckBox" fmlaLink="$U$40" lockText="1"/>
</file>

<file path=xl/ctrlProps/ctrlProp154.xml><?xml version="1.0" encoding="utf-8"?>
<formControlPr xmlns="http://schemas.microsoft.com/office/spreadsheetml/2009/9/main" objectType="CheckBox" fmlaLink="$U$46" lockText="1"/>
</file>

<file path=xl/ctrlProps/ctrlProp155.xml><?xml version="1.0" encoding="utf-8"?>
<formControlPr xmlns="http://schemas.microsoft.com/office/spreadsheetml/2009/9/main" objectType="CheckBox" fmlaLink="$U$47" lockText="1"/>
</file>

<file path=xl/ctrlProps/ctrlProp156.xml><?xml version="1.0" encoding="utf-8"?>
<formControlPr xmlns="http://schemas.microsoft.com/office/spreadsheetml/2009/9/main" objectType="CheckBox" fmlaLink="$U$48" lockText="1"/>
</file>

<file path=xl/ctrlProps/ctrlProp157.xml><?xml version="1.0" encoding="utf-8"?>
<formControlPr xmlns="http://schemas.microsoft.com/office/spreadsheetml/2009/9/main" objectType="CheckBox" fmlaLink="$U$50" lockText="1"/>
</file>

<file path=xl/ctrlProps/ctrlProp158.xml><?xml version="1.0" encoding="utf-8"?>
<formControlPr xmlns="http://schemas.microsoft.com/office/spreadsheetml/2009/9/main" objectType="CheckBox" fmlaLink="$U$51" lockText="1"/>
</file>

<file path=xl/ctrlProps/ctrlProp159.xml><?xml version="1.0" encoding="utf-8"?>
<formControlPr xmlns="http://schemas.microsoft.com/office/spreadsheetml/2009/9/main" objectType="CheckBox" fmlaLink="$U$41" lockText="1"/>
</file>

<file path=xl/ctrlProps/ctrlProp16.xml><?xml version="1.0" encoding="utf-8"?>
<formControlPr xmlns="http://schemas.microsoft.com/office/spreadsheetml/2009/9/main" objectType="CheckBox" checked="Checked" fmlaLink="$G$14" lockText="1" noThreeD="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CheckBox" fmlaLink="$AA$20" lockText="1" noThreeD="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checked="Checked" fmlaLink="$H$14" lockText="1" noThreeD="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Radio" checked="Checked" firstButton="1" fmlaLink="$AH$52"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CheckBox" checked="Checked" fmlaLink="$AY$80" lockText="1"/>
</file>

<file path=xl/ctrlProps/ctrlProp179.xml><?xml version="1.0" encoding="utf-8"?>
<formControlPr xmlns="http://schemas.microsoft.com/office/spreadsheetml/2009/9/main" objectType="CheckBox" checked="Checked" fmlaLink="$AY$80" lockText="1"/>
</file>

<file path=xl/ctrlProps/ctrlProp18.xml><?xml version="1.0" encoding="utf-8"?>
<formControlPr xmlns="http://schemas.microsoft.com/office/spreadsheetml/2009/9/main" objectType="CheckBox" checked="Checked" fmlaLink="$I$14" lockText="1" noThreeD="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CheckBox" fmlaLink="$Z$15" lockText="1" noThreeD="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REF!"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checked="Checked" fmlaLink="$J$14"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checked="Checked" fmlaLink="$U$113" lockText="1"/>
</file>

<file path=xl/ctrlProps/ctrlProp23.xml><?xml version="1.0" encoding="utf-8"?>
<formControlPr xmlns="http://schemas.microsoft.com/office/spreadsheetml/2009/9/main" objectType="CheckBox" checked="Checked" fmlaLink="$U$114" lockText="1"/>
</file>

<file path=xl/ctrlProps/ctrlProp24.xml><?xml version="1.0" encoding="utf-8"?>
<formControlPr xmlns="http://schemas.microsoft.com/office/spreadsheetml/2009/9/main" objectType="CheckBox" checked="Checked" fmlaLink="$U$112" lockText="1"/>
</file>

<file path=xl/ctrlProps/ctrlProp25.xml><?xml version="1.0" encoding="utf-8"?>
<formControlPr xmlns="http://schemas.microsoft.com/office/spreadsheetml/2009/9/main" objectType="CheckBox" checked="Checked" fmlaLink="$U$111" lockText="1"/>
</file>

<file path=xl/ctrlProps/ctrlProp26.xml><?xml version="1.0" encoding="utf-8"?>
<formControlPr xmlns="http://schemas.microsoft.com/office/spreadsheetml/2009/9/main" objectType="CheckBox" fmlaLink="$U$118" lockText="1"/>
</file>

<file path=xl/ctrlProps/ctrlProp27.xml><?xml version="1.0" encoding="utf-8"?>
<formControlPr xmlns="http://schemas.microsoft.com/office/spreadsheetml/2009/9/main" objectType="CheckBox" checked="Checked" fmlaLink="$U$115" lockText="1"/>
</file>

<file path=xl/ctrlProps/ctrlProp28.xml><?xml version="1.0" encoding="utf-8"?>
<formControlPr xmlns="http://schemas.microsoft.com/office/spreadsheetml/2009/9/main" objectType="CheckBox" checked="Checked" fmlaLink="$U$116" lockText="1"/>
</file>

<file path=xl/ctrlProps/ctrlProp29.xml><?xml version="1.0" encoding="utf-8"?>
<formControlPr xmlns="http://schemas.microsoft.com/office/spreadsheetml/2009/9/main" objectType="CheckBox" fmlaLink="$U$119"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fmlaLink="$U$120" lockText="1"/>
</file>

<file path=xl/ctrlProps/ctrlProp31.xml><?xml version="1.0" encoding="utf-8"?>
<formControlPr xmlns="http://schemas.microsoft.com/office/spreadsheetml/2009/9/main" objectType="CheckBox" fmlaLink="$U$128" lockText="1"/>
</file>

<file path=xl/ctrlProps/ctrlProp32.xml><?xml version="1.0" encoding="utf-8"?>
<formControlPr xmlns="http://schemas.microsoft.com/office/spreadsheetml/2009/9/main" objectType="CheckBox" checked="Checked" fmlaLink="$U$129" lockText="1"/>
</file>

<file path=xl/ctrlProps/ctrlProp33.xml><?xml version="1.0" encoding="utf-8"?>
<formControlPr xmlns="http://schemas.microsoft.com/office/spreadsheetml/2009/9/main" objectType="CheckBox" checked="Checked" fmlaLink="$U$149" lockText="1"/>
</file>

<file path=xl/ctrlProps/ctrlProp34.xml><?xml version="1.0" encoding="utf-8"?>
<formControlPr xmlns="http://schemas.microsoft.com/office/spreadsheetml/2009/9/main" objectType="CheckBox" checked="Checked" fmlaLink="$U$132" lockText="1"/>
</file>

<file path=xl/ctrlProps/ctrlProp35.xml><?xml version="1.0" encoding="utf-8"?>
<formControlPr xmlns="http://schemas.microsoft.com/office/spreadsheetml/2009/9/main" objectType="CheckBox" checked="Checked" fmlaLink="$U$136" lockText="1"/>
</file>

<file path=xl/ctrlProps/ctrlProp36.xml><?xml version="1.0" encoding="utf-8"?>
<formControlPr xmlns="http://schemas.microsoft.com/office/spreadsheetml/2009/9/main" objectType="CheckBox" fmlaLink="$U$135" lockText="1"/>
</file>

<file path=xl/ctrlProps/ctrlProp37.xml><?xml version="1.0" encoding="utf-8"?>
<formControlPr xmlns="http://schemas.microsoft.com/office/spreadsheetml/2009/9/main" objectType="CheckBox" fmlaLink="$U$152" lockText="1"/>
</file>

<file path=xl/ctrlProps/ctrlProp38.xml><?xml version="1.0" encoding="utf-8"?>
<formControlPr xmlns="http://schemas.microsoft.com/office/spreadsheetml/2009/9/main" objectType="CheckBox" fmlaLink="$U$153" lockText="1"/>
</file>

<file path=xl/ctrlProps/ctrlProp39.xml><?xml version="1.0" encoding="utf-8"?>
<formControlPr xmlns="http://schemas.microsoft.com/office/spreadsheetml/2009/9/main" objectType="CheckBox" fmlaLink="$U$142"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U$143" lockText="1"/>
</file>

<file path=xl/ctrlProps/ctrlProp41.xml><?xml version="1.0" encoding="utf-8"?>
<formControlPr xmlns="http://schemas.microsoft.com/office/spreadsheetml/2009/9/main" objectType="CheckBox" checked="Checked" fmlaLink="$U$140" lockText="1"/>
</file>

<file path=xl/ctrlProps/ctrlProp42.xml><?xml version="1.0" encoding="utf-8"?>
<formControlPr xmlns="http://schemas.microsoft.com/office/spreadsheetml/2009/9/main" objectType="CheckBox" fmlaLink="$U$162" lockText="1"/>
</file>

<file path=xl/ctrlProps/ctrlProp43.xml><?xml version="1.0" encoding="utf-8"?>
<formControlPr xmlns="http://schemas.microsoft.com/office/spreadsheetml/2009/9/main" objectType="CheckBox" checked="Checked" fmlaLink="$U$138" lockText="1"/>
</file>

<file path=xl/ctrlProps/ctrlProp44.xml><?xml version="1.0" encoding="utf-8"?>
<formControlPr xmlns="http://schemas.microsoft.com/office/spreadsheetml/2009/9/main" objectType="CheckBox" fmlaLink="$U$130" lockText="1"/>
</file>

<file path=xl/ctrlProps/ctrlProp45.xml><?xml version="1.0" encoding="utf-8"?>
<formControlPr xmlns="http://schemas.microsoft.com/office/spreadsheetml/2009/9/main" objectType="CheckBox" fmlaLink="$U$173" lockText="1"/>
</file>

<file path=xl/ctrlProps/ctrlProp46.xml><?xml version="1.0" encoding="utf-8"?>
<formControlPr xmlns="http://schemas.microsoft.com/office/spreadsheetml/2009/9/main" objectType="CheckBox" fmlaLink="$U$174" lockText="1"/>
</file>

<file path=xl/ctrlProps/ctrlProp47.xml><?xml version="1.0" encoding="utf-8"?>
<formControlPr xmlns="http://schemas.microsoft.com/office/spreadsheetml/2009/9/main" objectType="CheckBox" fmlaLink="$U$177" lockText="1"/>
</file>

<file path=xl/ctrlProps/ctrlProp48.xml><?xml version="1.0" encoding="utf-8"?>
<formControlPr xmlns="http://schemas.microsoft.com/office/spreadsheetml/2009/9/main" objectType="CheckBox" fmlaLink="$U$178" lockText="1"/>
</file>

<file path=xl/ctrlProps/ctrlProp49.xml><?xml version="1.0" encoding="utf-8"?>
<formControlPr xmlns="http://schemas.microsoft.com/office/spreadsheetml/2009/9/main" objectType="CheckBox" fmlaLink="$U$176"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checked="Checked" fmlaLink="$U$163" lockText="1"/>
</file>

<file path=xl/ctrlProps/ctrlProp51.xml><?xml version="1.0" encoding="utf-8"?>
<formControlPr xmlns="http://schemas.microsoft.com/office/spreadsheetml/2009/9/main" objectType="CheckBox" checked="Checked" fmlaLink="$U$164" lockText="1"/>
</file>

<file path=xl/ctrlProps/ctrlProp52.xml><?xml version="1.0" encoding="utf-8"?>
<formControlPr xmlns="http://schemas.microsoft.com/office/spreadsheetml/2009/9/main" objectType="CheckBox" checked="Checked" fmlaLink="$U$165" lockText="1"/>
</file>

<file path=xl/ctrlProps/ctrlProp53.xml><?xml version="1.0" encoding="utf-8"?>
<formControlPr xmlns="http://schemas.microsoft.com/office/spreadsheetml/2009/9/main" objectType="CheckBox" fmlaLink="$U$166" lockText="1"/>
</file>

<file path=xl/ctrlProps/ctrlProp54.xml><?xml version="1.0" encoding="utf-8"?>
<formControlPr xmlns="http://schemas.microsoft.com/office/spreadsheetml/2009/9/main" objectType="CheckBox" checked="Checked" fmlaLink="$U$150" lockText="1"/>
</file>

<file path=xl/ctrlProps/ctrlProp55.xml><?xml version="1.0" encoding="utf-8"?>
<formControlPr xmlns="http://schemas.microsoft.com/office/spreadsheetml/2009/9/main" objectType="CheckBox" checked="Checked" fmlaLink="$U$157" lockText="1"/>
</file>

<file path=xl/ctrlProps/ctrlProp56.xml><?xml version="1.0" encoding="utf-8"?>
<formControlPr xmlns="http://schemas.microsoft.com/office/spreadsheetml/2009/9/main" objectType="CheckBox" fmlaLink="$U$156" lockText="1"/>
</file>

<file path=xl/ctrlProps/ctrlProp57.xml><?xml version="1.0" encoding="utf-8"?>
<formControlPr xmlns="http://schemas.microsoft.com/office/spreadsheetml/2009/9/main" objectType="CheckBox" fmlaLink="$U$154" lockText="1"/>
</file>

<file path=xl/ctrlProps/ctrlProp58.xml><?xml version="1.0" encoding="utf-8"?>
<formControlPr xmlns="http://schemas.microsoft.com/office/spreadsheetml/2009/9/main" objectType="CheckBox" checked="Checked" fmlaLink="$U$167" lockText="1"/>
</file>

<file path=xl/ctrlProps/ctrlProp59.xml><?xml version="1.0" encoding="utf-8"?>
<formControlPr xmlns="http://schemas.microsoft.com/office/spreadsheetml/2009/9/main" objectType="CheckBox" fmlaLink="$U$184"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U$186" lockText="1"/>
</file>

<file path=xl/ctrlProps/ctrlProp61.xml><?xml version="1.0" encoding="utf-8"?>
<formControlPr xmlns="http://schemas.microsoft.com/office/spreadsheetml/2009/9/main" objectType="CheckBox" fmlaLink="$U$158" lockText="1"/>
</file>

<file path=xl/ctrlProps/ctrlProp62.xml><?xml version="1.0" encoding="utf-8"?>
<formControlPr xmlns="http://schemas.microsoft.com/office/spreadsheetml/2009/9/main" objectType="CheckBox" fmlaLink="$U$155" lockText="1"/>
</file>

<file path=xl/ctrlProps/ctrlProp63.xml><?xml version="1.0" encoding="utf-8"?>
<formControlPr xmlns="http://schemas.microsoft.com/office/spreadsheetml/2009/9/main" objectType="CheckBox" checked="Checked" fmlaLink="$U$134" lockText="1"/>
</file>

<file path=xl/ctrlProps/ctrlProp64.xml><?xml version="1.0" encoding="utf-8"?>
<formControlPr xmlns="http://schemas.microsoft.com/office/spreadsheetml/2009/9/main" objectType="CheckBox" fmlaLink="$U$160" lockText="1"/>
</file>

<file path=xl/ctrlProps/ctrlProp65.xml><?xml version="1.0" encoding="utf-8"?>
<formControlPr xmlns="http://schemas.microsoft.com/office/spreadsheetml/2009/9/main" objectType="CheckBox" checked="Checked" fmlaLink="$U$161" lockText="1"/>
</file>

<file path=xl/ctrlProps/ctrlProp66.xml><?xml version="1.0" encoding="utf-8"?>
<formControlPr xmlns="http://schemas.microsoft.com/office/spreadsheetml/2009/9/main" objectType="CheckBox" checked="Checked" fmlaLink="$U$117" lockText="1"/>
</file>

<file path=xl/ctrlProps/ctrlProp67.xml><?xml version="1.0" encoding="utf-8"?>
<formControlPr xmlns="http://schemas.microsoft.com/office/spreadsheetml/2009/9/main" objectType="CheckBox" fmlaLink="$U$137"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checked="Checked" fmlaLink="$U$141" lockText="1"/>
</file>

<file path=xl/ctrlProps/ctrlProp71.xml><?xml version="1.0" encoding="utf-8"?>
<formControlPr xmlns="http://schemas.microsoft.com/office/spreadsheetml/2009/9/main" objectType="CheckBox" fmlaLink="$U$22" lockText="1"/>
</file>

<file path=xl/ctrlProps/ctrlProp72.xml><?xml version="1.0" encoding="utf-8"?>
<formControlPr xmlns="http://schemas.microsoft.com/office/spreadsheetml/2009/9/main" objectType="CheckBox" fmlaLink="$U$23" lockText="1"/>
</file>

<file path=xl/ctrlProps/ctrlProp73.xml><?xml version="1.0" encoding="utf-8"?>
<formControlPr xmlns="http://schemas.microsoft.com/office/spreadsheetml/2009/9/main" objectType="CheckBox" fmlaLink="$U$24" lockText="1"/>
</file>

<file path=xl/ctrlProps/ctrlProp74.xml><?xml version="1.0" encoding="utf-8"?>
<formControlPr xmlns="http://schemas.microsoft.com/office/spreadsheetml/2009/9/main" objectType="CheckBox" fmlaLink="$U$25" lockText="1"/>
</file>

<file path=xl/ctrlProps/ctrlProp75.xml><?xml version="1.0" encoding="utf-8"?>
<formControlPr xmlns="http://schemas.microsoft.com/office/spreadsheetml/2009/9/main" objectType="CheckBox" fmlaLink="$U$26" lockText="1"/>
</file>

<file path=xl/ctrlProps/ctrlProp76.xml><?xml version="1.0" encoding="utf-8"?>
<formControlPr xmlns="http://schemas.microsoft.com/office/spreadsheetml/2009/9/main" objectType="CheckBox" fmlaLink="$U$27" lockText="1"/>
</file>

<file path=xl/ctrlProps/ctrlProp77.xml><?xml version="1.0" encoding="utf-8"?>
<formControlPr xmlns="http://schemas.microsoft.com/office/spreadsheetml/2009/9/main" objectType="CheckBox" fmlaLink="$U$28" lockText="1"/>
</file>

<file path=xl/ctrlProps/ctrlProp78.xml><?xml version="1.0" encoding="utf-8"?>
<formControlPr xmlns="http://schemas.microsoft.com/office/spreadsheetml/2009/9/main" objectType="CheckBox" fmlaLink="$U$29" lockText="1"/>
</file>

<file path=xl/ctrlProps/ctrlProp79.xml><?xml version="1.0" encoding="utf-8"?>
<formControlPr xmlns="http://schemas.microsoft.com/office/spreadsheetml/2009/9/main" objectType="CheckBox" fmlaLink="$U$30"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U$31" lockText="1"/>
</file>

<file path=xl/ctrlProps/ctrlProp81.xml><?xml version="1.0" encoding="utf-8"?>
<formControlPr xmlns="http://schemas.microsoft.com/office/spreadsheetml/2009/9/main" objectType="CheckBox" fmlaLink="$U$57" lockText="1"/>
</file>

<file path=xl/ctrlProps/ctrlProp82.xml><?xml version="1.0" encoding="utf-8"?>
<formControlPr xmlns="http://schemas.microsoft.com/office/spreadsheetml/2009/9/main" objectType="CheckBox" fmlaLink="$U$59" lockText="1"/>
</file>

<file path=xl/ctrlProps/ctrlProp83.xml><?xml version="1.0" encoding="utf-8"?>
<formControlPr xmlns="http://schemas.microsoft.com/office/spreadsheetml/2009/9/main" objectType="CheckBox" fmlaLink="$U$60" lockText="1"/>
</file>

<file path=xl/ctrlProps/ctrlProp84.xml><?xml version="1.0" encoding="utf-8"?>
<formControlPr xmlns="http://schemas.microsoft.com/office/spreadsheetml/2009/9/main" objectType="CheckBox" fmlaLink="$U$61" lockText="1"/>
</file>

<file path=xl/ctrlProps/ctrlProp85.xml><?xml version="1.0" encoding="utf-8"?>
<formControlPr xmlns="http://schemas.microsoft.com/office/spreadsheetml/2009/9/main" objectType="CheckBox" fmlaLink="$U$63" lockText="1"/>
</file>

<file path=xl/ctrlProps/ctrlProp86.xml><?xml version="1.0" encoding="utf-8"?>
<formControlPr xmlns="http://schemas.microsoft.com/office/spreadsheetml/2009/9/main" objectType="CheckBox" fmlaLink="$U$64" lockText="1"/>
</file>

<file path=xl/ctrlProps/ctrlProp87.xml><?xml version="1.0" encoding="utf-8"?>
<formControlPr xmlns="http://schemas.microsoft.com/office/spreadsheetml/2009/9/main" objectType="CheckBox" fmlaLink="$U$65" lockText="1"/>
</file>

<file path=xl/ctrlProps/ctrlProp88.xml><?xml version="1.0" encoding="utf-8"?>
<formControlPr xmlns="http://schemas.microsoft.com/office/spreadsheetml/2009/9/main" objectType="CheckBox" fmlaLink="$U$66" lockText="1"/>
</file>

<file path=xl/ctrlProps/ctrlProp89.xml><?xml version="1.0" encoding="utf-8"?>
<formControlPr xmlns="http://schemas.microsoft.com/office/spreadsheetml/2009/9/main" objectType="CheckBox" fmlaLink="$U$81"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U$92" lockText="1"/>
</file>

<file path=xl/ctrlProps/ctrlProp91.xml><?xml version="1.0" encoding="utf-8"?>
<formControlPr xmlns="http://schemas.microsoft.com/office/spreadsheetml/2009/9/main" objectType="CheckBox" fmlaLink="$U$72" lockText="1"/>
</file>

<file path=xl/ctrlProps/ctrlProp92.xml><?xml version="1.0" encoding="utf-8"?>
<formControlPr xmlns="http://schemas.microsoft.com/office/spreadsheetml/2009/9/main" objectType="CheckBox" fmlaLink="$U$73" lockText="1"/>
</file>

<file path=xl/ctrlProps/ctrlProp93.xml><?xml version="1.0" encoding="utf-8"?>
<formControlPr xmlns="http://schemas.microsoft.com/office/spreadsheetml/2009/9/main" objectType="CheckBox" fmlaLink="$U$74" lockText="1"/>
</file>

<file path=xl/ctrlProps/ctrlProp94.xml><?xml version="1.0" encoding="utf-8"?>
<formControlPr xmlns="http://schemas.microsoft.com/office/spreadsheetml/2009/9/main" objectType="CheckBox" fmlaLink="$U$79" lockText="1"/>
</file>

<file path=xl/ctrlProps/ctrlProp95.xml><?xml version="1.0" encoding="utf-8"?>
<formControlPr xmlns="http://schemas.microsoft.com/office/spreadsheetml/2009/9/main" objectType="CheckBox" fmlaLink="$U$80" lockText="1"/>
</file>

<file path=xl/ctrlProps/ctrlProp96.xml><?xml version="1.0" encoding="utf-8"?>
<formControlPr xmlns="http://schemas.microsoft.com/office/spreadsheetml/2009/9/main" objectType="CheckBox" fmlaLink="$U$83" lockText="1"/>
</file>

<file path=xl/ctrlProps/ctrlProp97.xml><?xml version="1.0" encoding="utf-8"?>
<formControlPr xmlns="http://schemas.microsoft.com/office/spreadsheetml/2009/9/main" objectType="CheckBox" fmlaLink="$U$84" lockText="1"/>
</file>

<file path=xl/ctrlProps/ctrlProp98.xml><?xml version="1.0" encoding="utf-8"?>
<formControlPr xmlns="http://schemas.microsoft.com/office/spreadsheetml/2009/9/main" objectType="CheckBox" fmlaLink="$U$85" lockText="1"/>
</file>

<file path=xl/ctrlProps/ctrlProp99.xml><?xml version="1.0" encoding="utf-8"?>
<formControlPr xmlns="http://schemas.microsoft.com/office/spreadsheetml/2009/9/main" objectType="CheckBox" fmlaLink="$U$86" lockText="1"/>
</file>

<file path=xl/diagrams/_rels/data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iagrams/_rels/drawing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0C41A3C-C4A1-43CA-B264-26708388FA8F}" type="doc">
      <dgm:prSet loTypeId="urn:microsoft.com/office/officeart/2005/8/layout/vList4#1" loCatId="list" qsTypeId="urn:microsoft.com/office/officeart/2005/8/quickstyle/simple1" qsCatId="simple" csTypeId="urn:microsoft.com/office/officeart/2005/8/colors/accent1_2" csCatId="accent1" phldr="1"/>
      <dgm:spPr/>
      <dgm:t>
        <a:bodyPr/>
        <a:lstStyle/>
        <a:p>
          <a:endParaRPr lang="en-IN"/>
        </a:p>
      </dgm:t>
    </dgm:pt>
    <dgm:pt modelId="{D4E726F0-F839-4131-A45B-9F1779983A75}">
      <dgm:prSet phldrT="[Text]" custT="1"/>
      <dgm:spPr>
        <a:solidFill>
          <a:schemeClr val="accent1">
            <a:lumMod val="40000"/>
            <a:lumOff val="60000"/>
          </a:schemeClr>
        </a:solidFill>
      </dgm:spPr>
      <dgm:t>
        <a:bodyPr/>
        <a:lstStyle/>
        <a:p>
          <a:r>
            <a:rPr lang="en-US" sz="1600" b="1" dirty="0">
              <a:solidFill>
                <a:schemeClr val="bg2">
                  <a:lumMod val="25000"/>
                </a:schemeClr>
              </a:solidFill>
              <a:latin typeface="+mn-lt"/>
            </a:rPr>
            <a:t>I) PERFORMANCE ASSESSMENT</a:t>
          </a:r>
          <a:endParaRPr lang="en-IN" sz="1600" b="1" dirty="0">
            <a:solidFill>
              <a:schemeClr val="bg2">
                <a:lumMod val="25000"/>
              </a:schemeClr>
            </a:solidFill>
            <a:latin typeface="+mn-lt"/>
          </a:endParaRPr>
        </a:p>
      </dgm:t>
    </dgm:pt>
    <dgm:pt modelId="{7F31C20F-4BC5-46BD-A479-4D419BD304F0}" type="parTrans" cxnId="{C59C6D39-D10E-437F-8114-39B4EC17D92C}">
      <dgm:prSet/>
      <dgm:spPr/>
      <dgm:t>
        <a:bodyPr/>
        <a:lstStyle/>
        <a:p>
          <a:endParaRPr lang="en-IN" b="1">
            <a:latin typeface="Palatino Linotype" pitchFamily="18" charset="0"/>
          </a:endParaRPr>
        </a:p>
      </dgm:t>
    </dgm:pt>
    <dgm:pt modelId="{5A7E703D-3C6A-406E-B3A0-7EA59A72100C}" type="sibTrans" cxnId="{C59C6D39-D10E-437F-8114-39B4EC17D92C}">
      <dgm:prSet/>
      <dgm:spPr/>
      <dgm:t>
        <a:bodyPr/>
        <a:lstStyle/>
        <a:p>
          <a:endParaRPr lang="en-IN" b="1">
            <a:latin typeface="Palatino Linotype" pitchFamily="18" charset="0"/>
          </a:endParaRPr>
        </a:p>
      </dgm:t>
    </dgm:pt>
    <dgm:pt modelId="{513DD3BD-DA32-45EA-8E45-6146E757E978}">
      <dgm:prSet phldrT="[Text]" custT="1"/>
      <dgm:spPr>
        <a:solidFill>
          <a:schemeClr val="accent1">
            <a:lumMod val="40000"/>
            <a:lumOff val="60000"/>
          </a:schemeClr>
        </a:solidFill>
      </dgm:spPr>
      <dgm:t>
        <a:bodyPr/>
        <a:lstStyle/>
        <a:p>
          <a:r>
            <a:rPr lang="en-US" sz="1400" b="1" dirty="0">
              <a:latin typeface="+mn-lt"/>
              <a:ea typeface="Arial Unicode MS" pitchFamily="34" charset="-128"/>
              <a:cs typeface="Arial Unicode MS" pitchFamily="34" charset="-128"/>
            </a:rPr>
            <a:t>Assessment through performance indicators</a:t>
          </a:r>
          <a:endParaRPr lang="en-IN" sz="1400" b="1" dirty="0">
            <a:latin typeface="+mn-lt"/>
          </a:endParaRPr>
        </a:p>
      </dgm:t>
    </dgm:pt>
    <dgm:pt modelId="{C5293036-6D8D-4F57-BD47-77C40899EF86}" type="parTrans" cxnId="{87F12FCA-1795-4BCA-8F7E-ED0ED432D1FA}">
      <dgm:prSet/>
      <dgm:spPr/>
      <dgm:t>
        <a:bodyPr/>
        <a:lstStyle/>
        <a:p>
          <a:endParaRPr lang="en-IN" b="1">
            <a:latin typeface="Palatino Linotype" pitchFamily="18" charset="0"/>
          </a:endParaRPr>
        </a:p>
      </dgm:t>
    </dgm:pt>
    <dgm:pt modelId="{C052CBD1-4652-4326-ACCC-D1371B97E3BC}" type="sibTrans" cxnId="{87F12FCA-1795-4BCA-8F7E-ED0ED432D1FA}">
      <dgm:prSet/>
      <dgm:spPr/>
      <dgm:t>
        <a:bodyPr/>
        <a:lstStyle/>
        <a:p>
          <a:endParaRPr lang="en-IN" b="1">
            <a:latin typeface="Palatino Linotype" pitchFamily="18" charset="0"/>
          </a:endParaRPr>
        </a:p>
      </dgm:t>
    </dgm:pt>
    <dgm:pt modelId="{0391A25E-D873-4DFC-BB8B-C67BE4CBDBA4}">
      <dgm:prSet phldrT="[Text]" custT="1"/>
      <dgm:spPr>
        <a:solidFill>
          <a:schemeClr val="accent3">
            <a:lumMod val="60000"/>
            <a:lumOff val="40000"/>
          </a:schemeClr>
        </a:solidFill>
      </dgm:spPr>
      <dgm:t>
        <a:bodyPr/>
        <a:lstStyle/>
        <a:p>
          <a:r>
            <a:rPr lang="en-US" sz="1600" b="1" dirty="0">
              <a:solidFill>
                <a:schemeClr val="bg2">
                  <a:lumMod val="25000"/>
                </a:schemeClr>
              </a:solidFill>
              <a:latin typeface="+mn-lt"/>
            </a:rPr>
            <a:t>II) ACTION PLANNING</a:t>
          </a:r>
          <a:endParaRPr lang="en-IN" sz="1600" b="1" dirty="0">
            <a:solidFill>
              <a:schemeClr val="bg2">
                <a:lumMod val="25000"/>
              </a:schemeClr>
            </a:solidFill>
            <a:latin typeface="+mn-lt"/>
          </a:endParaRPr>
        </a:p>
      </dgm:t>
    </dgm:pt>
    <dgm:pt modelId="{2A90ED81-F922-4173-A9C6-7E100C0F8183}" type="parTrans" cxnId="{ACE3B733-3EC2-45A6-875D-4C92A46129B8}">
      <dgm:prSet/>
      <dgm:spPr/>
      <dgm:t>
        <a:bodyPr/>
        <a:lstStyle/>
        <a:p>
          <a:endParaRPr lang="en-IN" b="1">
            <a:latin typeface="Palatino Linotype" pitchFamily="18" charset="0"/>
          </a:endParaRPr>
        </a:p>
      </dgm:t>
    </dgm:pt>
    <dgm:pt modelId="{D3CE9181-30FD-4446-8681-37327C881391}" type="sibTrans" cxnId="{ACE3B733-3EC2-45A6-875D-4C92A46129B8}">
      <dgm:prSet/>
      <dgm:spPr/>
      <dgm:t>
        <a:bodyPr/>
        <a:lstStyle/>
        <a:p>
          <a:endParaRPr lang="en-IN" b="1">
            <a:latin typeface="Palatino Linotype" pitchFamily="18" charset="0"/>
          </a:endParaRPr>
        </a:p>
      </dgm:t>
    </dgm:pt>
    <dgm:pt modelId="{F66143C0-2067-42F0-844F-094DA40AAC8D}">
      <dgm:prSet phldrT="[Text]" custT="1"/>
      <dgm:spPr>
        <a:solidFill>
          <a:schemeClr val="accent3">
            <a:lumMod val="60000"/>
            <a:lumOff val="40000"/>
          </a:schemeClr>
        </a:solidFill>
      </dgm:spPr>
      <dgm:t>
        <a:bodyPr/>
        <a:lstStyle/>
        <a:p>
          <a:r>
            <a:rPr lang="en-US" sz="1400" b="1" dirty="0">
              <a:latin typeface="+mn-lt"/>
              <a:ea typeface="Arial Unicode MS" pitchFamily="34" charset="-128"/>
              <a:cs typeface="Arial Unicode MS" pitchFamily="34" charset="-128"/>
            </a:rPr>
            <a:t>Setting overall Improvement vision</a:t>
          </a:r>
          <a:endParaRPr lang="en-IN" sz="1400" b="1" dirty="0">
            <a:latin typeface="+mn-lt"/>
          </a:endParaRPr>
        </a:p>
      </dgm:t>
    </dgm:pt>
    <dgm:pt modelId="{B823E87F-B75C-435A-BA25-E0C75000BCCF}" type="parTrans" cxnId="{BAA3F1A5-88F0-4048-AF0D-4B59478073E0}">
      <dgm:prSet/>
      <dgm:spPr/>
      <dgm:t>
        <a:bodyPr/>
        <a:lstStyle/>
        <a:p>
          <a:endParaRPr lang="en-IN" b="1">
            <a:latin typeface="Palatino Linotype" pitchFamily="18" charset="0"/>
          </a:endParaRPr>
        </a:p>
      </dgm:t>
    </dgm:pt>
    <dgm:pt modelId="{7161175F-E170-435A-AB9B-07BCDA86B514}" type="sibTrans" cxnId="{BAA3F1A5-88F0-4048-AF0D-4B59478073E0}">
      <dgm:prSet/>
      <dgm:spPr/>
      <dgm:t>
        <a:bodyPr/>
        <a:lstStyle/>
        <a:p>
          <a:endParaRPr lang="en-IN" b="1">
            <a:latin typeface="Palatino Linotype" pitchFamily="18" charset="0"/>
          </a:endParaRPr>
        </a:p>
      </dgm:t>
    </dgm:pt>
    <dgm:pt modelId="{D54D6AF0-E705-4CFD-91CA-E81C2F757099}">
      <dgm:prSet phldrT="[Text]" custT="1"/>
      <dgm:spPr>
        <a:solidFill>
          <a:schemeClr val="accent2">
            <a:lumMod val="40000"/>
            <a:lumOff val="60000"/>
          </a:schemeClr>
        </a:solidFill>
      </dgm:spPr>
      <dgm:t>
        <a:bodyPr/>
        <a:lstStyle/>
        <a:p>
          <a:r>
            <a:rPr lang="en-US" sz="1600" b="1" dirty="0">
              <a:solidFill>
                <a:schemeClr val="bg2">
                  <a:lumMod val="25000"/>
                </a:schemeClr>
              </a:solidFill>
              <a:latin typeface="+mn-lt"/>
            </a:rPr>
            <a:t>III) FINANCIAL PLANNING</a:t>
          </a:r>
          <a:endParaRPr lang="en-IN" sz="1600" b="1" dirty="0">
            <a:solidFill>
              <a:schemeClr val="bg2">
                <a:lumMod val="25000"/>
              </a:schemeClr>
            </a:solidFill>
            <a:latin typeface="+mn-lt"/>
          </a:endParaRPr>
        </a:p>
      </dgm:t>
    </dgm:pt>
    <dgm:pt modelId="{7CD883C5-C9DD-4E1D-8E8E-58A73B7536D1}" type="parTrans" cxnId="{074A8E08-98CE-471D-BFB3-091C45DFB9F9}">
      <dgm:prSet/>
      <dgm:spPr/>
      <dgm:t>
        <a:bodyPr/>
        <a:lstStyle/>
        <a:p>
          <a:endParaRPr lang="en-IN" b="1">
            <a:latin typeface="Palatino Linotype" pitchFamily="18" charset="0"/>
          </a:endParaRPr>
        </a:p>
      </dgm:t>
    </dgm:pt>
    <dgm:pt modelId="{1C85E0B1-E1F1-4C5F-8F79-19FF62A5C265}" type="sibTrans" cxnId="{074A8E08-98CE-471D-BFB3-091C45DFB9F9}">
      <dgm:prSet/>
      <dgm:spPr/>
      <dgm:t>
        <a:bodyPr/>
        <a:lstStyle/>
        <a:p>
          <a:endParaRPr lang="en-IN" b="1">
            <a:latin typeface="Palatino Linotype" pitchFamily="18" charset="0"/>
          </a:endParaRPr>
        </a:p>
      </dgm:t>
    </dgm:pt>
    <dgm:pt modelId="{AC16B4E1-CF1B-4E64-ADFE-98882B653657}">
      <dgm:prSet phldrT="[Text]"/>
      <dgm:spPr>
        <a:solidFill>
          <a:schemeClr val="accent2">
            <a:lumMod val="40000"/>
            <a:lumOff val="60000"/>
          </a:schemeClr>
        </a:solidFill>
      </dgm:spPr>
      <dgm:t>
        <a:bodyPr/>
        <a:lstStyle/>
        <a:p>
          <a:r>
            <a:rPr lang="en-US" sz="1400" b="1" dirty="0">
              <a:latin typeface="+mn-lt"/>
              <a:ea typeface="Arial Unicode MS" pitchFamily="34" charset="-128"/>
              <a:cs typeface="Arial Unicode MS" pitchFamily="34" charset="-128"/>
            </a:rPr>
            <a:t>Reviewing local finances</a:t>
          </a:r>
          <a:endParaRPr lang="en-IN" sz="1400" b="1" dirty="0">
            <a:latin typeface="+mn-lt"/>
          </a:endParaRPr>
        </a:p>
      </dgm:t>
    </dgm:pt>
    <dgm:pt modelId="{904533F5-4382-4344-B33E-590B562F45E8}" type="parTrans" cxnId="{0EF7ABFC-2AB0-4CE4-83A8-4BC251924FDB}">
      <dgm:prSet/>
      <dgm:spPr/>
      <dgm:t>
        <a:bodyPr/>
        <a:lstStyle/>
        <a:p>
          <a:endParaRPr lang="en-IN" b="1">
            <a:latin typeface="Palatino Linotype" pitchFamily="18" charset="0"/>
          </a:endParaRPr>
        </a:p>
      </dgm:t>
    </dgm:pt>
    <dgm:pt modelId="{BD0262EC-2609-4071-A14D-1EB57493A83D}" type="sibTrans" cxnId="{0EF7ABFC-2AB0-4CE4-83A8-4BC251924FDB}">
      <dgm:prSet/>
      <dgm:spPr/>
      <dgm:t>
        <a:bodyPr/>
        <a:lstStyle/>
        <a:p>
          <a:endParaRPr lang="en-IN" b="1">
            <a:latin typeface="Palatino Linotype" pitchFamily="18" charset="0"/>
          </a:endParaRPr>
        </a:p>
      </dgm:t>
    </dgm:pt>
    <dgm:pt modelId="{901889E9-2706-4EC2-9C30-805AD03679A0}">
      <dgm:prSet custT="1"/>
      <dgm:spPr>
        <a:solidFill>
          <a:schemeClr val="accent1">
            <a:lumMod val="40000"/>
            <a:lumOff val="60000"/>
          </a:schemeClr>
        </a:solidFill>
      </dgm:spPr>
      <dgm:t>
        <a:bodyPr/>
        <a:lstStyle/>
        <a:p>
          <a:r>
            <a:rPr lang="en-US" sz="1400" b="1" dirty="0">
              <a:latin typeface="+mn-lt"/>
              <a:ea typeface="Arial Unicode MS" pitchFamily="34" charset="-128"/>
              <a:cs typeface="Arial Unicode MS" pitchFamily="34" charset="-128"/>
            </a:rPr>
            <a:t>Assessing service trends and peer comparison </a:t>
          </a:r>
          <a:endParaRPr lang="en-IN" sz="1400" b="1" dirty="0">
            <a:latin typeface="+mn-lt"/>
            <a:ea typeface="Arial Unicode MS" pitchFamily="34" charset="-128"/>
            <a:cs typeface="Arial Unicode MS" pitchFamily="34" charset="-128"/>
          </a:endParaRPr>
        </a:p>
      </dgm:t>
    </dgm:pt>
    <dgm:pt modelId="{8F91AEC9-8059-48BF-BE7C-68D7A5AAE8B7}" type="parTrans" cxnId="{39CE5CD1-9505-471F-A4CF-7A3A541D111E}">
      <dgm:prSet/>
      <dgm:spPr/>
      <dgm:t>
        <a:bodyPr/>
        <a:lstStyle/>
        <a:p>
          <a:endParaRPr lang="en-IN" b="1">
            <a:latin typeface="Palatino Linotype" pitchFamily="18" charset="0"/>
          </a:endParaRPr>
        </a:p>
      </dgm:t>
    </dgm:pt>
    <dgm:pt modelId="{06BF1FB4-27FB-4C64-8C89-19BC4EEB9D4B}" type="sibTrans" cxnId="{39CE5CD1-9505-471F-A4CF-7A3A541D111E}">
      <dgm:prSet/>
      <dgm:spPr/>
      <dgm:t>
        <a:bodyPr/>
        <a:lstStyle/>
        <a:p>
          <a:endParaRPr lang="en-IN" b="1">
            <a:latin typeface="Palatino Linotype" pitchFamily="18" charset="0"/>
          </a:endParaRPr>
        </a:p>
      </dgm:t>
    </dgm:pt>
    <dgm:pt modelId="{8B92C54E-3E46-4F2E-8BA2-42A84872EFCD}">
      <dgm:prSet custT="1"/>
      <dgm:spPr>
        <a:solidFill>
          <a:schemeClr val="accent1">
            <a:lumMod val="40000"/>
            <a:lumOff val="60000"/>
          </a:schemeClr>
        </a:solidFill>
      </dgm:spPr>
      <dgm:t>
        <a:bodyPr/>
        <a:lstStyle/>
        <a:p>
          <a:r>
            <a:rPr lang="en-US" sz="1400" b="1" dirty="0">
              <a:latin typeface="+mn-lt"/>
              <a:ea typeface="Arial Unicode MS" pitchFamily="34" charset="-128"/>
              <a:cs typeface="Arial Unicode MS" pitchFamily="34" charset="-128"/>
            </a:rPr>
            <a:t>Deciding improvement priorities</a:t>
          </a:r>
          <a:endParaRPr lang="en-IN" sz="1400" b="1" dirty="0">
            <a:latin typeface="+mn-lt"/>
            <a:ea typeface="Arial Unicode MS" pitchFamily="34" charset="-128"/>
            <a:cs typeface="Arial Unicode MS" pitchFamily="34" charset="-128"/>
          </a:endParaRPr>
        </a:p>
      </dgm:t>
    </dgm:pt>
    <dgm:pt modelId="{5545EAF8-B54A-46A1-A0DE-9939CAF3E571}" type="parTrans" cxnId="{9C73C2F0-09B2-4FEF-884D-144A7B76AE84}">
      <dgm:prSet/>
      <dgm:spPr/>
      <dgm:t>
        <a:bodyPr/>
        <a:lstStyle/>
        <a:p>
          <a:endParaRPr lang="en-IN" b="1">
            <a:latin typeface="Palatino Linotype" pitchFamily="18" charset="0"/>
          </a:endParaRPr>
        </a:p>
      </dgm:t>
    </dgm:pt>
    <dgm:pt modelId="{AB3B5CC2-7581-4B6C-A4AB-FB3F2BF47C43}" type="sibTrans" cxnId="{9C73C2F0-09B2-4FEF-884D-144A7B76AE84}">
      <dgm:prSet/>
      <dgm:spPr/>
      <dgm:t>
        <a:bodyPr/>
        <a:lstStyle/>
        <a:p>
          <a:endParaRPr lang="en-IN" b="1">
            <a:latin typeface="Palatino Linotype" pitchFamily="18" charset="0"/>
          </a:endParaRPr>
        </a:p>
      </dgm:t>
    </dgm:pt>
    <dgm:pt modelId="{1E60D001-0993-493D-B2E1-1976541B086D}">
      <dgm:prSet custT="1"/>
      <dgm:spPr>
        <a:solidFill>
          <a:schemeClr val="accent3">
            <a:lumMod val="60000"/>
            <a:lumOff val="40000"/>
          </a:schemeClr>
        </a:solidFill>
      </dgm:spPr>
      <dgm:t>
        <a:bodyPr/>
        <a:lstStyle/>
        <a:p>
          <a:r>
            <a:rPr lang="en-US" sz="1400" b="1" dirty="0">
              <a:latin typeface="+mn-lt"/>
              <a:ea typeface="Arial Unicode MS" pitchFamily="34" charset="-128"/>
              <a:cs typeface="Arial Unicode MS" pitchFamily="34" charset="-128"/>
            </a:rPr>
            <a:t>Selecting improvement actions</a:t>
          </a:r>
          <a:endParaRPr lang="en-IN" sz="1400" b="1" dirty="0">
            <a:latin typeface="+mn-lt"/>
            <a:ea typeface="Arial Unicode MS" pitchFamily="34" charset="-128"/>
            <a:cs typeface="Arial Unicode MS" pitchFamily="34" charset="-128"/>
          </a:endParaRPr>
        </a:p>
      </dgm:t>
    </dgm:pt>
    <dgm:pt modelId="{68D1BCE7-673E-4B45-8F5B-7B71684625B4}" type="parTrans" cxnId="{12A522E2-3961-4E69-B615-C21F2F67BC3C}">
      <dgm:prSet/>
      <dgm:spPr/>
      <dgm:t>
        <a:bodyPr/>
        <a:lstStyle/>
        <a:p>
          <a:endParaRPr lang="en-IN" b="1">
            <a:latin typeface="Palatino Linotype" pitchFamily="18" charset="0"/>
          </a:endParaRPr>
        </a:p>
      </dgm:t>
    </dgm:pt>
    <dgm:pt modelId="{9CEFB81C-8B7F-45C3-B269-B54403AC3BDD}" type="sibTrans" cxnId="{12A522E2-3961-4E69-B615-C21F2F67BC3C}">
      <dgm:prSet/>
      <dgm:spPr/>
      <dgm:t>
        <a:bodyPr/>
        <a:lstStyle/>
        <a:p>
          <a:endParaRPr lang="en-IN" b="1">
            <a:latin typeface="Palatino Linotype" pitchFamily="18" charset="0"/>
          </a:endParaRPr>
        </a:p>
      </dgm:t>
    </dgm:pt>
    <dgm:pt modelId="{37C5E8EE-EE44-45F4-AC38-54517AFC6726}">
      <dgm:prSet custT="1"/>
      <dgm:spPr>
        <a:solidFill>
          <a:schemeClr val="accent3">
            <a:lumMod val="60000"/>
            <a:lumOff val="40000"/>
          </a:schemeClr>
        </a:solidFill>
      </dgm:spPr>
      <dgm:t>
        <a:bodyPr/>
        <a:lstStyle/>
        <a:p>
          <a:r>
            <a:rPr lang="en-US" sz="1400" b="1" dirty="0">
              <a:latin typeface="+mn-lt"/>
              <a:ea typeface="Arial Unicode MS" pitchFamily="34" charset="-128"/>
              <a:cs typeface="Arial Unicode MS" pitchFamily="34" charset="-128"/>
            </a:rPr>
            <a:t>Designing improvement actions</a:t>
          </a:r>
          <a:endParaRPr lang="en-IN" sz="1400" b="1" dirty="0">
            <a:latin typeface="+mn-lt"/>
            <a:ea typeface="Arial Unicode MS" pitchFamily="34" charset="-128"/>
            <a:cs typeface="Arial Unicode MS" pitchFamily="34" charset="-128"/>
          </a:endParaRPr>
        </a:p>
      </dgm:t>
    </dgm:pt>
    <dgm:pt modelId="{D89334E2-6393-42E3-882C-15DCD6C79F04}" type="parTrans" cxnId="{4EC72B75-E486-4FA9-84CA-8A477D11D181}">
      <dgm:prSet/>
      <dgm:spPr/>
      <dgm:t>
        <a:bodyPr/>
        <a:lstStyle/>
        <a:p>
          <a:endParaRPr lang="en-IN" b="1">
            <a:latin typeface="Palatino Linotype" pitchFamily="18" charset="0"/>
          </a:endParaRPr>
        </a:p>
      </dgm:t>
    </dgm:pt>
    <dgm:pt modelId="{AECD85C8-0F8B-4F78-AC5B-8120B2FFB4DC}" type="sibTrans" cxnId="{4EC72B75-E486-4FA9-84CA-8A477D11D181}">
      <dgm:prSet/>
      <dgm:spPr/>
      <dgm:t>
        <a:bodyPr/>
        <a:lstStyle/>
        <a:p>
          <a:endParaRPr lang="en-IN" b="1">
            <a:latin typeface="Palatino Linotype" pitchFamily="18" charset="0"/>
          </a:endParaRPr>
        </a:p>
      </dgm:t>
    </dgm:pt>
    <dgm:pt modelId="{1BA80623-F58E-482F-BA01-02C771C4F5D4}">
      <dgm:prSet/>
      <dgm:spPr>
        <a:solidFill>
          <a:schemeClr val="accent2">
            <a:lumMod val="40000"/>
            <a:lumOff val="60000"/>
          </a:schemeClr>
        </a:solidFill>
      </dgm:spPr>
      <dgm:t>
        <a:bodyPr/>
        <a:lstStyle/>
        <a:p>
          <a:r>
            <a:rPr lang="en-US" sz="1400" b="1" dirty="0">
              <a:latin typeface="+mn-lt"/>
              <a:ea typeface="Arial Unicode MS" pitchFamily="34" charset="-128"/>
              <a:cs typeface="Arial Unicode MS" pitchFamily="34" charset="-128"/>
            </a:rPr>
            <a:t>Municipal finance and WSS Projections</a:t>
          </a:r>
          <a:endParaRPr lang="en-IN" sz="1400" b="1" dirty="0">
            <a:latin typeface="+mn-lt"/>
            <a:ea typeface="Arial Unicode MS" pitchFamily="34" charset="-128"/>
            <a:cs typeface="Arial Unicode MS" pitchFamily="34" charset="-128"/>
          </a:endParaRPr>
        </a:p>
      </dgm:t>
    </dgm:pt>
    <dgm:pt modelId="{D9AEB3C2-0BD7-4FCC-82CF-F0C2F98BC6C0}" type="parTrans" cxnId="{19016E91-60A1-4C0F-9F59-93610D267F51}">
      <dgm:prSet/>
      <dgm:spPr/>
      <dgm:t>
        <a:bodyPr/>
        <a:lstStyle/>
        <a:p>
          <a:endParaRPr lang="en-IN" b="1">
            <a:latin typeface="Palatino Linotype" pitchFamily="18" charset="0"/>
          </a:endParaRPr>
        </a:p>
      </dgm:t>
    </dgm:pt>
    <dgm:pt modelId="{0E77F62B-C743-4EE1-96D8-EA6F5B60AFDD}" type="sibTrans" cxnId="{19016E91-60A1-4C0F-9F59-93610D267F51}">
      <dgm:prSet/>
      <dgm:spPr/>
      <dgm:t>
        <a:bodyPr/>
        <a:lstStyle/>
        <a:p>
          <a:endParaRPr lang="en-IN" b="1">
            <a:latin typeface="Palatino Linotype" pitchFamily="18" charset="0"/>
          </a:endParaRPr>
        </a:p>
      </dgm:t>
    </dgm:pt>
    <dgm:pt modelId="{5581B17F-80E1-45AC-ABCA-539A092F69BF}">
      <dgm:prSet/>
      <dgm:spPr>
        <a:solidFill>
          <a:schemeClr val="accent2">
            <a:lumMod val="40000"/>
            <a:lumOff val="60000"/>
          </a:schemeClr>
        </a:solidFill>
      </dgm:spPr>
      <dgm:t>
        <a:bodyPr/>
        <a:lstStyle/>
        <a:p>
          <a:r>
            <a:rPr lang="en-US" sz="1400" b="1" dirty="0">
              <a:latin typeface="+mn-lt"/>
              <a:ea typeface="Arial Unicode MS" pitchFamily="34" charset="-128"/>
              <a:cs typeface="Arial Unicode MS" pitchFamily="34" charset="-128"/>
            </a:rPr>
            <a:t>Financing plan and viability assessment</a:t>
          </a:r>
          <a:endParaRPr lang="en-IN" sz="1400" b="1" dirty="0">
            <a:latin typeface="+mn-lt"/>
            <a:ea typeface="Arial Unicode MS" pitchFamily="34" charset="-128"/>
            <a:cs typeface="Arial Unicode MS" pitchFamily="34" charset="-128"/>
          </a:endParaRPr>
        </a:p>
      </dgm:t>
    </dgm:pt>
    <dgm:pt modelId="{4B93AF70-7263-407B-94FF-FA929EE6EB33}" type="parTrans" cxnId="{EC42E457-1CFF-4966-8A52-80FAAB531170}">
      <dgm:prSet/>
      <dgm:spPr/>
      <dgm:t>
        <a:bodyPr/>
        <a:lstStyle/>
        <a:p>
          <a:endParaRPr lang="en-IN" b="1">
            <a:latin typeface="Palatino Linotype" pitchFamily="18" charset="0"/>
          </a:endParaRPr>
        </a:p>
      </dgm:t>
    </dgm:pt>
    <dgm:pt modelId="{02D759BF-719B-4A31-9E8F-1A2F32E44EED}" type="sibTrans" cxnId="{EC42E457-1CFF-4966-8A52-80FAAB531170}">
      <dgm:prSet/>
      <dgm:spPr/>
      <dgm:t>
        <a:bodyPr/>
        <a:lstStyle/>
        <a:p>
          <a:endParaRPr lang="en-IN" b="1">
            <a:latin typeface="Palatino Linotype" pitchFamily="18" charset="0"/>
          </a:endParaRPr>
        </a:p>
      </dgm:t>
    </dgm:pt>
    <dgm:pt modelId="{F88840F6-2E4E-423E-A47B-29B3E2941A94}" type="pres">
      <dgm:prSet presAssocID="{F0C41A3C-C4A1-43CA-B264-26708388FA8F}" presName="linear" presStyleCnt="0">
        <dgm:presLayoutVars>
          <dgm:dir/>
          <dgm:resizeHandles val="exact"/>
        </dgm:presLayoutVars>
      </dgm:prSet>
      <dgm:spPr/>
      <dgm:t>
        <a:bodyPr/>
        <a:lstStyle/>
        <a:p>
          <a:endParaRPr lang="en-GB"/>
        </a:p>
      </dgm:t>
    </dgm:pt>
    <dgm:pt modelId="{D16571C3-329A-4C48-8106-DB39471C981A}" type="pres">
      <dgm:prSet presAssocID="{D4E726F0-F839-4131-A45B-9F1779983A75}" presName="comp" presStyleCnt="0"/>
      <dgm:spPr/>
    </dgm:pt>
    <dgm:pt modelId="{3CFEC9B5-194D-4DB7-92ED-9832D837DBB9}" type="pres">
      <dgm:prSet presAssocID="{D4E726F0-F839-4131-A45B-9F1779983A75}" presName="box" presStyleLbl="node1" presStyleIdx="0" presStyleCnt="3"/>
      <dgm:spPr/>
      <dgm:t>
        <a:bodyPr/>
        <a:lstStyle/>
        <a:p>
          <a:endParaRPr lang="en-GB"/>
        </a:p>
      </dgm:t>
    </dgm:pt>
    <dgm:pt modelId="{236CCFF7-DE19-42A8-8B7F-2277B2C0C064}" type="pres">
      <dgm:prSet presAssocID="{D4E726F0-F839-4131-A45B-9F1779983A75}" presName="img" presStyleLbl="fgImgPlace1" presStyleIdx="0" presStyleCnt="3"/>
      <dgm:spPr>
        <a:blipFill rotWithShape="0">
          <a:blip xmlns:r="http://schemas.openxmlformats.org/officeDocument/2006/relationships" r:embed="rId1"/>
          <a:stretch>
            <a:fillRect/>
          </a:stretch>
        </a:blipFill>
      </dgm:spPr>
    </dgm:pt>
    <dgm:pt modelId="{BEC17DF4-C92C-4F6E-81FD-CF4842548BE9}" type="pres">
      <dgm:prSet presAssocID="{D4E726F0-F839-4131-A45B-9F1779983A75}" presName="text" presStyleLbl="node1" presStyleIdx="0" presStyleCnt="3">
        <dgm:presLayoutVars>
          <dgm:bulletEnabled val="1"/>
        </dgm:presLayoutVars>
      </dgm:prSet>
      <dgm:spPr/>
      <dgm:t>
        <a:bodyPr/>
        <a:lstStyle/>
        <a:p>
          <a:endParaRPr lang="en-GB"/>
        </a:p>
      </dgm:t>
    </dgm:pt>
    <dgm:pt modelId="{577A6981-EDE5-49FD-BC15-2F8B6E1D521F}" type="pres">
      <dgm:prSet presAssocID="{5A7E703D-3C6A-406E-B3A0-7EA59A72100C}" presName="spacer" presStyleCnt="0"/>
      <dgm:spPr/>
    </dgm:pt>
    <dgm:pt modelId="{8B9852FD-7326-4E93-8FC1-9A31C1803C04}" type="pres">
      <dgm:prSet presAssocID="{0391A25E-D873-4DFC-BB8B-C67BE4CBDBA4}" presName="comp" presStyleCnt="0"/>
      <dgm:spPr/>
    </dgm:pt>
    <dgm:pt modelId="{36E7085B-A893-441A-9F6F-7D5E0C593977}" type="pres">
      <dgm:prSet presAssocID="{0391A25E-D873-4DFC-BB8B-C67BE4CBDBA4}" presName="box" presStyleLbl="node1" presStyleIdx="1" presStyleCnt="3"/>
      <dgm:spPr/>
      <dgm:t>
        <a:bodyPr/>
        <a:lstStyle/>
        <a:p>
          <a:endParaRPr lang="en-GB"/>
        </a:p>
      </dgm:t>
    </dgm:pt>
    <dgm:pt modelId="{B403DE92-189C-4CA0-A255-F8D3A160C8DD}" type="pres">
      <dgm:prSet presAssocID="{0391A25E-D873-4DFC-BB8B-C67BE4CBDBA4}" presName="img" presStyleLbl="fgImgPlace1" presStyleIdx="1" presStyleCnt="3"/>
      <dgm:spPr>
        <a:blipFill rotWithShape="0">
          <a:blip xmlns:r="http://schemas.openxmlformats.org/officeDocument/2006/relationships" r:embed="rId2"/>
          <a:stretch>
            <a:fillRect/>
          </a:stretch>
        </a:blipFill>
      </dgm:spPr>
    </dgm:pt>
    <dgm:pt modelId="{3F955632-6C94-415C-93B4-48CE7BD57117}" type="pres">
      <dgm:prSet presAssocID="{0391A25E-D873-4DFC-BB8B-C67BE4CBDBA4}" presName="text" presStyleLbl="node1" presStyleIdx="1" presStyleCnt="3">
        <dgm:presLayoutVars>
          <dgm:bulletEnabled val="1"/>
        </dgm:presLayoutVars>
      </dgm:prSet>
      <dgm:spPr/>
      <dgm:t>
        <a:bodyPr/>
        <a:lstStyle/>
        <a:p>
          <a:endParaRPr lang="en-GB"/>
        </a:p>
      </dgm:t>
    </dgm:pt>
    <dgm:pt modelId="{82422135-D981-4069-B7C6-A313185DF58B}" type="pres">
      <dgm:prSet presAssocID="{D3CE9181-30FD-4446-8681-37327C881391}" presName="spacer" presStyleCnt="0"/>
      <dgm:spPr/>
    </dgm:pt>
    <dgm:pt modelId="{48F9B206-5E48-4209-8512-F05E651190B0}" type="pres">
      <dgm:prSet presAssocID="{D54D6AF0-E705-4CFD-91CA-E81C2F757099}" presName="comp" presStyleCnt="0"/>
      <dgm:spPr/>
    </dgm:pt>
    <dgm:pt modelId="{D4A8B23A-B65A-466B-94B8-828D40E77580}" type="pres">
      <dgm:prSet presAssocID="{D54D6AF0-E705-4CFD-91CA-E81C2F757099}" presName="box" presStyleLbl="node1" presStyleIdx="2" presStyleCnt="3"/>
      <dgm:spPr/>
      <dgm:t>
        <a:bodyPr/>
        <a:lstStyle/>
        <a:p>
          <a:endParaRPr lang="en-GB"/>
        </a:p>
      </dgm:t>
    </dgm:pt>
    <dgm:pt modelId="{AFB3A459-DDAB-4834-A4DE-7A2E1AFD167A}" type="pres">
      <dgm:prSet presAssocID="{D54D6AF0-E705-4CFD-91CA-E81C2F757099}" presName="img" presStyleLbl="fgImgPlace1" presStyleIdx="2" presStyleCnt="3"/>
      <dgm:spPr>
        <a:blipFill rotWithShape="0">
          <a:blip xmlns:r="http://schemas.openxmlformats.org/officeDocument/2006/relationships" r:embed="rId3"/>
          <a:stretch>
            <a:fillRect/>
          </a:stretch>
        </a:blipFill>
      </dgm:spPr>
    </dgm:pt>
    <dgm:pt modelId="{29BAB95E-AF45-4217-8F14-D156A1016703}" type="pres">
      <dgm:prSet presAssocID="{D54D6AF0-E705-4CFD-91CA-E81C2F757099}" presName="text" presStyleLbl="node1" presStyleIdx="2" presStyleCnt="3">
        <dgm:presLayoutVars>
          <dgm:bulletEnabled val="1"/>
        </dgm:presLayoutVars>
      </dgm:prSet>
      <dgm:spPr/>
      <dgm:t>
        <a:bodyPr/>
        <a:lstStyle/>
        <a:p>
          <a:endParaRPr lang="en-GB"/>
        </a:p>
      </dgm:t>
    </dgm:pt>
  </dgm:ptLst>
  <dgm:cxnLst>
    <dgm:cxn modelId="{D4712E9B-035F-45C1-ABA9-BA2074981681}" type="presOf" srcId="{F66143C0-2067-42F0-844F-094DA40AAC8D}" destId="{36E7085B-A893-441A-9F6F-7D5E0C593977}" srcOrd="0" destOrd="1" presId="urn:microsoft.com/office/officeart/2005/8/layout/vList4#1"/>
    <dgm:cxn modelId="{E5318871-DEF4-4112-870D-B21E651E675C}" type="presOf" srcId="{37C5E8EE-EE44-45F4-AC38-54517AFC6726}" destId="{36E7085B-A893-441A-9F6F-7D5E0C593977}" srcOrd="0" destOrd="3" presId="urn:microsoft.com/office/officeart/2005/8/layout/vList4#1"/>
    <dgm:cxn modelId="{BAA3F1A5-88F0-4048-AF0D-4B59478073E0}" srcId="{0391A25E-D873-4DFC-BB8B-C67BE4CBDBA4}" destId="{F66143C0-2067-42F0-844F-094DA40AAC8D}" srcOrd="0" destOrd="0" parTransId="{B823E87F-B75C-435A-BA25-E0C75000BCCF}" sibTransId="{7161175F-E170-435A-AB9B-07BCDA86B514}"/>
    <dgm:cxn modelId="{19016E91-60A1-4C0F-9F59-93610D267F51}" srcId="{D54D6AF0-E705-4CFD-91CA-E81C2F757099}" destId="{1BA80623-F58E-482F-BA01-02C771C4F5D4}" srcOrd="1" destOrd="0" parTransId="{D9AEB3C2-0BD7-4FCC-82CF-F0C2F98BC6C0}" sibTransId="{0E77F62B-C743-4EE1-96D8-EA6F5B60AFDD}"/>
    <dgm:cxn modelId="{9C73C2F0-09B2-4FEF-884D-144A7B76AE84}" srcId="{D4E726F0-F839-4131-A45B-9F1779983A75}" destId="{8B92C54E-3E46-4F2E-8BA2-42A84872EFCD}" srcOrd="2" destOrd="0" parTransId="{5545EAF8-B54A-46A1-A0DE-9939CAF3E571}" sibTransId="{AB3B5CC2-7581-4B6C-A4AB-FB3F2BF47C43}"/>
    <dgm:cxn modelId="{04DA3FB6-6075-4BBC-A825-84B1D8CF337B}" type="presOf" srcId="{D4E726F0-F839-4131-A45B-9F1779983A75}" destId="{3CFEC9B5-194D-4DB7-92ED-9832D837DBB9}" srcOrd="0" destOrd="0" presId="urn:microsoft.com/office/officeart/2005/8/layout/vList4#1"/>
    <dgm:cxn modelId="{C9F05CDF-7733-475E-A46C-4B70403C0A30}" type="presOf" srcId="{D54D6AF0-E705-4CFD-91CA-E81C2F757099}" destId="{29BAB95E-AF45-4217-8F14-D156A1016703}" srcOrd="1" destOrd="0" presId="urn:microsoft.com/office/officeart/2005/8/layout/vList4#1"/>
    <dgm:cxn modelId="{F48D09F8-2426-4F87-8BB0-87464022AB82}" type="presOf" srcId="{D54D6AF0-E705-4CFD-91CA-E81C2F757099}" destId="{D4A8B23A-B65A-466B-94B8-828D40E77580}" srcOrd="0" destOrd="0" presId="urn:microsoft.com/office/officeart/2005/8/layout/vList4#1"/>
    <dgm:cxn modelId="{4CFADF6F-1CBB-4741-9E94-85988D856B2B}" type="presOf" srcId="{8B92C54E-3E46-4F2E-8BA2-42A84872EFCD}" destId="{3CFEC9B5-194D-4DB7-92ED-9832D837DBB9}" srcOrd="0" destOrd="3" presId="urn:microsoft.com/office/officeart/2005/8/layout/vList4#1"/>
    <dgm:cxn modelId="{3FEEFE89-A396-47E3-B0A3-8E5F70C7E6CD}" type="presOf" srcId="{37C5E8EE-EE44-45F4-AC38-54517AFC6726}" destId="{3F955632-6C94-415C-93B4-48CE7BD57117}" srcOrd="1" destOrd="3" presId="urn:microsoft.com/office/officeart/2005/8/layout/vList4#1"/>
    <dgm:cxn modelId="{285D349D-3158-4148-BBCD-55AA6E0660A9}" type="presOf" srcId="{0391A25E-D873-4DFC-BB8B-C67BE4CBDBA4}" destId="{36E7085B-A893-441A-9F6F-7D5E0C593977}" srcOrd="0" destOrd="0" presId="urn:microsoft.com/office/officeart/2005/8/layout/vList4#1"/>
    <dgm:cxn modelId="{C59C6D39-D10E-437F-8114-39B4EC17D92C}" srcId="{F0C41A3C-C4A1-43CA-B264-26708388FA8F}" destId="{D4E726F0-F839-4131-A45B-9F1779983A75}" srcOrd="0" destOrd="0" parTransId="{7F31C20F-4BC5-46BD-A479-4D419BD304F0}" sibTransId="{5A7E703D-3C6A-406E-B3A0-7EA59A72100C}"/>
    <dgm:cxn modelId="{7AE4A3ED-2C50-4C4A-AFB8-BE7253398C72}" type="presOf" srcId="{F0C41A3C-C4A1-43CA-B264-26708388FA8F}" destId="{F88840F6-2E4E-423E-A47B-29B3E2941A94}" srcOrd="0" destOrd="0" presId="urn:microsoft.com/office/officeart/2005/8/layout/vList4#1"/>
    <dgm:cxn modelId="{9E925690-4561-4FEE-BC8D-DFC8D429DC61}" type="presOf" srcId="{1BA80623-F58E-482F-BA01-02C771C4F5D4}" destId="{29BAB95E-AF45-4217-8F14-D156A1016703}" srcOrd="1" destOrd="2" presId="urn:microsoft.com/office/officeart/2005/8/layout/vList4#1"/>
    <dgm:cxn modelId="{30FFF04E-0D14-4C82-A7FA-2C6A0D7A8D90}" type="presOf" srcId="{513DD3BD-DA32-45EA-8E45-6146E757E978}" destId="{3CFEC9B5-194D-4DB7-92ED-9832D837DBB9}" srcOrd="0" destOrd="1" presId="urn:microsoft.com/office/officeart/2005/8/layout/vList4#1"/>
    <dgm:cxn modelId="{12A522E2-3961-4E69-B615-C21F2F67BC3C}" srcId="{0391A25E-D873-4DFC-BB8B-C67BE4CBDBA4}" destId="{1E60D001-0993-493D-B2E1-1976541B086D}" srcOrd="1" destOrd="0" parTransId="{68D1BCE7-673E-4B45-8F5B-7B71684625B4}" sibTransId="{9CEFB81C-8B7F-45C3-B269-B54403AC3BDD}"/>
    <dgm:cxn modelId="{1DA24BF9-043B-4EE2-ADF2-D2E6213F930C}" type="presOf" srcId="{F66143C0-2067-42F0-844F-094DA40AAC8D}" destId="{3F955632-6C94-415C-93B4-48CE7BD57117}" srcOrd="1" destOrd="1" presId="urn:microsoft.com/office/officeart/2005/8/layout/vList4#1"/>
    <dgm:cxn modelId="{1BC4F88A-A6E9-46C7-AD25-2BBC285B8762}" type="presOf" srcId="{1E60D001-0993-493D-B2E1-1976541B086D}" destId="{3F955632-6C94-415C-93B4-48CE7BD57117}" srcOrd="1" destOrd="2" presId="urn:microsoft.com/office/officeart/2005/8/layout/vList4#1"/>
    <dgm:cxn modelId="{B05885AF-1FA2-4CC1-8A1D-FCF08AD9B498}" type="presOf" srcId="{5581B17F-80E1-45AC-ABCA-539A092F69BF}" destId="{D4A8B23A-B65A-466B-94B8-828D40E77580}" srcOrd="0" destOrd="3" presId="urn:microsoft.com/office/officeart/2005/8/layout/vList4#1"/>
    <dgm:cxn modelId="{E74CF8AF-44D1-47B4-B6F1-BDB6F83ABC57}" type="presOf" srcId="{8B92C54E-3E46-4F2E-8BA2-42A84872EFCD}" destId="{BEC17DF4-C92C-4F6E-81FD-CF4842548BE9}" srcOrd="1" destOrd="3" presId="urn:microsoft.com/office/officeart/2005/8/layout/vList4#1"/>
    <dgm:cxn modelId="{BE277117-18E1-4718-8DF7-492F5757B031}" type="presOf" srcId="{0391A25E-D873-4DFC-BB8B-C67BE4CBDBA4}" destId="{3F955632-6C94-415C-93B4-48CE7BD57117}" srcOrd="1" destOrd="0" presId="urn:microsoft.com/office/officeart/2005/8/layout/vList4#1"/>
    <dgm:cxn modelId="{ACE3B733-3EC2-45A6-875D-4C92A46129B8}" srcId="{F0C41A3C-C4A1-43CA-B264-26708388FA8F}" destId="{0391A25E-D873-4DFC-BB8B-C67BE4CBDBA4}" srcOrd="1" destOrd="0" parTransId="{2A90ED81-F922-4173-A9C6-7E100C0F8183}" sibTransId="{D3CE9181-30FD-4446-8681-37327C881391}"/>
    <dgm:cxn modelId="{E4F04A22-E5CF-49E5-AE44-B215BD717260}" type="presOf" srcId="{901889E9-2706-4EC2-9C30-805AD03679A0}" destId="{3CFEC9B5-194D-4DB7-92ED-9832D837DBB9}" srcOrd="0" destOrd="2" presId="urn:microsoft.com/office/officeart/2005/8/layout/vList4#1"/>
    <dgm:cxn modelId="{0F100C6E-11CC-42EF-855D-4B3396F3C77E}" type="presOf" srcId="{901889E9-2706-4EC2-9C30-805AD03679A0}" destId="{BEC17DF4-C92C-4F6E-81FD-CF4842548BE9}" srcOrd="1" destOrd="2" presId="urn:microsoft.com/office/officeart/2005/8/layout/vList4#1"/>
    <dgm:cxn modelId="{87F12FCA-1795-4BCA-8F7E-ED0ED432D1FA}" srcId="{D4E726F0-F839-4131-A45B-9F1779983A75}" destId="{513DD3BD-DA32-45EA-8E45-6146E757E978}" srcOrd="0" destOrd="0" parTransId="{C5293036-6D8D-4F57-BD47-77C40899EF86}" sibTransId="{C052CBD1-4652-4326-ACCC-D1371B97E3BC}"/>
    <dgm:cxn modelId="{4EC72B75-E486-4FA9-84CA-8A477D11D181}" srcId="{0391A25E-D873-4DFC-BB8B-C67BE4CBDBA4}" destId="{37C5E8EE-EE44-45F4-AC38-54517AFC6726}" srcOrd="2" destOrd="0" parTransId="{D89334E2-6393-42E3-882C-15DCD6C79F04}" sibTransId="{AECD85C8-0F8B-4F78-AC5B-8120B2FFB4DC}"/>
    <dgm:cxn modelId="{E36CFDBA-D924-4434-8DFC-91DBCDB90B41}" type="presOf" srcId="{1E60D001-0993-493D-B2E1-1976541B086D}" destId="{36E7085B-A893-441A-9F6F-7D5E0C593977}" srcOrd="0" destOrd="2" presId="urn:microsoft.com/office/officeart/2005/8/layout/vList4#1"/>
    <dgm:cxn modelId="{38689BC9-7042-4B01-9813-360661686EBB}" type="presOf" srcId="{D4E726F0-F839-4131-A45B-9F1779983A75}" destId="{BEC17DF4-C92C-4F6E-81FD-CF4842548BE9}" srcOrd="1" destOrd="0" presId="urn:microsoft.com/office/officeart/2005/8/layout/vList4#1"/>
    <dgm:cxn modelId="{63A13668-31C5-4FEA-8EC4-6178836C11E4}" type="presOf" srcId="{513DD3BD-DA32-45EA-8E45-6146E757E978}" destId="{BEC17DF4-C92C-4F6E-81FD-CF4842548BE9}" srcOrd="1" destOrd="1" presId="urn:microsoft.com/office/officeart/2005/8/layout/vList4#1"/>
    <dgm:cxn modelId="{827AB8DB-A623-4E8C-AE51-C2590D13F51B}" type="presOf" srcId="{5581B17F-80E1-45AC-ABCA-539A092F69BF}" destId="{29BAB95E-AF45-4217-8F14-D156A1016703}" srcOrd="1" destOrd="3" presId="urn:microsoft.com/office/officeart/2005/8/layout/vList4#1"/>
    <dgm:cxn modelId="{EC42E457-1CFF-4966-8A52-80FAAB531170}" srcId="{D54D6AF0-E705-4CFD-91CA-E81C2F757099}" destId="{5581B17F-80E1-45AC-ABCA-539A092F69BF}" srcOrd="2" destOrd="0" parTransId="{4B93AF70-7263-407B-94FF-FA929EE6EB33}" sibTransId="{02D759BF-719B-4A31-9E8F-1A2F32E44EED}"/>
    <dgm:cxn modelId="{727A8478-A8CC-4B08-BE32-A1BA531C7054}" type="presOf" srcId="{AC16B4E1-CF1B-4E64-ADFE-98882B653657}" destId="{29BAB95E-AF45-4217-8F14-D156A1016703}" srcOrd="1" destOrd="1" presId="urn:microsoft.com/office/officeart/2005/8/layout/vList4#1"/>
    <dgm:cxn modelId="{39CE5CD1-9505-471F-A4CF-7A3A541D111E}" srcId="{D4E726F0-F839-4131-A45B-9F1779983A75}" destId="{901889E9-2706-4EC2-9C30-805AD03679A0}" srcOrd="1" destOrd="0" parTransId="{8F91AEC9-8059-48BF-BE7C-68D7A5AAE8B7}" sibTransId="{06BF1FB4-27FB-4C64-8C89-19BC4EEB9D4B}"/>
    <dgm:cxn modelId="{A07E513C-10F9-4378-A4AD-90F5809BEEE9}" type="presOf" srcId="{AC16B4E1-CF1B-4E64-ADFE-98882B653657}" destId="{D4A8B23A-B65A-466B-94B8-828D40E77580}" srcOrd="0" destOrd="1" presId="urn:microsoft.com/office/officeart/2005/8/layout/vList4#1"/>
    <dgm:cxn modelId="{074A8E08-98CE-471D-BFB3-091C45DFB9F9}" srcId="{F0C41A3C-C4A1-43CA-B264-26708388FA8F}" destId="{D54D6AF0-E705-4CFD-91CA-E81C2F757099}" srcOrd="2" destOrd="0" parTransId="{7CD883C5-C9DD-4E1D-8E8E-58A73B7536D1}" sibTransId="{1C85E0B1-E1F1-4C5F-8F79-19FF62A5C265}"/>
    <dgm:cxn modelId="{11737BC1-70C7-4339-880A-16A6A28BCBA1}" type="presOf" srcId="{1BA80623-F58E-482F-BA01-02C771C4F5D4}" destId="{D4A8B23A-B65A-466B-94B8-828D40E77580}" srcOrd="0" destOrd="2" presId="urn:microsoft.com/office/officeart/2005/8/layout/vList4#1"/>
    <dgm:cxn modelId="{0EF7ABFC-2AB0-4CE4-83A8-4BC251924FDB}" srcId="{D54D6AF0-E705-4CFD-91CA-E81C2F757099}" destId="{AC16B4E1-CF1B-4E64-ADFE-98882B653657}" srcOrd="0" destOrd="0" parTransId="{904533F5-4382-4344-B33E-590B562F45E8}" sibTransId="{BD0262EC-2609-4071-A14D-1EB57493A83D}"/>
    <dgm:cxn modelId="{7B3E58E3-4A01-498B-807D-527BA3F41E35}" type="presParOf" srcId="{F88840F6-2E4E-423E-A47B-29B3E2941A94}" destId="{D16571C3-329A-4C48-8106-DB39471C981A}" srcOrd="0" destOrd="0" presId="urn:microsoft.com/office/officeart/2005/8/layout/vList4#1"/>
    <dgm:cxn modelId="{9756D6F9-6A3F-4492-B63D-7483AF3F42DA}" type="presParOf" srcId="{D16571C3-329A-4C48-8106-DB39471C981A}" destId="{3CFEC9B5-194D-4DB7-92ED-9832D837DBB9}" srcOrd="0" destOrd="0" presId="urn:microsoft.com/office/officeart/2005/8/layout/vList4#1"/>
    <dgm:cxn modelId="{813F2461-F39D-463B-B42C-68A6026B78DB}" type="presParOf" srcId="{D16571C3-329A-4C48-8106-DB39471C981A}" destId="{236CCFF7-DE19-42A8-8B7F-2277B2C0C064}" srcOrd="1" destOrd="0" presId="urn:microsoft.com/office/officeart/2005/8/layout/vList4#1"/>
    <dgm:cxn modelId="{DEE95A1A-1744-493A-8AE8-BC50C964C0C4}" type="presParOf" srcId="{D16571C3-329A-4C48-8106-DB39471C981A}" destId="{BEC17DF4-C92C-4F6E-81FD-CF4842548BE9}" srcOrd="2" destOrd="0" presId="urn:microsoft.com/office/officeart/2005/8/layout/vList4#1"/>
    <dgm:cxn modelId="{CAE45DF5-5615-439C-A1F0-E4FFEA7377E3}" type="presParOf" srcId="{F88840F6-2E4E-423E-A47B-29B3E2941A94}" destId="{577A6981-EDE5-49FD-BC15-2F8B6E1D521F}" srcOrd="1" destOrd="0" presId="urn:microsoft.com/office/officeart/2005/8/layout/vList4#1"/>
    <dgm:cxn modelId="{7410E914-9B68-4815-9F86-AF104871EB85}" type="presParOf" srcId="{F88840F6-2E4E-423E-A47B-29B3E2941A94}" destId="{8B9852FD-7326-4E93-8FC1-9A31C1803C04}" srcOrd="2" destOrd="0" presId="urn:microsoft.com/office/officeart/2005/8/layout/vList4#1"/>
    <dgm:cxn modelId="{13BCA9E2-891D-4EDD-8759-62A9683F3F73}" type="presParOf" srcId="{8B9852FD-7326-4E93-8FC1-9A31C1803C04}" destId="{36E7085B-A893-441A-9F6F-7D5E0C593977}" srcOrd="0" destOrd="0" presId="urn:microsoft.com/office/officeart/2005/8/layout/vList4#1"/>
    <dgm:cxn modelId="{5668549E-4258-447E-AC37-1E6199B334A9}" type="presParOf" srcId="{8B9852FD-7326-4E93-8FC1-9A31C1803C04}" destId="{B403DE92-189C-4CA0-A255-F8D3A160C8DD}" srcOrd="1" destOrd="0" presId="urn:microsoft.com/office/officeart/2005/8/layout/vList4#1"/>
    <dgm:cxn modelId="{0ED2C012-CD51-411F-A68D-C67F04A86056}" type="presParOf" srcId="{8B9852FD-7326-4E93-8FC1-9A31C1803C04}" destId="{3F955632-6C94-415C-93B4-48CE7BD57117}" srcOrd="2" destOrd="0" presId="urn:microsoft.com/office/officeart/2005/8/layout/vList4#1"/>
    <dgm:cxn modelId="{A0D13027-02B2-4E67-AC08-9F5F12B158AC}" type="presParOf" srcId="{F88840F6-2E4E-423E-A47B-29B3E2941A94}" destId="{82422135-D981-4069-B7C6-A313185DF58B}" srcOrd="3" destOrd="0" presId="urn:microsoft.com/office/officeart/2005/8/layout/vList4#1"/>
    <dgm:cxn modelId="{24B0648D-8674-4C4D-8E6D-1CF5185497A9}" type="presParOf" srcId="{F88840F6-2E4E-423E-A47B-29B3E2941A94}" destId="{48F9B206-5E48-4209-8512-F05E651190B0}" srcOrd="4" destOrd="0" presId="urn:microsoft.com/office/officeart/2005/8/layout/vList4#1"/>
    <dgm:cxn modelId="{426632EA-7B88-4F10-9D2A-8248750EBFDF}" type="presParOf" srcId="{48F9B206-5E48-4209-8512-F05E651190B0}" destId="{D4A8B23A-B65A-466B-94B8-828D40E77580}" srcOrd="0" destOrd="0" presId="urn:microsoft.com/office/officeart/2005/8/layout/vList4#1"/>
    <dgm:cxn modelId="{1C13F7F0-9F2E-4678-B0B0-F6A0CB0E0D2C}" type="presParOf" srcId="{48F9B206-5E48-4209-8512-F05E651190B0}" destId="{AFB3A459-DDAB-4834-A4DE-7A2E1AFD167A}" srcOrd="1" destOrd="0" presId="urn:microsoft.com/office/officeart/2005/8/layout/vList4#1"/>
    <dgm:cxn modelId="{A2E1A01C-0592-4185-965B-15E519C99B10}" type="presParOf" srcId="{48F9B206-5E48-4209-8512-F05E651190B0}" destId="{29BAB95E-AF45-4217-8F14-D156A1016703}" srcOrd="2" destOrd="0" presId="urn:microsoft.com/office/officeart/2005/8/layout/vList4#1"/>
  </dgm:cxnLst>
  <dgm:bg>
    <a:solidFill>
      <a:sysClr val="window" lastClr="FFFFFF"/>
    </a:solidFill>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E3AA8F2C-282F-4856-86BE-7B5DDC1FAF89}" type="doc">
      <dgm:prSet loTypeId="urn:microsoft.com/office/officeart/2005/8/layout/hProcess4" loCatId="process" qsTypeId="urn:microsoft.com/office/officeart/2005/8/quickstyle/simple1" qsCatId="simple" csTypeId="urn:microsoft.com/office/officeart/2005/8/colors/accent1_2" csCatId="accent1" phldr="1"/>
      <dgm:spPr/>
      <dgm:t>
        <a:bodyPr/>
        <a:lstStyle/>
        <a:p>
          <a:endParaRPr lang="en-IN"/>
        </a:p>
      </dgm:t>
    </dgm:pt>
    <dgm:pt modelId="{771D52E4-E770-4CAE-ABFA-07D474333C9D}">
      <dgm:prSet phldrT="[Text]" custT="1"/>
      <dgm:spPr>
        <a:solidFill>
          <a:schemeClr val="bg2"/>
        </a:solidFill>
        <a:ln>
          <a:noFill/>
        </a:ln>
      </dgm:spPr>
      <dgm:t>
        <a:bodyPr/>
        <a:lstStyle/>
        <a:p>
          <a:r>
            <a:rPr lang="en-US" sz="1600" b="1" dirty="0">
              <a:solidFill>
                <a:schemeClr val="bg2">
                  <a:lumMod val="25000"/>
                </a:schemeClr>
              </a:solidFill>
              <a:latin typeface="+mn-lt"/>
            </a:rPr>
            <a:t>IMPROVEMENT</a:t>
          </a:r>
        </a:p>
        <a:p>
          <a:r>
            <a:rPr lang="en-US" sz="1600" b="1" dirty="0">
              <a:latin typeface="+mn-lt"/>
            </a:rPr>
            <a:t> </a:t>
          </a:r>
          <a:r>
            <a:rPr lang="en-US" sz="1600" b="1" dirty="0">
              <a:solidFill>
                <a:schemeClr val="bg2">
                  <a:lumMod val="25000"/>
                </a:schemeClr>
              </a:solidFill>
              <a:latin typeface="+mn-lt"/>
            </a:rPr>
            <a:t>OPTIONS</a:t>
          </a:r>
          <a:r>
            <a:rPr lang="en-US" sz="1600" b="1" dirty="0">
              <a:latin typeface="+mn-lt"/>
            </a:rPr>
            <a:t> </a:t>
          </a:r>
        </a:p>
        <a:p>
          <a:r>
            <a:rPr lang="en-US" sz="1600" b="1" dirty="0">
              <a:solidFill>
                <a:schemeClr val="bg2">
                  <a:lumMod val="25000"/>
                </a:schemeClr>
              </a:solidFill>
              <a:latin typeface="+mn-lt"/>
            </a:rPr>
            <a:t>FOR</a:t>
          </a:r>
          <a:r>
            <a:rPr lang="en-US" sz="1600" b="1" dirty="0">
              <a:latin typeface="+mn-lt"/>
            </a:rPr>
            <a:t> </a:t>
          </a:r>
        </a:p>
        <a:p>
          <a:r>
            <a:rPr lang="en-US" sz="1600" b="1" dirty="0">
              <a:solidFill>
                <a:schemeClr val="bg2">
                  <a:lumMod val="25000"/>
                </a:schemeClr>
              </a:solidFill>
              <a:latin typeface="+mn-lt"/>
            </a:rPr>
            <a:t>REVIEW</a:t>
          </a:r>
          <a:endParaRPr lang="en-IN" sz="1600" b="1" dirty="0">
            <a:solidFill>
              <a:schemeClr val="bg2">
                <a:lumMod val="25000"/>
              </a:schemeClr>
            </a:solidFill>
            <a:latin typeface="+mn-lt"/>
          </a:endParaRPr>
        </a:p>
      </dgm:t>
    </dgm:pt>
    <dgm:pt modelId="{6D05B2D6-242E-4BB4-9AEC-2A4F070B16CC}" type="parTrans" cxnId="{707D85BB-21B4-4FDD-AEAD-795A6B51780B}">
      <dgm:prSet/>
      <dgm:spPr/>
      <dgm:t>
        <a:bodyPr/>
        <a:lstStyle/>
        <a:p>
          <a:endParaRPr lang="en-IN"/>
        </a:p>
      </dgm:t>
    </dgm:pt>
    <dgm:pt modelId="{A5D8C6D4-2E00-4502-826D-F4929AEDDFE2}" type="sibTrans" cxnId="{707D85BB-21B4-4FDD-AEAD-795A6B51780B}">
      <dgm:prSet/>
      <dgm:spPr/>
      <dgm:t>
        <a:bodyPr/>
        <a:lstStyle/>
        <a:p>
          <a:endParaRPr lang="en-IN"/>
        </a:p>
      </dgm:t>
    </dgm:pt>
    <dgm:pt modelId="{EB3E010E-68C4-4E91-B4BD-238300E272D1}" type="pres">
      <dgm:prSet presAssocID="{E3AA8F2C-282F-4856-86BE-7B5DDC1FAF89}" presName="Name0" presStyleCnt="0">
        <dgm:presLayoutVars>
          <dgm:dir/>
          <dgm:animLvl val="lvl"/>
          <dgm:resizeHandles val="exact"/>
        </dgm:presLayoutVars>
      </dgm:prSet>
      <dgm:spPr/>
      <dgm:t>
        <a:bodyPr/>
        <a:lstStyle/>
        <a:p>
          <a:endParaRPr lang="en-GB"/>
        </a:p>
      </dgm:t>
    </dgm:pt>
    <dgm:pt modelId="{8ADA6D3F-A01D-4615-9D08-3ABF3069DA2F}" type="pres">
      <dgm:prSet presAssocID="{E3AA8F2C-282F-4856-86BE-7B5DDC1FAF89}" presName="tSp" presStyleCnt="0"/>
      <dgm:spPr/>
    </dgm:pt>
    <dgm:pt modelId="{D1ACB3D7-B13A-4492-9F53-066DAA72FAAF}" type="pres">
      <dgm:prSet presAssocID="{E3AA8F2C-282F-4856-86BE-7B5DDC1FAF89}" presName="bSp" presStyleCnt="0"/>
      <dgm:spPr/>
    </dgm:pt>
    <dgm:pt modelId="{1B299F49-4DDE-450B-A85D-7669BDCB30CF}" type="pres">
      <dgm:prSet presAssocID="{E3AA8F2C-282F-4856-86BE-7B5DDC1FAF89}" presName="process" presStyleCnt="0"/>
      <dgm:spPr/>
    </dgm:pt>
    <dgm:pt modelId="{DAEFAB62-D56E-41AB-B141-6C6C468BAF07}" type="pres">
      <dgm:prSet presAssocID="{771D52E4-E770-4CAE-ABFA-07D474333C9D}" presName="composite1" presStyleCnt="0"/>
      <dgm:spPr/>
    </dgm:pt>
    <dgm:pt modelId="{A1DF5999-9B46-4960-9FA9-E4C3C2BBC48D}" type="pres">
      <dgm:prSet presAssocID="{771D52E4-E770-4CAE-ABFA-07D474333C9D}" presName="dummyNode1" presStyleLbl="node1" presStyleIdx="0" presStyleCnt="1"/>
      <dgm:spPr/>
    </dgm:pt>
    <dgm:pt modelId="{D4A85D90-9CAE-4A92-9826-032641E1E3F9}" type="pres">
      <dgm:prSet presAssocID="{771D52E4-E770-4CAE-ABFA-07D474333C9D}" presName="childNode1" presStyleLbl="bgAcc1" presStyleIdx="0" presStyleCnt="1" custScaleX="77528" custScaleY="77921" custLinFactNeighborX="8745" custLinFactNeighborY="18513">
        <dgm:presLayoutVars>
          <dgm:bulletEnabled val="1"/>
        </dgm:presLayoutVars>
      </dgm:prSet>
      <dgm:spPr>
        <a:solidFill>
          <a:schemeClr val="bg2">
            <a:lumMod val="75000"/>
            <a:alpha val="90000"/>
          </a:schemeClr>
        </a:solidFill>
        <a:ln>
          <a:noFill/>
        </a:ln>
      </dgm:spPr>
    </dgm:pt>
    <dgm:pt modelId="{9619D746-2DC8-4714-8529-24A75760EC61}" type="pres">
      <dgm:prSet presAssocID="{771D52E4-E770-4CAE-ABFA-07D474333C9D}" presName="childNode1tx" presStyleLbl="bgAcc1" presStyleIdx="0" presStyleCnt="1">
        <dgm:presLayoutVars>
          <dgm:bulletEnabled val="1"/>
        </dgm:presLayoutVars>
      </dgm:prSet>
      <dgm:spPr/>
    </dgm:pt>
    <dgm:pt modelId="{C21E9D9F-B144-45A8-A30C-9C47E83992DC}" type="pres">
      <dgm:prSet presAssocID="{771D52E4-E770-4CAE-ABFA-07D474333C9D}" presName="parentNode1" presStyleLbl="node1" presStyleIdx="0" presStyleCnt="1" custScaleY="476656" custLinFactNeighborX="-9192" custLinFactNeighborY="-21334">
        <dgm:presLayoutVars>
          <dgm:chMax val="1"/>
          <dgm:bulletEnabled val="1"/>
        </dgm:presLayoutVars>
      </dgm:prSet>
      <dgm:spPr/>
      <dgm:t>
        <a:bodyPr/>
        <a:lstStyle/>
        <a:p>
          <a:endParaRPr lang="en-GB"/>
        </a:p>
      </dgm:t>
    </dgm:pt>
    <dgm:pt modelId="{5619AA85-3C0F-4E01-8C9A-70CE92C9F7E2}" type="pres">
      <dgm:prSet presAssocID="{771D52E4-E770-4CAE-ABFA-07D474333C9D}" presName="connSite1" presStyleCnt="0"/>
      <dgm:spPr/>
    </dgm:pt>
  </dgm:ptLst>
  <dgm:cxnLst>
    <dgm:cxn modelId="{229F8D8D-3C6A-4370-86BB-08BA1BB21710}" type="presOf" srcId="{E3AA8F2C-282F-4856-86BE-7B5DDC1FAF89}" destId="{EB3E010E-68C4-4E91-B4BD-238300E272D1}" srcOrd="0" destOrd="0" presId="urn:microsoft.com/office/officeart/2005/8/layout/hProcess4"/>
    <dgm:cxn modelId="{707D85BB-21B4-4FDD-AEAD-795A6B51780B}" srcId="{E3AA8F2C-282F-4856-86BE-7B5DDC1FAF89}" destId="{771D52E4-E770-4CAE-ABFA-07D474333C9D}" srcOrd="0" destOrd="0" parTransId="{6D05B2D6-242E-4BB4-9AEC-2A4F070B16CC}" sibTransId="{A5D8C6D4-2E00-4502-826D-F4929AEDDFE2}"/>
    <dgm:cxn modelId="{F6407694-0E4F-48F0-AA6C-3CF14F56238E}" type="presOf" srcId="{771D52E4-E770-4CAE-ABFA-07D474333C9D}" destId="{C21E9D9F-B144-45A8-A30C-9C47E83992DC}" srcOrd="0" destOrd="0" presId="urn:microsoft.com/office/officeart/2005/8/layout/hProcess4"/>
    <dgm:cxn modelId="{750231DA-6164-4764-977C-4DDAFE0A1BE6}" type="presParOf" srcId="{EB3E010E-68C4-4E91-B4BD-238300E272D1}" destId="{8ADA6D3F-A01D-4615-9D08-3ABF3069DA2F}" srcOrd="0" destOrd="0" presId="urn:microsoft.com/office/officeart/2005/8/layout/hProcess4"/>
    <dgm:cxn modelId="{7FBA221A-B407-4611-BDD0-18E38230AA43}" type="presParOf" srcId="{EB3E010E-68C4-4E91-B4BD-238300E272D1}" destId="{D1ACB3D7-B13A-4492-9F53-066DAA72FAAF}" srcOrd="1" destOrd="0" presId="urn:microsoft.com/office/officeart/2005/8/layout/hProcess4"/>
    <dgm:cxn modelId="{9ACDCFB7-9425-4321-9D33-2D139D597702}" type="presParOf" srcId="{EB3E010E-68C4-4E91-B4BD-238300E272D1}" destId="{1B299F49-4DDE-450B-A85D-7669BDCB30CF}" srcOrd="2" destOrd="0" presId="urn:microsoft.com/office/officeart/2005/8/layout/hProcess4"/>
    <dgm:cxn modelId="{E7399A8F-B444-45BB-8785-E6D60FFAD43B}" type="presParOf" srcId="{1B299F49-4DDE-450B-A85D-7669BDCB30CF}" destId="{DAEFAB62-D56E-41AB-B141-6C6C468BAF07}" srcOrd="0" destOrd="0" presId="urn:microsoft.com/office/officeart/2005/8/layout/hProcess4"/>
    <dgm:cxn modelId="{7019FF6E-9C9B-4B42-A01D-FD9AE2D19467}" type="presParOf" srcId="{DAEFAB62-D56E-41AB-B141-6C6C468BAF07}" destId="{A1DF5999-9B46-4960-9FA9-E4C3C2BBC48D}" srcOrd="0" destOrd="0" presId="urn:microsoft.com/office/officeart/2005/8/layout/hProcess4"/>
    <dgm:cxn modelId="{FE49E486-472B-4093-99A7-3A06F089D8CF}" type="presParOf" srcId="{DAEFAB62-D56E-41AB-B141-6C6C468BAF07}" destId="{D4A85D90-9CAE-4A92-9826-032641E1E3F9}" srcOrd="1" destOrd="0" presId="urn:microsoft.com/office/officeart/2005/8/layout/hProcess4"/>
    <dgm:cxn modelId="{5647A80F-BF65-46E4-B286-B61DA819B857}" type="presParOf" srcId="{DAEFAB62-D56E-41AB-B141-6C6C468BAF07}" destId="{9619D746-2DC8-4714-8529-24A75760EC61}" srcOrd="2" destOrd="0" presId="urn:microsoft.com/office/officeart/2005/8/layout/hProcess4"/>
    <dgm:cxn modelId="{0433635F-92E2-44BB-B96B-84C17E5B827A}" type="presParOf" srcId="{DAEFAB62-D56E-41AB-B141-6C6C468BAF07}" destId="{C21E9D9F-B144-45A8-A30C-9C47E83992DC}" srcOrd="3" destOrd="0" presId="urn:microsoft.com/office/officeart/2005/8/layout/hProcess4"/>
    <dgm:cxn modelId="{EC8DDE96-8421-45BE-8292-2A1A0DC6FB07}" type="presParOf" srcId="{DAEFAB62-D56E-41AB-B141-6C6C468BAF07}" destId="{5619AA85-3C0F-4E01-8C9A-70CE92C9F7E2}" srcOrd="4" destOrd="0" presId="urn:microsoft.com/office/officeart/2005/8/layout/hProcess4"/>
  </dgm:cxnLst>
  <dgm:bg>
    <a:noFill/>
  </dgm:bg>
  <dgm:whole/>
  <dgm:extLst>
    <a:ext uri="http://schemas.microsoft.com/office/drawing/2008/diagram">
      <dsp:dataModelExt xmlns:dsp="http://schemas.microsoft.com/office/drawing/2008/diagram" relId="rId1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CFEC9B5-194D-4DB7-92ED-9832D837DBB9}">
      <dsp:nvSpPr>
        <dsp:cNvPr id="0" name=""/>
        <dsp:cNvSpPr/>
      </dsp:nvSpPr>
      <dsp:spPr>
        <a:xfrm>
          <a:off x="0" y="0"/>
          <a:ext cx="6270953" cy="1119087"/>
        </a:xfrm>
        <a:prstGeom prst="roundRect">
          <a:avLst>
            <a:gd name="adj" fmla="val 10000"/>
          </a:avLst>
        </a:prstGeom>
        <a:solidFill>
          <a:schemeClr val="accent1">
            <a:lumMod val="40000"/>
            <a:lumOff val="6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0960" tIns="60960" rIns="60960" bIns="60960" numCol="1" spcCol="1270" anchor="t" anchorCtr="0">
          <a:noAutofit/>
        </a:bodyPr>
        <a:lstStyle/>
        <a:p>
          <a:pPr lvl="0" algn="l" defTabSz="711200">
            <a:lnSpc>
              <a:spcPct val="90000"/>
            </a:lnSpc>
            <a:spcBef>
              <a:spcPct val="0"/>
            </a:spcBef>
            <a:spcAft>
              <a:spcPct val="35000"/>
            </a:spcAft>
          </a:pPr>
          <a:r>
            <a:rPr lang="en-US" sz="1600" b="1" kern="1200" dirty="0">
              <a:solidFill>
                <a:schemeClr val="bg2">
                  <a:lumMod val="25000"/>
                </a:schemeClr>
              </a:solidFill>
              <a:latin typeface="+mn-lt"/>
            </a:rPr>
            <a:t>I) PERFORMANCE ASSESSMENT</a:t>
          </a:r>
          <a:endParaRPr lang="en-IN" sz="1600" b="1" kern="1200" dirty="0">
            <a:solidFill>
              <a:schemeClr val="bg2">
                <a:lumMod val="25000"/>
              </a:schemeClr>
            </a:solidFill>
            <a:latin typeface="+mn-lt"/>
          </a:endParaRPr>
        </a:p>
        <a:p>
          <a:pPr marL="114300" lvl="1" indent="-114300" algn="l" defTabSz="622300">
            <a:lnSpc>
              <a:spcPct val="90000"/>
            </a:lnSpc>
            <a:spcBef>
              <a:spcPct val="0"/>
            </a:spcBef>
            <a:spcAft>
              <a:spcPct val="15000"/>
            </a:spcAft>
            <a:buChar char="••"/>
          </a:pPr>
          <a:r>
            <a:rPr lang="en-US" sz="1400" b="1" kern="1200" dirty="0">
              <a:latin typeface="+mn-lt"/>
              <a:ea typeface="Arial Unicode MS" pitchFamily="34" charset="-128"/>
              <a:cs typeface="Arial Unicode MS" pitchFamily="34" charset="-128"/>
            </a:rPr>
            <a:t>Assessment through performance indicators</a:t>
          </a:r>
          <a:endParaRPr lang="en-IN" sz="1400" b="1" kern="1200" dirty="0">
            <a:latin typeface="+mn-lt"/>
          </a:endParaRPr>
        </a:p>
        <a:p>
          <a:pPr marL="114300" lvl="1" indent="-114300" algn="l" defTabSz="622300">
            <a:lnSpc>
              <a:spcPct val="90000"/>
            </a:lnSpc>
            <a:spcBef>
              <a:spcPct val="0"/>
            </a:spcBef>
            <a:spcAft>
              <a:spcPct val="15000"/>
            </a:spcAft>
            <a:buChar char="••"/>
          </a:pPr>
          <a:r>
            <a:rPr lang="en-US" sz="1400" b="1" kern="1200" dirty="0">
              <a:latin typeface="+mn-lt"/>
              <a:ea typeface="Arial Unicode MS" pitchFamily="34" charset="-128"/>
              <a:cs typeface="Arial Unicode MS" pitchFamily="34" charset="-128"/>
            </a:rPr>
            <a:t>Assessing service trends and peer comparison </a:t>
          </a:r>
          <a:endParaRPr lang="en-IN" sz="1400" b="1" kern="1200" dirty="0">
            <a:latin typeface="+mn-lt"/>
            <a:ea typeface="Arial Unicode MS" pitchFamily="34" charset="-128"/>
            <a:cs typeface="Arial Unicode MS" pitchFamily="34" charset="-128"/>
          </a:endParaRPr>
        </a:p>
        <a:p>
          <a:pPr marL="114300" lvl="1" indent="-114300" algn="l" defTabSz="622300">
            <a:lnSpc>
              <a:spcPct val="90000"/>
            </a:lnSpc>
            <a:spcBef>
              <a:spcPct val="0"/>
            </a:spcBef>
            <a:spcAft>
              <a:spcPct val="15000"/>
            </a:spcAft>
            <a:buChar char="••"/>
          </a:pPr>
          <a:r>
            <a:rPr lang="en-US" sz="1400" b="1" kern="1200" dirty="0">
              <a:latin typeface="+mn-lt"/>
              <a:ea typeface="Arial Unicode MS" pitchFamily="34" charset="-128"/>
              <a:cs typeface="Arial Unicode MS" pitchFamily="34" charset="-128"/>
            </a:rPr>
            <a:t>Deciding improvement priorities</a:t>
          </a:r>
          <a:endParaRPr lang="en-IN" sz="1400" b="1" kern="1200" dirty="0">
            <a:latin typeface="+mn-lt"/>
            <a:ea typeface="Arial Unicode MS" pitchFamily="34" charset="-128"/>
            <a:cs typeface="Arial Unicode MS" pitchFamily="34" charset="-128"/>
          </a:endParaRPr>
        </a:p>
      </dsp:txBody>
      <dsp:txXfrm>
        <a:off x="1366099" y="0"/>
        <a:ext cx="4904853" cy="1119087"/>
      </dsp:txXfrm>
    </dsp:sp>
    <dsp:sp modelId="{236CCFF7-DE19-42A8-8B7F-2277B2C0C064}">
      <dsp:nvSpPr>
        <dsp:cNvPr id="0" name=""/>
        <dsp:cNvSpPr/>
      </dsp:nvSpPr>
      <dsp:spPr>
        <a:xfrm>
          <a:off x="111908" y="111908"/>
          <a:ext cx="1254190" cy="895269"/>
        </a:xfrm>
        <a:prstGeom prst="roundRect">
          <a:avLst>
            <a:gd name="adj" fmla="val 10000"/>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 modelId="{36E7085B-A893-441A-9F6F-7D5E0C593977}">
      <dsp:nvSpPr>
        <dsp:cNvPr id="0" name=""/>
        <dsp:cNvSpPr/>
      </dsp:nvSpPr>
      <dsp:spPr>
        <a:xfrm>
          <a:off x="0" y="1230996"/>
          <a:ext cx="6270953" cy="1119087"/>
        </a:xfrm>
        <a:prstGeom prst="roundRect">
          <a:avLst>
            <a:gd name="adj" fmla="val 10000"/>
          </a:avLst>
        </a:prstGeom>
        <a:solidFill>
          <a:schemeClr val="accent3">
            <a:lumMod val="60000"/>
            <a:lumOff val="4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0960" tIns="60960" rIns="60960" bIns="60960" numCol="1" spcCol="1270" anchor="t" anchorCtr="0">
          <a:noAutofit/>
        </a:bodyPr>
        <a:lstStyle/>
        <a:p>
          <a:pPr lvl="0" algn="l" defTabSz="711200">
            <a:lnSpc>
              <a:spcPct val="90000"/>
            </a:lnSpc>
            <a:spcBef>
              <a:spcPct val="0"/>
            </a:spcBef>
            <a:spcAft>
              <a:spcPct val="35000"/>
            </a:spcAft>
          </a:pPr>
          <a:r>
            <a:rPr lang="en-US" sz="1600" b="1" kern="1200" dirty="0">
              <a:solidFill>
                <a:schemeClr val="bg2">
                  <a:lumMod val="25000"/>
                </a:schemeClr>
              </a:solidFill>
              <a:latin typeface="+mn-lt"/>
            </a:rPr>
            <a:t>II) ACTION PLANNING</a:t>
          </a:r>
          <a:endParaRPr lang="en-IN" sz="1600" b="1" kern="1200" dirty="0">
            <a:solidFill>
              <a:schemeClr val="bg2">
                <a:lumMod val="25000"/>
              </a:schemeClr>
            </a:solidFill>
            <a:latin typeface="+mn-lt"/>
          </a:endParaRPr>
        </a:p>
        <a:p>
          <a:pPr marL="114300" lvl="1" indent="-114300" algn="l" defTabSz="622300">
            <a:lnSpc>
              <a:spcPct val="90000"/>
            </a:lnSpc>
            <a:spcBef>
              <a:spcPct val="0"/>
            </a:spcBef>
            <a:spcAft>
              <a:spcPct val="15000"/>
            </a:spcAft>
            <a:buChar char="••"/>
          </a:pPr>
          <a:r>
            <a:rPr lang="en-US" sz="1400" b="1" kern="1200" dirty="0">
              <a:latin typeface="+mn-lt"/>
              <a:ea typeface="Arial Unicode MS" pitchFamily="34" charset="-128"/>
              <a:cs typeface="Arial Unicode MS" pitchFamily="34" charset="-128"/>
            </a:rPr>
            <a:t>Setting overall Improvement vision</a:t>
          </a:r>
          <a:endParaRPr lang="en-IN" sz="1400" b="1" kern="1200" dirty="0">
            <a:latin typeface="+mn-lt"/>
          </a:endParaRPr>
        </a:p>
        <a:p>
          <a:pPr marL="114300" lvl="1" indent="-114300" algn="l" defTabSz="622300">
            <a:lnSpc>
              <a:spcPct val="90000"/>
            </a:lnSpc>
            <a:spcBef>
              <a:spcPct val="0"/>
            </a:spcBef>
            <a:spcAft>
              <a:spcPct val="15000"/>
            </a:spcAft>
            <a:buChar char="••"/>
          </a:pPr>
          <a:r>
            <a:rPr lang="en-US" sz="1400" b="1" kern="1200" dirty="0">
              <a:latin typeface="+mn-lt"/>
              <a:ea typeface="Arial Unicode MS" pitchFamily="34" charset="-128"/>
              <a:cs typeface="Arial Unicode MS" pitchFamily="34" charset="-128"/>
            </a:rPr>
            <a:t>Selecting improvement actions</a:t>
          </a:r>
          <a:endParaRPr lang="en-IN" sz="1400" b="1" kern="1200" dirty="0">
            <a:latin typeface="+mn-lt"/>
            <a:ea typeface="Arial Unicode MS" pitchFamily="34" charset="-128"/>
            <a:cs typeface="Arial Unicode MS" pitchFamily="34" charset="-128"/>
          </a:endParaRPr>
        </a:p>
        <a:p>
          <a:pPr marL="114300" lvl="1" indent="-114300" algn="l" defTabSz="622300">
            <a:lnSpc>
              <a:spcPct val="90000"/>
            </a:lnSpc>
            <a:spcBef>
              <a:spcPct val="0"/>
            </a:spcBef>
            <a:spcAft>
              <a:spcPct val="15000"/>
            </a:spcAft>
            <a:buChar char="••"/>
          </a:pPr>
          <a:r>
            <a:rPr lang="en-US" sz="1400" b="1" kern="1200" dirty="0">
              <a:latin typeface="+mn-lt"/>
              <a:ea typeface="Arial Unicode MS" pitchFamily="34" charset="-128"/>
              <a:cs typeface="Arial Unicode MS" pitchFamily="34" charset="-128"/>
            </a:rPr>
            <a:t>Designing improvement actions</a:t>
          </a:r>
          <a:endParaRPr lang="en-IN" sz="1400" b="1" kern="1200" dirty="0">
            <a:latin typeface="+mn-lt"/>
            <a:ea typeface="Arial Unicode MS" pitchFamily="34" charset="-128"/>
            <a:cs typeface="Arial Unicode MS" pitchFamily="34" charset="-128"/>
          </a:endParaRPr>
        </a:p>
      </dsp:txBody>
      <dsp:txXfrm>
        <a:off x="1366099" y="1230996"/>
        <a:ext cx="4904853" cy="1119087"/>
      </dsp:txXfrm>
    </dsp:sp>
    <dsp:sp modelId="{B403DE92-189C-4CA0-A255-F8D3A160C8DD}">
      <dsp:nvSpPr>
        <dsp:cNvPr id="0" name=""/>
        <dsp:cNvSpPr/>
      </dsp:nvSpPr>
      <dsp:spPr>
        <a:xfrm>
          <a:off x="111908" y="1342904"/>
          <a:ext cx="1254190" cy="895269"/>
        </a:xfrm>
        <a:prstGeom prst="roundRect">
          <a:avLst>
            <a:gd name="adj" fmla="val 10000"/>
          </a:avLst>
        </a:prstGeom>
        <a:blipFill rotWithShape="0">
          <a:blip xmlns:r="http://schemas.openxmlformats.org/officeDocument/2006/relationships" r:embed="rId2"/>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 modelId="{D4A8B23A-B65A-466B-94B8-828D40E77580}">
      <dsp:nvSpPr>
        <dsp:cNvPr id="0" name=""/>
        <dsp:cNvSpPr/>
      </dsp:nvSpPr>
      <dsp:spPr>
        <a:xfrm>
          <a:off x="0" y="2461992"/>
          <a:ext cx="6270953" cy="1119087"/>
        </a:xfrm>
        <a:prstGeom prst="roundRect">
          <a:avLst>
            <a:gd name="adj" fmla="val 10000"/>
          </a:avLst>
        </a:prstGeom>
        <a:solidFill>
          <a:schemeClr val="accent2">
            <a:lumMod val="40000"/>
            <a:lumOff val="6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0960" tIns="60960" rIns="60960" bIns="60960" numCol="1" spcCol="1270" anchor="t" anchorCtr="0">
          <a:noAutofit/>
        </a:bodyPr>
        <a:lstStyle/>
        <a:p>
          <a:pPr lvl="0" algn="l" defTabSz="711200">
            <a:lnSpc>
              <a:spcPct val="90000"/>
            </a:lnSpc>
            <a:spcBef>
              <a:spcPct val="0"/>
            </a:spcBef>
            <a:spcAft>
              <a:spcPct val="35000"/>
            </a:spcAft>
          </a:pPr>
          <a:r>
            <a:rPr lang="en-US" sz="1600" b="1" kern="1200" dirty="0">
              <a:solidFill>
                <a:schemeClr val="bg2">
                  <a:lumMod val="25000"/>
                </a:schemeClr>
              </a:solidFill>
              <a:latin typeface="+mn-lt"/>
            </a:rPr>
            <a:t>III) FINANCIAL PLANNING</a:t>
          </a:r>
          <a:endParaRPr lang="en-IN" sz="1600" b="1" kern="1200" dirty="0">
            <a:solidFill>
              <a:schemeClr val="bg2">
                <a:lumMod val="25000"/>
              </a:schemeClr>
            </a:solidFill>
            <a:latin typeface="+mn-lt"/>
          </a:endParaRPr>
        </a:p>
        <a:p>
          <a:pPr marL="114300" lvl="1" indent="-114300" algn="l" defTabSz="622300">
            <a:lnSpc>
              <a:spcPct val="90000"/>
            </a:lnSpc>
            <a:spcBef>
              <a:spcPct val="0"/>
            </a:spcBef>
            <a:spcAft>
              <a:spcPct val="15000"/>
            </a:spcAft>
            <a:buChar char="••"/>
          </a:pPr>
          <a:r>
            <a:rPr lang="en-US" sz="1400" b="1" kern="1200" dirty="0">
              <a:latin typeface="+mn-lt"/>
              <a:ea typeface="Arial Unicode MS" pitchFamily="34" charset="-128"/>
              <a:cs typeface="Arial Unicode MS" pitchFamily="34" charset="-128"/>
            </a:rPr>
            <a:t>Reviewing local finances</a:t>
          </a:r>
          <a:endParaRPr lang="en-IN" sz="1400" b="1" kern="1200" dirty="0">
            <a:latin typeface="+mn-lt"/>
          </a:endParaRPr>
        </a:p>
        <a:p>
          <a:pPr marL="114300" lvl="1" indent="-114300" algn="l" defTabSz="622300">
            <a:lnSpc>
              <a:spcPct val="90000"/>
            </a:lnSpc>
            <a:spcBef>
              <a:spcPct val="0"/>
            </a:spcBef>
            <a:spcAft>
              <a:spcPct val="15000"/>
            </a:spcAft>
            <a:buChar char="••"/>
          </a:pPr>
          <a:r>
            <a:rPr lang="en-US" sz="1400" b="1" kern="1200" dirty="0">
              <a:latin typeface="+mn-lt"/>
              <a:ea typeface="Arial Unicode MS" pitchFamily="34" charset="-128"/>
              <a:cs typeface="Arial Unicode MS" pitchFamily="34" charset="-128"/>
            </a:rPr>
            <a:t>Municipal finance and WSS Projections</a:t>
          </a:r>
          <a:endParaRPr lang="en-IN" sz="1400" b="1" kern="1200" dirty="0">
            <a:latin typeface="+mn-lt"/>
            <a:ea typeface="Arial Unicode MS" pitchFamily="34" charset="-128"/>
            <a:cs typeface="Arial Unicode MS" pitchFamily="34" charset="-128"/>
          </a:endParaRPr>
        </a:p>
        <a:p>
          <a:pPr marL="114300" lvl="1" indent="-114300" algn="l" defTabSz="622300">
            <a:lnSpc>
              <a:spcPct val="90000"/>
            </a:lnSpc>
            <a:spcBef>
              <a:spcPct val="0"/>
            </a:spcBef>
            <a:spcAft>
              <a:spcPct val="15000"/>
            </a:spcAft>
            <a:buChar char="••"/>
          </a:pPr>
          <a:r>
            <a:rPr lang="en-US" sz="1400" b="1" kern="1200" dirty="0">
              <a:latin typeface="+mn-lt"/>
              <a:ea typeface="Arial Unicode MS" pitchFamily="34" charset="-128"/>
              <a:cs typeface="Arial Unicode MS" pitchFamily="34" charset="-128"/>
            </a:rPr>
            <a:t>Financing plan and viability assessment</a:t>
          </a:r>
          <a:endParaRPr lang="en-IN" sz="1400" b="1" kern="1200" dirty="0">
            <a:latin typeface="+mn-lt"/>
            <a:ea typeface="Arial Unicode MS" pitchFamily="34" charset="-128"/>
            <a:cs typeface="Arial Unicode MS" pitchFamily="34" charset="-128"/>
          </a:endParaRPr>
        </a:p>
      </dsp:txBody>
      <dsp:txXfrm>
        <a:off x="1366099" y="2461992"/>
        <a:ext cx="4904853" cy="1119087"/>
      </dsp:txXfrm>
    </dsp:sp>
    <dsp:sp modelId="{AFB3A459-DDAB-4834-A4DE-7A2E1AFD167A}">
      <dsp:nvSpPr>
        <dsp:cNvPr id="0" name=""/>
        <dsp:cNvSpPr/>
      </dsp:nvSpPr>
      <dsp:spPr>
        <a:xfrm>
          <a:off x="111908" y="2573901"/>
          <a:ext cx="1254190" cy="895269"/>
        </a:xfrm>
        <a:prstGeom prst="roundRect">
          <a:avLst>
            <a:gd name="adj" fmla="val 10000"/>
          </a:avLst>
        </a:prstGeom>
        <a:blipFill rotWithShape="0">
          <a:blip xmlns:r="http://schemas.openxmlformats.org/officeDocument/2006/relationships" r:embed="rId3"/>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4A85D90-9CAE-4A92-9826-032641E1E3F9}">
      <dsp:nvSpPr>
        <dsp:cNvPr id="0" name=""/>
        <dsp:cNvSpPr/>
      </dsp:nvSpPr>
      <dsp:spPr>
        <a:xfrm>
          <a:off x="726410" y="727037"/>
          <a:ext cx="1649241" cy="1367175"/>
        </a:xfrm>
        <a:prstGeom prst="roundRect">
          <a:avLst>
            <a:gd name="adj" fmla="val 10000"/>
          </a:avLst>
        </a:prstGeom>
        <a:solidFill>
          <a:schemeClr val="bg2">
            <a:lumMod val="75000"/>
            <a:alpha val="90000"/>
          </a:schemeClr>
        </a:solidFill>
        <a:ln w="25400" cap="flat" cmpd="sng" algn="ctr">
          <a:noFill/>
          <a:prstDash val="solid"/>
        </a:ln>
        <a:effectLst/>
      </dsp:spPr>
      <dsp:style>
        <a:lnRef idx="2">
          <a:scrgbClr r="0" g="0" b="0"/>
        </a:lnRef>
        <a:fillRef idx="1">
          <a:scrgbClr r="0" g="0" b="0"/>
        </a:fillRef>
        <a:effectRef idx="0">
          <a:scrgbClr r="0" g="0" b="0"/>
        </a:effectRef>
        <a:fontRef idx="minor"/>
      </dsp:style>
    </dsp:sp>
    <dsp:sp modelId="{C21E9D9F-B144-45A8-A30C-9C47E83992DC}">
      <dsp:nvSpPr>
        <dsp:cNvPr id="0" name=""/>
        <dsp:cNvSpPr/>
      </dsp:nvSpPr>
      <dsp:spPr>
        <a:xfrm>
          <a:off x="600273" y="10539"/>
          <a:ext cx="1890920" cy="3584246"/>
        </a:xfrm>
        <a:prstGeom prst="roundRect">
          <a:avLst>
            <a:gd name="adj" fmla="val 10000"/>
          </a:avLst>
        </a:prstGeom>
        <a:solidFill>
          <a:schemeClr val="bg2"/>
        </a:solid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0480" tIns="20320" rIns="30480" bIns="20320" numCol="1" spcCol="1270" anchor="ctr" anchorCtr="0">
          <a:noAutofit/>
        </a:bodyPr>
        <a:lstStyle/>
        <a:p>
          <a:pPr lvl="0" algn="ctr" defTabSz="711200">
            <a:lnSpc>
              <a:spcPct val="90000"/>
            </a:lnSpc>
            <a:spcBef>
              <a:spcPct val="0"/>
            </a:spcBef>
            <a:spcAft>
              <a:spcPct val="35000"/>
            </a:spcAft>
          </a:pPr>
          <a:r>
            <a:rPr lang="en-US" sz="1600" b="1" kern="1200" dirty="0">
              <a:solidFill>
                <a:schemeClr val="bg2">
                  <a:lumMod val="25000"/>
                </a:schemeClr>
              </a:solidFill>
              <a:latin typeface="+mn-lt"/>
            </a:rPr>
            <a:t>IMPROVEMENT</a:t>
          </a:r>
        </a:p>
        <a:p>
          <a:pPr lvl="0" algn="ctr" defTabSz="711200">
            <a:lnSpc>
              <a:spcPct val="90000"/>
            </a:lnSpc>
            <a:spcBef>
              <a:spcPct val="0"/>
            </a:spcBef>
            <a:spcAft>
              <a:spcPct val="35000"/>
            </a:spcAft>
          </a:pPr>
          <a:r>
            <a:rPr lang="en-US" sz="1600" b="1" kern="1200" dirty="0">
              <a:latin typeface="+mn-lt"/>
            </a:rPr>
            <a:t> </a:t>
          </a:r>
          <a:r>
            <a:rPr lang="en-US" sz="1600" b="1" kern="1200" dirty="0">
              <a:solidFill>
                <a:schemeClr val="bg2">
                  <a:lumMod val="25000"/>
                </a:schemeClr>
              </a:solidFill>
              <a:latin typeface="+mn-lt"/>
            </a:rPr>
            <a:t>OPTIONS</a:t>
          </a:r>
          <a:r>
            <a:rPr lang="en-US" sz="1600" b="1" kern="1200" dirty="0">
              <a:latin typeface="+mn-lt"/>
            </a:rPr>
            <a:t> </a:t>
          </a:r>
        </a:p>
        <a:p>
          <a:pPr lvl="0" algn="ctr" defTabSz="711200">
            <a:lnSpc>
              <a:spcPct val="90000"/>
            </a:lnSpc>
            <a:spcBef>
              <a:spcPct val="0"/>
            </a:spcBef>
            <a:spcAft>
              <a:spcPct val="35000"/>
            </a:spcAft>
          </a:pPr>
          <a:r>
            <a:rPr lang="en-US" sz="1600" b="1" kern="1200" dirty="0">
              <a:solidFill>
                <a:schemeClr val="bg2">
                  <a:lumMod val="25000"/>
                </a:schemeClr>
              </a:solidFill>
              <a:latin typeface="+mn-lt"/>
            </a:rPr>
            <a:t>FOR</a:t>
          </a:r>
          <a:r>
            <a:rPr lang="en-US" sz="1600" b="1" kern="1200" dirty="0">
              <a:latin typeface="+mn-lt"/>
            </a:rPr>
            <a:t> </a:t>
          </a:r>
        </a:p>
        <a:p>
          <a:pPr lvl="0" algn="ctr" defTabSz="711200">
            <a:lnSpc>
              <a:spcPct val="90000"/>
            </a:lnSpc>
            <a:spcBef>
              <a:spcPct val="0"/>
            </a:spcBef>
            <a:spcAft>
              <a:spcPct val="35000"/>
            </a:spcAft>
          </a:pPr>
          <a:r>
            <a:rPr lang="en-US" sz="1600" b="1" kern="1200" dirty="0">
              <a:solidFill>
                <a:schemeClr val="bg2">
                  <a:lumMod val="25000"/>
                </a:schemeClr>
              </a:solidFill>
              <a:latin typeface="+mn-lt"/>
            </a:rPr>
            <a:t>REVIEW</a:t>
          </a:r>
          <a:endParaRPr lang="en-IN" sz="1600" b="1" kern="1200" dirty="0">
            <a:solidFill>
              <a:schemeClr val="bg2">
                <a:lumMod val="25000"/>
              </a:schemeClr>
            </a:solidFill>
            <a:latin typeface="+mn-lt"/>
          </a:endParaRPr>
        </a:p>
      </dsp:txBody>
      <dsp:txXfrm>
        <a:off x="655656" y="65922"/>
        <a:ext cx="1780154" cy="3473480"/>
      </dsp:txXfrm>
    </dsp:sp>
  </dsp:spTree>
</dsp:drawing>
</file>

<file path=xl/diagrams/layout1.xml><?xml version="1.0" encoding="utf-8"?>
<dgm:layoutDef xmlns:dgm="http://schemas.openxmlformats.org/drawingml/2006/diagram" xmlns:a="http://schemas.openxmlformats.org/drawingml/2006/main" uniqueId="urn:microsoft.com/office/officeart/2005/8/layout/vList4#1">
  <dgm:title val=""/>
  <dgm:desc val=""/>
  <dgm:catLst>
    <dgm:cat type="list" pri="13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resizeHandles val="exact"/>
    </dgm:varLst>
    <dgm:alg type="lin">
      <dgm:param type="linDir" val="fromT"/>
      <dgm:param type="vertAlign" val="t"/>
    </dgm:alg>
    <dgm:shape xmlns:r="http://schemas.openxmlformats.org/officeDocument/2006/relationships" r:blip="">
      <dgm:adjLst/>
    </dgm:shape>
    <dgm:presOf/>
    <dgm:constrLst>
      <dgm:constr type="w" for="ch" forName="comp" refType="w"/>
      <dgm:constr type="h" for="ch" forName="comp" refType="h"/>
      <dgm:constr type="h" for="ch" forName="spacer" refType="h" refFor="ch" refForName="comp" op="equ" fact="0.1"/>
      <dgm:constr type="primFontSz" for="des" forName="text" op="equ" val="65"/>
    </dgm:constrLst>
    <dgm:ruleLst/>
    <dgm:forEach name="Name0" axis="ch" ptType="node">
      <dgm:layoutNode name="comp" styleLbl="node1">
        <dgm:alg type="composite"/>
        <dgm:shape xmlns:r="http://schemas.openxmlformats.org/officeDocument/2006/relationships" r:blip="">
          <dgm:adjLst/>
        </dgm:shape>
        <dgm:presOf/>
        <dgm:choose name="Name1">
          <dgm:if name="Name2" func="var" arg="dir" op="equ" val="norm">
            <dgm:constrLst>
              <dgm:constr type="h" for="ch" forName="box" refType="h"/>
              <dgm:constr type="w" for="ch" forName="box" refType="w"/>
              <dgm:constr type="w" for="ch" forName="img" refType="w" refFor="ch" refForName="box" fact="0.2"/>
              <dgm:constr type="h" for="ch" forName="img" refType="h" refFor="ch" refForName="box" fact="0.8"/>
              <dgm:constr type="t" for="ch" forName="img" refType="h" refFor="ch" refForName="box" fact="0.1"/>
              <dgm:constr type="l" for="ch" forName="img" refType="h" refFor="ch" refForName="box" fact="0.1"/>
              <dgm:constr type="h" for="ch" forName="text" refType="h"/>
              <dgm:constr type="l" for="ch" forName="text" refType="r" refFor="ch" refForName="img"/>
              <dgm:constr type="r" for="ch" forName="text" refType="w"/>
            </dgm:constrLst>
          </dgm:if>
          <dgm:else name="Name3">
            <dgm:constrLst>
              <dgm:constr type="h" for="ch" forName="box" refType="h"/>
              <dgm:constr type="w" for="ch" forName="box" refType="w"/>
              <dgm:constr type="w" for="ch" forName="img" refType="w" refFor="ch" refForName="box" fact="0.2"/>
              <dgm:constr type="h" for="ch" forName="img" refType="h" refFor="ch" refForName="box" fact="0.8"/>
              <dgm:constr type="t" for="ch" forName="img" refType="h" refFor="ch" refForName="box" fact="0.1"/>
              <dgm:constr type="r" for="ch" forName="img" refType="w" refFor="ch" refForName="box"/>
              <dgm:constr type="rOff" for="ch" forName="img" refType="h" refFor="ch" refForName="box" fact="-0.1"/>
              <dgm:constr type="h" for="ch" forName="text" refType="h"/>
              <dgm:constr type="r" for="ch" forName="text" refType="l" refFor="ch" refForName="img"/>
              <dgm:constr type="l" for="ch" forName="text"/>
            </dgm:constrLst>
          </dgm:else>
        </dgm:choose>
        <dgm:ruleLst/>
        <dgm:layoutNode name="box" styleLbl="node1">
          <dgm:alg type="sp"/>
          <dgm:shape xmlns:r="http://schemas.openxmlformats.org/officeDocument/2006/relationships" type="roundRect" r:blip="">
            <dgm:adjLst>
              <dgm:adj idx="1" val="0.1"/>
            </dgm:adjLst>
          </dgm:shape>
          <dgm:presOf axis="desOrSelf" ptType="node"/>
          <dgm:constrLst/>
          <dgm:ruleLst/>
        </dgm:layoutNode>
        <dgm:layoutNode name="img" styleLbl="fgImgPlace1">
          <dgm:alg type="sp"/>
          <dgm:shape xmlns:r="http://schemas.openxmlformats.org/officeDocument/2006/relationships" type="roundRect" r:blip="" blipPhldr="1">
            <dgm:adjLst>
              <dgm:adj idx="1" val="0.1"/>
            </dgm:adjLst>
          </dgm:shape>
          <dgm:presOf/>
          <dgm:constrLst/>
          <dgm:ruleLst/>
        </dgm:layoutNode>
        <dgm:layoutNode name="text">
          <dgm:varLst>
            <dgm:bulletEnabled val="1"/>
          </dgm:varLst>
          <dgm:alg type="tx">
            <dgm:param type="parTxLTRAlign" val="l"/>
            <dgm:param type="parTxRTLAlign" val="r"/>
          </dgm:alg>
          <dgm:shape xmlns:r="http://schemas.openxmlformats.org/officeDocument/2006/relationships" type="rect" r:blip="" hideGeom="1">
            <dgm:adjLst/>
          </dgm:shape>
          <dgm:presOf axis="desOrSelf"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forEach name="Name4" axis="followSib" ptType="sibTrans" cnt="1">
        <dgm:layoutNode name="spacer">
          <dgm:alg type="sp"/>
          <dgm:shape xmlns:r="http://schemas.openxmlformats.org/officeDocument/2006/relationships" r:blip="">
            <dgm:adjLst/>
          </dgm:shape>
          <dgm:presOf axis="sel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hProcess4">
  <dgm:title val=""/>
  <dgm:desc val=""/>
  <dgm:catLst>
    <dgm:cat type="process" pri="4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composite"/>
    <dgm:shape xmlns:r="http://schemas.openxmlformats.org/officeDocument/2006/relationships" r:blip="">
      <dgm:adjLst/>
    </dgm:shape>
    <dgm:presOf/>
    <dgm:constrLst>
      <dgm:constr type="w" for="ch" forName="tSp" refType="w"/>
      <dgm:constr type="h" for="ch" forName="tSp" refType="h" fact="0.15"/>
      <dgm:constr type="l" for="ch" forName="tSp"/>
      <dgm:constr type="t" for="ch" forName="tSp"/>
      <dgm:constr type="w" for="ch" forName="bSp" refType="w"/>
      <dgm:constr type="h" for="ch" forName="bSp" refType="h" fact="0.15"/>
      <dgm:constr type="l" for="ch" forName="bSp"/>
      <dgm:constr type="t" for="ch" forName="bSp" refType="h" fact="0.85"/>
      <dgm:constr type="w" for="ch" forName="process" refType="w"/>
      <dgm:constr type="h" for="ch" forName="process" refType="h" fact="0.7"/>
      <dgm:constr type="l" for="ch" forName="process"/>
      <dgm:constr type="t" for="ch" forName="process" refType="h" fact="0.15"/>
    </dgm:constrLst>
    <dgm:ruleLst/>
    <dgm:layoutNode name="tSp">
      <dgm:alg type="sp"/>
      <dgm:shape xmlns:r="http://schemas.openxmlformats.org/officeDocument/2006/relationships" r:blip="">
        <dgm:adjLst/>
      </dgm:shape>
      <dgm:presOf/>
      <dgm:constrLst/>
      <dgm:ruleLst/>
    </dgm:layoutNode>
    <dgm:layoutNode name="bSp">
      <dgm:alg type="sp"/>
      <dgm:shape xmlns:r="http://schemas.openxmlformats.org/officeDocument/2006/relationships" r:blip="">
        <dgm:adjLst/>
      </dgm:shape>
      <dgm:presOf/>
      <dgm:constrLst/>
      <dgm:ruleLst/>
    </dgm:layoutNode>
    <dgm:layoutNode name="process">
      <dgm:choose name="Name1">
        <dgm:if name="Name2" func="var" arg="dir" op="equ" val="norm">
          <dgm:alg type="lin">
            <dgm:param type="linDir" val="fromL"/>
          </dgm:alg>
        </dgm:if>
        <dgm:else name="Name3">
          <dgm:alg type="lin">
            <dgm:param type="linDir" val="fromR"/>
          </dgm:alg>
        </dgm:else>
      </dgm:choose>
      <dgm:shape xmlns:r="http://schemas.openxmlformats.org/officeDocument/2006/relationships" r:blip="">
        <dgm:adjLst/>
      </dgm:shape>
      <dgm:presOf/>
      <dgm:constrLst>
        <dgm:constr type="w" for="ch" forName="composite1" refType="w"/>
        <dgm:constr type="w" for="ch" forName="composite2" refType="w" refFor="ch" refForName="composite1" op="equ"/>
        <dgm:constr type="h" for="ch" forName="composite1" refType="h"/>
        <dgm:constr type="h" for="ch" forName="composite2" refType="h" refFor="ch" refForName="composite1" op="equ"/>
        <dgm:constr type="primFontSz" for="des" forName="parentNode1" val="65"/>
        <dgm:constr type="primFontSz" for="des" forName="parentNode2" refType="primFontSz" refFor="des" refForName="parentNode1" op="equ"/>
        <dgm:constr type="secFontSz" for="des" forName="childNode1tx" val="65"/>
        <dgm:constr type="secFontSz" for="des" forName="childNode2tx" refType="secFontSz" refFor="des" refForName="childNode1tx" op="equ"/>
        <dgm:constr type="w" for="des" ptType="sibTrans" refType="w" refFor="ch" refForName="composite1" op="equ" fact="0.05"/>
      </dgm:constrLst>
      <dgm:ruleLst/>
      <dgm:forEach name="Name4" axis="ch" ptType="node" step="2">
        <dgm:layoutNode name="composite1">
          <dgm:alg type="composite">
            <dgm:param type="ar" val="0.943"/>
          </dgm:alg>
          <dgm:shape xmlns:r="http://schemas.openxmlformats.org/officeDocument/2006/relationships" r:blip="">
            <dgm:adjLst/>
          </dgm:shape>
          <dgm:presOf/>
          <dgm:choose name="Name5">
            <dgm:if name="Name6" func="var" arg="dir" op="equ" val="norm">
              <dgm:constrLst>
                <dgm:constr type="h" refType="w" fact="1.06"/>
                <dgm:constr type="w" for="ch" forName="dummyNode1" refType="w"/>
                <dgm:constr type="h" for="ch" forName="dummyNode1" refType="h"/>
                <dgm:constr type="t" for="ch" forName="dummyNode1"/>
                <dgm:constr type="l" for="ch" forName="dummyNode1"/>
                <dgm:constr type="w" for="ch" forName="childNode1" refType="w" fact="0.9"/>
                <dgm:constr type="h" for="ch" forName="childNode1" refType="h" fact="0.7"/>
                <dgm:constr type="t" for="ch" forName="childNode1" refType="h" fact="0.15"/>
                <dgm:constr type="l" for="ch" forName="childNode1"/>
                <dgm:constr type="w" for="ch" forName="childNode1tx" refType="w" fact="0.9"/>
                <dgm:constr type="h" for="ch" forName="childNode1tx" refType="h" fact="0.55"/>
                <dgm:constr type="t" for="ch" forName="childNode1tx" refType="h" fact="0.15"/>
                <dgm:constr type="l" for="ch" forName="childNode1tx"/>
                <dgm:constr type="w" for="ch" forName="parentNode1" refType="w" fact="0.8"/>
                <dgm:constr type="h" for="ch" forName="parentNode1" refType="h" fact="0.3"/>
                <dgm:constr type="t" for="ch" forName="parentNode1" refType="h" fact="0.7"/>
                <dgm:constr type="l" for="ch" forName="parentNode1" refType="w" fact="0.2"/>
                <dgm:constr type="w" for="ch" forName="connSite1" refType="w" fact="0.01"/>
                <dgm:constr type="h" for="ch" forName="connSite1" refType="h" fact="0.01"/>
                <dgm:constr type="t" for="ch" forName="connSite1"/>
                <dgm:constr type="l" for="ch" forName="connSite1" refType="w" fact="0.35"/>
              </dgm:constrLst>
            </dgm:if>
            <dgm:else name="Name7">
              <dgm:constrLst>
                <dgm:constr type="h" refType="w" fact="1.06"/>
                <dgm:constr type="w" for="ch" forName="dummyNode1" refType="w"/>
                <dgm:constr type="h" for="ch" forName="dummyNode1" refType="h"/>
                <dgm:constr type="t" for="ch" forName="dummyNode1"/>
                <dgm:constr type="l" for="ch" forName="dummyNode1"/>
                <dgm:constr type="w" for="ch" forName="childNode1" refType="w" fact="0.9"/>
                <dgm:constr type="h" for="ch" forName="childNode1" refType="h" fact="0.7"/>
                <dgm:constr type="t" for="ch" forName="childNode1" refType="h" fact="0.15"/>
                <dgm:constr type="l" for="ch" forName="childNode1" refType="w" fact="0.1"/>
                <dgm:constr type="w" for="ch" forName="childNode1tx" refType="w" fact="0.9"/>
                <dgm:constr type="h" for="ch" forName="childNode1tx" refType="h" fact="0.55"/>
                <dgm:constr type="t" for="ch" forName="childNode1tx" refType="h" fact="0.15"/>
                <dgm:constr type="l" for="ch" forName="childNode1tx" refType="w" fact="0.1"/>
                <dgm:constr type="w" for="ch" forName="parentNode1" refType="w" fact="0.8"/>
                <dgm:constr type="h" for="ch" forName="parentNode1" refType="h" fact="0.3"/>
                <dgm:constr type="t" for="ch" forName="parentNode1" refType="h" fact="0.7"/>
                <dgm:constr type="l" for="ch" forName="parentNode1"/>
                <dgm:constr type="w" for="ch" forName="connSite1" refType="w" fact="0.01"/>
                <dgm:constr type="h" for="ch" forName="connSite1" refType="h" fact="0.01"/>
                <dgm:constr type="t" for="ch" forName="connSite1"/>
                <dgm:constr type="l" for="ch" forName="connSite1" refType="w" fact="0.65"/>
              </dgm:constrLst>
            </dgm:else>
          </dgm:choose>
          <dgm:ruleLst/>
          <dgm:layoutNode name="dummyNode1">
            <dgm:alg type="sp"/>
            <dgm:shape xmlns:r="http://schemas.openxmlformats.org/officeDocument/2006/relationships" type="rect" r:blip="" hideGeom="1">
              <dgm:adjLst/>
            </dgm:shape>
            <dgm:presOf/>
            <dgm:constrLst/>
            <dgm:ruleLst/>
          </dgm:layoutNode>
          <dgm:layoutNode name="childNode1" styleLbl="bgAcc1">
            <dgm:varLst>
              <dgm:bulletEnabled val="1"/>
            </dgm:varLst>
            <dgm:alg type="sp"/>
            <dgm:shape xmlns:r="http://schemas.openxmlformats.org/officeDocument/2006/relationships" type="roundRect" r:blip="">
              <dgm:adjLst>
                <dgm:adj idx="1" val="0.1"/>
              </dgm:adjLst>
            </dgm:shape>
            <dgm:presOf axis="des" ptType="node"/>
            <dgm:constrLst/>
            <dgm:ruleLst/>
          </dgm:layoutNode>
          <dgm:layoutNode name="childNode1tx" styleLbl="bgAcc1">
            <dgm:varLst>
              <dgm:bulletEnabled val="1"/>
            </dgm:varLst>
            <dgm:alg type="tx">
              <dgm:param type="stBulletLvl" val="1"/>
            </dgm:alg>
            <dgm:shape xmlns:r="http://schemas.openxmlformats.org/officeDocument/2006/relationships" type="roundRect" r:blip="" hideGeom="1">
              <dgm:adjLst>
                <dgm:adj idx="1" val="0.1"/>
              </dgm:adjLst>
            </dgm:shape>
            <dgm:presOf axis="des" ptType="node"/>
            <dgm:constrLst>
              <dgm:constr type="secFontSz" val="65"/>
              <dgm:constr type="primFontSz" refType="secFontSz"/>
              <dgm:constr type="tMarg" refType="secFontSz" fact="0.15"/>
              <dgm:constr type="bMarg" refType="secFontSz" fact="0.15"/>
              <dgm:constr type="lMarg" refType="secFontSz" fact="0.15"/>
              <dgm:constr type="rMarg" refType="secFontSz" fact="0.15"/>
            </dgm:constrLst>
            <dgm:ruleLst>
              <dgm:rule type="secFontSz" val="5" fact="NaN" max="NaN"/>
            </dgm:ruleLst>
          </dgm:layoutNode>
          <dgm:layoutNode name="parentNode1" styleLbl="node1">
            <dgm:varLst>
              <dgm:chMax val="1"/>
              <dgm:bulletEnabled val="1"/>
            </dgm:varLst>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connSite1" moveWith="childNode1">
            <dgm:alg type="sp"/>
            <dgm:shape xmlns:r="http://schemas.openxmlformats.org/officeDocument/2006/relationships" r:blip="">
              <dgm:adjLst/>
            </dgm:shape>
            <dgm:presOf/>
            <dgm:constrLst/>
            <dgm:ruleLst/>
          </dgm:layoutNode>
        </dgm:layoutNode>
        <dgm:forEach name="Name8" axis="followSib" ptType="sibTrans" cnt="1">
          <dgm:layoutNode name="Name9">
            <dgm:alg type="conn">
              <dgm:param type="connRout" val="curve"/>
              <dgm:param type="srcNode" val="parentNode1"/>
              <dgm:param type="dstNode" val="connSite2"/>
              <dgm:param type="begPts" val="bCtr"/>
              <dgm:param type="endPts" val="bCtr"/>
            </dgm:alg>
            <dgm:shape xmlns:r="http://schemas.openxmlformats.org/officeDocument/2006/relationships" type="conn" r:blip="" zOrderOff="-2">
              <dgm:adjLst/>
            </dgm:shape>
            <dgm:presOf axis="self"/>
            <dgm:choose name="Name10">
              <dgm:if name="Name11" func="var" arg="dir" op="equ" val="norm">
                <dgm:constrLst>
                  <dgm:constr type="h" refType="w" fact="0.35"/>
                  <dgm:constr type="wArH" refType="h"/>
                  <dgm:constr type="hArH" refType="h"/>
                  <dgm:constr type="connDist"/>
                  <dgm:constr type="diam" refType="connDist" fact="-1.15"/>
                  <dgm:constr type="begPad"/>
                  <dgm:constr type="endPad"/>
                </dgm:constrLst>
              </dgm:if>
              <dgm:else name="Name12">
                <dgm:constrLst>
                  <dgm:constr type="h" refType="w" fact="0.35"/>
                  <dgm:constr type="wArH" refType="h"/>
                  <dgm:constr type="hArH" refType="h"/>
                  <dgm:constr type="connDist"/>
                  <dgm:constr type="diam" refType="connDist" fact="1.15"/>
                  <dgm:constr type="begPad"/>
                  <dgm:constr type="endPad"/>
                </dgm:constrLst>
              </dgm:else>
            </dgm:choose>
            <dgm:ruleLst/>
          </dgm:layoutNode>
        </dgm:forEach>
        <dgm:forEach name="Name13" axis="followSib" ptType="node" cnt="1">
          <dgm:layoutNode name="composite2">
            <dgm:alg type="composite">
              <dgm:param type="ar" val="0.943"/>
            </dgm:alg>
            <dgm:shape xmlns:r="http://schemas.openxmlformats.org/officeDocument/2006/relationships" r:blip="">
              <dgm:adjLst/>
            </dgm:shape>
            <dgm:presOf/>
            <dgm:choose name="Name14">
              <dgm:if name="Name15" func="var" arg="dir" op="equ" val="norm">
                <dgm:constrLst>
                  <dgm:constr type="h" refType="w" fact="1.06"/>
                  <dgm:constr type="w" for="ch" forName="dummyNode2" refType="w"/>
                  <dgm:constr type="h" for="ch" forName="dummyNode2" refType="h"/>
                  <dgm:constr type="t" for="ch" forName="dummyNode2"/>
                  <dgm:constr type="l" for="ch" forName="dummyNode2"/>
                  <dgm:constr type="w" for="ch" forName="childNode2" refType="w" fact="0.9"/>
                  <dgm:constr type="h" for="ch" forName="childNode2" refType="h" fact="0.7"/>
                  <dgm:constr type="t" for="ch" forName="childNode2" refType="h" fact="0.15"/>
                  <dgm:constr type="l" for="ch" forName="childNode2"/>
                  <dgm:constr type="w" for="ch" forName="childNode2tx" refType="w" fact="0.9"/>
                  <dgm:constr type="h" for="ch" forName="childNode2tx" refType="h" fact="0.55"/>
                  <dgm:constr type="t" for="ch" forName="childNode2tx" refType="h" fact="0.3"/>
                  <dgm:constr type="l" for="ch" forName="childNode2tx"/>
                  <dgm:constr type="w" for="ch" forName="parentNode2" refType="w" fact="0.8"/>
                  <dgm:constr type="h" for="ch" forName="parentNode2" refType="h" fact="0.3"/>
                  <dgm:constr type="t" for="ch" forName="parentNode2"/>
                  <dgm:constr type="l" for="ch" forName="parentNode2" refType="w" fact="0.2"/>
                  <dgm:constr type="w" for="ch" forName="connSite2" refType="w" fact="0.01"/>
                  <dgm:constr type="h" for="ch" forName="connSite2" refType="h" fact="0.01"/>
                  <dgm:constr type="t" for="ch" forName="connSite2" refType="h" fact="0.99"/>
                  <dgm:constr type="l" for="ch" forName="connSite2" refType="w" fact="0.25"/>
                </dgm:constrLst>
              </dgm:if>
              <dgm:else name="Name16">
                <dgm:constrLst>
                  <dgm:constr type="h" refType="w" fact="1.06"/>
                  <dgm:constr type="w" for="ch" forName="dummyNode2" refType="w"/>
                  <dgm:constr type="h" for="ch" forName="dummyNode2" refType="h"/>
                  <dgm:constr type="t" for="ch" forName="dummyNode2"/>
                  <dgm:constr type="l" for="ch" forName="dummyNode2"/>
                  <dgm:constr type="w" for="ch" forName="childNode2" refType="w" fact="0.9"/>
                  <dgm:constr type="h" for="ch" forName="childNode2" refType="h" fact="0.7"/>
                  <dgm:constr type="t" for="ch" forName="childNode2" refType="h" fact="0.15"/>
                  <dgm:constr type="l" for="ch" forName="childNode2" refType="w" fact="0.1"/>
                  <dgm:constr type="w" for="ch" forName="childNode2tx" refType="w" fact="0.9"/>
                  <dgm:constr type="h" for="ch" forName="childNode2tx" refType="h" fact="0.55"/>
                  <dgm:constr type="t" for="ch" forName="childNode2tx" refType="h" fact="0.3"/>
                  <dgm:constr type="l" for="ch" forName="childNode2tx" refType="w" fact="0.1"/>
                  <dgm:constr type="w" for="ch" forName="parentNode2" refType="w" fact="0.8"/>
                  <dgm:constr type="h" for="ch" forName="parentNode2" refType="h" fact="0.3"/>
                  <dgm:constr type="t" for="ch" forName="parentNode2"/>
                  <dgm:constr type="l" for="ch" forName="parentNode2"/>
                  <dgm:constr type="w" for="ch" forName="connSite2" refType="w" fact="0.01"/>
                  <dgm:constr type="h" for="ch" forName="connSite2" refType="h" fact="0.01"/>
                  <dgm:constr type="t" for="ch" forName="connSite2" refType="h" fact="0.99"/>
                  <dgm:constr type="l" for="ch" forName="connSite2" refType="w" fact="0.85"/>
                </dgm:constrLst>
              </dgm:else>
            </dgm:choose>
            <dgm:ruleLst/>
            <dgm:layoutNode name="dummyNode2">
              <dgm:alg type="sp"/>
              <dgm:shape xmlns:r="http://schemas.openxmlformats.org/officeDocument/2006/relationships" type="rect" r:blip="" hideGeom="1">
                <dgm:adjLst/>
              </dgm:shape>
              <dgm:presOf/>
              <dgm:constrLst/>
              <dgm:ruleLst/>
            </dgm:layoutNode>
            <dgm:layoutNode name="childNode2" styleLbl="bgAcc1">
              <dgm:varLst>
                <dgm:bulletEnabled val="1"/>
              </dgm:varLst>
              <dgm:alg type="sp"/>
              <dgm:shape xmlns:r="http://schemas.openxmlformats.org/officeDocument/2006/relationships" type="roundRect" r:blip="">
                <dgm:adjLst>
                  <dgm:adj idx="1" val="0.1"/>
                </dgm:adjLst>
              </dgm:shape>
              <dgm:presOf axis="des" ptType="node"/>
              <dgm:constrLst/>
              <dgm:ruleLst/>
            </dgm:layoutNode>
            <dgm:layoutNode name="childNode2tx" styleLbl="bgAcc1">
              <dgm:varLst>
                <dgm:bulletEnabled val="1"/>
              </dgm:varLst>
              <dgm:alg type="tx">
                <dgm:param type="stBulletLvl" val="1"/>
              </dgm:alg>
              <dgm:shape xmlns:r="http://schemas.openxmlformats.org/officeDocument/2006/relationships" type="roundRect" r:blip="" hideGeom="1">
                <dgm:adjLst>
                  <dgm:adj idx="1" val="0.1"/>
                </dgm:adjLst>
              </dgm:shape>
              <dgm:presOf axis="des" ptType="node"/>
              <dgm:constrLst>
                <dgm:constr type="secFontSz" val="65"/>
                <dgm:constr type="primFontSz" refType="secFontSz"/>
                <dgm:constr type="tMarg" refType="secFontSz" fact="0.15"/>
                <dgm:constr type="bMarg" refType="secFontSz" fact="0.15"/>
                <dgm:constr type="lMarg" refType="secFontSz" fact="0.15"/>
                <dgm:constr type="rMarg" refType="secFontSz" fact="0.15"/>
              </dgm:constrLst>
              <dgm:ruleLst>
                <dgm:rule type="secFontSz" val="5" fact="NaN" max="NaN"/>
              </dgm:ruleLst>
            </dgm:layoutNode>
            <dgm:layoutNode name="parentNode2" styleLbl="node1">
              <dgm:varLst>
                <dgm:chMax val="0"/>
                <dgm:bulletEnabled val="1"/>
              </dgm:varLst>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connSite2" moveWith="childNode2">
              <dgm:alg type="sp"/>
              <dgm:shape xmlns:r="http://schemas.openxmlformats.org/officeDocument/2006/relationships" r:blip="">
                <dgm:adjLst/>
              </dgm:shape>
              <dgm:presOf/>
              <dgm:constrLst/>
              <dgm:ruleLst/>
            </dgm:layoutNode>
          </dgm:layoutNode>
          <dgm:forEach name="Name17" axis="followSib" ptType="sibTrans" cnt="1">
            <dgm:layoutNode name="Name18">
              <dgm:alg type="conn">
                <dgm:param type="connRout" val="curve"/>
                <dgm:param type="srcNode" val="parentNode2"/>
                <dgm:param type="dstNode" val="connSite1"/>
                <dgm:param type="begPts" val="tCtr"/>
                <dgm:param type="endPts" val="tCtr"/>
              </dgm:alg>
              <dgm:shape xmlns:r="http://schemas.openxmlformats.org/officeDocument/2006/relationships" type="conn" r:blip="" zOrderOff="-2">
                <dgm:adjLst/>
              </dgm:shape>
              <dgm:presOf axis="self"/>
              <dgm:choose name="Name19">
                <dgm:if name="Name20" func="var" arg="dir" op="equ" val="norm">
                  <dgm:constrLst>
                    <dgm:constr type="h" refType="w" fact="0.35"/>
                    <dgm:constr type="wArH" refType="h"/>
                    <dgm:constr type="hArH" refType="h"/>
                    <dgm:constr type="connDist"/>
                    <dgm:constr type="diam" refType="connDist" fact="1.15"/>
                    <dgm:constr type="begPad"/>
                    <dgm:constr type="endPad"/>
                  </dgm:constrLst>
                </dgm:if>
                <dgm:else name="Name21">
                  <dgm:constrLst>
                    <dgm:constr type="h" refType="w" fact="0.35"/>
                    <dgm:constr type="wArH" refType="h"/>
                    <dgm:constr type="hArH" refType="h"/>
                    <dgm:constr type="connDist"/>
                    <dgm:constr type="diam" refType="connDist" fact="-1.15"/>
                    <dgm:constr type="begPad"/>
                    <dgm:constr type="endPad"/>
                  </dgm:constrLst>
                </dgm:else>
              </dgm:choose>
              <dgm:ruleLst/>
            </dgm:layoutNode>
          </dgm:forEach>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image" Target="../media/image15.png"/><Relationship Id="rId3" Type="http://schemas.openxmlformats.org/officeDocument/2006/relationships/chart" Target="../charts/chart55.xml"/><Relationship Id="rId7" Type="http://schemas.openxmlformats.org/officeDocument/2006/relationships/image" Target="../media/image18.png"/><Relationship Id="rId12" Type="http://schemas.openxmlformats.org/officeDocument/2006/relationships/image" Target="../media/image14.png"/><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0.xml"/><Relationship Id="rId5" Type="http://schemas.openxmlformats.org/officeDocument/2006/relationships/chart" Target="../charts/chart57.xml"/><Relationship Id="rId10" Type="http://schemas.openxmlformats.org/officeDocument/2006/relationships/image" Target="../media/image13.png"/><Relationship Id="rId4" Type="http://schemas.openxmlformats.org/officeDocument/2006/relationships/chart" Target="../charts/chart56.xml"/><Relationship Id="rId9" Type="http://schemas.openxmlformats.org/officeDocument/2006/relationships/image" Target="../media/image12.png"/><Relationship Id="rId1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image" Target="../media/image20.png"/><Relationship Id="rId5" Type="http://schemas.openxmlformats.org/officeDocument/2006/relationships/chart" Target="../charts/chart64.xml"/><Relationship Id="rId4" Type="http://schemas.openxmlformats.org/officeDocument/2006/relationships/chart" Target="../charts/chart6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7.png"/><Relationship Id="rId1" Type="http://schemas.openxmlformats.org/officeDocument/2006/relationships/chart" Target="../charts/chart6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image" Target="../media/image21.png"/><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75.xml"/><Relationship Id="rId13" Type="http://schemas.openxmlformats.org/officeDocument/2006/relationships/chart" Target="../charts/chart80.xml"/><Relationship Id="rId18" Type="http://schemas.openxmlformats.org/officeDocument/2006/relationships/chart" Target="../charts/chart85.xml"/><Relationship Id="rId3" Type="http://schemas.openxmlformats.org/officeDocument/2006/relationships/hyperlink" Target="#'WW Plan'!A1"/><Relationship Id="rId7" Type="http://schemas.openxmlformats.org/officeDocument/2006/relationships/chart" Target="../charts/chart74.xml"/><Relationship Id="rId12" Type="http://schemas.openxmlformats.org/officeDocument/2006/relationships/chart" Target="../charts/chart79.xml"/><Relationship Id="rId17" Type="http://schemas.openxmlformats.org/officeDocument/2006/relationships/chart" Target="../charts/chart84.xml"/><Relationship Id="rId2" Type="http://schemas.openxmlformats.org/officeDocument/2006/relationships/hyperlink" Target="#'WS Plan'!A1"/><Relationship Id="rId16" Type="http://schemas.openxmlformats.org/officeDocument/2006/relationships/chart" Target="../charts/chart83.xml"/><Relationship Id="rId1" Type="http://schemas.openxmlformats.org/officeDocument/2006/relationships/image" Target="../media/image22.png"/><Relationship Id="rId6" Type="http://schemas.openxmlformats.org/officeDocument/2006/relationships/hyperlink" Target="#'Financing Plan'!A1"/><Relationship Id="rId11" Type="http://schemas.openxmlformats.org/officeDocument/2006/relationships/chart" Target="../charts/chart78.xml"/><Relationship Id="rId5" Type="http://schemas.openxmlformats.org/officeDocument/2006/relationships/hyperlink" Target="#'Action Plan finance'!A1"/><Relationship Id="rId15" Type="http://schemas.openxmlformats.org/officeDocument/2006/relationships/chart" Target="../charts/chart82.xml"/><Relationship Id="rId10" Type="http://schemas.openxmlformats.org/officeDocument/2006/relationships/chart" Target="../charts/chart77.xml"/><Relationship Id="rId4" Type="http://schemas.openxmlformats.org/officeDocument/2006/relationships/hyperlink" Target="#'SW Plan'!A1"/><Relationship Id="rId9" Type="http://schemas.openxmlformats.org/officeDocument/2006/relationships/chart" Target="../charts/chart76.xml"/><Relationship Id="rId14" Type="http://schemas.openxmlformats.org/officeDocument/2006/relationships/chart" Target="../charts/chart81.xml"/></Relationships>
</file>

<file path=xl/drawings/_rels/drawing17.xml.rels><?xml version="1.0" encoding="UTF-8" standalone="yes"?>
<Relationships xmlns="http://schemas.openxmlformats.org/package/2006/relationships"><Relationship Id="rId3" Type="http://schemas.openxmlformats.org/officeDocument/2006/relationships/hyperlink" Target="#Annexure!C186"/><Relationship Id="rId7" Type="http://schemas.openxmlformats.org/officeDocument/2006/relationships/image" Target="../media/image23.png"/><Relationship Id="rId2" Type="http://schemas.openxmlformats.org/officeDocument/2006/relationships/hyperlink" Target="#Annexure!C175"/><Relationship Id="rId1" Type="http://schemas.openxmlformats.org/officeDocument/2006/relationships/hyperlink" Target="#Annexure!C151"/><Relationship Id="rId6" Type="http://schemas.openxmlformats.org/officeDocument/2006/relationships/hyperlink" Target="#Annexure!G42"/><Relationship Id="rId5" Type="http://schemas.openxmlformats.org/officeDocument/2006/relationships/hyperlink" Target="#Annexure!G41"/><Relationship Id="rId4" Type="http://schemas.openxmlformats.org/officeDocument/2006/relationships/hyperlink" Target="#Annexure!G38"/></Relationships>
</file>

<file path=xl/drawings/_rels/drawing1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s>
</file>

<file path=xl/drawings/_rels/drawing2.xml.rels><?xml version="1.0" encoding="UTF-8" standalone="yes"?>
<Relationships xmlns="http://schemas.openxmlformats.org/package/2006/relationships"><Relationship Id="rId8" Type="http://schemas.openxmlformats.org/officeDocument/2006/relationships/diagramLayout" Target="../diagrams/layout2.xml"/><Relationship Id="rId13" Type="http://schemas.openxmlformats.org/officeDocument/2006/relationships/hyperlink" Target="#'Finance info'!A1"/><Relationship Id="rId18" Type="http://schemas.openxmlformats.org/officeDocument/2006/relationships/hyperlink" Target="#'Financial Projection'!A1"/><Relationship Id="rId3" Type="http://schemas.openxmlformats.org/officeDocument/2006/relationships/diagramLayout" Target="../diagrams/layout1.xml"/><Relationship Id="rId21" Type="http://schemas.openxmlformats.org/officeDocument/2006/relationships/hyperlink" Target="#'Indicator info'!A1"/><Relationship Id="rId7" Type="http://schemas.openxmlformats.org/officeDocument/2006/relationships/diagramData" Target="../diagrams/data2.xml"/><Relationship Id="rId12" Type="http://schemas.openxmlformats.org/officeDocument/2006/relationships/hyperlink" Target="#'WSS info'!A1"/><Relationship Id="rId17" Type="http://schemas.openxmlformats.org/officeDocument/2006/relationships/hyperlink" Target="#'Action Plan finance'!A1"/><Relationship Id="rId2" Type="http://schemas.openxmlformats.org/officeDocument/2006/relationships/diagramData" Target="../diagrams/data1.xml"/><Relationship Id="rId16" Type="http://schemas.openxmlformats.org/officeDocument/2006/relationships/hyperlink" Target="#'Summary of PIP'!A1"/><Relationship Id="rId20" Type="http://schemas.openxmlformats.org/officeDocument/2006/relationships/hyperlink" Target="#Annexure!A1"/><Relationship Id="rId1" Type="http://schemas.openxmlformats.org/officeDocument/2006/relationships/image" Target="../media/image3.png"/><Relationship Id="rId6" Type="http://schemas.microsoft.com/office/2007/relationships/diagramDrawing" Target="../diagrams/drawing1.xml"/><Relationship Id="rId11" Type="http://schemas.microsoft.com/office/2007/relationships/diagramDrawing" Target="../diagrams/drawing2.xml"/><Relationship Id="rId5" Type="http://schemas.openxmlformats.org/officeDocument/2006/relationships/diagramColors" Target="../diagrams/colors1.xml"/><Relationship Id="rId15" Type="http://schemas.openxmlformats.org/officeDocument/2006/relationships/hyperlink" Target="#'WW Plan'!A1"/><Relationship Id="rId10" Type="http://schemas.openxmlformats.org/officeDocument/2006/relationships/diagramColors" Target="../diagrams/colors2.xml"/><Relationship Id="rId19" Type="http://schemas.openxmlformats.org/officeDocument/2006/relationships/hyperlink" Target="#'Financing Plan'!A1"/><Relationship Id="rId4" Type="http://schemas.openxmlformats.org/officeDocument/2006/relationships/diagramQuickStyle" Target="../diagrams/quickStyle1.xml"/><Relationship Id="rId9" Type="http://schemas.openxmlformats.org/officeDocument/2006/relationships/diagramQuickStyle" Target="../diagrams/quickStyle2.xml"/><Relationship Id="rId14" Type="http://schemas.openxmlformats.org/officeDocument/2006/relationships/hyperlink" Target="#'Perf assessment'!A1"/></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7.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10.png"/><Relationship Id="rId27"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image" Target="../media/image12.png"/><Relationship Id="rId18" Type="http://schemas.openxmlformats.org/officeDocument/2006/relationships/image" Target="../media/image16.png"/><Relationship Id="rId3" Type="http://schemas.openxmlformats.org/officeDocument/2006/relationships/chart" Target="../charts/chart31.xml"/><Relationship Id="rId7" Type="http://schemas.openxmlformats.org/officeDocument/2006/relationships/chart" Target="../charts/chart35.xml"/><Relationship Id="rId12" Type="http://schemas.openxmlformats.org/officeDocument/2006/relationships/image" Target="../media/image11.png"/><Relationship Id="rId17" Type="http://schemas.openxmlformats.org/officeDocument/2006/relationships/image" Target="../media/image15.png"/><Relationship Id="rId2" Type="http://schemas.openxmlformats.org/officeDocument/2006/relationships/chart" Target="../charts/chart30.xml"/><Relationship Id="rId16" Type="http://schemas.openxmlformats.org/officeDocument/2006/relationships/image" Target="../media/image14.png"/><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5" Type="http://schemas.openxmlformats.org/officeDocument/2006/relationships/chart" Target="../charts/chart40.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6.png"/><Relationship Id="rId18" Type="http://schemas.openxmlformats.org/officeDocument/2006/relationships/chart" Target="../charts/chart52.xml"/><Relationship Id="rId3" Type="http://schemas.openxmlformats.org/officeDocument/2006/relationships/chart" Target="../charts/chart43.xml"/><Relationship Id="rId7" Type="http://schemas.openxmlformats.org/officeDocument/2006/relationships/image" Target="../media/image12.png"/><Relationship Id="rId12" Type="http://schemas.openxmlformats.org/officeDocument/2006/relationships/image" Target="../media/image15.png"/><Relationship Id="rId17" Type="http://schemas.openxmlformats.org/officeDocument/2006/relationships/chart" Target="../charts/chart51.xml"/><Relationship Id="rId2" Type="http://schemas.openxmlformats.org/officeDocument/2006/relationships/chart" Target="../charts/chart42.xml"/><Relationship Id="rId16" Type="http://schemas.openxmlformats.org/officeDocument/2006/relationships/chart" Target="../charts/chart50.xml"/><Relationship Id="rId1" Type="http://schemas.openxmlformats.org/officeDocument/2006/relationships/chart" Target="../charts/chart41.xml"/><Relationship Id="rId6" Type="http://schemas.openxmlformats.org/officeDocument/2006/relationships/image" Target="../media/image17.png"/><Relationship Id="rId11" Type="http://schemas.openxmlformats.org/officeDocument/2006/relationships/image" Target="../media/image14.png"/><Relationship Id="rId5" Type="http://schemas.openxmlformats.org/officeDocument/2006/relationships/chart" Target="../charts/chart45.xml"/><Relationship Id="rId15" Type="http://schemas.openxmlformats.org/officeDocument/2006/relationships/chart" Target="../charts/chart49.xml"/><Relationship Id="rId10" Type="http://schemas.openxmlformats.org/officeDocument/2006/relationships/chart" Target="../charts/chart47.xml"/><Relationship Id="rId4" Type="http://schemas.openxmlformats.org/officeDocument/2006/relationships/chart" Target="../charts/chart44.xml"/><Relationship Id="rId9" Type="http://schemas.openxmlformats.org/officeDocument/2006/relationships/chart" Target="../charts/chart46.xml"/><Relationship Id="rId14" Type="http://schemas.openxmlformats.org/officeDocument/2006/relationships/chart" Target="../charts/chart48.xml"/></Relationships>
</file>

<file path=xl/drawings/drawing1.xml><?xml version="1.0" encoding="utf-8"?>
<xdr:wsDr xmlns:xdr="http://schemas.openxmlformats.org/drawingml/2006/spreadsheetDrawing" xmlns:a="http://schemas.openxmlformats.org/drawingml/2006/main">
  <xdr:twoCellAnchor editAs="oneCell">
    <xdr:from>
      <xdr:col>4</xdr:col>
      <xdr:colOff>102327</xdr:colOff>
      <xdr:row>28</xdr:row>
      <xdr:rowOff>97972</xdr:rowOff>
    </xdr:from>
    <xdr:to>
      <xdr:col>6</xdr:col>
      <xdr:colOff>497747</xdr:colOff>
      <xdr:row>30</xdr:row>
      <xdr:rowOff>52554</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540727" y="5727247"/>
          <a:ext cx="1614620" cy="335582"/>
        </a:xfrm>
        <a:prstGeom prst="rect">
          <a:avLst/>
        </a:prstGeom>
        <a:noFill/>
        <a:ln w="38100">
          <a:noFill/>
          <a:miter lim="800000"/>
          <a:headEnd/>
          <a:tailEnd/>
        </a:ln>
      </xdr:spPr>
    </xdr:pic>
    <xdr:clientData/>
  </xdr:twoCellAnchor>
  <xdr:twoCellAnchor editAs="oneCell">
    <xdr:from>
      <xdr:col>4</xdr:col>
      <xdr:colOff>102327</xdr:colOff>
      <xdr:row>40</xdr:row>
      <xdr:rowOff>89646</xdr:rowOff>
    </xdr:from>
    <xdr:to>
      <xdr:col>6</xdr:col>
      <xdr:colOff>497692</xdr:colOff>
      <xdr:row>43</xdr:row>
      <xdr:rowOff>30410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727" y="8014446"/>
          <a:ext cx="1614565" cy="512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445770</xdr:colOff>
      <xdr:row>220</xdr:row>
      <xdr:rowOff>110490</xdr:rowOff>
    </xdr:from>
    <xdr:to>
      <xdr:col>22</xdr:col>
      <xdr:colOff>442912</xdr:colOff>
      <xdr:row>233</xdr:row>
      <xdr:rowOff>67887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476251</xdr:colOff>
      <xdr:row>196</xdr:row>
      <xdr:rowOff>327025</xdr:rowOff>
    </xdr:from>
    <xdr:to>
      <xdr:col>22</xdr:col>
      <xdr:colOff>404813</xdr:colOff>
      <xdr:row>212</xdr:row>
      <xdr:rowOff>208375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151</xdr:row>
      <xdr:rowOff>4082</xdr:rowOff>
    </xdr:from>
    <xdr:to>
      <xdr:col>22</xdr:col>
      <xdr:colOff>452438</xdr:colOff>
      <xdr:row>172</xdr:row>
      <xdr:rowOff>37832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509588</xdr:colOff>
      <xdr:row>65</xdr:row>
      <xdr:rowOff>53810</xdr:rowOff>
    </xdr:from>
    <xdr:to>
      <xdr:col>22</xdr:col>
      <xdr:colOff>419100</xdr:colOff>
      <xdr:row>82</xdr:row>
      <xdr:rowOff>87560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38100</xdr:colOff>
      <xdr:row>21</xdr:row>
      <xdr:rowOff>22080</xdr:rowOff>
    </xdr:from>
    <xdr:to>
      <xdr:col>22</xdr:col>
      <xdr:colOff>495300</xdr:colOff>
      <xdr:row>41</xdr:row>
      <xdr:rowOff>122505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536575</xdr:colOff>
      <xdr:row>113</xdr:row>
      <xdr:rowOff>178706</xdr:rowOff>
    </xdr:from>
    <xdr:to>
      <xdr:col>22</xdr:col>
      <xdr:colOff>439737</xdr:colOff>
      <xdr:row>133</xdr:row>
      <xdr:rowOff>21956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474374</xdr:colOff>
      <xdr:row>1</xdr:row>
      <xdr:rowOff>190500</xdr:rowOff>
    </xdr:from>
    <xdr:to>
      <xdr:col>22</xdr:col>
      <xdr:colOff>564811</xdr:colOff>
      <xdr:row>2</xdr:row>
      <xdr:rowOff>88672</xdr:rowOff>
    </xdr:to>
    <xdr:pic>
      <xdr:nvPicPr>
        <xdr:cNvPr id="16" name="Picture 15"/>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5571499" y="269875"/>
          <a:ext cx="2551062" cy="533172"/>
        </a:xfrm>
        <a:prstGeom prst="rect">
          <a:avLst/>
        </a:prstGeom>
        <a:noFill/>
        <a:ln w="9525">
          <a:noFill/>
          <a:miter lim="800000"/>
          <a:headEnd/>
          <a:tailEnd/>
        </a:ln>
      </xdr:spPr>
    </xdr:pic>
    <xdr:clientData/>
  </xdr:twoCellAnchor>
  <xdr:twoCellAnchor>
    <xdr:from>
      <xdr:col>10</xdr:col>
      <xdr:colOff>0</xdr:colOff>
      <xdr:row>90</xdr:row>
      <xdr:rowOff>169407</xdr:rowOff>
    </xdr:from>
    <xdr:to>
      <xdr:col>22</xdr:col>
      <xdr:colOff>457200</xdr:colOff>
      <xdr:row>105</xdr:row>
      <xdr:rowOff>84094</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2061983</xdr:colOff>
      <xdr:row>12</xdr:row>
      <xdr:rowOff>93450</xdr:rowOff>
    </xdr:from>
    <xdr:to>
      <xdr:col>5</xdr:col>
      <xdr:colOff>3859025</xdr:colOff>
      <xdr:row>12</xdr:row>
      <xdr:rowOff>379199</xdr:rowOff>
    </xdr:to>
    <xdr:pic>
      <xdr:nvPicPr>
        <xdr:cNvPr id="17" name="Picture 16"/>
        <xdr:cNvPicPr>
          <a:picLocks noChangeAspect="1" noChangeArrowheads="1"/>
        </xdr:cNvPicPr>
      </xdr:nvPicPr>
      <xdr:blipFill>
        <a:blip xmlns:r="http://schemas.openxmlformats.org/officeDocument/2006/relationships" r:embed="rId9" cstate="print"/>
        <a:srcRect/>
        <a:stretch>
          <a:fillRect/>
        </a:stretch>
      </xdr:blipFill>
      <xdr:spPr bwMode="auto">
        <a:xfrm>
          <a:off x="4719458" y="5065500"/>
          <a:ext cx="1797042" cy="279345"/>
        </a:xfrm>
        <a:prstGeom prst="rect">
          <a:avLst/>
        </a:prstGeom>
        <a:noFill/>
        <a:ln w="9525">
          <a:noFill/>
          <a:miter lim="800000"/>
          <a:headEnd/>
          <a:tailEnd/>
        </a:ln>
        <a:effectLst/>
      </xdr:spPr>
    </xdr:pic>
    <xdr:clientData/>
  </xdr:twoCellAnchor>
  <xdr:twoCellAnchor editAs="oneCell">
    <xdr:from>
      <xdr:col>5</xdr:col>
      <xdr:colOff>3238500</xdr:colOff>
      <xdr:row>10</xdr:row>
      <xdr:rowOff>82641</xdr:rowOff>
    </xdr:from>
    <xdr:to>
      <xdr:col>5</xdr:col>
      <xdr:colOff>3828207</xdr:colOff>
      <xdr:row>10</xdr:row>
      <xdr:rowOff>375496</xdr:rowOff>
    </xdr:to>
    <xdr:pic>
      <xdr:nvPicPr>
        <xdr:cNvPr id="19" name="Picture 18" descr="C:\Documents and Settings\user\Desktop\Picture11.png"/>
        <xdr:cNvPicPr>
          <a:picLocks noChangeAspect="1" noChangeArrowheads="1"/>
        </xdr:cNvPicPr>
      </xdr:nvPicPr>
      <xdr:blipFill>
        <a:blip xmlns:r="http://schemas.openxmlformats.org/officeDocument/2006/relationships" r:embed="rId10" cstate="print"/>
        <a:srcRect r="11275"/>
        <a:stretch>
          <a:fillRect/>
        </a:stretch>
      </xdr:blipFill>
      <xdr:spPr bwMode="auto">
        <a:xfrm>
          <a:off x="5895975" y="4140291"/>
          <a:ext cx="589707" cy="286451"/>
        </a:xfrm>
        <a:prstGeom prst="rect">
          <a:avLst/>
        </a:prstGeom>
        <a:noFill/>
      </xdr:spPr>
    </xdr:pic>
    <xdr:clientData/>
  </xdr:twoCellAnchor>
  <xdr:twoCellAnchor>
    <xdr:from>
      <xdr:col>10</xdr:col>
      <xdr:colOff>15875</xdr:colOff>
      <xdr:row>44</xdr:row>
      <xdr:rowOff>406667</xdr:rowOff>
    </xdr:from>
    <xdr:to>
      <xdr:col>22</xdr:col>
      <xdr:colOff>473075</xdr:colOff>
      <xdr:row>61</xdr:row>
      <xdr:rowOff>107042</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5</xdr:col>
      <xdr:colOff>2238373</xdr:colOff>
      <xdr:row>11</xdr:row>
      <xdr:rowOff>192200</xdr:rowOff>
    </xdr:from>
    <xdr:to>
      <xdr:col>5</xdr:col>
      <xdr:colOff>2973118</xdr:colOff>
      <xdr:row>11</xdr:row>
      <xdr:rowOff>402512</xdr:rowOff>
    </xdr:to>
    <xdr:pic>
      <xdr:nvPicPr>
        <xdr:cNvPr id="22" name="Picture 21" descr="C:\Users\admin\Desktop\Picture1.png"/>
        <xdr:cNvPicPr>
          <a:picLocks noChangeAspect="1" noChangeArrowheads="1"/>
        </xdr:cNvPicPr>
      </xdr:nvPicPr>
      <xdr:blipFill>
        <a:blip xmlns:r="http://schemas.openxmlformats.org/officeDocument/2006/relationships" r:embed="rId12"/>
        <a:srcRect l="3661" t="11510"/>
        <a:stretch>
          <a:fillRect/>
        </a:stretch>
      </xdr:blipFill>
      <xdr:spPr bwMode="auto">
        <a:xfrm>
          <a:off x="4714873" y="4764200"/>
          <a:ext cx="734745" cy="210312"/>
        </a:xfrm>
        <a:prstGeom prst="rect">
          <a:avLst/>
        </a:prstGeom>
        <a:noFill/>
        <a:ln>
          <a:solidFill>
            <a:sysClr val="windowText" lastClr="000000"/>
          </a:solidFill>
        </a:ln>
      </xdr:spPr>
    </xdr:pic>
    <xdr:clientData/>
  </xdr:twoCellAnchor>
  <xdr:twoCellAnchor editAs="oneCell">
    <xdr:from>
      <xdr:col>5</xdr:col>
      <xdr:colOff>3167063</xdr:colOff>
      <xdr:row>11</xdr:row>
      <xdr:rowOff>190498</xdr:rowOff>
    </xdr:from>
    <xdr:to>
      <xdr:col>5</xdr:col>
      <xdr:colOff>3958035</xdr:colOff>
      <xdr:row>11</xdr:row>
      <xdr:rowOff>400810</xdr:rowOff>
    </xdr:to>
    <xdr:pic>
      <xdr:nvPicPr>
        <xdr:cNvPr id="23" name="Picture 22" descr="C:\Users\admin\Desktop\Picture2.png"/>
        <xdr:cNvPicPr>
          <a:picLocks noChangeAspect="1" noChangeArrowheads="1"/>
        </xdr:cNvPicPr>
      </xdr:nvPicPr>
      <xdr:blipFill>
        <a:blip xmlns:r="http://schemas.openxmlformats.org/officeDocument/2006/relationships" r:embed="rId13"/>
        <a:srcRect l="3217" t="11068" b="5923"/>
        <a:stretch>
          <a:fillRect/>
        </a:stretch>
      </xdr:blipFill>
      <xdr:spPr bwMode="auto">
        <a:xfrm>
          <a:off x="5643563" y="4762498"/>
          <a:ext cx="790972" cy="210312"/>
        </a:xfrm>
        <a:prstGeom prst="rect">
          <a:avLst/>
        </a:prstGeom>
        <a:noFill/>
        <a:ln>
          <a:solidFill>
            <a:sysClr val="windowText" lastClr="000000"/>
          </a:solidFill>
        </a:ln>
      </xdr:spPr>
    </xdr:pic>
    <xdr:clientData/>
  </xdr:twoCellAnchor>
  <xdr:twoCellAnchor editAs="oneCell">
    <xdr:from>
      <xdr:col>5</xdr:col>
      <xdr:colOff>2721429</xdr:colOff>
      <xdr:row>11</xdr:row>
      <xdr:rowOff>517072</xdr:rowOff>
    </xdr:from>
    <xdr:to>
      <xdr:col>5</xdr:col>
      <xdr:colOff>3444170</xdr:colOff>
      <xdr:row>11</xdr:row>
      <xdr:rowOff>721179</xdr:rowOff>
    </xdr:to>
    <xdr:pic>
      <xdr:nvPicPr>
        <xdr:cNvPr id="24" name="Picture 23" descr="C:\Users\admin\Desktop\Picture3.png"/>
        <xdr:cNvPicPr>
          <a:picLocks noChangeAspect="1" noChangeArrowheads="1"/>
        </xdr:cNvPicPr>
      </xdr:nvPicPr>
      <xdr:blipFill>
        <a:blip xmlns:r="http://schemas.openxmlformats.org/officeDocument/2006/relationships" r:embed="rId14"/>
        <a:srcRect l="2893" t="12148"/>
        <a:stretch>
          <a:fillRect/>
        </a:stretch>
      </xdr:blipFill>
      <xdr:spPr bwMode="auto">
        <a:xfrm>
          <a:off x="5197929" y="5089072"/>
          <a:ext cx="722741" cy="204107"/>
        </a:xfrm>
        <a:prstGeom prst="rect">
          <a:avLst/>
        </a:prstGeom>
        <a:noFill/>
        <a:ln>
          <a:solidFill>
            <a:sysClr val="windowText" lastClr="000000"/>
          </a:solidFill>
        </a:ln>
      </xdr:spPr>
    </xdr:pic>
    <xdr:clientData/>
  </xdr:twoCellAnchor>
  <mc:AlternateContent xmlns:mc="http://schemas.openxmlformats.org/markup-compatibility/2006">
    <mc:Choice xmlns:a14="http://schemas.microsoft.com/office/drawing/2010/main" Requires="a14">
      <xdr:twoCellAnchor>
        <xdr:from>
          <xdr:col>21</xdr:col>
          <xdr:colOff>114300</xdr:colOff>
          <xdr:row>4</xdr:row>
          <xdr:rowOff>85725</xdr:rowOff>
        </xdr:from>
        <xdr:to>
          <xdr:col>22</xdr:col>
          <xdr:colOff>542925</xdr:colOff>
          <xdr:row>6</xdr:row>
          <xdr:rowOff>9525</xdr:rowOff>
        </xdr:to>
        <xdr:sp macro="" textlink="">
          <xdr:nvSpPr>
            <xdr:cNvPr id="33815" name="Button 23" hidden="1">
              <a:extLst>
                <a:ext uri="{63B3BB69-23CF-44E3-9099-C40C66FF867C}">
                  <a14:compatExt spid="_x0000_s3381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133350</xdr:colOff>
          <xdr:row>4</xdr:row>
          <xdr:rowOff>85725</xdr:rowOff>
        </xdr:from>
        <xdr:to>
          <xdr:col>20</xdr:col>
          <xdr:colOff>600075</xdr:colOff>
          <xdr:row>6</xdr:row>
          <xdr:rowOff>19050</xdr:rowOff>
        </xdr:to>
        <xdr:sp macro="" textlink="">
          <xdr:nvSpPr>
            <xdr:cNvPr id="33817" name="Button 25" hidden="1">
              <a:extLst>
                <a:ext uri="{63B3BB69-23CF-44E3-9099-C40C66FF867C}">
                  <a14:compatExt spid="_x0000_s3381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9</xdr:col>
      <xdr:colOff>352181</xdr:colOff>
      <xdr:row>1</xdr:row>
      <xdr:rowOff>147630</xdr:rowOff>
    </xdr:from>
    <xdr:to>
      <xdr:col>13</xdr:col>
      <xdr:colOff>563059</xdr:colOff>
      <xdr:row>2</xdr:row>
      <xdr:rowOff>22942</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723598" y="232297"/>
          <a:ext cx="2391044" cy="49972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xdr:col>
          <xdr:colOff>123825</xdr:colOff>
          <xdr:row>18</xdr:row>
          <xdr:rowOff>47625</xdr:rowOff>
        </xdr:from>
        <xdr:to>
          <xdr:col>2</xdr:col>
          <xdr:colOff>428625</xdr:colOff>
          <xdr:row>18</xdr:row>
          <xdr:rowOff>276225</xdr:rowOff>
        </xdr:to>
        <xdr:sp macro="" textlink="">
          <xdr:nvSpPr>
            <xdr:cNvPr id="182289" name="Check Box 17" hidden="1">
              <a:extLst>
                <a:ext uri="{63B3BB69-23CF-44E3-9099-C40C66FF867C}">
                  <a14:compatExt spid="_x0000_s1822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114300</xdr:colOff>
          <xdr:row>5</xdr:row>
          <xdr:rowOff>28575</xdr:rowOff>
        </xdr:from>
        <xdr:to>
          <xdr:col>13</xdr:col>
          <xdr:colOff>552450</xdr:colOff>
          <xdr:row>5</xdr:row>
          <xdr:rowOff>314325</xdr:rowOff>
        </xdr:to>
        <xdr:sp macro="" textlink="">
          <xdr:nvSpPr>
            <xdr:cNvPr id="182291" name="Button 19" hidden="1">
              <a:extLst>
                <a:ext uri="{63B3BB69-23CF-44E3-9099-C40C66FF867C}">
                  <a14:compatExt spid="_x0000_s18229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85725</xdr:colOff>
          <xdr:row>5</xdr:row>
          <xdr:rowOff>28575</xdr:rowOff>
        </xdr:from>
        <xdr:to>
          <xdr:col>11</xdr:col>
          <xdr:colOff>504825</xdr:colOff>
          <xdr:row>5</xdr:row>
          <xdr:rowOff>314325</xdr:rowOff>
        </xdr:to>
        <xdr:sp macro="" textlink="">
          <xdr:nvSpPr>
            <xdr:cNvPr id="182293" name="Button 21" hidden="1">
              <a:extLst>
                <a:ext uri="{63B3BB69-23CF-44E3-9099-C40C66FF867C}">
                  <a14:compatExt spid="_x0000_s18229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16</xdr:col>
      <xdr:colOff>528641</xdr:colOff>
      <xdr:row>1</xdr:row>
      <xdr:rowOff>190500</xdr:rowOff>
    </xdr:from>
    <xdr:to>
      <xdr:col>19</xdr:col>
      <xdr:colOff>751536</xdr:colOff>
      <xdr:row>2</xdr:row>
      <xdr:rowOff>24296</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4256547" y="381000"/>
          <a:ext cx="2508895" cy="524359"/>
        </a:xfrm>
        <a:prstGeom prst="rect">
          <a:avLst/>
        </a:prstGeom>
        <a:noFill/>
        <a:ln w="9525">
          <a:noFill/>
          <a:miter lim="800000"/>
          <a:headEnd/>
          <a:tailEnd/>
        </a:ln>
      </xdr:spPr>
    </xdr:pic>
    <xdr:clientData/>
  </xdr:twoCellAnchor>
  <xdr:twoCellAnchor>
    <xdr:from>
      <xdr:col>1</xdr:col>
      <xdr:colOff>503464</xdr:colOff>
      <xdr:row>299</xdr:row>
      <xdr:rowOff>85045</xdr:rowOff>
    </xdr:from>
    <xdr:to>
      <xdr:col>9</xdr:col>
      <xdr:colOff>466700</xdr:colOff>
      <xdr:row>315</xdr:row>
      <xdr:rowOff>163285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710045</xdr:colOff>
      <xdr:row>299</xdr:row>
      <xdr:rowOff>86590</xdr:rowOff>
    </xdr:from>
    <xdr:to>
      <xdr:col>20</xdr:col>
      <xdr:colOff>9005</xdr:colOff>
      <xdr:row>315</xdr:row>
      <xdr:rowOff>136070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6186</xdr:colOff>
      <xdr:row>337</xdr:row>
      <xdr:rowOff>40823</xdr:rowOff>
    </xdr:from>
    <xdr:to>
      <xdr:col>9</xdr:col>
      <xdr:colOff>500101</xdr:colOff>
      <xdr:row>354</xdr:row>
      <xdr:rowOff>108857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732312</xdr:colOff>
      <xdr:row>337</xdr:row>
      <xdr:rowOff>27215</xdr:rowOff>
    </xdr:from>
    <xdr:to>
      <xdr:col>20</xdr:col>
      <xdr:colOff>21994</xdr:colOff>
      <xdr:row>354</xdr:row>
      <xdr:rowOff>95251</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539752</xdr:colOff>
      <xdr:row>301</xdr:row>
      <xdr:rowOff>169329</xdr:rowOff>
    </xdr:from>
    <xdr:to>
      <xdr:col>19</xdr:col>
      <xdr:colOff>608051</xdr:colOff>
      <xdr:row>302</xdr:row>
      <xdr:rowOff>171166</xdr:rowOff>
    </xdr:to>
    <xdr:grpSp>
      <xdr:nvGrpSpPr>
        <xdr:cNvPr id="23" name="Group 22"/>
        <xdr:cNvGrpSpPr/>
      </xdr:nvGrpSpPr>
      <xdr:grpSpPr>
        <a:xfrm>
          <a:off x="9790908" y="18288000"/>
          <a:ext cx="6926299" cy="0"/>
          <a:chOff x="9694958" y="49732949"/>
          <a:chExt cx="6926299" cy="192337"/>
        </a:xfrm>
      </xdr:grpSpPr>
      <xdr:cxnSp macro="">
        <xdr:nvCxnSpPr>
          <xdr:cNvPr id="19" name="Straight Connector 18"/>
          <xdr:cNvCxnSpPr/>
        </xdr:nvCxnSpPr>
        <xdr:spPr>
          <a:xfrm rot="10800000" flipV="1">
            <a:off x="9694958" y="49848313"/>
            <a:ext cx="2592914" cy="3"/>
          </a:xfrm>
          <a:prstGeom prst="line">
            <a:avLst/>
          </a:prstGeom>
          <a:ln w="19050">
            <a:solidFill>
              <a:sysClr val="windowText" lastClr="000000"/>
            </a:solidFill>
            <a:prstDash val="sysDot"/>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rot="10800000" flipV="1">
            <a:off x="12305289" y="49850145"/>
            <a:ext cx="4315968" cy="3"/>
          </a:xfrm>
          <a:prstGeom prst="line">
            <a:avLst/>
          </a:prstGeom>
          <a:ln w="19050">
            <a:solidFill>
              <a:sysClr val="windowText" lastClr="000000"/>
            </a:solidFill>
            <a:prstDash val="sysDot"/>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21" name="TextBox 20"/>
          <xdr:cNvSpPr txBox="1"/>
        </xdr:nvSpPr>
        <xdr:spPr>
          <a:xfrm>
            <a:off x="10509864" y="49732949"/>
            <a:ext cx="889000" cy="1905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t>Past trends</a:t>
            </a:r>
          </a:p>
        </xdr:txBody>
      </xdr:sp>
      <xdr:sp macro="" textlink="">
        <xdr:nvSpPr>
          <xdr:cNvPr id="22" name="TextBox 21"/>
          <xdr:cNvSpPr txBox="1"/>
        </xdr:nvSpPr>
        <xdr:spPr>
          <a:xfrm>
            <a:off x="13975447" y="49734786"/>
            <a:ext cx="889000" cy="1905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t>Projections</a:t>
            </a:r>
          </a:p>
        </xdr:txBody>
      </xdr:sp>
    </xdr:grpSp>
    <xdr:clientData/>
  </xdr:twoCellAnchor>
  <xdr:twoCellAnchor>
    <xdr:from>
      <xdr:col>3</xdr:col>
      <xdr:colOff>99846</xdr:colOff>
      <xdr:row>301</xdr:row>
      <xdr:rowOff>172052</xdr:rowOff>
    </xdr:from>
    <xdr:to>
      <xdr:col>9</xdr:col>
      <xdr:colOff>283406</xdr:colOff>
      <xdr:row>302</xdr:row>
      <xdr:rowOff>173889</xdr:rowOff>
    </xdr:to>
    <xdr:grpSp>
      <xdr:nvGrpSpPr>
        <xdr:cNvPr id="33" name="Group 32"/>
        <xdr:cNvGrpSpPr/>
      </xdr:nvGrpSpPr>
      <xdr:grpSpPr>
        <a:xfrm>
          <a:off x="1814346" y="18288000"/>
          <a:ext cx="6958216" cy="0"/>
          <a:chOff x="1719096" y="49530602"/>
          <a:chExt cx="6955835" cy="192337"/>
        </a:xfrm>
      </xdr:grpSpPr>
      <xdr:cxnSp macro="">
        <xdr:nvCxnSpPr>
          <xdr:cNvPr id="25" name="Straight Connector 24"/>
          <xdr:cNvCxnSpPr/>
        </xdr:nvCxnSpPr>
        <xdr:spPr>
          <a:xfrm rot="10800000" flipV="1">
            <a:off x="1719096" y="49645966"/>
            <a:ext cx="2591401" cy="3"/>
          </a:xfrm>
          <a:prstGeom prst="line">
            <a:avLst/>
          </a:prstGeom>
          <a:ln w="19050">
            <a:solidFill>
              <a:sysClr val="windowText" lastClr="000000"/>
            </a:solidFill>
            <a:prstDash val="sysDot"/>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rot="10800000" flipV="1">
            <a:off x="4331531" y="49647798"/>
            <a:ext cx="4343400" cy="3"/>
          </a:xfrm>
          <a:prstGeom prst="line">
            <a:avLst/>
          </a:prstGeom>
          <a:ln w="19050">
            <a:solidFill>
              <a:sysClr val="windowText" lastClr="000000"/>
            </a:solidFill>
            <a:prstDash val="sysDot"/>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27" name="TextBox 26"/>
          <xdr:cNvSpPr txBox="1"/>
        </xdr:nvSpPr>
        <xdr:spPr>
          <a:xfrm>
            <a:off x="2533526" y="49530602"/>
            <a:ext cx="888481" cy="1905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t>Past trends</a:t>
            </a:r>
          </a:p>
        </xdr:txBody>
      </xdr:sp>
      <xdr:sp macro="" textlink="">
        <xdr:nvSpPr>
          <xdr:cNvPr id="28" name="TextBox 27"/>
          <xdr:cNvSpPr txBox="1"/>
        </xdr:nvSpPr>
        <xdr:spPr>
          <a:xfrm>
            <a:off x="6030665" y="49532439"/>
            <a:ext cx="888481" cy="1905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t>Projections</a:t>
            </a:r>
          </a:p>
        </xdr:txBody>
      </xdr:sp>
    </xdr:grpSp>
    <xdr:clientData/>
  </xdr:twoCellAnchor>
  <mc:AlternateContent xmlns:mc="http://schemas.openxmlformats.org/markup-compatibility/2006">
    <mc:Choice xmlns:a14="http://schemas.microsoft.com/office/drawing/2010/main" Requires="a14">
      <xdr:twoCellAnchor>
        <xdr:from>
          <xdr:col>18</xdr:col>
          <xdr:colOff>495300</xdr:colOff>
          <xdr:row>5</xdr:row>
          <xdr:rowOff>0</xdr:rowOff>
        </xdr:from>
        <xdr:to>
          <xdr:col>20</xdr:col>
          <xdr:colOff>0</xdr:colOff>
          <xdr:row>5</xdr:row>
          <xdr:rowOff>276225</xdr:rowOff>
        </xdr:to>
        <xdr:sp macro="" textlink="">
          <xdr:nvSpPr>
            <xdr:cNvPr id="184321" name="Button 1" hidden="1">
              <a:extLst>
                <a:ext uri="{63B3BB69-23CF-44E3-9099-C40C66FF867C}">
                  <a14:compatExt spid="_x0000_s1843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66675</xdr:colOff>
          <xdr:row>5</xdr:row>
          <xdr:rowOff>0</xdr:rowOff>
        </xdr:from>
        <xdr:to>
          <xdr:col>18</xdr:col>
          <xdr:colOff>361950</xdr:colOff>
          <xdr:row>5</xdr:row>
          <xdr:rowOff>285750</xdr:rowOff>
        </xdr:to>
        <xdr:sp macro="" textlink="">
          <xdr:nvSpPr>
            <xdr:cNvPr id="184322" name="Button 2" hidden="1">
              <a:extLst>
                <a:ext uri="{63B3BB69-23CF-44E3-9099-C40C66FF867C}">
                  <a14:compatExt spid="_x0000_s18432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2</xdr:col>
      <xdr:colOff>19050</xdr:colOff>
      <xdr:row>23</xdr:row>
      <xdr:rowOff>127000</xdr:rowOff>
    </xdr:from>
    <xdr:to>
      <xdr:col>14</xdr:col>
      <xdr:colOff>13607</xdr:colOff>
      <xdr:row>45</xdr:row>
      <xdr:rowOff>59531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24</xdr:col>
      <xdr:colOff>537737</xdr:colOff>
      <xdr:row>1</xdr:row>
      <xdr:rowOff>137537</xdr:rowOff>
    </xdr:from>
    <xdr:to>
      <xdr:col>28</xdr:col>
      <xdr:colOff>1028</xdr:colOff>
      <xdr:row>1</xdr:row>
      <xdr:rowOff>639171</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793737" y="216912"/>
          <a:ext cx="2400166" cy="501634"/>
        </a:xfrm>
        <a:prstGeom prst="rect">
          <a:avLst/>
        </a:prstGeom>
        <a:noFill/>
        <a:ln w="9525">
          <a:noFill/>
          <a:miter lim="800000"/>
          <a:headEnd/>
          <a:tailEnd/>
        </a:ln>
      </xdr:spPr>
    </xdr:pic>
    <xdr:clientData/>
  </xdr:twoCellAnchor>
  <xdr:twoCellAnchor>
    <xdr:from>
      <xdr:col>15</xdr:col>
      <xdr:colOff>15875</xdr:colOff>
      <xdr:row>23</xdr:row>
      <xdr:rowOff>127000</xdr:rowOff>
    </xdr:from>
    <xdr:to>
      <xdr:col>27</xdr:col>
      <xdr:colOff>425450</xdr:colOff>
      <xdr:row>45</xdr:row>
      <xdr:rowOff>59531</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466725</xdr:colOff>
          <xdr:row>52</xdr:row>
          <xdr:rowOff>0</xdr:rowOff>
        </xdr:from>
        <xdr:to>
          <xdr:col>17</xdr:col>
          <xdr:colOff>104775</xdr:colOff>
          <xdr:row>53</xdr:row>
          <xdr:rowOff>28575</xdr:rowOff>
        </xdr:to>
        <xdr:sp macro="" textlink="">
          <xdr:nvSpPr>
            <xdr:cNvPr id="74766" name="Option Button 14" hidden="1">
              <a:extLst>
                <a:ext uri="{63B3BB69-23CF-44E3-9099-C40C66FF867C}">
                  <a14:compatExt spid="_x0000_s747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CAPEX PLAN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381000</xdr:colOff>
          <xdr:row>52</xdr:row>
          <xdr:rowOff>9525</xdr:rowOff>
        </xdr:from>
        <xdr:to>
          <xdr:col>18</xdr:col>
          <xdr:colOff>485775</xdr:colOff>
          <xdr:row>52</xdr:row>
          <xdr:rowOff>238125</xdr:rowOff>
        </xdr:to>
        <xdr:sp macro="" textlink="">
          <xdr:nvSpPr>
            <xdr:cNvPr id="74768" name="Option Button 16" hidden="1">
              <a:extLst>
                <a:ext uri="{63B3BB69-23CF-44E3-9099-C40C66FF867C}">
                  <a14:compatExt spid="_x0000_s747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O&amp;M PLAN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52</xdr:row>
          <xdr:rowOff>9525</xdr:rowOff>
        </xdr:from>
        <xdr:to>
          <xdr:col>15</xdr:col>
          <xdr:colOff>209550</xdr:colOff>
          <xdr:row>53</xdr:row>
          <xdr:rowOff>0</xdr:rowOff>
        </xdr:to>
        <xdr:sp macro="" textlink="">
          <xdr:nvSpPr>
            <xdr:cNvPr id="74769" name="Option Button 17" hidden="1">
              <a:extLst>
                <a:ext uri="{63B3BB69-23CF-44E3-9099-C40C66FF867C}">
                  <a14:compatExt spid="_x0000_s74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PHASING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26</xdr:col>
          <xdr:colOff>447675</xdr:colOff>
          <xdr:row>5</xdr:row>
          <xdr:rowOff>0</xdr:rowOff>
        </xdr:from>
        <xdr:to>
          <xdr:col>27</xdr:col>
          <xdr:colOff>704850</xdr:colOff>
          <xdr:row>5</xdr:row>
          <xdr:rowOff>323850</xdr:rowOff>
        </xdr:to>
        <xdr:sp macro="" textlink="">
          <xdr:nvSpPr>
            <xdr:cNvPr id="74770" name="Button 18" hidden="1">
              <a:extLst>
                <a:ext uri="{63B3BB69-23CF-44E3-9099-C40C66FF867C}">
                  <a14:compatExt spid="_x0000_s7477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28575</xdr:colOff>
          <xdr:row>5</xdr:row>
          <xdr:rowOff>9525</xdr:rowOff>
        </xdr:from>
        <xdr:to>
          <xdr:col>26</xdr:col>
          <xdr:colOff>285750</xdr:colOff>
          <xdr:row>6</xdr:row>
          <xdr:rowOff>0</xdr:rowOff>
        </xdr:to>
        <xdr:sp macro="" textlink="">
          <xdr:nvSpPr>
            <xdr:cNvPr id="74771" name="Button 19" hidden="1">
              <a:extLst>
                <a:ext uri="{63B3BB69-23CF-44E3-9099-C40C66FF867C}">
                  <a14:compatExt spid="_x0000_s7477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xdr:twoCellAnchor>
    <xdr:from>
      <xdr:col>3</xdr:col>
      <xdr:colOff>81643</xdr:colOff>
      <xdr:row>9</xdr:row>
      <xdr:rowOff>95249</xdr:rowOff>
    </xdr:from>
    <xdr:to>
      <xdr:col>14</xdr:col>
      <xdr:colOff>204107</xdr:colOff>
      <xdr:row>9</xdr:row>
      <xdr:rowOff>2558142</xdr:rowOff>
    </xdr:to>
    <xdr:grpSp>
      <xdr:nvGrpSpPr>
        <xdr:cNvPr id="10" name="Group 9"/>
        <xdr:cNvGrpSpPr>
          <a:grpSpLocks noChangeAspect="1"/>
        </xdr:cNvGrpSpPr>
      </xdr:nvGrpSpPr>
      <xdr:grpSpPr>
        <a:xfrm>
          <a:off x="2748643" y="2609849"/>
          <a:ext cx="6999514" cy="2462893"/>
          <a:chOff x="-360612" y="620688"/>
          <a:chExt cx="8374049" cy="3398988"/>
        </a:xfrm>
      </xdr:grpSpPr>
      <xdr:sp macro="" textlink="">
        <xdr:nvSpPr>
          <xdr:cNvPr id="11" name="Rectangle 10"/>
          <xdr:cNvSpPr/>
        </xdr:nvSpPr>
        <xdr:spPr>
          <a:xfrm>
            <a:off x="107504" y="620688"/>
            <a:ext cx="1368000" cy="2460041"/>
          </a:xfrm>
          <a:prstGeom prst="rect">
            <a:avLst/>
          </a:prstGeom>
          <a:ln w="28575">
            <a:solidFill>
              <a:schemeClr val="bg1">
                <a:lumMod val="95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chemeClr val="tx1"/>
                </a:solidFill>
                <a:latin typeface="+mn-lt"/>
                <a:ea typeface="+mn-ea"/>
                <a:cs typeface="+mn-cs"/>
              </a:rPr>
              <a:t>Action plan finance</a:t>
            </a:r>
          </a:p>
        </xdr:txBody>
      </xdr:sp>
      <xdr:sp macro="" textlink="">
        <xdr:nvSpPr>
          <xdr:cNvPr id="12" name="Rectangle 11"/>
          <xdr:cNvSpPr/>
        </xdr:nvSpPr>
        <xdr:spPr>
          <a:xfrm>
            <a:off x="107504" y="3456308"/>
            <a:ext cx="1368000" cy="563368"/>
          </a:xfrm>
          <a:prstGeom prst="rect">
            <a:avLst/>
          </a:prstGeom>
          <a:ln w="12700">
            <a:solidFill>
              <a:schemeClr val="bg1">
                <a:lumMod val="95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t>Financing </a:t>
            </a:r>
          </a:p>
          <a:p>
            <a:pPr algn="ctr"/>
            <a:r>
              <a:rPr lang="en-US" sz="1400"/>
              <a:t>plan</a:t>
            </a:r>
          </a:p>
        </xdr:txBody>
      </xdr:sp>
      <xdr:cxnSp macro="">
        <xdr:nvCxnSpPr>
          <xdr:cNvPr id="13" name="Straight Connector 12"/>
          <xdr:cNvCxnSpPr/>
        </xdr:nvCxnSpPr>
        <xdr:spPr>
          <a:xfrm>
            <a:off x="-360612" y="3212975"/>
            <a:ext cx="8374049" cy="0"/>
          </a:xfrm>
          <a:prstGeom prst="line">
            <a:avLst/>
          </a:prstGeom>
          <a:ln w="285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4" name="Rectangle 13"/>
          <xdr:cNvSpPr/>
        </xdr:nvSpPr>
        <xdr:spPr>
          <a:xfrm>
            <a:off x="4920375" y="2492895"/>
            <a:ext cx="2484143" cy="504056"/>
          </a:xfrm>
          <a:prstGeom prst="rect">
            <a:avLst/>
          </a:prstGeom>
          <a:solidFill>
            <a:srgbClr val="FFDF7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a:solidFill>
                  <a:schemeClr val="tx1">
                    <a:lumMod val="85000"/>
                    <a:lumOff val="15000"/>
                  </a:schemeClr>
                </a:solidFill>
              </a:rPr>
              <a:t>OPEX Requirements</a:t>
            </a:r>
            <a:endParaRPr lang="en-GB" sz="1400">
              <a:solidFill>
                <a:schemeClr val="tx1">
                  <a:lumMod val="85000"/>
                  <a:lumOff val="15000"/>
                </a:schemeClr>
              </a:solidFill>
            </a:endParaRPr>
          </a:p>
        </xdr:txBody>
      </xdr:sp>
      <xdr:sp macro="" textlink="">
        <xdr:nvSpPr>
          <xdr:cNvPr id="15" name="Rectangle 14"/>
          <xdr:cNvSpPr/>
        </xdr:nvSpPr>
        <xdr:spPr>
          <a:xfrm>
            <a:off x="2023108" y="620688"/>
            <a:ext cx="2628898" cy="1299552"/>
          </a:xfrm>
          <a:prstGeom prst="rect">
            <a:avLst/>
          </a:prstGeom>
          <a:ln w="12700">
            <a:solidFill>
              <a:schemeClr val="bg1">
                <a:lumMod val="95000"/>
              </a:schemeClr>
            </a:solidFill>
            <a:prstDash val="dash"/>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i="1">
                <a:solidFill>
                  <a:schemeClr val="tx1"/>
                </a:solidFill>
              </a:rPr>
              <a:t>II.</a:t>
            </a:r>
            <a:r>
              <a:rPr lang="en-US" sz="1100" b="1" i="1" baseline="0">
                <a:solidFill>
                  <a:schemeClr val="tx1"/>
                </a:solidFill>
              </a:rPr>
              <a:t> </a:t>
            </a:r>
            <a:r>
              <a:rPr lang="en-US" sz="1100" b="1" i="1">
                <a:solidFill>
                  <a:schemeClr val="tx1"/>
                </a:solidFill>
              </a:rPr>
              <a:t>Decide contribution fo</a:t>
            </a:r>
            <a:r>
              <a:rPr lang="en-US" sz="1100" b="1" i="1"/>
              <a:t>r each action</a:t>
            </a:r>
            <a:endParaRPr lang="en-US" sz="1100" i="1">
              <a:solidFill>
                <a:schemeClr val="tx1"/>
              </a:solidFill>
            </a:endParaRPr>
          </a:p>
        </xdr:txBody>
      </xdr:sp>
      <xdr:sp macro="" textlink="">
        <xdr:nvSpPr>
          <xdr:cNvPr id="16" name="Rectangle 15"/>
          <xdr:cNvSpPr/>
        </xdr:nvSpPr>
        <xdr:spPr>
          <a:xfrm>
            <a:off x="4920375" y="3460898"/>
            <a:ext cx="2484143" cy="540000"/>
          </a:xfrm>
          <a:prstGeom prst="rect">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a:t>Revenue A/C</a:t>
            </a:r>
          </a:p>
        </xdr:txBody>
      </xdr:sp>
      <xdr:sp macro="" textlink="">
        <xdr:nvSpPr>
          <xdr:cNvPr id="17" name="Rectangle 16"/>
          <xdr:cNvSpPr/>
        </xdr:nvSpPr>
        <xdr:spPr>
          <a:xfrm>
            <a:off x="2099772" y="2492895"/>
            <a:ext cx="2484143" cy="504056"/>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solidFill>
                  <a:schemeClr val="tx1">
                    <a:lumMod val="85000"/>
                    <a:lumOff val="15000"/>
                  </a:schemeClr>
                </a:solidFill>
              </a:rPr>
              <a:t>CAPEX Requirements</a:t>
            </a:r>
            <a:endParaRPr lang="en-GB" sz="1200">
              <a:solidFill>
                <a:schemeClr val="tx1">
                  <a:lumMod val="85000"/>
                  <a:lumOff val="15000"/>
                </a:schemeClr>
              </a:solidFill>
            </a:endParaRPr>
          </a:p>
        </xdr:txBody>
      </xdr:sp>
      <xdr:cxnSp macro="">
        <xdr:nvCxnSpPr>
          <xdr:cNvPr id="18" name="Straight Arrow Connector 17"/>
          <xdr:cNvCxnSpPr>
            <a:stCxn id="21" idx="0"/>
            <a:endCxn id="17" idx="2"/>
          </xdr:cNvCxnSpPr>
        </xdr:nvCxnSpPr>
        <xdr:spPr>
          <a:xfrm flipV="1">
            <a:off x="3341843" y="2996952"/>
            <a:ext cx="0" cy="463947"/>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18"/>
          <xdr:cNvCxnSpPr>
            <a:stCxn id="16" idx="0"/>
            <a:endCxn id="14" idx="2"/>
          </xdr:cNvCxnSpPr>
        </xdr:nvCxnSpPr>
        <xdr:spPr>
          <a:xfrm flipV="1">
            <a:off x="6162447" y="2996952"/>
            <a:ext cx="0" cy="463947"/>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xdr:cNvCxnSpPr>
            <a:stCxn id="24" idx="2"/>
          </xdr:cNvCxnSpPr>
        </xdr:nvCxnSpPr>
        <xdr:spPr>
          <a:xfrm flipH="1">
            <a:off x="3341843" y="1849367"/>
            <a:ext cx="1" cy="480206"/>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 name="Rectangle 20"/>
          <xdr:cNvSpPr/>
        </xdr:nvSpPr>
        <xdr:spPr>
          <a:xfrm>
            <a:off x="2099772" y="3460898"/>
            <a:ext cx="2484143" cy="540000"/>
          </a:xfrm>
          <a:prstGeom prst="rect">
            <a:avLst/>
          </a:prstGeom>
          <a:solidFill>
            <a:schemeClr val="bg2">
              <a:lumMod val="75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a:solidFill>
                  <a:schemeClr val="tx1"/>
                </a:solidFill>
              </a:rPr>
              <a:t>Local Govt.  share</a:t>
            </a:r>
          </a:p>
        </xdr:txBody>
      </xdr:sp>
      <xdr:sp macro="" textlink="">
        <xdr:nvSpPr>
          <xdr:cNvPr id="23" name="Rectangle 22"/>
          <xdr:cNvSpPr/>
        </xdr:nvSpPr>
        <xdr:spPr>
          <a:xfrm>
            <a:off x="2023112" y="2204865"/>
            <a:ext cx="5487537" cy="864095"/>
          </a:xfrm>
          <a:prstGeom prst="rect">
            <a:avLst/>
          </a:prstGeom>
          <a:ln w="12700">
            <a:solidFill>
              <a:schemeClr val="bg1">
                <a:lumMod val="95000"/>
              </a:schemeClr>
            </a:solidFill>
            <a:prstDash val="dash"/>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b="1" i="1"/>
              <a:t>I. </a:t>
            </a:r>
            <a:r>
              <a:rPr lang="en-US" sz="1100" b="1" i="1">
                <a:solidFill>
                  <a:schemeClr val="tx1"/>
                </a:solidFill>
              </a:rPr>
              <a:t>Review phasing, Annual CAPEX, OPEX and additional revenue generated</a:t>
            </a:r>
            <a:endParaRPr lang="en-US" sz="1100" i="1">
              <a:solidFill>
                <a:schemeClr val="tx1"/>
              </a:solidFill>
            </a:endParaRPr>
          </a:p>
        </xdr:txBody>
      </xdr:sp>
      <xdr:sp macro="" textlink="">
        <xdr:nvSpPr>
          <xdr:cNvPr id="24" name="Rectangle 23"/>
          <xdr:cNvSpPr/>
        </xdr:nvSpPr>
        <xdr:spPr>
          <a:xfrm>
            <a:off x="2099772" y="1184056"/>
            <a:ext cx="2484143" cy="665311"/>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200">
                <a:solidFill>
                  <a:schemeClr val="tx1">
                    <a:lumMod val="85000"/>
                    <a:lumOff val="15000"/>
                  </a:schemeClr>
                </a:solidFill>
              </a:rPr>
              <a:t>Grants, PPP</a:t>
            </a:r>
          </a:p>
          <a:p>
            <a:r>
              <a:rPr lang="en-US" sz="1200">
                <a:solidFill>
                  <a:schemeClr val="tx1">
                    <a:lumMod val="85000"/>
                    <a:lumOff val="15000"/>
                  </a:schemeClr>
                </a:solidFill>
              </a:rPr>
              <a:t>Debts,</a:t>
            </a:r>
            <a:r>
              <a:rPr lang="en-US" sz="1200" baseline="0">
                <a:solidFill>
                  <a:schemeClr val="tx1">
                    <a:lumMod val="85000"/>
                    <a:lumOff val="15000"/>
                  </a:schemeClr>
                </a:solidFill>
              </a:rPr>
              <a:t> </a:t>
            </a:r>
            <a:r>
              <a:rPr lang="en-US" sz="1200">
                <a:solidFill>
                  <a:schemeClr val="tx1">
                    <a:lumMod val="85000"/>
                    <a:lumOff val="15000"/>
                  </a:schemeClr>
                </a:solidFill>
              </a:rPr>
              <a:t>Private Share</a:t>
            </a:r>
          </a:p>
        </xdr:txBody>
      </xdr:sp>
    </xdr:grpSp>
    <xdr:clientData/>
  </xdr:twoCellAnchor>
</xdr:wsDr>
</file>

<file path=xl/drawings/drawing14.xml><?xml version="1.0" encoding="utf-8"?>
<xdr:wsDr xmlns:xdr="http://schemas.openxmlformats.org/drawingml/2006/spreadsheetDrawing" xmlns:a="http://schemas.openxmlformats.org/drawingml/2006/main">
  <xdr:absoluteAnchor>
    <xdr:pos x="0" y="0"/>
    <xdr:ext cx="9303712" cy="60806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twoCellAnchor editAs="oneCell">
    <xdr:from>
      <xdr:col>29</xdr:col>
      <xdr:colOff>286567</xdr:colOff>
      <xdr:row>1</xdr:row>
      <xdr:rowOff>142678</xdr:rowOff>
    </xdr:from>
    <xdr:to>
      <xdr:col>34</xdr:col>
      <xdr:colOff>1730</xdr:colOff>
      <xdr:row>2</xdr:row>
      <xdr:rowOff>25425</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294770" y="217092"/>
          <a:ext cx="2429788" cy="507825"/>
        </a:xfrm>
        <a:prstGeom prst="rect">
          <a:avLst/>
        </a:prstGeom>
        <a:noFill/>
        <a:ln w="9525">
          <a:noFill/>
          <a:miter lim="800000"/>
          <a:headEnd/>
          <a:tailEnd/>
        </a:ln>
      </xdr:spPr>
    </xdr:pic>
    <xdr:clientData/>
  </xdr:twoCellAnchor>
  <xdr:twoCellAnchor>
    <xdr:from>
      <xdr:col>17</xdr:col>
      <xdr:colOff>31750</xdr:colOff>
      <xdr:row>123</xdr:row>
      <xdr:rowOff>297088</xdr:rowOff>
    </xdr:from>
    <xdr:to>
      <xdr:col>34</xdr:col>
      <xdr:colOff>26896</xdr:colOff>
      <xdr:row>142</xdr:row>
      <xdr:rowOff>132566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581023</xdr:colOff>
      <xdr:row>152</xdr:row>
      <xdr:rowOff>167946</xdr:rowOff>
    </xdr:from>
    <xdr:to>
      <xdr:col>34</xdr:col>
      <xdr:colOff>26896</xdr:colOff>
      <xdr:row>171</xdr:row>
      <xdr:rowOff>46719</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31468</xdr:colOff>
      <xdr:row>184</xdr:row>
      <xdr:rowOff>117231</xdr:rowOff>
    </xdr:from>
    <xdr:to>
      <xdr:col>34</xdr:col>
      <xdr:colOff>26896</xdr:colOff>
      <xdr:row>203</xdr:row>
      <xdr:rowOff>118118</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212107</xdr:colOff>
      <xdr:row>28</xdr:row>
      <xdr:rowOff>40822</xdr:rowOff>
    </xdr:from>
    <xdr:to>
      <xdr:col>32</xdr:col>
      <xdr:colOff>609434</xdr:colOff>
      <xdr:row>51</xdr:row>
      <xdr:rowOff>122464</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21032</xdr:colOff>
      <xdr:row>28</xdr:row>
      <xdr:rowOff>54430</xdr:rowOff>
    </xdr:from>
    <xdr:to>
      <xdr:col>15</xdr:col>
      <xdr:colOff>13607</xdr:colOff>
      <xdr:row>51</xdr:row>
      <xdr:rowOff>108858</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2</xdr:col>
          <xdr:colOff>0</xdr:colOff>
          <xdr:row>119</xdr:row>
          <xdr:rowOff>0</xdr:rowOff>
        </xdr:from>
        <xdr:to>
          <xdr:col>2</xdr:col>
          <xdr:colOff>0</xdr:colOff>
          <xdr:row>119</xdr:row>
          <xdr:rowOff>0</xdr:rowOff>
        </xdr:to>
        <xdr:sp macro="" textlink="">
          <xdr:nvSpPr>
            <xdr:cNvPr id="68616" name="Button 8" hidden="1">
              <a:extLst>
                <a:ext uri="{63B3BB69-23CF-44E3-9099-C40C66FF867C}">
                  <a14:compatExt spid="_x0000_s6861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Button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119</xdr:row>
          <xdr:rowOff>0</xdr:rowOff>
        </xdr:from>
        <xdr:to>
          <xdr:col>2</xdr:col>
          <xdr:colOff>0</xdr:colOff>
          <xdr:row>119</xdr:row>
          <xdr:rowOff>0</xdr:rowOff>
        </xdr:to>
        <xdr:sp macro="" textlink="">
          <xdr:nvSpPr>
            <xdr:cNvPr id="68617" name="Button 9" hidden="1">
              <a:extLst>
                <a:ext uri="{63B3BB69-23CF-44E3-9099-C40C66FF867C}">
                  <a14:compatExt spid="_x0000_s6861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Button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79</xdr:row>
          <xdr:rowOff>180975</xdr:rowOff>
        </xdr:from>
        <xdr:to>
          <xdr:col>12</xdr:col>
          <xdr:colOff>314325</xdr:colOff>
          <xdr:row>80</xdr:row>
          <xdr:rowOff>200025</xdr:rowOff>
        </xdr:to>
        <xdr:sp macro="" textlink="">
          <xdr:nvSpPr>
            <xdr:cNvPr id="68619" name="Check Box 11" hidden="1">
              <a:extLst>
                <a:ext uri="{63B3BB69-23CF-44E3-9099-C40C66FF867C}">
                  <a14:compatExt spid="_x0000_s68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100</xdr:row>
          <xdr:rowOff>180975</xdr:rowOff>
        </xdr:from>
        <xdr:to>
          <xdr:col>12</xdr:col>
          <xdr:colOff>314325</xdr:colOff>
          <xdr:row>102</xdr:row>
          <xdr:rowOff>0</xdr:rowOff>
        </xdr:to>
        <xdr:sp macro="" textlink="">
          <xdr:nvSpPr>
            <xdr:cNvPr id="68622" name="Check Box 14" hidden="1">
              <a:extLst>
                <a:ext uri="{63B3BB69-23CF-44E3-9099-C40C66FF867C}">
                  <a14:compatExt spid="_x0000_s68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447675</xdr:colOff>
          <xdr:row>4</xdr:row>
          <xdr:rowOff>85725</xdr:rowOff>
        </xdr:from>
        <xdr:to>
          <xdr:col>33</xdr:col>
          <xdr:colOff>209550</xdr:colOff>
          <xdr:row>6</xdr:row>
          <xdr:rowOff>38100</xdr:rowOff>
        </xdr:to>
        <xdr:sp macro="" textlink="">
          <xdr:nvSpPr>
            <xdr:cNvPr id="68623" name="Button 15" hidden="1">
              <a:extLst>
                <a:ext uri="{63B3BB69-23CF-44E3-9099-C40C66FF867C}">
                  <a14:compatExt spid="_x0000_s6862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29</xdr:col>
          <xdr:colOff>314325</xdr:colOff>
          <xdr:row>4</xdr:row>
          <xdr:rowOff>85725</xdr:rowOff>
        </xdr:from>
        <xdr:to>
          <xdr:col>31</xdr:col>
          <xdr:colOff>47625</xdr:colOff>
          <xdr:row>6</xdr:row>
          <xdr:rowOff>38100</xdr:rowOff>
        </xdr:to>
        <xdr:sp macro="" textlink="">
          <xdr:nvSpPr>
            <xdr:cNvPr id="68624" name="Button 16" hidden="1">
              <a:extLst>
                <a:ext uri="{63B3BB69-23CF-44E3-9099-C40C66FF867C}">
                  <a14:compatExt spid="_x0000_s6862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1" i="0" u="none" strike="noStrike" baseline="0">
                  <a:solidFill>
                    <a:srgbClr val="000000"/>
                  </a:solidFill>
                  <a:latin typeface="Calibri"/>
                </a:rPr>
                <a:t>Reset</a:t>
              </a:r>
            </a:p>
          </xdr:txBody>
        </xdr:sp>
        <xdr:clientData fPrintsWithSheet="0"/>
      </xdr:twoCellAnchor>
    </mc:Choice>
    <mc:Fallback/>
  </mc:AlternateContent>
  <xdr:twoCellAnchor>
    <xdr:from>
      <xdr:col>2</xdr:col>
      <xdr:colOff>190499</xdr:colOff>
      <xdr:row>11</xdr:row>
      <xdr:rowOff>5772</xdr:rowOff>
    </xdr:from>
    <xdr:to>
      <xdr:col>14</xdr:col>
      <xdr:colOff>126999</xdr:colOff>
      <xdr:row>23</xdr:row>
      <xdr:rowOff>6349</xdr:rowOff>
    </xdr:to>
    <xdr:grpSp>
      <xdr:nvGrpSpPr>
        <xdr:cNvPr id="23" name="Group 22"/>
        <xdr:cNvGrpSpPr/>
      </xdr:nvGrpSpPr>
      <xdr:grpSpPr>
        <a:xfrm>
          <a:off x="1230922" y="3097734"/>
          <a:ext cx="8538308" cy="4557923"/>
          <a:chOff x="35496" y="332656"/>
          <a:chExt cx="7920880" cy="3509148"/>
        </a:xfrm>
      </xdr:grpSpPr>
      <xdr:sp macro="" textlink="">
        <xdr:nvSpPr>
          <xdr:cNvPr id="29" name="Rectangle 28"/>
          <xdr:cNvSpPr/>
        </xdr:nvSpPr>
        <xdr:spPr>
          <a:xfrm>
            <a:off x="107504" y="332656"/>
            <a:ext cx="1368000" cy="504056"/>
          </a:xfrm>
          <a:prstGeom prst="rect">
            <a:avLst/>
          </a:prstGeom>
          <a:ln w="12700">
            <a:solidFill>
              <a:schemeClr val="bg1">
                <a:lumMod val="95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t>Action plan finance</a:t>
            </a:r>
          </a:p>
        </xdr:txBody>
      </xdr:sp>
      <xdr:sp macro="" textlink="">
        <xdr:nvSpPr>
          <xdr:cNvPr id="30" name="Rectangle 29"/>
          <xdr:cNvSpPr/>
        </xdr:nvSpPr>
        <xdr:spPr>
          <a:xfrm>
            <a:off x="107504" y="1177320"/>
            <a:ext cx="1368000" cy="2616488"/>
          </a:xfrm>
          <a:prstGeom prst="rect">
            <a:avLst/>
          </a:prstGeom>
          <a:ln w="28575">
            <a:solidFill>
              <a:schemeClr val="bg1">
                <a:lumMod val="95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t>Financing </a:t>
            </a:r>
          </a:p>
          <a:p>
            <a:pPr algn="ctr"/>
            <a:r>
              <a:rPr lang="en-US" sz="1800" b="1"/>
              <a:t>plan</a:t>
            </a:r>
          </a:p>
        </xdr:txBody>
      </xdr:sp>
      <xdr:cxnSp macro="">
        <xdr:nvCxnSpPr>
          <xdr:cNvPr id="31" name="Straight Connector 30"/>
          <xdr:cNvCxnSpPr/>
        </xdr:nvCxnSpPr>
        <xdr:spPr>
          <a:xfrm>
            <a:off x="35496" y="1052736"/>
            <a:ext cx="7920880" cy="0"/>
          </a:xfrm>
          <a:prstGeom prst="line">
            <a:avLst/>
          </a:prstGeom>
          <a:ln w="285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32" name="Rectangle 31"/>
          <xdr:cNvSpPr/>
        </xdr:nvSpPr>
        <xdr:spPr>
          <a:xfrm>
            <a:off x="4188004" y="332656"/>
            <a:ext cx="3528232" cy="504056"/>
          </a:xfrm>
          <a:prstGeom prst="rect">
            <a:avLst/>
          </a:prstGeom>
          <a:solidFill>
            <a:srgbClr val="FFDF7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a:solidFill>
                  <a:schemeClr val="tx1">
                    <a:lumMod val="85000"/>
                    <a:lumOff val="15000"/>
                  </a:schemeClr>
                </a:solidFill>
              </a:rPr>
              <a:t>OPEX Requirements</a:t>
            </a:r>
            <a:endParaRPr lang="en-GB" sz="1400">
              <a:solidFill>
                <a:schemeClr val="tx1">
                  <a:lumMod val="85000"/>
                  <a:lumOff val="15000"/>
                </a:schemeClr>
              </a:solidFill>
            </a:endParaRPr>
          </a:p>
        </xdr:txBody>
      </xdr:sp>
      <xdr:sp macro="" textlink="">
        <xdr:nvSpPr>
          <xdr:cNvPr id="33" name="Rectangle 32"/>
          <xdr:cNvSpPr/>
        </xdr:nvSpPr>
        <xdr:spPr>
          <a:xfrm>
            <a:off x="4188004" y="1488446"/>
            <a:ext cx="1348016" cy="540000"/>
          </a:xfrm>
          <a:prstGeom prst="rect">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a:t>FSM </a:t>
            </a:r>
          </a:p>
          <a:p>
            <a:pPr algn="ctr"/>
            <a:r>
              <a:rPr lang="en-US" sz="1400"/>
              <a:t>Revenue A/C</a:t>
            </a:r>
          </a:p>
        </xdr:txBody>
      </xdr:sp>
      <xdr:sp macro="" textlink="">
        <xdr:nvSpPr>
          <xdr:cNvPr id="34" name="Rectangle 33"/>
          <xdr:cNvSpPr/>
        </xdr:nvSpPr>
        <xdr:spPr>
          <a:xfrm>
            <a:off x="6368221" y="1488446"/>
            <a:ext cx="1348016" cy="540000"/>
          </a:xfrm>
          <a:prstGeom prst="rect">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a:t>Non-FSM</a:t>
            </a:r>
          </a:p>
          <a:p>
            <a:pPr algn="ctr"/>
            <a:r>
              <a:rPr lang="en-US" sz="1400"/>
              <a:t>Revenue A/C</a:t>
            </a:r>
          </a:p>
        </xdr:txBody>
      </xdr:sp>
      <xdr:grpSp>
        <xdr:nvGrpSpPr>
          <xdr:cNvPr id="35" name="Group 34"/>
          <xdr:cNvGrpSpPr/>
        </xdr:nvGrpSpPr>
        <xdr:grpSpPr>
          <a:xfrm>
            <a:off x="4188004" y="2600968"/>
            <a:ext cx="3528232" cy="540000"/>
            <a:chOff x="4067944" y="4257152"/>
            <a:chExt cx="3528232" cy="540000"/>
          </a:xfrm>
        </xdr:grpSpPr>
        <xdr:sp macro="" textlink="">
          <xdr:nvSpPr>
            <xdr:cNvPr id="57" name="Rectangle 56"/>
            <xdr:cNvSpPr/>
          </xdr:nvSpPr>
          <xdr:spPr>
            <a:xfrm>
              <a:off x="4067944" y="4257152"/>
              <a:ext cx="1348016" cy="54000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200">
                  <a:solidFill>
                    <a:schemeClr val="tx1">
                      <a:lumMod val="85000"/>
                      <a:lumOff val="15000"/>
                    </a:schemeClr>
                  </a:solidFill>
                </a:rPr>
                <a:t>Wastewater tax</a:t>
              </a:r>
            </a:p>
            <a:p>
              <a:r>
                <a:rPr lang="en-US" sz="1200">
                  <a:solidFill>
                    <a:schemeClr val="tx1">
                      <a:lumMod val="85000"/>
                      <a:lumOff val="15000"/>
                    </a:schemeClr>
                  </a:solidFill>
                </a:rPr>
                <a:t>Septic tank emptying charges</a:t>
              </a:r>
            </a:p>
          </xdr:txBody>
        </xdr:sp>
        <xdr:sp macro="" textlink="">
          <xdr:nvSpPr>
            <xdr:cNvPr id="58" name="Rectangle 57"/>
            <xdr:cNvSpPr/>
          </xdr:nvSpPr>
          <xdr:spPr>
            <a:xfrm>
              <a:off x="6248160" y="4257152"/>
              <a:ext cx="1348016" cy="54000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200">
                  <a:solidFill>
                    <a:schemeClr val="tx1">
                      <a:lumMod val="85000"/>
                      <a:lumOff val="15000"/>
                    </a:schemeClr>
                  </a:solidFill>
                </a:rPr>
                <a:t>Property tax</a:t>
              </a:r>
            </a:p>
            <a:p>
              <a:r>
                <a:rPr lang="en-US" sz="1200">
                  <a:solidFill>
                    <a:schemeClr val="tx1">
                      <a:lumMod val="85000"/>
                      <a:lumOff val="15000"/>
                    </a:schemeClr>
                  </a:solidFill>
                </a:rPr>
                <a:t>Other taxes</a:t>
              </a:r>
            </a:p>
          </xdr:txBody>
        </xdr:sp>
      </xdr:grpSp>
      <xdr:sp macro="" textlink="">
        <xdr:nvSpPr>
          <xdr:cNvPr id="36" name="Rectangle 35"/>
          <xdr:cNvSpPr/>
        </xdr:nvSpPr>
        <xdr:spPr>
          <a:xfrm>
            <a:off x="1995745" y="2600968"/>
            <a:ext cx="1348016" cy="540000"/>
          </a:xfrm>
          <a:prstGeom prst="rect">
            <a:avLst/>
          </a:prstGeom>
          <a:no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solidFill>
                  <a:schemeClr val="tx1">
                    <a:lumMod val="85000"/>
                    <a:lumOff val="15000"/>
                  </a:schemeClr>
                </a:solidFill>
              </a:rPr>
              <a:t>Debt</a:t>
            </a:r>
          </a:p>
        </xdr:txBody>
      </xdr:sp>
      <xdr:sp macro="" textlink="">
        <xdr:nvSpPr>
          <xdr:cNvPr id="37" name="Rectangle 36"/>
          <xdr:cNvSpPr/>
        </xdr:nvSpPr>
        <xdr:spPr>
          <a:xfrm>
            <a:off x="1995745" y="332656"/>
            <a:ext cx="1348016" cy="504056"/>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a:solidFill>
                  <a:schemeClr val="tx1">
                    <a:lumMod val="85000"/>
                    <a:lumOff val="15000"/>
                  </a:schemeClr>
                </a:solidFill>
              </a:rPr>
              <a:t>CAPEX Requirements</a:t>
            </a:r>
            <a:endParaRPr lang="en-GB" sz="1200">
              <a:solidFill>
                <a:schemeClr val="tx1">
                  <a:lumMod val="85000"/>
                  <a:lumOff val="15000"/>
                </a:schemeClr>
              </a:solidFill>
            </a:endParaRPr>
          </a:p>
        </xdr:txBody>
      </xdr:sp>
      <xdr:cxnSp macro="">
        <xdr:nvCxnSpPr>
          <xdr:cNvPr id="38" name="Straight Arrow Connector 37"/>
          <xdr:cNvCxnSpPr>
            <a:stCxn id="57" idx="0"/>
            <a:endCxn id="33" idx="2"/>
          </xdr:cNvCxnSpPr>
        </xdr:nvCxnSpPr>
        <xdr:spPr>
          <a:xfrm flipV="1">
            <a:off x="4862012" y="2028446"/>
            <a:ext cx="0" cy="572522"/>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9" name="Straight Arrow Connector 38"/>
          <xdr:cNvCxnSpPr>
            <a:stCxn id="58" idx="0"/>
            <a:endCxn id="34" idx="2"/>
          </xdr:cNvCxnSpPr>
        </xdr:nvCxnSpPr>
        <xdr:spPr>
          <a:xfrm flipV="1">
            <a:off x="7042228" y="2028446"/>
            <a:ext cx="0" cy="572522"/>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Straight Arrow Connector 39"/>
          <xdr:cNvCxnSpPr>
            <a:stCxn id="43" idx="0"/>
            <a:endCxn id="37" idx="2"/>
          </xdr:cNvCxnSpPr>
        </xdr:nvCxnSpPr>
        <xdr:spPr>
          <a:xfrm flipV="1">
            <a:off x="2669752" y="836712"/>
            <a:ext cx="0" cy="651734"/>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Straight Arrow Connector 40"/>
          <xdr:cNvCxnSpPr>
            <a:stCxn id="34" idx="1"/>
            <a:endCxn id="33" idx="3"/>
          </xdr:cNvCxnSpPr>
        </xdr:nvCxnSpPr>
        <xdr:spPr>
          <a:xfrm flipH="1">
            <a:off x="5536020" y="1758446"/>
            <a:ext cx="832200" cy="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Straight Arrow Connector 41"/>
          <xdr:cNvCxnSpPr>
            <a:stCxn id="33" idx="0"/>
          </xdr:cNvCxnSpPr>
        </xdr:nvCxnSpPr>
        <xdr:spPr>
          <a:xfrm flipH="1" flipV="1">
            <a:off x="4850441" y="830494"/>
            <a:ext cx="11571" cy="657952"/>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3" name="Rectangle 42"/>
          <xdr:cNvSpPr/>
        </xdr:nvSpPr>
        <xdr:spPr>
          <a:xfrm>
            <a:off x="1995745" y="1488446"/>
            <a:ext cx="1348016" cy="540000"/>
          </a:xfrm>
          <a:prstGeom prst="rect">
            <a:avLst/>
          </a:prstGeom>
          <a:solidFill>
            <a:schemeClr val="bg2">
              <a:lumMod val="75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400">
                <a:solidFill>
                  <a:schemeClr val="tx1"/>
                </a:solidFill>
              </a:rPr>
              <a:t>Local Govt.  share</a:t>
            </a:r>
          </a:p>
        </xdr:txBody>
      </xdr:sp>
      <xdr:cxnSp macro="">
        <xdr:nvCxnSpPr>
          <xdr:cNvPr id="44" name="Straight Arrow Connector 43"/>
          <xdr:cNvCxnSpPr>
            <a:stCxn id="33" idx="1"/>
            <a:endCxn id="43" idx="3"/>
          </xdr:cNvCxnSpPr>
        </xdr:nvCxnSpPr>
        <xdr:spPr>
          <a:xfrm flipH="1">
            <a:off x="3343761" y="1758446"/>
            <a:ext cx="844244" cy="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5" name="Straight Arrow Connector 44"/>
          <xdr:cNvCxnSpPr>
            <a:stCxn id="36" idx="0"/>
            <a:endCxn id="43" idx="2"/>
          </xdr:cNvCxnSpPr>
        </xdr:nvCxnSpPr>
        <xdr:spPr>
          <a:xfrm flipV="1">
            <a:off x="2669752" y="2028446"/>
            <a:ext cx="0" cy="572522"/>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6" name="Rectangle 45"/>
          <xdr:cNvSpPr/>
        </xdr:nvSpPr>
        <xdr:spPr>
          <a:xfrm>
            <a:off x="3291889" y="1619094"/>
            <a:ext cx="973380" cy="288032"/>
          </a:xfrm>
          <a:prstGeom prst="rect">
            <a:avLst/>
          </a:prstGeom>
          <a:ln w="12700">
            <a:no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b="1" i="1"/>
              <a:t>ii. Transfer Surplus</a:t>
            </a:r>
          </a:p>
        </xdr:txBody>
      </xdr:sp>
      <xdr:sp macro="" textlink="">
        <xdr:nvSpPr>
          <xdr:cNvPr id="47" name="Rectangle 46"/>
          <xdr:cNvSpPr/>
        </xdr:nvSpPr>
        <xdr:spPr>
          <a:xfrm>
            <a:off x="5484148" y="1619094"/>
            <a:ext cx="973380" cy="288032"/>
          </a:xfrm>
          <a:prstGeom prst="rect">
            <a:avLst/>
          </a:prstGeom>
          <a:ln w="12700">
            <a:no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b="1" i="1"/>
              <a:t>ii. Allocate Surplus</a:t>
            </a:r>
          </a:p>
        </xdr:txBody>
      </xdr:sp>
      <xdr:cxnSp macro="">
        <xdr:nvCxnSpPr>
          <xdr:cNvPr id="49" name="Straight Arrow Connector 48"/>
          <xdr:cNvCxnSpPr/>
        </xdr:nvCxnSpPr>
        <xdr:spPr>
          <a:xfrm flipV="1">
            <a:off x="3357538" y="2028449"/>
            <a:ext cx="830466" cy="570992"/>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sp macro="" textlink="">
        <xdr:nvSpPr>
          <xdr:cNvPr id="50" name="Rectangle 49"/>
          <xdr:cNvSpPr/>
        </xdr:nvSpPr>
        <xdr:spPr>
          <a:xfrm rot="19185356">
            <a:off x="3280784" y="2162811"/>
            <a:ext cx="967607" cy="289750"/>
          </a:xfrm>
          <a:prstGeom prst="rect">
            <a:avLst/>
          </a:prstGeom>
          <a:ln w="12700">
            <a:no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i="1"/>
              <a:t>Repayment obligations</a:t>
            </a:r>
          </a:p>
        </xdr:txBody>
      </xdr:sp>
      <xdr:sp macro="" textlink="">
        <xdr:nvSpPr>
          <xdr:cNvPr id="51" name="Rectangle 50"/>
          <xdr:cNvSpPr/>
        </xdr:nvSpPr>
        <xdr:spPr>
          <a:xfrm>
            <a:off x="4081264" y="2530076"/>
            <a:ext cx="3707140" cy="1225836"/>
          </a:xfrm>
          <a:prstGeom prst="rect">
            <a:avLst/>
          </a:prstGeom>
          <a:ln w="12700">
            <a:solidFill>
              <a:schemeClr val="bg1">
                <a:lumMod val="95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b"/>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a:t>Taxes and tariffs</a:t>
            </a:r>
          </a:p>
          <a:p>
            <a:pPr algn="ctr"/>
            <a:endParaRPr lang="en-US" sz="1200"/>
          </a:p>
          <a:p>
            <a:pPr algn="ctr"/>
            <a:endParaRPr lang="en-US" sz="1200"/>
          </a:p>
          <a:p>
            <a:pPr algn="ctr"/>
            <a:endParaRPr lang="en-US" sz="1200"/>
          </a:p>
        </xdr:txBody>
      </xdr:sp>
      <xdr:sp macro="" textlink="">
        <xdr:nvSpPr>
          <xdr:cNvPr id="52" name="Rectangle 51"/>
          <xdr:cNvSpPr/>
        </xdr:nvSpPr>
        <xdr:spPr>
          <a:xfrm>
            <a:off x="4497695" y="3284984"/>
            <a:ext cx="1428192" cy="556820"/>
          </a:xfrm>
          <a:prstGeom prst="rect">
            <a:avLst/>
          </a:prstGeom>
          <a:ln w="12700">
            <a:no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i="1"/>
              <a:t>iii. Improve collection </a:t>
            </a:r>
          </a:p>
          <a:p>
            <a:r>
              <a:rPr lang="en-US" sz="1100" b="1" i="1"/>
              <a:t>efficiency</a:t>
            </a:r>
          </a:p>
        </xdr:txBody>
      </xdr:sp>
      <xdr:sp macro="" textlink="">
        <xdr:nvSpPr>
          <xdr:cNvPr id="53" name="Rectangle 52"/>
          <xdr:cNvSpPr/>
        </xdr:nvSpPr>
        <xdr:spPr>
          <a:xfrm>
            <a:off x="4081264" y="1177320"/>
            <a:ext cx="3707140" cy="936946"/>
          </a:xfrm>
          <a:prstGeom prst="rect">
            <a:avLst/>
          </a:prstGeom>
          <a:ln w="12700">
            <a:solidFill>
              <a:schemeClr val="bg1">
                <a:lumMod val="95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t"/>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b="1" i="1"/>
              <a:t>            i. Assess local government revenue account</a:t>
            </a:r>
          </a:p>
          <a:p>
            <a:pPr algn="ctr"/>
            <a:endParaRPr lang="en-US" sz="1100"/>
          </a:p>
        </xdr:txBody>
      </xdr:sp>
      <xdr:sp macro="" textlink="">
        <xdr:nvSpPr>
          <xdr:cNvPr id="54" name="Rectangle 53"/>
          <xdr:cNvSpPr/>
        </xdr:nvSpPr>
        <xdr:spPr>
          <a:xfrm>
            <a:off x="6143612" y="3284984"/>
            <a:ext cx="1296144" cy="556820"/>
          </a:xfrm>
          <a:prstGeom prst="rect">
            <a:avLst/>
          </a:prstGeom>
          <a:ln w="12700">
            <a:no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i="1"/>
              <a:t>iv. Levy and/or </a:t>
            </a:r>
          </a:p>
          <a:p>
            <a:r>
              <a:rPr lang="en-US" sz="1100" b="1" i="1"/>
              <a:t>revise tax rates</a:t>
            </a:r>
          </a:p>
        </xdr:txBody>
      </xdr:sp>
      <xdr:sp macro="" textlink="">
        <xdr:nvSpPr>
          <xdr:cNvPr id="55" name="Rectangle 54"/>
          <xdr:cNvSpPr/>
        </xdr:nvSpPr>
        <xdr:spPr>
          <a:xfrm>
            <a:off x="1919084" y="2530076"/>
            <a:ext cx="1504708" cy="1263732"/>
          </a:xfrm>
          <a:prstGeom prst="rect">
            <a:avLst/>
          </a:prstGeom>
          <a:ln w="12700">
            <a:solidFill>
              <a:schemeClr val="bg1">
                <a:lumMod val="95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rtlCol="0" anchor="b"/>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1200"/>
          </a:p>
        </xdr:txBody>
      </xdr:sp>
      <xdr:sp macro="" textlink="">
        <xdr:nvSpPr>
          <xdr:cNvPr id="56" name="Rectangle 55"/>
          <xdr:cNvSpPr/>
        </xdr:nvSpPr>
        <xdr:spPr>
          <a:xfrm>
            <a:off x="1960014" y="3284984"/>
            <a:ext cx="1428192" cy="556820"/>
          </a:xfrm>
          <a:prstGeom prst="rect">
            <a:avLst/>
          </a:prstGeom>
          <a:ln w="12700">
            <a:noFill/>
            <a:prstDash val="dash"/>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i="1"/>
              <a:t>ii. Assess repayment capacity through DSCR</a:t>
            </a:r>
          </a:p>
        </xdr:txBody>
      </xdr:sp>
    </xdr:grpSp>
    <xdr:clientData/>
  </xdr:twoCellAnchor>
  <xdr:twoCellAnchor>
    <xdr:from>
      <xdr:col>17</xdr:col>
      <xdr:colOff>142874</xdr:colOff>
      <xdr:row>217</xdr:row>
      <xdr:rowOff>79375</xdr:rowOff>
    </xdr:from>
    <xdr:to>
      <xdr:col>34</xdr:col>
      <xdr:colOff>26896</xdr:colOff>
      <xdr:row>236</xdr:row>
      <xdr:rowOff>165966</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419063</xdr:colOff>
      <xdr:row>1</xdr:row>
      <xdr:rowOff>121660</xdr:rowOff>
    </xdr:from>
    <xdr:to>
      <xdr:col>15</xdr:col>
      <xdr:colOff>3432</xdr:colOff>
      <xdr:row>1</xdr:row>
      <xdr:rowOff>486805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154298" y="222513"/>
          <a:ext cx="1747105" cy="365145"/>
        </a:xfrm>
        <a:prstGeom prst="rect">
          <a:avLst/>
        </a:prstGeom>
        <a:noFill/>
        <a:ln w="9525">
          <a:noFill/>
          <a:miter lim="800000"/>
          <a:headEnd/>
          <a:tailEnd/>
        </a:ln>
      </xdr:spPr>
    </xdr:pic>
    <xdr:clientData/>
  </xdr:twoCellAnchor>
  <xdr:twoCellAnchor>
    <xdr:from>
      <xdr:col>6</xdr:col>
      <xdr:colOff>436779</xdr:colOff>
      <xdr:row>42</xdr:row>
      <xdr:rowOff>11787</xdr:rowOff>
    </xdr:from>
    <xdr:to>
      <xdr:col>13</xdr:col>
      <xdr:colOff>694286</xdr:colOff>
      <xdr:row>45</xdr:row>
      <xdr:rowOff>166313</xdr:rowOff>
    </xdr:to>
    <xdr:grpSp>
      <xdr:nvGrpSpPr>
        <xdr:cNvPr id="20" name="Group 19"/>
        <xdr:cNvGrpSpPr/>
      </xdr:nvGrpSpPr>
      <xdr:grpSpPr>
        <a:xfrm>
          <a:off x="6135904" y="12600662"/>
          <a:ext cx="6274132" cy="773651"/>
          <a:chOff x="5879636" y="12149359"/>
          <a:chExt cx="6231043" cy="829079"/>
        </a:xfrm>
      </xdr:grpSpPr>
      <xdr:sp macro="" textlink="">
        <xdr:nvSpPr>
          <xdr:cNvPr id="13" name="TextBox 12">
            <a:hlinkClick xmlns:r="http://schemas.openxmlformats.org/officeDocument/2006/relationships" r:id="rId2"/>
          </xdr:cNvPr>
          <xdr:cNvSpPr txBox="1"/>
        </xdr:nvSpPr>
        <xdr:spPr>
          <a:xfrm>
            <a:off x="5879636" y="12152878"/>
            <a:ext cx="1658714" cy="320040"/>
          </a:xfrm>
          <a:prstGeom prst="rect">
            <a:avLst/>
          </a:prstGeom>
          <a:solidFill>
            <a:srgbClr val="ABC674"/>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200" b="1"/>
              <a:t>WS</a:t>
            </a:r>
            <a:r>
              <a:rPr lang="en-US" sz="1200" b="1" baseline="0"/>
              <a:t> Plan</a:t>
            </a:r>
            <a:endParaRPr lang="en-US" sz="1200" b="1"/>
          </a:p>
        </xdr:txBody>
      </xdr:sp>
      <xdr:sp macro="" textlink="">
        <xdr:nvSpPr>
          <xdr:cNvPr id="14" name="TextBox 13">
            <a:hlinkClick xmlns:r="http://schemas.openxmlformats.org/officeDocument/2006/relationships" r:id="rId3"/>
          </xdr:cNvPr>
          <xdr:cNvSpPr txBox="1"/>
        </xdr:nvSpPr>
        <xdr:spPr>
          <a:xfrm>
            <a:off x="8205771" y="12154365"/>
            <a:ext cx="1650211" cy="320040"/>
          </a:xfrm>
          <a:prstGeom prst="rect">
            <a:avLst/>
          </a:prstGeom>
          <a:solidFill>
            <a:srgbClr val="ABC674"/>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200" b="1"/>
              <a:t>WW Plan</a:t>
            </a:r>
          </a:p>
        </xdr:txBody>
      </xdr:sp>
      <xdr:sp macro="" textlink="">
        <xdr:nvSpPr>
          <xdr:cNvPr id="17" name="TextBox 16">
            <a:hlinkClick xmlns:r="http://schemas.openxmlformats.org/officeDocument/2006/relationships" r:id="rId4"/>
          </xdr:cNvPr>
          <xdr:cNvSpPr txBox="1"/>
        </xdr:nvSpPr>
        <xdr:spPr>
          <a:xfrm>
            <a:off x="10460470" y="12149359"/>
            <a:ext cx="1650209" cy="320040"/>
          </a:xfrm>
          <a:prstGeom prst="rect">
            <a:avLst/>
          </a:prstGeom>
          <a:solidFill>
            <a:srgbClr val="ABC674"/>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200" b="1"/>
              <a:t>SW</a:t>
            </a:r>
            <a:r>
              <a:rPr lang="en-US" sz="1200" b="1" baseline="0"/>
              <a:t> </a:t>
            </a:r>
            <a:r>
              <a:rPr lang="en-US" sz="1200" b="1"/>
              <a:t>Plan</a:t>
            </a:r>
          </a:p>
        </xdr:txBody>
      </xdr:sp>
      <xdr:sp macro="" textlink="">
        <xdr:nvSpPr>
          <xdr:cNvPr id="18" name="TextBox 17">
            <a:hlinkClick xmlns:r="http://schemas.openxmlformats.org/officeDocument/2006/relationships" r:id="rId5"/>
          </xdr:cNvPr>
          <xdr:cNvSpPr txBox="1"/>
        </xdr:nvSpPr>
        <xdr:spPr>
          <a:xfrm>
            <a:off x="7026387" y="12651167"/>
            <a:ext cx="1647621" cy="320040"/>
          </a:xfrm>
          <a:prstGeom prst="rect">
            <a:avLst/>
          </a:prstGeom>
          <a:solidFill>
            <a:schemeClr val="accent2">
              <a:lumMod val="60000"/>
              <a:lumOff val="40000"/>
            </a:schemeClr>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Action Plan finance</a:t>
            </a:r>
          </a:p>
        </xdr:txBody>
      </xdr:sp>
      <xdr:sp macro="" textlink="">
        <xdr:nvSpPr>
          <xdr:cNvPr id="19" name="TextBox 18">
            <a:hlinkClick xmlns:r="http://schemas.openxmlformats.org/officeDocument/2006/relationships" r:id="rId6"/>
          </xdr:cNvPr>
          <xdr:cNvSpPr txBox="1"/>
        </xdr:nvSpPr>
        <xdr:spPr>
          <a:xfrm>
            <a:off x="9321235" y="12658399"/>
            <a:ext cx="1649322" cy="320039"/>
          </a:xfrm>
          <a:prstGeom prst="rect">
            <a:avLst/>
          </a:prstGeom>
          <a:solidFill>
            <a:schemeClr val="accent2">
              <a:lumMod val="60000"/>
              <a:lumOff val="40000"/>
            </a:schemeClr>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Financing Plan</a:t>
            </a:r>
          </a:p>
        </xdr:txBody>
      </xdr:sp>
    </xdr:grpSp>
    <xdr:clientData/>
  </xdr:twoCellAnchor>
  <xdr:twoCellAnchor>
    <xdr:from>
      <xdr:col>10</xdr:col>
      <xdr:colOff>632332</xdr:colOff>
      <xdr:row>22</xdr:row>
      <xdr:rowOff>46862</xdr:rowOff>
    </xdr:from>
    <xdr:to>
      <xdr:col>13</xdr:col>
      <xdr:colOff>806824</xdr:colOff>
      <xdr:row>33</xdr:row>
      <xdr:rowOff>139417</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670885</xdr:colOff>
      <xdr:row>56</xdr:row>
      <xdr:rowOff>54429</xdr:rowOff>
    </xdr:from>
    <xdr:to>
      <xdr:col>13</xdr:col>
      <xdr:colOff>840841</xdr:colOff>
      <xdr:row>67</xdr:row>
      <xdr:rowOff>174198</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614722</xdr:colOff>
      <xdr:row>80</xdr:row>
      <xdr:rowOff>6537</xdr:rowOff>
    </xdr:from>
    <xdr:to>
      <xdr:col>13</xdr:col>
      <xdr:colOff>776675</xdr:colOff>
      <xdr:row>91</xdr:row>
      <xdr:rowOff>110297</xdr:rowOff>
    </xdr:to>
    <xdr:graphicFrame macro="">
      <xdr:nvGraphicFramePr>
        <xdr:cNvPr id="44"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735052</xdr:colOff>
      <xdr:row>103</xdr:row>
      <xdr:rowOff>196903</xdr:rowOff>
    </xdr:from>
    <xdr:to>
      <xdr:col>13</xdr:col>
      <xdr:colOff>897005</xdr:colOff>
      <xdr:row>115</xdr:row>
      <xdr:rowOff>98958</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557091</xdr:colOff>
      <xdr:row>128</xdr:row>
      <xdr:rowOff>5870</xdr:rowOff>
    </xdr:from>
    <xdr:to>
      <xdr:col>13</xdr:col>
      <xdr:colOff>719044</xdr:colOff>
      <xdr:row>139</xdr:row>
      <xdr:rowOff>109630</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643672</xdr:colOff>
      <xdr:row>151</xdr:row>
      <xdr:rowOff>176892</xdr:rowOff>
    </xdr:from>
    <xdr:to>
      <xdr:col>13</xdr:col>
      <xdr:colOff>813628</xdr:colOff>
      <xdr:row>163</xdr:row>
      <xdr:rowOff>78947</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176893</xdr:colOff>
      <xdr:row>22</xdr:row>
      <xdr:rowOff>79822</xdr:rowOff>
    </xdr:from>
    <xdr:to>
      <xdr:col>11</xdr:col>
      <xdr:colOff>68035</xdr:colOff>
      <xdr:row>33</xdr:row>
      <xdr:rowOff>125754</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176893</xdr:colOff>
      <xdr:row>56</xdr:row>
      <xdr:rowOff>92352</xdr:rowOff>
    </xdr:from>
    <xdr:to>
      <xdr:col>11</xdr:col>
      <xdr:colOff>68035</xdr:colOff>
      <xdr:row>67</xdr:row>
      <xdr:rowOff>139302</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176227</xdr:colOff>
      <xdr:row>80</xdr:row>
      <xdr:rowOff>49625</xdr:rowOff>
    </xdr:from>
    <xdr:to>
      <xdr:col>11</xdr:col>
      <xdr:colOff>50559</xdr:colOff>
      <xdr:row>91</xdr:row>
      <xdr:rowOff>107780</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118196</xdr:colOff>
      <xdr:row>104</xdr:row>
      <xdr:rowOff>1866</xdr:rowOff>
    </xdr:from>
    <xdr:to>
      <xdr:col>10</xdr:col>
      <xdr:colOff>960903</xdr:colOff>
      <xdr:row>115</xdr:row>
      <xdr:rowOff>60022</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118596</xdr:colOff>
      <xdr:row>128</xdr:row>
      <xdr:rowOff>1333</xdr:rowOff>
    </xdr:from>
    <xdr:to>
      <xdr:col>10</xdr:col>
      <xdr:colOff>961303</xdr:colOff>
      <xdr:row>139</xdr:row>
      <xdr:rowOff>59488</xdr:rowOff>
    </xdr:to>
    <xdr:graphicFrame macro="">
      <xdr:nvGraphicFramePr>
        <xdr:cNvPr id="49"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199573</xdr:colOff>
      <xdr:row>151</xdr:row>
      <xdr:rowOff>188230</xdr:rowOff>
    </xdr:from>
    <xdr:to>
      <xdr:col>11</xdr:col>
      <xdr:colOff>77107</xdr:colOff>
      <xdr:row>163</xdr:row>
      <xdr:rowOff>44680</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28575</xdr:colOff>
          <xdr:row>15</xdr:row>
          <xdr:rowOff>76200</xdr:rowOff>
        </xdr:from>
        <xdr:to>
          <xdr:col>11</xdr:col>
          <xdr:colOff>428625</xdr:colOff>
          <xdr:row>16</xdr:row>
          <xdr:rowOff>152400</xdr:rowOff>
        </xdr:to>
        <xdr:sp macro="" textlink="">
          <xdr:nvSpPr>
            <xdr:cNvPr id="140307" name="Check Box 19" hidden="1">
              <a:extLst>
                <a:ext uri="{63B3BB69-23CF-44E3-9099-C40C66FF867C}">
                  <a14:compatExt spid="_x0000_s14030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CLICK HERE TO CUSTOMIZE KPI WIGHTAGES FOR SECTOR SCORE. BY DEFAULT ALL KPIs ARE GIVEN EQUAL WEIGHTAGES.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219075</xdr:colOff>
          <xdr:row>5</xdr:row>
          <xdr:rowOff>28575</xdr:rowOff>
        </xdr:from>
        <xdr:to>
          <xdr:col>14</xdr:col>
          <xdr:colOff>219075</xdr:colOff>
          <xdr:row>5</xdr:row>
          <xdr:rowOff>285750</xdr:rowOff>
        </xdr:to>
        <xdr:sp macro="" textlink="">
          <xdr:nvSpPr>
            <xdr:cNvPr id="140309" name="Button 21" hidden="1">
              <a:extLst>
                <a:ext uri="{63B3BB69-23CF-44E3-9099-C40C66FF867C}">
                  <a14:compatExt spid="_x0000_s1403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85725</xdr:colOff>
          <xdr:row>5</xdr:row>
          <xdr:rowOff>28575</xdr:rowOff>
        </xdr:from>
        <xdr:to>
          <xdr:col>13</xdr:col>
          <xdr:colOff>85725</xdr:colOff>
          <xdr:row>5</xdr:row>
          <xdr:rowOff>285750</xdr:rowOff>
        </xdr:to>
        <xdr:sp macro="" textlink="">
          <xdr:nvSpPr>
            <xdr:cNvPr id="140310" name="Button 22" hidden="1">
              <a:extLst>
                <a:ext uri="{63B3BB69-23CF-44E3-9099-C40C66FF867C}">
                  <a14:compatExt spid="_x0000_s14031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76200</xdr:colOff>
          <xdr:row>7</xdr:row>
          <xdr:rowOff>133350</xdr:rowOff>
        </xdr:from>
        <xdr:to>
          <xdr:col>14</xdr:col>
          <xdr:colOff>228600</xdr:colOff>
          <xdr:row>7</xdr:row>
          <xdr:rowOff>428625</xdr:rowOff>
        </xdr:to>
        <xdr:sp macro="" textlink="">
          <xdr:nvSpPr>
            <xdr:cNvPr id="140312" name="Button 24" hidden="1">
              <a:extLst>
                <a:ext uri="{63B3BB69-23CF-44E3-9099-C40C66FF867C}">
                  <a14:compatExt spid="_x0000_s14031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 full PIP model</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6</xdr:col>
      <xdr:colOff>2388054</xdr:colOff>
      <xdr:row>38</xdr:row>
      <xdr:rowOff>859515</xdr:rowOff>
    </xdr:from>
    <xdr:to>
      <xdr:col>6</xdr:col>
      <xdr:colOff>3648054</xdr:colOff>
      <xdr:row>38</xdr:row>
      <xdr:rowOff>1111515</xdr:rowOff>
    </xdr:to>
    <xdr:sp macro="" textlink="">
      <xdr:nvSpPr>
        <xdr:cNvPr id="3" name="TextBox 2">
          <a:hlinkClick xmlns:r="http://schemas.openxmlformats.org/officeDocument/2006/relationships" r:id="rId1"/>
        </xdr:cNvPr>
        <xdr:cNvSpPr txBox="1"/>
      </xdr:nvSpPr>
      <xdr:spPr>
        <a:xfrm>
          <a:off x="15961179" y="18925265"/>
          <a:ext cx="1260000" cy="25200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solidFill>
                <a:schemeClr val="bg1"/>
              </a:solidFill>
            </a:rPr>
            <a:t>Schedule</a:t>
          </a:r>
          <a:r>
            <a:rPr lang="en-US" sz="1100" b="1" baseline="0">
              <a:solidFill>
                <a:schemeClr val="bg1"/>
              </a:solidFill>
            </a:rPr>
            <a:t> of rates</a:t>
          </a:r>
          <a:endParaRPr lang="en-US" sz="1100" b="1">
            <a:solidFill>
              <a:schemeClr val="bg1"/>
            </a:solidFill>
          </a:endParaRPr>
        </a:p>
      </xdr:txBody>
    </xdr:sp>
    <xdr:clientData/>
  </xdr:twoCellAnchor>
  <xdr:twoCellAnchor>
    <xdr:from>
      <xdr:col>6</xdr:col>
      <xdr:colOff>2409330</xdr:colOff>
      <xdr:row>41</xdr:row>
      <xdr:rowOff>492125</xdr:rowOff>
    </xdr:from>
    <xdr:to>
      <xdr:col>6</xdr:col>
      <xdr:colOff>3669330</xdr:colOff>
      <xdr:row>41</xdr:row>
      <xdr:rowOff>744125</xdr:rowOff>
    </xdr:to>
    <xdr:sp macro="" textlink="">
      <xdr:nvSpPr>
        <xdr:cNvPr id="4" name="TextBox 3">
          <a:hlinkClick xmlns:r="http://schemas.openxmlformats.org/officeDocument/2006/relationships" r:id="rId2"/>
        </xdr:cNvPr>
        <xdr:cNvSpPr txBox="1"/>
      </xdr:nvSpPr>
      <xdr:spPr>
        <a:xfrm>
          <a:off x="15982455" y="21669375"/>
          <a:ext cx="1260000" cy="25200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solidFill>
                <a:schemeClr val="bg1"/>
              </a:solidFill>
            </a:rPr>
            <a:t>Schedule</a:t>
          </a:r>
          <a:r>
            <a:rPr lang="en-US" sz="1100" b="1" baseline="0">
              <a:solidFill>
                <a:schemeClr val="bg1"/>
              </a:solidFill>
            </a:rPr>
            <a:t> of rates</a:t>
          </a:r>
          <a:endParaRPr lang="en-US" sz="1100" b="1">
            <a:solidFill>
              <a:schemeClr val="bg1"/>
            </a:solidFill>
          </a:endParaRPr>
        </a:p>
      </xdr:txBody>
    </xdr:sp>
    <xdr:clientData/>
  </xdr:twoCellAnchor>
  <xdr:twoCellAnchor>
    <xdr:from>
      <xdr:col>6</xdr:col>
      <xdr:colOff>2402070</xdr:colOff>
      <xdr:row>42</xdr:row>
      <xdr:rowOff>483054</xdr:rowOff>
    </xdr:from>
    <xdr:to>
      <xdr:col>6</xdr:col>
      <xdr:colOff>3662070</xdr:colOff>
      <xdr:row>42</xdr:row>
      <xdr:rowOff>735054</xdr:rowOff>
    </xdr:to>
    <xdr:sp macro="" textlink="">
      <xdr:nvSpPr>
        <xdr:cNvPr id="5" name="TextBox 4">
          <a:hlinkClick xmlns:r="http://schemas.openxmlformats.org/officeDocument/2006/relationships" r:id="rId3"/>
        </xdr:cNvPr>
        <xdr:cNvSpPr txBox="1"/>
      </xdr:nvSpPr>
      <xdr:spPr>
        <a:xfrm>
          <a:off x="15975195" y="22454054"/>
          <a:ext cx="1260000" cy="25200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solidFill>
                <a:schemeClr val="bg1"/>
              </a:solidFill>
            </a:rPr>
            <a:t>Schedule</a:t>
          </a:r>
          <a:r>
            <a:rPr lang="en-US" sz="1100" b="1" baseline="0">
              <a:solidFill>
                <a:schemeClr val="bg1"/>
              </a:solidFill>
            </a:rPr>
            <a:t> of rates</a:t>
          </a:r>
          <a:endParaRPr lang="en-US" sz="1100" b="1">
            <a:solidFill>
              <a:schemeClr val="bg1"/>
            </a:solidFill>
          </a:endParaRPr>
        </a:p>
      </xdr:txBody>
    </xdr:sp>
    <xdr:clientData/>
  </xdr:twoCellAnchor>
  <xdr:twoCellAnchor>
    <xdr:from>
      <xdr:col>5</xdr:col>
      <xdr:colOff>5070518</xdr:colOff>
      <xdr:row>153</xdr:row>
      <xdr:rowOff>19790</xdr:rowOff>
    </xdr:from>
    <xdr:to>
      <xdr:col>5</xdr:col>
      <xdr:colOff>5659336</xdr:colOff>
      <xdr:row>153</xdr:row>
      <xdr:rowOff>217711</xdr:rowOff>
    </xdr:to>
    <xdr:sp macro="" textlink="">
      <xdr:nvSpPr>
        <xdr:cNvPr id="8" name="TextBox 7">
          <a:hlinkClick xmlns:r="http://schemas.openxmlformats.org/officeDocument/2006/relationships" r:id="rId4"/>
        </xdr:cNvPr>
        <xdr:cNvSpPr txBox="1"/>
      </xdr:nvSpPr>
      <xdr:spPr>
        <a:xfrm>
          <a:off x="12622482" y="74001826"/>
          <a:ext cx="588818" cy="19792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b="1">
              <a:solidFill>
                <a:schemeClr val="bg1"/>
              </a:solidFill>
            </a:rPr>
            <a:t>Back</a:t>
          </a:r>
        </a:p>
      </xdr:txBody>
    </xdr:sp>
    <xdr:clientData/>
  </xdr:twoCellAnchor>
  <xdr:twoCellAnchor>
    <xdr:from>
      <xdr:col>5</xdr:col>
      <xdr:colOff>5018811</xdr:colOff>
      <xdr:row>176</xdr:row>
      <xdr:rowOff>32706</xdr:rowOff>
    </xdr:from>
    <xdr:to>
      <xdr:col>5</xdr:col>
      <xdr:colOff>5607629</xdr:colOff>
      <xdr:row>176</xdr:row>
      <xdr:rowOff>221717</xdr:rowOff>
    </xdr:to>
    <xdr:sp macro="" textlink="">
      <xdr:nvSpPr>
        <xdr:cNvPr id="9" name="TextBox 8">
          <a:hlinkClick xmlns:r="http://schemas.openxmlformats.org/officeDocument/2006/relationships" r:id="rId5"/>
        </xdr:cNvPr>
        <xdr:cNvSpPr txBox="1"/>
      </xdr:nvSpPr>
      <xdr:spPr>
        <a:xfrm>
          <a:off x="12571576" y="78373030"/>
          <a:ext cx="588818" cy="18901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b="1">
              <a:solidFill>
                <a:schemeClr val="bg1"/>
              </a:solidFill>
              <a:latin typeface="+mn-lt"/>
              <a:ea typeface="+mn-ea"/>
              <a:cs typeface="+mn-cs"/>
            </a:rPr>
            <a:t>Back</a:t>
          </a:r>
        </a:p>
      </xdr:txBody>
    </xdr:sp>
    <xdr:clientData/>
  </xdr:twoCellAnchor>
  <xdr:twoCellAnchor>
    <xdr:from>
      <xdr:col>5</xdr:col>
      <xdr:colOff>5039591</xdr:colOff>
      <xdr:row>187</xdr:row>
      <xdr:rowOff>8147</xdr:rowOff>
    </xdr:from>
    <xdr:to>
      <xdr:col>5</xdr:col>
      <xdr:colOff>5628409</xdr:colOff>
      <xdr:row>187</xdr:row>
      <xdr:rowOff>212909</xdr:rowOff>
    </xdr:to>
    <xdr:sp macro="" textlink="">
      <xdr:nvSpPr>
        <xdr:cNvPr id="10" name="TextBox 9">
          <a:hlinkClick xmlns:r="http://schemas.openxmlformats.org/officeDocument/2006/relationships" r:id="rId6"/>
        </xdr:cNvPr>
        <xdr:cNvSpPr txBox="1"/>
      </xdr:nvSpPr>
      <xdr:spPr>
        <a:xfrm>
          <a:off x="12592356" y="80533618"/>
          <a:ext cx="588818" cy="20476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b="1">
              <a:solidFill>
                <a:schemeClr val="bg1"/>
              </a:solidFill>
            </a:rPr>
            <a:t>Back</a:t>
          </a:r>
        </a:p>
      </xdr:txBody>
    </xdr:sp>
    <xdr:clientData/>
  </xdr:twoCellAnchor>
  <xdr:twoCellAnchor editAs="oneCell">
    <xdr:from>
      <xdr:col>6</xdr:col>
      <xdr:colOff>3248081</xdr:colOff>
      <xdr:row>1</xdr:row>
      <xdr:rowOff>178378</xdr:rowOff>
    </xdr:from>
    <xdr:to>
      <xdr:col>7</xdr:col>
      <xdr:colOff>1976209</xdr:colOff>
      <xdr:row>1</xdr:row>
      <xdr:rowOff>702211</xdr:rowOff>
    </xdr:to>
    <xdr:pic>
      <xdr:nvPicPr>
        <xdr:cNvPr id="11" name="Picture 10"/>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6828010" y="273628"/>
          <a:ext cx="2506378" cy="523833"/>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7</xdr:col>
          <xdr:colOff>0</xdr:colOff>
          <xdr:row>5</xdr:row>
          <xdr:rowOff>66675</xdr:rowOff>
        </xdr:from>
        <xdr:to>
          <xdr:col>7</xdr:col>
          <xdr:colOff>904875</xdr:colOff>
          <xdr:row>6</xdr:row>
          <xdr:rowOff>28575</xdr:rowOff>
        </xdr:to>
        <xdr:sp macro="" textlink="">
          <xdr:nvSpPr>
            <xdr:cNvPr id="193540" name="Button 4" hidden="1">
              <a:extLst>
                <a:ext uri="{63B3BB69-23CF-44E3-9099-C40C66FF867C}">
                  <a14:compatExt spid="_x0000_s19354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1869281</xdr:colOff>
      <xdr:row>36</xdr:row>
      <xdr:rowOff>63494</xdr:rowOff>
    </xdr:from>
    <xdr:to>
      <xdr:col>12</xdr:col>
      <xdr:colOff>114300</xdr:colOff>
      <xdr:row>46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1857375</xdr:colOff>
      <xdr:row>48</xdr:row>
      <xdr:rowOff>13606</xdr:rowOff>
    </xdr:from>
    <xdr:to>
      <xdr:col>6</xdr:col>
      <xdr:colOff>454025</xdr:colOff>
      <xdr:row>57</xdr:row>
      <xdr:rowOff>111125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75213</xdr:colOff>
      <xdr:row>48</xdr:row>
      <xdr:rowOff>13606</xdr:rowOff>
    </xdr:from>
    <xdr:to>
      <xdr:col>12</xdr:col>
      <xdr:colOff>114300</xdr:colOff>
      <xdr:row>57</xdr:row>
      <xdr:rowOff>116783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0</xdr:colOff>
          <xdr:row>186</xdr:row>
          <xdr:rowOff>180975</xdr:rowOff>
        </xdr:from>
        <xdr:to>
          <xdr:col>20</xdr:col>
          <xdr:colOff>152400</xdr:colOff>
          <xdr:row>193</xdr:row>
          <xdr:rowOff>104775</xdr:rowOff>
        </xdr:to>
        <xdr:sp macro="" textlink="">
          <xdr:nvSpPr>
            <xdr:cNvPr id="200705" name="Group Box 1" hidden="1">
              <a:extLst>
                <a:ext uri="{63B3BB69-23CF-44E3-9099-C40C66FF867C}">
                  <a14:compatExt spid="_x0000_s200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190</xdr:row>
          <xdr:rowOff>171450</xdr:rowOff>
        </xdr:from>
        <xdr:to>
          <xdr:col>15</xdr:col>
          <xdr:colOff>371475</xdr:colOff>
          <xdr:row>192</xdr:row>
          <xdr:rowOff>38100</xdr:rowOff>
        </xdr:to>
        <xdr:sp macro="" textlink="">
          <xdr:nvSpPr>
            <xdr:cNvPr id="200706" name="Option Button 2" hidden="1">
              <a:extLst>
                <a:ext uri="{63B3BB69-23CF-44E3-9099-C40C66FF867C}">
                  <a14:compatExt spid="_x0000_s200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187</xdr:row>
          <xdr:rowOff>0</xdr:rowOff>
        </xdr:from>
        <xdr:to>
          <xdr:col>20</xdr:col>
          <xdr:colOff>200025</xdr:colOff>
          <xdr:row>193</xdr:row>
          <xdr:rowOff>104775</xdr:rowOff>
        </xdr:to>
        <xdr:sp macro="" textlink="">
          <xdr:nvSpPr>
            <xdr:cNvPr id="200707" name="Group Box 3" hidden="1">
              <a:extLst>
                <a:ext uri="{63B3BB69-23CF-44E3-9099-C40C66FF867C}">
                  <a14:compatExt spid="_x0000_s200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191</xdr:row>
          <xdr:rowOff>161925</xdr:rowOff>
        </xdr:from>
        <xdr:to>
          <xdr:col>15</xdr:col>
          <xdr:colOff>371475</xdr:colOff>
          <xdr:row>193</xdr:row>
          <xdr:rowOff>0</xdr:rowOff>
        </xdr:to>
        <xdr:sp macro="" textlink="">
          <xdr:nvSpPr>
            <xdr:cNvPr id="200708" name="Option Button 4" hidden="1">
              <a:extLst>
                <a:ext uri="{63B3BB69-23CF-44E3-9099-C40C66FF867C}">
                  <a14:compatExt spid="_x0000_s200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189</xdr:row>
          <xdr:rowOff>171450</xdr:rowOff>
        </xdr:from>
        <xdr:to>
          <xdr:col>15</xdr:col>
          <xdr:colOff>371475</xdr:colOff>
          <xdr:row>191</xdr:row>
          <xdr:rowOff>38100</xdr:rowOff>
        </xdr:to>
        <xdr:sp macro="" textlink="">
          <xdr:nvSpPr>
            <xdr:cNvPr id="200709" name="Option Button 5" hidden="1">
              <a:extLst>
                <a:ext uri="{63B3BB69-23CF-44E3-9099-C40C66FF867C}">
                  <a14:compatExt spid="_x0000_s200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190</xdr:row>
          <xdr:rowOff>171450</xdr:rowOff>
        </xdr:from>
        <xdr:to>
          <xdr:col>15</xdr:col>
          <xdr:colOff>371475</xdr:colOff>
          <xdr:row>192</xdr:row>
          <xdr:rowOff>38100</xdr:rowOff>
        </xdr:to>
        <xdr:sp macro="" textlink="">
          <xdr:nvSpPr>
            <xdr:cNvPr id="200710" name="Option Button 6" hidden="1">
              <a:extLst>
                <a:ext uri="{63B3BB69-23CF-44E3-9099-C40C66FF867C}">
                  <a14:compatExt spid="_x0000_s200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191</xdr:row>
          <xdr:rowOff>171450</xdr:rowOff>
        </xdr:from>
        <xdr:to>
          <xdr:col>15</xdr:col>
          <xdr:colOff>371475</xdr:colOff>
          <xdr:row>193</xdr:row>
          <xdr:rowOff>38100</xdr:rowOff>
        </xdr:to>
        <xdr:sp macro="" textlink="">
          <xdr:nvSpPr>
            <xdr:cNvPr id="200711" name="Option Button 7" hidden="1">
              <a:extLst>
                <a:ext uri="{63B3BB69-23CF-44E3-9099-C40C66FF867C}">
                  <a14:compatExt spid="_x0000_s200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189</xdr:row>
          <xdr:rowOff>171450</xdr:rowOff>
        </xdr:from>
        <xdr:to>
          <xdr:col>15</xdr:col>
          <xdr:colOff>371475</xdr:colOff>
          <xdr:row>191</xdr:row>
          <xdr:rowOff>38100</xdr:rowOff>
        </xdr:to>
        <xdr:sp macro="" textlink="">
          <xdr:nvSpPr>
            <xdr:cNvPr id="200712" name="Option Button 8" hidden="1">
              <a:extLst>
                <a:ext uri="{63B3BB69-23CF-44E3-9099-C40C66FF867C}">
                  <a14:compatExt spid="_x0000_s200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190</xdr:row>
          <xdr:rowOff>171450</xdr:rowOff>
        </xdr:from>
        <xdr:to>
          <xdr:col>15</xdr:col>
          <xdr:colOff>371475</xdr:colOff>
          <xdr:row>192</xdr:row>
          <xdr:rowOff>38100</xdr:rowOff>
        </xdr:to>
        <xdr:sp macro="" textlink="">
          <xdr:nvSpPr>
            <xdr:cNvPr id="200713" name="Option Button 9" hidden="1">
              <a:extLst>
                <a:ext uri="{63B3BB69-23CF-44E3-9099-C40C66FF867C}">
                  <a14:compatExt spid="_x0000_s200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191</xdr:row>
          <xdr:rowOff>171450</xdr:rowOff>
        </xdr:from>
        <xdr:to>
          <xdr:col>15</xdr:col>
          <xdr:colOff>371475</xdr:colOff>
          <xdr:row>193</xdr:row>
          <xdr:rowOff>38100</xdr:rowOff>
        </xdr:to>
        <xdr:sp macro="" textlink="">
          <xdr:nvSpPr>
            <xdr:cNvPr id="200714" name="Option Button 10" hidden="1">
              <a:extLst>
                <a:ext uri="{63B3BB69-23CF-44E3-9099-C40C66FF867C}">
                  <a14:compatExt spid="_x0000_s200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190</xdr:row>
          <xdr:rowOff>171450</xdr:rowOff>
        </xdr:from>
        <xdr:to>
          <xdr:col>15</xdr:col>
          <xdr:colOff>381000</xdr:colOff>
          <xdr:row>192</xdr:row>
          <xdr:rowOff>38100</xdr:rowOff>
        </xdr:to>
        <xdr:sp macro="" textlink="">
          <xdr:nvSpPr>
            <xdr:cNvPr id="200715" name="Option Button 11" hidden="1">
              <a:extLst>
                <a:ext uri="{63B3BB69-23CF-44E3-9099-C40C66FF867C}">
                  <a14:compatExt spid="_x0000_s200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191</xdr:row>
          <xdr:rowOff>171450</xdr:rowOff>
        </xdr:from>
        <xdr:to>
          <xdr:col>15</xdr:col>
          <xdr:colOff>381000</xdr:colOff>
          <xdr:row>193</xdr:row>
          <xdr:rowOff>38100</xdr:rowOff>
        </xdr:to>
        <xdr:sp macro="" textlink="">
          <xdr:nvSpPr>
            <xdr:cNvPr id="200716" name="Option Button 12" hidden="1">
              <a:extLst>
                <a:ext uri="{63B3BB69-23CF-44E3-9099-C40C66FF867C}">
                  <a14:compatExt spid="_x0000_s200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189</xdr:row>
          <xdr:rowOff>171450</xdr:rowOff>
        </xdr:from>
        <xdr:to>
          <xdr:col>15</xdr:col>
          <xdr:colOff>371475</xdr:colOff>
          <xdr:row>191</xdr:row>
          <xdr:rowOff>38100</xdr:rowOff>
        </xdr:to>
        <xdr:sp macro="" textlink="">
          <xdr:nvSpPr>
            <xdr:cNvPr id="200717" name="Option Button 13" hidden="1">
              <a:extLst>
                <a:ext uri="{63B3BB69-23CF-44E3-9099-C40C66FF867C}">
                  <a14:compatExt spid="_x0000_s200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190</xdr:row>
          <xdr:rowOff>161925</xdr:rowOff>
        </xdr:from>
        <xdr:to>
          <xdr:col>15</xdr:col>
          <xdr:colOff>371475</xdr:colOff>
          <xdr:row>192</xdr:row>
          <xdr:rowOff>0</xdr:rowOff>
        </xdr:to>
        <xdr:sp macro="" textlink="">
          <xdr:nvSpPr>
            <xdr:cNvPr id="200718" name="Option Button 14" hidden="1">
              <a:extLst>
                <a:ext uri="{63B3BB69-23CF-44E3-9099-C40C66FF867C}">
                  <a14:compatExt spid="_x0000_s200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191</xdr:row>
          <xdr:rowOff>171450</xdr:rowOff>
        </xdr:from>
        <xdr:to>
          <xdr:col>15</xdr:col>
          <xdr:colOff>371475</xdr:colOff>
          <xdr:row>193</xdr:row>
          <xdr:rowOff>38100</xdr:rowOff>
        </xdr:to>
        <xdr:sp macro="" textlink="">
          <xdr:nvSpPr>
            <xdr:cNvPr id="200719" name="Option Button 15" hidden="1">
              <a:extLst>
                <a:ext uri="{63B3BB69-23CF-44E3-9099-C40C66FF867C}">
                  <a14:compatExt spid="_x0000_s200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189</xdr:row>
          <xdr:rowOff>161925</xdr:rowOff>
        </xdr:from>
        <xdr:to>
          <xdr:col>15</xdr:col>
          <xdr:colOff>371475</xdr:colOff>
          <xdr:row>191</xdr:row>
          <xdr:rowOff>0</xdr:rowOff>
        </xdr:to>
        <xdr:sp macro="" textlink="">
          <xdr:nvSpPr>
            <xdr:cNvPr id="200720" name="Option Button 16" hidden="1">
              <a:extLst>
                <a:ext uri="{63B3BB69-23CF-44E3-9099-C40C66FF867C}">
                  <a14:compatExt spid="_x0000_s200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190</xdr:row>
          <xdr:rowOff>161925</xdr:rowOff>
        </xdr:from>
        <xdr:to>
          <xdr:col>15</xdr:col>
          <xdr:colOff>381000</xdr:colOff>
          <xdr:row>192</xdr:row>
          <xdr:rowOff>0</xdr:rowOff>
        </xdr:to>
        <xdr:sp macro="" textlink="">
          <xdr:nvSpPr>
            <xdr:cNvPr id="200721" name="Option Button 17" hidden="1">
              <a:extLst>
                <a:ext uri="{63B3BB69-23CF-44E3-9099-C40C66FF867C}">
                  <a14:compatExt spid="_x0000_s200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191</xdr:row>
          <xdr:rowOff>180975</xdr:rowOff>
        </xdr:from>
        <xdr:to>
          <xdr:col>15</xdr:col>
          <xdr:colOff>371475</xdr:colOff>
          <xdr:row>193</xdr:row>
          <xdr:rowOff>38100</xdr:rowOff>
        </xdr:to>
        <xdr:sp macro="" textlink="">
          <xdr:nvSpPr>
            <xdr:cNvPr id="200722" name="Option Button 18" hidden="1">
              <a:extLst>
                <a:ext uri="{63B3BB69-23CF-44E3-9099-C40C66FF867C}">
                  <a14:compatExt spid="_x0000_s20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189</xdr:row>
          <xdr:rowOff>161925</xdr:rowOff>
        </xdr:from>
        <xdr:to>
          <xdr:col>15</xdr:col>
          <xdr:colOff>371475</xdr:colOff>
          <xdr:row>191</xdr:row>
          <xdr:rowOff>0</xdr:rowOff>
        </xdr:to>
        <xdr:sp macro="" textlink="">
          <xdr:nvSpPr>
            <xdr:cNvPr id="200723" name="Option Button 19" hidden="1">
              <a:extLst>
                <a:ext uri="{63B3BB69-23CF-44E3-9099-C40C66FF867C}">
                  <a14:compatExt spid="_x0000_s200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190</xdr:row>
          <xdr:rowOff>171450</xdr:rowOff>
        </xdr:from>
        <xdr:to>
          <xdr:col>15</xdr:col>
          <xdr:colOff>371475</xdr:colOff>
          <xdr:row>192</xdr:row>
          <xdr:rowOff>38100</xdr:rowOff>
        </xdr:to>
        <xdr:sp macro="" textlink="">
          <xdr:nvSpPr>
            <xdr:cNvPr id="200724" name="Option Button 20" hidden="1">
              <a:extLst>
                <a:ext uri="{63B3BB69-23CF-44E3-9099-C40C66FF867C}">
                  <a14:compatExt spid="_x0000_s200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191</xdr:row>
          <xdr:rowOff>171450</xdr:rowOff>
        </xdr:from>
        <xdr:to>
          <xdr:col>15</xdr:col>
          <xdr:colOff>371475</xdr:colOff>
          <xdr:row>193</xdr:row>
          <xdr:rowOff>38100</xdr:rowOff>
        </xdr:to>
        <xdr:sp macro="" textlink="">
          <xdr:nvSpPr>
            <xdr:cNvPr id="200725" name="Option Button 21" hidden="1">
              <a:extLst>
                <a:ext uri="{63B3BB69-23CF-44E3-9099-C40C66FF867C}">
                  <a14:compatExt spid="_x0000_s200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189</xdr:row>
          <xdr:rowOff>171450</xdr:rowOff>
        </xdr:from>
        <xdr:to>
          <xdr:col>15</xdr:col>
          <xdr:colOff>371475</xdr:colOff>
          <xdr:row>191</xdr:row>
          <xdr:rowOff>38100</xdr:rowOff>
        </xdr:to>
        <xdr:sp macro="" textlink="">
          <xdr:nvSpPr>
            <xdr:cNvPr id="200726" name="Option Button 22" hidden="1">
              <a:extLst>
                <a:ext uri="{63B3BB69-23CF-44E3-9099-C40C66FF867C}">
                  <a14:compatExt spid="_x0000_s200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190</xdr:row>
          <xdr:rowOff>180975</xdr:rowOff>
        </xdr:from>
        <xdr:to>
          <xdr:col>15</xdr:col>
          <xdr:colOff>371475</xdr:colOff>
          <xdr:row>192</xdr:row>
          <xdr:rowOff>38100</xdr:rowOff>
        </xdr:to>
        <xdr:sp macro="" textlink="">
          <xdr:nvSpPr>
            <xdr:cNvPr id="200727" name="Option Button 23" hidden="1">
              <a:extLst>
                <a:ext uri="{63B3BB69-23CF-44E3-9099-C40C66FF867C}">
                  <a14:compatExt spid="_x0000_s200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191</xdr:row>
          <xdr:rowOff>171450</xdr:rowOff>
        </xdr:from>
        <xdr:to>
          <xdr:col>15</xdr:col>
          <xdr:colOff>371475</xdr:colOff>
          <xdr:row>193</xdr:row>
          <xdr:rowOff>38100</xdr:rowOff>
        </xdr:to>
        <xdr:sp macro="" textlink="">
          <xdr:nvSpPr>
            <xdr:cNvPr id="200728" name="Option Button 24" hidden="1">
              <a:extLst>
                <a:ext uri="{63B3BB69-23CF-44E3-9099-C40C66FF867C}">
                  <a14:compatExt spid="_x0000_s200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342900</xdr:colOff>
          <xdr:row>6</xdr:row>
          <xdr:rowOff>76200</xdr:rowOff>
        </xdr:from>
        <xdr:to>
          <xdr:col>15</xdr:col>
          <xdr:colOff>723900</xdr:colOff>
          <xdr:row>8</xdr:row>
          <xdr:rowOff>114300</xdr:rowOff>
        </xdr:to>
        <xdr:sp macro="" textlink="">
          <xdr:nvSpPr>
            <xdr:cNvPr id="200729" name="Button 25" hidden="1">
              <a:extLst>
                <a:ext uri="{63B3BB69-23CF-44E3-9099-C40C66FF867C}">
                  <a14:compatExt spid="_x0000_s20072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Export Dashboard for Upload</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6</xdr:col>
      <xdr:colOff>673957</xdr:colOff>
      <xdr:row>1</xdr:row>
      <xdr:rowOff>222810</xdr:rowOff>
    </xdr:from>
    <xdr:to>
      <xdr:col>8</xdr:col>
      <xdr:colOff>9113</xdr:colOff>
      <xdr:row>1</xdr:row>
      <xdr:rowOff>696658</xdr:rowOff>
    </xdr:to>
    <xdr:pic>
      <xdr:nvPicPr>
        <xdr:cNvPr id="7" name="Picture 6"/>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087832" y="302185"/>
          <a:ext cx="2303781" cy="473848"/>
        </a:xfrm>
        <a:prstGeom prst="rect">
          <a:avLst/>
        </a:prstGeom>
        <a:noFill/>
        <a:ln w="9525">
          <a:noFill/>
          <a:miter lim="800000"/>
          <a:headEnd/>
          <a:tailEnd/>
        </a:ln>
      </xdr:spPr>
    </xdr:pic>
    <xdr:clientData/>
  </xdr:twoCellAnchor>
  <xdr:twoCellAnchor>
    <xdr:from>
      <xdr:col>3</xdr:col>
      <xdr:colOff>933219</xdr:colOff>
      <xdr:row>14</xdr:row>
      <xdr:rowOff>142875</xdr:rowOff>
    </xdr:from>
    <xdr:to>
      <xdr:col>6</xdr:col>
      <xdr:colOff>2603500</xdr:colOff>
      <xdr:row>33</xdr:row>
      <xdr:rowOff>111125</xdr:rowOff>
    </xdr:to>
    <xdr:grpSp>
      <xdr:nvGrpSpPr>
        <xdr:cNvPr id="9" name="Group 8"/>
        <xdr:cNvGrpSpPr/>
      </xdr:nvGrpSpPr>
      <xdr:grpSpPr>
        <a:xfrm>
          <a:off x="2165119" y="7623175"/>
          <a:ext cx="9861781" cy="3587750"/>
          <a:chOff x="1677078" y="7892141"/>
          <a:chExt cx="10167926" cy="4285012"/>
        </a:xfrm>
      </xdr:grpSpPr>
      <xdr:grpSp>
        <xdr:nvGrpSpPr>
          <xdr:cNvPr id="23" name="Group 22"/>
          <xdr:cNvGrpSpPr/>
        </xdr:nvGrpSpPr>
        <xdr:grpSpPr>
          <a:xfrm>
            <a:off x="1677078" y="7892141"/>
            <a:ext cx="10167926" cy="4285012"/>
            <a:chOff x="119074" y="1285860"/>
            <a:chExt cx="9024926" cy="4285012"/>
          </a:xfrm>
        </xdr:grpSpPr>
        <xdr:graphicFrame macro="">
          <xdr:nvGraphicFramePr>
            <xdr:cNvPr id="24" name="Diagram 23"/>
            <xdr:cNvGraphicFramePr/>
          </xdr:nvGraphicFramePr>
          <xdr:xfrm>
            <a:off x="119074" y="1293826"/>
            <a:ext cx="5738810" cy="4277046"/>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graphicFrame macro="">
          <xdr:nvGraphicFramePr>
            <xdr:cNvPr id="26" name="Diagram 25"/>
            <xdr:cNvGraphicFramePr/>
          </xdr:nvGraphicFramePr>
          <xdr:xfrm>
            <a:off x="6429356" y="1285860"/>
            <a:ext cx="2714644" cy="4285012"/>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grpSp>
      <xdr:sp macro="" textlink="">
        <xdr:nvSpPr>
          <xdr:cNvPr id="8" name="Left-Right Arrow 7"/>
          <xdr:cNvSpPr/>
        </xdr:nvSpPr>
        <xdr:spPr>
          <a:xfrm>
            <a:off x="8173091" y="9721686"/>
            <a:ext cx="1160318" cy="588818"/>
          </a:xfrm>
          <a:prstGeom prst="leftRightArrow">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endParaRPr lang="en-US" sz="1800" kern="1200">
              <a:solidFill>
                <a:schemeClr val="lt1"/>
              </a:solidFill>
              <a:latin typeface="+mn-lt"/>
              <a:ea typeface="+mn-ea"/>
              <a:cs typeface="+mn-cs"/>
            </a:endParaRPr>
          </a:p>
        </xdr:txBody>
      </xdr:sp>
    </xdr:grpSp>
    <xdr:clientData/>
  </xdr:twoCellAnchor>
  <xdr:twoCellAnchor>
    <xdr:from>
      <xdr:col>3</xdr:col>
      <xdr:colOff>205032</xdr:colOff>
      <xdr:row>47</xdr:row>
      <xdr:rowOff>152398</xdr:rowOff>
    </xdr:from>
    <xdr:to>
      <xdr:col>4</xdr:col>
      <xdr:colOff>2573174</xdr:colOff>
      <xdr:row>79</xdr:row>
      <xdr:rowOff>431915</xdr:rowOff>
    </xdr:to>
    <xdr:grpSp>
      <xdr:nvGrpSpPr>
        <xdr:cNvPr id="135" name="Group 134"/>
        <xdr:cNvGrpSpPr/>
      </xdr:nvGrpSpPr>
      <xdr:grpSpPr>
        <a:xfrm>
          <a:off x="1436932" y="23939498"/>
          <a:ext cx="5098642" cy="8280517"/>
          <a:chOff x="1434623" y="24017773"/>
          <a:chExt cx="5095403" cy="10392482"/>
        </a:xfrm>
      </xdr:grpSpPr>
      <xdr:sp macro="" textlink="">
        <xdr:nvSpPr>
          <xdr:cNvPr id="123" name="TextBox 122">
            <a:hlinkClick xmlns:r="http://schemas.openxmlformats.org/officeDocument/2006/relationships" r:id="rId12"/>
          </xdr:cNvPr>
          <xdr:cNvSpPr txBox="1"/>
        </xdr:nvSpPr>
        <xdr:spPr>
          <a:xfrm>
            <a:off x="4516455" y="24753808"/>
            <a:ext cx="2000252" cy="367726"/>
          </a:xfrm>
          <a:prstGeom prst="rect">
            <a:avLst/>
          </a:prstGeom>
          <a:solidFill>
            <a:schemeClr val="accent1">
              <a:lumMod val="60000"/>
              <a:lumOff val="40000"/>
            </a:schemeClr>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WSS</a:t>
            </a:r>
            <a:r>
              <a:rPr lang="en-US" sz="1400" b="1" baseline="0"/>
              <a:t> info</a:t>
            </a:r>
            <a:endParaRPr lang="en-US" sz="1400" b="1"/>
          </a:p>
        </xdr:txBody>
      </xdr:sp>
      <xdr:sp macro="" textlink="">
        <xdr:nvSpPr>
          <xdr:cNvPr id="124" name="TextBox 123">
            <a:hlinkClick xmlns:r="http://schemas.openxmlformats.org/officeDocument/2006/relationships" r:id="rId13"/>
          </xdr:cNvPr>
          <xdr:cNvSpPr txBox="1"/>
        </xdr:nvSpPr>
        <xdr:spPr>
          <a:xfrm>
            <a:off x="4512416" y="25474057"/>
            <a:ext cx="2000250" cy="367726"/>
          </a:xfrm>
          <a:prstGeom prst="rect">
            <a:avLst/>
          </a:prstGeom>
          <a:solidFill>
            <a:schemeClr val="accent1">
              <a:lumMod val="60000"/>
              <a:lumOff val="40000"/>
            </a:schemeClr>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Finance</a:t>
            </a:r>
            <a:r>
              <a:rPr lang="en-US" sz="1400" b="1" baseline="0"/>
              <a:t> info</a:t>
            </a:r>
            <a:endParaRPr lang="en-US" sz="1400" b="1"/>
          </a:p>
        </xdr:txBody>
      </xdr:sp>
      <xdr:sp macro="" textlink="">
        <xdr:nvSpPr>
          <xdr:cNvPr id="125" name="TextBox 124">
            <a:hlinkClick xmlns:r="http://schemas.openxmlformats.org/officeDocument/2006/relationships" r:id="rId14"/>
          </xdr:cNvPr>
          <xdr:cNvSpPr txBox="1"/>
        </xdr:nvSpPr>
        <xdr:spPr>
          <a:xfrm>
            <a:off x="4517587" y="26935124"/>
            <a:ext cx="2000250" cy="367726"/>
          </a:xfrm>
          <a:prstGeom prst="rect">
            <a:avLst/>
          </a:prstGeom>
          <a:solidFill>
            <a:schemeClr val="accent1">
              <a:lumMod val="60000"/>
              <a:lumOff val="40000"/>
            </a:schemeClr>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Perf assessment</a:t>
            </a:r>
          </a:p>
        </xdr:txBody>
      </xdr:sp>
      <xdr:sp macro="" textlink="">
        <xdr:nvSpPr>
          <xdr:cNvPr id="127" name="TextBox 126">
            <a:hlinkClick xmlns:r="http://schemas.openxmlformats.org/officeDocument/2006/relationships" r:id="rId15"/>
          </xdr:cNvPr>
          <xdr:cNvSpPr txBox="1"/>
        </xdr:nvSpPr>
        <xdr:spPr>
          <a:xfrm>
            <a:off x="4529777" y="28737184"/>
            <a:ext cx="2000249" cy="367726"/>
          </a:xfrm>
          <a:prstGeom prst="rect">
            <a:avLst/>
          </a:prstGeom>
          <a:solidFill>
            <a:srgbClr val="ABC674"/>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WW Plan</a:t>
            </a:r>
          </a:p>
        </xdr:txBody>
      </xdr:sp>
      <xdr:sp macro="" textlink="">
        <xdr:nvSpPr>
          <xdr:cNvPr id="129" name="TextBox 128">
            <a:hlinkClick xmlns:r="http://schemas.openxmlformats.org/officeDocument/2006/relationships" r:id="rId16"/>
          </xdr:cNvPr>
          <xdr:cNvSpPr txBox="1"/>
        </xdr:nvSpPr>
        <xdr:spPr>
          <a:xfrm>
            <a:off x="4521600" y="29394816"/>
            <a:ext cx="2000249" cy="367726"/>
          </a:xfrm>
          <a:prstGeom prst="rect">
            <a:avLst/>
          </a:prstGeom>
          <a:solidFill>
            <a:srgbClr val="ABC674"/>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Summary of PIP</a:t>
            </a:r>
          </a:p>
        </xdr:txBody>
      </xdr:sp>
      <xdr:sp macro="" textlink="">
        <xdr:nvSpPr>
          <xdr:cNvPr id="130" name="TextBox 129">
            <a:hlinkClick xmlns:r="http://schemas.openxmlformats.org/officeDocument/2006/relationships" r:id="rId17"/>
          </xdr:cNvPr>
          <xdr:cNvSpPr txBox="1"/>
        </xdr:nvSpPr>
        <xdr:spPr>
          <a:xfrm>
            <a:off x="4513412" y="31675899"/>
            <a:ext cx="2000249" cy="367726"/>
          </a:xfrm>
          <a:prstGeom prst="rect">
            <a:avLst/>
          </a:prstGeom>
          <a:solidFill>
            <a:schemeClr val="accent2">
              <a:lumMod val="60000"/>
              <a:lumOff val="40000"/>
            </a:schemeClr>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Action Plan finance</a:t>
            </a:r>
          </a:p>
        </xdr:txBody>
      </xdr:sp>
      <xdr:sp macro="" textlink="">
        <xdr:nvSpPr>
          <xdr:cNvPr id="131" name="TextBox 130">
            <a:hlinkClick xmlns:r="http://schemas.openxmlformats.org/officeDocument/2006/relationships" r:id="rId18"/>
          </xdr:cNvPr>
          <xdr:cNvSpPr txBox="1"/>
        </xdr:nvSpPr>
        <xdr:spPr>
          <a:xfrm>
            <a:off x="4513412" y="30972779"/>
            <a:ext cx="2000249" cy="367726"/>
          </a:xfrm>
          <a:prstGeom prst="rect">
            <a:avLst/>
          </a:prstGeom>
          <a:solidFill>
            <a:schemeClr val="accent2">
              <a:lumMod val="60000"/>
              <a:lumOff val="40000"/>
            </a:schemeClr>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Financial Projections</a:t>
            </a:r>
          </a:p>
        </xdr:txBody>
      </xdr:sp>
      <xdr:sp macro="" textlink="">
        <xdr:nvSpPr>
          <xdr:cNvPr id="132" name="TextBox 131">
            <a:hlinkClick xmlns:r="http://schemas.openxmlformats.org/officeDocument/2006/relationships" r:id="rId19"/>
          </xdr:cNvPr>
          <xdr:cNvSpPr txBox="1"/>
        </xdr:nvSpPr>
        <xdr:spPr>
          <a:xfrm>
            <a:off x="4516135" y="32401668"/>
            <a:ext cx="2000249" cy="367726"/>
          </a:xfrm>
          <a:prstGeom prst="rect">
            <a:avLst/>
          </a:prstGeom>
          <a:solidFill>
            <a:schemeClr val="accent2">
              <a:lumMod val="60000"/>
              <a:lumOff val="40000"/>
            </a:schemeClr>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Financing Plan</a:t>
            </a:r>
          </a:p>
        </xdr:txBody>
      </xdr:sp>
      <xdr:sp macro="" textlink="">
        <xdr:nvSpPr>
          <xdr:cNvPr id="134" name="TextBox 133">
            <a:hlinkClick xmlns:r="http://schemas.openxmlformats.org/officeDocument/2006/relationships" r:id="rId20"/>
          </xdr:cNvPr>
          <xdr:cNvSpPr txBox="1"/>
        </xdr:nvSpPr>
        <xdr:spPr>
          <a:xfrm>
            <a:off x="4524312" y="34042529"/>
            <a:ext cx="2000249" cy="367726"/>
          </a:xfrm>
          <a:prstGeom prst="rect">
            <a:avLst/>
          </a:prstGeom>
          <a:solidFill>
            <a:schemeClr val="bg1">
              <a:lumMod val="65000"/>
            </a:schemeClr>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Annexure</a:t>
            </a:r>
          </a:p>
        </xdr:txBody>
      </xdr:sp>
      <xdr:sp macro="" textlink="">
        <xdr:nvSpPr>
          <xdr:cNvPr id="116" name="TextBox 115"/>
          <xdr:cNvSpPr txBox="1"/>
        </xdr:nvSpPr>
        <xdr:spPr>
          <a:xfrm>
            <a:off x="1445461" y="29934377"/>
            <a:ext cx="1883354" cy="1785748"/>
          </a:xfrm>
          <a:prstGeom prst="rect">
            <a:avLst/>
          </a:prstGeom>
          <a:solidFill>
            <a:srgbClr val="EAEAEA"/>
          </a:solidFill>
          <a:ln w="9525" cmpd="sng">
            <a:solidFill>
              <a:schemeClr val="accent2"/>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ctr"/>
          <a:lstStyle/>
          <a:p>
            <a:pPr marL="0" indent="0" algn="ctr"/>
            <a:r>
              <a:rPr lang="en-US" sz="1600" b="1">
                <a:solidFill>
                  <a:schemeClr val="tx1">
                    <a:lumMod val="65000"/>
                    <a:lumOff val="35000"/>
                  </a:schemeClr>
                </a:solidFill>
                <a:latin typeface="+mn-lt"/>
                <a:ea typeface="+mn-ea"/>
                <a:cs typeface="+mn-cs"/>
              </a:rPr>
              <a:t>FINANCIAL PLANNING</a:t>
            </a:r>
          </a:p>
        </xdr:txBody>
      </xdr:sp>
      <xdr:sp macro="" textlink="">
        <xdr:nvSpPr>
          <xdr:cNvPr id="120" name="Down Arrow 119"/>
          <xdr:cNvSpPr/>
        </xdr:nvSpPr>
        <xdr:spPr>
          <a:xfrm>
            <a:off x="2017550" y="28364155"/>
            <a:ext cx="761473" cy="1715981"/>
          </a:xfrm>
          <a:prstGeom prst="downArrow">
            <a:avLst>
              <a:gd name="adj1" fmla="val 50000"/>
              <a:gd name="adj2" fmla="val 48211"/>
            </a:avLst>
          </a:prstGeom>
          <a:solidFill>
            <a:schemeClr val="accent3">
              <a:lumMod val="40000"/>
              <a:lumOff val="60000"/>
            </a:schemeClr>
          </a:solidFill>
          <a:ln w="9525" cmpd="sng">
            <a:solidFill>
              <a:schemeClr val="accent3"/>
            </a:solidFill>
          </a:ln>
          <a:effectLst/>
        </xdr:spPr>
        <xdr:style>
          <a:lnRef idx="0">
            <a:scrgbClr r="0" g="0" b="0"/>
          </a:lnRef>
          <a:fillRef idx="0">
            <a:scrgbClr r="0" g="0" b="0"/>
          </a:fillRef>
          <a:effectRef idx="0">
            <a:scrgbClr r="0" g="0" b="0"/>
          </a:effectRef>
          <a:fontRef idx="minor">
            <a:schemeClr val="dk1"/>
          </a:fontRef>
        </xdr:style>
        <xdr:txBody>
          <a:bodyPr wrap="square" rtlCol="0" anchor="ctr"/>
          <a:lstStyle/>
          <a:p>
            <a:pPr marL="0" indent="0" algn="ctr"/>
            <a:endParaRPr lang="en-US" sz="1600" b="1">
              <a:solidFill>
                <a:schemeClr val="accent1"/>
              </a:solidFill>
              <a:latin typeface="+mn-lt"/>
              <a:ea typeface="+mn-ea"/>
              <a:cs typeface="+mn-cs"/>
            </a:endParaRPr>
          </a:p>
        </xdr:txBody>
      </xdr:sp>
      <xdr:sp macro="" textlink="">
        <xdr:nvSpPr>
          <xdr:cNvPr id="112" name="TextBox 111"/>
          <xdr:cNvSpPr txBox="1"/>
        </xdr:nvSpPr>
        <xdr:spPr>
          <a:xfrm>
            <a:off x="1434623" y="27491230"/>
            <a:ext cx="1883354" cy="1137977"/>
          </a:xfrm>
          <a:prstGeom prst="rect">
            <a:avLst/>
          </a:prstGeom>
          <a:solidFill>
            <a:srgbClr val="EAEAEA"/>
          </a:solidFill>
          <a:ln w="9525" cmpd="sng">
            <a:solidFill>
              <a:schemeClr val="accent3"/>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ctr"/>
          <a:lstStyle/>
          <a:p>
            <a:pPr marL="0" indent="0" algn="ctr"/>
            <a:r>
              <a:rPr lang="en-US" sz="1600" b="1">
                <a:solidFill>
                  <a:schemeClr val="tx1">
                    <a:lumMod val="65000"/>
                    <a:lumOff val="35000"/>
                  </a:schemeClr>
                </a:solidFill>
                <a:latin typeface="+mn-lt"/>
                <a:ea typeface="+mn-ea"/>
                <a:cs typeface="+mn-cs"/>
              </a:rPr>
              <a:t>ACTION PLANNING</a:t>
            </a:r>
          </a:p>
        </xdr:txBody>
      </xdr:sp>
      <xdr:sp macro="" textlink="">
        <xdr:nvSpPr>
          <xdr:cNvPr id="113" name="Down Arrow 112"/>
          <xdr:cNvSpPr/>
        </xdr:nvSpPr>
        <xdr:spPr>
          <a:xfrm>
            <a:off x="2023873" y="25814736"/>
            <a:ext cx="761473" cy="1869075"/>
          </a:xfrm>
          <a:prstGeom prst="downArrow">
            <a:avLst>
              <a:gd name="adj1" fmla="val 50000"/>
              <a:gd name="adj2" fmla="val 50000"/>
            </a:avLst>
          </a:prstGeom>
          <a:solidFill>
            <a:schemeClr val="accent1">
              <a:lumMod val="20000"/>
              <a:lumOff val="80000"/>
            </a:schemeClr>
          </a:solidFill>
          <a:ln w="9525" cmpd="sng">
            <a:solidFill>
              <a:schemeClr val="accent1"/>
            </a:solidFill>
          </a:ln>
          <a:effectLst/>
        </xdr:spPr>
        <xdr:style>
          <a:lnRef idx="0">
            <a:scrgbClr r="0" g="0" b="0"/>
          </a:lnRef>
          <a:fillRef idx="0">
            <a:scrgbClr r="0" g="0" b="0"/>
          </a:fillRef>
          <a:effectRef idx="0">
            <a:scrgbClr r="0" g="0" b="0"/>
          </a:effectRef>
          <a:fontRef idx="minor">
            <a:schemeClr val="dk1"/>
          </a:fontRef>
        </xdr:style>
        <xdr:txBody>
          <a:bodyPr wrap="square" rtlCol="0" anchor="ctr"/>
          <a:lstStyle/>
          <a:p>
            <a:pPr marL="0" indent="0" algn="ctr"/>
            <a:endParaRPr lang="en-US" sz="1600" b="1">
              <a:solidFill>
                <a:schemeClr val="accent1"/>
              </a:solidFill>
              <a:latin typeface="+mn-lt"/>
              <a:ea typeface="+mn-ea"/>
              <a:cs typeface="+mn-cs"/>
            </a:endParaRPr>
          </a:p>
        </xdr:txBody>
      </xdr:sp>
      <xdr:sp macro="" textlink="">
        <xdr:nvSpPr>
          <xdr:cNvPr id="111" name="TextBox 110"/>
          <xdr:cNvSpPr txBox="1"/>
        </xdr:nvSpPr>
        <xdr:spPr>
          <a:xfrm>
            <a:off x="1445461" y="24017773"/>
            <a:ext cx="1883354" cy="2528060"/>
          </a:xfrm>
          <a:prstGeom prst="rect">
            <a:avLst/>
          </a:prstGeom>
          <a:solidFill>
            <a:srgbClr val="EAEAEA"/>
          </a:solidFill>
          <a:ln w="9525" cmpd="sng">
            <a:solidFill>
              <a:schemeClr val="accent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600" b="1">
                <a:solidFill>
                  <a:schemeClr val="tx1">
                    <a:lumMod val="65000"/>
                    <a:lumOff val="35000"/>
                  </a:schemeClr>
                </a:solidFill>
              </a:rPr>
              <a:t>PERFORMANCE</a:t>
            </a:r>
            <a:r>
              <a:rPr lang="en-US" sz="1600" b="1" baseline="0">
                <a:solidFill>
                  <a:schemeClr val="tx1">
                    <a:lumMod val="65000"/>
                    <a:lumOff val="35000"/>
                  </a:schemeClr>
                </a:solidFill>
              </a:rPr>
              <a:t> ASSESSMENT</a:t>
            </a:r>
            <a:endParaRPr lang="en-US" sz="1600" b="1">
              <a:solidFill>
                <a:schemeClr val="tx1">
                  <a:lumMod val="65000"/>
                  <a:lumOff val="35000"/>
                </a:schemeClr>
              </a:solidFill>
            </a:endParaRPr>
          </a:p>
        </xdr:txBody>
      </xdr:sp>
    </xdr:grpSp>
    <xdr:clientData/>
  </xdr:twoCellAnchor>
  <mc:AlternateContent xmlns:mc="http://schemas.openxmlformats.org/markup-compatibility/2006">
    <mc:Choice xmlns:a14="http://schemas.microsoft.com/office/drawing/2010/main" Requires="a14">
      <xdr:twoCellAnchor>
        <xdr:from>
          <xdr:col>6</xdr:col>
          <xdr:colOff>2000250</xdr:colOff>
          <xdr:row>3</xdr:row>
          <xdr:rowOff>9525</xdr:rowOff>
        </xdr:from>
        <xdr:to>
          <xdr:col>8</xdr:col>
          <xdr:colOff>9525</xdr:colOff>
          <xdr:row>3</xdr:row>
          <xdr:rowOff>333375</xdr:rowOff>
        </xdr:to>
        <xdr:sp macro="" textlink="">
          <xdr:nvSpPr>
            <xdr:cNvPr id="2050" name="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xdr:twoCellAnchor>
    <xdr:from>
      <xdr:col>4</xdr:col>
      <xdr:colOff>562220</xdr:colOff>
      <xdr:row>53</xdr:row>
      <xdr:rowOff>80961</xdr:rowOff>
    </xdr:from>
    <xdr:to>
      <xdr:col>4</xdr:col>
      <xdr:colOff>2562184</xdr:colOff>
      <xdr:row>53</xdr:row>
      <xdr:rowOff>412295</xdr:rowOff>
    </xdr:to>
    <xdr:sp macro="" textlink="">
      <xdr:nvSpPr>
        <xdr:cNvPr id="29" name="TextBox 28">
          <a:hlinkClick xmlns:r="http://schemas.openxmlformats.org/officeDocument/2006/relationships" r:id="rId21"/>
        </xdr:cNvPr>
        <xdr:cNvSpPr txBox="1"/>
      </xdr:nvSpPr>
      <xdr:spPr>
        <a:xfrm>
          <a:off x="4503189" y="25584149"/>
          <a:ext cx="1999964" cy="331334"/>
        </a:xfrm>
        <a:prstGeom prst="rect">
          <a:avLst/>
        </a:prstGeom>
        <a:solidFill>
          <a:schemeClr val="accent1">
            <a:lumMod val="60000"/>
            <a:lumOff val="40000"/>
          </a:schemeClr>
        </a:solidFill>
        <a:ln>
          <a:solidFill>
            <a:sysClr val="windowText" lastClr="000000"/>
          </a:solidFill>
        </a:ln>
      </xdr:spPr>
      <xdr:style>
        <a:lnRef idx="0">
          <a:schemeClr val="accent5"/>
        </a:lnRef>
        <a:fillRef idx="3">
          <a:schemeClr val="accent5"/>
        </a:fillRef>
        <a:effectRef idx="3">
          <a:schemeClr val="accent5"/>
        </a:effectRef>
        <a:fontRef idx="minor">
          <a:schemeClr val="lt1"/>
        </a:fontRef>
      </xdr:style>
      <xdr:txBody>
        <a:bodyPr wrap="square" rtlCol="0" anchor="ctr"/>
        <a:lstStyle/>
        <a:p>
          <a:pPr algn="ctr"/>
          <a:r>
            <a:rPr lang="en-US" sz="1400" b="1"/>
            <a:t>Indicator info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763342</xdr:colOff>
      <xdr:row>1</xdr:row>
      <xdr:rowOff>142875</xdr:rowOff>
    </xdr:from>
    <xdr:to>
      <xdr:col>7</xdr:col>
      <xdr:colOff>1500735</xdr:colOff>
      <xdr:row>2</xdr:row>
      <xdr:rowOff>13205</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288092" y="220807"/>
          <a:ext cx="2397774" cy="502443"/>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7</xdr:col>
          <xdr:colOff>523875</xdr:colOff>
          <xdr:row>4</xdr:row>
          <xdr:rowOff>57150</xdr:rowOff>
        </xdr:from>
        <xdr:to>
          <xdr:col>7</xdr:col>
          <xdr:colOff>1495425</xdr:colOff>
          <xdr:row>5</xdr:row>
          <xdr:rowOff>238125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12</xdr:row>
          <xdr:rowOff>19050</xdr:rowOff>
        </xdr:from>
        <xdr:to>
          <xdr:col>4</xdr:col>
          <xdr:colOff>9525</xdr:colOff>
          <xdr:row>13</xdr:row>
          <xdr:rowOff>47625</xdr:rowOff>
        </xdr:to>
        <xdr:sp macro="" textlink="">
          <xdr:nvSpPr>
            <xdr:cNvPr id="3074" name="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0" rIns="27432" bIns="27432" anchor="b" upright="1"/>
            <a:lstStyle/>
            <a:p>
              <a:pPr algn="ctr" rtl="0">
                <a:defRPr sz="1000"/>
              </a:pPr>
              <a:r>
                <a:rPr lang="en-US" sz="1100" b="0" i="0" u="none" strike="noStrike" baseline="0">
                  <a:solidFill>
                    <a:srgbClr val="000000"/>
                  </a:solidFill>
                  <a:latin typeface="Calibri"/>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14</xdr:row>
          <xdr:rowOff>28575</xdr:rowOff>
        </xdr:from>
        <xdr:to>
          <xdr:col>4</xdr:col>
          <xdr:colOff>9525</xdr:colOff>
          <xdr:row>15</xdr:row>
          <xdr:rowOff>57150</xdr:rowOff>
        </xdr:to>
        <xdr:sp macro="" textlink="">
          <xdr:nvSpPr>
            <xdr:cNvPr id="3075" name="Button 3" hidden="1">
              <a:extLst>
                <a:ext uri="{63B3BB69-23CF-44E3-9099-C40C66FF867C}">
                  <a14:compatExt spid="_x0000_s3075"/>
                </a:ext>
              </a:extLst>
            </xdr:cNvPr>
            <xdr:cNvSpPr/>
          </xdr:nvSpPr>
          <xdr:spPr>
            <a:xfrm>
              <a:off x="0" y="0"/>
              <a:ext cx="0" cy="0"/>
            </a:xfrm>
            <a:prstGeom prst="rect">
              <a:avLst/>
            </a:prstGeom>
          </xdr:spPr>
          <xdr:txBody>
            <a:bodyPr vertOverflow="clip" wrap="square" lIns="27432" tIns="27432" rIns="27432" bIns="0" anchor="t" upright="1"/>
            <a:lstStyle/>
            <a:p>
              <a:pPr algn="ctr" rtl="0">
                <a:defRPr sz="1000"/>
              </a:pPr>
              <a:r>
                <a:rPr lang="en-US" sz="1100" b="0"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1095375</xdr:colOff>
          <xdr:row>4</xdr:row>
          <xdr:rowOff>57150</xdr:rowOff>
        </xdr:from>
        <xdr:to>
          <xdr:col>7</xdr:col>
          <xdr:colOff>409575</xdr:colOff>
          <xdr:row>5</xdr:row>
          <xdr:rowOff>238125</xdr:rowOff>
        </xdr:to>
        <xdr:sp macro="" textlink="">
          <xdr:nvSpPr>
            <xdr:cNvPr id="3076" name="Button 4" hidden="1">
              <a:extLst>
                <a:ext uri="{63B3BB69-23CF-44E3-9099-C40C66FF867C}">
                  <a14:compatExt spid="_x0000_s307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12</xdr:row>
          <xdr:rowOff>19050</xdr:rowOff>
        </xdr:from>
        <xdr:to>
          <xdr:col>4</xdr:col>
          <xdr:colOff>9525</xdr:colOff>
          <xdr:row>13</xdr:row>
          <xdr:rowOff>47625</xdr:rowOff>
        </xdr:to>
        <xdr:sp macro="" textlink="">
          <xdr:nvSpPr>
            <xdr:cNvPr id="3077" name="Button 5" hidden="1">
              <a:extLst>
                <a:ext uri="{63B3BB69-23CF-44E3-9099-C40C66FF867C}">
                  <a14:compatExt spid="_x0000_s3077"/>
                </a:ext>
              </a:extLst>
            </xdr:cNvPr>
            <xdr:cNvSpPr/>
          </xdr:nvSpPr>
          <xdr:spPr>
            <a:xfrm>
              <a:off x="0" y="0"/>
              <a:ext cx="0" cy="0"/>
            </a:xfrm>
            <a:prstGeom prst="rect">
              <a:avLst/>
            </a:prstGeom>
          </xdr:spPr>
          <xdr:txBody>
            <a:bodyPr vertOverflow="clip" wrap="square" lIns="27432" tIns="0" rIns="27432" bIns="27432" anchor="b" upright="1"/>
            <a:lstStyle/>
            <a:p>
              <a:pPr algn="ctr" rtl="0">
                <a:defRPr sz="1000"/>
              </a:pPr>
              <a:r>
                <a:rPr lang="en-US" sz="1100" b="0" i="0" u="none" strike="noStrike" baseline="0">
                  <a:solidFill>
                    <a:srgbClr val="000000"/>
                  </a:solidFill>
                  <a:latin typeface="Calibri"/>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14</xdr:row>
          <xdr:rowOff>28575</xdr:rowOff>
        </xdr:from>
        <xdr:to>
          <xdr:col>4</xdr:col>
          <xdr:colOff>9525</xdr:colOff>
          <xdr:row>15</xdr:row>
          <xdr:rowOff>57150</xdr:rowOff>
        </xdr:to>
        <xdr:sp macro="" textlink="">
          <xdr:nvSpPr>
            <xdr:cNvPr id="3078" name="Button 6" hidden="1">
              <a:extLst>
                <a:ext uri="{63B3BB69-23CF-44E3-9099-C40C66FF867C}">
                  <a14:compatExt spid="_x0000_s3078"/>
                </a:ext>
              </a:extLst>
            </xdr:cNvPr>
            <xdr:cNvSpPr/>
          </xdr:nvSpPr>
          <xdr:spPr>
            <a:xfrm>
              <a:off x="0" y="0"/>
              <a:ext cx="0" cy="0"/>
            </a:xfrm>
            <a:prstGeom prst="rect">
              <a:avLst/>
            </a:prstGeom>
          </xdr:spPr>
          <xdr:txBody>
            <a:bodyPr vertOverflow="clip" wrap="square" lIns="27432" tIns="27432" rIns="27432" bIns="0" anchor="t" upright="1"/>
            <a:lstStyle/>
            <a:p>
              <a:pPr algn="ctr" rtl="0">
                <a:defRPr sz="1000"/>
              </a:pPr>
              <a:r>
                <a:rPr lang="en-US" sz="1100" b="0" i="0" u="none" strike="noStrike" baseline="0">
                  <a:solidFill>
                    <a:srgbClr val="000000"/>
                  </a:solidFill>
                  <a:latin typeface="Calibri"/>
                </a:rPr>
                <a:t>Print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6</xdr:col>
      <xdr:colOff>1499545</xdr:colOff>
      <xdr:row>1</xdr:row>
      <xdr:rowOff>84282</xdr:rowOff>
    </xdr:from>
    <xdr:to>
      <xdr:col>7</xdr:col>
      <xdr:colOff>1823338</xdr:colOff>
      <xdr:row>2</xdr:row>
      <xdr:rowOff>23792</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29045" y="165925"/>
          <a:ext cx="2147150" cy="442974"/>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7</xdr:col>
          <xdr:colOff>1066800</xdr:colOff>
          <xdr:row>5</xdr:row>
          <xdr:rowOff>0</xdr:rowOff>
        </xdr:from>
        <xdr:to>
          <xdr:col>8</xdr:col>
          <xdr:colOff>0</xdr:colOff>
          <xdr:row>5</xdr:row>
          <xdr:rowOff>257175</xdr:rowOff>
        </xdr:to>
        <xdr:sp macro="" textlink="">
          <xdr:nvSpPr>
            <xdr:cNvPr id="4098" name="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200025</xdr:colOff>
          <xdr:row>5</xdr:row>
          <xdr:rowOff>0</xdr:rowOff>
        </xdr:from>
        <xdr:to>
          <xdr:col>7</xdr:col>
          <xdr:colOff>981075</xdr:colOff>
          <xdr:row>5</xdr:row>
          <xdr:rowOff>257175</xdr:rowOff>
        </xdr:to>
        <xdr:sp macro="" textlink="">
          <xdr:nvSpPr>
            <xdr:cNvPr id="4099" name="Button 3" hidden="1">
              <a:extLst>
                <a:ext uri="{63B3BB69-23CF-44E3-9099-C40C66FF867C}">
                  <a14:compatExt spid="_x0000_s409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8</xdr:row>
          <xdr:rowOff>47625</xdr:rowOff>
        </xdr:from>
        <xdr:to>
          <xdr:col>40</xdr:col>
          <xdr:colOff>180975</xdr:colOff>
          <xdr:row>9</xdr:row>
          <xdr:rowOff>76200</xdr:rowOff>
        </xdr:to>
        <xdr:sp macro="" textlink="">
          <xdr:nvSpPr>
            <xdr:cNvPr id="4101" name="Button 5" hidden="1">
              <a:extLst>
                <a:ext uri="{63B3BB69-23CF-44E3-9099-C40C66FF867C}">
                  <a14:compatExt spid="_x0000_s41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rPr>
                <a:t>Import data from checklist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1609725</xdr:colOff>
          <xdr:row>14</xdr:row>
          <xdr:rowOff>9525</xdr:rowOff>
        </xdr:from>
        <xdr:to>
          <xdr:col>7</xdr:col>
          <xdr:colOff>1552575</xdr:colOff>
          <xdr:row>15</xdr:row>
          <xdr:rowOff>0</xdr:rowOff>
        </xdr:to>
        <xdr:sp macro="" textlink="">
          <xdr:nvSpPr>
            <xdr:cNvPr id="4103" name="Button 7" hidden="1">
              <a:extLst>
                <a:ext uri="{63B3BB69-23CF-44E3-9099-C40C66FF867C}">
                  <a14:compatExt spid="_x0000_s410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Import data from Checklist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7</xdr:col>
      <xdr:colOff>704642</xdr:colOff>
      <xdr:row>1</xdr:row>
      <xdr:rowOff>177616</xdr:rowOff>
    </xdr:from>
    <xdr:to>
      <xdr:col>9</xdr:col>
      <xdr:colOff>1040947</xdr:colOff>
      <xdr:row>2</xdr:row>
      <xdr:rowOff>20732</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678428" y="259259"/>
          <a:ext cx="2309340" cy="48265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9</xdr:col>
          <xdr:colOff>95250</xdr:colOff>
          <xdr:row>4</xdr:row>
          <xdr:rowOff>57150</xdr:rowOff>
        </xdr:from>
        <xdr:to>
          <xdr:col>10</xdr:col>
          <xdr:colOff>0</xdr:colOff>
          <xdr:row>6</xdr:row>
          <xdr:rowOff>0</xdr:rowOff>
        </xdr:to>
        <xdr:sp macro="" textlink="">
          <xdr:nvSpPr>
            <xdr:cNvPr id="5121" name="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133350</xdr:colOff>
          <xdr:row>4</xdr:row>
          <xdr:rowOff>57150</xdr:rowOff>
        </xdr:from>
        <xdr:to>
          <xdr:col>8</xdr:col>
          <xdr:colOff>1019175</xdr:colOff>
          <xdr:row>5</xdr:row>
          <xdr:rowOff>238125</xdr:rowOff>
        </xdr:to>
        <xdr:sp macro="" textlink="">
          <xdr:nvSpPr>
            <xdr:cNvPr id="5122" name="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13</xdr:row>
          <xdr:rowOff>28575</xdr:rowOff>
        </xdr:from>
        <xdr:to>
          <xdr:col>4</xdr:col>
          <xdr:colOff>638175</xdr:colOff>
          <xdr:row>13</xdr:row>
          <xdr:rowOff>180975</xdr:rowOff>
        </xdr:to>
        <xdr:sp macro="" textlink="">
          <xdr:nvSpPr>
            <xdr:cNvPr id="5123" name="Check Box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13</xdr:row>
          <xdr:rowOff>28575</xdr:rowOff>
        </xdr:from>
        <xdr:to>
          <xdr:col>5</xdr:col>
          <xdr:colOff>638175</xdr:colOff>
          <xdr:row>13</xdr:row>
          <xdr:rowOff>180975</xdr:rowOff>
        </xdr:to>
        <xdr:sp macro="" textlink="">
          <xdr:nvSpPr>
            <xdr:cNvPr id="5124" name="Check Box 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13</xdr:row>
          <xdr:rowOff>28575</xdr:rowOff>
        </xdr:from>
        <xdr:to>
          <xdr:col>6</xdr:col>
          <xdr:colOff>638175</xdr:colOff>
          <xdr:row>13</xdr:row>
          <xdr:rowOff>180975</xdr:rowOff>
        </xdr:to>
        <xdr:sp macro="" textlink="">
          <xdr:nvSpPr>
            <xdr:cNvPr id="5125" name="Check Box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13</xdr:row>
          <xdr:rowOff>28575</xdr:rowOff>
        </xdr:from>
        <xdr:to>
          <xdr:col>7</xdr:col>
          <xdr:colOff>638175</xdr:colOff>
          <xdr:row>13</xdr:row>
          <xdr:rowOff>180975</xdr:rowOff>
        </xdr:to>
        <xdr:sp macro="" textlink="">
          <xdr:nvSpPr>
            <xdr:cNvPr id="5126" name="Check Box 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28575</xdr:rowOff>
        </xdr:from>
        <xdr:to>
          <xdr:col>8</xdr:col>
          <xdr:colOff>685800</xdr:colOff>
          <xdr:row>13</xdr:row>
          <xdr:rowOff>180975</xdr:rowOff>
        </xdr:to>
        <xdr:sp macro="" textlink="">
          <xdr:nvSpPr>
            <xdr:cNvPr id="5127" name="Check Box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13</xdr:row>
          <xdr:rowOff>28575</xdr:rowOff>
        </xdr:from>
        <xdr:to>
          <xdr:col>9</xdr:col>
          <xdr:colOff>666750</xdr:colOff>
          <xdr:row>13</xdr:row>
          <xdr:rowOff>180975</xdr:rowOff>
        </xdr:to>
        <xdr:sp macro="" textlink="">
          <xdr:nvSpPr>
            <xdr:cNvPr id="5128" name="Check Box 8"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9</xdr:col>
      <xdr:colOff>101499</xdr:colOff>
      <xdr:row>1</xdr:row>
      <xdr:rowOff>174625</xdr:rowOff>
    </xdr:from>
    <xdr:to>
      <xdr:col>12</xdr:col>
      <xdr:colOff>318878</xdr:colOff>
      <xdr:row>2</xdr:row>
      <xdr:rowOff>71251</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78574" y="250825"/>
          <a:ext cx="2531954" cy="525276"/>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10</xdr:col>
          <xdr:colOff>571500</xdr:colOff>
          <xdr:row>4</xdr:row>
          <xdr:rowOff>85725</xdr:rowOff>
        </xdr:from>
        <xdr:to>
          <xdr:col>11</xdr:col>
          <xdr:colOff>495300</xdr:colOff>
          <xdr:row>5</xdr:row>
          <xdr:rowOff>238125</xdr:rowOff>
        </xdr:to>
        <xdr:sp macro="" textlink="">
          <xdr:nvSpPr>
            <xdr:cNvPr id="212993" name="Button 1" hidden="1">
              <a:extLst>
                <a:ext uri="{63B3BB69-23CF-44E3-9099-C40C66FF867C}">
                  <a14:compatExt spid="_x0000_s21299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542925</xdr:colOff>
          <xdr:row>4</xdr:row>
          <xdr:rowOff>95250</xdr:rowOff>
        </xdr:from>
        <xdr:to>
          <xdr:col>12</xdr:col>
          <xdr:colOff>333375</xdr:colOff>
          <xdr:row>5</xdr:row>
          <xdr:rowOff>238125</xdr:rowOff>
        </xdr:to>
        <xdr:sp macro="" textlink="">
          <xdr:nvSpPr>
            <xdr:cNvPr id="212994" name="Button 2" hidden="1">
              <a:extLst>
                <a:ext uri="{63B3BB69-23CF-44E3-9099-C40C66FF867C}">
                  <a14:compatExt spid="_x0000_s21299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761999</xdr:colOff>
      <xdr:row>35</xdr:row>
      <xdr:rowOff>130092</xdr:rowOff>
    </xdr:from>
    <xdr:to>
      <xdr:col>12</xdr:col>
      <xdr:colOff>777874</xdr:colOff>
      <xdr:row>35</xdr:row>
      <xdr:rowOff>2364138</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267607</xdr:colOff>
      <xdr:row>35</xdr:row>
      <xdr:rowOff>47625</xdr:rowOff>
    </xdr:from>
    <xdr:to>
      <xdr:col>5</xdr:col>
      <xdr:colOff>1000125</xdr:colOff>
      <xdr:row>35</xdr:row>
      <xdr:rowOff>2413000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107155</xdr:colOff>
      <xdr:row>52</xdr:row>
      <xdr:rowOff>82942</xdr:rowOff>
    </xdr:from>
    <xdr:to>
      <xdr:col>8</xdr:col>
      <xdr:colOff>214312</xdr:colOff>
      <xdr:row>52</xdr:row>
      <xdr:rowOff>2177144</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916780</xdr:colOff>
      <xdr:row>52</xdr:row>
      <xdr:rowOff>103909</xdr:rowOff>
    </xdr:from>
    <xdr:to>
      <xdr:col>12</xdr:col>
      <xdr:colOff>854981</xdr:colOff>
      <xdr:row>53</xdr:row>
      <xdr:rowOff>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748393</xdr:colOff>
      <xdr:row>67</xdr:row>
      <xdr:rowOff>20904</xdr:rowOff>
    </xdr:from>
    <xdr:to>
      <xdr:col>13</xdr:col>
      <xdr:colOff>7831</xdr:colOff>
      <xdr:row>68</xdr:row>
      <xdr:rowOff>13607</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231322</xdr:colOff>
      <xdr:row>110</xdr:row>
      <xdr:rowOff>202406</xdr:rowOff>
    </xdr:from>
    <xdr:to>
      <xdr:col>12</xdr:col>
      <xdr:colOff>993323</xdr:colOff>
      <xdr:row>120</xdr:row>
      <xdr:rowOff>361950</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316553</xdr:colOff>
      <xdr:row>122</xdr:row>
      <xdr:rowOff>380998</xdr:rowOff>
    </xdr:from>
    <xdr:to>
      <xdr:col>6</xdr:col>
      <xdr:colOff>503464</xdr:colOff>
      <xdr:row>124</xdr:row>
      <xdr:rowOff>35718</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136072</xdr:colOff>
      <xdr:row>144</xdr:row>
      <xdr:rowOff>58386</xdr:rowOff>
    </xdr:from>
    <xdr:to>
      <xdr:col>4</xdr:col>
      <xdr:colOff>353786</xdr:colOff>
      <xdr:row>144</xdr:row>
      <xdr:rowOff>2476500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462642</xdr:colOff>
      <xdr:row>144</xdr:row>
      <xdr:rowOff>56904</xdr:rowOff>
    </xdr:from>
    <xdr:to>
      <xdr:col>8</xdr:col>
      <xdr:colOff>721178</xdr:colOff>
      <xdr:row>144</xdr:row>
      <xdr:rowOff>2417125</xdr:rowOff>
    </xdr:to>
    <xdr:graphicFrame macro="">
      <xdr:nvGraphicFramePr>
        <xdr:cNvPr id="38"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993321</xdr:colOff>
      <xdr:row>179</xdr:row>
      <xdr:rowOff>115866</xdr:rowOff>
    </xdr:from>
    <xdr:to>
      <xdr:col>12</xdr:col>
      <xdr:colOff>692726</xdr:colOff>
      <xdr:row>179</xdr:row>
      <xdr:rowOff>2394238</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163081</xdr:colOff>
      <xdr:row>179</xdr:row>
      <xdr:rowOff>111126</xdr:rowOff>
    </xdr:from>
    <xdr:to>
      <xdr:col>6</xdr:col>
      <xdr:colOff>830035</xdr:colOff>
      <xdr:row>179</xdr:row>
      <xdr:rowOff>2381250</xdr:rowOff>
    </xdr:to>
    <xdr:graphicFrame macro="">
      <xdr:nvGraphicFramePr>
        <xdr:cNvPr id="41"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329045</xdr:colOff>
      <xdr:row>191</xdr:row>
      <xdr:rowOff>202406</xdr:rowOff>
    </xdr:from>
    <xdr:to>
      <xdr:col>13</xdr:col>
      <xdr:colOff>244928</xdr:colOff>
      <xdr:row>200</xdr:row>
      <xdr:rowOff>421820</xdr:rowOff>
    </xdr:to>
    <xdr:graphicFrame macro="">
      <xdr:nvGraphicFramePr>
        <xdr:cNvPr id="43"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2172606</xdr:colOff>
      <xdr:row>204</xdr:row>
      <xdr:rowOff>79374</xdr:rowOff>
    </xdr:from>
    <xdr:to>
      <xdr:col>10</xdr:col>
      <xdr:colOff>598714</xdr:colOff>
      <xdr:row>204</xdr:row>
      <xdr:rowOff>2428875</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775606</xdr:colOff>
      <xdr:row>95</xdr:row>
      <xdr:rowOff>95250</xdr:rowOff>
    </xdr:from>
    <xdr:to>
      <xdr:col>12</xdr:col>
      <xdr:colOff>698499</xdr:colOff>
      <xdr:row>95</xdr:row>
      <xdr:rowOff>2435679</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40821</xdr:colOff>
      <xdr:row>95</xdr:row>
      <xdr:rowOff>40821</xdr:rowOff>
    </xdr:from>
    <xdr:to>
      <xdr:col>6</xdr:col>
      <xdr:colOff>231320</xdr:colOff>
      <xdr:row>95</xdr:row>
      <xdr:rowOff>2517320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159575</xdr:colOff>
      <xdr:row>67</xdr:row>
      <xdr:rowOff>20904</xdr:rowOff>
    </xdr:from>
    <xdr:to>
      <xdr:col>7</xdr:col>
      <xdr:colOff>435428</xdr:colOff>
      <xdr:row>68</xdr:row>
      <xdr:rowOff>69170</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53860</xdr:colOff>
      <xdr:row>52</xdr:row>
      <xdr:rowOff>8968</xdr:rowOff>
    </xdr:from>
    <xdr:to>
      <xdr:col>3</xdr:col>
      <xdr:colOff>392907</xdr:colOff>
      <xdr:row>53</xdr:row>
      <xdr:rowOff>0</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145143</xdr:colOff>
      <xdr:row>220</xdr:row>
      <xdr:rowOff>81643</xdr:rowOff>
    </xdr:from>
    <xdr:to>
      <xdr:col>7</xdr:col>
      <xdr:colOff>204107</xdr:colOff>
      <xdr:row>220</xdr:row>
      <xdr:rowOff>2460625</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693964</xdr:colOff>
      <xdr:row>220</xdr:row>
      <xdr:rowOff>54427</xdr:rowOff>
    </xdr:from>
    <xdr:to>
      <xdr:col>12</xdr:col>
      <xdr:colOff>830036</xdr:colOff>
      <xdr:row>220</xdr:row>
      <xdr:rowOff>2435678</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898070</xdr:colOff>
      <xdr:row>254</xdr:row>
      <xdr:rowOff>102876</xdr:rowOff>
    </xdr:from>
    <xdr:to>
      <xdr:col>12</xdr:col>
      <xdr:colOff>653143</xdr:colOff>
      <xdr:row>254</xdr:row>
      <xdr:rowOff>2476499</xdr:rowOff>
    </xdr:to>
    <xdr:graphicFrame macro="">
      <xdr:nvGraphicFramePr>
        <xdr:cNvPr id="54"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15875</xdr:colOff>
      <xdr:row>254</xdr:row>
      <xdr:rowOff>63499</xdr:rowOff>
    </xdr:from>
    <xdr:to>
      <xdr:col>6</xdr:col>
      <xdr:colOff>653143</xdr:colOff>
      <xdr:row>254</xdr:row>
      <xdr:rowOff>2490106</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10</xdr:col>
      <xdr:colOff>530124</xdr:colOff>
      <xdr:row>1</xdr:row>
      <xdr:rowOff>174625</xdr:rowOff>
    </xdr:from>
    <xdr:to>
      <xdr:col>12</xdr:col>
      <xdr:colOff>1006924</xdr:colOff>
      <xdr:row>2</xdr:row>
      <xdr:rowOff>71251</xdr:rowOff>
    </xdr:to>
    <xdr:pic>
      <xdr:nvPicPr>
        <xdr:cNvPr id="30" name="Picture 29"/>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3019780" y="246063"/>
          <a:ext cx="2524675" cy="527657"/>
        </a:xfrm>
        <a:prstGeom prst="rect">
          <a:avLst/>
        </a:prstGeom>
        <a:noFill/>
        <a:ln w="9525">
          <a:noFill/>
          <a:miter lim="800000"/>
          <a:headEnd/>
          <a:tailEnd/>
        </a:ln>
      </xdr:spPr>
    </xdr:pic>
    <xdr:clientData/>
  </xdr:twoCellAnchor>
  <xdr:twoCellAnchor>
    <xdr:from>
      <xdr:col>4</xdr:col>
      <xdr:colOff>231322</xdr:colOff>
      <xdr:row>21</xdr:row>
      <xdr:rowOff>202406</xdr:rowOff>
    </xdr:from>
    <xdr:to>
      <xdr:col>13</xdr:col>
      <xdr:colOff>217714</xdr:colOff>
      <xdr:row>31</xdr:row>
      <xdr:rowOff>353786</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775607</xdr:colOff>
      <xdr:row>144</xdr:row>
      <xdr:rowOff>59377</xdr:rowOff>
    </xdr:from>
    <xdr:to>
      <xdr:col>12</xdr:col>
      <xdr:colOff>846117</xdr:colOff>
      <xdr:row>144</xdr:row>
      <xdr:rowOff>2427020</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1694088</xdr:colOff>
      <xdr:row>240</xdr:row>
      <xdr:rowOff>95250</xdr:rowOff>
    </xdr:from>
    <xdr:to>
      <xdr:col>11</xdr:col>
      <xdr:colOff>115661</xdr:colOff>
      <xdr:row>241</xdr:row>
      <xdr:rowOff>8701</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71438</xdr:colOff>
      <xdr:row>168</xdr:row>
      <xdr:rowOff>13607</xdr:rowOff>
    </xdr:from>
    <xdr:to>
      <xdr:col>3</xdr:col>
      <xdr:colOff>122464</xdr:colOff>
      <xdr:row>168</xdr:row>
      <xdr:rowOff>2458357</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272143</xdr:colOff>
      <xdr:row>168</xdr:row>
      <xdr:rowOff>27214</xdr:rowOff>
    </xdr:from>
    <xdr:to>
      <xdr:col>8</xdr:col>
      <xdr:colOff>54428</xdr:colOff>
      <xdr:row>168</xdr:row>
      <xdr:rowOff>2471964</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0</xdr:colOff>
      <xdr:row>168</xdr:row>
      <xdr:rowOff>0</xdr:rowOff>
    </xdr:from>
    <xdr:to>
      <xdr:col>12</xdr:col>
      <xdr:colOff>802820</xdr:colOff>
      <xdr:row>168</xdr:row>
      <xdr:rowOff>2444750</xdr:rowOff>
    </xdr:to>
    <xdr:graphicFrame macro="">
      <xdr:nvGraphicFramePr>
        <xdr:cNvPr id="36"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653143</xdr:colOff>
      <xdr:row>123</xdr:row>
      <xdr:rowOff>68036</xdr:rowOff>
    </xdr:from>
    <xdr:to>
      <xdr:col>12</xdr:col>
      <xdr:colOff>722539</xdr:colOff>
      <xdr:row>123</xdr:row>
      <xdr:rowOff>2435679</xdr:rowOff>
    </xdr:to>
    <xdr:graphicFrame macro="">
      <xdr:nvGraphicFramePr>
        <xdr:cNvPr id="5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295275</xdr:colOff>
          <xdr:row>327</xdr:row>
          <xdr:rowOff>228600</xdr:rowOff>
        </xdr:to>
        <xdr:sp macro="" textlink="">
          <xdr:nvSpPr>
            <xdr:cNvPr id="64568" name="Check Box 56" hidden="1">
              <a:extLst>
                <a:ext uri="{63B3BB69-23CF-44E3-9099-C40C66FF867C}">
                  <a14:compatExt spid="_x0000_s64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314325</xdr:colOff>
          <xdr:row>327</xdr:row>
          <xdr:rowOff>266700</xdr:rowOff>
        </xdr:to>
        <xdr:sp macro="" textlink="">
          <xdr:nvSpPr>
            <xdr:cNvPr id="64569" name="Check Box 57" hidden="1">
              <a:extLst>
                <a:ext uri="{63B3BB69-23CF-44E3-9099-C40C66FF867C}">
                  <a14:compatExt spid="_x0000_s64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295275</xdr:colOff>
          <xdr:row>327</xdr:row>
          <xdr:rowOff>123825</xdr:rowOff>
        </xdr:to>
        <xdr:sp macro="" textlink="">
          <xdr:nvSpPr>
            <xdr:cNvPr id="64572" name="Check Box 60" hidden="1">
              <a:extLst>
                <a:ext uri="{63B3BB69-23CF-44E3-9099-C40C66FF867C}">
                  <a14:compatExt spid="_x0000_s64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342900</xdr:colOff>
          <xdr:row>327</xdr:row>
          <xdr:rowOff>142875</xdr:rowOff>
        </xdr:to>
        <xdr:sp macro="" textlink="">
          <xdr:nvSpPr>
            <xdr:cNvPr id="64573" name="Check Box 61" hidden="1">
              <a:extLst>
                <a:ext uri="{63B3BB69-23CF-44E3-9099-C40C66FF867C}">
                  <a14:compatExt spid="_x0000_s64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342900</xdr:colOff>
          <xdr:row>327</xdr:row>
          <xdr:rowOff>219075</xdr:rowOff>
        </xdr:to>
        <xdr:sp macro="" textlink="">
          <xdr:nvSpPr>
            <xdr:cNvPr id="64574" name="Check Box 62" hidden="1">
              <a:extLst>
                <a:ext uri="{63B3BB69-23CF-44E3-9099-C40C66FF867C}">
                  <a14:compatExt spid="_x0000_s64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295275</xdr:colOff>
          <xdr:row>327</xdr:row>
          <xdr:rowOff>219075</xdr:rowOff>
        </xdr:to>
        <xdr:sp macro="" textlink="">
          <xdr:nvSpPr>
            <xdr:cNvPr id="64575" name="Check Box 63" hidden="1">
              <a:extLst>
                <a:ext uri="{63B3BB69-23CF-44E3-9099-C40C66FF867C}">
                  <a14:compatExt spid="_x0000_s64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295275</xdr:colOff>
          <xdr:row>327</xdr:row>
          <xdr:rowOff>257175</xdr:rowOff>
        </xdr:to>
        <xdr:sp macro="" textlink="">
          <xdr:nvSpPr>
            <xdr:cNvPr id="64576" name="Check Box 64" hidden="1">
              <a:extLst>
                <a:ext uri="{63B3BB69-23CF-44E3-9099-C40C66FF867C}">
                  <a14:compatExt spid="_x0000_s64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295275</xdr:colOff>
          <xdr:row>327</xdr:row>
          <xdr:rowOff>142875</xdr:rowOff>
        </xdr:to>
        <xdr:sp macro="" textlink="">
          <xdr:nvSpPr>
            <xdr:cNvPr id="64579" name="Check Box 67" hidden="1">
              <a:extLst>
                <a:ext uri="{63B3BB69-23CF-44E3-9099-C40C66FF867C}">
                  <a14:compatExt spid="_x0000_s64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295275</xdr:colOff>
          <xdr:row>327</xdr:row>
          <xdr:rowOff>142875</xdr:rowOff>
        </xdr:to>
        <xdr:sp macro="" textlink="">
          <xdr:nvSpPr>
            <xdr:cNvPr id="64580" name="Check Box 68" hidden="1">
              <a:extLst>
                <a:ext uri="{63B3BB69-23CF-44E3-9099-C40C66FF867C}">
                  <a14:compatExt spid="_x0000_s64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285750</xdr:rowOff>
        </xdr:to>
        <xdr:sp macro="" textlink="">
          <xdr:nvSpPr>
            <xdr:cNvPr id="64583" name="Check Box 71" hidden="1">
              <a:extLst>
                <a:ext uri="{63B3BB69-23CF-44E3-9099-C40C66FF867C}">
                  <a14:compatExt spid="_x0000_s64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276225</xdr:rowOff>
        </xdr:to>
        <xdr:sp macro="" textlink="">
          <xdr:nvSpPr>
            <xdr:cNvPr id="64584" name="Check Box 72" hidden="1">
              <a:extLst>
                <a:ext uri="{63B3BB69-23CF-44E3-9099-C40C66FF867C}">
                  <a14:compatExt spid="_x0000_s64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200025</xdr:rowOff>
        </xdr:to>
        <xdr:sp macro="" textlink="">
          <xdr:nvSpPr>
            <xdr:cNvPr id="64585" name="Check Box 73" hidden="1">
              <a:extLst>
                <a:ext uri="{63B3BB69-23CF-44E3-9099-C40C66FF867C}">
                  <a14:compatExt spid="_x0000_s64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142875</xdr:rowOff>
        </xdr:to>
        <xdr:sp macro="" textlink="">
          <xdr:nvSpPr>
            <xdr:cNvPr id="64586" name="Check Box 74" hidden="1">
              <a:extLst>
                <a:ext uri="{63B3BB69-23CF-44E3-9099-C40C66FF867C}">
                  <a14:compatExt spid="_x0000_s64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142875</xdr:rowOff>
        </xdr:to>
        <xdr:sp macro="" textlink="">
          <xdr:nvSpPr>
            <xdr:cNvPr id="64587" name="Check Box 75" hidden="1">
              <a:extLst>
                <a:ext uri="{63B3BB69-23CF-44E3-9099-C40C66FF867C}">
                  <a14:compatExt spid="_x0000_s64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209550</xdr:rowOff>
        </xdr:to>
        <xdr:sp macro="" textlink="">
          <xdr:nvSpPr>
            <xdr:cNvPr id="64588" name="Check Box 76" hidden="1">
              <a:extLst>
                <a:ext uri="{63B3BB69-23CF-44E3-9099-C40C66FF867C}">
                  <a14:compatExt spid="_x0000_s64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589" name="Check Box 77" hidden="1">
              <a:extLst>
                <a:ext uri="{63B3BB69-23CF-44E3-9099-C40C66FF867C}">
                  <a14:compatExt spid="_x0000_s64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123825</xdr:rowOff>
        </xdr:to>
        <xdr:sp macro="" textlink="">
          <xdr:nvSpPr>
            <xdr:cNvPr id="64590" name="Check Box 78" hidden="1">
              <a:extLst>
                <a:ext uri="{63B3BB69-23CF-44E3-9099-C40C66FF867C}">
                  <a14:compatExt spid="_x0000_s64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371475</xdr:colOff>
          <xdr:row>327</xdr:row>
          <xdr:rowOff>219075</xdr:rowOff>
        </xdr:to>
        <xdr:sp macro="" textlink="">
          <xdr:nvSpPr>
            <xdr:cNvPr id="64591" name="Check Box 79" hidden="1">
              <a:extLst>
                <a:ext uri="{63B3BB69-23CF-44E3-9099-C40C66FF867C}">
                  <a14:compatExt spid="_x0000_s64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592" name="Check Box 80" hidden="1">
              <a:extLst>
                <a:ext uri="{63B3BB69-23CF-44E3-9099-C40C66FF867C}">
                  <a14:compatExt spid="_x0000_s64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593" name="Check Box 81" hidden="1">
              <a:extLst>
                <a:ext uri="{63B3BB69-23CF-44E3-9099-C40C66FF867C}">
                  <a14:compatExt spid="_x0000_s64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594" name="Check Box 82" hidden="1">
              <a:extLst>
                <a:ext uri="{63B3BB69-23CF-44E3-9099-C40C66FF867C}">
                  <a14:compatExt spid="_x0000_s64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295275</xdr:rowOff>
        </xdr:to>
        <xdr:sp macro="" textlink="">
          <xdr:nvSpPr>
            <xdr:cNvPr id="64595" name="Check Box 83" hidden="1">
              <a:extLst>
                <a:ext uri="{63B3BB69-23CF-44E3-9099-C40C66FF867C}">
                  <a14:compatExt spid="_x0000_s64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596" name="Check Box 84" hidden="1">
              <a:extLst>
                <a:ext uri="{63B3BB69-23CF-44E3-9099-C40C66FF867C}">
                  <a14:compatExt spid="_x0000_s64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597" name="Check Box 85" hidden="1">
              <a:extLst>
                <a:ext uri="{63B3BB69-23CF-44E3-9099-C40C66FF867C}">
                  <a14:compatExt spid="_x0000_s64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76200</xdr:rowOff>
        </xdr:to>
        <xdr:sp macro="" textlink="">
          <xdr:nvSpPr>
            <xdr:cNvPr id="64598" name="Check Box 86" hidden="1">
              <a:extLst>
                <a:ext uri="{63B3BB69-23CF-44E3-9099-C40C66FF867C}">
                  <a14:compatExt spid="_x0000_s64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304800</xdr:rowOff>
        </xdr:to>
        <xdr:sp macro="" textlink="">
          <xdr:nvSpPr>
            <xdr:cNvPr id="64599" name="Check Box 87" hidden="1">
              <a:extLst>
                <a:ext uri="{63B3BB69-23CF-44E3-9099-C40C66FF867C}">
                  <a14:compatExt spid="_x0000_s64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171450</xdr:rowOff>
        </xdr:to>
        <xdr:sp macro="" textlink="">
          <xdr:nvSpPr>
            <xdr:cNvPr id="64600" name="Check Box 88" hidden="1">
              <a:extLst>
                <a:ext uri="{63B3BB69-23CF-44E3-9099-C40C66FF867C}">
                  <a14:compatExt spid="_x0000_s64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114300</xdr:rowOff>
        </xdr:to>
        <xdr:sp macro="" textlink="">
          <xdr:nvSpPr>
            <xdr:cNvPr id="64601" name="Check Box 89" hidden="1">
              <a:extLst>
                <a:ext uri="{63B3BB69-23CF-44E3-9099-C40C66FF867C}">
                  <a14:compatExt spid="_x0000_s64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228600</xdr:rowOff>
        </xdr:to>
        <xdr:sp macro="" textlink="">
          <xdr:nvSpPr>
            <xdr:cNvPr id="64602" name="Check Box 90" hidden="1">
              <a:extLst>
                <a:ext uri="{63B3BB69-23CF-44E3-9099-C40C66FF867C}">
                  <a14:compatExt spid="_x0000_s64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228600</xdr:rowOff>
        </xdr:to>
        <xdr:sp macro="" textlink="">
          <xdr:nvSpPr>
            <xdr:cNvPr id="64603" name="Check Box 91" hidden="1">
              <a:extLst>
                <a:ext uri="{63B3BB69-23CF-44E3-9099-C40C66FF867C}">
                  <a14:compatExt spid="_x0000_s64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604" name="Check Box 92" hidden="1">
              <a:extLst>
                <a:ext uri="{63B3BB69-23CF-44E3-9099-C40C66FF867C}">
                  <a14:compatExt spid="_x0000_s64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123825</xdr:rowOff>
        </xdr:to>
        <xdr:sp macro="" textlink="">
          <xdr:nvSpPr>
            <xdr:cNvPr id="64605" name="Check Box 93" hidden="1">
              <a:extLst>
                <a:ext uri="{63B3BB69-23CF-44E3-9099-C40C66FF867C}">
                  <a14:compatExt spid="_x0000_s64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200025</xdr:rowOff>
        </xdr:to>
        <xdr:sp macro="" textlink="">
          <xdr:nvSpPr>
            <xdr:cNvPr id="64607" name="Check Box 95" hidden="1">
              <a:extLst>
                <a:ext uri="{63B3BB69-23CF-44E3-9099-C40C66FF867C}">
                  <a14:compatExt spid="_x0000_s64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209550</xdr:rowOff>
        </xdr:to>
        <xdr:sp macro="" textlink="">
          <xdr:nvSpPr>
            <xdr:cNvPr id="64608" name="Check Box 96" hidden="1">
              <a:extLst>
                <a:ext uri="{63B3BB69-23CF-44E3-9099-C40C66FF867C}">
                  <a14:compatExt spid="_x0000_s64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161925</xdr:rowOff>
        </xdr:to>
        <xdr:sp macro="" textlink="">
          <xdr:nvSpPr>
            <xdr:cNvPr id="64609" name="Check Box 97" hidden="1">
              <a:extLst>
                <a:ext uri="{63B3BB69-23CF-44E3-9099-C40C66FF867C}">
                  <a14:compatExt spid="_x0000_s64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209550</xdr:rowOff>
        </xdr:to>
        <xdr:sp macro="" textlink="">
          <xdr:nvSpPr>
            <xdr:cNvPr id="64610" name="Check Box 98" hidden="1">
              <a:extLst>
                <a:ext uri="{63B3BB69-23CF-44E3-9099-C40C66FF867C}">
                  <a14:compatExt spid="_x0000_s64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200025</xdr:rowOff>
        </xdr:to>
        <xdr:sp macro="" textlink="">
          <xdr:nvSpPr>
            <xdr:cNvPr id="64611" name="Check Box 99" hidden="1">
              <a:extLst>
                <a:ext uri="{63B3BB69-23CF-44E3-9099-C40C66FF867C}">
                  <a14:compatExt spid="_x0000_s64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612" name="Check Box 100" hidden="1">
              <a:extLst>
                <a:ext uri="{63B3BB69-23CF-44E3-9099-C40C66FF867C}">
                  <a14:compatExt spid="_x0000_s64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85725</xdr:rowOff>
        </xdr:to>
        <xdr:sp macro="" textlink="">
          <xdr:nvSpPr>
            <xdr:cNvPr id="64613" name="Check Box 101" hidden="1">
              <a:extLst>
                <a:ext uri="{63B3BB69-23CF-44E3-9099-C40C66FF867C}">
                  <a14:compatExt spid="_x0000_s64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247650</xdr:colOff>
          <xdr:row>327</xdr:row>
          <xdr:rowOff>219075</xdr:rowOff>
        </xdr:to>
        <xdr:sp macro="" textlink="">
          <xdr:nvSpPr>
            <xdr:cNvPr id="64654" name="Check Box 142" hidden="1">
              <a:extLst>
                <a:ext uri="{63B3BB69-23CF-44E3-9099-C40C66FF867C}">
                  <a14:compatExt spid="_x0000_s64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228600</xdr:rowOff>
        </xdr:to>
        <xdr:sp macro="" textlink="">
          <xdr:nvSpPr>
            <xdr:cNvPr id="64655" name="Check Box 143" hidden="1">
              <a:extLst>
                <a:ext uri="{63B3BB69-23CF-44E3-9099-C40C66FF867C}">
                  <a14:compatExt spid="_x0000_s64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133350</xdr:rowOff>
        </xdr:to>
        <xdr:sp macro="" textlink="">
          <xdr:nvSpPr>
            <xdr:cNvPr id="64660" name="Check Box 148" hidden="1">
              <a:extLst>
                <a:ext uri="{63B3BB69-23CF-44E3-9099-C40C66FF867C}">
                  <a14:compatExt spid="_x0000_s64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200025</xdr:rowOff>
        </xdr:to>
        <xdr:sp macro="" textlink="">
          <xdr:nvSpPr>
            <xdr:cNvPr id="64661" name="Check Box 149" hidden="1">
              <a:extLst>
                <a:ext uri="{63B3BB69-23CF-44E3-9099-C40C66FF867C}">
                  <a14:compatExt spid="_x0000_s64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114300</xdr:rowOff>
        </xdr:to>
        <xdr:sp macro="" textlink="">
          <xdr:nvSpPr>
            <xdr:cNvPr id="64662" name="Check Box 150" hidden="1">
              <a:extLst>
                <a:ext uri="{63B3BB69-23CF-44E3-9099-C40C66FF867C}">
                  <a14:compatExt spid="_x0000_s64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295275</xdr:colOff>
          <xdr:row>327</xdr:row>
          <xdr:rowOff>142875</xdr:rowOff>
        </xdr:to>
        <xdr:sp macro="" textlink="">
          <xdr:nvSpPr>
            <xdr:cNvPr id="64677" name="Check Box 165" hidden="1">
              <a:extLst>
                <a:ext uri="{63B3BB69-23CF-44E3-9099-C40C66FF867C}">
                  <a14:compatExt spid="_x0000_s64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107</xdr:row>
          <xdr:rowOff>0</xdr:rowOff>
        </xdr:from>
        <xdr:to>
          <xdr:col>2</xdr:col>
          <xdr:colOff>342900</xdr:colOff>
          <xdr:row>327</xdr:row>
          <xdr:rowOff>142875</xdr:rowOff>
        </xdr:to>
        <xdr:sp macro="" textlink="">
          <xdr:nvSpPr>
            <xdr:cNvPr id="64682" name="Check Box 170" hidden="1">
              <a:extLst>
                <a:ext uri="{63B3BB69-23CF-44E3-9099-C40C66FF867C}">
                  <a14:compatExt spid="_x0000_s64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76200</xdr:colOff>
          <xdr:row>4</xdr:row>
          <xdr:rowOff>85725</xdr:rowOff>
        </xdr:from>
        <xdr:to>
          <xdr:col>12</xdr:col>
          <xdr:colOff>1009650</xdr:colOff>
          <xdr:row>5</xdr:row>
          <xdr:rowOff>238125</xdr:rowOff>
        </xdr:to>
        <xdr:sp macro="" textlink="">
          <xdr:nvSpPr>
            <xdr:cNvPr id="64684" name="Button 172" hidden="1">
              <a:extLst>
                <a:ext uri="{63B3BB69-23CF-44E3-9099-C40C66FF867C}">
                  <a14:compatExt spid="_x0000_s6468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47625</xdr:colOff>
          <xdr:row>4</xdr:row>
          <xdr:rowOff>104775</xdr:rowOff>
        </xdr:from>
        <xdr:to>
          <xdr:col>11</xdr:col>
          <xdr:colOff>990600</xdr:colOff>
          <xdr:row>6</xdr:row>
          <xdr:rowOff>0</xdr:rowOff>
        </xdr:to>
        <xdr:sp macro="" textlink="">
          <xdr:nvSpPr>
            <xdr:cNvPr id="64685" name="Button 173" hidden="1">
              <a:extLst>
                <a:ext uri="{63B3BB69-23CF-44E3-9099-C40C66FF867C}">
                  <a14:compatExt spid="_x0000_s6468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107</xdr:row>
          <xdr:rowOff>0</xdr:rowOff>
        </xdr:from>
        <xdr:to>
          <xdr:col>2</xdr:col>
          <xdr:colOff>228600</xdr:colOff>
          <xdr:row>327</xdr:row>
          <xdr:rowOff>228600</xdr:rowOff>
        </xdr:to>
        <xdr:sp macro="" textlink="">
          <xdr:nvSpPr>
            <xdr:cNvPr id="64686" name="Check Box 174" hidden="1">
              <a:extLst>
                <a:ext uri="{63B3BB69-23CF-44E3-9099-C40C66FF867C}">
                  <a14:compatExt spid="_x0000_s64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76200</xdr:rowOff>
        </xdr:from>
        <xdr:to>
          <xdr:col>2</xdr:col>
          <xdr:colOff>342900</xdr:colOff>
          <xdr:row>22</xdr:row>
          <xdr:rowOff>285750</xdr:rowOff>
        </xdr:to>
        <xdr:sp macro="" textlink="">
          <xdr:nvSpPr>
            <xdr:cNvPr id="64697" name="Check Box 185" hidden="1">
              <a:extLst>
                <a:ext uri="{63B3BB69-23CF-44E3-9099-C40C66FF867C}">
                  <a14:compatExt spid="_x0000_s64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23</xdr:row>
          <xdr:rowOff>66675</xdr:rowOff>
        </xdr:from>
        <xdr:to>
          <xdr:col>2</xdr:col>
          <xdr:colOff>342900</xdr:colOff>
          <xdr:row>23</xdr:row>
          <xdr:rowOff>285750</xdr:rowOff>
        </xdr:to>
        <xdr:sp macro="" textlink="">
          <xdr:nvSpPr>
            <xdr:cNvPr id="64698" name="Check Box 186" hidden="1">
              <a:extLst>
                <a:ext uri="{63B3BB69-23CF-44E3-9099-C40C66FF867C}">
                  <a14:compatExt spid="_x0000_s64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24</xdr:row>
          <xdr:rowOff>104775</xdr:rowOff>
        </xdr:from>
        <xdr:to>
          <xdr:col>2</xdr:col>
          <xdr:colOff>342900</xdr:colOff>
          <xdr:row>24</xdr:row>
          <xdr:rowOff>285750</xdr:rowOff>
        </xdr:to>
        <xdr:sp macro="" textlink="">
          <xdr:nvSpPr>
            <xdr:cNvPr id="64699" name="Check Box 187" hidden="1">
              <a:extLst>
                <a:ext uri="{63B3BB69-23CF-44E3-9099-C40C66FF867C}">
                  <a14:compatExt spid="_x0000_s64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85725</xdr:rowOff>
        </xdr:from>
        <xdr:to>
          <xdr:col>2</xdr:col>
          <xdr:colOff>342900</xdr:colOff>
          <xdr:row>25</xdr:row>
          <xdr:rowOff>266700</xdr:rowOff>
        </xdr:to>
        <xdr:sp macro="" textlink="">
          <xdr:nvSpPr>
            <xdr:cNvPr id="64700" name="Check Box 188" hidden="1">
              <a:extLst>
                <a:ext uri="{63B3BB69-23CF-44E3-9099-C40C66FF867C}">
                  <a14:compatExt spid="_x0000_s64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26</xdr:row>
          <xdr:rowOff>85725</xdr:rowOff>
        </xdr:from>
        <xdr:to>
          <xdr:col>2</xdr:col>
          <xdr:colOff>342900</xdr:colOff>
          <xdr:row>26</xdr:row>
          <xdr:rowOff>276225</xdr:rowOff>
        </xdr:to>
        <xdr:sp macro="" textlink="">
          <xdr:nvSpPr>
            <xdr:cNvPr id="64701" name="Check Box 189" hidden="1">
              <a:extLst>
                <a:ext uri="{63B3BB69-23CF-44E3-9099-C40C66FF867C}">
                  <a14:compatExt spid="_x0000_s64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27</xdr:row>
          <xdr:rowOff>95250</xdr:rowOff>
        </xdr:from>
        <xdr:to>
          <xdr:col>2</xdr:col>
          <xdr:colOff>342900</xdr:colOff>
          <xdr:row>27</xdr:row>
          <xdr:rowOff>257175</xdr:rowOff>
        </xdr:to>
        <xdr:sp macro="" textlink="">
          <xdr:nvSpPr>
            <xdr:cNvPr id="64702" name="Check Box 190" hidden="1">
              <a:extLst>
                <a:ext uri="{63B3BB69-23CF-44E3-9099-C40C66FF867C}">
                  <a14:compatExt spid="_x0000_s64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28</xdr:row>
          <xdr:rowOff>85725</xdr:rowOff>
        </xdr:from>
        <xdr:to>
          <xdr:col>2</xdr:col>
          <xdr:colOff>342900</xdr:colOff>
          <xdr:row>28</xdr:row>
          <xdr:rowOff>276225</xdr:rowOff>
        </xdr:to>
        <xdr:sp macro="" textlink="">
          <xdr:nvSpPr>
            <xdr:cNvPr id="64703" name="Check Box 191" hidden="1">
              <a:extLst>
                <a:ext uri="{63B3BB69-23CF-44E3-9099-C40C66FF867C}">
                  <a14:compatExt spid="_x0000_s64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123825</xdr:rowOff>
        </xdr:from>
        <xdr:to>
          <xdr:col>2</xdr:col>
          <xdr:colOff>342900</xdr:colOff>
          <xdr:row>29</xdr:row>
          <xdr:rowOff>228600</xdr:rowOff>
        </xdr:to>
        <xdr:sp macro="" textlink="">
          <xdr:nvSpPr>
            <xdr:cNvPr id="64704" name="Check Box 192" hidden="1">
              <a:extLst>
                <a:ext uri="{63B3BB69-23CF-44E3-9099-C40C66FF867C}">
                  <a14:compatExt spid="_x0000_s64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xdr:row>
          <xdr:rowOff>76200</xdr:rowOff>
        </xdr:from>
        <xdr:to>
          <xdr:col>2</xdr:col>
          <xdr:colOff>342900</xdr:colOff>
          <xdr:row>30</xdr:row>
          <xdr:rowOff>266700</xdr:rowOff>
        </xdr:to>
        <xdr:sp macro="" textlink="">
          <xdr:nvSpPr>
            <xdr:cNvPr id="64705" name="Check Box 193" hidden="1">
              <a:extLst>
                <a:ext uri="{63B3BB69-23CF-44E3-9099-C40C66FF867C}">
                  <a14:compatExt spid="_x0000_s64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31</xdr:row>
          <xdr:rowOff>76200</xdr:rowOff>
        </xdr:from>
        <xdr:to>
          <xdr:col>2</xdr:col>
          <xdr:colOff>342900</xdr:colOff>
          <xdr:row>31</xdr:row>
          <xdr:rowOff>266700</xdr:rowOff>
        </xdr:to>
        <xdr:sp macro="" textlink="">
          <xdr:nvSpPr>
            <xdr:cNvPr id="64706" name="Check Box 194" hidden="1">
              <a:extLst>
                <a:ext uri="{63B3BB69-23CF-44E3-9099-C40C66FF867C}">
                  <a14:compatExt spid="_x0000_s64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55</xdr:row>
          <xdr:rowOff>161925</xdr:rowOff>
        </xdr:from>
        <xdr:to>
          <xdr:col>2</xdr:col>
          <xdr:colOff>342900</xdr:colOff>
          <xdr:row>57</xdr:row>
          <xdr:rowOff>0</xdr:rowOff>
        </xdr:to>
        <xdr:sp macro="" textlink="">
          <xdr:nvSpPr>
            <xdr:cNvPr id="64715" name="Check Box 203" hidden="1">
              <a:extLst>
                <a:ext uri="{63B3BB69-23CF-44E3-9099-C40C66FF867C}">
                  <a14:compatExt spid="_x0000_s64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57</xdr:row>
          <xdr:rowOff>152400</xdr:rowOff>
        </xdr:from>
        <xdr:to>
          <xdr:col>2</xdr:col>
          <xdr:colOff>342900</xdr:colOff>
          <xdr:row>59</xdr:row>
          <xdr:rowOff>47625</xdr:rowOff>
        </xdr:to>
        <xdr:sp macro="" textlink="">
          <xdr:nvSpPr>
            <xdr:cNvPr id="64716" name="Check Box 204" hidden="1">
              <a:extLst>
                <a:ext uri="{63B3BB69-23CF-44E3-9099-C40C66FF867C}">
                  <a14:compatExt spid="_x0000_s64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59</xdr:row>
          <xdr:rowOff>28575</xdr:rowOff>
        </xdr:from>
        <xdr:to>
          <xdr:col>2</xdr:col>
          <xdr:colOff>342900</xdr:colOff>
          <xdr:row>59</xdr:row>
          <xdr:rowOff>304800</xdr:rowOff>
        </xdr:to>
        <xdr:sp macro="" textlink="">
          <xdr:nvSpPr>
            <xdr:cNvPr id="64717" name="Check Box 205" hidden="1">
              <a:extLst>
                <a:ext uri="{63B3BB69-23CF-44E3-9099-C40C66FF867C}">
                  <a14:compatExt spid="_x0000_s64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59</xdr:row>
          <xdr:rowOff>352425</xdr:rowOff>
        </xdr:from>
        <xdr:to>
          <xdr:col>2</xdr:col>
          <xdr:colOff>342900</xdr:colOff>
          <xdr:row>61</xdr:row>
          <xdr:rowOff>0</xdr:rowOff>
        </xdr:to>
        <xdr:sp macro="" textlink="">
          <xdr:nvSpPr>
            <xdr:cNvPr id="64718" name="Check Box 206" hidden="1">
              <a:extLst>
                <a:ext uri="{63B3BB69-23CF-44E3-9099-C40C66FF867C}">
                  <a14:compatExt spid="_x0000_s64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61</xdr:row>
          <xdr:rowOff>142875</xdr:rowOff>
        </xdr:from>
        <xdr:to>
          <xdr:col>2</xdr:col>
          <xdr:colOff>342900</xdr:colOff>
          <xdr:row>63</xdr:row>
          <xdr:rowOff>47625</xdr:rowOff>
        </xdr:to>
        <xdr:sp macro="" textlink="">
          <xdr:nvSpPr>
            <xdr:cNvPr id="64719" name="Check Box 207" hidden="1">
              <a:extLst>
                <a:ext uri="{63B3BB69-23CF-44E3-9099-C40C66FF867C}">
                  <a14:compatExt spid="_x0000_s64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142875</xdr:rowOff>
        </xdr:from>
        <xdr:to>
          <xdr:col>2</xdr:col>
          <xdr:colOff>342900</xdr:colOff>
          <xdr:row>64</xdr:row>
          <xdr:rowOff>47625</xdr:rowOff>
        </xdr:to>
        <xdr:sp macro="" textlink="">
          <xdr:nvSpPr>
            <xdr:cNvPr id="64720" name="Check Box 208" hidden="1">
              <a:extLst>
                <a:ext uri="{63B3BB69-23CF-44E3-9099-C40C66FF867C}">
                  <a14:compatExt spid="_x0000_s64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63</xdr:row>
          <xdr:rowOff>152400</xdr:rowOff>
        </xdr:from>
        <xdr:to>
          <xdr:col>2</xdr:col>
          <xdr:colOff>342900</xdr:colOff>
          <xdr:row>65</xdr:row>
          <xdr:rowOff>47625</xdr:rowOff>
        </xdr:to>
        <xdr:sp macro="" textlink="">
          <xdr:nvSpPr>
            <xdr:cNvPr id="64721" name="Check Box 209" hidden="1">
              <a:extLst>
                <a:ext uri="{63B3BB69-23CF-44E3-9099-C40C66FF867C}">
                  <a14:compatExt spid="_x0000_s64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64</xdr:row>
          <xdr:rowOff>152400</xdr:rowOff>
        </xdr:from>
        <xdr:to>
          <xdr:col>2</xdr:col>
          <xdr:colOff>381000</xdr:colOff>
          <xdr:row>66</xdr:row>
          <xdr:rowOff>19050</xdr:rowOff>
        </xdr:to>
        <xdr:sp macro="" textlink="">
          <xdr:nvSpPr>
            <xdr:cNvPr id="64722" name="Check Box 210" hidden="1">
              <a:extLst>
                <a:ext uri="{63B3BB69-23CF-44E3-9099-C40C66FF867C}">
                  <a14:compatExt spid="_x0000_s64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171450</xdr:rowOff>
        </xdr:from>
        <xdr:to>
          <xdr:col>2</xdr:col>
          <xdr:colOff>342900</xdr:colOff>
          <xdr:row>81</xdr:row>
          <xdr:rowOff>9525</xdr:rowOff>
        </xdr:to>
        <xdr:sp macro="" textlink="">
          <xdr:nvSpPr>
            <xdr:cNvPr id="64723" name="Check Box 211" hidden="1">
              <a:extLst>
                <a:ext uri="{63B3BB69-23CF-44E3-9099-C40C66FF867C}">
                  <a14:compatExt spid="_x0000_s64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90</xdr:row>
          <xdr:rowOff>180975</xdr:rowOff>
        </xdr:from>
        <xdr:to>
          <xdr:col>2</xdr:col>
          <xdr:colOff>342900</xdr:colOff>
          <xdr:row>92</xdr:row>
          <xdr:rowOff>19050</xdr:rowOff>
        </xdr:to>
        <xdr:sp macro="" textlink="">
          <xdr:nvSpPr>
            <xdr:cNvPr id="64724" name="Check Box 212" hidden="1">
              <a:extLst>
                <a:ext uri="{63B3BB69-23CF-44E3-9099-C40C66FF867C}">
                  <a14:compatExt spid="_x0000_s64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70</xdr:row>
          <xdr:rowOff>142875</xdr:rowOff>
        </xdr:from>
        <xdr:to>
          <xdr:col>2</xdr:col>
          <xdr:colOff>342900</xdr:colOff>
          <xdr:row>72</xdr:row>
          <xdr:rowOff>47625</xdr:rowOff>
        </xdr:to>
        <xdr:sp macro="" textlink="">
          <xdr:nvSpPr>
            <xdr:cNvPr id="64725" name="Check Box 213" hidden="1">
              <a:extLst>
                <a:ext uri="{63B3BB69-23CF-44E3-9099-C40C66FF867C}">
                  <a14:compatExt spid="_x0000_s64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71</xdr:row>
          <xdr:rowOff>142875</xdr:rowOff>
        </xdr:from>
        <xdr:to>
          <xdr:col>2</xdr:col>
          <xdr:colOff>342900</xdr:colOff>
          <xdr:row>73</xdr:row>
          <xdr:rowOff>47625</xdr:rowOff>
        </xdr:to>
        <xdr:sp macro="" textlink="">
          <xdr:nvSpPr>
            <xdr:cNvPr id="64726" name="Check Box 214" hidden="1">
              <a:extLst>
                <a:ext uri="{63B3BB69-23CF-44E3-9099-C40C66FF867C}">
                  <a14:compatExt spid="_x0000_s64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72</xdr:row>
          <xdr:rowOff>142875</xdr:rowOff>
        </xdr:from>
        <xdr:to>
          <xdr:col>2</xdr:col>
          <xdr:colOff>342900</xdr:colOff>
          <xdr:row>74</xdr:row>
          <xdr:rowOff>47625</xdr:rowOff>
        </xdr:to>
        <xdr:sp macro="" textlink="">
          <xdr:nvSpPr>
            <xdr:cNvPr id="64727" name="Check Box 215" hidden="1">
              <a:extLst>
                <a:ext uri="{63B3BB69-23CF-44E3-9099-C40C66FF867C}">
                  <a14:compatExt spid="_x0000_s64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161925</xdr:rowOff>
        </xdr:from>
        <xdr:to>
          <xdr:col>2</xdr:col>
          <xdr:colOff>342900</xdr:colOff>
          <xdr:row>79</xdr:row>
          <xdr:rowOff>0</xdr:rowOff>
        </xdr:to>
        <xdr:sp macro="" textlink="">
          <xdr:nvSpPr>
            <xdr:cNvPr id="64728" name="Check Box 216" hidden="1">
              <a:extLst>
                <a:ext uri="{63B3BB69-23CF-44E3-9099-C40C66FF867C}">
                  <a14:compatExt spid="_x0000_s64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78</xdr:row>
          <xdr:rowOff>180975</xdr:rowOff>
        </xdr:from>
        <xdr:to>
          <xdr:col>2</xdr:col>
          <xdr:colOff>342900</xdr:colOff>
          <xdr:row>80</xdr:row>
          <xdr:rowOff>19050</xdr:rowOff>
        </xdr:to>
        <xdr:sp macro="" textlink="">
          <xdr:nvSpPr>
            <xdr:cNvPr id="64729" name="Check Box 217" hidden="1">
              <a:extLst>
                <a:ext uri="{63B3BB69-23CF-44E3-9099-C40C66FF867C}">
                  <a14:compatExt spid="_x0000_s64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81</xdr:row>
          <xdr:rowOff>142875</xdr:rowOff>
        </xdr:from>
        <xdr:to>
          <xdr:col>2</xdr:col>
          <xdr:colOff>342900</xdr:colOff>
          <xdr:row>83</xdr:row>
          <xdr:rowOff>47625</xdr:rowOff>
        </xdr:to>
        <xdr:sp macro="" textlink="">
          <xdr:nvSpPr>
            <xdr:cNvPr id="64730" name="Check Box 218" hidden="1">
              <a:extLst>
                <a:ext uri="{63B3BB69-23CF-44E3-9099-C40C66FF867C}">
                  <a14:compatExt spid="_x0000_s64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82</xdr:row>
          <xdr:rowOff>133350</xdr:rowOff>
        </xdr:from>
        <xdr:to>
          <xdr:col>2</xdr:col>
          <xdr:colOff>342900</xdr:colOff>
          <xdr:row>84</xdr:row>
          <xdr:rowOff>47625</xdr:rowOff>
        </xdr:to>
        <xdr:sp macro="" textlink="">
          <xdr:nvSpPr>
            <xdr:cNvPr id="64731" name="Check Box 219" hidden="1">
              <a:extLst>
                <a:ext uri="{63B3BB69-23CF-44E3-9099-C40C66FF867C}">
                  <a14:compatExt spid="_x0000_s64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83</xdr:row>
          <xdr:rowOff>142875</xdr:rowOff>
        </xdr:from>
        <xdr:to>
          <xdr:col>2</xdr:col>
          <xdr:colOff>342900</xdr:colOff>
          <xdr:row>85</xdr:row>
          <xdr:rowOff>47625</xdr:rowOff>
        </xdr:to>
        <xdr:sp macro="" textlink="">
          <xdr:nvSpPr>
            <xdr:cNvPr id="64732" name="Check Box 220" hidden="1">
              <a:extLst>
                <a:ext uri="{63B3BB69-23CF-44E3-9099-C40C66FF867C}">
                  <a14:compatExt spid="_x0000_s64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142875</xdr:rowOff>
        </xdr:from>
        <xdr:to>
          <xdr:col>2</xdr:col>
          <xdr:colOff>342900</xdr:colOff>
          <xdr:row>86</xdr:row>
          <xdr:rowOff>47625</xdr:rowOff>
        </xdr:to>
        <xdr:sp macro="" textlink="">
          <xdr:nvSpPr>
            <xdr:cNvPr id="64733" name="Check Box 221" hidden="1">
              <a:extLst>
                <a:ext uri="{63B3BB69-23CF-44E3-9099-C40C66FF867C}">
                  <a14:compatExt spid="_x0000_s64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142875</xdr:rowOff>
        </xdr:from>
        <xdr:to>
          <xdr:col>2</xdr:col>
          <xdr:colOff>342900</xdr:colOff>
          <xdr:row>87</xdr:row>
          <xdr:rowOff>47625</xdr:rowOff>
        </xdr:to>
        <xdr:sp macro="" textlink="">
          <xdr:nvSpPr>
            <xdr:cNvPr id="64734" name="Check Box 222" hidden="1">
              <a:extLst>
                <a:ext uri="{63B3BB69-23CF-44E3-9099-C40C66FF867C}">
                  <a14:compatExt spid="_x0000_s64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86</xdr:row>
          <xdr:rowOff>142875</xdr:rowOff>
        </xdr:from>
        <xdr:to>
          <xdr:col>2</xdr:col>
          <xdr:colOff>342900</xdr:colOff>
          <xdr:row>88</xdr:row>
          <xdr:rowOff>47625</xdr:rowOff>
        </xdr:to>
        <xdr:sp macro="" textlink="">
          <xdr:nvSpPr>
            <xdr:cNvPr id="64735" name="Check Box 223" hidden="1">
              <a:extLst>
                <a:ext uri="{63B3BB69-23CF-44E3-9099-C40C66FF867C}">
                  <a14:compatExt spid="_x0000_s64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87</xdr:row>
          <xdr:rowOff>142875</xdr:rowOff>
        </xdr:from>
        <xdr:to>
          <xdr:col>2</xdr:col>
          <xdr:colOff>342900</xdr:colOff>
          <xdr:row>89</xdr:row>
          <xdr:rowOff>47625</xdr:rowOff>
        </xdr:to>
        <xdr:sp macro="" textlink="">
          <xdr:nvSpPr>
            <xdr:cNvPr id="64736" name="Check Box 224" hidden="1">
              <a:extLst>
                <a:ext uri="{63B3BB69-23CF-44E3-9099-C40C66FF867C}">
                  <a14:compatExt spid="_x0000_s64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88</xdr:row>
          <xdr:rowOff>142875</xdr:rowOff>
        </xdr:from>
        <xdr:to>
          <xdr:col>2</xdr:col>
          <xdr:colOff>342900</xdr:colOff>
          <xdr:row>90</xdr:row>
          <xdr:rowOff>47625</xdr:rowOff>
        </xdr:to>
        <xdr:sp macro="" textlink="">
          <xdr:nvSpPr>
            <xdr:cNvPr id="64737" name="Check Box 225" hidden="1">
              <a:extLst>
                <a:ext uri="{63B3BB69-23CF-44E3-9099-C40C66FF867C}">
                  <a14:compatExt spid="_x0000_s64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73</xdr:row>
          <xdr:rowOff>142875</xdr:rowOff>
        </xdr:from>
        <xdr:to>
          <xdr:col>2</xdr:col>
          <xdr:colOff>342900</xdr:colOff>
          <xdr:row>75</xdr:row>
          <xdr:rowOff>47625</xdr:rowOff>
        </xdr:to>
        <xdr:sp macro="" textlink="">
          <xdr:nvSpPr>
            <xdr:cNvPr id="64738" name="Check Box 226" hidden="1">
              <a:extLst>
                <a:ext uri="{63B3BB69-23CF-44E3-9099-C40C66FF867C}">
                  <a14:compatExt spid="_x0000_s64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74</xdr:row>
          <xdr:rowOff>142875</xdr:rowOff>
        </xdr:from>
        <xdr:to>
          <xdr:col>2</xdr:col>
          <xdr:colOff>342900</xdr:colOff>
          <xdr:row>76</xdr:row>
          <xdr:rowOff>47625</xdr:rowOff>
        </xdr:to>
        <xdr:sp macro="" textlink="">
          <xdr:nvSpPr>
            <xdr:cNvPr id="64739" name="Check Box 227" hidden="1">
              <a:extLst>
                <a:ext uri="{63B3BB69-23CF-44E3-9099-C40C66FF867C}">
                  <a14:compatExt spid="_x0000_s64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75</xdr:row>
          <xdr:rowOff>142875</xdr:rowOff>
        </xdr:from>
        <xdr:to>
          <xdr:col>2</xdr:col>
          <xdr:colOff>381000</xdr:colOff>
          <xdr:row>77</xdr:row>
          <xdr:rowOff>19050</xdr:rowOff>
        </xdr:to>
        <xdr:sp macro="" textlink="">
          <xdr:nvSpPr>
            <xdr:cNvPr id="64740" name="Check Box 228" hidden="1">
              <a:extLst>
                <a:ext uri="{63B3BB69-23CF-44E3-9099-C40C66FF867C}">
                  <a14:compatExt spid="_x0000_s64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89</xdr:row>
          <xdr:rowOff>142875</xdr:rowOff>
        </xdr:from>
        <xdr:to>
          <xdr:col>2</xdr:col>
          <xdr:colOff>342900</xdr:colOff>
          <xdr:row>91</xdr:row>
          <xdr:rowOff>47625</xdr:rowOff>
        </xdr:to>
        <xdr:sp macro="" textlink="">
          <xdr:nvSpPr>
            <xdr:cNvPr id="64741" name="Check Box 229" hidden="1">
              <a:extLst>
                <a:ext uri="{63B3BB69-23CF-44E3-9099-C40C66FF867C}">
                  <a14:compatExt spid="_x0000_s64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92</xdr:row>
          <xdr:rowOff>133350</xdr:rowOff>
        </xdr:from>
        <xdr:to>
          <xdr:col>2</xdr:col>
          <xdr:colOff>342900</xdr:colOff>
          <xdr:row>94</xdr:row>
          <xdr:rowOff>38100</xdr:rowOff>
        </xdr:to>
        <xdr:sp macro="" textlink="">
          <xdr:nvSpPr>
            <xdr:cNvPr id="64742" name="Check Box 230" hidden="1">
              <a:extLst>
                <a:ext uri="{63B3BB69-23CF-44E3-9099-C40C66FF867C}">
                  <a14:compatExt spid="_x0000_s64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98</xdr:row>
          <xdr:rowOff>161925</xdr:rowOff>
        </xdr:from>
        <xdr:to>
          <xdr:col>2</xdr:col>
          <xdr:colOff>342900</xdr:colOff>
          <xdr:row>100</xdr:row>
          <xdr:rowOff>0</xdr:rowOff>
        </xdr:to>
        <xdr:sp macro="" textlink="">
          <xdr:nvSpPr>
            <xdr:cNvPr id="64743" name="Check Box 231" hidden="1">
              <a:extLst>
                <a:ext uri="{63B3BB69-23CF-44E3-9099-C40C66FF867C}">
                  <a14:compatExt spid="_x0000_s64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101</xdr:row>
          <xdr:rowOff>47625</xdr:rowOff>
        </xdr:from>
        <xdr:to>
          <xdr:col>2</xdr:col>
          <xdr:colOff>342900</xdr:colOff>
          <xdr:row>101</xdr:row>
          <xdr:rowOff>333375</xdr:rowOff>
        </xdr:to>
        <xdr:sp macro="" textlink="">
          <xdr:nvSpPr>
            <xdr:cNvPr id="64744" name="Check Box 232" hidden="1">
              <a:extLst>
                <a:ext uri="{63B3BB69-23CF-44E3-9099-C40C66FF867C}">
                  <a14:compatExt spid="_x0000_s64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102</xdr:row>
          <xdr:rowOff>9525</xdr:rowOff>
        </xdr:from>
        <xdr:to>
          <xdr:col>2</xdr:col>
          <xdr:colOff>342900</xdr:colOff>
          <xdr:row>102</xdr:row>
          <xdr:rowOff>152400</xdr:rowOff>
        </xdr:to>
        <xdr:sp macro="" textlink="">
          <xdr:nvSpPr>
            <xdr:cNvPr id="64745" name="Check Box 233" hidden="1">
              <a:extLst>
                <a:ext uri="{63B3BB69-23CF-44E3-9099-C40C66FF867C}">
                  <a14:compatExt spid="_x0000_s64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102</xdr:row>
          <xdr:rowOff>142875</xdr:rowOff>
        </xdr:from>
        <xdr:to>
          <xdr:col>2</xdr:col>
          <xdr:colOff>342900</xdr:colOff>
          <xdr:row>104</xdr:row>
          <xdr:rowOff>47625</xdr:rowOff>
        </xdr:to>
        <xdr:sp macro="" textlink="">
          <xdr:nvSpPr>
            <xdr:cNvPr id="64746" name="Check Box 234" hidden="1">
              <a:extLst>
                <a:ext uri="{63B3BB69-23CF-44E3-9099-C40C66FF867C}">
                  <a14:compatExt spid="_x0000_s64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228600</xdr:rowOff>
        </xdr:to>
        <xdr:sp macro="" textlink="">
          <xdr:nvSpPr>
            <xdr:cNvPr id="64756" name="Check Box 244" hidden="1">
              <a:extLst>
                <a:ext uri="{63B3BB69-23CF-44E3-9099-C40C66FF867C}">
                  <a14:compatExt spid="_x0000_s64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152400</xdr:rowOff>
        </xdr:to>
        <xdr:sp macro="" textlink="">
          <xdr:nvSpPr>
            <xdr:cNvPr id="64757" name="Check Box 245" hidden="1">
              <a:extLst>
                <a:ext uri="{63B3BB69-23CF-44E3-9099-C40C66FF867C}">
                  <a14:compatExt spid="_x0000_s64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209550</xdr:rowOff>
        </xdr:to>
        <xdr:sp macro="" textlink="">
          <xdr:nvSpPr>
            <xdr:cNvPr id="64758" name="Check Box 246" hidden="1">
              <a:extLst>
                <a:ext uri="{63B3BB69-23CF-44E3-9099-C40C66FF867C}">
                  <a14:compatExt spid="_x0000_s64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247650</xdr:rowOff>
        </xdr:to>
        <xdr:sp macro="" textlink="">
          <xdr:nvSpPr>
            <xdr:cNvPr id="64759" name="Check Box 247" hidden="1">
              <a:extLst>
                <a:ext uri="{63B3BB69-23CF-44E3-9099-C40C66FF867C}">
                  <a14:compatExt spid="_x0000_s64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266700</xdr:rowOff>
        </xdr:to>
        <xdr:sp macro="" textlink="">
          <xdr:nvSpPr>
            <xdr:cNvPr id="64760" name="Check Box 248" hidden="1">
              <a:extLst>
                <a:ext uri="{63B3BB69-23CF-44E3-9099-C40C66FF867C}">
                  <a14:compatExt spid="_x0000_s64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228600</xdr:rowOff>
        </xdr:to>
        <xdr:sp macro="" textlink="">
          <xdr:nvSpPr>
            <xdr:cNvPr id="64761" name="Check Box 249" hidden="1">
              <a:extLst>
                <a:ext uri="{63B3BB69-23CF-44E3-9099-C40C66FF867C}">
                  <a14:compatExt spid="_x0000_s64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142875</xdr:rowOff>
        </xdr:to>
        <xdr:sp macro="" textlink="">
          <xdr:nvSpPr>
            <xdr:cNvPr id="64762" name="Check Box 250" hidden="1">
              <a:extLst>
                <a:ext uri="{63B3BB69-23CF-44E3-9099-C40C66FF867C}">
                  <a14:compatExt spid="_x0000_s64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63" name="Check Box 251" hidden="1">
              <a:extLst>
                <a:ext uri="{63B3BB69-23CF-44E3-9099-C40C66FF867C}">
                  <a14:compatExt spid="_x0000_s64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123825</xdr:rowOff>
        </xdr:to>
        <xdr:sp macro="" textlink="">
          <xdr:nvSpPr>
            <xdr:cNvPr id="64764" name="Check Box 252" hidden="1">
              <a:extLst>
                <a:ext uri="{63B3BB69-23CF-44E3-9099-C40C66FF867C}">
                  <a14:compatExt spid="_x0000_s64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285750</xdr:rowOff>
        </xdr:to>
        <xdr:sp macro="" textlink="">
          <xdr:nvSpPr>
            <xdr:cNvPr id="64765" name="Check Box 253" hidden="1">
              <a:extLst>
                <a:ext uri="{63B3BB69-23CF-44E3-9099-C40C66FF867C}">
                  <a14:compatExt spid="_x0000_s64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133350</xdr:rowOff>
        </xdr:to>
        <xdr:sp macro="" textlink="">
          <xdr:nvSpPr>
            <xdr:cNvPr id="64766" name="Check Box 254" hidden="1">
              <a:extLst>
                <a:ext uri="{63B3BB69-23CF-44E3-9099-C40C66FF867C}">
                  <a14:compatExt spid="_x0000_s64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200025</xdr:rowOff>
        </xdr:to>
        <xdr:sp macro="" textlink="">
          <xdr:nvSpPr>
            <xdr:cNvPr id="64767" name="Check Box 255" hidden="1">
              <a:extLst>
                <a:ext uri="{63B3BB69-23CF-44E3-9099-C40C66FF867C}">
                  <a14:compatExt spid="_x0000_s64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295275</xdr:rowOff>
        </xdr:to>
        <xdr:sp macro="" textlink="">
          <xdr:nvSpPr>
            <xdr:cNvPr id="64768" name="Check Box 256" hidden="1">
              <a:extLst>
                <a:ext uri="{63B3BB69-23CF-44E3-9099-C40C66FF867C}">
                  <a14:compatExt spid="_x0000_s64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285750</xdr:rowOff>
        </xdr:to>
        <xdr:sp macro="" textlink="">
          <xdr:nvSpPr>
            <xdr:cNvPr id="64769" name="Check Box 257" hidden="1">
              <a:extLst>
                <a:ext uri="{63B3BB69-23CF-44E3-9099-C40C66FF867C}">
                  <a14:compatExt spid="_x0000_s64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70" name="Check Box 258" hidden="1">
              <a:extLst>
                <a:ext uri="{63B3BB69-23CF-44E3-9099-C40C66FF867C}">
                  <a14:compatExt spid="_x0000_s64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71" name="Check Box 259" hidden="1">
              <a:extLst>
                <a:ext uri="{63B3BB69-23CF-44E3-9099-C40C66FF867C}">
                  <a14:compatExt spid="_x0000_s64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72" name="Check Box 260" hidden="1">
              <a:extLst>
                <a:ext uri="{63B3BB69-23CF-44E3-9099-C40C66FF867C}">
                  <a14:compatExt spid="_x0000_s64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200025</xdr:rowOff>
        </xdr:to>
        <xdr:sp macro="" textlink="">
          <xdr:nvSpPr>
            <xdr:cNvPr id="64773" name="Check Box 261" hidden="1">
              <a:extLst>
                <a:ext uri="{63B3BB69-23CF-44E3-9099-C40C66FF867C}">
                  <a14:compatExt spid="_x0000_s64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285750</xdr:rowOff>
        </xdr:to>
        <xdr:sp macro="" textlink="">
          <xdr:nvSpPr>
            <xdr:cNvPr id="64774" name="Check Box 262" hidden="1">
              <a:extLst>
                <a:ext uri="{63B3BB69-23CF-44E3-9099-C40C66FF867C}">
                  <a14:compatExt spid="_x0000_s64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285750</xdr:rowOff>
        </xdr:to>
        <xdr:sp macro="" textlink="">
          <xdr:nvSpPr>
            <xdr:cNvPr id="64775" name="Check Box 263" hidden="1">
              <a:extLst>
                <a:ext uri="{63B3BB69-23CF-44E3-9099-C40C66FF867C}">
                  <a14:compatExt spid="_x0000_s64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304800</xdr:rowOff>
        </xdr:to>
        <xdr:sp macro="" textlink="">
          <xdr:nvSpPr>
            <xdr:cNvPr id="64776" name="Check Box 264" hidden="1">
              <a:extLst>
                <a:ext uri="{63B3BB69-23CF-44E3-9099-C40C66FF867C}">
                  <a14:compatExt spid="_x0000_s64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77" name="Check Box 265" hidden="1">
              <a:extLst>
                <a:ext uri="{63B3BB69-23CF-44E3-9099-C40C66FF867C}">
                  <a14:compatExt spid="_x0000_s64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209550</xdr:rowOff>
        </xdr:to>
        <xdr:sp macro="" textlink="">
          <xdr:nvSpPr>
            <xdr:cNvPr id="64778" name="Check Box 266" hidden="1">
              <a:extLst>
                <a:ext uri="{63B3BB69-23CF-44E3-9099-C40C66FF867C}">
                  <a14:compatExt spid="_x0000_s64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79" name="Check Box 267" hidden="1">
              <a:extLst>
                <a:ext uri="{63B3BB69-23CF-44E3-9099-C40C66FF867C}">
                  <a14:compatExt spid="_x0000_s64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80" name="Check Box 268" hidden="1">
              <a:extLst>
                <a:ext uri="{63B3BB69-23CF-44E3-9099-C40C66FF867C}">
                  <a14:compatExt spid="_x0000_s64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285750</xdr:rowOff>
        </xdr:to>
        <xdr:sp macro="" textlink="">
          <xdr:nvSpPr>
            <xdr:cNvPr id="64781" name="Check Box 269" hidden="1">
              <a:extLst>
                <a:ext uri="{63B3BB69-23CF-44E3-9099-C40C66FF867C}">
                  <a14:compatExt spid="_x0000_s64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285750</xdr:rowOff>
        </xdr:to>
        <xdr:sp macro="" textlink="">
          <xdr:nvSpPr>
            <xdr:cNvPr id="64782" name="Check Box 270" hidden="1">
              <a:extLst>
                <a:ext uri="{63B3BB69-23CF-44E3-9099-C40C66FF867C}">
                  <a14:compatExt spid="_x0000_s64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266700</xdr:colOff>
          <xdr:row>327</xdr:row>
          <xdr:rowOff>209550</xdr:rowOff>
        </xdr:to>
        <xdr:sp macro="" textlink="">
          <xdr:nvSpPr>
            <xdr:cNvPr id="64783" name="Check Box 271" hidden="1">
              <a:extLst>
                <a:ext uri="{63B3BB69-23CF-44E3-9099-C40C66FF867C}">
                  <a14:compatExt spid="_x0000_s64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285750</xdr:rowOff>
        </xdr:to>
        <xdr:sp macro="" textlink="">
          <xdr:nvSpPr>
            <xdr:cNvPr id="64784" name="Check Box 272" hidden="1">
              <a:extLst>
                <a:ext uri="{63B3BB69-23CF-44E3-9099-C40C66FF867C}">
                  <a14:compatExt spid="_x0000_s64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85" name="Check Box 273" hidden="1">
              <a:extLst>
                <a:ext uri="{63B3BB69-23CF-44E3-9099-C40C66FF867C}">
                  <a14:compatExt spid="_x0000_s64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86" name="Check Box 274" hidden="1">
              <a:extLst>
                <a:ext uri="{63B3BB69-23CF-44E3-9099-C40C66FF867C}">
                  <a14:compatExt spid="_x0000_s64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142875</xdr:rowOff>
        </xdr:to>
        <xdr:sp macro="" textlink="">
          <xdr:nvSpPr>
            <xdr:cNvPr id="64787" name="Check Box 275" hidden="1">
              <a:extLst>
                <a:ext uri="{63B3BB69-23CF-44E3-9099-C40C66FF867C}">
                  <a14:compatExt spid="_x0000_s64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228600</xdr:rowOff>
        </xdr:to>
        <xdr:sp macro="" textlink="">
          <xdr:nvSpPr>
            <xdr:cNvPr id="64788" name="Check Box 276" hidden="1">
              <a:extLst>
                <a:ext uri="{63B3BB69-23CF-44E3-9099-C40C66FF867C}">
                  <a14:compatExt spid="_x0000_s64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89" name="Check Box 277" hidden="1">
              <a:extLst>
                <a:ext uri="{63B3BB69-23CF-44E3-9099-C40C66FF867C}">
                  <a14:compatExt spid="_x0000_s64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90" name="Check Box 278" hidden="1">
              <a:extLst>
                <a:ext uri="{63B3BB69-23CF-44E3-9099-C40C66FF867C}">
                  <a14:compatExt spid="_x0000_s64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91" name="Check Box 279" hidden="1">
              <a:extLst>
                <a:ext uri="{63B3BB69-23CF-44E3-9099-C40C66FF867C}">
                  <a14:compatExt spid="_x0000_s6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76200</xdr:rowOff>
        </xdr:to>
        <xdr:sp macro="" textlink="">
          <xdr:nvSpPr>
            <xdr:cNvPr id="64792" name="Check Box 280" hidden="1">
              <a:extLst>
                <a:ext uri="{63B3BB69-23CF-44E3-9099-C40C66FF867C}">
                  <a14:compatExt spid="_x0000_s64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2</xdr:col>
          <xdr:colOff>342900</xdr:colOff>
          <xdr:row>327</xdr:row>
          <xdr:rowOff>219075</xdr:rowOff>
        </xdr:to>
        <xdr:sp macro="" textlink="">
          <xdr:nvSpPr>
            <xdr:cNvPr id="64793" name="Check Box 281" hidden="1">
              <a:extLst>
                <a:ext uri="{63B3BB69-23CF-44E3-9099-C40C66FF867C}">
                  <a14:compatExt spid="_x0000_s64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41</xdr:row>
          <xdr:rowOff>180975</xdr:rowOff>
        </xdr:from>
        <xdr:to>
          <xdr:col>2</xdr:col>
          <xdr:colOff>342900</xdr:colOff>
          <xdr:row>43</xdr:row>
          <xdr:rowOff>19050</xdr:rowOff>
        </xdr:to>
        <xdr:sp macro="" textlink="">
          <xdr:nvSpPr>
            <xdr:cNvPr id="64810" name="Check Box 298" hidden="1">
              <a:extLst>
                <a:ext uri="{63B3BB69-23CF-44E3-9099-C40C66FF867C}">
                  <a14:compatExt spid="_x0000_s64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42</xdr:row>
          <xdr:rowOff>352425</xdr:rowOff>
        </xdr:from>
        <xdr:to>
          <xdr:col>2</xdr:col>
          <xdr:colOff>400050</xdr:colOff>
          <xdr:row>44</xdr:row>
          <xdr:rowOff>0</xdr:rowOff>
        </xdr:to>
        <xdr:sp macro="" textlink="">
          <xdr:nvSpPr>
            <xdr:cNvPr id="64811" name="Check Box 299" hidden="1">
              <a:extLst>
                <a:ext uri="{63B3BB69-23CF-44E3-9099-C40C66FF867C}">
                  <a14:compatExt spid="_x0000_s64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xdr:row>
          <xdr:rowOff>171450</xdr:rowOff>
        </xdr:from>
        <xdr:to>
          <xdr:col>2</xdr:col>
          <xdr:colOff>342900</xdr:colOff>
          <xdr:row>40</xdr:row>
          <xdr:rowOff>0</xdr:rowOff>
        </xdr:to>
        <xdr:sp macro="" textlink="">
          <xdr:nvSpPr>
            <xdr:cNvPr id="64812" name="Check Box 300" hidden="1">
              <a:extLst>
                <a:ext uri="{63B3BB69-23CF-44E3-9099-C40C66FF867C}">
                  <a14:compatExt spid="_x0000_s64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xdr:row>
          <xdr:rowOff>161925</xdr:rowOff>
        </xdr:from>
        <xdr:to>
          <xdr:col>2</xdr:col>
          <xdr:colOff>342900</xdr:colOff>
          <xdr:row>45</xdr:row>
          <xdr:rowOff>180975</xdr:rowOff>
        </xdr:to>
        <xdr:sp macro="" textlink="">
          <xdr:nvSpPr>
            <xdr:cNvPr id="64813" name="Check Box 301" hidden="1">
              <a:extLst>
                <a:ext uri="{63B3BB69-23CF-44E3-9099-C40C66FF867C}">
                  <a14:compatExt spid="_x0000_s64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xdr:row>
          <xdr:rowOff>66675</xdr:rowOff>
        </xdr:from>
        <xdr:to>
          <xdr:col>2</xdr:col>
          <xdr:colOff>342900</xdr:colOff>
          <xdr:row>46</xdr:row>
          <xdr:rowOff>285750</xdr:rowOff>
        </xdr:to>
        <xdr:sp macro="" textlink="">
          <xdr:nvSpPr>
            <xdr:cNvPr id="64814" name="Check Box 302" hidden="1">
              <a:extLst>
                <a:ext uri="{63B3BB69-23CF-44E3-9099-C40C66FF867C}">
                  <a14:compatExt spid="_x0000_s64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xdr:row>
          <xdr:rowOff>361950</xdr:rowOff>
        </xdr:from>
        <xdr:to>
          <xdr:col>2</xdr:col>
          <xdr:colOff>342900</xdr:colOff>
          <xdr:row>48</xdr:row>
          <xdr:rowOff>0</xdr:rowOff>
        </xdr:to>
        <xdr:sp macro="" textlink="">
          <xdr:nvSpPr>
            <xdr:cNvPr id="64815" name="Check Box 303" hidden="1">
              <a:extLst>
                <a:ext uri="{63B3BB69-23CF-44E3-9099-C40C66FF867C}">
                  <a14:compatExt spid="_x0000_s64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48</xdr:row>
          <xdr:rowOff>171450</xdr:rowOff>
        </xdr:from>
        <xdr:to>
          <xdr:col>2</xdr:col>
          <xdr:colOff>342900</xdr:colOff>
          <xdr:row>49</xdr:row>
          <xdr:rowOff>200025</xdr:rowOff>
        </xdr:to>
        <xdr:sp macro="" textlink="">
          <xdr:nvSpPr>
            <xdr:cNvPr id="64816" name="Check Box 304" hidden="1">
              <a:extLst>
                <a:ext uri="{63B3BB69-23CF-44E3-9099-C40C66FF867C}">
                  <a14:compatExt spid="_x0000_s64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49</xdr:row>
          <xdr:rowOff>190500</xdr:rowOff>
        </xdr:from>
        <xdr:to>
          <xdr:col>2</xdr:col>
          <xdr:colOff>342900</xdr:colOff>
          <xdr:row>50</xdr:row>
          <xdr:rowOff>200025</xdr:rowOff>
        </xdr:to>
        <xdr:sp macro="" textlink="">
          <xdr:nvSpPr>
            <xdr:cNvPr id="64817" name="Check Box 305" hidden="1">
              <a:extLst>
                <a:ext uri="{63B3BB69-23CF-44E3-9099-C40C66FF867C}">
                  <a14:compatExt spid="_x0000_s64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39</xdr:row>
          <xdr:rowOff>180975</xdr:rowOff>
        </xdr:from>
        <xdr:to>
          <xdr:col>2</xdr:col>
          <xdr:colOff>342900</xdr:colOff>
          <xdr:row>40</xdr:row>
          <xdr:rowOff>200025</xdr:rowOff>
        </xdr:to>
        <xdr:sp macro="" textlink="">
          <xdr:nvSpPr>
            <xdr:cNvPr id="64818" name="Check Box 306" hidden="1">
              <a:extLst>
                <a:ext uri="{63B3BB69-23CF-44E3-9099-C40C66FF867C}">
                  <a14:compatExt spid="_x0000_s64818"/>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9</xdr:col>
      <xdr:colOff>466354</xdr:colOff>
      <xdr:row>19</xdr:row>
      <xdr:rowOff>35129</xdr:rowOff>
    </xdr:from>
    <xdr:to>
      <xdr:col>22</xdr:col>
      <xdr:colOff>536863</xdr:colOff>
      <xdr:row>36</xdr:row>
      <xdr:rowOff>136071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55</xdr:row>
      <xdr:rowOff>133350</xdr:rowOff>
    </xdr:from>
    <xdr:to>
      <xdr:col>22</xdr:col>
      <xdr:colOff>547006</xdr:colOff>
      <xdr:row>70</xdr:row>
      <xdr:rowOff>78996</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464343</xdr:colOff>
      <xdr:row>148</xdr:row>
      <xdr:rowOff>153699</xdr:rowOff>
    </xdr:from>
    <xdr:to>
      <xdr:col>22</xdr:col>
      <xdr:colOff>537017</xdr:colOff>
      <xdr:row>166</xdr:row>
      <xdr:rowOff>269711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337705</xdr:colOff>
      <xdr:row>199</xdr:row>
      <xdr:rowOff>329043</xdr:rowOff>
    </xdr:from>
    <xdr:to>
      <xdr:col>22</xdr:col>
      <xdr:colOff>415142</xdr:colOff>
      <xdr:row>217</xdr:row>
      <xdr:rowOff>285750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342900</xdr:colOff>
      <xdr:row>226</xdr:row>
      <xdr:rowOff>142875</xdr:rowOff>
    </xdr:from>
    <xdr:to>
      <xdr:col>22</xdr:col>
      <xdr:colOff>438150</xdr:colOff>
      <xdr:row>247</xdr:row>
      <xdr:rowOff>116012</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1362</xdr:colOff>
      <xdr:row>175</xdr:row>
      <xdr:rowOff>82300</xdr:rowOff>
    </xdr:from>
    <xdr:to>
      <xdr:col>22</xdr:col>
      <xdr:colOff>544286</xdr:colOff>
      <xdr:row>192</xdr:row>
      <xdr:rowOff>278407</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333375</xdr:colOff>
      <xdr:row>258</xdr:row>
      <xdr:rowOff>90921</xdr:rowOff>
    </xdr:from>
    <xdr:to>
      <xdr:col>22</xdr:col>
      <xdr:colOff>423862</xdr:colOff>
      <xdr:row>273</xdr:row>
      <xdr:rowOff>343314</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434687</xdr:colOff>
      <xdr:row>87</xdr:row>
      <xdr:rowOff>318220</xdr:rowOff>
    </xdr:from>
    <xdr:to>
      <xdr:col>22</xdr:col>
      <xdr:colOff>505196</xdr:colOff>
      <xdr:row>102</xdr:row>
      <xdr:rowOff>51936</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434687</xdr:colOff>
      <xdr:row>74</xdr:row>
      <xdr:rowOff>56282</xdr:rowOff>
    </xdr:from>
    <xdr:to>
      <xdr:col>22</xdr:col>
      <xdr:colOff>505196</xdr:colOff>
      <xdr:row>87</xdr:row>
      <xdr:rowOff>365828</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434687</xdr:colOff>
      <xdr:row>101</xdr:row>
      <xdr:rowOff>187181</xdr:rowOff>
    </xdr:from>
    <xdr:to>
      <xdr:col>22</xdr:col>
      <xdr:colOff>505196</xdr:colOff>
      <xdr:row>114</xdr:row>
      <xdr:rowOff>174625</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368300</xdr:colOff>
      <xdr:row>120</xdr:row>
      <xdr:rowOff>155862</xdr:rowOff>
    </xdr:from>
    <xdr:to>
      <xdr:col>22</xdr:col>
      <xdr:colOff>466725</xdr:colOff>
      <xdr:row>139</xdr:row>
      <xdr:rowOff>74455</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19</xdr:col>
      <xdr:colOff>14572</xdr:colOff>
      <xdr:row>1</xdr:row>
      <xdr:rowOff>182336</xdr:rowOff>
    </xdr:from>
    <xdr:to>
      <xdr:col>23</xdr:col>
      <xdr:colOff>52</xdr:colOff>
      <xdr:row>2</xdr:row>
      <xdr:rowOff>68829</xdr:rowOff>
    </xdr:to>
    <xdr:pic>
      <xdr:nvPicPr>
        <xdr:cNvPr id="19" name="Picture 18"/>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5431465" y="263979"/>
          <a:ext cx="2451775" cy="512421"/>
        </a:xfrm>
        <a:prstGeom prst="rect">
          <a:avLst/>
        </a:prstGeom>
        <a:noFill/>
        <a:ln w="9525">
          <a:noFill/>
          <a:miter lim="800000"/>
          <a:headEnd/>
          <a:tailEnd/>
        </a:ln>
      </xdr:spPr>
    </xdr:pic>
    <xdr:clientData/>
  </xdr:twoCellAnchor>
  <xdr:twoCellAnchor editAs="oneCell">
    <xdr:from>
      <xdr:col>5</xdr:col>
      <xdr:colOff>2061983</xdr:colOff>
      <xdr:row>12</xdr:row>
      <xdr:rowOff>93450</xdr:rowOff>
    </xdr:from>
    <xdr:to>
      <xdr:col>5</xdr:col>
      <xdr:colOff>3859025</xdr:colOff>
      <xdr:row>12</xdr:row>
      <xdr:rowOff>363191</xdr:rowOff>
    </xdr:to>
    <xdr:pic>
      <xdr:nvPicPr>
        <xdr:cNvPr id="29" name="Picture 28"/>
        <xdr:cNvPicPr>
          <a:picLocks noChangeAspect="1" noChangeArrowheads="1"/>
        </xdr:cNvPicPr>
      </xdr:nvPicPr>
      <xdr:blipFill>
        <a:blip xmlns:r="http://schemas.openxmlformats.org/officeDocument/2006/relationships" r:embed="rId13" cstate="print"/>
        <a:srcRect/>
        <a:stretch>
          <a:fillRect/>
        </a:stretch>
      </xdr:blipFill>
      <xdr:spPr bwMode="auto">
        <a:xfrm>
          <a:off x="4783412" y="5128093"/>
          <a:ext cx="1797042" cy="279345"/>
        </a:xfrm>
        <a:prstGeom prst="rect">
          <a:avLst/>
        </a:prstGeom>
        <a:noFill/>
        <a:ln w="9525">
          <a:noFill/>
          <a:miter lim="800000"/>
          <a:headEnd/>
          <a:tailEnd/>
        </a:ln>
        <a:effectLst/>
      </xdr:spPr>
    </xdr:pic>
    <xdr:clientData/>
  </xdr:twoCellAnchor>
  <xdr:twoCellAnchor editAs="oneCell">
    <xdr:from>
      <xdr:col>5</xdr:col>
      <xdr:colOff>3238500</xdr:colOff>
      <xdr:row>10</xdr:row>
      <xdr:rowOff>82641</xdr:rowOff>
    </xdr:from>
    <xdr:to>
      <xdr:col>5</xdr:col>
      <xdr:colOff>3828207</xdr:colOff>
      <xdr:row>10</xdr:row>
      <xdr:rowOff>359488</xdr:rowOff>
    </xdr:to>
    <xdr:pic>
      <xdr:nvPicPr>
        <xdr:cNvPr id="41" name="Picture 40" descr="C:\Documents and Settings\user\Desktop\Picture11.png"/>
        <xdr:cNvPicPr>
          <a:picLocks noChangeAspect="1" noChangeArrowheads="1"/>
        </xdr:cNvPicPr>
      </xdr:nvPicPr>
      <xdr:blipFill>
        <a:blip xmlns:r="http://schemas.openxmlformats.org/officeDocument/2006/relationships" r:embed="rId14" cstate="print"/>
        <a:srcRect r="11275"/>
        <a:stretch>
          <a:fillRect/>
        </a:stretch>
      </xdr:blipFill>
      <xdr:spPr bwMode="auto">
        <a:xfrm>
          <a:off x="5950324" y="4206406"/>
          <a:ext cx="589707" cy="286451"/>
        </a:xfrm>
        <a:prstGeom prst="rect">
          <a:avLst/>
        </a:prstGeom>
        <a:noFill/>
      </xdr:spPr>
    </xdr:pic>
    <xdr:clientData/>
  </xdr:twoCellAnchor>
  <xdr:twoCellAnchor>
    <xdr:from>
      <xdr:col>9</xdr:col>
      <xdr:colOff>466354</xdr:colOff>
      <xdr:row>39</xdr:row>
      <xdr:rowOff>25975</xdr:rowOff>
    </xdr:from>
    <xdr:to>
      <xdr:col>22</xdr:col>
      <xdr:colOff>544285</xdr:colOff>
      <xdr:row>50</xdr:row>
      <xdr:rowOff>276050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2238373</xdr:colOff>
      <xdr:row>11</xdr:row>
      <xdr:rowOff>178593</xdr:rowOff>
    </xdr:from>
    <xdr:to>
      <xdr:col>5</xdr:col>
      <xdr:colOff>2973118</xdr:colOff>
      <xdr:row>11</xdr:row>
      <xdr:rowOff>388905</xdr:rowOff>
    </xdr:to>
    <xdr:pic>
      <xdr:nvPicPr>
        <xdr:cNvPr id="21" name="Picture 20" descr="C:\Users\admin\Desktop\Picture1.png"/>
        <xdr:cNvPicPr>
          <a:picLocks noChangeAspect="1" noChangeArrowheads="1"/>
        </xdr:cNvPicPr>
      </xdr:nvPicPr>
      <xdr:blipFill>
        <a:blip xmlns:r="http://schemas.openxmlformats.org/officeDocument/2006/relationships" r:embed="rId16"/>
        <a:srcRect l="3661" t="11510"/>
        <a:stretch>
          <a:fillRect/>
        </a:stretch>
      </xdr:blipFill>
      <xdr:spPr bwMode="auto">
        <a:xfrm>
          <a:off x="4952998" y="4762499"/>
          <a:ext cx="734745" cy="210312"/>
        </a:xfrm>
        <a:prstGeom prst="rect">
          <a:avLst/>
        </a:prstGeom>
        <a:noFill/>
        <a:ln>
          <a:solidFill>
            <a:sysClr val="windowText" lastClr="000000"/>
          </a:solidFill>
        </a:ln>
      </xdr:spPr>
    </xdr:pic>
    <xdr:clientData/>
  </xdr:twoCellAnchor>
  <xdr:twoCellAnchor editAs="oneCell">
    <xdr:from>
      <xdr:col>5</xdr:col>
      <xdr:colOff>3167063</xdr:colOff>
      <xdr:row>11</xdr:row>
      <xdr:rowOff>190498</xdr:rowOff>
    </xdr:from>
    <xdr:to>
      <xdr:col>5</xdr:col>
      <xdr:colOff>3958035</xdr:colOff>
      <xdr:row>11</xdr:row>
      <xdr:rowOff>400810</xdr:rowOff>
    </xdr:to>
    <xdr:pic>
      <xdr:nvPicPr>
        <xdr:cNvPr id="24" name="Picture 23" descr="C:\Users\admin\Desktop\Picture2.png"/>
        <xdr:cNvPicPr>
          <a:picLocks noChangeAspect="1" noChangeArrowheads="1"/>
        </xdr:cNvPicPr>
      </xdr:nvPicPr>
      <xdr:blipFill>
        <a:blip xmlns:r="http://schemas.openxmlformats.org/officeDocument/2006/relationships" r:embed="rId17"/>
        <a:srcRect l="3217" t="11068" b="5923"/>
        <a:stretch>
          <a:fillRect/>
        </a:stretch>
      </xdr:blipFill>
      <xdr:spPr bwMode="auto">
        <a:xfrm>
          <a:off x="5881688" y="4774404"/>
          <a:ext cx="790972" cy="210312"/>
        </a:xfrm>
        <a:prstGeom prst="rect">
          <a:avLst/>
        </a:prstGeom>
        <a:noFill/>
        <a:ln>
          <a:solidFill>
            <a:sysClr val="windowText" lastClr="000000"/>
          </a:solidFill>
        </a:ln>
      </xdr:spPr>
    </xdr:pic>
    <xdr:clientData/>
  </xdr:twoCellAnchor>
  <xdr:twoCellAnchor editAs="oneCell">
    <xdr:from>
      <xdr:col>5</xdr:col>
      <xdr:colOff>2762250</xdr:colOff>
      <xdr:row>11</xdr:row>
      <xdr:rowOff>571497</xdr:rowOff>
    </xdr:from>
    <xdr:to>
      <xdr:col>5</xdr:col>
      <xdr:colOff>3484991</xdr:colOff>
      <xdr:row>11</xdr:row>
      <xdr:rowOff>781809</xdr:rowOff>
    </xdr:to>
    <xdr:pic>
      <xdr:nvPicPr>
        <xdr:cNvPr id="25" name="Picture 24" descr="C:\Users\admin\Desktop\Picture3.png"/>
        <xdr:cNvPicPr>
          <a:picLocks noChangeAspect="1" noChangeArrowheads="1"/>
        </xdr:cNvPicPr>
      </xdr:nvPicPr>
      <xdr:blipFill>
        <a:blip xmlns:r="http://schemas.openxmlformats.org/officeDocument/2006/relationships" r:embed="rId18"/>
        <a:srcRect l="2893" t="12148"/>
        <a:stretch>
          <a:fillRect/>
        </a:stretch>
      </xdr:blipFill>
      <xdr:spPr bwMode="auto">
        <a:xfrm>
          <a:off x="5476875" y="5155403"/>
          <a:ext cx="722741" cy="210312"/>
        </a:xfrm>
        <a:prstGeom prst="rect">
          <a:avLst/>
        </a:prstGeom>
        <a:noFill/>
        <a:ln>
          <a:solidFill>
            <a:sysClr val="windowText" lastClr="000000"/>
          </a:solidFill>
        </a:ln>
      </xdr:spPr>
    </xdr:pic>
    <xdr:clientData/>
  </xdr:twoCellAnchor>
  <mc:AlternateContent xmlns:mc="http://schemas.openxmlformats.org/markup-compatibility/2006">
    <mc:Choice xmlns:a14="http://schemas.microsoft.com/office/drawing/2010/main" Requires="a14">
      <xdr:twoCellAnchor>
        <xdr:from>
          <xdr:col>21</xdr:col>
          <xdr:colOff>47625</xdr:colOff>
          <xdr:row>4</xdr:row>
          <xdr:rowOff>104775</xdr:rowOff>
        </xdr:from>
        <xdr:to>
          <xdr:col>22</xdr:col>
          <xdr:colOff>523875</xdr:colOff>
          <xdr:row>6</xdr:row>
          <xdr:rowOff>28575</xdr:rowOff>
        </xdr:to>
        <xdr:sp macro="" textlink="">
          <xdr:nvSpPr>
            <xdr:cNvPr id="65537" name="Button 1" hidden="1">
              <a:extLst>
                <a:ext uri="{63B3BB69-23CF-44E3-9099-C40C66FF867C}">
                  <a14:compatExt spid="_x0000_s6553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171450</xdr:colOff>
          <xdr:row>4</xdr:row>
          <xdr:rowOff>95250</xdr:rowOff>
        </xdr:from>
        <xdr:to>
          <xdr:col>20</xdr:col>
          <xdr:colOff>561975</xdr:colOff>
          <xdr:row>6</xdr:row>
          <xdr:rowOff>38100</xdr:rowOff>
        </xdr:to>
        <xdr:sp macro="" textlink="">
          <xdr:nvSpPr>
            <xdr:cNvPr id="65538" name="Button 2" hidden="1">
              <a:extLst>
                <a:ext uri="{63B3BB69-23CF-44E3-9099-C40C66FF867C}">
                  <a14:compatExt spid="_x0000_s6553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9</xdr:col>
      <xdr:colOff>396875</xdr:colOff>
      <xdr:row>340</xdr:row>
      <xdr:rowOff>195036</xdr:rowOff>
    </xdr:from>
    <xdr:to>
      <xdr:col>23</xdr:col>
      <xdr:colOff>27443</xdr:colOff>
      <xdr:row>360</xdr:row>
      <xdr:rowOff>6536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398318</xdr:colOff>
      <xdr:row>404</xdr:row>
      <xdr:rowOff>152400</xdr:rowOff>
    </xdr:from>
    <xdr:to>
      <xdr:col>23</xdr:col>
      <xdr:colOff>27443</xdr:colOff>
      <xdr:row>417</xdr:row>
      <xdr:rowOff>106680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396875</xdr:colOff>
      <xdr:row>373</xdr:row>
      <xdr:rowOff>190498</xdr:rowOff>
    </xdr:from>
    <xdr:to>
      <xdr:col>23</xdr:col>
      <xdr:colOff>27443</xdr:colOff>
      <xdr:row>391</xdr:row>
      <xdr:rowOff>113123</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396875</xdr:colOff>
      <xdr:row>181</xdr:row>
      <xdr:rowOff>71663</xdr:rowOff>
    </xdr:from>
    <xdr:to>
      <xdr:col>23</xdr:col>
      <xdr:colOff>27443</xdr:colOff>
      <xdr:row>197</xdr:row>
      <xdr:rowOff>89538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396875</xdr:colOff>
      <xdr:row>112</xdr:row>
      <xdr:rowOff>2266</xdr:rowOff>
    </xdr:from>
    <xdr:to>
      <xdr:col>23</xdr:col>
      <xdr:colOff>27443</xdr:colOff>
      <xdr:row>124</xdr:row>
      <xdr:rowOff>67766</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18</xdr:col>
      <xdr:colOff>460041</xdr:colOff>
      <xdr:row>1</xdr:row>
      <xdr:rowOff>182336</xdr:rowOff>
    </xdr:from>
    <xdr:to>
      <xdr:col>22</xdr:col>
      <xdr:colOff>503585</xdr:colOff>
      <xdr:row>2</xdr:row>
      <xdr:rowOff>50800</xdr:rowOff>
    </xdr:to>
    <xdr:pic>
      <xdr:nvPicPr>
        <xdr:cNvPr id="18" name="Picture 17"/>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6065166" y="261711"/>
          <a:ext cx="2408919" cy="503464"/>
        </a:xfrm>
        <a:prstGeom prst="rect">
          <a:avLst/>
        </a:prstGeom>
        <a:noFill/>
        <a:ln w="9525">
          <a:noFill/>
          <a:miter lim="800000"/>
          <a:headEnd/>
          <a:tailEnd/>
        </a:ln>
      </xdr:spPr>
    </xdr:pic>
    <xdr:clientData/>
  </xdr:twoCellAnchor>
  <xdr:twoCellAnchor editAs="oneCell">
    <xdr:from>
      <xdr:col>5</xdr:col>
      <xdr:colOff>2089197</xdr:colOff>
      <xdr:row>12</xdr:row>
      <xdr:rowOff>93450</xdr:rowOff>
    </xdr:from>
    <xdr:to>
      <xdr:col>5</xdr:col>
      <xdr:colOff>3886239</xdr:colOff>
      <xdr:row>12</xdr:row>
      <xdr:rowOff>358790</xdr:rowOff>
    </xdr:to>
    <xdr:pic>
      <xdr:nvPicPr>
        <xdr:cNvPr id="21" name="Picture 20"/>
        <xdr:cNvPicPr>
          <a:picLocks noChangeAspect="1" noChangeArrowheads="1"/>
        </xdr:cNvPicPr>
      </xdr:nvPicPr>
      <xdr:blipFill>
        <a:blip xmlns:r="http://schemas.openxmlformats.org/officeDocument/2006/relationships" r:embed="rId7" cstate="print"/>
        <a:srcRect/>
        <a:stretch>
          <a:fillRect/>
        </a:stretch>
      </xdr:blipFill>
      <xdr:spPr bwMode="auto">
        <a:xfrm>
          <a:off x="4740322" y="6332325"/>
          <a:ext cx="1797042" cy="265340"/>
        </a:xfrm>
        <a:prstGeom prst="rect">
          <a:avLst/>
        </a:prstGeom>
        <a:noFill/>
        <a:ln w="9525">
          <a:noFill/>
          <a:miter lim="800000"/>
          <a:headEnd/>
          <a:tailEnd/>
        </a:ln>
        <a:effectLst/>
      </xdr:spPr>
    </xdr:pic>
    <xdr:clientData/>
  </xdr:twoCellAnchor>
  <xdr:twoCellAnchor editAs="oneCell">
    <xdr:from>
      <xdr:col>5</xdr:col>
      <xdr:colOff>3333749</xdr:colOff>
      <xdr:row>10</xdr:row>
      <xdr:rowOff>82641</xdr:rowOff>
    </xdr:from>
    <xdr:to>
      <xdr:col>5</xdr:col>
      <xdr:colOff>3923456</xdr:colOff>
      <xdr:row>10</xdr:row>
      <xdr:rowOff>362289</xdr:rowOff>
    </xdr:to>
    <xdr:pic>
      <xdr:nvPicPr>
        <xdr:cNvPr id="22" name="Picture 21" descr="C:\Documents and Settings\user\Desktop\Picture11.png"/>
        <xdr:cNvPicPr>
          <a:picLocks noChangeAspect="1" noChangeArrowheads="1"/>
        </xdr:cNvPicPr>
      </xdr:nvPicPr>
      <xdr:blipFill>
        <a:blip xmlns:r="http://schemas.openxmlformats.org/officeDocument/2006/relationships" r:embed="rId8" cstate="print"/>
        <a:srcRect r="11275"/>
        <a:stretch>
          <a:fillRect/>
        </a:stretch>
      </xdr:blipFill>
      <xdr:spPr bwMode="auto">
        <a:xfrm>
          <a:off x="6000749" y="4137570"/>
          <a:ext cx="589707" cy="286451"/>
        </a:xfrm>
        <a:prstGeom prst="rect">
          <a:avLst/>
        </a:prstGeom>
        <a:noFill/>
      </xdr:spPr>
    </xdr:pic>
    <xdr:clientData/>
  </xdr:twoCellAnchor>
  <xdr:twoCellAnchor>
    <xdr:from>
      <xdr:col>9</xdr:col>
      <xdr:colOff>396875</xdr:colOff>
      <xdr:row>57</xdr:row>
      <xdr:rowOff>48757</xdr:rowOff>
    </xdr:from>
    <xdr:to>
      <xdr:col>23</xdr:col>
      <xdr:colOff>27443</xdr:colOff>
      <xdr:row>72</xdr:row>
      <xdr:rowOff>34882</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396875</xdr:colOff>
      <xdr:row>79</xdr:row>
      <xdr:rowOff>87311</xdr:rowOff>
    </xdr:from>
    <xdr:to>
      <xdr:col>23</xdr:col>
      <xdr:colOff>27443</xdr:colOff>
      <xdr:row>93</xdr:row>
      <xdr:rowOff>263936</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2238373</xdr:colOff>
      <xdr:row>11</xdr:row>
      <xdr:rowOff>246629</xdr:rowOff>
    </xdr:from>
    <xdr:to>
      <xdr:col>5</xdr:col>
      <xdr:colOff>2973118</xdr:colOff>
      <xdr:row>11</xdr:row>
      <xdr:rowOff>456941</xdr:rowOff>
    </xdr:to>
    <xdr:pic>
      <xdr:nvPicPr>
        <xdr:cNvPr id="19" name="Picture 18" descr="C:\Users\admin\Desktop\Picture1.png"/>
        <xdr:cNvPicPr>
          <a:picLocks noChangeAspect="1" noChangeArrowheads="1"/>
        </xdr:cNvPicPr>
      </xdr:nvPicPr>
      <xdr:blipFill>
        <a:blip xmlns:r="http://schemas.openxmlformats.org/officeDocument/2006/relationships" r:embed="rId11"/>
        <a:srcRect l="3661" t="11510"/>
        <a:stretch>
          <a:fillRect/>
        </a:stretch>
      </xdr:blipFill>
      <xdr:spPr bwMode="auto">
        <a:xfrm>
          <a:off x="4905373" y="4750593"/>
          <a:ext cx="734745" cy="210312"/>
        </a:xfrm>
        <a:prstGeom prst="rect">
          <a:avLst/>
        </a:prstGeom>
        <a:noFill/>
        <a:ln>
          <a:solidFill>
            <a:sysClr val="windowText" lastClr="000000"/>
          </a:solidFill>
        </a:ln>
      </xdr:spPr>
    </xdr:pic>
    <xdr:clientData/>
  </xdr:twoCellAnchor>
  <xdr:twoCellAnchor editAs="oneCell">
    <xdr:from>
      <xdr:col>5</xdr:col>
      <xdr:colOff>3167063</xdr:colOff>
      <xdr:row>11</xdr:row>
      <xdr:rowOff>244926</xdr:rowOff>
    </xdr:from>
    <xdr:to>
      <xdr:col>5</xdr:col>
      <xdr:colOff>3958035</xdr:colOff>
      <xdr:row>11</xdr:row>
      <xdr:rowOff>455238</xdr:rowOff>
    </xdr:to>
    <xdr:pic>
      <xdr:nvPicPr>
        <xdr:cNvPr id="27" name="Picture 26" descr="C:\Users\admin\Desktop\Picture2.png"/>
        <xdr:cNvPicPr>
          <a:picLocks noChangeAspect="1" noChangeArrowheads="1"/>
        </xdr:cNvPicPr>
      </xdr:nvPicPr>
      <xdr:blipFill>
        <a:blip xmlns:r="http://schemas.openxmlformats.org/officeDocument/2006/relationships" r:embed="rId12"/>
        <a:srcRect l="3217" t="11068" b="5923"/>
        <a:stretch>
          <a:fillRect/>
        </a:stretch>
      </xdr:blipFill>
      <xdr:spPr bwMode="auto">
        <a:xfrm>
          <a:off x="5834063" y="4748890"/>
          <a:ext cx="790972" cy="210312"/>
        </a:xfrm>
        <a:prstGeom prst="rect">
          <a:avLst/>
        </a:prstGeom>
        <a:noFill/>
        <a:ln>
          <a:solidFill>
            <a:sysClr val="windowText" lastClr="000000"/>
          </a:solidFill>
        </a:ln>
      </xdr:spPr>
    </xdr:pic>
    <xdr:clientData/>
  </xdr:twoCellAnchor>
  <xdr:twoCellAnchor editAs="oneCell">
    <xdr:from>
      <xdr:col>5</xdr:col>
      <xdr:colOff>2762250</xdr:colOff>
      <xdr:row>11</xdr:row>
      <xdr:rowOff>571496</xdr:rowOff>
    </xdr:from>
    <xdr:to>
      <xdr:col>5</xdr:col>
      <xdr:colOff>3484991</xdr:colOff>
      <xdr:row>11</xdr:row>
      <xdr:rowOff>761999</xdr:rowOff>
    </xdr:to>
    <xdr:pic>
      <xdr:nvPicPr>
        <xdr:cNvPr id="32" name="Picture 31" descr="C:\Users\admin\Desktop\Picture3.png"/>
        <xdr:cNvPicPr>
          <a:picLocks noChangeAspect="1" noChangeArrowheads="1"/>
        </xdr:cNvPicPr>
      </xdr:nvPicPr>
      <xdr:blipFill>
        <a:blip xmlns:r="http://schemas.openxmlformats.org/officeDocument/2006/relationships" r:embed="rId13"/>
        <a:srcRect l="2893" t="12148"/>
        <a:stretch>
          <a:fillRect/>
        </a:stretch>
      </xdr:blipFill>
      <xdr:spPr bwMode="auto">
        <a:xfrm>
          <a:off x="5429250" y="5075460"/>
          <a:ext cx="722741" cy="190503"/>
        </a:xfrm>
        <a:prstGeom prst="rect">
          <a:avLst/>
        </a:prstGeom>
        <a:noFill/>
        <a:ln>
          <a:solidFill>
            <a:sysClr val="windowText" lastClr="000000"/>
          </a:solidFill>
        </a:ln>
      </xdr:spPr>
    </xdr:pic>
    <xdr:clientData/>
  </xdr:twoCellAnchor>
  <xdr:twoCellAnchor>
    <xdr:from>
      <xdr:col>9</xdr:col>
      <xdr:colOff>396875</xdr:colOff>
      <xdr:row>136</xdr:row>
      <xdr:rowOff>158749</xdr:rowOff>
    </xdr:from>
    <xdr:to>
      <xdr:col>23</xdr:col>
      <xdr:colOff>27443</xdr:colOff>
      <xdr:row>150</xdr:row>
      <xdr:rowOff>303624</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xdr:from>
          <xdr:col>21</xdr:col>
          <xdr:colOff>152400</xdr:colOff>
          <xdr:row>4</xdr:row>
          <xdr:rowOff>85725</xdr:rowOff>
        </xdr:from>
        <xdr:to>
          <xdr:col>22</xdr:col>
          <xdr:colOff>542925</xdr:colOff>
          <xdr:row>6</xdr:row>
          <xdr:rowOff>0</xdr:rowOff>
        </xdr:to>
        <xdr:sp macro="" textlink="">
          <xdr:nvSpPr>
            <xdr:cNvPr id="66563" name="Button 3" hidden="1">
              <a:extLst>
                <a:ext uri="{63B3BB69-23CF-44E3-9099-C40C66FF867C}">
                  <a14:compatExt spid="_x0000_s6656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123825</xdr:colOff>
          <xdr:row>4</xdr:row>
          <xdr:rowOff>95250</xdr:rowOff>
        </xdr:from>
        <xdr:to>
          <xdr:col>21</xdr:col>
          <xdr:colOff>38100</xdr:colOff>
          <xdr:row>6</xdr:row>
          <xdr:rowOff>9525</xdr:rowOff>
        </xdr:to>
        <xdr:sp macro="" textlink="">
          <xdr:nvSpPr>
            <xdr:cNvPr id="66564" name="Button 4" hidden="1">
              <a:extLst>
                <a:ext uri="{63B3BB69-23CF-44E3-9099-C40C66FF867C}">
                  <a14:compatExt spid="_x0000_s6656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Reset</a:t>
              </a:r>
            </a:p>
          </xdr:txBody>
        </xdr:sp>
        <xdr:clientData fPrintsWithSheet="0"/>
      </xdr:twoCellAnchor>
    </mc:Choice>
    <mc:Fallback/>
  </mc:AlternateContent>
  <xdr:twoCellAnchor>
    <xdr:from>
      <xdr:col>9</xdr:col>
      <xdr:colOff>396875</xdr:colOff>
      <xdr:row>276</xdr:row>
      <xdr:rowOff>267607</xdr:rowOff>
    </xdr:from>
    <xdr:to>
      <xdr:col>23</xdr:col>
      <xdr:colOff>27443</xdr:colOff>
      <xdr:row>290</xdr:row>
      <xdr:rowOff>126732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398318</xdr:colOff>
      <xdr:row>307</xdr:row>
      <xdr:rowOff>222250</xdr:rowOff>
    </xdr:from>
    <xdr:to>
      <xdr:col>23</xdr:col>
      <xdr:colOff>27443</xdr:colOff>
      <xdr:row>328</xdr:row>
      <xdr:rowOff>192500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396875</xdr:colOff>
      <xdr:row>213</xdr:row>
      <xdr:rowOff>63499</xdr:rowOff>
    </xdr:from>
    <xdr:to>
      <xdr:col>23</xdr:col>
      <xdr:colOff>27443</xdr:colOff>
      <xdr:row>229</xdr:row>
      <xdr:rowOff>113124</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396875</xdr:colOff>
      <xdr:row>241</xdr:row>
      <xdr:rowOff>44223</xdr:rowOff>
    </xdr:from>
    <xdr:to>
      <xdr:col>23</xdr:col>
      <xdr:colOff>27443</xdr:colOff>
      <xdr:row>260</xdr:row>
      <xdr:rowOff>46223</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pasana\PIP%20model\SaniPlan%20model%20version\Model_Paresh%20back%20up\SaniPlan%20v3&#946;_07Oct2015_PL-M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pasana\PIP%20model\SaniPlan%20model%20version\Model_Paresh%20back%20up\SaniPlan%20v3&#946;_05Oct2015_PL_T2.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SP%20financ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troduction"/>
      <sheetName val="General info"/>
      <sheetName val="WSS info"/>
      <sheetName val="Finance info"/>
      <sheetName val="Perf assessment"/>
      <sheetName val="WS Plan"/>
      <sheetName val="WW Plan"/>
      <sheetName val="SW Plan"/>
      <sheetName val="Summary of CSP"/>
      <sheetName val="Action Plan finance"/>
      <sheetName val="Municipal Finance"/>
      <sheetName val="Financing Plan"/>
      <sheetName val="Population"/>
      <sheetName val="WS calcu"/>
      <sheetName val="WW calcu"/>
      <sheetName val="CSP options"/>
      <sheetName val="Annexure"/>
      <sheetName val="Dashboard"/>
      <sheetName val="MSW calcu"/>
      <sheetName val="CSP finance"/>
      <sheetName val="Activation list"/>
      <sheetName val="StateSLB"/>
    </sheetNames>
    <sheetDataSet>
      <sheetData sheetId="0"/>
      <sheetData sheetId="1"/>
      <sheetData sheetId="2"/>
      <sheetData sheetId="3">
        <row r="168">
          <cell r="G168" t="str">
            <v>No</v>
          </cell>
        </row>
        <row r="169">
          <cell r="G169" t="str">
            <v>No</v>
          </cell>
        </row>
        <row r="170">
          <cell r="G170" t="str">
            <v>No</v>
          </cell>
        </row>
        <row r="171">
          <cell r="G171" t="str">
            <v>No</v>
          </cell>
        </row>
        <row r="226">
          <cell r="G226">
            <v>4.82</v>
          </cell>
        </row>
        <row r="234">
          <cell r="G234">
            <v>2000</v>
          </cell>
        </row>
        <row r="267">
          <cell r="F267" t="str">
            <v>Yes</v>
          </cell>
          <cell r="G267" t="str">
            <v>No</v>
          </cell>
        </row>
        <row r="270">
          <cell r="F270">
            <v>1</v>
          </cell>
        </row>
        <row r="349">
          <cell r="F349" t="str">
            <v>NO</v>
          </cell>
        </row>
        <row r="350">
          <cell r="F350" t="str">
            <v>Number of properties</v>
          </cell>
        </row>
        <row r="351">
          <cell r="F351" t="str">
            <v>NO</v>
          </cell>
        </row>
        <row r="352">
          <cell r="F352">
            <v>1</v>
          </cell>
        </row>
        <row r="353">
          <cell r="F353">
            <v>1</v>
          </cell>
        </row>
        <row r="354">
          <cell r="F354" t="str">
            <v>Unit</v>
          </cell>
        </row>
        <row r="355">
          <cell r="F355" t="str">
            <v>Rs./trip</v>
          </cell>
          <cell r="G355">
            <v>800</v>
          </cell>
        </row>
        <row r="356">
          <cell r="F356" t="str">
            <v>At the time of emptying</v>
          </cell>
        </row>
        <row r="357">
          <cell r="F357" t="str">
            <v>NO</v>
          </cell>
        </row>
        <row r="445">
          <cell r="G445" t="str">
            <v>No</v>
          </cell>
        </row>
        <row r="452">
          <cell r="F452" t="str">
            <v>No</v>
          </cell>
        </row>
        <row r="453">
          <cell r="F453" t="str">
            <v>None</v>
          </cell>
        </row>
        <row r="454">
          <cell r="F454" t="str">
            <v>No</v>
          </cell>
        </row>
      </sheetData>
      <sheetData sheetId="4"/>
      <sheetData sheetId="5"/>
      <sheetData sheetId="6"/>
      <sheetData sheetId="7"/>
      <sheetData sheetId="8"/>
      <sheetData sheetId="9"/>
      <sheetData sheetId="10"/>
      <sheetData sheetId="11"/>
      <sheetData sheetId="12"/>
      <sheetData sheetId="13"/>
      <sheetData sheetId="14">
        <row r="3">
          <cell r="F3">
            <v>2015</v>
          </cell>
          <cell r="G3">
            <v>2016</v>
          </cell>
          <cell r="H3">
            <v>2017</v>
          </cell>
          <cell r="I3">
            <v>2018</v>
          </cell>
          <cell r="J3">
            <v>2019</v>
          </cell>
          <cell r="K3">
            <v>2020</v>
          </cell>
          <cell r="L3">
            <v>2021</v>
          </cell>
          <cell r="M3">
            <v>2022</v>
          </cell>
          <cell r="N3">
            <v>2023</v>
          </cell>
          <cell r="O3">
            <v>2024</v>
          </cell>
        </row>
      </sheetData>
      <sheetData sheetId="15"/>
      <sheetData sheetId="16"/>
      <sheetData sheetId="17"/>
      <sheetData sheetId="18"/>
      <sheetData sheetId="19"/>
      <sheetData sheetId="20"/>
      <sheetData sheetId="21">
        <row r="3">
          <cell r="AE3">
            <v>0</v>
          </cell>
        </row>
        <row r="4">
          <cell r="AE4">
            <v>7</v>
          </cell>
        </row>
        <row r="5">
          <cell r="AE5">
            <v>0</v>
          </cell>
        </row>
      </sheetData>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troduction"/>
      <sheetName val="General info"/>
      <sheetName val="WSS info"/>
      <sheetName val="Finance info"/>
      <sheetName val="Perf assessment"/>
      <sheetName val="WS Plan"/>
      <sheetName val="WW Plan"/>
      <sheetName val="SW Plan"/>
      <sheetName val="Summary of CSP"/>
      <sheetName val="Action Plan finance"/>
      <sheetName val="Municipal Finance"/>
      <sheetName val="Financing Plan"/>
      <sheetName val="Population"/>
      <sheetName val="WS calcu"/>
      <sheetName val="WW calcu"/>
      <sheetName val="StateSLB"/>
      <sheetName val="CSP options"/>
      <sheetName val="Annexure"/>
      <sheetName val="Dashboard"/>
      <sheetName val="MSW calcu"/>
      <sheetName val="CSP finance"/>
      <sheetName val="Activation list"/>
    </sheetNames>
    <sheetDataSet>
      <sheetData sheetId="0"/>
      <sheetData sheetId="1"/>
      <sheetData sheetId="2">
        <row r="33">
          <cell r="E33" t="str">
            <v>Gujarat</v>
          </cell>
        </row>
      </sheetData>
      <sheetData sheetId="3">
        <row r="168">
          <cell r="G168" t="str">
            <v>No</v>
          </cell>
        </row>
        <row r="169">
          <cell r="G169" t="str">
            <v>No</v>
          </cell>
        </row>
        <row r="170">
          <cell r="G170" t="str">
            <v>No</v>
          </cell>
        </row>
        <row r="171">
          <cell r="G171" t="str">
            <v>No</v>
          </cell>
        </row>
        <row r="234">
          <cell r="G234">
            <v>0</v>
          </cell>
        </row>
        <row r="267">
          <cell r="F267" t="str">
            <v>Yes</v>
          </cell>
          <cell r="G267" t="str">
            <v>No</v>
          </cell>
        </row>
        <row r="270">
          <cell r="F270">
            <v>0.9</v>
          </cell>
        </row>
        <row r="349">
          <cell r="F349" t="str">
            <v>NO</v>
          </cell>
        </row>
        <row r="350">
          <cell r="F350" t="str">
            <v>Number of properties</v>
          </cell>
        </row>
        <row r="351">
          <cell r="F351" t="str">
            <v>NO</v>
          </cell>
        </row>
        <row r="352">
          <cell r="F352">
            <v>0</v>
          </cell>
        </row>
        <row r="353">
          <cell r="F353">
            <v>0</v>
          </cell>
        </row>
        <row r="354">
          <cell r="F354" t="str">
            <v>Unit</v>
          </cell>
        </row>
        <row r="355">
          <cell r="F355" t="str">
            <v>Rs./trip</v>
          </cell>
          <cell r="G355">
            <v>800</v>
          </cell>
        </row>
        <row r="356">
          <cell r="F356" t="str">
            <v>At the time of emptying</v>
          </cell>
        </row>
        <row r="357">
          <cell r="F357" t="str">
            <v>NO</v>
          </cell>
        </row>
        <row r="445">
          <cell r="G445" t="str">
            <v>No</v>
          </cell>
        </row>
        <row r="452">
          <cell r="F452" t="str">
            <v>No</v>
          </cell>
        </row>
        <row r="453">
          <cell r="F453" t="str">
            <v>None</v>
          </cell>
        </row>
        <row r="454">
          <cell r="F454" t="str">
            <v>No</v>
          </cell>
        </row>
      </sheetData>
      <sheetData sheetId="4"/>
      <sheetData sheetId="5"/>
      <sheetData sheetId="6"/>
      <sheetData sheetId="7"/>
      <sheetData sheetId="8"/>
      <sheetData sheetId="9"/>
      <sheetData sheetId="10"/>
      <sheetData sheetId="11"/>
      <sheetData sheetId="12"/>
      <sheetData sheetId="13"/>
      <sheetData sheetId="14">
        <row r="3">
          <cell r="F3">
            <v>2015</v>
          </cell>
          <cell r="G3">
            <v>2016</v>
          </cell>
          <cell r="H3">
            <v>2017</v>
          </cell>
          <cell r="I3">
            <v>2018</v>
          </cell>
          <cell r="J3">
            <v>2019</v>
          </cell>
          <cell r="K3">
            <v>2020</v>
          </cell>
          <cell r="L3">
            <v>2021</v>
          </cell>
          <cell r="M3">
            <v>2022</v>
          </cell>
          <cell r="N3">
            <v>2023</v>
          </cell>
          <cell r="O3">
            <v>2024</v>
          </cell>
        </row>
      </sheetData>
      <sheetData sheetId="15"/>
      <sheetData sheetId="16"/>
      <sheetData sheetId="17"/>
      <sheetData sheetId="18"/>
      <sheetData sheetId="19"/>
      <sheetData sheetId="20"/>
      <sheetData sheetId="21"/>
      <sheetData sheetId="22">
        <row r="3">
          <cell r="AE3">
            <v>0</v>
          </cell>
        </row>
        <row r="4">
          <cell r="AE4">
            <v>4</v>
          </cell>
        </row>
        <row r="5">
          <cell r="AE5">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P financ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riel">
      <a:fillStyleLst>
        <a:solidFill>
          <a:schemeClr val="phClr"/>
        </a:solidFill>
        <a:gradFill rotWithShape="1">
          <a:gsLst>
            <a:gs pos="0">
              <a:schemeClr val="phClr">
                <a:tint val="35000"/>
                <a:satMod val="260000"/>
              </a:schemeClr>
            </a:gs>
            <a:gs pos="30000">
              <a:schemeClr val="phClr">
                <a:tint val="38000"/>
                <a:satMod val="260000"/>
              </a:schemeClr>
            </a:gs>
            <a:gs pos="75000">
              <a:schemeClr val="phClr">
                <a:tint val="55000"/>
                <a:satMod val="255000"/>
              </a:schemeClr>
            </a:gs>
            <a:gs pos="100000">
              <a:schemeClr val="phClr">
                <a:tint val="70000"/>
                <a:satMod val="255000"/>
              </a:schemeClr>
            </a:gs>
          </a:gsLst>
          <a:path path="circle">
            <a:fillToRect l="5000" t="100000" r="120000" b="10000"/>
          </a:path>
        </a:gradFill>
        <a:gradFill rotWithShape="1">
          <a:gsLst>
            <a:gs pos="0">
              <a:schemeClr val="phClr">
                <a:shade val="63000"/>
                <a:satMod val="165000"/>
              </a:schemeClr>
            </a:gs>
            <a:gs pos="30000">
              <a:schemeClr val="phClr">
                <a:shade val="58000"/>
                <a:satMod val="165000"/>
              </a:schemeClr>
            </a:gs>
            <a:gs pos="75000">
              <a:schemeClr val="phClr">
                <a:shade val="30000"/>
                <a:satMod val="175000"/>
              </a:schemeClr>
            </a:gs>
            <a:gs pos="100000">
              <a:schemeClr val="phClr">
                <a:shade val="15000"/>
                <a:satMod val="175000"/>
              </a:schemeClr>
            </a:gs>
          </a:gsLst>
          <a:path path="circle">
            <a:fillToRect l="5000" t="100000" r="120000" b="10000"/>
          </a:path>
        </a:gradFill>
      </a:fillStyleLst>
      <a:lnStyleLst>
        <a:ln w="12700" cap="flat" cmpd="sng" algn="ctr">
          <a:solidFill>
            <a:schemeClr val="phClr">
              <a:shade val="70000"/>
              <a:satMod val="150000"/>
            </a:schemeClr>
          </a:solidFill>
          <a:prstDash val="solid"/>
        </a:ln>
        <a:ln w="25400" cap="flat" cmpd="sng" algn="ctr">
          <a:solidFill>
            <a:schemeClr val="phClr"/>
          </a:solidFill>
          <a:prstDash val="solid"/>
        </a:ln>
        <a:ln w="34925" cap="flat" cmpd="sng" algn="ctr">
          <a:solidFill>
            <a:schemeClr val="phClr"/>
          </a:solidFill>
          <a:prstDash val="solid"/>
        </a:ln>
      </a:lnStyleLst>
      <a:effectStyleLst>
        <a:effectStyle>
          <a:effectLst>
            <a:outerShdw blurRad="50800" dist="25000" dir="5400000" rotWithShape="0">
              <a:srgbClr val="000000">
                <a:alpha val="40000"/>
              </a:srgbClr>
            </a:outerShdw>
          </a:effectLst>
        </a:effectStyle>
        <a:effectStyle>
          <a:effectLst>
            <a:outerShdw blurRad="50800" dist="20000" dir="5400000" rotWithShape="0">
              <a:srgbClr val="000000">
                <a:alpha val="42000"/>
              </a:srgbClr>
            </a:outerShdw>
          </a:effectLst>
        </a:effectStyle>
        <a:effectStyle>
          <a:effectLst>
            <a:outerShdw blurRad="50800" dist="20000" dir="5400000" rotWithShape="0">
              <a:srgbClr val="000000">
                <a:alpha val="42000"/>
              </a:srgbClr>
            </a:outerShdw>
          </a:effectLst>
          <a:scene3d>
            <a:camera prst="orthographicFront">
              <a:rot lat="0" lon="0" rev="0"/>
            </a:camera>
            <a:lightRig rig="balanced" dir="t">
              <a:rot lat="0" lon="0" rev="0"/>
            </a:lightRig>
          </a:scene3d>
          <a:sp3d>
            <a:bevelT w="47625" h="69850"/>
            <a:contourClr>
              <a:schemeClr val="lt1"/>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65.xml"/><Relationship Id="rId4" Type="http://schemas.openxmlformats.org/officeDocument/2006/relationships/ctrlProp" Target="../ctrlProps/ctrlProp16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168.xml"/><Relationship Id="rId5" Type="http://schemas.openxmlformats.org/officeDocument/2006/relationships/ctrlProp" Target="../ctrlProps/ctrlProp167.xml"/><Relationship Id="rId4" Type="http://schemas.openxmlformats.org/officeDocument/2006/relationships/ctrlProp" Target="../ctrlProps/ctrlProp16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75.xml"/><Relationship Id="rId3" Type="http://schemas.openxmlformats.org/officeDocument/2006/relationships/vmlDrawing" Target="../drawings/vmlDrawing12.vml"/><Relationship Id="rId7" Type="http://schemas.openxmlformats.org/officeDocument/2006/relationships/ctrlProp" Target="../ctrlProps/ctrlProp174.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173.xml"/><Relationship Id="rId5" Type="http://schemas.openxmlformats.org/officeDocument/2006/relationships/ctrlProp" Target="../ctrlProps/ctrlProp172.xml"/><Relationship Id="rId4" Type="http://schemas.openxmlformats.org/officeDocument/2006/relationships/ctrlProp" Target="../ctrlProps/ctrlProp17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80.xml"/><Relationship Id="rId3" Type="http://schemas.openxmlformats.org/officeDocument/2006/relationships/vmlDrawing" Target="../drawings/vmlDrawing13.vml"/><Relationship Id="rId7" Type="http://schemas.openxmlformats.org/officeDocument/2006/relationships/ctrlProp" Target="../ctrlProps/ctrlProp179.xml"/><Relationship Id="rId2" Type="http://schemas.openxmlformats.org/officeDocument/2006/relationships/drawing" Target="../drawings/drawing15.xml"/><Relationship Id="rId1" Type="http://schemas.openxmlformats.org/officeDocument/2006/relationships/printerSettings" Target="../printerSettings/printerSettings14.bin"/><Relationship Id="rId6" Type="http://schemas.openxmlformats.org/officeDocument/2006/relationships/ctrlProp" Target="../ctrlProps/ctrlProp178.xml"/><Relationship Id="rId5" Type="http://schemas.openxmlformats.org/officeDocument/2006/relationships/ctrlProp" Target="../ctrlProps/ctrlProp177.xml"/><Relationship Id="rId4" Type="http://schemas.openxmlformats.org/officeDocument/2006/relationships/ctrlProp" Target="../ctrlProps/ctrlProp176.xml"/><Relationship Id="rId9" Type="http://schemas.openxmlformats.org/officeDocument/2006/relationships/ctrlProp" Target="../ctrlProps/ctrlProp18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185.xml"/><Relationship Id="rId2" Type="http://schemas.openxmlformats.org/officeDocument/2006/relationships/drawing" Target="../drawings/drawing16.xml"/><Relationship Id="rId1" Type="http://schemas.openxmlformats.org/officeDocument/2006/relationships/printerSettings" Target="../printerSettings/printerSettings15.bin"/><Relationship Id="rId6" Type="http://schemas.openxmlformats.org/officeDocument/2006/relationships/ctrlProp" Target="../ctrlProps/ctrlProp184.xml"/><Relationship Id="rId5" Type="http://schemas.openxmlformats.org/officeDocument/2006/relationships/ctrlProp" Target="../ctrlProps/ctrlProp183.xml"/><Relationship Id="rId4" Type="http://schemas.openxmlformats.org/officeDocument/2006/relationships/ctrlProp" Target="../ctrlProps/ctrlProp18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ctrlProp" Target="../ctrlProps/ctrlProp18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91.xml"/><Relationship Id="rId13" Type="http://schemas.openxmlformats.org/officeDocument/2006/relationships/ctrlProp" Target="../ctrlProps/ctrlProp196.xml"/><Relationship Id="rId18" Type="http://schemas.openxmlformats.org/officeDocument/2006/relationships/ctrlProp" Target="../ctrlProps/ctrlProp201.xml"/><Relationship Id="rId26" Type="http://schemas.openxmlformats.org/officeDocument/2006/relationships/ctrlProp" Target="../ctrlProps/ctrlProp209.xml"/><Relationship Id="rId3" Type="http://schemas.openxmlformats.org/officeDocument/2006/relationships/vmlDrawing" Target="../drawings/vmlDrawing16.vml"/><Relationship Id="rId21" Type="http://schemas.openxmlformats.org/officeDocument/2006/relationships/ctrlProp" Target="../ctrlProps/ctrlProp204.xml"/><Relationship Id="rId7" Type="http://schemas.openxmlformats.org/officeDocument/2006/relationships/ctrlProp" Target="../ctrlProps/ctrlProp190.xml"/><Relationship Id="rId12" Type="http://schemas.openxmlformats.org/officeDocument/2006/relationships/ctrlProp" Target="../ctrlProps/ctrlProp195.xml"/><Relationship Id="rId17" Type="http://schemas.openxmlformats.org/officeDocument/2006/relationships/ctrlProp" Target="../ctrlProps/ctrlProp200.xml"/><Relationship Id="rId25" Type="http://schemas.openxmlformats.org/officeDocument/2006/relationships/ctrlProp" Target="../ctrlProps/ctrlProp208.xml"/><Relationship Id="rId2" Type="http://schemas.openxmlformats.org/officeDocument/2006/relationships/drawing" Target="../drawings/drawing18.xml"/><Relationship Id="rId16" Type="http://schemas.openxmlformats.org/officeDocument/2006/relationships/ctrlProp" Target="../ctrlProps/ctrlProp199.xml"/><Relationship Id="rId20" Type="http://schemas.openxmlformats.org/officeDocument/2006/relationships/ctrlProp" Target="../ctrlProps/ctrlProp203.xml"/><Relationship Id="rId1" Type="http://schemas.openxmlformats.org/officeDocument/2006/relationships/printerSettings" Target="../printerSettings/printerSettings17.bin"/><Relationship Id="rId6" Type="http://schemas.openxmlformats.org/officeDocument/2006/relationships/ctrlProp" Target="../ctrlProps/ctrlProp189.xml"/><Relationship Id="rId11" Type="http://schemas.openxmlformats.org/officeDocument/2006/relationships/ctrlProp" Target="../ctrlProps/ctrlProp194.xml"/><Relationship Id="rId24" Type="http://schemas.openxmlformats.org/officeDocument/2006/relationships/ctrlProp" Target="../ctrlProps/ctrlProp207.xml"/><Relationship Id="rId5" Type="http://schemas.openxmlformats.org/officeDocument/2006/relationships/ctrlProp" Target="../ctrlProps/ctrlProp188.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10" Type="http://schemas.openxmlformats.org/officeDocument/2006/relationships/ctrlProp" Target="../ctrlProps/ctrlProp193.xml"/><Relationship Id="rId19" Type="http://schemas.openxmlformats.org/officeDocument/2006/relationships/ctrlProp" Target="../ctrlProps/ctrlProp202.xml"/><Relationship Id="rId4" Type="http://schemas.openxmlformats.org/officeDocument/2006/relationships/ctrlProp" Target="../ctrlProps/ctrlProp187.xml"/><Relationship Id="rId9" Type="http://schemas.openxmlformats.org/officeDocument/2006/relationships/ctrlProp" Target="../ctrlProps/ctrlProp192.xml"/><Relationship Id="rId14" Type="http://schemas.openxmlformats.org/officeDocument/2006/relationships/ctrlProp" Target="../ctrlProps/ctrlProp197.xml"/><Relationship Id="rId22" Type="http://schemas.openxmlformats.org/officeDocument/2006/relationships/ctrlProp" Target="../ctrlProps/ctrlProp205.xml"/><Relationship Id="rId27" Type="http://schemas.openxmlformats.org/officeDocument/2006/relationships/ctrlProp" Target="../ctrlProps/ctrlProp21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hyperlink" Target="mailto:aasimmansuri@gmail.com" TargetMode="External"/><Relationship Id="rId7" Type="http://schemas.openxmlformats.org/officeDocument/2006/relationships/vmlDrawing" Target="../drawings/vmlDrawing2.vml"/><Relationship Id="rId12" Type="http://schemas.openxmlformats.org/officeDocument/2006/relationships/ctrlProp" Target="../ctrlProps/ctrlProp6.xml"/><Relationship Id="rId2" Type="http://schemas.openxmlformats.org/officeDocument/2006/relationships/hyperlink" Target="mailto:cowai@gmail.com" TargetMode="External"/><Relationship Id="rId1" Type="http://schemas.openxmlformats.org/officeDocument/2006/relationships/hyperlink" Target="mailto:upasanayadav@gmail.com" TargetMode="External"/><Relationship Id="rId6" Type="http://schemas.openxmlformats.org/officeDocument/2006/relationships/drawing" Target="../drawings/drawing3.xml"/><Relationship Id="rId11" Type="http://schemas.openxmlformats.org/officeDocument/2006/relationships/ctrlProp" Target="../ctrlProps/ctrlProp5.xml"/><Relationship Id="rId5" Type="http://schemas.openxmlformats.org/officeDocument/2006/relationships/printerSettings" Target="../printerSettings/printerSettings3.bin"/><Relationship Id="rId10" Type="http://schemas.openxmlformats.org/officeDocument/2006/relationships/ctrlProp" Target="../ctrlProps/ctrlProp4.xml"/><Relationship Id="rId4" Type="http://schemas.openxmlformats.org/officeDocument/2006/relationships/hyperlink" Target="mailto:paresh.cept@gmail.com" TargetMode="External"/><Relationship Id="rId9"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35.xml"/><Relationship Id="rId21" Type="http://schemas.openxmlformats.org/officeDocument/2006/relationships/ctrlProp" Target="../ctrlProps/ctrlProp39.xml"/><Relationship Id="rId42" Type="http://schemas.openxmlformats.org/officeDocument/2006/relationships/ctrlProp" Target="../ctrlProps/ctrlProp60.xml"/><Relationship Id="rId63" Type="http://schemas.openxmlformats.org/officeDocument/2006/relationships/ctrlProp" Target="../ctrlProps/ctrlProp81.xml"/><Relationship Id="rId84" Type="http://schemas.openxmlformats.org/officeDocument/2006/relationships/ctrlProp" Target="../ctrlProps/ctrlProp102.xml"/><Relationship Id="rId138" Type="http://schemas.openxmlformats.org/officeDocument/2006/relationships/ctrlProp" Target="../ctrlProps/ctrlProp156.xml"/><Relationship Id="rId107" Type="http://schemas.openxmlformats.org/officeDocument/2006/relationships/ctrlProp" Target="../ctrlProps/ctrlProp125.xml"/><Relationship Id="rId11" Type="http://schemas.openxmlformats.org/officeDocument/2006/relationships/ctrlProp" Target="../ctrlProps/ctrlProp29.xml"/><Relationship Id="rId32" Type="http://schemas.openxmlformats.org/officeDocument/2006/relationships/ctrlProp" Target="../ctrlProps/ctrlProp50.xml"/><Relationship Id="rId37" Type="http://schemas.openxmlformats.org/officeDocument/2006/relationships/ctrlProp" Target="../ctrlProps/ctrlProp55.xml"/><Relationship Id="rId53" Type="http://schemas.openxmlformats.org/officeDocument/2006/relationships/ctrlProp" Target="../ctrlProps/ctrlProp71.xml"/><Relationship Id="rId58" Type="http://schemas.openxmlformats.org/officeDocument/2006/relationships/ctrlProp" Target="../ctrlProps/ctrlProp76.xml"/><Relationship Id="rId74" Type="http://schemas.openxmlformats.org/officeDocument/2006/relationships/ctrlProp" Target="../ctrlProps/ctrlProp92.xml"/><Relationship Id="rId79" Type="http://schemas.openxmlformats.org/officeDocument/2006/relationships/ctrlProp" Target="../ctrlProps/ctrlProp97.xml"/><Relationship Id="rId102" Type="http://schemas.openxmlformats.org/officeDocument/2006/relationships/ctrlProp" Target="../ctrlProps/ctrlProp120.xml"/><Relationship Id="rId123" Type="http://schemas.openxmlformats.org/officeDocument/2006/relationships/ctrlProp" Target="../ctrlProps/ctrlProp141.xml"/><Relationship Id="rId128" Type="http://schemas.openxmlformats.org/officeDocument/2006/relationships/ctrlProp" Target="../ctrlProps/ctrlProp146.xml"/><Relationship Id="rId5" Type="http://schemas.openxmlformats.org/officeDocument/2006/relationships/ctrlProp" Target="../ctrlProps/ctrlProp23.xml"/><Relationship Id="rId90" Type="http://schemas.openxmlformats.org/officeDocument/2006/relationships/ctrlProp" Target="../ctrlProps/ctrlProp108.xml"/><Relationship Id="rId95" Type="http://schemas.openxmlformats.org/officeDocument/2006/relationships/ctrlProp" Target="../ctrlProps/ctrlProp113.xml"/><Relationship Id="rId22" Type="http://schemas.openxmlformats.org/officeDocument/2006/relationships/ctrlProp" Target="../ctrlProps/ctrlProp40.xml"/><Relationship Id="rId27" Type="http://schemas.openxmlformats.org/officeDocument/2006/relationships/ctrlProp" Target="../ctrlProps/ctrlProp45.xml"/><Relationship Id="rId43" Type="http://schemas.openxmlformats.org/officeDocument/2006/relationships/ctrlProp" Target="../ctrlProps/ctrlProp61.xml"/><Relationship Id="rId48" Type="http://schemas.openxmlformats.org/officeDocument/2006/relationships/ctrlProp" Target="../ctrlProps/ctrlProp66.xml"/><Relationship Id="rId64" Type="http://schemas.openxmlformats.org/officeDocument/2006/relationships/ctrlProp" Target="../ctrlProps/ctrlProp82.xml"/><Relationship Id="rId69" Type="http://schemas.openxmlformats.org/officeDocument/2006/relationships/ctrlProp" Target="../ctrlProps/ctrlProp87.xml"/><Relationship Id="rId113" Type="http://schemas.openxmlformats.org/officeDocument/2006/relationships/ctrlProp" Target="../ctrlProps/ctrlProp131.xml"/><Relationship Id="rId118" Type="http://schemas.openxmlformats.org/officeDocument/2006/relationships/ctrlProp" Target="../ctrlProps/ctrlProp136.xml"/><Relationship Id="rId134" Type="http://schemas.openxmlformats.org/officeDocument/2006/relationships/ctrlProp" Target="../ctrlProps/ctrlProp152.xml"/><Relationship Id="rId139" Type="http://schemas.openxmlformats.org/officeDocument/2006/relationships/ctrlProp" Target="../ctrlProps/ctrlProp157.xml"/><Relationship Id="rId80" Type="http://schemas.openxmlformats.org/officeDocument/2006/relationships/ctrlProp" Target="../ctrlProps/ctrlProp98.xml"/><Relationship Id="rId85" Type="http://schemas.openxmlformats.org/officeDocument/2006/relationships/ctrlProp" Target="../ctrlProps/ctrlProp103.xml"/><Relationship Id="rId12" Type="http://schemas.openxmlformats.org/officeDocument/2006/relationships/ctrlProp" Target="../ctrlProps/ctrlProp30.xml"/><Relationship Id="rId17" Type="http://schemas.openxmlformats.org/officeDocument/2006/relationships/ctrlProp" Target="../ctrlProps/ctrlProp35.xml"/><Relationship Id="rId33" Type="http://schemas.openxmlformats.org/officeDocument/2006/relationships/ctrlProp" Target="../ctrlProps/ctrlProp51.xml"/><Relationship Id="rId38" Type="http://schemas.openxmlformats.org/officeDocument/2006/relationships/ctrlProp" Target="../ctrlProps/ctrlProp56.xml"/><Relationship Id="rId59" Type="http://schemas.openxmlformats.org/officeDocument/2006/relationships/ctrlProp" Target="../ctrlProps/ctrlProp77.xml"/><Relationship Id="rId103" Type="http://schemas.openxmlformats.org/officeDocument/2006/relationships/ctrlProp" Target="../ctrlProps/ctrlProp121.xml"/><Relationship Id="rId108" Type="http://schemas.openxmlformats.org/officeDocument/2006/relationships/ctrlProp" Target="../ctrlProps/ctrlProp126.xml"/><Relationship Id="rId124" Type="http://schemas.openxmlformats.org/officeDocument/2006/relationships/ctrlProp" Target="../ctrlProps/ctrlProp142.xml"/><Relationship Id="rId129" Type="http://schemas.openxmlformats.org/officeDocument/2006/relationships/ctrlProp" Target="../ctrlProps/ctrlProp147.xml"/><Relationship Id="rId54" Type="http://schemas.openxmlformats.org/officeDocument/2006/relationships/ctrlProp" Target="../ctrlProps/ctrlProp72.xml"/><Relationship Id="rId70" Type="http://schemas.openxmlformats.org/officeDocument/2006/relationships/ctrlProp" Target="../ctrlProps/ctrlProp88.xml"/><Relationship Id="rId75" Type="http://schemas.openxmlformats.org/officeDocument/2006/relationships/ctrlProp" Target="../ctrlProps/ctrlProp93.xml"/><Relationship Id="rId91" Type="http://schemas.openxmlformats.org/officeDocument/2006/relationships/ctrlProp" Target="../ctrlProps/ctrlProp109.xml"/><Relationship Id="rId96" Type="http://schemas.openxmlformats.org/officeDocument/2006/relationships/ctrlProp" Target="../ctrlProps/ctrlProp114.xml"/><Relationship Id="rId140" Type="http://schemas.openxmlformats.org/officeDocument/2006/relationships/ctrlProp" Target="../ctrlProps/ctrlProp158.xml"/><Relationship Id="rId1" Type="http://schemas.openxmlformats.org/officeDocument/2006/relationships/printerSettings" Target="../printerSettings/printerSettings7.bin"/><Relationship Id="rId6" Type="http://schemas.openxmlformats.org/officeDocument/2006/relationships/ctrlProp" Target="../ctrlProps/ctrlProp24.xml"/><Relationship Id="rId23" Type="http://schemas.openxmlformats.org/officeDocument/2006/relationships/ctrlProp" Target="../ctrlProps/ctrlProp41.xml"/><Relationship Id="rId28" Type="http://schemas.openxmlformats.org/officeDocument/2006/relationships/ctrlProp" Target="../ctrlProps/ctrlProp46.xml"/><Relationship Id="rId49" Type="http://schemas.openxmlformats.org/officeDocument/2006/relationships/ctrlProp" Target="../ctrlProps/ctrlProp67.xml"/><Relationship Id="rId114" Type="http://schemas.openxmlformats.org/officeDocument/2006/relationships/ctrlProp" Target="../ctrlProps/ctrlProp132.xml"/><Relationship Id="rId119" Type="http://schemas.openxmlformats.org/officeDocument/2006/relationships/ctrlProp" Target="../ctrlProps/ctrlProp137.xml"/><Relationship Id="rId44" Type="http://schemas.openxmlformats.org/officeDocument/2006/relationships/ctrlProp" Target="../ctrlProps/ctrlProp62.xml"/><Relationship Id="rId60" Type="http://schemas.openxmlformats.org/officeDocument/2006/relationships/ctrlProp" Target="../ctrlProps/ctrlProp78.xml"/><Relationship Id="rId65" Type="http://schemas.openxmlformats.org/officeDocument/2006/relationships/ctrlProp" Target="../ctrlProps/ctrlProp83.xml"/><Relationship Id="rId81" Type="http://schemas.openxmlformats.org/officeDocument/2006/relationships/ctrlProp" Target="../ctrlProps/ctrlProp99.xml"/><Relationship Id="rId86" Type="http://schemas.openxmlformats.org/officeDocument/2006/relationships/ctrlProp" Target="../ctrlProps/ctrlProp104.xml"/><Relationship Id="rId130" Type="http://schemas.openxmlformats.org/officeDocument/2006/relationships/ctrlProp" Target="../ctrlProps/ctrlProp148.xml"/><Relationship Id="rId135" Type="http://schemas.openxmlformats.org/officeDocument/2006/relationships/ctrlProp" Target="../ctrlProps/ctrlProp153.xml"/><Relationship Id="rId13" Type="http://schemas.openxmlformats.org/officeDocument/2006/relationships/ctrlProp" Target="../ctrlProps/ctrlProp31.xml"/><Relationship Id="rId18" Type="http://schemas.openxmlformats.org/officeDocument/2006/relationships/ctrlProp" Target="../ctrlProps/ctrlProp36.xml"/><Relationship Id="rId39" Type="http://schemas.openxmlformats.org/officeDocument/2006/relationships/ctrlProp" Target="../ctrlProps/ctrlProp57.xml"/><Relationship Id="rId109" Type="http://schemas.openxmlformats.org/officeDocument/2006/relationships/ctrlProp" Target="../ctrlProps/ctrlProp127.xml"/><Relationship Id="rId34" Type="http://schemas.openxmlformats.org/officeDocument/2006/relationships/ctrlProp" Target="../ctrlProps/ctrlProp52.xml"/><Relationship Id="rId50" Type="http://schemas.openxmlformats.org/officeDocument/2006/relationships/ctrlProp" Target="../ctrlProps/ctrlProp68.xml"/><Relationship Id="rId55" Type="http://schemas.openxmlformats.org/officeDocument/2006/relationships/ctrlProp" Target="../ctrlProps/ctrlProp73.xml"/><Relationship Id="rId76" Type="http://schemas.openxmlformats.org/officeDocument/2006/relationships/ctrlProp" Target="../ctrlProps/ctrlProp94.xml"/><Relationship Id="rId97" Type="http://schemas.openxmlformats.org/officeDocument/2006/relationships/ctrlProp" Target="../ctrlProps/ctrlProp115.xml"/><Relationship Id="rId104" Type="http://schemas.openxmlformats.org/officeDocument/2006/relationships/ctrlProp" Target="../ctrlProps/ctrlProp122.xml"/><Relationship Id="rId120" Type="http://schemas.openxmlformats.org/officeDocument/2006/relationships/ctrlProp" Target="../ctrlProps/ctrlProp138.xml"/><Relationship Id="rId125" Type="http://schemas.openxmlformats.org/officeDocument/2006/relationships/ctrlProp" Target="../ctrlProps/ctrlProp143.xml"/><Relationship Id="rId141" Type="http://schemas.openxmlformats.org/officeDocument/2006/relationships/ctrlProp" Target="../ctrlProps/ctrlProp159.xml"/><Relationship Id="rId7" Type="http://schemas.openxmlformats.org/officeDocument/2006/relationships/ctrlProp" Target="../ctrlProps/ctrlProp25.xml"/><Relationship Id="rId71" Type="http://schemas.openxmlformats.org/officeDocument/2006/relationships/ctrlProp" Target="../ctrlProps/ctrlProp89.xml"/><Relationship Id="rId92" Type="http://schemas.openxmlformats.org/officeDocument/2006/relationships/ctrlProp" Target="../ctrlProps/ctrlProp110.xml"/><Relationship Id="rId2" Type="http://schemas.openxmlformats.org/officeDocument/2006/relationships/drawing" Target="../drawings/drawing7.xml"/><Relationship Id="rId29" Type="http://schemas.openxmlformats.org/officeDocument/2006/relationships/ctrlProp" Target="../ctrlProps/ctrlProp47.xml"/><Relationship Id="rId24" Type="http://schemas.openxmlformats.org/officeDocument/2006/relationships/ctrlProp" Target="../ctrlProps/ctrlProp42.xml"/><Relationship Id="rId40" Type="http://schemas.openxmlformats.org/officeDocument/2006/relationships/ctrlProp" Target="../ctrlProps/ctrlProp58.xml"/><Relationship Id="rId45" Type="http://schemas.openxmlformats.org/officeDocument/2006/relationships/ctrlProp" Target="../ctrlProps/ctrlProp63.xml"/><Relationship Id="rId66" Type="http://schemas.openxmlformats.org/officeDocument/2006/relationships/ctrlProp" Target="../ctrlProps/ctrlProp84.xml"/><Relationship Id="rId87" Type="http://schemas.openxmlformats.org/officeDocument/2006/relationships/ctrlProp" Target="../ctrlProps/ctrlProp105.xml"/><Relationship Id="rId110" Type="http://schemas.openxmlformats.org/officeDocument/2006/relationships/ctrlProp" Target="../ctrlProps/ctrlProp128.xml"/><Relationship Id="rId115" Type="http://schemas.openxmlformats.org/officeDocument/2006/relationships/ctrlProp" Target="../ctrlProps/ctrlProp133.xml"/><Relationship Id="rId131" Type="http://schemas.openxmlformats.org/officeDocument/2006/relationships/ctrlProp" Target="../ctrlProps/ctrlProp149.xml"/><Relationship Id="rId136" Type="http://schemas.openxmlformats.org/officeDocument/2006/relationships/ctrlProp" Target="../ctrlProps/ctrlProp154.xml"/><Relationship Id="rId61" Type="http://schemas.openxmlformats.org/officeDocument/2006/relationships/ctrlProp" Target="../ctrlProps/ctrlProp79.xml"/><Relationship Id="rId82" Type="http://schemas.openxmlformats.org/officeDocument/2006/relationships/ctrlProp" Target="../ctrlProps/ctrlProp100.xml"/><Relationship Id="rId19" Type="http://schemas.openxmlformats.org/officeDocument/2006/relationships/ctrlProp" Target="../ctrlProps/ctrlProp37.xml"/><Relationship Id="rId14" Type="http://schemas.openxmlformats.org/officeDocument/2006/relationships/ctrlProp" Target="../ctrlProps/ctrlProp32.xml"/><Relationship Id="rId30" Type="http://schemas.openxmlformats.org/officeDocument/2006/relationships/ctrlProp" Target="../ctrlProps/ctrlProp48.xml"/><Relationship Id="rId35" Type="http://schemas.openxmlformats.org/officeDocument/2006/relationships/ctrlProp" Target="../ctrlProps/ctrlProp53.xml"/><Relationship Id="rId56" Type="http://schemas.openxmlformats.org/officeDocument/2006/relationships/ctrlProp" Target="../ctrlProps/ctrlProp74.xml"/><Relationship Id="rId77" Type="http://schemas.openxmlformats.org/officeDocument/2006/relationships/ctrlProp" Target="../ctrlProps/ctrlProp95.xml"/><Relationship Id="rId100" Type="http://schemas.openxmlformats.org/officeDocument/2006/relationships/ctrlProp" Target="../ctrlProps/ctrlProp118.xml"/><Relationship Id="rId105" Type="http://schemas.openxmlformats.org/officeDocument/2006/relationships/ctrlProp" Target="../ctrlProps/ctrlProp123.xml"/><Relationship Id="rId126" Type="http://schemas.openxmlformats.org/officeDocument/2006/relationships/ctrlProp" Target="../ctrlProps/ctrlProp144.xml"/><Relationship Id="rId8" Type="http://schemas.openxmlformats.org/officeDocument/2006/relationships/ctrlProp" Target="../ctrlProps/ctrlProp26.xml"/><Relationship Id="rId51" Type="http://schemas.openxmlformats.org/officeDocument/2006/relationships/ctrlProp" Target="../ctrlProps/ctrlProp69.xml"/><Relationship Id="rId72" Type="http://schemas.openxmlformats.org/officeDocument/2006/relationships/ctrlProp" Target="../ctrlProps/ctrlProp90.xml"/><Relationship Id="rId93" Type="http://schemas.openxmlformats.org/officeDocument/2006/relationships/ctrlProp" Target="../ctrlProps/ctrlProp111.xml"/><Relationship Id="rId98" Type="http://schemas.openxmlformats.org/officeDocument/2006/relationships/ctrlProp" Target="../ctrlProps/ctrlProp116.xml"/><Relationship Id="rId121" Type="http://schemas.openxmlformats.org/officeDocument/2006/relationships/ctrlProp" Target="../ctrlProps/ctrlProp139.xml"/><Relationship Id="rId3" Type="http://schemas.openxmlformats.org/officeDocument/2006/relationships/vmlDrawing" Target="../drawings/vmlDrawing6.vml"/><Relationship Id="rId25" Type="http://schemas.openxmlformats.org/officeDocument/2006/relationships/ctrlProp" Target="../ctrlProps/ctrlProp43.xml"/><Relationship Id="rId46" Type="http://schemas.openxmlformats.org/officeDocument/2006/relationships/ctrlProp" Target="../ctrlProps/ctrlProp64.xml"/><Relationship Id="rId67" Type="http://schemas.openxmlformats.org/officeDocument/2006/relationships/ctrlProp" Target="../ctrlProps/ctrlProp85.xml"/><Relationship Id="rId116" Type="http://schemas.openxmlformats.org/officeDocument/2006/relationships/ctrlProp" Target="../ctrlProps/ctrlProp134.xml"/><Relationship Id="rId137" Type="http://schemas.openxmlformats.org/officeDocument/2006/relationships/ctrlProp" Target="../ctrlProps/ctrlProp155.xml"/><Relationship Id="rId20" Type="http://schemas.openxmlformats.org/officeDocument/2006/relationships/ctrlProp" Target="../ctrlProps/ctrlProp38.xml"/><Relationship Id="rId41" Type="http://schemas.openxmlformats.org/officeDocument/2006/relationships/ctrlProp" Target="../ctrlProps/ctrlProp59.xml"/><Relationship Id="rId62" Type="http://schemas.openxmlformats.org/officeDocument/2006/relationships/ctrlProp" Target="../ctrlProps/ctrlProp80.xml"/><Relationship Id="rId83" Type="http://schemas.openxmlformats.org/officeDocument/2006/relationships/ctrlProp" Target="../ctrlProps/ctrlProp101.xml"/><Relationship Id="rId88" Type="http://schemas.openxmlformats.org/officeDocument/2006/relationships/ctrlProp" Target="../ctrlProps/ctrlProp106.xml"/><Relationship Id="rId111" Type="http://schemas.openxmlformats.org/officeDocument/2006/relationships/ctrlProp" Target="../ctrlProps/ctrlProp129.xml"/><Relationship Id="rId132" Type="http://schemas.openxmlformats.org/officeDocument/2006/relationships/ctrlProp" Target="../ctrlProps/ctrlProp150.xml"/><Relationship Id="rId15" Type="http://schemas.openxmlformats.org/officeDocument/2006/relationships/ctrlProp" Target="../ctrlProps/ctrlProp33.xml"/><Relationship Id="rId36" Type="http://schemas.openxmlformats.org/officeDocument/2006/relationships/ctrlProp" Target="../ctrlProps/ctrlProp54.xml"/><Relationship Id="rId57" Type="http://schemas.openxmlformats.org/officeDocument/2006/relationships/ctrlProp" Target="../ctrlProps/ctrlProp75.xml"/><Relationship Id="rId106" Type="http://schemas.openxmlformats.org/officeDocument/2006/relationships/ctrlProp" Target="../ctrlProps/ctrlProp124.xml"/><Relationship Id="rId127" Type="http://schemas.openxmlformats.org/officeDocument/2006/relationships/ctrlProp" Target="../ctrlProps/ctrlProp145.xml"/><Relationship Id="rId10" Type="http://schemas.openxmlformats.org/officeDocument/2006/relationships/ctrlProp" Target="../ctrlProps/ctrlProp28.xml"/><Relationship Id="rId31" Type="http://schemas.openxmlformats.org/officeDocument/2006/relationships/ctrlProp" Target="../ctrlProps/ctrlProp49.xml"/><Relationship Id="rId52" Type="http://schemas.openxmlformats.org/officeDocument/2006/relationships/ctrlProp" Target="../ctrlProps/ctrlProp70.xml"/><Relationship Id="rId73" Type="http://schemas.openxmlformats.org/officeDocument/2006/relationships/ctrlProp" Target="../ctrlProps/ctrlProp91.xml"/><Relationship Id="rId78" Type="http://schemas.openxmlformats.org/officeDocument/2006/relationships/ctrlProp" Target="../ctrlProps/ctrlProp96.xml"/><Relationship Id="rId94" Type="http://schemas.openxmlformats.org/officeDocument/2006/relationships/ctrlProp" Target="../ctrlProps/ctrlProp112.xml"/><Relationship Id="rId99" Type="http://schemas.openxmlformats.org/officeDocument/2006/relationships/ctrlProp" Target="../ctrlProps/ctrlProp117.xml"/><Relationship Id="rId101" Type="http://schemas.openxmlformats.org/officeDocument/2006/relationships/ctrlProp" Target="../ctrlProps/ctrlProp119.xml"/><Relationship Id="rId122" Type="http://schemas.openxmlformats.org/officeDocument/2006/relationships/ctrlProp" Target="../ctrlProps/ctrlProp140.xml"/><Relationship Id="rId4" Type="http://schemas.openxmlformats.org/officeDocument/2006/relationships/ctrlProp" Target="../ctrlProps/ctrlProp22.xml"/><Relationship Id="rId9" Type="http://schemas.openxmlformats.org/officeDocument/2006/relationships/ctrlProp" Target="../ctrlProps/ctrlProp27.xml"/><Relationship Id="rId26" Type="http://schemas.openxmlformats.org/officeDocument/2006/relationships/ctrlProp" Target="../ctrlProps/ctrlProp44.xml"/><Relationship Id="rId47" Type="http://schemas.openxmlformats.org/officeDocument/2006/relationships/ctrlProp" Target="../ctrlProps/ctrlProp65.xml"/><Relationship Id="rId68" Type="http://schemas.openxmlformats.org/officeDocument/2006/relationships/ctrlProp" Target="../ctrlProps/ctrlProp86.xml"/><Relationship Id="rId89" Type="http://schemas.openxmlformats.org/officeDocument/2006/relationships/ctrlProp" Target="../ctrlProps/ctrlProp107.xml"/><Relationship Id="rId112" Type="http://schemas.openxmlformats.org/officeDocument/2006/relationships/ctrlProp" Target="../ctrlProps/ctrlProp130.xml"/><Relationship Id="rId133" Type="http://schemas.openxmlformats.org/officeDocument/2006/relationships/ctrlProp" Target="../ctrlProps/ctrlProp151.xml"/><Relationship Id="rId16" Type="http://schemas.openxmlformats.org/officeDocument/2006/relationships/ctrlProp" Target="../ctrlProps/ctrlProp3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1.xml"/><Relationship Id="rId4" Type="http://schemas.openxmlformats.org/officeDocument/2006/relationships/ctrlProp" Target="../ctrlProps/ctrlProp160.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63.xml"/><Relationship Id="rId4" Type="http://schemas.openxmlformats.org/officeDocument/2006/relationships/ctrlProp" Target="../ctrlProps/ctrlProp16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J50"/>
  <sheetViews>
    <sheetView tabSelected="1" zoomScale="62" zoomScaleNormal="62" zoomScaleSheetLayoutView="80" workbookViewId="0">
      <selection activeCell="M25" sqref="M25"/>
    </sheetView>
  </sheetViews>
  <sheetFormatPr defaultRowHeight="15" x14ac:dyDescent="0.25"/>
  <cols>
    <col min="1" max="16384" width="9.140625" style="918"/>
  </cols>
  <sheetData>
    <row r="1" spans="2:10" ht="27.75" customHeight="1" x14ac:dyDescent="0.25"/>
    <row r="2" spans="2:10" x14ac:dyDescent="0.25">
      <c r="B2" s="1116"/>
      <c r="C2" s="1117"/>
      <c r="D2" s="1117"/>
      <c r="E2" s="1117"/>
      <c r="F2" s="1117"/>
      <c r="G2" s="1117"/>
      <c r="H2" s="1117"/>
      <c r="I2" s="1117"/>
      <c r="J2" s="1118"/>
    </row>
    <row r="3" spans="2:10" x14ac:dyDescent="0.25">
      <c r="B3" s="1119"/>
      <c r="C3" s="491"/>
      <c r="D3" s="491"/>
      <c r="E3" s="491"/>
      <c r="F3" s="491"/>
      <c r="G3" s="491"/>
      <c r="H3" s="491"/>
      <c r="I3" s="491"/>
      <c r="J3" s="1120"/>
    </row>
    <row r="4" spans="2:10" x14ac:dyDescent="0.25">
      <c r="B4" s="1119"/>
      <c r="C4" s="491"/>
      <c r="D4" s="491"/>
      <c r="E4" s="491"/>
      <c r="F4" s="491"/>
      <c r="G4" s="491"/>
      <c r="H4" s="491"/>
      <c r="I4" s="491"/>
      <c r="J4" s="1120"/>
    </row>
    <row r="5" spans="2:10" x14ac:dyDescent="0.25">
      <c r="B5" s="1119"/>
      <c r="C5" s="1121"/>
      <c r="D5" s="1121"/>
      <c r="E5" s="1121"/>
      <c r="F5" s="1121"/>
      <c r="G5" s="1121"/>
      <c r="H5" s="1121"/>
      <c r="I5" s="1121"/>
      <c r="J5" s="1120"/>
    </row>
    <row r="6" spans="2:10" ht="15" customHeight="1" x14ac:dyDescent="0.25">
      <c r="B6" s="6152" t="s">
        <v>1260</v>
      </c>
      <c r="C6" s="6153"/>
      <c r="D6" s="6153"/>
      <c r="E6" s="6153"/>
      <c r="F6" s="6153"/>
      <c r="G6" s="6153"/>
      <c r="H6" s="6153"/>
      <c r="I6" s="6153"/>
      <c r="J6" s="6154"/>
    </row>
    <row r="7" spans="2:10" ht="15" customHeight="1" x14ac:dyDescent="0.25">
      <c r="B7" s="6152"/>
      <c r="C7" s="6153"/>
      <c r="D7" s="6153"/>
      <c r="E7" s="6153"/>
      <c r="F7" s="6153"/>
      <c r="G7" s="6153"/>
      <c r="H7" s="6153"/>
      <c r="I7" s="6153"/>
      <c r="J7" s="6154"/>
    </row>
    <row r="8" spans="2:10" ht="24" customHeight="1" x14ac:dyDescent="0.25">
      <c r="B8" s="6152"/>
      <c r="C8" s="6153"/>
      <c r="D8" s="6153"/>
      <c r="E8" s="6153"/>
      <c r="F8" s="6153"/>
      <c r="G8" s="6153"/>
      <c r="H8" s="6153"/>
      <c r="I8" s="6153"/>
      <c r="J8" s="6154"/>
    </row>
    <row r="9" spans="2:10" x14ac:dyDescent="0.25">
      <c r="B9" s="1119"/>
      <c r="C9" s="491"/>
      <c r="D9" s="491"/>
      <c r="E9" s="491"/>
      <c r="F9" s="491"/>
      <c r="G9" s="491"/>
      <c r="H9" s="491"/>
      <c r="I9" s="491"/>
      <c r="J9" s="1120"/>
    </row>
    <row r="10" spans="2:10" x14ac:dyDescent="0.25">
      <c r="B10" s="1119"/>
      <c r="C10" s="491"/>
      <c r="D10" s="491"/>
      <c r="E10" s="491"/>
      <c r="F10" s="491"/>
      <c r="G10" s="491"/>
      <c r="H10" s="491"/>
      <c r="I10" s="491"/>
      <c r="J10" s="1120"/>
    </row>
    <row r="11" spans="2:10" ht="15" customHeight="1" x14ac:dyDescent="0.4">
      <c r="B11" s="1119"/>
      <c r="C11" s="491"/>
      <c r="D11" s="6155"/>
      <c r="E11" s="6155"/>
      <c r="F11" s="6155"/>
      <c r="G11" s="6155"/>
      <c r="H11" s="6155"/>
      <c r="I11" s="491"/>
      <c r="J11" s="1120"/>
    </row>
    <row r="12" spans="2:10" x14ac:dyDescent="0.25">
      <c r="B12" s="1119"/>
      <c r="C12" s="491"/>
      <c r="D12" s="491"/>
      <c r="E12" s="491"/>
      <c r="F12" s="491"/>
      <c r="G12" s="491"/>
      <c r="H12" s="491"/>
      <c r="I12" s="491"/>
      <c r="J12" s="1120"/>
    </row>
    <row r="13" spans="2:10" x14ac:dyDescent="0.25">
      <c r="B13" s="1119"/>
      <c r="C13" s="1121"/>
      <c r="D13" s="1121"/>
      <c r="E13" s="1121"/>
      <c r="F13" s="1121"/>
      <c r="G13" s="1121"/>
      <c r="H13" s="1121"/>
      <c r="I13" s="1121"/>
      <c r="J13" s="1120"/>
    </row>
    <row r="14" spans="2:10" x14ac:dyDescent="0.25">
      <c r="B14" s="1119"/>
      <c r="C14" s="491"/>
      <c r="D14" s="491"/>
      <c r="E14" s="491"/>
      <c r="F14" s="491"/>
      <c r="G14" s="491"/>
      <c r="H14" s="491"/>
      <c r="I14" s="491"/>
      <c r="J14" s="1120"/>
    </row>
    <row r="15" spans="2:10" x14ac:dyDescent="0.25">
      <c r="B15" s="1119"/>
      <c r="C15" s="491"/>
      <c r="D15" s="491"/>
      <c r="E15" s="491"/>
      <c r="F15" s="491"/>
      <c r="G15" s="491"/>
      <c r="H15" s="491"/>
      <c r="I15" s="491"/>
      <c r="J15" s="1120"/>
    </row>
    <row r="16" spans="2:10" x14ac:dyDescent="0.25">
      <c r="B16" s="1119"/>
      <c r="C16" s="1121"/>
      <c r="D16" s="491"/>
      <c r="E16" s="491"/>
      <c r="F16" s="491"/>
      <c r="G16" s="491"/>
      <c r="H16" s="491"/>
      <c r="I16" s="491"/>
      <c r="J16" s="1120"/>
    </row>
    <row r="17" spans="2:10" ht="15" customHeight="1" x14ac:dyDescent="0.25">
      <c r="B17" s="1119"/>
      <c r="C17" s="6156" t="s">
        <v>3933</v>
      </c>
      <c r="D17" s="6156"/>
      <c r="E17" s="6156"/>
      <c r="F17" s="6156"/>
      <c r="G17" s="6156"/>
      <c r="H17" s="6156"/>
      <c r="I17" s="6156"/>
      <c r="J17" s="1120"/>
    </row>
    <row r="18" spans="2:10" ht="15" customHeight="1" x14ac:dyDescent="0.25">
      <c r="B18" s="1119"/>
      <c r="C18" s="6156"/>
      <c r="D18" s="6156"/>
      <c r="E18" s="6156"/>
      <c r="F18" s="6156"/>
      <c r="G18" s="6156"/>
      <c r="H18" s="6156"/>
      <c r="I18" s="6156"/>
      <c r="J18" s="1120"/>
    </row>
    <row r="19" spans="2:10" ht="58.5" customHeight="1" x14ac:dyDescent="0.25">
      <c r="B19" s="1119"/>
      <c r="C19" s="6157"/>
      <c r="D19" s="6157"/>
      <c r="E19" s="6157"/>
      <c r="F19" s="6157"/>
      <c r="G19" s="6157"/>
      <c r="H19" s="6157"/>
      <c r="I19" s="6157"/>
      <c r="J19" s="1120"/>
    </row>
    <row r="20" spans="2:10" ht="16.5" customHeight="1" x14ac:dyDescent="0.25">
      <c r="B20" s="1119"/>
      <c r="C20" s="6158" t="s">
        <v>3934</v>
      </c>
      <c r="D20" s="6158"/>
      <c r="E20" s="6158"/>
      <c r="F20" s="6158"/>
      <c r="G20" s="6158"/>
      <c r="H20" s="6158"/>
      <c r="I20" s="6158"/>
      <c r="J20" s="1120"/>
    </row>
    <row r="21" spans="2:10" x14ac:dyDescent="0.25">
      <c r="B21" s="1119"/>
      <c r="C21" s="6159"/>
      <c r="D21" s="6159"/>
      <c r="E21" s="6159"/>
      <c r="F21" s="6159"/>
      <c r="G21" s="6159"/>
      <c r="H21" s="6159"/>
      <c r="I21" s="6159"/>
      <c r="J21" s="1120"/>
    </row>
    <row r="22" spans="2:10" ht="15" customHeight="1" x14ac:dyDescent="0.25">
      <c r="B22" s="6160"/>
      <c r="C22" s="6161"/>
      <c r="D22" s="6161"/>
      <c r="E22" s="6161"/>
      <c r="F22" s="6161"/>
      <c r="G22" s="6161"/>
      <c r="H22" s="6161"/>
      <c r="I22" s="6161"/>
      <c r="J22" s="6162"/>
    </row>
    <row r="23" spans="2:10" ht="15" customHeight="1" x14ac:dyDescent="0.25">
      <c r="B23" s="6160"/>
      <c r="C23" s="6161"/>
      <c r="D23" s="6161"/>
      <c r="E23" s="6161"/>
      <c r="F23" s="6161"/>
      <c r="G23" s="6161"/>
      <c r="H23" s="6161"/>
      <c r="I23" s="6161"/>
      <c r="J23" s="6162"/>
    </row>
    <row r="24" spans="2:10" x14ac:dyDescent="0.25">
      <c r="B24" s="1119"/>
      <c r="C24" s="491"/>
      <c r="D24" s="491"/>
      <c r="E24" s="491"/>
      <c r="F24" s="491"/>
      <c r="G24" s="491"/>
      <c r="H24" s="491"/>
      <c r="I24" s="491"/>
      <c r="J24" s="1120"/>
    </row>
    <row r="25" spans="2:10" x14ac:dyDescent="0.25">
      <c r="B25" s="1119"/>
      <c r="C25" s="491"/>
      <c r="D25" s="491"/>
      <c r="E25" s="491"/>
      <c r="F25" s="491"/>
      <c r="G25" s="491"/>
      <c r="H25" s="491"/>
      <c r="I25" s="491"/>
      <c r="J25" s="1120"/>
    </row>
    <row r="26" spans="2:10" x14ac:dyDescent="0.25">
      <c r="B26" s="1119"/>
      <c r="C26" s="491"/>
      <c r="D26" s="491"/>
      <c r="E26" s="491"/>
      <c r="F26" s="491"/>
      <c r="G26" s="491"/>
      <c r="H26" s="491"/>
      <c r="I26" s="491"/>
      <c r="J26" s="1120"/>
    </row>
    <row r="27" spans="2:10" x14ac:dyDescent="0.25">
      <c r="B27" s="1119"/>
      <c r="C27" s="491"/>
      <c r="D27" s="491"/>
      <c r="E27" s="491"/>
      <c r="F27" s="491"/>
      <c r="G27" s="491"/>
      <c r="H27" s="491"/>
      <c r="I27" s="491"/>
      <c r="J27" s="1120"/>
    </row>
    <row r="28" spans="2:10" x14ac:dyDescent="0.25">
      <c r="B28" s="1119"/>
      <c r="C28" s="491"/>
      <c r="D28" s="491"/>
      <c r="E28" s="491"/>
      <c r="F28" s="491"/>
      <c r="G28" s="491"/>
      <c r="H28" s="491"/>
      <c r="I28" s="491"/>
      <c r="J28" s="1120"/>
    </row>
    <row r="29" spans="2:10" x14ac:dyDescent="0.25">
      <c r="B29" s="1119"/>
      <c r="C29" s="491"/>
      <c r="D29" s="491"/>
      <c r="E29" s="491"/>
      <c r="F29" s="491"/>
      <c r="G29" s="491"/>
      <c r="H29" s="491"/>
      <c r="I29" s="491"/>
      <c r="J29" s="1120"/>
    </row>
    <row r="30" spans="2:10" x14ac:dyDescent="0.25">
      <c r="B30" s="1119"/>
      <c r="C30" s="6149"/>
      <c r="D30" s="6149"/>
      <c r="E30" s="6149"/>
      <c r="F30" s="6149"/>
      <c r="G30" s="6149"/>
      <c r="H30" s="6149"/>
      <c r="I30" s="6149"/>
      <c r="J30" s="1120"/>
    </row>
    <row r="31" spans="2:10" x14ac:dyDescent="0.25">
      <c r="B31" s="1119"/>
      <c r="C31" s="6149"/>
      <c r="D31" s="6149"/>
      <c r="E31" s="6149"/>
      <c r="F31" s="6149"/>
      <c r="G31" s="6149"/>
      <c r="H31" s="6149"/>
      <c r="I31" s="6149"/>
      <c r="J31" s="1120"/>
    </row>
    <row r="32" spans="2:10" x14ac:dyDescent="0.25">
      <c r="B32" s="1119"/>
      <c r="C32" s="6149" t="s">
        <v>1261</v>
      </c>
      <c r="D32" s="6149"/>
      <c r="E32" s="6149"/>
      <c r="F32" s="6149"/>
      <c r="G32" s="6149"/>
      <c r="H32" s="6149"/>
      <c r="I32" s="6149"/>
      <c r="J32" s="1120"/>
    </row>
    <row r="33" spans="2:10" x14ac:dyDescent="0.25">
      <c r="B33" s="1119"/>
      <c r="C33" s="1122"/>
      <c r="D33" s="1122"/>
      <c r="E33" s="1122"/>
      <c r="F33" s="1122"/>
      <c r="G33" s="1122"/>
      <c r="H33" s="1122"/>
      <c r="I33" s="1122"/>
      <c r="J33" s="1120"/>
    </row>
    <row r="34" spans="2:10" x14ac:dyDescent="0.25">
      <c r="B34" s="1119"/>
      <c r="C34" s="491"/>
      <c r="D34" s="491"/>
      <c r="E34" s="491"/>
      <c r="F34" s="491"/>
      <c r="G34" s="491"/>
      <c r="H34" s="491"/>
      <c r="I34" s="491"/>
      <c r="J34" s="1120"/>
    </row>
    <row r="35" spans="2:10" x14ac:dyDescent="0.25">
      <c r="B35" s="1119"/>
      <c r="C35" s="1121"/>
      <c r="D35" s="1121"/>
      <c r="E35" s="1121"/>
      <c r="F35" s="1121"/>
      <c r="G35" s="1121"/>
      <c r="H35" s="1121"/>
      <c r="I35" s="1121"/>
      <c r="J35" s="1120"/>
    </row>
    <row r="36" spans="2:10" x14ac:dyDescent="0.25">
      <c r="B36" s="1119"/>
      <c r="C36" s="1121"/>
      <c r="D36" s="1121"/>
      <c r="E36" s="1121"/>
      <c r="F36" s="1121"/>
      <c r="G36" s="1121"/>
      <c r="H36" s="1121"/>
      <c r="I36" s="1121"/>
      <c r="J36" s="1120"/>
    </row>
    <row r="37" spans="2:10" x14ac:dyDescent="0.25">
      <c r="B37" s="1119"/>
      <c r="C37" s="1121"/>
      <c r="D37" s="1121"/>
      <c r="E37" s="1121"/>
      <c r="F37" s="1121"/>
      <c r="G37" s="1121"/>
      <c r="H37" s="1121"/>
      <c r="I37" s="1121"/>
      <c r="J37" s="1120"/>
    </row>
    <row r="38" spans="2:10" x14ac:dyDescent="0.25">
      <c r="B38" s="1119"/>
      <c r="C38" s="1121"/>
      <c r="D38" s="1121"/>
      <c r="E38" s="1121"/>
      <c r="F38" s="1121"/>
      <c r="G38" s="1121"/>
      <c r="H38" s="1121"/>
      <c r="I38" s="1121"/>
      <c r="J38" s="1120"/>
    </row>
    <row r="39" spans="2:10" ht="15.75" x14ac:dyDescent="0.25">
      <c r="B39" s="1119"/>
      <c r="C39" s="6150" t="s">
        <v>1421</v>
      </c>
      <c r="D39" s="6150"/>
      <c r="E39" s="6150"/>
      <c r="F39" s="6150"/>
      <c r="G39" s="6150"/>
      <c r="H39" s="6150"/>
      <c r="I39" s="6150"/>
      <c r="J39" s="1120"/>
    </row>
    <row r="40" spans="2:10" x14ac:dyDescent="0.25">
      <c r="B40" s="1119"/>
      <c r="C40" s="1121"/>
      <c r="D40" s="1121"/>
      <c r="E40" s="1121"/>
      <c r="F40" s="1121"/>
      <c r="G40" s="1121"/>
      <c r="H40" s="1121"/>
      <c r="I40" s="1121"/>
      <c r="J40" s="1120"/>
    </row>
    <row r="41" spans="2:10" x14ac:dyDescent="0.25">
      <c r="B41" s="1119"/>
      <c r="C41" s="491"/>
      <c r="D41" s="5962"/>
      <c r="E41" s="5962"/>
      <c r="F41" s="5962"/>
      <c r="G41" s="5962"/>
      <c r="H41" s="5962"/>
      <c r="I41" s="491"/>
      <c r="J41" s="1120"/>
    </row>
    <row r="42" spans="2:10" x14ac:dyDescent="0.25">
      <c r="B42" s="1119"/>
      <c r="C42" s="1121"/>
      <c r="D42" s="5962"/>
      <c r="E42" s="5962"/>
      <c r="F42" s="5962"/>
      <c r="G42" s="5962"/>
      <c r="H42" s="5962"/>
      <c r="I42" s="1121"/>
      <c r="J42" s="1120"/>
    </row>
    <row r="43" spans="2:10" ht="15" customHeight="1" x14ac:dyDescent="0.25">
      <c r="B43" s="1119"/>
      <c r="C43" s="491"/>
      <c r="D43" s="5962"/>
      <c r="E43" s="5962"/>
      <c r="F43" s="5962"/>
      <c r="G43" s="5962"/>
      <c r="H43" s="5962"/>
      <c r="I43" s="491"/>
      <c r="J43" s="1120"/>
    </row>
    <row r="44" spans="2:10" x14ac:dyDescent="0.25">
      <c r="B44" s="1119"/>
      <c r="C44" s="491"/>
      <c r="D44" s="5962"/>
      <c r="E44" s="5962"/>
      <c r="F44" s="5962"/>
      <c r="G44" s="5962"/>
      <c r="H44" s="5962"/>
      <c r="I44" s="491"/>
      <c r="J44" s="1120"/>
    </row>
    <row r="45" spans="2:10" x14ac:dyDescent="0.25">
      <c r="B45" s="1119"/>
      <c r="C45" s="1121"/>
      <c r="D45" s="1121"/>
      <c r="E45" s="1121"/>
      <c r="F45" s="1121"/>
      <c r="G45" s="1121"/>
      <c r="H45" s="1121"/>
      <c r="I45" s="1121"/>
      <c r="J45" s="1120"/>
    </row>
    <row r="46" spans="2:10" x14ac:dyDescent="0.25">
      <c r="B46" s="1119"/>
      <c r="C46" s="6151" t="s">
        <v>3083</v>
      </c>
      <c r="D46" s="6151"/>
      <c r="E46" s="6151"/>
      <c r="F46" s="6151"/>
      <c r="G46" s="6151"/>
      <c r="H46" s="6151"/>
      <c r="I46" s="6151"/>
      <c r="J46" s="1120"/>
    </row>
    <row r="47" spans="2:10" x14ac:dyDescent="0.25">
      <c r="B47" s="1119"/>
      <c r="C47" s="6151"/>
      <c r="D47" s="6151"/>
      <c r="E47" s="6151"/>
      <c r="F47" s="6151"/>
      <c r="G47" s="6151"/>
      <c r="H47" s="6151"/>
      <c r="I47" s="6151"/>
      <c r="J47" s="1120"/>
    </row>
    <row r="48" spans="2:10" x14ac:dyDescent="0.25">
      <c r="B48" s="1119"/>
      <c r="C48" s="1121"/>
      <c r="D48" s="1121"/>
      <c r="E48" s="1121"/>
      <c r="F48" s="1121"/>
      <c r="G48" s="1121"/>
      <c r="H48" s="1121"/>
      <c r="I48" s="1121"/>
      <c r="J48" s="1120"/>
    </row>
    <row r="49" spans="2:10" x14ac:dyDescent="0.25">
      <c r="B49" s="1119"/>
      <c r="C49" s="491"/>
      <c r="D49" s="491"/>
      <c r="E49" s="491"/>
      <c r="F49" s="491"/>
      <c r="G49" s="491"/>
      <c r="H49" s="491"/>
      <c r="I49" s="491"/>
      <c r="J49" s="1120"/>
    </row>
    <row r="50" spans="2:10" x14ac:dyDescent="0.25">
      <c r="B50" s="1123"/>
      <c r="C50" s="1124"/>
      <c r="D50" s="1124"/>
      <c r="E50" s="1124"/>
      <c r="F50" s="1124"/>
      <c r="G50" s="1124"/>
      <c r="H50" s="1124"/>
      <c r="I50" s="1124"/>
      <c r="J50" s="1125"/>
    </row>
  </sheetData>
  <sheetProtection selectLockedCells="1"/>
  <mergeCells count="10">
    <mergeCell ref="C31:I31"/>
    <mergeCell ref="C32:I32"/>
    <mergeCell ref="C39:I39"/>
    <mergeCell ref="C46:I47"/>
    <mergeCell ref="B6:J8"/>
    <mergeCell ref="D11:H11"/>
    <mergeCell ref="C17:I19"/>
    <mergeCell ref="C20:I21"/>
    <mergeCell ref="B22:J23"/>
    <mergeCell ref="C30:I30"/>
  </mergeCells>
  <printOptions horizontalCentered="1" verticalCentered="1"/>
  <pageMargins left="0.9055118110236221" right="0.27559055118110237" top="0.82677165354330717" bottom="0.31496062992125984" header="0.31496062992125984" footer="0.31496062992125984"/>
  <pageSetup paperSize="9" scale="98" orientation="portrait" verticalDpi="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6"/>
    <pageSetUpPr autoPageBreaks="0" fitToPage="1"/>
  </sheetPr>
  <dimension ref="A1:AE254"/>
  <sheetViews>
    <sheetView topLeftCell="A190" zoomScale="70" zoomScaleNormal="70" zoomScaleSheetLayoutView="30" workbookViewId="0">
      <selection activeCell="D97" sqref="D97"/>
    </sheetView>
  </sheetViews>
  <sheetFormatPr defaultColWidth="9.140625" defaultRowHeight="15" x14ac:dyDescent="0.25"/>
  <cols>
    <col min="1" max="1" width="9.140625" style="466"/>
    <col min="2" max="2" width="6.42578125" style="478" customWidth="1"/>
    <col min="3" max="3" width="2.42578125" style="5546" customWidth="1"/>
    <col min="4" max="4" width="4.5703125" style="492" customWidth="1"/>
    <col min="5" max="5" width="11.5703125" style="3363" customWidth="1"/>
    <col min="6" max="6" width="66" style="478" customWidth="1"/>
    <col min="7" max="7" width="19.140625" style="492" customWidth="1"/>
    <col min="8" max="8" width="17.28515625" style="478" customWidth="1"/>
    <col min="9" max="9" width="2.42578125" style="478" customWidth="1"/>
    <col min="10" max="10" width="8.140625" style="478" customWidth="1"/>
    <col min="11" max="11" width="11.42578125" style="484" customWidth="1"/>
    <col min="12" max="12" width="10.7109375" style="484" customWidth="1"/>
    <col min="13" max="13" width="10.5703125" style="478" customWidth="1"/>
    <col min="14" max="14" width="8.5703125" style="478" customWidth="1"/>
    <col min="15" max="15" width="9.140625" style="478" customWidth="1"/>
    <col min="16" max="16" width="10.5703125" style="478" customWidth="1"/>
    <col min="17" max="17" width="9.7109375" style="478" customWidth="1"/>
    <col min="18" max="20" width="9.140625" style="478"/>
    <col min="21" max="21" width="9.85546875" style="478" customWidth="1"/>
    <col min="22" max="23" width="9.140625" style="478"/>
    <col min="24" max="24" width="5" style="478" customWidth="1"/>
    <col min="25" max="25" width="9.140625" style="1311"/>
    <col min="26" max="26" width="9.140625" style="3739" hidden="1" customWidth="1"/>
    <col min="27" max="27" width="9.140625" style="1316"/>
    <col min="28" max="16384" width="9.140625" style="478"/>
  </cols>
  <sheetData>
    <row r="1" spans="1:31" s="466" customFormat="1" ht="6" customHeight="1" x14ac:dyDescent="0.25">
      <c r="C1" s="5545"/>
      <c r="D1" s="494"/>
      <c r="E1" s="3362"/>
      <c r="K1" s="465"/>
      <c r="Y1" s="1311"/>
      <c r="Z1" s="3735"/>
      <c r="AA1" s="1311"/>
    </row>
    <row r="2" spans="1:31" s="466" customFormat="1" ht="49.5" customHeight="1" x14ac:dyDescent="0.5">
      <c r="B2" s="516"/>
      <c r="C2" s="6467" t="s">
        <v>2088</v>
      </c>
      <c r="D2" s="6467"/>
      <c r="E2" s="6467"/>
      <c r="F2" s="6467"/>
      <c r="G2" s="6467"/>
      <c r="H2" s="6467"/>
      <c r="I2" s="6467"/>
      <c r="J2" s="6467"/>
      <c r="K2" s="6467"/>
      <c r="L2" s="6467"/>
      <c r="M2" s="6467"/>
      <c r="N2" s="6467"/>
      <c r="O2" s="6467"/>
      <c r="P2" s="6467"/>
      <c r="Q2" s="6467"/>
      <c r="R2" s="6467"/>
      <c r="S2" s="517"/>
      <c r="T2" s="517"/>
      <c r="U2" s="517"/>
      <c r="V2" s="517"/>
      <c r="W2" s="517"/>
      <c r="X2" s="518"/>
      <c r="Y2" s="1311"/>
      <c r="Z2" s="3735"/>
      <c r="AA2" s="1311"/>
    </row>
    <row r="3" spans="1:31" s="466" customFormat="1" ht="14.25" customHeight="1" x14ac:dyDescent="0.25">
      <c r="B3" s="519"/>
      <c r="C3" s="469"/>
      <c r="D3" s="922"/>
      <c r="E3" s="469"/>
      <c r="F3" s="469"/>
      <c r="G3" s="469"/>
      <c r="H3" s="469"/>
      <c r="I3" s="469"/>
      <c r="J3" s="468"/>
      <c r="K3" s="468"/>
      <c r="L3" s="468"/>
      <c r="M3" s="468"/>
      <c r="N3" s="468"/>
      <c r="O3" s="468"/>
      <c r="P3" s="468"/>
      <c r="Q3" s="468"/>
      <c r="R3" s="468"/>
      <c r="S3" s="468"/>
      <c r="T3" s="468"/>
      <c r="U3" s="468"/>
      <c r="V3" s="468"/>
      <c r="W3" s="468"/>
      <c r="X3" s="520"/>
      <c r="Y3" s="1311"/>
      <c r="Z3" s="3735"/>
      <c r="AA3" s="1311"/>
    </row>
    <row r="4" spans="1:31" s="466" customFormat="1" ht="28.5" x14ac:dyDescent="0.25">
      <c r="B4" s="519"/>
      <c r="C4" s="6176" t="s">
        <v>3738</v>
      </c>
      <c r="D4" s="6176"/>
      <c r="E4" s="6176"/>
      <c r="F4" s="6176"/>
      <c r="G4" s="6176"/>
      <c r="H4" s="6176"/>
      <c r="I4" s="6176"/>
      <c r="J4" s="6176"/>
      <c r="K4" s="6176"/>
      <c r="L4" s="6176"/>
      <c r="M4" s="6176"/>
      <c r="N4" s="6176"/>
      <c r="O4" s="6176"/>
      <c r="P4" s="6176"/>
      <c r="Q4" s="6176"/>
      <c r="R4" s="6176"/>
      <c r="S4" s="6176"/>
      <c r="T4" s="486"/>
      <c r="U4" s="486"/>
      <c r="V4" s="486"/>
      <c r="W4" s="491"/>
      <c r="X4" s="520"/>
      <c r="Y4" s="1311"/>
      <c r="Z4" s="3735"/>
      <c r="AA4" s="1311"/>
    </row>
    <row r="5" spans="1:31" s="466" customFormat="1" ht="9" customHeight="1" x14ac:dyDescent="0.25">
      <c r="B5" s="519"/>
      <c r="C5" s="469"/>
      <c r="D5" s="922"/>
      <c r="E5" s="469"/>
      <c r="F5" s="469"/>
      <c r="G5" s="469"/>
      <c r="H5" s="469"/>
      <c r="I5" s="469"/>
      <c r="J5" s="468"/>
      <c r="K5" s="468"/>
      <c r="L5" s="468"/>
      <c r="M5" s="468"/>
      <c r="N5" s="468"/>
      <c r="O5" s="468"/>
      <c r="P5" s="468"/>
      <c r="Q5" s="468"/>
      <c r="R5" s="468"/>
      <c r="S5" s="468"/>
      <c r="T5" s="468"/>
      <c r="U5" s="468"/>
      <c r="V5" s="468"/>
      <c r="W5" s="468"/>
      <c r="X5" s="520"/>
      <c r="Y5" s="1311"/>
      <c r="Z5" s="3735"/>
      <c r="AA5" s="1311"/>
    </row>
    <row r="6" spans="1:31" s="472" customFormat="1" ht="19.5" customHeight="1" x14ac:dyDescent="0.25">
      <c r="B6" s="6468"/>
      <c r="C6" s="6469"/>
      <c r="D6" s="6469"/>
      <c r="E6" s="6469"/>
      <c r="F6" s="6349" t="s">
        <v>2911</v>
      </c>
      <c r="G6" s="6349"/>
      <c r="H6" s="6349"/>
      <c r="I6" s="6349"/>
      <c r="J6" s="6349"/>
      <c r="K6" s="6349"/>
      <c r="L6" s="6349"/>
      <c r="M6" s="6349"/>
      <c r="N6" s="6349"/>
      <c r="O6" s="6349"/>
      <c r="P6" s="6349"/>
      <c r="Q6" s="6349"/>
      <c r="R6" s="481"/>
      <c r="S6" s="481"/>
      <c r="T6" s="473"/>
      <c r="U6" s="473"/>
      <c r="V6" s="473"/>
      <c r="W6" s="473"/>
      <c r="X6" s="521"/>
      <c r="Y6" s="1324"/>
      <c r="Z6" s="1327"/>
      <c r="AA6" s="1324"/>
    </row>
    <row r="7" spans="1:31" s="472" customFormat="1" ht="8.25" customHeight="1" x14ac:dyDescent="0.25">
      <c r="B7" s="522"/>
      <c r="C7" s="476"/>
      <c r="D7" s="1220"/>
      <c r="E7" s="477"/>
      <c r="F7" s="477"/>
      <c r="G7" s="477"/>
      <c r="H7" s="477"/>
      <c r="I7" s="477"/>
      <c r="J7" s="473"/>
      <c r="K7" s="473"/>
      <c r="L7" s="473"/>
      <c r="M7" s="473"/>
      <c r="N7" s="473"/>
      <c r="O7" s="473"/>
      <c r="P7" s="473"/>
      <c r="Q7" s="473"/>
      <c r="R7" s="473"/>
      <c r="S7" s="473"/>
      <c r="T7" s="473"/>
      <c r="U7" s="473"/>
      <c r="V7" s="473"/>
      <c r="W7" s="473"/>
      <c r="X7" s="521"/>
      <c r="Y7" s="1324"/>
      <c r="Z7" s="1327"/>
      <c r="AA7" s="1324"/>
    </row>
    <row r="8" spans="1:31" s="467" customFormat="1" ht="31.5" customHeight="1" x14ac:dyDescent="0.25">
      <c r="B8" s="1329"/>
      <c r="C8" s="6350" t="s">
        <v>1705</v>
      </c>
      <c r="D8" s="6350"/>
      <c r="E8" s="6350"/>
      <c r="F8" s="6350"/>
      <c r="G8" s="6350"/>
      <c r="H8" s="6350"/>
      <c r="I8" s="6350"/>
      <c r="J8" s="6350"/>
      <c r="K8" s="6350"/>
      <c r="L8" s="6350"/>
      <c r="M8" s="6350"/>
      <c r="N8" s="6350"/>
      <c r="O8" s="6350"/>
      <c r="P8" s="6350"/>
      <c r="Q8" s="6350"/>
      <c r="R8" s="6350"/>
      <c r="S8" s="6350"/>
      <c r="T8" s="6350"/>
      <c r="U8" s="3645"/>
      <c r="V8" s="3645"/>
      <c r="W8" s="479"/>
      <c r="X8" s="524"/>
      <c r="Y8" s="1328"/>
      <c r="Z8" s="3736"/>
      <c r="AA8" s="1328"/>
    </row>
    <row r="9" spans="1:31" s="467" customFormat="1" ht="26.25" customHeight="1" x14ac:dyDescent="0.25">
      <c r="A9" s="5471" t="s">
        <v>184</v>
      </c>
      <c r="B9" s="1764"/>
      <c r="C9" s="6470" t="s">
        <v>565</v>
      </c>
      <c r="D9" s="6470"/>
      <c r="E9" s="6470"/>
      <c r="F9" s="6470"/>
      <c r="G9" s="6673" t="s">
        <v>568</v>
      </c>
      <c r="H9" s="6673"/>
      <c r="I9" s="6673"/>
      <c r="J9" s="6673"/>
      <c r="K9" s="6470"/>
      <c r="L9" s="6470"/>
      <c r="M9" s="6673" t="s">
        <v>735</v>
      </c>
      <c r="N9" s="6673"/>
      <c r="O9" s="6673"/>
      <c r="P9" s="6673"/>
      <c r="Q9" s="6673"/>
      <c r="R9" s="1336"/>
      <c r="S9" s="6470" t="s">
        <v>1045</v>
      </c>
      <c r="T9" s="6470"/>
      <c r="U9" s="6470"/>
      <c r="V9" s="6470"/>
      <c r="W9" s="6698"/>
      <c r="X9" s="6698"/>
      <c r="Y9" s="3747"/>
      <c r="Z9" s="3736"/>
      <c r="AA9" s="1328"/>
    </row>
    <row r="10" spans="1:31" s="467" customFormat="1" ht="177" customHeight="1" x14ac:dyDescent="0.25">
      <c r="B10" s="6465" t="s">
        <v>948</v>
      </c>
      <c r="C10" s="6465"/>
      <c r="D10" s="6465"/>
      <c r="E10" s="6465"/>
      <c r="F10" s="6471" t="s">
        <v>3089</v>
      </c>
      <c r="G10" s="6472"/>
      <c r="H10" s="6472"/>
      <c r="I10" s="6472"/>
      <c r="J10" s="6472"/>
      <c r="K10" s="6472"/>
      <c r="L10" s="6472"/>
      <c r="M10" s="6472"/>
      <c r="N10" s="6472"/>
      <c r="O10" s="6472"/>
      <c r="P10" s="6472"/>
      <c r="Q10" s="6472"/>
      <c r="R10" s="6472"/>
      <c r="S10" s="6472"/>
      <c r="T10" s="6472"/>
      <c r="U10" s="6472"/>
      <c r="V10" s="6472"/>
      <c r="W10" s="6472"/>
      <c r="X10" s="787"/>
      <c r="Y10" s="1328"/>
      <c r="Z10" s="3736"/>
      <c r="AA10" s="1328"/>
      <c r="AB10" s="1587"/>
      <c r="AC10" s="1587"/>
      <c r="AD10" s="1587"/>
      <c r="AE10" s="1587"/>
    </row>
    <row r="11" spans="1:31" s="467" customFormat="1" ht="35.25" customHeight="1" x14ac:dyDescent="0.25">
      <c r="B11" s="6466"/>
      <c r="C11" s="6466"/>
      <c r="D11" s="6466"/>
      <c r="E11" s="6466"/>
      <c r="F11" s="4734" t="s">
        <v>1711</v>
      </c>
      <c r="G11" s="6473" t="s">
        <v>1707</v>
      </c>
      <c r="H11" s="6473"/>
      <c r="I11" s="6473"/>
      <c r="J11" s="6473"/>
      <c r="K11" s="6473"/>
      <c r="L11" s="6473"/>
      <c r="M11" s="6473"/>
      <c r="N11" s="6473"/>
      <c r="O11" s="6473"/>
      <c r="P11" s="6473"/>
      <c r="Q11" s="6473"/>
      <c r="R11" s="6473"/>
      <c r="S11" s="6473"/>
      <c r="T11" s="6473"/>
      <c r="U11" s="6473"/>
      <c r="V11" s="6473"/>
      <c r="W11" s="6473"/>
      <c r="X11" s="787"/>
      <c r="Y11" s="1328"/>
      <c r="Z11" s="3736"/>
      <c r="AA11" s="1328"/>
    </row>
    <row r="12" spans="1:31" s="467" customFormat="1" ht="69.75" customHeight="1" x14ac:dyDescent="0.25">
      <c r="B12" s="6466"/>
      <c r="C12" s="6466"/>
      <c r="D12" s="6466"/>
      <c r="E12" s="6466"/>
      <c r="F12" s="4734" t="s">
        <v>2983</v>
      </c>
      <c r="G12" s="6473" t="s">
        <v>2910</v>
      </c>
      <c r="H12" s="6473"/>
      <c r="I12" s="6473"/>
      <c r="J12" s="6473"/>
      <c r="K12" s="6473"/>
      <c r="L12" s="6473"/>
      <c r="M12" s="6473"/>
      <c r="N12" s="6473"/>
      <c r="O12" s="6473"/>
      <c r="P12" s="6473"/>
      <c r="Q12" s="6473"/>
      <c r="R12" s="6473"/>
      <c r="S12" s="6473"/>
      <c r="T12" s="6473"/>
      <c r="U12" s="6473"/>
      <c r="V12" s="6473"/>
      <c r="W12" s="6473"/>
      <c r="X12" s="787"/>
      <c r="Y12" s="1328"/>
      <c r="Z12" s="3736"/>
      <c r="AA12" s="1328"/>
    </row>
    <row r="13" spans="1:31" s="467" customFormat="1" ht="33.75" customHeight="1" x14ac:dyDescent="0.25">
      <c r="B13" s="6466"/>
      <c r="C13" s="6466"/>
      <c r="D13" s="6466"/>
      <c r="E13" s="6466"/>
      <c r="F13" s="4734" t="s">
        <v>770</v>
      </c>
      <c r="G13" s="6473" t="s">
        <v>1710</v>
      </c>
      <c r="H13" s="6473"/>
      <c r="I13" s="6473"/>
      <c r="J13" s="6473"/>
      <c r="K13" s="6473"/>
      <c r="L13" s="6473"/>
      <c r="M13" s="6473"/>
      <c r="N13" s="6473"/>
      <c r="O13" s="6473"/>
      <c r="P13" s="6473"/>
      <c r="Q13" s="6473"/>
      <c r="R13" s="6473"/>
      <c r="S13" s="6473"/>
      <c r="T13" s="6473"/>
      <c r="U13" s="6473"/>
      <c r="V13" s="6473"/>
      <c r="W13" s="6473"/>
      <c r="X13" s="787"/>
      <c r="Y13" s="1328"/>
      <c r="Z13" s="3736"/>
      <c r="AA13" s="1328"/>
    </row>
    <row r="14" spans="1:31" s="467" customFormat="1" ht="18.75" x14ac:dyDescent="0.25">
      <c r="B14" s="6466"/>
      <c r="C14" s="6466"/>
      <c r="D14" s="6466"/>
      <c r="E14" s="6466"/>
      <c r="F14" s="4734" t="s">
        <v>1712</v>
      </c>
      <c r="G14" s="6473" t="s">
        <v>2003</v>
      </c>
      <c r="H14" s="6473"/>
      <c r="I14" s="6473"/>
      <c r="J14" s="6473"/>
      <c r="K14" s="6473"/>
      <c r="L14" s="6473"/>
      <c r="M14" s="6473"/>
      <c r="N14" s="6473"/>
      <c r="O14" s="6473"/>
      <c r="P14" s="6473"/>
      <c r="Q14" s="6473"/>
      <c r="R14" s="6473"/>
      <c r="S14" s="6473"/>
      <c r="T14" s="6473"/>
      <c r="U14" s="6473"/>
      <c r="V14" s="6473"/>
      <c r="W14" s="6473"/>
      <c r="X14" s="787"/>
      <c r="Y14" s="1328"/>
      <c r="Z14" s="3736"/>
      <c r="AA14" s="1328"/>
    </row>
    <row r="15" spans="1:31" s="467" customFormat="1" ht="32.25" customHeight="1" x14ac:dyDescent="0.25">
      <c r="B15" s="6466"/>
      <c r="C15" s="6466"/>
      <c r="D15" s="6466"/>
      <c r="E15" s="6466"/>
      <c r="F15" s="4734" t="s">
        <v>1713</v>
      </c>
      <c r="G15" s="6473" t="s">
        <v>2004</v>
      </c>
      <c r="H15" s="6473"/>
      <c r="I15" s="6473"/>
      <c r="J15" s="6473"/>
      <c r="K15" s="6473"/>
      <c r="L15" s="6473"/>
      <c r="M15" s="6473"/>
      <c r="N15" s="6473"/>
      <c r="O15" s="6473"/>
      <c r="P15" s="6473"/>
      <c r="Q15" s="6473"/>
      <c r="R15" s="6473"/>
      <c r="S15" s="6473"/>
      <c r="T15" s="6473"/>
      <c r="U15" s="6473"/>
      <c r="V15" s="6473"/>
      <c r="W15" s="6473"/>
      <c r="X15" s="787"/>
      <c r="Y15" s="1328"/>
      <c r="Z15" s="3736"/>
      <c r="AA15" s="1328"/>
    </row>
    <row r="16" spans="1:31" s="467" customFormat="1" ht="34.5" customHeight="1" x14ac:dyDescent="0.25">
      <c r="B16" s="6466"/>
      <c r="C16" s="6466"/>
      <c r="D16" s="6466"/>
      <c r="E16" s="6466"/>
      <c r="F16" s="4734" t="s">
        <v>1714</v>
      </c>
      <c r="G16" s="6473" t="s">
        <v>1708</v>
      </c>
      <c r="H16" s="6473"/>
      <c r="I16" s="6473"/>
      <c r="J16" s="6473"/>
      <c r="K16" s="6473"/>
      <c r="L16" s="6473"/>
      <c r="M16" s="6473"/>
      <c r="N16" s="6473"/>
      <c r="O16" s="6473"/>
      <c r="P16" s="6473"/>
      <c r="Q16" s="6473"/>
      <c r="R16" s="6473"/>
      <c r="S16" s="6473"/>
      <c r="T16" s="6473"/>
      <c r="U16" s="6473"/>
      <c r="V16" s="6473"/>
      <c r="W16" s="6473"/>
      <c r="X16" s="787"/>
      <c r="Y16" s="1328"/>
      <c r="Z16" s="3736"/>
      <c r="AA16" s="1328"/>
    </row>
    <row r="17" spans="1:27" s="467" customFormat="1" ht="12" customHeight="1" x14ac:dyDescent="0.25">
      <c r="B17" s="796"/>
      <c r="C17" s="796"/>
      <c r="D17" s="1247"/>
      <c r="E17" s="796"/>
      <c r="F17" s="791"/>
      <c r="G17" s="797"/>
      <c r="H17" s="797"/>
      <c r="I17" s="797"/>
      <c r="J17" s="797"/>
      <c r="K17" s="790"/>
      <c r="L17" s="797"/>
      <c r="M17" s="797"/>
      <c r="N17" s="790"/>
      <c r="O17" s="797"/>
      <c r="P17" s="797"/>
      <c r="Q17" s="797"/>
      <c r="R17" s="797"/>
      <c r="S17" s="797"/>
      <c r="T17" s="797"/>
      <c r="U17" s="797"/>
      <c r="V17" s="797"/>
      <c r="W17" s="797"/>
      <c r="X17" s="787"/>
      <c r="Y17" s="1328"/>
      <c r="Z17" s="3736"/>
      <c r="AA17" s="1328"/>
    </row>
    <row r="18" spans="1:27" s="465" customFormat="1" x14ac:dyDescent="0.25">
      <c r="B18" s="464"/>
      <c r="C18" s="47"/>
      <c r="D18" s="470"/>
      <c r="E18" s="470"/>
      <c r="F18" s="4"/>
      <c r="G18" s="4"/>
      <c r="H18" s="4"/>
      <c r="I18" s="4"/>
      <c r="J18" s="4"/>
      <c r="K18" s="4"/>
      <c r="L18" s="4"/>
      <c r="M18" s="4"/>
      <c r="N18" s="4"/>
      <c r="O18" s="4"/>
      <c r="P18" s="4"/>
      <c r="Q18" s="4"/>
      <c r="R18" s="4"/>
      <c r="S18" s="4"/>
      <c r="T18" s="4"/>
      <c r="U18" s="4"/>
      <c r="V18" s="4"/>
      <c r="W18" s="4"/>
      <c r="X18" s="4"/>
      <c r="Y18" s="1312"/>
      <c r="Z18" s="3737"/>
      <c r="AA18" s="1312"/>
    </row>
    <row r="19" spans="1:27" s="480" customFormat="1" ht="31.5" customHeight="1" x14ac:dyDescent="0.25">
      <c r="B19" s="1382"/>
      <c r="C19" s="1383"/>
      <c r="D19" s="1384" t="s">
        <v>1</v>
      </c>
      <c r="E19" s="1384" t="s">
        <v>565</v>
      </c>
      <c r="F19" s="1384"/>
      <c r="G19" s="1384"/>
      <c r="H19" s="1384"/>
      <c r="I19" s="1384"/>
      <c r="J19" s="1384"/>
      <c r="K19" s="1384"/>
      <c r="L19" s="1384"/>
      <c r="M19" s="1384"/>
      <c r="N19" s="1384"/>
      <c r="O19" s="1384"/>
      <c r="P19" s="1384"/>
      <c r="Q19" s="1384"/>
      <c r="R19" s="1384"/>
      <c r="S19" s="1384"/>
      <c r="T19" s="1384"/>
      <c r="U19" s="1385"/>
      <c r="V19" s="1385"/>
      <c r="W19" s="1385"/>
      <c r="X19" s="1386"/>
      <c r="Y19" s="1766"/>
      <c r="Z19" s="3738"/>
      <c r="AA19" s="1766"/>
    </row>
    <row r="20" spans="1:27" ht="18.75" x14ac:dyDescent="0.3">
      <c r="B20" s="389"/>
      <c r="C20" s="389"/>
      <c r="D20" s="384"/>
      <c r="E20" s="384"/>
      <c r="F20" s="384"/>
      <c r="G20" s="384"/>
      <c r="H20" s="384"/>
      <c r="I20" s="2"/>
      <c r="J20" s="2"/>
      <c r="K20" s="2"/>
      <c r="L20" s="2"/>
      <c r="M20" s="2"/>
      <c r="N20" s="2"/>
      <c r="O20" s="2"/>
      <c r="P20" s="2"/>
      <c r="Q20" s="2"/>
      <c r="R20" s="2"/>
      <c r="S20" s="2"/>
      <c r="T20" s="2"/>
      <c r="U20" s="2"/>
      <c r="V20" s="2"/>
      <c r="W20" s="2"/>
      <c r="X20" s="2"/>
    </row>
    <row r="21" spans="1:27" ht="21.75" thickBot="1" x14ac:dyDescent="0.35">
      <c r="B21" s="389"/>
      <c r="C21" s="388"/>
      <c r="D21" s="399"/>
      <c r="E21" s="399">
        <v>1</v>
      </c>
      <c r="F21" s="6431" t="s">
        <v>566</v>
      </c>
      <c r="G21" s="6431"/>
      <c r="H21" s="6431"/>
      <c r="I21" s="390"/>
      <c r="J21" s="2"/>
      <c r="K21" s="2"/>
      <c r="L21" s="2"/>
      <c r="M21" s="2"/>
      <c r="N21" s="2"/>
      <c r="O21" s="2"/>
      <c r="P21" s="2"/>
      <c r="Q21" s="2"/>
      <c r="R21" s="2"/>
      <c r="S21" s="2"/>
      <c r="T21" s="2"/>
      <c r="U21" s="2"/>
      <c r="V21" s="2"/>
      <c r="W21" s="2"/>
      <c r="X21" s="2"/>
    </row>
    <row r="22" spans="1:27" ht="17.25" customHeight="1" thickBot="1" x14ac:dyDescent="0.35">
      <c r="B22" s="389"/>
      <c r="C22" s="5534" t="s">
        <v>3203</v>
      </c>
      <c r="D22" s="3400" t="s">
        <v>786</v>
      </c>
      <c r="E22" s="2976" t="s">
        <v>78</v>
      </c>
      <c r="F22" s="2989" t="s">
        <v>1557</v>
      </c>
      <c r="G22" s="3922"/>
      <c r="H22" s="3923"/>
      <c r="I22" s="5904"/>
      <c r="J22" s="2"/>
      <c r="K22" s="2"/>
      <c r="L22" s="2"/>
      <c r="M22" s="2"/>
      <c r="N22" s="2"/>
      <c r="O22" s="2"/>
      <c r="P22" s="2"/>
      <c r="Q22" s="2"/>
      <c r="R22" s="2"/>
      <c r="S22" s="2"/>
      <c r="T22" s="2"/>
      <c r="U22" s="2"/>
      <c r="V22" s="2"/>
      <c r="W22" s="2"/>
      <c r="X22" s="2"/>
      <c r="Z22" s="3739">
        <f>'Perf assessment'!U209</f>
        <v>0</v>
      </c>
    </row>
    <row r="23" spans="1:27" s="918" customFormat="1" ht="15.75" customHeight="1" x14ac:dyDescent="0.3">
      <c r="A23" s="921"/>
      <c r="B23" s="389"/>
      <c r="C23" s="388"/>
      <c r="D23" s="6457" t="s">
        <v>82</v>
      </c>
      <c r="E23" s="6458"/>
      <c r="F23" s="2974" t="s">
        <v>2214</v>
      </c>
      <c r="G23" s="3113" t="s">
        <v>207</v>
      </c>
      <c r="H23" s="3439">
        <f>Population!$E$31</f>
        <v>0</v>
      </c>
      <c r="I23" s="5904"/>
      <c r="J23" s="991"/>
      <c r="K23" s="991"/>
      <c r="L23" s="991"/>
      <c r="M23" s="991"/>
      <c r="N23" s="991"/>
      <c r="O23" s="991"/>
      <c r="P23" s="991"/>
      <c r="Q23" s="991"/>
      <c r="R23" s="991"/>
      <c r="S23" s="991"/>
      <c r="T23" s="991"/>
      <c r="U23" s="991"/>
      <c r="V23" s="991"/>
      <c r="W23" s="991"/>
      <c r="X23" s="991"/>
      <c r="Y23" s="1311"/>
      <c r="Z23" s="1316"/>
      <c r="AA23" s="1316"/>
    </row>
    <row r="24" spans="1:27" ht="15.75" x14ac:dyDescent="0.3">
      <c r="B24" s="389"/>
      <c r="C24" s="388"/>
      <c r="D24" s="6429" t="s">
        <v>210</v>
      </c>
      <c r="E24" s="6430"/>
      <c r="F24" s="3142" t="s">
        <v>2215</v>
      </c>
      <c r="G24" s="3150" t="s">
        <v>18</v>
      </c>
      <c r="H24" s="3787"/>
      <c r="I24" s="5904"/>
      <c r="J24" s="2"/>
      <c r="K24" s="2"/>
      <c r="L24" s="2"/>
      <c r="M24" s="2"/>
      <c r="N24" s="2"/>
      <c r="O24" s="2"/>
      <c r="P24" s="2"/>
      <c r="Q24" s="2"/>
      <c r="R24" s="2"/>
      <c r="S24" s="2"/>
      <c r="T24" s="2"/>
      <c r="U24" s="2"/>
      <c r="V24" s="2"/>
      <c r="W24" s="2"/>
      <c r="X24" s="2"/>
    </row>
    <row r="25" spans="1:27" ht="15.75" x14ac:dyDescent="0.3">
      <c r="B25" s="389"/>
      <c r="C25" s="388"/>
      <c r="D25" s="6436"/>
      <c r="E25" s="6437"/>
      <c r="F25" s="3144" t="s">
        <v>2216</v>
      </c>
      <c r="G25" s="3145" t="s">
        <v>479</v>
      </c>
      <c r="H25" s="3755"/>
      <c r="I25" s="5904"/>
      <c r="J25" s="2"/>
      <c r="K25" s="2"/>
      <c r="L25" s="2"/>
      <c r="M25" s="2"/>
      <c r="N25" s="2"/>
      <c r="O25" s="2"/>
      <c r="P25" s="2"/>
      <c r="Q25" s="2"/>
      <c r="R25" s="2"/>
      <c r="S25" s="2"/>
      <c r="T25" s="2"/>
      <c r="U25" s="2"/>
      <c r="V25" s="2"/>
      <c r="W25" s="2"/>
      <c r="X25" s="2"/>
    </row>
    <row r="26" spans="1:27" ht="15.75" x14ac:dyDescent="0.3">
      <c r="B26" s="389"/>
      <c r="C26" s="388"/>
      <c r="D26" s="6421" t="s">
        <v>211</v>
      </c>
      <c r="E26" s="6422"/>
      <c r="F26" s="3110" t="s">
        <v>2217</v>
      </c>
      <c r="G26" s="3141" t="s">
        <v>3529</v>
      </c>
      <c r="H26" s="3755"/>
      <c r="I26" s="5904"/>
      <c r="J26" s="2"/>
      <c r="K26" s="2"/>
      <c r="L26" s="2"/>
      <c r="M26" s="2"/>
      <c r="N26" s="2"/>
      <c r="O26" s="2"/>
      <c r="P26" s="2"/>
      <c r="Q26" s="2"/>
      <c r="R26" s="2"/>
      <c r="S26" s="2"/>
      <c r="T26" s="2"/>
      <c r="U26" s="2"/>
      <c r="V26" s="2"/>
      <c r="W26" s="2"/>
      <c r="X26" s="2"/>
    </row>
    <row r="27" spans="1:27" ht="16.5" thickBot="1" x14ac:dyDescent="0.35">
      <c r="B27" s="389"/>
      <c r="C27" s="388"/>
      <c r="D27" s="6432"/>
      <c r="E27" s="6433"/>
      <c r="F27" s="2975" t="s">
        <v>2218</v>
      </c>
      <c r="G27" s="3256" t="s">
        <v>3503</v>
      </c>
      <c r="H27" s="5730"/>
      <c r="I27" s="5904"/>
      <c r="J27" s="2"/>
      <c r="K27" s="2"/>
      <c r="L27" s="2"/>
      <c r="M27" s="2"/>
      <c r="N27" s="2"/>
      <c r="O27" s="2"/>
      <c r="P27" s="2"/>
      <c r="Q27" s="2"/>
      <c r="R27" s="2"/>
      <c r="S27" s="2"/>
      <c r="T27" s="2"/>
      <c r="U27" s="2"/>
      <c r="V27" s="2"/>
      <c r="W27" s="2"/>
      <c r="X27" s="2"/>
    </row>
    <row r="28" spans="1:27" ht="18.75" thickBot="1" x14ac:dyDescent="0.35">
      <c r="B28" s="389"/>
      <c r="C28" s="5534" t="s">
        <v>3204</v>
      </c>
      <c r="D28" s="3400" t="s">
        <v>786</v>
      </c>
      <c r="E28" s="2976" t="s">
        <v>78</v>
      </c>
      <c r="F28" s="2989" t="s">
        <v>1769</v>
      </c>
      <c r="G28" s="3922"/>
      <c r="H28" s="3923"/>
      <c r="I28" s="5904"/>
      <c r="J28" s="2"/>
      <c r="K28" s="2"/>
      <c r="L28" s="2"/>
      <c r="M28" s="2"/>
      <c r="N28" s="2"/>
      <c r="O28" s="2"/>
      <c r="P28" s="2"/>
      <c r="Q28" s="2"/>
      <c r="R28" s="2"/>
      <c r="S28" s="2"/>
      <c r="T28" s="2"/>
      <c r="U28" s="2"/>
      <c r="V28" s="2"/>
      <c r="W28" s="2"/>
      <c r="X28" s="2"/>
      <c r="Z28" s="3739" t="b">
        <f>'Perf assessment'!U210</f>
        <v>1</v>
      </c>
    </row>
    <row r="29" spans="1:27" ht="15.75" customHeight="1" x14ac:dyDescent="0.3">
      <c r="B29" s="389"/>
      <c r="C29" s="388"/>
      <c r="D29" s="6425" t="s">
        <v>211</v>
      </c>
      <c r="E29" s="6426"/>
      <c r="F29" s="2974" t="s">
        <v>2219</v>
      </c>
      <c r="G29" s="2973" t="s">
        <v>3520</v>
      </c>
      <c r="H29" s="5788"/>
      <c r="I29" s="5904"/>
      <c r="J29" s="2"/>
      <c r="K29" s="2"/>
      <c r="L29" s="2"/>
      <c r="M29" s="2"/>
      <c r="N29" s="2"/>
      <c r="O29" s="2"/>
      <c r="P29" s="2"/>
      <c r="Q29" s="2"/>
      <c r="R29" s="2"/>
      <c r="S29" s="2"/>
      <c r="T29" s="2"/>
      <c r="U29" s="2"/>
      <c r="V29" s="2"/>
      <c r="W29" s="2"/>
      <c r="X29" s="2"/>
    </row>
    <row r="30" spans="1:27" ht="15.75" x14ac:dyDescent="0.25">
      <c r="B30" s="2"/>
      <c r="C30" s="388"/>
      <c r="D30" s="6440"/>
      <c r="E30" s="6441"/>
      <c r="F30" s="2975" t="s">
        <v>2220</v>
      </c>
      <c r="G30" s="3256" t="s">
        <v>3503</v>
      </c>
      <c r="H30" s="3773"/>
      <c r="I30" s="5904"/>
      <c r="J30" s="2"/>
      <c r="K30" s="2"/>
      <c r="L30" s="2"/>
      <c r="M30" s="2"/>
      <c r="N30" s="2"/>
      <c r="O30" s="2"/>
      <c r="P30" s="2"/>
      <c r="Q30" s="2"/>
      <c r="R30" s="2"/>
      <c r="S30" s="2"/>
      <c r="T30" s="2"/>
      <c r="U30" s="2"/>
      <c r="V30" s="2"/>
      <c r="W30" s="2"/>
      <c r="X30" s="2"/>
    </row>
    <row r="31" spans="1:27" ht="14.25" customHeight="1" x14ac:dyDescent="0.3">
      <c r="B31" s="389"/>
      <c r="C31" s="388"/>
      <c r="D31" s="1140"/>
      <c r="E31" s="392"/>
      <c r="F31" s="391"/>
      <c r="G31" s="393"/>
      <c r="H31" s="394"/>
      <c r="I31" s="388"/>
      <c r="J31" s="2"/>
      <c r="K31" s="2"/>
      <c r="L31" s="2"/>
      <c r="M31" s="2"/>
      <c r="N31" s="2"/>
      <c r="O31" s="2"/>
      <c r="P31" s="2"/>
      <c r="Q31" s="2"/>
      <c r="R31" s="2"/>
      <c r="S31" s="2"/>
      <c r="T31" s="2"/>
      <c r="U31" s="2"/>
      <c r="V31" s="2"/>
      <c r="W31" s="2"/>
      <c r="X31" s="2"/>
    </row>
    <row r="32" spans="1:27" ht="15.75" x14ac:dyDescent="0.3">
      <c r="B32" s="389"/>
      <c r="C32" s="991"/>
      <c r="D32" s="413"/>
      <c r="E32" s="991"/>
      <c r="F32" s="991"/>
      <c r="G32" s="991"/>
      <c r="H32" s="991"/>
      <c r="I32" s="991"/>
      <c r="J32" s="2"/>
      <c r="K32" s="2"/>
      <c r="L32" s="2"/>
      <c r="M32" s="2"/>
      <c r="N32" s="2"/>
      <c r="O32" s="2"/>
      <c r="P32" s="2"/>
      <c r="Q32" s="2"/>
      <c r="R32" s="2"/>
      <c r="S32" s="2"/>
      <c r="T32" s="2"/>
      <c r="U32" s="2"/>
      <c r="V32" s="2"/>
      <c r="W32" s="2"/>
      <c r="X32" s="2"/>
    </row>
    <row r="33" spans="1:27" ht="21.75" thickBot="1" x14ac:dyDescent="0.35">
      <c r="B33" s="389"/>
      <c r="C33" s="388"/>
      <c r="D33" s="399"/>
      <c r="E33" s="399">
        <v>2</v>
      </c>
      <c r="F33" s="6431" t="s">
        <v>1984</v>
      </c>
      <c r="G33" s="6431"/>
      <c r="H33" s="6431"/>
      <c r="I33" s="390"/>
      <c r="J33" s="2"/>
      <c r="K33" s="2"/>
      <c r="L33" s="2"/>
      <c r="M33" s="2"/>
      <c r="N33" s="2"/>
      <c r="O33" s="2"/>
      <c r="P33" s="2"/>
      <c r="Q33" s="2"/>
      <c r="R33" s="2"/>
      <c r="S33" s="2"/>
      <c r="T33" s="2"/>
      <c r="U33" s="2"/>
      <c r="V33" s="2"/>
      <c r="W33" s="2"/>
      <c r="X33" s="2"/>
    </row>
    <row r="34" spans="1:27" ht="18.75" customHeight="1" thickBot="1" x14ac:dyDescent="0.35">
      <c r="B34" s="389"/>
      <c r="C34" s="5534" t="s">
        <v>3205</v>
      </c>
      <c r="D34" s="3400" t="s">
        <v>786</v>
      </c>
      <c r="E34" s="2976" t="s">
        <v>78</v>
      </c>
      <c r="F34" s="6444" t="s">
        <v>1770</v>
      </c>
      <c r="G34" s="6445"/>
      <c r="H34" s="6446"/>
      <c r="I34" s="3560"/>
      <c r="J34" s="2"/>
      <c r="K34" s="2"/>
      <c r="L34" s="2"/>
      <c r="M34" s="2"/>
      <c r="N34" s="2"/>
      <c r="O34" s="2"/>
      <c r="P34" s="2"/>
      <c r="Q34" s="2"/>
      <c r="R34" s="2"/>
      <c r="S34" s="2"/>
      <c r="T34" s="2"/>
      <c r="U34" s="2"/>
      <c r="V34" s="2"/>
      <c r="W34" s="2"/>
      <c r="X34" s="2"/>
      <c r="Z34" s="3739" t="b">
        <f>'Perf assessment'!U212</f>
        <v>1</v>
      </c>
    </row>
    <row r="35" spans="1:27" ht="15.75" x14ac:dyDescent="0.3">
      <c r="B35" s="389"/>
      <c r="C35" s="388"/>
      <c r="D35" s="415"/>
      <c r="E35" s="388"/>
      <c r="F35" s="388"/>
      <c r="G35" s="388"/>
      <c r="H35" s="388"/>
      <c r="I35" s="388"/>
      <c r="J35" s="2"/>
      <c r="K35" s="2"/>
      <c r="L35" s="2"/>
      <c r="M35" s="2"/>
      <c r="N35" s="2"/>
      <c r="O35" s="2"/>
      <c r="P35" s="2"/>
      <c r="Q35" s="2"/>
      <c r="R35" s="2"/>
      <c r="S35" s="2"/>
      <c r="T35" s="2"/>
      <c r="U35" s="2"/>
      <c r="V35" s="2"/>
      <c r="W35" s="2"/>
      <c r="X35" s="2"/>
    </row>
    <row r="36" spans="1:27" ht="15.75" x14ac:dyDescent="0.3">
      <c r="B36" s="389"/>
      <c r="C36" s="991"/>
      <c r="D36" s="413"/>
      <c r="E36" s="991"/>
      <c r="F36" s="991"/>
      <c r="G36" s="991"/>
      <c r="H36" s="991"/>
      <c r="I36" s="991"/>
      <c r="J36" s="2"/>
      <c r="K36" s="2"/>
      <c r="L36" s="2"/>
      <c r="M36" s="2"/>
      <c r="N36" s="2"/>
      <c r="O36" s="2"/>
      <c r="P36" s="2"/>
      <c r="Q36" s="2"/>
      <c r="R36" s="2"/>
      <c r="S36" s="2"/>
      <c r="T36" s="2"/>
      <c r="U36" s="2"/>
      <c r="V36" s="2"/>
      <c r="W36" s="2"/>
      <c r="X36" s="2"/>
    </row>
    <row r="37" spans="1:27" ht="21.75" thickBot="1" x14ac:dyDescent="0.35">
      <c r="B37" s="389"/>
      <c r="C37" s="390"/>
      <c r="D37" s="399"/>
      <c r="E37" s="399">
        <v>3</v>
      </c>
      <c r="F37" s="6431" t="s">
        <v>1044</v>
      </c>
      <c r="G37" s="6431"/>
      <c r="H37" s="6431"/>
      <c r="I37" s="390"/>
      <c r="J37" s="2"/>
      <c r="K37" s="2"/>
      <c r="L37" s="2"/>
      <c r="M37" s="2"/>
      <c r="N37" s="2"/>
      <c r="O37" s="2"/>
      <c r="P37" s="2"/>
      <c r="Q37" s="2"/>
      <c r="R37" s="2"/>
      <c r="S37" s="2"/>
      <c r="T37" s="2"/>
      <c r="U37" s="2"/>
      <c r="V37" s="2"/>
      <c r="W37" s="2"/>
      <c r="X37" s="2"/>
    </row>
    <row r="38" spans="1:27" ht="18.75" thickBot="1" x14ac:dyDescent="0.35">
      <c r="B38" s="389"/>
      <c r="C38" s="5535" t="s">
        <v>3206</v>
      </c>
      <c r="D38" s="3400" t="s">
        <v>786</v>
      </c>
      <c r="E38" s="2976" t="s">
        <v>78</v>
      </c>
      <c r="F38" s="2989" t="s">
        <v>1771</v>
      </c>
      <c r="G38" s="3922"/>
      <c r="H38" s="3923"/>
      <c r="I38" s="5904"/>
      <c r="J38" s="2"/>
      <c r="K38" s="352"/>
      <c r="L38" s="352"/>
      <c r="M38" s="2"/>
      <c r="N38" s="2"/>
      <c r="O38" s="2"/>
      <c r="P38" s="2"/>
      <c r="Q38" s="2"/>
      <c r="R38" s="2"/>
      <c r="S38" s="2"/>
      <c r="T38" s="2"/>
      <c r="U38" s="2"/>
      <c r="V38" s="2"/>
      <c r="W38" s="2"/>
      <c r="X38" s="2"/>
      <c r="Z38" s="3739" t="b">
        <f>'Perf assessment'!U214</f>
        <v>1</v>
      </c>
    </row>
    <row r="39" spans="1:27" ht="15.75" x14ac:dyDescent="0.3">
      <c r="B39" s="389"/>
      <c r="C39" s="390"/>
      <c r="D39" s="6421" t="s">
        <v>82</v>
      </c>
      <c r="E39" s="6422"/>
      <c r="F39" s="2974" t="s">
        <v>2311</v>
      </c>
      <c r="G39" s="3326" t="s">
        <v>1961</v>
      </c>
      <c r="H39" s="3269">
        <f>'WSS Profile'!$G$401</f>
        <v>0</v>
      </c>
      <c r="I39" s="5904"/>
      <c r="J39" s="2"/>
      <c r="K39" s="352"/>
      <c r="L39" s="352"/>
      <c r="M39" s="2"/>
      <c r="N39" s="2"/>
      <c r="O39" s="2"/>
      <c r="P39" s="2"/>
      <c r="Q39" s="2"/>
      <c r="R39" s="2"/>
      <c r="S39" s="2"/>
      <c r="T39" s="2"/>
      <c r="U39" s="2"/>
      <c r="V39" s="2"/>
      <c r="W39" s="2"/>
      <c r="X39" s="2"/>
    </row>
    <row r="40" spans="1:27" ht="15.75" x14ac:dyDescent="0.3">
      <c r="B40" s="389"/>
      <c r="C40" s="390"/>
      <c r="D40" s="6421"/>
      <c r="E40" s="6422"/>
      <c r="F40" s="3031" t="s">
        <v>2312</v>
      </c>
      <c r="G40" s="3272" t="s">
        <v>1961</v>
      </c>
      <c r="H40" s="660">
        <f>'WSS Profile'!$G$402</f>
        <v>0</v>
      </c>
      <c r="I40" s="5904"/>
      <c r="J40" s="2"/>
      <c r="K40" s="352"/>
      <c r="L40" s="352"/>
      <c r="M40" s="2"/>
      <c r="N40" s="2"/>
      <c r="O40" s="2"/>
      <c r="P40" s="2"/>
      <c r="Q40" s="2"/>
      <c r="R40" s="2"/>
      <c r="S40" s="2"/>
      <c r="T40" s="2"/>
      <c r="U40" s="2"/>
      <c r="V40" s="2"/>
      <c r="W40" s="2"/>
      <c r="X40" s="2"/>
    </row>
    <row r="41" spans="1:27" ht="15.75" x14ac:dyDescent="0.3">
      <c r="B41" s="389"/>
      <c r="C41" s="390"/>
      <c r="D41" s="6429" t="s">
        <v>210</v>
      </c>
      <c r="E41" s="6430"/>
      <c r="F41" s="3142" t="s">
        <v>2313</v>
      </c>
      <c r="G41" s="3327" t="s">
        <v>1961</v>
      </c>
      <c r="H41" s="3788"/>
      <c r="I41" s="5904"/>
      <c r="J41" s="421"/>
      <c r="K41" s="352"/>
      <c r="L41" s="352"/>
      <c r="M41" s="2"/>
      <c r="N41" s="2"/>
      <c r="O41" s="2"/>
      <c r="P41" s="2"/>
      <c r="Q41" s="2"/>
      <c r="R41" s="2"/>
      <c r="S41" s="2"/>
      <c r="T41" s="2"/>
      <c r="U41" s="2"/>
      <c r="V41" s="2"/>
      <c r="W41" s="2"/>
      <c r="X41" s="2"/>
    </row>
    <row r="42" spans="1:27" ht="15.75" x14ac:dyDescent="0.3">
      <c r="B42" s="389"/>
      <c r="C42" s="390"/>
      <c r="D42" s="6436"/>
      <c r="E42" s="6437"/>
      <c r="F42" s="3144" t="s">
        <v>2314</v>
      </c>
      <c r="G42" s="3328" t="s">
        <v>1961</v>
      </c>
      <c r="H42" s="3789"/>
      <c r="I42" s="5904"/>
      <c r="J42" s="2"/>
      <c r="K42" s="352"/>
      <c r="L42" s="352"/>
      <c r="M42" s="2"/>
      <c r="N42" s="2"/>
      <c r="O42" s="2"/>
      <c r="P42" s="2"/>
      <c r="Q42" s="2"/>
      <c r="R42" s="2"/>
      <c r="S42" s="2"/>
      <c r="T42" s="2"/>
      <c r="U42" s="2"/>
      <c r="V42" s="2"/>
      <c r="W42" s="2"/>
      <c r="X42" s="2"/>
    </row>
    <row r="43" spans="1:27" ht="15.75" x14ac:dyDescent="0.3">
      <c r="B43" s="389"/>
      <c r="C43" s="390"/>
      <c r="D43" s="6421" t="s">
        <v>211</v>
      </c>
      <c r="E43" s="6422"/>
      <c r="F43" s="3110" t="s">
        <v>3574</v>
      </c>
      <c r="G43" s="2962" t="s">
        <v>3520</v>
      </c>
      <c r="H43" s="3790"/>
      <c r="I43" s="5904"/>
      <c r="J43" s="2"/>
      <c r="K43" s="352"/>
      <c r="L43" s="352"/>
      <c r="M43" s="2"/>
      <c r="N43" s="2"/>
      <c r="O43" s="2"/>
      <c r="P43" s="2"/>
      <c r="Q43" s="2"/>
      <c r="R43" s="2"/>
      <c r="S43" s="2"/>
      <c r="T43" s="2"/>
      <c r="U43" s="2"/>
      <c r="V43" s="2"/>
      <c r="W43" s="2"/>
      <c r="X43" s="2"/>
    </row>
    <row r="44" spans="1:27" ht="16.5" thickBot="1" x14ac:dyDescent="0.35">
      <c r="B44" s="389"/>
      <c r="C44" s="390"/>
      <c r="D44" s="6421"/>
      <c r="E44" s="6422"/>
      <c r="F44" s="3329" t="s">
        <v>1066</v>
      </c>
      <c r="G44" s="3253" t="s">
        <v>1998</v>
      </c>
      <c r="H44" s="3791"/>
      <c r="I44" s="5904"/>
      <c r="J44" s="2"/>
      <c r="K44" s="352"/>
      <c r="L44" s="352"/>
      <c r="M44" s="2"/>
      <c r="N44" s="2"/>
      <c r="O44" s="2"/>
      <c r="P44" s="2"/>
      <c r="Q44" s="2"/>
      <c r="R44" s="2"/>
      <c r="S44" s="2"/>
      <c r="T44" s="2"/>
      <c r="U44" s="2"/>
      <c r="V44" s="2"/>
      <c r="W44" s="2"/>
      <c r="X44" s="2"/>
    </row>
    <row r="45" spans="1:27" ht="35.25" customHeight="1" thickBot="1" x14ac:dyDescent="0.35">
      <c r="B45" s="389"/>
      <c r="C45" s="5535" t="s">
        <v>3207</v>
      </c>
      <c r="D45" s="3400" t="s">
        <v>786</v>
      </c>
      <c r="E45" s="2976" t="s">
        <v>78</v>
      </c>
      <c r="F45" s="6488" t="s">
        <v>2005</v>
      </c>
      <c r="G45" s="6489"/>
      <c r="H45" s="6490"/>
      <c r="I45" s="5904"/>
      <c r="J45" s="2"/>
      <c r="K45" s="352"/>
      <c r="L45" s="352"/>
      <c r="M45" s="2"/>
      <c r="N45" s="2"/>
      <c r="O45" s="2"/>
      <c r="P45" s="2"/>
      <c r="Q45" s="2"/>
      <c r="R45" s="2"/>
      <c r="S45" s="2"/>
      <c r="T45" s="2"/>
      <c r="U45" s="2"/>
      <c r="V45" s="2"/>
      <c r="W45" s="2"/>
      <c r="X45" s="2"/>
      <c r="Z45" s="3739" t="b">
        <f>'Perf assessment'!U215</f>
        <v>1</v>
      </c>
    </row>
    <row r="46" spans="1:27" ht="35.25" customHeight="1" x14ac:dyDescent="0.3">
      <c r="B46" s="389"/>
      <c r="C46" s="390"/>
      <c r="D46" s="6680"/>
      <c r="E46" s="6681"/>
      <c r="F46" s="943" t="s">
        <v>1785</v>
      </c>
      <c r="G46" s="3922"/>
      <c r="H46" s="3923"/>
      <c r="I46" s="5904"/>
      <c r="J46" s="378"/>
      <c r="K46" s="422"/>
      <c r="L46" s="2"/>
      <c r="M46" s="2"/>
      <c r="N46" s="2"/>
      <c r="O46" s="2"/>
      <c r="P46" s="2"/>
      <c r="Q46" s="2"/>
      <c r="R46" s="2"/>
      <c r="S46" s="2"/>
      <c r="T46" s="2"/>
      <c r="U46" s="2"/>
      <c r="V46" s="2"/>
      <c r="W46" s="2"/>
      <c r="X46" s="2"/>
    </row>
    <row r="47" spans="1:27" s="493" customFormat="1" ht="15.75" x14ac:dyDescent="0.3">
      <c r="A47" s="474"/>
      <c r="B47" s="389"/>
      <c r="C47" s="390"/>
      <c r="D47" s="6421" t="s">
        <v>211</v>
      </c>
      <c r="E47" s="6422"/>
      <c r="F47" s="2974" t="s">
        <v>3573</v>
      </c>
      <c r="G47" s="3326" t="s">
        <v>3520</v>
      </c>
      <c r="H47" s="3792"/>
      <c r="I47" s="5904"/>
      <c r="J47" s="303"/>
      <c r="K47" s="422"/>
      <c r="L47" s="422"/>
      <c r="M47" s="303"/>
      <c r="N47" s="303"/>
      <c r="O47" s="303"/>
      <c r="P47" s="303"/>
      <c r="Q47" s="303"/>
      <c r="R47" s="303"/>
      <c r="S47" s="303"/>
      <c r="T47" s="303"/>
      <c r="U47" s="303"/>
      <c r="V47" s="303"/>
      <c r="W47" s="303"/>
      <c r="X47" s="303"/>
      <c r="Y47" s="1317"/>
      <c r="Z47" s="1343"/>
      <c r="AA47" s="1343"/>
    </row>
    <row r="48" spans="1:27" s="493" customFormat="1" ht="15.75" x14ac:dyDescent="0.3">
      <c r="A48" s="474"/>
      <c r="B48" s="389"/>
      <c r="C48" s="390"/>
      <c r="D48" s="6421"/>
      <c r="E48" s="6422"/>
      <c r="F48" s="3329" t="s">
        <v>1066</v>
      </c>
      <c r="G48" s="3202" t="s">
        <v>1998</v>
      </c>
      <c r="H48" s="3237"/>
      <c r="I48" s="5904"/>
      <c r="J48" s="422"/>
      <c r="K48" s="422"/>
      <c r="L48" s="422"/>
      <c r="M48" s="303"/>
      <c r="N48" s="303"/>
      <c r="O48" s="303"/>
      <c r="P48" s="303"/>
      <c r="Q48" s="303"/>
      <c r="R48" s="303"/>
      <c r="S48" s="303"/>
      <c r="T48" s="303"/>
      <c r="U48" s="303"/>
      <c r="V48" s="303"/>
      <c r="W48" s="303"/>
      <c r="X48" s="303"/>
      <c r="Y48" s="1317"/>
      <c r="Z48" s="1343"/>
      <c r="AA48" s="1343"/>
    </row>
    <row r="49" spans="1:27" s="493" customFormat="1" ht="15.75" x14ac:dyDescent="0.3">
      <c r="A49" s="474"/>
      <c r="B49" s="389"/>
      <c r="C49" s="390"/>
      <c r="D49" s="6678"/>
      <c r="E49" s="6679"/>
      <c r="F49" s="943" t="s">
        <v>1786</v>
      </c>
      <c r="G49" s="3922"/>
      <c r="H49" s="3923"/>
      <c r="I49" s="5904"/>
      <c r="J49" s="303"/>
      <c r="K49" s="422"/>
      <c r="L49" s="422"/>
      <c r="M49" s="303"/>
      <c r="N49" s="303"/>
      <c r="O49" s="303"/>
      <c r="P49" s="303"/>
      <c r="Q49" s="303"/>
      <c r="R49" s="303"/>
      <c r="S49" s="303"/>
      <c r="T49" s="303"/>
      <c r="U49" s="303"/>
      <c r="V49" s="303"/>
      <c r="W49" s="303"/>
      <c r="X49" s="303"/>
      <c r="Y49" s="1317"/>
      <c r="Z49" s="1343"/>
      <c r="AA49" s="1343"/>
    </row>
    <row r="50" spans="1:27" ht="46.5" customHeight="1" x14ac:dyDescent="0.3">
      <c r="B50" s="389"/>
      <c r="C50" s="390"/>
      <c r="D50" s="6421" t="s">
        <v>210</v>
      </c>
      <c r="E50" s="6422"/>
      <c r="F50" s="2974" t="s">
        <v>3034</v>
      </c>
      <c r="G50" s="3330" t="s">
        <v>207</v>
      </c>
      <c r="H50" s="3793"/>
      <c r="I50" s="5904"/>
      <c r="J50" s="2"/>
      <c r="K50" s="352"/>
      <c r="L50" s="352"/>
      <c r="M50" s="2"/>
      <c r="N50" s="2"/>
      <c r="O50" s="2"/>
      <c r="P50" s="2"/>
      <c r="Q50" s="2"/>
      <c r="R50" s="2"/>
      <c r="S50" s="2"/>
      <c r="T50" s="2"/>
      <c r="U50" s="2"/>
      <c r="V50" s="2"/>
      <c r="W50" s="2"/>
      <c r="X50" s="2"/>
      <c r="Y50" s="1793"/>
      <c r="Z50" s="3748"/>
      <c r="AA50" s="3749"/>
    </row>
    <row r="51" spans="1:27" ht="15.75" x14ac:dyDescent="0.3">
      <c r="B51" s="389"/>
      <c r="C51" s="390"/>
      <c r="D51" s="6421"/>
      <c r="E51" s="6422"/>
      <c r="F51" s="3110" t="s">
        <v>2920</v>
      </c>
      <c r="G51" s="3328" t="s">
        <v>207</v>
      </c>
      <c r="H51" s="3794"/>
      <c r="I51" s="5904"/>
      <c r="J51" s="2"/>
      <c r="K51" s="352"/>
      <c r="L51" s="352"/>
      <c r="M51" s="2"/>
      <c r="N51" s="2"/>
      <c r="O51" s="2"/>
      <c r="P51" s="2"/>
      <c r="Q51" s="2"/>
      <c r="R51" s="2"/>
      <c r="S51" s="2"/>
      <c r="T51" s="2"/>
      <c r="U51" s="2"/>
      <c r="V51" s="2"/>
      <c r="W51" s="2"/>
      <c r="X51" s="2"/>
      <c r="Y51" s="1793"/>
      <c r="Z51" s="3748"/>
      <c r="AA51" s="3749"/>
    </row>
    <row r="52" spans="1:27" ht="15.75" x14ac:dyDescent="0.3">
      <c r="B52" s="389"/>
      <c r="C52" s="390"/>
      <c r="D52" s="6429" t="s">
        <v>211</v>
      </c>
      <c r="E52" s="6430"/>
      <c r="F52" s="3142" t="s">
        <v>3574</v>
      </c>
      <c r="G52" s="2962" t="s">
        <v>3520</v>
      </c>
      <c r="H52" s="3795"/>
      <c r="I52" s="5904"/>
      <c r="J52" s="378"/>
      <c r="K52" s="422"/>
      <c r="L52" s="2"/>
      <c r="M52" s="2"/>
      <c r="N52" s="2"/>
      <c r="O52" s="2"/>
      <c r="P52" s="2"/>
      <c r="Q52" s="2"/>
      <c r="R52" s="2"/>
      <c r="S52" s="2"/>
      <c r="T52" s="2"/>
      <c r="U52" s="2"/>
      <c r="V52" s="2"/>
      <c r="W52" s="2"/>
      <c r="X52" s="2"/>
    </row>
    <row r="53" spans="1:27" ht="16.5" thickBot="1" x14ac:dyDescent="0.35">
      <c r="B53" s="389"/>
      <c r="C53" s="390"/>
      <c r="D53" s="6432"/>
      <c r="E53" s="6433"/>
      <c r="F53" s="3196" t="s">
        <v>1066</v>
      </c>
      <c r="G53" s="3253" t="s">
        <v>1998</v>
      </c>
      <c r="H53" s="3791"/>
      <c r="I53" s="5904"/>
      <c r="J53" s="2"/>
      <c r="K53" s="352"/>
      <c r="L53" s="352"/>
      <c r="M53" s="2"/>
      <c r="N53" s="2"/>
      <c r="O53" s="2"/>
      <c r="P53" s="2"/>
      <c r="Q53" s="2"/>
      <c r="R53" s="2"/>
      <c r="S53" s="2"/>
      <c r="T53" s="2"/>
      <c r="U53" s="2"/>
      <c r="V53" s="2"/>
      <c r="W53" s="2"/>
      <c r="X53" s="2"/>
      <c r="Y53" s="1793"/>
      <c r="Z53" s="3748"/>
      <c r="AA53" s="3749"/>
    </row>
    <row r="54" spans="1:27" ht="37.5" customHeight="1" thickBot="1" x14ac:dyDescent="0.35">
      <c r="B54" s="389"/>
      <c r="C54" s="5534" t="s">
        <v>3208</v>
      </c>
      <c r="D54" s="3400" t="s">
        <v>786</v>
      </c>
      <c r="E54" s="2976" t="s">
        <v>78</v>
      </c>
      <c r="F54" s="2989" t="s">
        <v>1812</v>
      </c>
      <c r="G54" s="3922"/>
      <c r="H54" s="3923"/>
      <c r="I54" s="5904"/>
      <c r="J54" s="2"/>
      <c r="K54" s="352"/>
      <c r="L54" s="352"/>
      <c r="M54" s="2"/>
      <c r="N54" s="2"/>
      <c r="O54" s="2"/>
      <c r="P54" s="2"/>
      <c r="Q54" s="2"/>
      <c r="R54" s="2"/>
      <c r="S54" s="2"/>
      <c r="T54" s="2"/>
      <c r="U54" s="2"/>
      <c r="V54" s="2"/>
      <c r="W54" s="2"/>
      <c r="X54" s="2"/>
      <c r="Z54" s="3739" t="b">
        <f>'Perf assessment'!U216</f>
        <v>1</v>
      </c>
    </row>
    <row r="55" spans="1:27" s="493" customFormat="1" ht="15.75" x14ac:dyDescent="0.3">
      <c r="A55" s="474"/>
      <c r="B55" s="389"/>
      <c r="C55" s="426"/>
      <c r="D55" s="6432" t="s">
        <v>211</v>
      </c>
      <c r="E55" s="6433"/>
      <c r="F55" s="3332" t="s">
        <v>3575</v>
      </c>
      <c r="G55" s="3264" t="s">
        <v>3520</v>
      </c>
      <c r="H55" s="3796"/>
      <c r="I55" s="5904"/>
      <c r="J55" s="303"/>
      <c r="K55" s="422"/>
      <c r="L55" s="422"/>
      <c r="M55" s="303"/>
      <c r="N55" s="303"/>
      <c r="O55" s="303"/>
      <c r="P55" s="303"/>
      <c r="Q55" s="303"/>
      <c r="R55" s="303"/>
      <c r="S55" s="303"/>
      <c r="T55" s="303"/>
      <c r="U55" s="303"/>
      <c r="V55" s="303"/>
      <c r="W55" s="303"/>
      <c r="X55" s="303"/>
      <c r="Y55" s="1317"/>
      <c r="Z55" s="3739"/>
      <c r="AA55" s="1343"/>
    </row>
    <row r="56" spans="1:27" ht="15.75" x14ac:dyDescent="0.3">
      <c r="B56" s="389"/>
      <c r="C56" s="390"/>
      <c r="D56" s="390"/>
      <c r="E56" s="390"/>
      <c r="F56" s="390"/>
      <c r="G56" s="390"/>
      <c r="H56" s="390"/>
      <c r="I56" s="390"/>
      <c r="J56" s="2"/>
      <c r="K56" s="352"/>
      <c r="L56" s="352"/>
      <c r="M56" s="2"/>
      <c r="N56" s="2"/>
      <c r="O56" s="2"/>
      <c r="P56" s="2"/>
      <c r="Q56" s="2"/>
      <c r="R56" s="2"/>
      <c r="S56" s="2"/>
      <c r="T56" s="2"/>
      <c r="U56" s="2"/>
      <c r="V56" s="2"/>
      <c r="W56" s="2"/>
      <c r="X56" s="2"/>
    </row>
    <row r="57" spans="1:27" ht="15.75" x14ac:dyDescent="0.3">
      <c r="B57" s="389"/>
      <c r="C57" s="991"/>
      <c r="D57" s="413"/>
      <c r="E57" s="991"/>
      <c r="F57" s="991"/>
      <c r="G57" s="413"/>
      <c r="H57" s="991"/>
      <c r="I57" s="991"/>
      <c r="J57" s="2"/>
      <c r="K57" s="352"/>
      <c r="L57" s="352"/>
      <c r="M57" s="2"/>
      <c r="N57" s="2"/>
      <c r="O57" s="2"/>
      <c r="P57" s="2"/>
      <c r="Q57" s="2"/>
      <c r="R57" s="2"/>
      <c r="S57" s="2"/>
      <c r="T57" s="2"/>
      <c r="U57" s="2"/>
      <c r="V57" s="2"/>
      <c r="W57" s="2"/>
      <c r="X57" s="2"/>
    </row>
    <row r="58" spans="1:27" ht="21.75" thickBot="1" x14ac:dyDescent="0.35">
      <c r="B58" s="389"/>
      <c r="C58" s="390"/>
      <c r="D58" s="399"/>
      <c r="E58" s="399">
        <v>4</v>
      </c>
      <c r="F58" s="6483" t="s">
        <v>208</v>
      </c>
      <c r="G58" s="6483"/>
      <c r="H58" s="6483"/>
      <c r="I58" s="390"/>
      <c r="J58" s="2"/>
      <c r="K58" s="2"/>
      <c r="L58" s="2"/>
      <c r="M58" s="2"/>
      <c r="N58" s="2"/>
      <c r="O58" s="2"/>
      <c r="P58" s="2"/>
      <c r="Q58" s="2"/>
      <c r="R58" s="2"/>
      <c r="S58" s="2"/>
      <c r="T58" s="2"/>
      <c r="U58" s="2"/>
      <c r="V58" s="2"/>
      <c r="W58" s="2"/>
      <c r="X58" s="2"/>
    </row>
    <row r="59" spans="1:27" ht="18.75" thickBot="1" x14ac:dyDescent="0.35">
      <c r="B59" s="389"/>
      <c r="C59" s="5534" t="s">
        <v>3209</v>
      </c>
      <c r="D59" s="3400" t="s">
        <v>786</v>
      </c>
      <c r="E59" s="2976" t="s">
        <v>78</v>
      </c>
      <c r="F59" s="6448" t="s">
        <v>1551</v>
      </c>
      <c r="G59" s="6448"/>
      <c r="H59" s="6449"/>
      <c r="I59" s="3560"/>
      <c r="J59" s="2"/>
      <c r="K59" s="352"/>
      <c r="L59" s="352"/>
      <c r="M59" s="2"/>
      <c r="N59" s="2"/>
      <c r="O59" s="2"/>
      <c r="P59" s="2"/>
      <c r="Q59" s="2"/>
      <c r="R59" s="2"/>
      <c r="S59" s="2"/>
      <c r="T59" s="2"/>
      <c r="U59" s="2"/>
      <c r="V59" s="2"/>
      <c r="W59" s="2"/>
      <c r="X59" s="2"/>
      <c r="Z59" s="3739">
        <f>'Perf assessment'!U218</f>
        <v>0</v>
      </c>
    </row>
    <row r="60" spans="1:27" ht="15.75" x14ac:dyDescent="0.3">
      <c r="B60" s="389"/>
      <c r="C60" s="388"/>
      <c r="D60" s="6421" t="s">
        <v>211</v>
      </c>
      <c r="E60" s="6422"/>
      <c r="F60" s="2974" t="s">
        <v>2315</v>
      </c>
      <c r="G60" s="3130" t="s">
        <v>3577</v>
      </c>
      <c r="H60" s="3797"/>
      <c r="I60" s="3560"/>
      <c r="J60" s="2"/>
      <c r="K60" s="352"/>
      <c r="L60" s="352"/>
      <c r="M60" s="2"/>
      <c r="N60" s="2"/>
      <c r="O60" s="2"/>
      <c r="P60" s="2"/>
      <c r="Q60" s="2"/>
      <c r="R60" s="2"/>
      <c r="S60" s="2"/>
      <c r="T60" s="2"/>
      <c r="U60" s="2"/>
      <c r="V60" s="2"/>
      <c r="W60" s="2"/>
      <c r="X60" s="2"/>
    </row>
    <row r="61" spans="1:27" ht="15.75" x14ac:dyDescent="0.3">
      <c r="B61" s="389"/>
      <c r="C61" s="388"/>
      <c r="D61" s="6421"/>
      <c r="E61" s="6422"/>
      <c r="F61" s="2975" t="s">
        <v>3576</v>
      </c>
      <c r="G61" s="3131" t="s">
        <v>3577</v>
      </c>
      <c r="H61" s="3798"/>
      <c r="I61" s="3560"/>
      <c r="J61" s="2"/>
      <c r="K61" s="352"/>
      <c r="L61" s="352"/>
      <c r="M61" s="2"/>
      <c r="N61" s="2"/>
      <c r="O61" s="2"/>
      <c r="P61" s="2"/>
      <c r="Q61" s="2"/>
      <c r="R61" s="2"/>
      <c r="S61" s="2"/>
      <c r="T61" s="2"/>
      <c r="U61" s="2"/>
      <c r="V61" s="2"/>
      <c r="W61" s="2"/>
      <c r="X61" s="2"/>
    </row>
    <row r="62" spans="1:27" ht="35.25" customHeight="1" x14ac:dyDescent="0.3">
      <c r="B62" s="389"/>
      <c r="C62" s="388"/>
      <c r="D62" s="6678"/>
      <c r="E62" s="6679"/>
      <c r="F62" s="662" t="s">
        <v>1773</v>
      </c>
      <c r="G62" s="3922"/>
      <c r="H62" s="3923"/>
      <c r="I62" s="3560"/>
      <c r="J62" s="378"/>
      <c r="K62" s="422"/>
      <c r="L62" s="2"/>
      <c r="M62" s="2"/>
      <c r="N62" s="2"/>
      <c r="O62" s="2"/>
      <c r="P62" s="2"/>
      <c r="Q62" s="2"/>
      <c r="R62" s="2"/>
      <c r="S62" s="2"/>
      <c r="T62" s="2"/>
      <c r="U62" s="2"/>
      <c r="V62" s="2"/>
      <c r="W62" s="2"/>
      <c r="X62" s="2"/>
    </row>
    <row r="63" spans="1:27" ht="15.75" x14ac:dyDescent="0.3">
      <c r="B63" s="389"/>
      <c r="C63" s="388"/>
      <c r="D63" s="6684" t="s">
        <v>210</v>
      </c>
      <c r="E63" s="6685"/>
      <c r="F63" s="3333" t="s">
        <v>2316</v>
      </c>
      <c r="G63" s="3334" t="s">
        <v>207</v>
      </c>
      <c r="H63" s="5788"/>
      <c r="I63" s="3560"/>
      <c r="J63" s="2"/>
      <c r="K63" s="352"/>
      <c r="L63" s="352"/>
      <c r="M63" s="2"/>
      <c r="N63" s="2"/>
      <c r="O63" s="2"/>
      <c r="P63" s="2"/>
      <c r="Q63" s="2"/>
      <c r="R63" s="2"/>
      <c r="S63" s="2"/>
      <c r="T63" s="2"/>
      <c r="U63" s="2"/>
      <c r="V63" s="2"/>
      <c r="W63" s="2"/>
      <c r="X63" s="2"/>
    </row>
    <row r="64" spans="1:27" s="484" customFormat="1" ht="15.75" x14ac:dyDescent="0.3">
      <c r="A64" s="482"/>
      <c r="B64" s="389"/>
      <c r="C64" s="405"/>
      <c r="D64" s="6511" t="s">
        <v>211</v>
      </c>
      <c r="E64" s="6512"/>
      <c r="F64" s="3033" t="s">
        <v>2317</v>
      </c>
      <c r="G64" s="3131" t="s">
        <v>3563</v>
      </c>
      <c r="H64" s="5790">
        <f>((H60*H63*12)+(H61*H63*12))</f>
        <v>0</v>
      </c>
      <c r="I64" s="3560"/>
      <c r="J64" s="352"/>
      <c r="K64" s="352"/>
      <c r="L64" s="352"/>
      <c r="M64" s="352"/>
      <c r="N64" s="352"/>
      <c r="O64" s="352"/>
      <c r="P64" s="352"/>
      <c r="Q64" s="352"/>
      <c r="R64" s="352"/>
      <c r="S64" s="352"/>
      <c r="T64" s="352"/>
      <c r="U64" s="352"/>
      <c r="V64" s="352"/>
      <c r="W64" s="352"/>
      <c r="X64" s="352"/>
      <c r="Y64" s="3742"/>
      <c r="Z64" s="3739"/>
      <c r="AA64" s="2393"/>
    </row>
    <row r="65" spans="1:27" ht="15.75" x14ac:dyDescent="0.3">
      <c r="B65" s="389"/>
      <c r="C65" s="388"/>
      <c r="D65" s="6678"/>
      <c r="E65" s="6679"/>
      <c r="F65" s="662" t="s">
        <v>1772</v>
      </c>
      <c r="G65" s="3922"/>
      <c r="H65" s="3923"/>
      <c r="I65" s="3560"/>
      <c r="J65" s="2"/>
      <c r="K65" s="352"/>
      <c r="L65" s="352"/>
      <c r="M65" s="2"/>
      <c r="N65" s="2"/>
      <c r="O65" s="2"/>
      <c r="P65" s="2"/>
      <c r="Q65" s="2"/>
      <c r="R65" s="2"/>
      <c r="S65" s="2"/>
      <c r="T65" s="2"/>
      <c r="U65" s="2"/>
      <c r="V65" s="2"/>
      <c r="W65" s="2"/>
      <c r="X65" s="2"/>
    </row>
    <row r="66" spans="1:27" ht="15.75" x14ac:dyDescent="0.3">
      <c r="B66" s="389"/>
      <c r="C66" s="388"/>
      <c r="D66" s="6421" t="s">
        <v>210</v>
      </c>
      <c r="E66" s="6422"/>
      <c r="F66" s="2974" t="s">
        <v>2316</v>
      </c>
      <c r="G66" s="3113" t="s">
        <v>207</v>
      </c>
      <c r="H66" s="5791"/>
      <c r="I66" s="3560"/>
      <c r="J66" s="2"/>
      <c r="K66" s="352"/>
      <c r="L66" s="352"/>
      <c r="M66" s="2"/>
      <c r="N66" s="2"/>
      <c r="O66" s="2"/>
      <c r="P66" s="2"/>
      <c r="Q66" s="2"/>
      <c r="R66" s="2"/>
      <c r="S66" s="2"/>
      <c r="T66" s="2"/>
      <c r="U66" s="2"/>
      <c r="V66" s="2"/>
      <c r="W66" s="2"/>
      <c r="X66" s="2"/>
    </row>
    <row r="67" spans="1:27" ht="40.5" x14ac:dyDescent="0.3">
      <c r="B67" s="389"/>
      <c r="C67" s="388"/>
      <c r="D67" s="6421"/>
      <c r="E67" s="6422"/>
      <c r="F67" s="3110" t="s">
        <v>3035</v>
      </c>
      <c r="G67" s="3111" t="s">
        <v>207</v>
      </c>
      <c r="H67" s="3027"/>
      <c r="I67" s="3560"/>
      <c r="J67" s="2"/>
      <c r="K67" s="352"/>
      <c r="L67" s="2"/>
      <c r="M67" s="2"/>
      <c r="N67" s="2"/>
      <c r="O67" s="2"/>
      <c r="P67" s="2"/>
      <c r="Q67" s="2"/>
      <c r="R67" s="2"/>
      <c r="S67" s="2"/>
      <c r="T67" s="2"/>
      <c r="U67" s="2"/>
      <c r="V67" s="2"/>
      <c r="W67" s="2"/>
      <c r="X67" s="2"/>
    </row>
    <row r="68" spans="1:27" ht="15.75" x14ac:dyDescent="0.3">
      <c r="B68" s="389"/>
      <c r="C68" s="388"/>
      <c r="D68" s="6421"/>
      <c r="E68" s="6422"/>
      <c r="F68" s="3110" t="s">
        <v>2920</v>
      </c>
      <c r="G68" s="3111" t="s">
        <v>207</v>
      </c>
      <c r="H68" s="3799"/>
      <c r="I68" s="3560"/>
      <c r="J68" s="2"/>
      <c r="K68" s="352"/>
      <c r="L68" s="352"/>
      <c r="M68" s="2"/>
      <c r="N68" s="2"/>
      <c r="O68" s="2"/>
      <c r="P68" s="2"/>
      <c r="Q68" s="2"/>
      <c r="R68" s="2"/>
      <c r="S68" s="2"/>
      <c r="T68" s="2"/>
      <c r="U68" s="2"/>
      <c r="V68" s="2"/>
      <c r="W68" s="2"/>
      <c r="X68" s="2"/>
    </row>
    <row r="69" spans="1:27" s="484" customFormat="1" ht="16.5" thickBot="1" x14ac:dyDescent="0.35">
      <c r="A69" s="482"/>
      <c r="B69" s="389"/>
      <c r="C69" s="405"/>
      <c r="D69" s="6459" t="s">
        <v>211</v>
      </c>
      <c r="E69" s="6460"/>
      <c r="F69" s="3369" t="s">
        <v>2318</v>
      </c>
      <c r="G69" s="5792" t="s">
        <v>3563</v>
      </c>
      <c r="H69" s="5789">
        <f>(H60+H61)*H66*12</f>
        <v>0</v>
      </c>
      <c r="I69" s="3560"/>
      <c r="J69" s="1108"/>
      <c r="K69" s="1106"/>
      <c r="L69" s="1107"/>
      <c r="M69" s="352"/>
      <c r="N69" s="352"/>
      <c r="O69" s="352"/>
      <c r="P69" s="352"/>
      <c r="Q69" s="352"/>
      <c r="R69" s="352"/>
      <c r="S69" s="352"/>
      <c r="T69" s="352"/>
      <c r="U69" s="352"/>
      <c r="V69" s="352"/>
      <c r="W69" s="352"/>
      <c r="X69" s="352"/>
      <c r="Y69" s="3742"/>
      <c r="Z69" s="3739"/>
      <c r="AA69" s="2393"/>
    </row>
    <row r="70" spans="1:27" ht="18.75" customHeight="1" thickBot="1" x14ac:dyDescent="0.35">
      <c r="B70" s="389"/>
      <c r="C70" s="5535" t="s">
        <v>3210</v>
      </c>
      <c r="D70" s="3400" t="s">
        <v>786</v>
      </c>
      <c r="E70" s="2976" t="s">
        <v>78</v>
      </c>
      <c r="F70" s="6489" t="s">
        <v>1787</v>
      </c>
      <c r="G70" s="6489"/>
      <c r="H70" s="6490"/>
      <c r="I70" s="3560"/>
      <c r="J70" s="2"/>
      <c r="K70" s="352"/>
      <c r="L70" s="1106"/>
      <c r="M70" s="2"/>
      <c r="N70" s="2"/>
      <c r="O70" s="2"/>
      <c r="P70" s="2"/>
      <c r="Q70" s="2"/>
      <c r="R70" s="2"/>
      <c r="S70" s="2"/>
      <c r="T70" s="2"/>
      <c r="U70" s="2"/>
      <c r="V70" s="2"/>
      <c r="W70" s="2"/>
      <c r="X70" s="2"/>
      <c r="Z70" s="3739" t="b">
        <f>'Perf assessment'!U219</f>
        <v>1</v>
      </c>
    </row>
    <row r="71" spans="1:27" ht="36.75" customHeight="1" x14ac:dyDescent="0.3">
      <c r="B71" s="389"/>
      <c r="C71" s="388"/>
      <c r="D71" s="6680"/>
      <c r="E71" s="6681"/>
      <c r="F71" s="964" t="s">
        <v>1774</v>
      </c>
      <c r="G71" s="3922"/>
      <c r="H71" s="3923"/>
      <c r="I71" s="3560"/>
      <c r="J71" s="2"/>
      <c r="K71" s="352"/>
      <c r="L71" s="352"/>
      <c r="M71" s="2"/>
      <c r="N71" s="2"/>
      <c r="O71" s="2"/>
      <c r="P71" s="2"/>
      <c r="Q71" s="2"/>
      <c r="R71" s="2"/>
      <c r="S71" s="2"/>
      <c r="T71" s="2"/>
      <c r="U71" s="2"/>
      <c r="V71" s="2"/>
      <c r="W71" s="2"/>
      <c r="X71" s="2"/>
    </row>
    <row r="72" spans="1:27" ht="15.75" x14ac:dyDescent="0.3">
      <c r="B72" s="389"/>
      <c r="C72" s="388"/>
      <c r="D72" s="6421" t="s">
        <v>211</v>
      </c>
      <c r="E72" s="6422"/>
      <c r="F72" s="5342" t="s">
        <v>1788</v>
      </c>
      <c r="G72" s="3113"/>
      <c r="H72" s="3325"/>
      <c r="I72" s="3560"/>
      <c r="J72" s="2"/>
      <c r="K72" s="352"/>
      <c r="L72" s="352"/>
      <c r="M72" s="2"/>
      <c r="N72" s="2"/>
      <c r="O72" s="2"/>
      <c r="P72" s="2"/>
      <c r="Q72" s="2"/>
      <c r="R72" s="2"/>
      <c r="S72" s="2"/>
      <c r="T72" s="2"/>
      <c r="U72" s="2"/>
      <c r="V72" s="2"/>
      <c r="W72" s="2"/>
      <c r="X72" s="2"/>
    </row>
    <row r="73" spans="1:27" ht="15.75" x14ac:dyDescent="0.3">
      <c r="B73" s="389"/>
      <c r="C73" s="388"/>
      <c r="D73" s="6421"/>
      <c r="E73" s="6422"/>
      <c r="F73" s="3206" t="s">
        <v>3578</v>
      </c>
      <c r="G73" s="3111" t="s">
        <v>3549</v>
      </c>
      <c r="H73" s="3802"/>
      <c r="I73" s="3560"/>
      <c r="J73" s="2"/>
      <c r="K73" s="423"/>
      <c r="L73" s="352"/>
      <c r="M73" s="2"/>
      <c r="N73" s="2"/>
      <c r="O73" s="2"/>
      <c r="P73" s="2"/>
      <c r="Q73" s="2"/>
      <c r="R73" s="2"/>
      <c r="S73" s="2"/>
      <c r="T73" s="2"/>
      <c r="U73" s="2"/>
      <c r="V73" s="2"/>
      <c r="W73" s="2"/>
      <c r="X73" s="2"/>
    </row>
    <row r="74" spans="1:27" ht="15.75" x14ac:dyDescent="0.3">
      <c r="B74" s="389"/>
      <c r="C74" s="388"/>
      <c r="D74" s="6421"/>
      <c r="E74" s="6422"/>
      <c r="F74" s="3206" t="s">
        <v>3579</v>
      </c>
      <c r="G74" s="3111" t="s">
        <v>3549</v>
      </c>
      <c r="H74" s="3802"/>
      <c r="I74" s="3560"/>
      <c r="J74" s="2"/>
      <c r="K74" s="423"/>
      <c r="L74" s="352"/>
      <c r="M74" s="2"/>
      <c r="N74" s="2"/>
      <c r="O74" s="2"/>
      <c r="P74" s="2"/>
      <c r="Q74" s="2"/>
      <c r="R74" s="2"/>
      <c r="S74" s="2"/>
      <c r="T74" s="2"/>
      <c r="U74" s="2"/>
      <c r="V74" s="2"/>
      <c r="W74" s="2"/>
      <c r="X74" s="2"/>
    </row>
    <row r="75" spans="1:27" ht="15.75" x14ac:dyDescent="0.3">
      <c r="B75" s="389"/>
      <c r="C75" s="388"/>
      <c r="D75" s="6432"/>
      <c r="E75" s="6433"/>
      <c r="F75" s="3207" t="s">
        <v>2319</v>
      </c>
      <c r="G75" s="3112" t="s">
        <v>3549</v>
      </c>
      <c r="H75" s="5793"/>
      <c r="I75" s="3560"/>
      <c r="J75" s="2"/>
      <c r="K75" s="352"/>
      <c r="L75" s="352"/>
      <c r="M75" s="2"/>
      <c r="N75" s="2"/>
      <c r="O75" s="2"/>
      <c r="P75" s="2"/>
      <c r="Q75" s="2"/>
      <c r="R75" s="2"/>
      <c r="S75" s="2"/>
      <c r="T75" s="2"/>
      <c r="U75" s="2"/>
      <c r="V75" s="2"/>
      <c r="W75" s="2"/>
      <c r="X75" s="2"/>
    </row>
    <row r="76" spans="1:27" ht="15.75" x14ac:dyDescent="0.3">
      <c r="B76" s="389"/>
      <c r="C76" s="388"/>
      <c r="D76" s="6678"/>
      <c r="E76" s="6679"/>
      <c r="F76" s="964" t="s">
        <v>1775</v>
      </c>
      <c r="G76" s="3922"/>
      <c r="H76" s="3923"/>
      <c r="I76" s="3560"/>
      <c r="J76" s="2"/>
      <c r="K76" s="352"/>
      <c r="L76" s="352"/>
      <c r="M76" s="2"/>
      <c r="N76" s="2"/>
      <c r="O76" s="2"/>
      <c r="P76" s="2"/>
      <c r="Q76" s="2"/>
      <c r="R76" s="2"/>
      <c r="S76" s="2"/>
      <c r="T76" s="2"/>
      <c r="U76" s="2"/>
      <c r="V76" s="2"/>
      <c r="W76" s="2"/>
      <c r="X76" s="2"/>
    </row>
    <row r="77" spans="1:27" s="493" customFormat="1" ht="43.5" customHeight="1" x14ac:dyDescent="0.3">
      <c r="A77" s="474"/>
      <c r="B77" s="389"/>
      <c r="C77" s="426"/>
      <c r="D77" s="6421" t="s">
        <v>210</v>
      </c>
      <c r="E77" s="6422"/>
      <c r="F77" s="3029" t="s">
        <v>3036</v>
      </c>
      <c r="G77" s="3113" t="s">
        <v>207</v>
      </c>
      <c r="H77" s="3800"/>
      <c r="I77" s="3560"/>
      <c r="J77" s="303"/>
      <c r="K77" s="422"/>
      <c r="L77" s="422"/>
      <c r="M77" s="303"/>
      <c r="N77" s="303"/>
      <c r="O77" s="303"/>
      <c r="P77" s="303"/>
      <c r="Q77" s="303"/>
      <c r="R77" s="303"/>
      <c r="S77" s="303"/>
      <c r="T77" s="303"/>
      <c r="U77" s="303"/>
      <c r="V77" s="303"/>
      <c r="W77" s="303"/>
      <c r="X77" s="303"/>
      <c r="Y77" s="1317"/>
      <c r="Z77" s="3750"/>
      <c r="AA77" s="1343"/>
    </row>
    <row r="78" spans="1:27" s="493" customFormat="1" ht="15.75" x14ac:dyDescent="0.3">
      <c r="A78" s="474"/>
      <c r="B78" s="389"/>
      <c r="C78" s="426"/>
      <c r="D78" s="6421"/>
      <c r="E78" s="6422"/>
      <c r="F78" s="3206" t="s">
        <v>2920</v>
      </c>
      <c r="G78" s="3141" t="s">
        <v>207</v>
      </c>
      <c r="H78" s="3801"/>
      <c r="I78" s="3560"/>
      <c r="J78" s="303"/>
      <c r="K78" s="422"/>
      <c r="L78" s="422"/>
      <c r="M78" s="303"/>
      <c r="N78" s="303"/>
      <c r="O78" s="303"/>
      <c r="P78" s="303"/>
      <c r="Q78" s="303"/>
      <c r="R78" s="303"/>
      <c r="S78" s="303"/>
      <c r="T78" s="303"/>
      <c r="U78" s="303"/>
      <c r="V78" s="303"/>
      <c r="W78" s="303"/>
      <c r="X78" s="303"/>
      <c r="Y78" s="1317"/>
      <c r="Z78" s="3750"/>
      <c r="AA78" s="1343"/>
    </row>
    <row r="79" spans="1:27" s="493" customFormat="1" ht="15.75" x14ac:dyDescent="0.3">
      <c r="A79" s="474"/>
      <c r="B79" s="389"/>
      <c r="C79" s="426"/>
      <c r="D79" s="6429" t="s">
        <v>211</v>
      </c>
      <c r="E79" s="6430"/>
      <c r="F79" s="5343" t="s">
        <v>1788</v>
      </c>
      <c r="G79" s="3370"/>
      <c r="H79" s="3956"/>
      <c r="I79" s="3560"/>
      <c r="J79" s="303"/>
      <c r="K79" s="422"/>
      <c r="L79" s="422"/>
      <c r="M79" s="303"/>
      <c r="N79" s="303"/>
      <c r="O79" s="303"/>
      <c r="P79" s="303"/>
      <c r="Q79" s="303"/>
      <c r="R79" s="303"/>
      <c r="S79" s="303"/>
      <c r="T79" s="303"/>
      <c r="U79" s="303"/>
      <c r="V79" s="303"/>
      <c r="W79" s="303"/>
      <c r="X79" s="303"/>
      <c r="Y79" s="1317"/>
      <c r="Z79" s="3750"/>
      <c r="AA79" s="1343"/>
    </row>
    <row r="80" spans="1:27" s="493" customFormat="1" ht="15.75" x14ac:dyDescent="0.3">
      <c r="A80" s="474"/>
      <c r="B80" s="389"/>
      <c r="C80" s="426"/>
      <c r="D80" s="6421"/>
      <c r="E80" s="6422"/>
      <c r="F80" s="3206" t="s">
        <v>3578</v>
      </c>
      <c r="G80" s="3111" t="s">
        <v>3549</v>
      </c>
      <c r="H80" s="3802"/>
      <c r="I80" s="3560"/>
      <c r="J80" s="1092"/>
      <c r="K80" s="422"/>
      <c r="L80" s="422"/>
      <c r="M80" s="303"/>
      <c r="N80" s="303"/>
      <c r="O80" s="303"/>
      <c r="P80" s="303"/>
      <c r="Q80" s="303"/>
      <c r="R80" s="303"/>
      <c r="S80" s="303"/>
      <c r="T80" s="303"/>
      <c r="U80" s="303"/>
      <c r="V80" s="303"/>
      <c r="W80" s="303"/>
      <c r="X80" s="303"/>
      <c r="Y80" s="1317"/>
      <c r="Z80" s="3750"/>
      <c r="AA80" s="1343"/>
    </row>
    <row r="81" spans="1:27" s="493" customFormat="1" ht="15.75" x14ac:dyDescent="0.3">
      <c r="A81" s="474"/>
      <c r="B81" s="389"/>
      <c r="C81" s="426"/>
      <c r="D81" s="6421"/>
      <c r="E81" s="6422"/>
      <c r="F81" s="3206" t="s">
        <v>3579</v>
      </c>
      <c r="G81" s="3111" t="s">
        <v>3549</v>
      </c>
      <c r="H81" s="3802"/>
      <c r="I81" s="3560"/>
      <c r="J81" s="303"/>
      <c r="K81" s="422"/>
      <c r="L81" s="422"/>
      <c r="M81" s="303"/>
      <c r="N81" s="303"/>
      <c r="O81" s="303"/>
      <c r="P81" s="303"/>
      <c r="Q81" s="303"/>
      <c r="R81" s="303"/>
      <c r="S81" s="303"/>
      <c r="T81" s="303"/>
      <c r="U81" s="303"/>
      <c r="V81" s="303"/>
      <c r="W81" s="303"/>
      <c r="X81" s="303"/>
      <c r="Y81" s="1317"/>
      <c r="Z81" s="3750"/>
      <c r="AA81" s="1343"/>
    </row>
    <row r="82" spans="1:27" s="493" customFormat="1" ht="15.75" x14ac:dyDescent="0.3">
      <c r="A82" s="474"/>
      <c r="B82" s="389"/>
      <c r="C82" s="426"/>
      <c r="D82" s="6432"/>
      <c r="E82" s="6433"/>
      <c r="F82" s="3207" t="s">
        <v>2319</v>
      </c>
      <c r="G82" s="3112" t="s">
        <v>3549</v>
      </c>
      <c r="H82" s="5793"/>
      <c r="I82" s="3560"/>
      <c r="J82" s="303"/>
      <c r="K82" s="422"/>
      <c r="L82" s="422"/>
      <c r="M82" s="303"/>
      <c r="N82" s="303"/>
      <c r="O82" s="303"/>
      <c r="P82" s="303"/>
      <c r="Q82" s="303"/>
      <c r="R82" s="303"/>
      <c r="S82" s="303"/>
      <c r="T82" s="303"/>
      <c r="U82" s="303"/>
      <c r="V82" s="303"/>
      <c r="W82" s="303"/>
      <c r="X82" s="303"/>
      <c r="Y82" s="1317"/>
      <c r="Z82" s="3750"/>
      <c r="AA82" s="1343"/>
    </row>
    <row r="83" spans="1:27" ht="15.75" x14ac:dyDescent="0.3">
      <c r="B83" s="389"/>
      <c r="C83" s="388"/>
      <c r="D83" s="415"/>
      <c r="E83" s="388"/>
      <c r="F83" s="388"/>
      <c r="G83" s="388"/>
      <c r="H83" s="388"/>
      <c r="I83" s="388"/>
      <c r="J83" s="2"/>
      <c r="K83" s="352"/>
      <c r="L83" s="352"/>
      <c r="M83" s="2"/>
      <c r="N83" s="2"/>
      <c r="O83" s="2"/>
      <c r="P83" s="2"/>
      <c r="Q83" s="2"/>
      <c r="R83" s="2"/>
      <c r="S83" s="2"/>
      <c r="T83" s="2"/>
      <c r="U83" s="2"/>
      <c r="V83" s="2"/>
      <c r="W83" s="2"/>
      <c r="X83" s="2"/>
    </row>
    <row r="84" spans="1:27" ht="15.75" x14ac:dyDescent="0.3">
      <c r="B84" s="389"/>
      <c r="C84" s="991"/>
      <c r="D84" s="413"/>
      <c r="E84" s="991"/>
      <c r="F84" s="991"/>
      <c r="G84" s="991"/>
      <c r="H84" s="991"/>
      <c r="I84" s="991"/>
      <c r="J84" s="2"/>
      <c r="K84" s="352"/>
      <c r="L84" s="352"/>
      <c r="M84" s="2"/>
      <c r="N84" s="2"/>
      <c r="O84" s="2"/>
      <c r="P84" s="2"/>
      <c r="Q84" s="2"/>
      <c r="R84" s="2"/>
      <c r="S84" s="2"/>
      <c r="T84" s="2"/>
      <c r="U84" s="2"/>
      <c r="V84" s="2"/>
      <c r="W84" s="2"/>
      <c r="X84" s="2"/>
    </row>
    <row r="85" spans="1:27" x14ac:dyDescent="0.25">
      <c r="B85" s="2"/>
      <c r="C85" s="991"/>
      <c r="D85" s="413"/>
      <c r="E85" s="991"/>
      <c r="F85" s="991"/>
      <c r="G85" s="991"/>
      <c r="H85" s="991"/>
      <c r="I85" s="991"/>
      <c r="J85" s="2"/>
      <c r="K85" s="352"/>
      <c r="L85" s="352"/>
      <c r="M85" s="2"/>
      <c r="N85" s="2"/>
      <c r="O85" s="2"/>
      <c r="P85" s="2"/>
      <c r="Q85" s="2"/>
      <c r="R85" s="2"/>
      <c r="S85" s="2"/>
      <c r="T85" s="2"/>
      <c r="U85" s="2"/>
      <c r="V85" s="2"/>
      <c r="W85" s="2"/>
      <c r="X85" s="2"/>
    </row>
    <row r="86" spans="1:27" x14ac:dyDescent="0.25">
      <c r="B86" s="2"/>
      <c r="C86" s="991"/>
      <c r="D86" s="413"/>
      <c r="E86" s="991"/>
      <c r="F86" s="991"/>
      <c r="G86" s="991"/>
      <c r="H86" s="991"/>
      <c r="I86" s="991"/>
      <c r="J86" s="2"/>
      <c r="K86" s="2"/>
      <c r="L86" s="2"/>
      <c r="M86" s="2"/>
      <c r="N86" s="2"/>
      <c r="O86" s="2"/>
      <c r="P86" s="2"/>
      <c r="Q86" s="2"/>
      <c r="R86" s="2"/>
      <c r="S86" s="2"/>
      <c r="T86" s="2"/>
      <c r="U86" s="2"/>
      <c r="V86" s="2"/>
      <c r="W86" s="2"/>
      <c r="X86" s="2"/>
    </row>
    <row r="87" spans="1:27" s="480" customFormat="1" ht="31.5" customHeight="1" x14ac:dyDescent="0.25">
      <c r="B87" s="1382"/>
      <c r="C87" s="1383"/>
      <c r="D87" s="1384" t="s">
        <v>14</v>
      </c>
      <c r="E87" s="1384" t="s">
        <v>1446</v>
      </c>
      <c r="F87" s="1384"/>
      <c r="G87" s="1384"/>
      <c r="H87" s="1384"/>
      <c r="I87" s="1384"/>
      <c r="J87" s="1384"/>
      <c r="K87" s="1384"/>
      <c r="L87" s="1384"/>
      <c r="M87" s="1384"/>
      <c r="N87" s="1384"/>
      <c r="O87" s="1384"/>
      <c r="P87" s="1384"/>
      <c r="Q87" s="1384"/>
      <c r="R87" s="1384"/>
      <c r="S87" s="1384"/>
      <c r="T87" s="1384"/>
      <c r="U87" s="1385"/>
      <c r="V87" s="1385"/>
      <c r="W87" s="1385"/>
      <c r="X87" s="1386"/>
      <c r="Y87" s="1766"/>
      <c r="Z87" s="3738"/>
      <c r="AA87" s="1766"/>
    </row>
    <row r="88" spans="1:27" x14ac:dyDescent="0.25">
      <c r="B88" s="2"/>
      <c r="C88" s="991"/>
      <c r="D88" s="413"/>
      <c r="E88" s="991"/>
      <c r="F88" s="991"/>
      <c r="G88" s="991"/>
      <c r="H88" s="991"/>
      <c r="I88" s="991"/>
      <c r="J88" s="2"/>
      <c r="K88" s="2"/>
      <c r="L88" s="2"/>
      <c r="M88" s="2"/>
      <c r="N88" s="2"/>
      <c r="O88" s="2"/>
      <c r="P88" s="2"/>
      <c r="Q88" s="2"/>
      <c r="R88" s="2"/>
      <c r="S88" s="2"/>
      <c r="T88" s="2"/>
      <c r="U88" s="2"/>
      <c r="V88" s="2"/>
      <c r="W88" s="2"/>
      <c r="X88" s="2"/>
    </row>
    <row r="89" spans="1:27" ht="21.75" thickBot="1" x14ac:dyDescent="0.3">
      <c r="B89" s="991"/>
      <c r="C89" s="388"/>
      <c r="D89" s="399"/>
      <c r="E89" s="399">
        <v>1</v>
      </c>
      <c r="F89" s="6431" t="s">
        <v>566</v>
      </c>
      <c r="G89" s="6431"/>
      <c r="H89" s="6431"/>
      <c r="I89" s="390"/>
      <c r="J89" s="2"/>
      <c r="K89" s="2"/>
      <c r="L89" s="2"/>
      <c r="M89" s="2"/>
      <c r="N89" s="2"/>
      <c r="O89" s="2"/>
      <c r="P89" s="2"/>
      <c r="Q89" s="2"/>
      <c r="R89" s="2"/>
      <c r="S89" s="2"/>
      <c r="T89" s="2"/>
      <c r="U89" s="2"/>
      <c r="V89" s="2"/>
      <c r="W89" s="2"/>
      <c r="X89" s="2"/>
    </row>
    <row r="90" spans="1:27" ht="32.25" thickBot="1" x14ac:dyDescent="0.3">
      <c r="B90" s="991"/>
      <c r="C90" s="5534" t="s">
        <v>3211</v>
      </c>
      <c r="D90" s="3400" t="s">
        <v>786</v>
      </c>
      <c r="E90" s="2976" t="s">
        <v>78</v>
      </c>
      <c r="F90" s="2989" t="s">
        <v>1776</v>
      </c>
      <c r="G90" s="3922"/>
      <c r="H90" s="3923"/>
      <c r="I90" s="390"/>
      <c r="J90" s="2"/>
      <c r="K90" s="352"/>
      <c r="L90" s="352"/>
      <c r="M90" s="2"/>
      <c r="N90" s="2"/>
      <c r="O90" s="2"/>
      <c r="P90" s="2"/>
      <c r="Q90" s="2"/>
      <c r="R90" s="2"/>
      <c r="S90" s="2"/>
      <c r="T90" s="2"/>
      <c r="U90" s="2"/>
      <c r="V90" s="2"/>
      <c r="W90" s="2"/>
      <c r="X90" s="2"/>
      <c r="Z90" s="3739" t="b">
        <f>'Perf assessment'!U225</f>
        <v>1</v>
      </c>
    </row>
    <row r="91" spans="1:27" ht="30" x14ac:dyDescent="0.25">
      <c r="B91" s="991"/>
      <c r="C91" s="388"/>
      <c r="D91" s="6421" t="s">
        <v>211</v>
      </c>
      <c r="E91" s="6422"/>
      <c r="F91" s="2974" t="s">
        <v>2320</v>
      </c>
      <c r="G91" s="3113" t="s">
        <v>3520</v>
      </c>
      <c r="H91" s="5788"/>
      <c r="I91" s="390"/>
      <c r="J91" s="2"/>
      <c r="K91" s="352"/>
      <c r="L91" s="352"/>
      <c r="M91" s="2"/>
      <c r="N91" s="2"/>
      <c r="O91" s="2"/>
      <c r="P91" s="2"/>
      <c r="Q91" s="2"/>
      <c r="R91" s="2"/>
      <c r="S91" s="2"/>
      <c r="T91" s="2"/>
      <c r="U91" s="2"/>
      <c r="V91" s="2"/>
      <c r="W91" s="2"/>
      <c r="X91" s="2"/>
    </row>
    <row r="92" spans="1:27" ht="15.75" x14ac:dyDescent="0.25">
      <c r="B92" s="991"/>
      <c r="C92" s="388"/>
      <c r="D92" s="6432"/>
      <c r="E92" s="6433"/>
      <c r="F92" s="3198" t="s">
        <v>1066</v>
      </c>
      <c r="G92" s="3131" t="s">
        <v>1418</v>
      </c>
      <c r="H92" s="3237"/>
      <c r="I92" s="390"/>
      <c r="J92" s="2"/>
      <c r="K92" s="352"/>
      <c r="L92" s="352"/>
      <c r="M92" s="2"/>
      <c r="N92" s="2"/>
      <c r="O92" s="2"/>
      <c r="P92" s="2"/>
      <c r="Q92" s="2"/>
      <c r="R92" s="2"/>
      <c r="S92" s="2"/>
      <c r="T92" s="2"/>
      <c r="U92" s="2"/>
      <c r="V92" s="2"/>
      <c r="W92" s="2"/>
      <c r="X92" s="2"/>
    </row>
    <row r="93" spans="1:27" x14ac:dyDescent="0.25">
      <c r="B93" s="991"/>
      <c r="C93" s="388"/>
      <c r="D93" s="415"/>
      <c r="E93" s="388"/>
      <c r="F93" s="388"/>
      <c r="G93" s="388"/>
      <c r="H93" s="388"/>
      <c r="I93" s="388"/>
      <c r="J93" s="2"/>
      <c r="K93" s="352"/>
      <c r="L93" s="352"/>
      <c r="M93" s="2"/>
      <c r="N93" s="2"/>
      <c r="O93" s="2"/>
      <c r="P93" s="2"/>
      <c r="Q93" s="2"/>
      <c r="R93" s="2"/>
      <c r="S93" s="2"/>
      <c r="T93" s="2"/>
      <c r="U93" s="2"/>
      <c r="V93" s="2"/>
      <c r="W93" s="2"/>
      <c r="X93" s="2"/>
    </row>
    <row r="94" spans="1:27" s="918" customFormat="1" x14ac:dyDescent="0.25">
      <c r="A94" s="921"/>
      <c r="B94" s="991"/>
      <c r="C94" s="991"/>
      <c r="D94" s="413"/>
      <c r="E94" s="991"/>
      <c r="F94" s="991"/>
      <c r="G94" s="991"/>
      <c r="H94" s="991"/>
      <c r="I94" s="991"/>
      <c r="J94" s="991"/>
      <c r="K94" s="352"/>
      <c r="L94" s="352"/>
      <c r="M94" s="991"/>
      <c r="N94" s="991"/>
      <c r="O94" s="991"/>
      <c r="P94" s="991"/>
      <c r="Q94" s="991"/>
      <c r="R94" s="991"/>
      <c r="S94" s="991"/>
      <c r="T94" s="991"/>
      <c r="U94" s="991"/>
      <c r="V94" s="991"/>
      <c r="W94" s="991"/>
      <c r="X94" s="991"/>
      <c r="Y94" s="1311"/>
      <c r="Z94" s="1316"/>
      <c r="AA94" s="1316"/>
    </row>
    <row r="95" spans="1:27" ht="21.75" thickBot="1" x14ac:dyDescent="0.3">
      <c r="B95" s="2"/>
      <c r="C95" s="388"/>
      <c r="D95" s="399"/>
      <c r="E95" s="399">
        <v>2</v>
      </c>
      <c r="F95" s="6431" t="s">
        <v>1984</v>
      </c>
      <c r="G95" s="6431"/>
      <c r="H95" s="6431"/>
      <c r="I95" s="390"/>
      <c r="J95" s="2"/>
      <c r="K95" s="2"/>
      <c r="L95" s="2"/>
      <c r="M95" s="2"/>
      <c r="N95" s="2"/>
      <c r="O95" s="2"/>
      <c r="P95" s="2"/>
      <c r="Q95" s="2"/>
      <c r="R95" s="2"/>
      <c r="S95" s="2"/>
      <c r="T95" s="2"/>
      <c r="U95" s="2"/>
      <c r="V95" s="2"/>
      <c r="W95" s="2"/>
      <c r="X95" s="2"/>
    </row>
    <row r="96" spans="1:27" ht="33.75" customHeight="1" thickBot="1" x14ac:dyDescent="0.3">
      <c r="B96" s="2"/>
      <c r="C96" s="5534" t="s">
        <v>3212</v>
      </c>
      <c r="D96" s="3400" t="s">
        <v>786</v>
      </c>
      <c r="E96" s="2976" t="s">
        <v>78</v>
      </c>
      <c r="F96" s="6444" t="s">
        <v>1777</v>
      </c>
      <c r="G96" s="6445"/>
      <c r="H96" s="6446"/>
      <c r="I96" s="3560"/>
      <c r="J96" s="2"/>
      <c r="K96" s="2"/>
      <c r="L96" s="2"/>
      <c r="M96" s="2"/>
      <c r="N96" s="2"/>
      <c r="O96" s="2"/>
      <c r="P96" s="2"/>
      <c r="Q96" s="2"/>
      <c r="R96" s="2"/>
      <c r="S96" s="2"/>
      <c r="T96" s="2"/>
      <c r="U96" s="2"/>
      <c r="V96" s="2"/>
      <c r="W96" s="2"/>
      <c r="X96" s="2"/>
      <c r="Z96" s="3739" t="b">
        <f>'Perf assessment'!U227</f>
        <v>1</v>
      </c>
    </row>
    <row r="97" spans="1:27" ht="16.5" customHeight="1" thickBot="1" x14ac:dyDescent="0.3">
      <c r="B97" s="991"/>
      <c r="C97" s="5534" t="s">
        <v>3213</v>
      </c>
      <c r="D97" s="3400" t="s">
        <v>786</v>
      </c>
      <c r="E97" s="2976" t="s">
        <v>78</v>
      </c>
      <c r="F97" s="6444" t="s">
        <v>1552</v>
      </c>
      <c r="G97" s="6445"/>
      <c r="H97" s="6446"/>
      <c r="I97" s="3560"/>
      <c r="J97" s="2"/>
      <c r="K97" s="2"/>
      <c r="L97" s="2"/>
      <c r="M97" s="2"/>
      <c r="N97" s="2"/>
      <c r="O97" s="2"/>
      <c r="P97" s="2"/>
      <c r="Q97" s="2"/>
      <c r="R97" s="2"/>
      <c r="S97" s="2"/>
      <c r="T97" s="2"/>
      <c r="U97" s="2"/>
      <c r="V97" s="2"/>
      <c r="W97" s="2"/>
      <c r="X97" s="991"/>
      <c r="Z97" s="3739">
        <f>'Perf assessment'!U228</f>
        <v>0</v>
      </c>
    </row>
    <row r="98" spans="1:27" x14ac:dyDescent="0.25">
      <c r="B98" s="991"/>
      <c r="C98" s="388"/>
      <c r="D98" s="415"/>
      <c r="E98" s="388"/>
      <c r="F98" s="388"/>
      <c r="G98" s="388"/>
      <c r="H98" s="388"/>
      <c r="I98" s="388"/>
      <c r="J98" s="2"/>
      <c r="K98" s="352"/>
      <c r="L98" s="352"/>
      <c r="M98" s="2"/>
      <c r="N98" s="2"/>
      <c r="O98" s="2"/>
      <c r="P98" s="2"/>
      <c r="Q98" s="2"/>
      <c r="R98" s="2"/>
      <c r="S98" s="2"/>
      <c r="T98" s="2"/>
      <c r="U98" s="2"/>
      <c r="V98" s="2"/>
      <c r="W98" s="2"/>
      <c r="X98" s="991"/>
    </row>
    <row r="99" spans="1:27" x14ac:dyDescent="0.25">
      <c r="B99" s="991"/>
      <c r="C99" s="991"/>
      <c r="D99" s="413"/>
      <c r="E99" s="991"/>
      <c r="F99" s="991"/>
      <c r="G99" s="991"/>
      <c r="H99" s="991"/>
      <c r="I99" s="991"/>
      <c r="J99" s="2"/>
      <c r="K99" s="352"/>
      <c r="L99" s="352"/>
      <c r="M99" s="2"/>
      <c r="N99" s="2"/>
      <c r="O99" s="2"/>
      <c r="P99" s="2"/>
      <c r="Q99" s="2"/>
      <c r="R99" s="2"/>
      <c r="S99" s="2"/>
      <c r="T99" s="2"/>
      <c r="U99" s="2"/>
      <c r="V99" s="2"/>
      <c r="W99" s="2"/>
      <c r="X99" s="991"/>
    </row>
    <row r="100" spans="1:27" ht="21.75" thickBot="1" x14ac:dyDescent="0.3">
      <c r="B100" s="991"/>
      <c r="C100" s="390"/>
      <c r="D100" s="399"/>
      <c r="E100" s="399">
        <v>3</v>
      </c>
      <c r="F100" s="6431" t="s">
        <v>1044</v>
      </c>
      <c r="G100" s="6431"/>
      <c r="H100" s="6431"/>
      <c r="I100" s="390"/>
      <c r="J100" s="2"/>
      <c r="K100" s="352"/>
      <c r="L100" s="352"/>
      <c r="M100" s="2"/>
      <c r="N100" s="2"/>
      <c r="O100" s="2"/>
      <c r="P100" s="2"/>
      <c r="Q100" s="2"/>
      <c r="R100" s="2"/>
      <c r="S100" s="2"/>
      <c r="T100" s="2"/>
      <c r="U100" s="2"/>
      <c r="V100" s="2"/>
      <c r="W100" s="2"/>
      <c r="X100" s="991"/>
    </row>
    <row r="101" spans="1:27" ht="39" customHeight="1" thickBot="1" x14ac:dyDescent="0.3">
      <c r="B101" s="991"/>
      <c r="C101" s="5535" t="s">
        <v>3214</v>
      </c>
      <c r="D101" s="3400" t="s">
        <v>786</v>
      </c>
      <c r="E101" s="2976" t="s">
        <v>78</v>
      </c>
      <c r="F101" s="3366" t="s">
        <v>1778</v>
      </c>
      <c r="G101" s="3922"/>
      <c r="H101" s="3923"/>
      <c r="I101" s="5904"/>
      <c r="J101" s="2"/>
      <c r="K101" s="352"/>
      <c r="L101" s="352"/>
      <c r="M101" s="2"/>
      <c r="N101" s="2"/>
      <c r="O101" s="2"/>
      <c r="P101" s="2"/>
      <c r="Q101" s="2"/>
      <c r="R101" s="2"/>
      <c r="S101" s="2"/>
      <c r="T101" s="2"/>
      <c r="U101" s="2"/>
      <c r="V101" s="2"/>
      <c r="W101" s="2"/>
      <c r="X101" s="991"/>
      <c r="Z101" s="3739" t="b">
        <f>'Perf assessment'!U230</f>
        <v>1</v>
      </c>
    </row>
    <row r="102" spans="1:27" ht="30" x14ac:dyDescent="0.25">
      <c r="B102" s="991"/>
      <c r="C102" s="390"/>
      <c r="D102" s="6421" t="s">
        <v>82</v>
      </c>
      <c r="E102" s="6422"/>
      <c r="F102" s="2974" t="s">
        <v>2321</v>
      </c>
      <c r="G102" s="3330" t="s">
        <v>207</v>
      </c>
      <c r="H102" s="3324">
        <f>'WSS Profile'!$G$386+'WSS Profile'!$G$387</f>
        <v>0</v>
      </c>
      <c r="I102" s="5904"/>
      <c r="J102" s="2"/>
      <c r="K102" s="352"/>
      <c r="L102" s="352"/>
      <c r="M102" s="2"/>
      <c r="N102" s="2"/>
      <c r="O102" s="2"/>
      <c r="P102" s="2"/>
      <c r="Q102" s="2"/>
      <c r="R102" s="2"/>
      <c r="S102" s="2"/>
      <c r="T102" s="2"/>
      <c r="U102" s="2"/>
      <c r="V102" s="2"/>
      <c r="W102" s="2"/>
      <c r="X102" s="991"/>
    </row>
    <row r="103" spans="1:27" s="918" customFormat="1" ht="30" x14ac:dyDescent="0.3">
      <c r="A103" s="921"/>
      <c r="B103" s="389"/>
      <c r="C103" s="390"/>
      <c r="D103" s="6686" t="s">
        <v>210</v>
      </c>
      <c r="E103" s="6687"/>
      <c r="F103" s="3142" t="s">
        <v>2322</v>
      </c>
      <c r="G103" s="3331" t="s">
        <v>207</v>
      </c>
      <c r="H103" s="3802"/>
      <c r="I103" s="5904"/>
      <c r="J103" s="991"/>
      <c r="K103" s="352"/>
      <c r="L103" s="352"/>
      <c r="M103" s="991"/>
      <c r="N103" s="991"/>
      <c r="O103" s="991"/>
      <c r="P103" s="991"/>
      <c r="Q103" s="991"/>
      <c r="R103" s="991"/>
      <c r="S103" s="991"/>
      <c r="T103" s="991"/>
      <c r="U103" s="991"/>
      <c r="V103" s="991"/>
      <c r="W103" s="991"/>
      <c r="X103" s="991"/>
      <c r="Y103" s="1311"/>
      <c r="Z103" s="1316"/>
      <c r="AA103" s="1316"/>
    </row>
    <row r="104" spans="1:27" ht="30" x14ac:dyDescent="0.3">
      <c r="B104" s="389"/>
      <c r="C104" s="390"/>
      <c r="D104" s="6688"/>
      <c r="E104" s="6689"/>
      <c r="F104" s="3144" t="s">
        <v>2323</v>
      </c>
      <c r="G104" s="3335" t="s">
        <v>207</v>
      </c>
      <c r="H104" s="3802"/>
      <c r="I104" s="5904"/>
      <c r="J104" s="1093"/>
      <c r="K104" s="352"/>
      <c r="L104" s="352"/>
      <c r="M104" s="2"/>
      <c r="N104" s="2"/>
      <c r="O104" s="2"/>
      <c r="P104" s="2"/>
      <c r="Q104" s="2"/>
      <c r="R104" s="2"/>
      <c r="S104" s="2"/>
      <c r="T104" s="2"/>
      <c r="U104" s="2"/>
      <c r="V104" s="2"/>
      <c r="W104" s="2"/>
      <c r="X104" s="991"/>
    </row>
    <row r="105" spans="1:27" ht="16.5" thickBot="1" x14ac:dyDescent="0.35">
      <c r="B105" s="389"/>
      <c r="C105" s="390"/>
      <c r="D105" s="6432" t="s">
        <v>211</v>
      </c>
      <c r="E105" s="6433"/>
      <c r="F105" s="2975" t="s">
        <v>3573</v>
      </c>
      <c r="G105" s="3197" t="s">
        <v>3520</v>
      </c>
      <c r="H105" s="5794"/>
      <c r="I105" s="5904"/>
      <c r="J105" s="2"/>
      <c r="K105" s="352"/>
      <c r="L105" s="352"/>
      <c r="M105" s="2"/>
      <c r="N105" s="2"/>
      <c r="O105" s="2"/>
      <c r="P105" s="2"/>
      <c r="Q105" s="2"/>
      <c r="R105" s="2"/>
      <c r="S105" s="2"/>
      <c r="T105" s="2"/>
      <c r="U105" s="2"/>
      <c r="V105" s="2"/>
      <c r="W105" s="2"/>
      <c r="X105" s="991"/>
    </row>
    <row r="106" spans="1:27" ht="35.25" customHeight="1" thickBot="1" x14ac:dyDescent="0.3">
      <c r="B106" s="991"/>
      <c r="C106" s="5535" t="s">
        <v>3215</v>
      </c>
      <c r="D106" s="3400" t="s">
        <v>786</v>
      </c>
      <c r="E106" s="2976" t="s">
        <v>78</v>
      </c>
      <c r="F106" s="3349" t="s">
        <v>1790</v>
      </c>
      <c r="G106" s="3922"/>
      <c r="H106" s="3923"/>
      <c r="I106" s="5904"/>
      <c r="J106" s="2"/>
      <c r="K106" s="352"/>
      <c r="L106" s="352"/>
      <c r="M106" s="2"/>
      <c r="N106" s="2"/>
      <c r="O106" s="2"/>
      <c r="P106" s="2"/>
      <c r="Q106" s="2"/>
      <c r="R106" s="2"/>
      <c r="S106" s="2"/>
      <c r="T106" s="2"/>
      <c r="U106" s="2"/>
      <c r="V106" s="2"/>
      <c r="W106" s="2"/>
      <c r="X106" s="991"/>
      <c r="Z106" s="3739">
        <f>'Perf assessment'!U231</f>
        <v>0</v>
      </c>
    </row>
    <row r="107" spans="1:27" ht="59.25" customHeight="1" x14ac:dyDescent="0.25">
      <c r="B107" s="991"/>
      <c r="C107" s="390"/>
      <c r="D107" s="6421" t="s">
        <v>82</v>
      </c>
      <c r="E107" s="6422"/>
      <c r="F107" s="3029" t="s">
        <v>3039</v>
      </c>
      <c r="G107" s="3030" t="s">
        <v>207</v>
      </c>
      <c r="H107" s="3441">
        <f>'WSS Profile'!G391+'WSS Profile'!G392</f>
        <v>0</v>
      </c>
      <c r="I107" s="5904"/>
      <c r="J107" s="2"/>
      <c r="K107" s="352"/>
      <c r="L107" s="352"/>
      <c r="M107" s="2"/>
      <c r="N107" s="2"/>
      <c r="O107" s="2"/>
      <c r="P107" s="2"/>
      <c r="Q107" s="2"/>
      <c r="R107" s="2"/>
      <c r="S107" s="2"/>
      <c r="T107" s="2"/>
      <c r="U107" s="2"/>
      <c r="V107" s="2"/>
      <c r="W107" s="2"/>
      <c r="X107" s="991"/>
    </row>
    <row r="108" spans="1:27" ht="15.75" x14ac:dyDescent="0.25">
      <c r="B108" s="991"/>
      <c r="C108" s="390"/>
      <c r="D108" s="6421"/>
      <c r="E108" s="6422"/>
      <c r="F108" s="3336" t="s">
        <v>2324</v>
      </c>
      <c r="G108" s="3032" t="s">
        <v>207</v>
      </c>
      <c r="H108" s="3441">
        <f>'WSS Profile'!$G$393</f>
        <v>75</v>
      </c>
      <c r="I108" s="5904"/>
      <c r="J108" s="2"/>
      <c r="K108" s="352"/>
      <c r="L108" s="352"/>
      <c r="M108" s="2"/>
      <c r="N108" s="2"/>
      <c r="O108" s="2"/>
      <c r="P108" s="2"/>
      <c r="Q108" s="2"/>
      <c r="R108" s="2"/>
      <c r="S108" s="2"/>
      <c r="T108" s="2"/>
      <c r="U108" s="2"/>
      <c r="V108" s="2"/>
      <c r="W108" s="2"/>
      <c r="X108" s="991"/>
    </row>
    <row r="109" spans="1:27" ht="15.75" x14ac:dyDescent="0.25">
      <c r="B109" s="991"/>
      <c r="C109" s="390"/>
      <c r="D109" s="6421"/>
      <c r="E109" s="6422"/>
      <c r="F109" s="3031" t="s">
        <v>2325</v>
      </c>
      <c r="G109" s="3032" t="s">
        <v>1017</v>
      </c>
      <c r="H109" s="3442">
        <f>'WSS Profile'!$G$394</f>
        <v>0.5</v>
      </c>
      <c r="I109" s="5904"/>
      <c r="J109" s="2"/>
      <c r="K109" s="352"/>
      <c r="L109" s="352"/>
      <c r="M109" s="2"/>
      <c r="N109" s="2"/>
      <c r="O109" s="2"/>
      <c r="P109" s="2"/>
      <c r="Q109" s="2"/>
      <c r="R109" s="2"/>
      <c r="S109" s="2"/>
      <c r="T109" s="2"/>
      <c r="U109" s="2"/>
      <c r="V109" s="2"/>
      <c r="W109" s="2"/>
      <c r="X109" s="2"/>
    </row>
    <row r="110" spans="1:27" s="918" customFormat="1" ht="15.75" x14ac:dyDescent="0.25">
      <c r="A110" s="921"/>
      <c r="B110" s="991"/>
      <c r="C110" s="390"/>
      <c r="D110" s="6429" t="s">
        <v>210</v>
      </c>
      <c r="E110" s="6589"/>
      <c r="F110" s="5340" t="s">
        <v>2006</v>
      </c>
      <c r="G110" s="3043"/>
      <c r="H110" s="3443"/>
      <c r="I110" s="5904"/>
      <c r="J110" s="991"/>
      <c r="K110" s="352"/>
      <c r="L110" s="352"/>
      <c r="M110" s="991"/>
      <c r="N110" s="991"/>
      <c r="O110" s="991"/>
      <c r="P110" s="991"/>
      <c r="Q110" s="991"/>
      <c r="R110" s="991"/>
      <c r="S110" s="991"/>
      <c r="T110" s="991"/>
      <c r="U110" s="991"/>
      <c r="V110" s="991"/>
      <c r="W110" s="991"/>
      <c r="X110" s="991"/>
      <c r="Y110" s="1311"/>
      <c r="Z110" s="1316"/>
      <c r="AA110" s="1316"/>
    </row>
    <row r="111" spans="1:27" s="918" customFormat="1" ht="58.5" customHeight="1" x14ac:dyDescent="0.25">
      <c r="A111" s="921"/>
      <c r="B111" s="991"/>
      <c r="C111" s="390"/>
      <c r="D111" s="6421"/>
      <c r="E111" s="6640"/>
      <c r="F111" s="3031" t="s">
        <v>3038</v>
      </c>
      <c r="G111" s="3032" t="s">
        <v>207</v>
      </c>
      <c r="H111" s="3027"/>
      <c r="I111" s="5904"/>
      <c r="J111" s="991"/>
      <c r="K111" s="352"/>
      <c r="L111" s="352"/>
      <c r="M111" s="991"/>
      <c r="N111" s="991"/>
      <c r="O111" s="991"/>
      <c r="P111" s="991"/>
      <c r="Q111" s="991"/>
      <c r="R111" s="991"/>
      <c r="S111" s="991"/>
      <c r="T111" s="991"/>
      <c r="U111" s="991"/>
      <c r="V111" s="991"/>
      <c r="W111" s="991"/>
      <c r="X111" s="991"/>
      <c r="Y111" s="1311"/>
      <c r="Z111" s="1316"/>
      <c r="AA111" s="1316"/>
    </row>
    <row r="112" spans="1:27" s="918" customFormat="1" ht="15.75" x14ac:dyDescent="0.25">
      <c r="A112" s="921"/>
      <c r="B112" s="991"/>
      <c r="C112" s="390"/>
      <c r="D112" s="6421"/>
      <c r="E112" s="6640"/>
      <c r="F112" s="5344" t="s">
        <v>1789</v>
      </c>
      <c r="G112" s="3032"/>
      <c r="H112" s="3440"/>
      <c r="I112" s="5904"/>
      <c r="J112" s="991"/>
      <c r="K112" s="352"/>
      <c r="L112" s="352"/>
      <c r="M112" s="991"/>
      <c r="N112" s="991"/>
      <c r="O112" s="991"/>
      <c r="P112" s="991"/>
      <c r="Q112" s="991"/>
      <c r="R112" s="991"/>
      <c r="S112" s="991"/>
      <c r="T112" s="991"/>
      <c r="U112" s="991"/>
      <c r="V112" s="991"/>
      <c r="W112" s="991"/>
      <c r="X112" s="991"/>
      <c r="Y112" s="1311"/>
      <c r="Z112" s="1316"/>
      <c r="AA112" s="1316"/>
    </row>
    <row r="113" spans="1:27" ht="15.75" x14ac:dyDescent="0.25">
      <c r="B113" s="991"/>
      <c r="C113" s="390"/>
      <c r="D113" s="6421"/>
      <c r="E113" s="6640"/>
      <c r="F113" s="3031" t="s">
        <v>2326</v>
      </c>
      <c r="G113" s="3032" t="s">
        <v>207</v>
      </c>
      <c r="H113" s="3803"/>
      <c r="I113" s="5904"/>
      <c r="J113" s="2"/>
      <c r="K113" s="352"/>
      <c r="L113" s="352"/>
      <c r="M113" s="2"/>
      <c r="N113" s="2"/>
      <c r="O113" s="2"/>
      <c r="P113" s="2"/>
      <c r="Q113" s="2"/>
      <c r="R113" s="2"/>
      <c r="S113" s="2"/>
      <c r="T113" s="2"/>
      <c r="U113" s="2"/>
      <c r="V113" s="2"/>
      <c r="W113" s="2"/>
      <c r="X113" s="2"/>
    </row>
    <row r="114" spans="1:27" ht="15.75" x14ac:dyDescent="0.25">
      <c r="B114" s="991"/>
      <c r="C114" s="390"/>
      <c r="D114" s="6421"/>
      <c r="E114" s="6640"/>
      <c r="F114" s="3031" t="s">
        <v>2327</v>
      </c>
      <c r="G114" s="3032" t="s">
        <v>1017</v>
      </c>
      <c r="H114" s="3804"/>
      <c r="I114" s="5904"/>
      <c r="J114" s="2"/>
      <c r="K114" s="352"/>
      <c r="L114" s="352"/>
      <c r="M114" s="2"/>
      <c r="N114" s="2"/>
      <c r="O114" s="2"/>
      <c r="P114" s="2"/>
      <c r="Q114" s="2"/>
      <c r="R114" s="2"/>
      <c r="S114" s="2"/>
      <c r="T114" s="2"/>
      <c r="U114" s="2"/>
      <c r="V114" s="2"/>
      <c r="W114" s="2"/>
      <c r="X114" s="2"/>
    </row>
    <row r="115" spans="1:27" s="918" customFormat="1" ht="43.5" customHeight="1" x14ac:dyDescent="0.25">
      <c r="A115" s="921"/>
      <c r="B115" s="991"/>
      <c r="C115" s="390"/>
      <c r="D115" s="6436"/>
      <c r="E115" s="6476"/>
      <c r="F115" s="3078" t="s">
        <v>3037</v>
      </c>
      <c r="G115" s="3114" t="s">
        <v>207</v>
      </c>
      <c r="H115" s="3803"/>
      <c r="I115" s="5904"/>
      <c r="J115" s="991"/>
      <c r="K115" s="352"/>
      <c r="L115" s="352"/>
      <c r="M115" s="991"/>
      <c r="N115" s="991"/>
      <c r="O115" s="991"/>
      <c r="P115" s="991"/>
      <c r="Q115" s="991"/>
      <c r="R115" s="991"/>
      <c r="S115" s="991"/>
      <c r="T115" s="991"/>
      <c r="U115" s="991"/>
      <c r="V115" s="991"/>
      <c r="W115" s="991"/>
      <c r="X115" s="991"/>
      <c r="Y115" s="1311"/>
      <c r="Z115" s="3739"/>
      <c r="AA115" s="1316"/>
    </row>
    <row r="116" spans="1:27" ht="15.75" x14ac:dyDescent="0.25">
      <c r="B116" s="991"/>
      <c r="C116" s="390"/>
      <c r="D116" s="6421" t="s">
        <v>211</v>
      </c>
      <c r="E116" s="6422"/>
      <c r="F116" s="3031" t="s">
        <v>2328</v>
      </c>
      <c r="G116" s="3032" t="s">
        <v>3580</v>
      </c>
      <c r="H116" s="3803"/>
      <c r="I116" s="5904"/>
      <c r="J116" s="2"/>
      <c r="K116" s="352"/>
      <c r="L116" s="352"/>
      <c r="M116" s="2"/>
      <c r="N116" s="2"/>
      <c r="O116" s="2"/>
      <c r="P116" s="2"/>
      <c r="Q116" s="2"/>
      <c r="R116" s="2"/>
      <c r="S116" s="2"/>
      <c r="T116" s="2"/>
      <c r="U116" s="2"/>
      <c r="V116" s="2"/>
      <c r="W116" s="2"/>
      <c r="X116" s="2"/>
    </row>
    <row r="117" spans="1:27" ht="15.75" x14ac:dyDescent="0.25">
      <c r="B117" s="991"/>
      <c r="C117" s="390"/>
      <c r="D117" s="6421"/>
      <c r="E117" s="6422"/>
      <c r="F117" s="3110" t="s">
        <v>2329</v>
      </c>
      <c r="G117" s="3032" t="s">
        <v>3580</v>
      </c>
      <c r="H117" s="3248"/>
      <c r="I117" s="5904"/>
      <c r="J117" s="2"/>
      <c r="K117" s="416"/>
      <c r="L117" s="416"/>
      <c r="M117" s="2"/>
      <c r="N117" s="2"/>
      <c r="O117" s="2"/>
      <c r="P117" s="2"/>
      <c r="Q117" s="2"/>
      <c r="R117" s="2"/>
      <c r="S117" s="2"/>
      <c r="T117" s="2"/>
      <c r="U117" s="2"/>
      <c r="V117" s="2"/>
      <c r="W117" s="2"/>
      <c r="X117" s="2"/>
    </row>
    <row r="118" spans="1:27" ht="16.5" thickBot="1" x14ac:dyDescent="0.3">
      <c r="B118" s="991"/>
      <c r="C118" s="390"/>
      <c r="D118" s="6421"/>
      <c r="E118" s="6422"/>
      <c r="F118" s="3198" t="s">
        <v>1066</v>
      </c>
      <c r="G118" s="3112" t="s">
        <v>1998</v>
      </c>
      <c r="H118" s="3237"/>
      <c r="I118" s="5904"/>
      <c r="J118" s="2"/>
      <c r="K118" s="352"/>
      <c r="L118" s="352"/>
      <c r="M118" s="2"/>
      <c r="N118" s="2"/>
      <c r="O118" s="2"/>
      <c r="P118" s="2"/>
      <c r="Q118" s="2"/>
      <c r="R118" s="2"/>
      <c r="S118" s="2"/>
      <c r="T118" s="2"/>
      <c r="U118" s="2"/>
      <c r="V118" s="2"/>
      <c r="W118" s="2"/>
      <c r="X118" s="2"/>
    </row>
    <row r="119" spans="1:27" ht="18.75" thickBot="1" x14ac:dyDescent="0.3">
      <c r="B119" s="991"/>
      <c r="C119" s="5535" t="s">
        <v>3216</v>
      </c>
      <c r="D119" s="3400" t="s">
        <v>786</v>
      </c>
      <c r="E119" s="2976" t="s">
        <v>78</v>
      </c>
      <c r="F119" s="3349" t="s">
        <v>1779</v>
      </c>
      <c r="G119" s="3922"/>
      <c r="H119" s="3923"/>
      <c r="I119" s="5904"/>
      <c r="J119" s="2"/>
      <c r="K119" s="352"/>
      <c r="L119" s="352"/>
      <c r="M119" s="2"/>
      <c r="N119" s="2"/>
      <c r="O119" s="2"/>
      <c r="P119" s="2"/>
      <c r="Q119" s="2"/>
      <c r="R119" s="2"/>
      <c r="S119" s="2"/>
      <c r="T119" s="2"/>
      <c r="U119" s="2"/>
      <c r="V119" s="2"/>
      <c r="W119" s="2"/>
      <c r="X119" s="2"/>
      <c r="Z119" s="3739" t="b">
        <f>'Perf assessment'!U232</f>
        <v>1</v>
      </c>
    </row>
    <row r="120" spans="1:27" ht="15.75" x14ac:dyDescent="0.25">
      <c r="B120" s="991"/>
      <c r="C120" s="390"/>
      <c r="D120" s="6421" t="s">
        <v>210</v>
      </c>
      <c r="E120" s="6422"/>
      <c r="F120" s="2974" t="s">
        <v>2330</v>
      </c>
      <c r="G120" s="3130" t="s">
        <v>207</v>
      </c>
      <c r="H120" s="5788"/>
      <c r="I120" s="5904"/>
      <c r="J120" s="2"/>
      <c r="K120" s="352"/>
      <c r="L120" s="352"/>
      <c r="M120" s="2"/>
      <c r="N120" s="2"/>
      <c r="O120" s="2"/>
      <c r="P120" s="2"/>
      <c r="Q120" s="2"/>
      <c r="R120" s="2"/>
      <c r="S120" s="2"/>
      <c r="T120" s="2"/>
      <c r="U120" s="2"/>
      <c r="V120" s="2"/>
      <c r="W120" s="2"/>
      <c r="X120" s="2"/>
    </row>
    <row r="121" spans="1:27" ht="15.75" x14ac:dyDescent="0.25">
      <c r="B121" s="991"/>
      <c r="C121" s="390"/>
      <c r="D121" s="6429" t="s">
        <v>211</v>
      </c>
      <c r="E121" s="6430"/>
      <c r="F121" s="3142" t="s">
        <v>2331</v>
      </c>
      <c r="G121" s="3143" t="s">
        <v>3580</v>
      </c>
      <c r="H121" s="3248"/>
      <c r="I121" s="5904"/>
      <c r="J121" s="2"/>
      <c r="K121" s="352"/>
      <c r="L121" s="352"/>
      <c r="M121" s="2"/>
      <c r="N121" s="2"/>
      <c r="O121" s="2"/>
      <c r="P121" s="2"/>
      <c r="Q121" s="2"/>
      <c r="R121" s="2"/>
      <c r="S121" s="2"/>
      <c r="T121" s="2"/>
      <c r="U121" s="2"/>
      <c r="V121" s="2"/>
      <c r="W121" s="2"/>
      <c r="X121" s="2"/>
    </row>
    <row r="122" spans="1:27" ht="16.5" thickBot="1" x14ac:dyDescent="0.3">
      <c r="B122" s="991"/>
      <c r="C122" s="390"/>
      <c r="D122" s="6421"/>
      <c r="E122" s="6422"/>
      <c r="F122" s="3198" t="s">
        <v>1066</v>
      </c>
      <c r="G122" s="3131" t="s">
        <v>1998</v>
      </c>
      <c r="H122" s="3237"/>
      <c r="I122" s="5904"/>
      <c r="J122" s="2"/>
      <c r="K122" s="352"/>
      <c r="L122" s="352"/>
      <c r="M122" s="2"/>
      <c r="N122" s="2"/>
      <c r="O122" s="2"/>
      <c r="P122" s="2"/>
      <c r="Q122" s="2"/>
      <c r="R122" s="2"/>
      <c r="S122" s="2"/>
      <c r="T122" s="2"/>
      <c r="U122" s="2"/>
      <c r="V122" s="2"/>
      <c r="W122" s="2"/>
      <c r="X122" s="2"/>
    </row>
    <row r="123" spans="1:27" ht="16.5" customHeight="1" thickBot="1" x14ac:dyDescent="0.3">
      <c r="B123" s="991"/>
      <c r="C123" s="5535" t="s">
        <v>3217</v>
      </c>
      <c r="D123" s="3400" t="s">
        <v>786</v>
      </c>
      <c r="E123" s="2976" t="s">
        <v>78</v>
      </c>
      <c r="F123" s="2989" t="s">
        <v>1791</v>
      </c>
      <c r="G123" s="3922"/>
      <c r="H123" s="3923"/>
      <c r="I123" s="5904"/>
      <c r="J123" s="2"/>
      <c r="K123" s="352"/>
      <c r="L123" s="352"/>
      <c r="M123" s="2"/>
      <c r="N123" s="2"/>
      <c r="O123" s="2"/>
      <c r="P123" s="2"/>
      <c r="Q123" s="2"/>
      <c r="R123" s="2"/>
      <c r="S123" s="2"/>
      <c r="T123" s="2"/>
      <c r="U123" s="2"/>
      <c r="V123" s="2"/>
      <c r="W123" s="2"/>
      <c r="X123" s="2"/>
      <c r="Z123" s="3739">
        <f>'Perf assessment'!U233</f>
        <v>0</v>
      </c>
    </row>
    <row r="124" spans="1:27" ht="15.75" x14ac:dyDescent="0.25">
      <c r="B124" s="991"/>
      <c r="C124" s="390"/>
      <c r="D124" s="6696" t="s">
        <v>82</v>
      </c>
      <c r="E124" s="6697"/>
      <c r="F124" s="3337" t="s">
        <v>2332</v>
      </c>
      <c r="G124" s="3371" t="s">
        <v>207</v>
      </c>
      <c r="H124" s="3318">
        <f>SUM('WSS Profile'!$F$418:$F$418)</f>
        <v>1</v>
      </c>
      <c r="I124" s="5904"/>
      <c r="J124" s="2"/>
      <c r="K124" s="1539"/>
      <c r="L124" s="404"/>
      <c r="M124" s="1539"/>
      <c r="N124" s="404"/>
      <c r="O124" s="404"/>
      <c r="P124" s="2"/>
      <c r="Q124" s="2"/>
      <c r="R124" s="2"/>
      <c r="S124" s="2"/>
      <c r="T124" s="2"/>
      <c r="U124" s="2"/>
      <c r="V124" s="2"/>
      <c r="W124" s="2"/>
      <c r="X124" s="2"/>
    </row>
    <row r="125" spans="1:27" s="918" customFormat="1" ht="15.75" x14ac:dyDescent="0.25">
      <c r="A125" s="921"/>
      <c r="B125" s="991"/>
      <c r="C125" s="390"/>
      <c r="D125" s="6429" t="s">
        <v>210</v>
      </c>
      <c r="E125" s="6430"/>
      <c r="F125" s="3338" t="s">
        <v>2333</v>
      </c>
      <c r="G125" s="3372" t="s">
        <v>207</v>
      </c>
      <c r="H125" s="3805"/>
      <c r="I125" s="5904"/>
      <c r="J125" s="991"/>
      <c r="K125" s="404"/>
      <c r="L125" s="404"/>
      <c r="M125" s="404"/>
      <c r="N125" s="404"/>
      <c r="O125" s="404"/>
      <c r="P125" s="991"/>
      <c r="Q125" s="991"/>
      <c r="R125" s="991"/>
      <c r="S125" s="991"/>
      <c r="T125" s="991"/>
      <c r="U125" s="991"/>
      <c r="V125" s="991"/>
      <c r="W125" s="991"/>
      <c r="X125" s="991"/>
      <c r="Y125" s="1311"/>
      <c r="Z125" s="1316"/>
      <c r="AA125" s="1316"/>
    </row>
    <row r="126" spans="1:27" s="918" customFormat="1" ht="30" x14ac:dyDescent="0.25">
      <c r="A126" s="921"/>
      <c r="B126" s="991"/>
      <c r="C126" s="390"/>
      <c r="D126" s="6421"/>
      <c r="E126" s="6422"/>
      <c r="F126" s="5347" t="s">
        <v>1792</v>
      </c>
      <c r="G126" s="5345" t="s">
        <v>1793</v>
      </c>
      <c r="H126" s="5346" t="s">
        <v>2007</v>
      </c>
      <c r="I126" s="5904"/>
      <c r="J126" s="991"/>
      <c r="K126" s="352"/>
      <c r="L126" s="352"/>
      <c r="M126" s="991"/>
      <c r="N126" s="991"/>
      <c r="O126" s="991"/>
      <c r="P126" s="991"/>
      <c r="Q126" s="991"/>
      <c r="R126" s="991"/>
      <c r="S126" s="991"/>
      <c r="T126" s="991"/>
      <c r="U126" s="991"/>
      <c r="V126" s="991"/>
      <c r="W126" s="991"/>
      <c r="X126" s="991"/>
      <c r="Y126" s="1311"/>
      <c r="Z126" s="1316"/>
      <c r="AA126" s="1316"/>
    </row>
    <row r="127" spans="1:27" s="918" customFormat="1" ht="15.75" x14ac:dyDescent="0.25">
      <c r="A127" s="921"/>
      <c r="B127" s="991"/>
      <c r="C127" s="390"/>
      <c r="D127" s="6421"/>
      <c r="E127" s="6422"/>
      <c r="F127" s="3254" t="s">
        <v>1072</v>
      </c>
      <c r="G127" s="3373">
        <f>'WSS Profile'!G422</f>
        <v>3</v>
      </c>
      <c r="H127" s="3806"/>
      <c r="I127" s="5904"/>
      <c r="J127" s="991"/>
      <c r="K127" s="352"/>
      <c r="L127" s="352"/>
      <c r="M127" s="991"/>
      <c r="N127" s="991"/>
      <c r="O127" s="991"/>
      <c r="P127" s="991"/>
      <c r="Q127" s="991"/>
      <c r="R127" s="991"/>
      <c r="S127" s="991"/>
      <c r="T127" s="991"/>
      <c r="U127" s="991"/>
      <c r="V127" s="991"/>
      <c r="W127" s="991"/>
      <c r="X127" s="991"/>
      <c r="Y127" s="1311"/>
      <c r="Z127" s="1316"/>
      <c r="AA127" s="1316"/>
    </row>
    <row r="128" spans="1:27" s="918" customFormat="1" ht="15.75" x14ac:dyDescent="0.25">
      <c r="A128" s="921"/>
      <c r="B128" s="991"/>
      <c r="C128" s="390"/>
      <c r="D128" s="6421"/>
      <c r="E128" s="6422"/>
      <c r="F128" s="3254" t="s">
        <v>1071</v>
      </c>
      <c r="G128" s="3373">
        <f>'WSS Profile'!G423</f>
        <v>0</v>
      </c>
      <c r="H128" s="3806"/>
      <c r="I128" s="5904"/>
      <c r="J128" s="991"/>
      <c r="K128" s="352"/>
      <c r="L128" s="352"/>
      <c r="M128" s="991"/>
      <c r="N128" s="991"/>
      <c r="O128" s="991"/>
      <c r="P128" s="991"/>
      <c r="Q128" s="991"/>
      <c r="R128" s="991"/>
      <c r="S128" s="991"/>
      <c r="T128" s="991"/>
      <c r="U128" s="991"/>
      <c r="V128" s="991"/>
      <c r="W128" s="991"/>
      <c r="X128" s="991"/>
      <c r="Y128" s="1311"/>
      <c r="Z128" s="1316"/>
      <c r="AA128" s="1316"/>
    </row>
    <row r="129" spans="1:27" s="918" customFormat="1" ht="15.75" x14ac:dyDescent="0.25">
      <c r="A129" s="921"/>
      <c r="B129" s="991"/>
      <c r="C129" s="390"/>
      <c r="D129" s="6421"/>
      <c r="E129" s="6422"/>
      <c r="F129" s="3254" t="s">
        <v>1070</v>
      </c>
      <c r="G129" s="3373">
        <f>'WSS Profile'!G424</f>
        <v>2</v>
      </c>
      <c r="H129" s="3806"/>
      <c r="I129" s="5904"/>
      <c r="J129" s="991"/>
      <c r="K129" s="352"/>
      <c r="L129" s="352"/>
      <c r="M129" s="991"/>
      <c r="N129" s="991"/>
      <c r="O129" s="991"/>
      <c r="P129" s="991"/>
      <c r="Q129" s="991"/>
      <c r="R129" s="991"/>
      <c r="S129" s="991"/>
      <c r="T129" s="991"/>
      <c r="U129" s="991"/>
      <c r="V129" s="991"/>
      <c r="W129" s="991"/>
      <c r="X129" s="991"/>
      <c r="Y129" s="1311"/>
      <c r="Z129" s="1316"/>
      <c r="AA129" s="1316"/>
    </row>
    <row r="130" spans="1:27" s="918" customFormat="1" ht="15.75" x14ac:dyDescent="0.25">
      <c r="A130" s="921"/>
      <c r="B130" s="991"/>
      <c r="C130" s="390"/>
      <c r="D130" s="6421"/>
      <c r="E130" s="6422"/>
      <c r="F130" s="3254" t="s">
        <v>1069</v>
      </c>
      <c r="G130" s="3373">
        <f>'WSS Profile'!G425</f>
        <v>0</v>
      </c>
      <c r="H130" s="3806"/>
      <c r="I130" s="5904"/>
      <c r="J130" s="991"/>
      <c r="K130" s="352"/>
      <c r="L130" s="352"/>
      <c r="M130" s="991"/>
      <c r="N130" s="991"/>
      <c r="O130" s="991"/>
      <c r="P130" s="991"/>
      <c r="Q130" s="991"/>
      <c r="R130" s="991"/>
      <c r="S130" s="991"/>
      <c r="T130" s="991"/>
      <c r="U130" s="991"/>
      <c r="V130" s="991"/>
      <c r="W130" s="991"/>
      <c r="X130" s="991"/>
      <c r="Y130" s="1311"/>
      <c r="Z130" s="3739"/>
      <c r="AA130" s="1316"/>
    </row>
    <row r="131" spans="1:27" s="918" customFormat="1" ht="15.75" x14ac:dyDescent="0.25">
      <c r="A131" s="921"/>
      <c r="B131" s="991"/>
      <c r="C131" s="390"/>
      <c r="D131" s="6421"/>
      <c r="E131" s="6422"/>
      <c r="F131" s="3254" t="s">
        <v>1068</v>
      </c>
      <c r="G131" s="3373">
        <f>'WSS Profile'!G426</f>
        <v>0</v>
      </c>
      <c r="H131" s="3806"/>
      <c r="I131" s="5904"/>
      <c r="J131" s="991"/>
      <c r="K131" s="352"/>
      <c r="L131" s="352"/>
      <c r="M131" s="991"/>
      <c r="N131" s="991"/>
      <c r="O131" s="991"/>
      <c r="P131" s="991"/>
      <c r="Q131" s="991"/>
      <c r="R131" s="991"/>
      <c r="S131" s="991"/>
      <c r="T131" s="991"/>
      <c r="U131" s="991"/>
      <c r="V131" s="991"/>
      <c r="W131" s="991"/>
      <c r="X131" s="991"/>
      <c r="Y131" s="1311"/>
      <c r="Z131" s="3739"/>
      <c r="AA131" s="1316"/>
    </row>
    <row r="132" spans="1:27" s="918" customFormat="1" ht="15.75" x14ac:dyDescent="0.25">
      <c r="A132" s="921"/>
      <c r="B132" s="991"/>
      <c r="C132" s="390"/>
      <c r="D132" s="6436"/>
      <c r="E132" s="6437"/>
      <c r="F132" s="3339" t="s">
        <v>1067</v>
      </c>
      <c r="G132" s="3374">
        <f>'WSS Profile'!G427</f>
        <v>1</v>
      </c>
      <c r="H132" s="3806"/>
      <c r="I132" s="5904"/>
      <c r="J132" s="991"/>
      <c r="K132" s="352"/>
      <c r="L132" s="352"/>
      <c r="M132" s="991"/>
      <c r="N132" s="991"/>
      <c r="O132" s="991"/>
      <c r="P132" s="991"/>
      <c r="Q132" s="991"/>
      <c r="R132" s="991"/>
      <c r="S132" s="991"/>
      <c r="T132" s="991"/>
      <c r="U132" s="991"/>
      <c r="V132" s="991"/>
      <c r="W132" s="991"/>
      <c r="X132" s="991"/>
      <c r="Y132" s="1311"/>
      <c r="Z132" s="3739"/>
      <c r="AA132" s="1316"/>
    </row>
    <row r="133" spans="1:27" ht="15.75" x14ac:dyDescent="0.25">
      <c r="B133" s="991"/>
      <c r="C133" s="390"/>
      <c r="D133" s="6421" t="s">
        <v>211</v>
      </c>
      <c r="E133" s="6422"/>
      <c r="F133" s="3110" t="s">
        <v>2334</v>
      </c>
      <c r="G133" s="3375" t="s">
        <v>3520</v>
      </c>
      <c r="H133" s="5795"/>
      <c r="I133" s="5904"/>
      <c r="J133" s="2"/>
      <c r="K133" s="352"/>
      <c r="L133" s="352"/>
      <c r="M133" s="2"/>
      <c r="N133" s="2"/>
      <c r="O133" s="2"/>
      <c r="P133" s="2"/>
      <c r="Q133" s="2"/>
      <c r="R133" s="2"/>
      <c r="S133" s="2"/>
      <c r="T133" s="2"/>
      <c r="U133" s="2"/>
      <c r="V133" s="2"/>
      <c r="W133" s="2"/>
      <c r="X133" s="2"/>
    </row>
    <row r="134" spans="1:27" s="918" customFormat="1" ht="16.5" thickBot="1" x14ac:dyDescent="0.3">
      <c r="A134" s="921"/>
      <c r="B134" s="991"/>
      <c r="C134" s="390"/>
      <c r="D134" s="6432"/>
      <c r="E134" s="6433"/>
      <c r="F134" s="3033" t="s">
        <v>2335</v>
      </c>
      <c r="G134" s="3021" t="s">
        <v>3581</v>
      </c>
      <c r="H134" s="5795"/>
      <c r="I134" s="5904"/>
      <c r="J134" s="991"/>
      <c r="K134" s="352"/>
      <c r="L134" s="352"/>
      <c r="M134" s="991"/>
      <c r="N134" s="991"/>
      <c r="O134" s="991"/>
      <c r="P134" s="991"/>
      <c r="Q134" s="991"/>
      <c r="R134" s="991"/>
      <c r="S134" s="991"/>
      <c r="T134" s="991"/>
      <c r="U134" s="991"/>
      <c r="V134" s="991"/>
      <c r="W134" s="991"/>
      <c r="X134" s="991"/>
      <c r="Y134" s="1311"/>
      <c r="Z134" s="3739"/>
      <c r="AA134" s="1316"/>
    </row>
    <row r="135" spans="1:27" ht="18.75" thickBot="1" x14ac:dyDescent="0.3">
      <c r="B135" s="991"/>
      <c r="C135" s="5535" t="s">
        <v>3218</v>
      </c>
      <c r="D135" s="3400" t="s">
        <v>786</v>
      </c>
      <c r="E135" s="2976" t="s">
        <v>78</v>
      </c>
      <c r="F135" s="2989" t="s">
        <v>1780</v>
      </c>
      <c r="G135" s="3925"/>
      <c r="H135" s="3930"/>
      <c r="I135" s="5904"/>
      <c r="J135" s="2"/>
      <c r="K135" s="352"/>
      <c r="L135" s="352"/>
      <c r="M135" s="2"/>
      <c r="N135" s="2"/>
      <c r="O135" s="2"/>
      <c r="P135" s="2"/>
      <c r="Q135" s="2"/>
      <c r="R135" s="2"/>
      <c r="S135" s="2"/>
      <c r="T135" s="2"/>
      <c r="U135" s="2"/>
      <c r="V135" s="2"/>
      <c r="W135" s="2"/>
      <c r="X135" s="2"/>
      <c r="Z135" s="3739" t="b">
        <f>'Perf assessment'!U234</f>
        <v>1</v>
      </c>
    </row>
    <row r="136" spans="1:27" ht="15.75" x14ac:dyDescent="0.25">
      <c r="B136" s="991"/>
      <c r="C136" s="390"/>
      <c r="D136" s="6457" t="s">
        <v>82</v>
      </c>
      <c r="E136" s="6458"/>
      <c r="F136" s="2974" t="s">
        <v>2336</v>
      </c>
      <c r="G136" s="3130" t="s">
        <v>1794</v>
      </c>
      <c r="H136" s="2401">
        <f>'WSS Profile'!G437</f>
        <v>12</v>
      </c>
      <c r="I136" s="5904"/>
      <c r="J136" s="2"/>
      <c r="K136" s="352"/>
      <c r="L136" s="352"/>
      <c r="M136" s="2"/>
      <c r="N136" s="2"/>
      <c r="O136" s="2"/>
      <c r="P136" s="2"/>
      <c r="Q136" s="2"/>
      <c r="R136" s="2"/>
      <c r="S136" s="2"/>
      <c r="T136" s="2"/>
      <c r="U136" s="2"/>
      <c r="V136" s="2"/>
      <c r="W136" s="2"/>
      <c r="X136" s="2"/>
    </row>
    <row r="137" spans="1:27" s="918" customFormat="1" ht="15.75" x14ac:dyDescent="0.25">
      <c r="A137" s="921"/>
      <c r="B137" s="991"/>
      <c r="C137" s="390"/>
      <c r="D137" s="6421"/>
      <c r="E137" s="6422"/>
      <c r="F137" s="3110" t="s">
        <v>2576</v>
      </c>
      <c r="G137" s="3141" t="s">
        <v>1794</v>
      </c>
      <c r="H137" s="3319">
        <f>'WSS Profile'!G438</f>
        <v>0</v>
      </c>
      <c r="I137" s="5904"/>
      <c r="J137" s="991"/>
      <c r="K137" s="352"/>
      <c r="L137" s="352"/>
      <c r="M137" s="991"/>
      <c r="N137" s="991"/>
      <c r="O137" s="991"/>
      <c r="P137" s="991"/>
      <c r="Q137" s="991"/>
      <c r="R137" s="991"/>
      <c r="S137" s="991"/>
      <c r="T137" s="991"/>
      <c r="U137" s="991"/>
      <c r="V137" s="991"/>
      <c r="W137" s="991"/>
      <c r="X137" s="991"/>
      <c r="Y137" s="1311"/>
      <c r="Z137" s="1316"/>
      <c r="AA137" s="1316"/>
    </row>
    <row r="138" spans="1:27" s="918" customFormat="1" ht="30" x14ac:dyDescent="0.25">
      <c r="A138" s="921"/>
      <c r="B138" s="991"/>
      <c r="C138" s="390"/>
      <c r="D138" s="6429" t="s">
        <v>210</v>
      </c>
      <c r="E138" s="6589"/>
      <c r="F138" s="3142" t="s">
        <v>2785</v>
      </c>
      <c r="G138" s="3150" t="s">
        <v>1794</v>
      </c>
      <c r="H138" s="3807"/>
      <c r="I138" s="5904"/>
      <c r="J138" s="991"/>
      <c r="K138" s="352"/>
      <c r="L138" s="352"/>
      <c r="M138" s="991"/>
      <c r="N138" s="991"/>
      <c r="O138" s="991"/>
      <c r="P138" s="991"/>
      <c r="Q138" s="991"/>
      <c r="R138" s="991"/>
      <c r="S138" s="991"/>
      <c r="T138" s="991"/>
      <c r="U138" s="991"/>
      <c r="V138" s="991"/>
      <c r="W138" s="991"/>
      <c r="X138" s="991"/>
      <c r="Y138" s="1311"/>
      <c r="Z138" s="1316"/>
      <c r="AA138" s="1316"/>
    </row>
    <row r="139" spans="1:27" s="918" customFormat="1" ht="15.75" x14ac:dyDescent="0.25">
      <c r="A139" s="921"/>
      <c r="B139" s="991"/>
      <c r="C139" s="390"/>
      <c r="D139" s="6436"/>
      <c r="E139" s="6476"/>
      <c r="F139" s="4737" t="s">
        <v>2985</v>
      </c>
      <c r="G139" s="4738" t="s">
        <v>18</v>
      </c>
      <c r="H139" s="3083"/>
      <c r="I139" s="5904"/>
      <c r="J139" s="991"/>
      <c r="K139" s="352"/>
      <c r="L139" s="352"/>
      <c r="M139" s="991"/>
      <c r="N139" s="991"/>
      <c r="O139" s="991"/>
      <c r="P139" s="991"/>
      <c r="Q139" s="991"/>
      <c r="R139" s="991"/>
      <c r="S139" s="991"/>
      <c r="T139" s="991"/>
      <c r="U139" s="991"/>
      <c r="V139" s="991"/>
      <c r="W139" s="991"/>
      <c r="X139" s="991"/>
      <c r="Y139" s="1311"/>
      <c r="Z139" s="1316"/>
      <c r="AA139" s="1316"/>
    </row>
    <row r="140" spans="1:27" ht="15.75" x14ac:dyDescent="0.25">
      <c r="B140" s="991"/>
      <c r="C140" s="390"/>
      <c r="D140" s="6421" t="s">
        <v>211</v>
      </c>
      <c r="E140" s="6422"/>
      <c r="F140" s="3110" t="s">
        <v>2337</v>
      </c>
      <c r="G140" s="3141" t="s">
        <v>3520</v>
      </c>
      <c r="H140" s="5796"/>
      <c r="I140" s="5904"/>
      <c r="J140" s="2"/>
      <c r="K140" s="352"/>
      <c r="L140" s="352"/>
      <c r="M140" s="2"/>
      <c r="N140" s="2"/>
      <c r="O140" s="2"/>
      <c r="P140" s="2"/>
      <c r="Q140" s="2"/>
      <c r="R140" s="2"/>
      <c r="S140" s="2"/>
      <c r="T140" s="2"/>
      <c r="U140" s="2"/>
      <c r="V140" s="2"/>
      <c r="W140" s="2"/>
      <c r="X140" s="2"/>
    </row>
    <row r="141" spans="1:27" s="918" customFormat="1" ht="15.75" x14ac:dyDescent="0.25">
      <c r="A141" s="921"/>
      <c r="B141" s="991"/>
      <c r="C141" s="390"/>
      <c r="D141" s="6421"/>
      <c r="E141" s="6422"/>
      <c r="F141" s="3110" t="s">
        <v>2338</v>
      </c>
      <c r="G141" s="3141" t="s">
        <v>3563</v>
      </c>
      <c r="H141" s="5795"/>
      <c r="I141" s="5904"/>
      <c r="J141" s="991"/>
      <c r="K141" s="352"/>
      <c r="L141" s="352"/>
      <c r="M141" s="991"/>
      <c r="N141" s="991"/>
      <c r="O141" s="991"/>
      <c r="P141" s="991"/>
      <c r="Q141" s="991"/>
      <c r="R141" s="991"/>
      <c r="S141" s="991"/>
      <c r="T141" s="991"/>
      <c r="U141" s="991"/>
      <c r="V141" s="991"/>
      <c r="W141" s="991"/>
      <c r="X141" s="991"/>
      <c r="Y141" s="1311"/>
      <c r="Z141" s="1316"/>
      <c r="AA141" s="1316"/>
    </row>
    <row r="142" spans="1:27" s="918" customFormat="1" ht="15.75" x14ac:dyDescent="0.25">
      <c r="A142" s="921"/>
      <c r="B142" s="991"/>
      <c r="C142" s="390"/>
      <c r="D142" s="6432"/>
      <c r="E142" s="6433"/>
      <c r="F142" s="2975" t="s">
        <v>2339</v>
      </c>
      <c r="G142" s="3131" t="s">
        <v>3563</v>
      </c>
      <c r="H142" s="5797"/>
      <c r="I142" s="5904"/>
      <c r="J142" s="991"/>
      <c r="K142" s="352"/>
      <c r="L142" s="352"/>
      <c r="M142" s="991"/>
      <c r="N142" s="991"/>
      <c r="O142" s="991"/>
      <c r="P142" s="991"/>
      <c r="Q142" s="991"/>
      <c r="R142" s="991"/>
      <c r="S142" s="991"/>
      <c r="T142" s="991"/>
      <c r="U142" s="991"/>
      <c r="V142" s="991"/>
      <c r="W142" s="991"/>
      <c r="X142" s="991"/>
      <c r="Y142" s="1311"/>
      <c r="Z142" s="3739"/>
      <c r="AA142" s="1316"/>
    </row>
    <row r="143" spans="1:27" ht="13.5" customHeight="1" x14ac:dyDescent="0.25">
      <c r="B143" s="991"/>
      <c r="C143" s="390"/>
      <c r="D143" s="390"/>
      <c r="E143" s="390"/>
      <c r="F143" s="390"/>
      <c r="G143" s="390"/>
      <c r="H143" s="390"/>
      <c r="I143" s="390"/>
      <c r="J143" s="2"/>
      <c r="K143" s="352"/>
      <c r="L143" s="352"/>
      <c r="M143" s="2"/>
      <c r="N143" s="2"/>
      <c r="O143" s="2"/>
      <c r="P143" s="2"/>
      <c r="Q143" s="2"/>
      <c r="R143" s="2"/>
      <c r="S143" s="2"/>
      <c r="T143" s="2"/>
      <c r="U143" s="2"/>
      <c r="V143" s="2"/>
      <c r="W143" s="2"/>
      <c r="X143" s="2"/>
    </row>
    <row r="144" spans="1:27" x14ac:dyDescent="0.25">
      <c r="B144" s="991"/>
      <c r="C144" s="991"/>
      <c r="D144" s="413"/>
      <c r="E144" s="991"/>
      <c r="F144" s="991"/>
      <c r="G144" s="413"/>
      <c r="H144" s="991"/>
      <c r="I144" s="991"/>
      <c r="J144" s="2"/>
      <c r="K144" s="352"/>
      <c r="L144" s="352"/>
      <c r="M144" s="2"/>
      <c r="N144" s="2"/>
      <c r="O144" s="2"/>
      <c r="P144" s="2"/>
      <c r="Q144" s="2"/>
      <c r="R144" s="2"/>
      <c r="S144" s="2"/>
      <c r="T144" s="2"/>
      <c r="U144" s="2"/>
      <c r="V144" s="2"/>
      <c r="W144" s="2"/>
      <c r="X144" s="2"/>
    </row>
    <row r="145" spans="1:27" ht="21.75" thickBot="1" x14ac:dyDescent="0.3">
      <c r="B145" s="991"/>
      <c r="C145" s="390"/>
      <c r="D145" s="399"/>
      <c r="E145" s="399">
        <v>4</v>
      </c>
      <c r="F145" s="6431" t="s">
        <v>208</v>
      </c>
      <c r="G145" s="6431"/>
      <c r="H145" s="6431"/>
      <c r="I145" s="390"/>
      <c r="J145" s="2"/>
      <c r="K145" s="2"/>
      <c r="L145" s="2"/>
      <c r="M145" s="2"/>
      <c r="N145" s="2"/>
      <c r="O145" s="2"/>
      <c r="P145" s="2"/>
      <c r="Q145" s="2"/>
      <c r="R145" s="2"/>
      <c r="S145" s="2"/>
      <c r="T145" s="2"/>
      <c r="U145" s="2"/>
      <c r="V145" s="2"/>
      <c r="W145" s="2"/>
      <c r="X145" s="2"/>
    </row>
    <row r="146" spans="1:27" ht="37.5" customHeight="1" thickBot="1" x14ac:dyDescent="0.3">
      <c r="B146" s="991"/>
      <c r="C146" s="5535" t="s">
        <v>3219</v>
      </c>
      <c r="D146" s="3400" t="s">
        <v>786</v>
      </c>
      <c r="E146" s="2976" t="s">
        <v>78</v>
      </c>
      <c r="F146" s="3349" t="s">
        <v>1781</v>
      </c>
      <c r="G146" s="3922"/>
      <c r="H146" s="3923"/>
      <c r="I146" s="5904"/>
      <c r="J146" s="2"/>
      <c r="K146" s="352"/>
      <c r="L146" s="352"/>
      <c r="M146" s="2"/>
      <c r="N146" s="2"/>
      <c r="O146" s="2"/>
      <c r="P146" s="2"/>
      <c r="Q146" s="2"/>
      <c r="R146" s="2"/>
      <c r="S146" s="2"/>
      <c r="T146" s="2"/>
      <c r="U146" s="2"/>
      <c r="V146" s="2"/>
      <c r="W146" s="2"/>
      <c r="X146" s="2"/>
      <c r="Z146" s="3739" t="b">
        <f>'Perf assessment'!U236</f>
        <v>1</v>
      </c>
    </row>
    <row r="147" spans="1:27" ht="30" customHeight="1" x14ac:dyDescent="0.25">
      <c r="B147" s="991"/>
      <c r="C147" s="390"/>
      <c r="D147" s="6425" t="s">
        <v>82</v>
      </c>
      <c r="E147" s="6426"/>
      <c r="F147" s="3340" t="s">
        <v>2340</v>
      </c>
      <c r="G147" s="3314" t="s">
        <v>2008</v>
      </c>
      <c r="H147" s="661">
        <f>SUMPRODUCT('WSS Profile'!$F$413:$F$418,'WSS Profile'!$G$413:$G$418,IF($E$123="Activate",'SW Plan'!$H$127:$H$132, $G$127:$G$132))</f>
        <v>12</v>
      </c>
      <c r="I147" s="5904"/>
      <c r="J147" s="2"/>
      <c r="K147" s="352"/>
      <c r="L147" s="352"/>
      <c r="M147" s="2"/>
      <c r="N147" s="2"/>
      <c r="O147" s="2"/>
      <c r="P147" s="2"/>
      <c r="Q147" s="2"/>
      <c r="R147" s="2"/>
      <c r="S147" s="2"/>
      <c r="T147" s="2"/>
      <c r="U147" s="2"/>
      <c r="V147" s="2"/>
      <c r="W147" s="2"/>
      <c r="X147" s="2"/>
    </row>
    <row r="148" spans="1:27" ht="15.75" customHeight="1" x14ac:dyDescent="0.25">
      <c r="B148" s="991"/>
      <c r="C148" s="390"/>
      <c r="D148" s="6690" t="s">
        <v>210</v>
      </c>
      <c r="E148" s="6691"/>
      <c r="F148" s="5348" t="s">
        <v>1796</v>
      </c>
      <c r="G148" s="5349" t="s">
        <v>28</v>
      </c>
      <c r="H148" s="5350" t="s">
        <v>1795</v>
      </c>
      <c r="I148" s="5904"/>
      <c r="J148" s="2"/>
      <c r="K148" s="352"/>
      <c r="L148" s="352"/>
      <c r="M148" s="2"/>
      <c r="N148" s="2"/>
      <c r="O148" s="2"/>
      <c r="P148" s="2"/>
      <c r="Q148" s="2"/>
      <c r="R148" s="2"/>
      <c r="S148" s="2"/>
      <c r="T148" s="2"/>
      <c r="U148" s="2"/>
      <c r="V148" s="2"/>
      <c r="W148" s="2"/>
      <c r="X148" s="2"/>
    </row>
    <row r="149" spans="1:27" ht="15.75" x14ac:dyDescent="0.25">
      <c r="B149" s="991"/>
      <c r="C149" s="390"/>
      <c r="D149" s="6692"/>
      <c r="E149" s="6693"/>
      <c r="F149" s="3271" t="s">
        <v>1072</v>
      </c>
      <c r="G149" s="3809"/>
      <c r="H149" s="3808"/>
      <c r="I149" s="5904"/>
      <c r="J149" s="2"/>
      <c r="K149" s="352"/>
      <c r="L149" s="352"/>
      <c r="M149" s="2"/>
      <c r="N149" s="2"/>
      <c r="O149" s="2"/>
      <c r="P149" s="2"/>
      <c r="Q149" s="2"/>
      <c r="R149" s="2"/>
      <c r="S149" s="2"/>
      <c r="T149" s="2"/>
      <c r="U149" s="2"/>
      <c r="V149" s="2"/>
      <c r="W149" s="2"/>
      <c r="X149" s="2"/>
    </row>
    <row r="150" spans="1:27" ht="15.75" x14ac:dyDescent="0.25">
      <c r="B150" s="991"/>
      <c r="C150" s="390"/>
      <c r="D150" s="6692"/>
      <c r="E150" s="6693"/>
      <c r="F150" s="3271" t="s">
        <v>1071</v>
      </c>
      <c r="G150" s="3809"/>
      <c r="H150" s="3808"/>
      <c r="I150" s="5904"/>
      <c r="J150" s="2"/>
      <c r="K150" s="352"/>
      <c r="L150" s="352"/>
      <c r="M150" s="2"/>
      <c r="N150" s="2"/>
      <c r="O150" s="2"/>
      <c r="P150" s="2"/>
      <c r="Q150" s="2"/>
      <c r="R150" s="2"/>
      <c r="S150" s="2"/>
      <c r="T150" s="2"/>
      <c r="U150" s="2"/>
      <c r="V150" s="2"/>
      <c r="W150" s="2"/>
      <c r="X150" s="2"/>
    </row>
    <row r="151" spans="1:27" ht="15.75" x14ac:dyDescent="0.25">
      <c r="B151" s="991"/>
      <c r="C151" s="390"/>
      <c r="D151" s="6692"/>
      <c r="E151" s="6693"/>
      <c r="F151" s="3271" t="s">
        <v>1070</v>
      </c>
      <c r="G151" s="3809"/>
      <c r="H151" s="3808"/>
      <c r="I151" s="5904"/>
      <c r="J151" s="2"/>
      <c r="K151" s="352"/>
      <c r="L151" s="352"/>
      <c r="M151" s="2"/>
      <c r="N151" s="2"/>
      <c r="O151" s="2"/>
      <c r="P151" s="2"/>
      <c r="Q151" s="2"/>
      <c r="R151" s="2"/>
      <c r="S151" s="2"/>
      <c r="T151" s="2"/>
      <c r="U151" s="2"/>
      <c r="V151" s="2"/>
      <c r="W151" s="2"/>
      <c r="X151" s="2"/>
    </row>
    <row r="152" spans="1:27" ht="15.75" x14ac:dyDescent="0.25">
      <c r="B152" s="991"/>
      <c r="C152" s="390"/>
      <c r="D152" s="6692"/>
      <c r="E152" s="6693"/>
      <c r="F152" s="3271" t="s">
        <v>1069</v>
      </c>
      <c r="G152" s="3809"/>
      <c r="H152" s="3808"/>
      <c r="I152" s="5904"/>
      <c r="J152" s="2"/>
      <c r="K152" s="352"/>
      <c r="L152" s="352"/>
      <c r="M152" s="2"/>
      <c r="N152" s="2"/>
      <c r="O152" s="2"/>
      <c r="P152" s="2"/>
      <c r="Q152" s="2"/>
      <c r="R152" s="2"/>
      <c r="S152" s="2"/>
      <c r="T152" s="2"/>
      <c r="U152" s="2"/>
      <c r="V152" s="2"/>
      <c r="W152" s="2"/>
      <c r="X152" s="2"/>
    </row>
    <row r="153" spans="1:27" ht="15.75" x14ac:dyDescent="0.25">
      <c r="B153" s="991"/>
      <c r="C153" s="390"/>
      <c r="D153" s="6692"/>
      <c r="E153" s="6693"/>
      <c r="F153" s="3271" t="s">
        <v>1068</v>
      </c>
      <c r="G153" s="3809"/>
      <c r="H153" s="3808"/>
      <c r="I153" s="5904"/>
      <c r="J153" s="2"/>
      <c r="K153" s="352"/>
      <c r="L153" s="352"/>
      <c r="M153" s="2"/>
      <c r="N153" s="2"/>
      <c r="O153" s="2"/>
      <c r="P153" s="2"/>
      <c r="Q153" s="2"/>
      <c r="R153" s="2"/>
      <c r="S153" s="2"/>
      <c r="T153" s="2"/>
      <c r="U153" s="2"/>
      <c r="V153" s="2"/>
      <c r="W153" s="2"/>
      <c r="X153" s="2"/>
    </row>
    <row r="154" spans="1:27" ht="15.75" x14ac:dyDescent="0.25">
      <c r="B154" s="991"/>
      <c r="C154" s="390"/>
      <c r="D154" s="6692"/>
      <c r="E154" s="6693"/>
      <c r="F154" s="3271" t="s">
        <v>1067</v>
      </c>
      <c r="G154" s="3809"/>
      <c r="H154" s="3808"/>
      <c r="I154" s="5904"/>
      <c r="J154" s="2"/>
      <c r="K154" s="352"/>
      <c r="L154" s="352"/>
      <c r="M154" s="2"/>
      <c r="N154" s="2"/>
      <c r="O154" s="2"/>
      <c r="P154" s="2"/>
      <c r="Q154" s="2"/>
      <c r="R154" s="2"/>
      <c r="S154" s="2"/>
      <c r="T154" s="2"/>
      <c r="U154" s="2"/>
      <c r="V154" s="2"/>
      <c r="W154" s="2"/>
      <c r="X154" s="2"/>
    </row>
    <row r="155" spans="1:27" ht="15.75" x14ac:dyDescent="0.25">
      <c r="B155" s="991"/>
      <c r="C155" s="390"/>
      <c r="D155" s="6692"/>
      <c r="E155" s="6693"/>
      <c r="F155" s="5351" t="s">
        <v>1797</v>
      </c>
      <c r="G155" s="3322"/>
      <c r="H155" s="3323"/>
      <c r="I155" s="5904"/>
      <c r="J155" s="2"/>
      <c r="K155" s="352"/>
      <c r="L155" s="352"/>
      <c r="M155" s="2"/>
      <c r="N155" s="2"/>
      <c r="O155" s="2"/>
      <c r="P155" s="2"/>
      <c r="Q155" s="2"/>
      <c r="R155" s="2"/>
      <c r="S155" s="2"/>
      <c r="T155" s="2"/>
      <c r="U155" s="2"/>
      <c r="V155" s="2"/>
      <c r="W155" s="2"/>
      <c r="X155" s="2"/>
    </row>
    <row r="156" spans="1:27" s="918" customFormat="1" ht="15.75" x14ac:dyDescent="0.25">
      <c r="A156" s="921"/>
      <c r="B156" s="991"/>
      <c r="C156" s="390"/>
      <c r="D156" s="6692"/>
      <c r="E156" s="6693"/>
      <c r="F156" s="3271" t="s">
        <v>1072</v>
      </c>
      <c r="G156" s="3317" t="s">
        <v>402</v>
      </c>
      <c r="H156" s="3248"/>
      <c r="I156" s="5904"/>
      <c r="J156" s="991"/>
      <c r="K156" s="352"/>
      <c r="L156" s="352"/>
      <c r="M156" s="991"/>
      <c r="N156" s="991"/>
      <c r="O156" s="991"/>
      <c r="P156" s="991"/>
      <c r="Q156" s="991"/>
      <c r="R156" s="991"/>
      <c r="S156" s="991"/>
      <c r="T156" s="991"/>
      <c r="U156" s="991"/>
      <c r="V156" s="991"/>
      <c r="W156" s="991"/>
      <c r="X156" s="991"/>
      <c r="Y156" s="1311"/>
      <c r="Z156" s="3739"/>
      <c r="AA156" s="1316"/>
    </row>
    <row r="157" spans="1:27" ht="15.75" x14ac:dyDescent="0.25">
      <c r="B157" s="991"/>
      <c r="C157" s="390"/>
      <c r="D157" s="6692"/>
      <c r="E157" s="6693"/>
      <c r="F157" s="3271" t="s">
        <v>1071</v>
      </c>
      <c r="G157" s="3317" t="s">
        <v>402</v>
      </c>
      <c r="H157" s="3248"/>
      <c r="I157" s="5904"/>
      <c r="J157" s="2"/>
      <c r="K157" s="352"/>
      <c r="L157" s="352"/>
      <c r="M157" s="2"/>
      <c r="N157" s="2"/>
      <c r="O157" s="2"/>
      <c r="P157" s="2"/>
      <c r="Q157" s="2"/>
      <c r="R157" s="2"/>
      <c r="S157" s="2"/>
      <c r="T157" s="2"/>
      <c r="U157" s="2"/>
      <c r="V157" s="2"/>
      <c r="W157" s="2"/>
      <c r="X157" s="2"/>
    </row>
    <row r="158" spans="1:27" ht="15.75" x14ac:dyDescent="0.25">
      <c r="B158" s="991"/>
      <c r="C158" s="390"/>
      <c r="D158" s="6692"/>
      <c r="E158" s="6693"/>
      <c r="F158" s="3271" t="s">
        <v>1070</v>
      </c>
      <c r="G158" s="3317" t="s">
        <v>402</v>
      </c>
      <c r="H158" s="3248"/>
      <c r="I158" s="5904"/>
      <c r="J158" s="2"/>
      <c r="K158" s="352"/>
      <c r="L158" s="352"/>
      <c r="M158" s="2"/>
      <c r="N158" s="2"/>
      <c r="O158" s="2"/>
      <c r="P158" s="2"/>
      <c r="Q158" s="2"/>
      <c r="R158" s="2"/>
      <c r="S158" s="2"/>
      <c r="T158" s="2"/>
      <c r="U158" s="2"/>
      <c r="V158" s="2"/>
      <c r="W158" s="2"/>
      <c r="X158" s="2"/>
    </row>
    <row r="159" spans="1:27" ht="15.75" x14ac:dyDescent="0.25">
      <c r="B159" s="991"/>
      <c r="C159" s="390"/>
      <c r="D159" s="6692"/>
      <c r="E159" s="6693"/>
      <c r="F159" s="3271" t="s">
        <v>1069</v>
      </c>
      <c r="G159" s="3317" t="s">
        <v>402</v>
      </c>
      <c r="H159" s="3248"/>
      <c r="I159" s="5904"/>
      <c r="J159" s="2"/>
      <c r="K159" s="352"/>
      <c r="L159" s="352"/>
      <c r="M159" s="2"/>
      <c r="N159" s="2"/>
      <c r="O159" s="2"/>
      <c r="P159" s="2"/>
      <c r="Q159" s="2"/>
      <c r="R159" s="2"/>
      <c r="S159" s="2"/>
      <c r="T159" s="2"/>
      <c r="U159" s="2"/>
      <c r="V159" s="2"/>
      <c r="W159" s="2"/>
      <c r="X159" s="2"/>
    </row>
    <row r="160" spans="1:27" ht="15.75" x14ac:dyDescent="0.25">
      <c r="B160" s="991"/>
      <c r="C160" s="390"/>
      <c r="D160" s="6692"/>
      <c r="E160" s="6693"/>
      <c r="F160" s="3271" t="s">
        <v>1068</v>
      </c>
      <c r="G160" s="3317" t="s">
        <v>402</v>
      </c>
      <c r="H160" s="3248"/>
      <c r="I160" s="5904"/>
      <c r="J160" s="2"/>
      <c r="K160" s="352"/>
      <c r="L160" s="352"/>
      <c r="M160" s="2"/>
      <c r="N160" s="2"/>
      <c r="O160" s="2"/>
      <c r="P160" s="2"/>
      <c r="Q160" s="2"/>
      <c r="R160" s="2"/>
      <c r="S160" s="2"/>
      <c r="T160" s="2"/>
      <c r="U160" s="2"/>
      <c r="V160" s="2"/>
      <c r="W160" s="2"/>
      <c r="X160" s="2"/>
    </row>
    <row r="161" spans="1:27" ht="15.75" x14ac:dyDescent="0.25">
      <c r="B161" s="991"/>
      <c r="C161" s="390"/>
      <c r="D161" s="6694"/>
      <c r="E161" s="6695"/>
      <c r="F161" s="3341" t="s">
        <v>1067</v>
      </c>
      <c r="G161" s="3320" t="s">
        <v>402</v>
      </c>
      <c r="H161" s="3248"/>
      <c r="I161" s="5904"/>
      <c r="J161" s="2"/>
      <c r="K161" s="352"/>
      <c r="L161" s="352"/>
      <c r="M161" s="2"/>
      <c r="N161" s="2"/>
      <c r="O161" s="2"/>
      <c r="P161" s="2"/>
      <c r="Q161" s="2"/>
      <c r="R161" s="2"/>
      <c r="S161" s="2"/>
      <c r="T161" s="2"/>
      <c r="U161" s="2"/>
      <c r="V161" s="2"/>
      <c r="W161" s="2"/>
      <c r="X161" s="2"/>
    </row>
    <row r="162" spans="1:27" s="484" customFormat="1" ht="15.6" customHeight="1" x14ac:dyDescent="0.25">
      <c r="A162" s="482"/>
      <c r="B162" s="991"/>
      <c r="C162" s="424"/>
      <c r="D162" s="6421" t="s">
        <v>211</v>
      </c>
      <c r="E162" s="6422"/>
      <c r="F162" s="3007" t="s">
        <v>2341</v>
      </c>
      <c r="G162" s="3317" t="s">
        <v>3520</v>
      </c>
      <c r="H162" s="3803"/>
      <c r="I162" s="5904"/>
      <c r="J162" s="352"/>
      <c r="K162" s="352"/>
      <c r="L162" s="352"/>
      <c r="M162" s="352"/>
      <c r="N162" s="352"/>
      <c r="O162" s="352"/>
      <c r="P162" s="352"/>
      <c r="Q162" s="352"/>
      <c r="R162" s="352"/>
      <c r="S162" s="352"/>
      <c r="T162" s="352"/>
      <c r="U162" s="352"/>
      <c r="V162" s="352"/>
      <c r="W162" s="352"/>
      <c r="X162" s="352"/>
      <c r="Y162" s="3742"/>
      <c r="Z162" s="3739"/>
      <c r="AA162" s="2393"/>
    </row>
    <row r="163" spans="1:27" ht="16.5" thickBot="1" x14ac:dyDescent="0.3">
      <c r="B163" s="991"/>
      <c r="C163" s="390"/>
      <c r="D163" s="6421"/>
      <c r="E163" s="6422"/>
      <c r="F163" s="3342" t="s">
        <v>1066</v>
      </c>
      <c r="G163" s="3315" t="s">
        <v>1418</v>
      </c>
      <c r="H163" s="3237"/>
      <c r="I163" s="5904"/>
      <c r="J163" s="2"/>
      <c r="K163" s="352"/>
      <c r="L163" s="352"/>
      <c r="M163" s="2"/>
      <c r="N163" s="2"/>
      <c r="O163" s="2"/>
      <c r="P163" s="2"/>
      <c r="Q163" s="2"/>
      <c r="R163" s="2"/>
      <c r="S163" s="2"/>
      <c r="T163" s="2"/>
      <c r="U163" s="2"/>
      <c r="V163" s="2"/>
      <c r="W163" s="2"/>
      <c r="X163" s="2"/>
    </row>
    <row r="164" spans="1:27" ht="18.75" thickBot="1" x14ac:dyDescent="0.3">
      <c r="B164" s="991"/>
      <c r="C164" s="5535" t="s">
        <v>3220</v>
      </c>
      <c r="D164" s="3400" t="s">
        <v>786</v>
      </c>
      <c r="E164" s="3364" t="s">
        <v>78</v>
      </c>
      <c r="F164" s="3367" t="s">
        <v>1799</v>
      </c>
      <c r="G164" s="3922"/>
      <c r="H164" s="3923"/>
      <c r="I164" s="5904"/>
      <c r="J164" s="2"/>
      <c r="K164" s="352"/>
      <c r="L164" s="352"/>
      <c r="M164" s="2"/>
      <c r="N164" s="2"/>
      <c r="O164" s="2"/>
      <c r="P164" s="2"/>
      <c r="Q164" s="2"/>
      <c r="R164" s="2"/>
      <c r="S164" s="2"/>
      <c r="T164" s="2"/>
      <c r="U164" s="2"/>
      <c r="V164" s="2"/>
      <c r="W164" s="2"/>
      <c r="X164" s="2"/>
      <c r="Z164" s="3739" t="b">
        <f>'Perf assessment'!U237</f>
        <v>1</v>
      </c>
    </row>
    <row r="165" spans="1:27" ht="15.75" x14ac:dyDescent="0.25">
      <c r="B165" s="991"/>
      <c r="C165" s="390"/>
      <c r="D165" s="6421" t="s">
        <v>82</v>
      </c>
      <c r="E165" s="6422"/>
      <c r="F165" s="3029" t="s">
        <v>2342</v>
      </c>
      <c r="G165" s="3130" t="s">
        <v>207</v>
      </c>
      <c r="H165" s="3444">
        <f>'WSS Profile'!$G$395</f>
        <v>0</v>
      </c>
      <c r="I165" s="5904"/>
      <c r="J165" s="2"/>
      <c r="K165" s="352"/>
      <c r="L165" s="352"/>
      <c r="M165" s="2"/>
      <c r="N165" s="2"/>
      <c r="O165" s="2"/>
      <c r="P165" s="2"/>
      <c r="Q165" s="2"/>
      <c r="R165" s="2"/>
      <c r="S165" s="2"/>
      <c r="T165" s="2"/>
      <c r="U165" s="2"/>
      <c r="V165" s="2"/>
      <c r="W165" s="2"/>
      <c r="X165" s="2"/>
    </row>
    <row r="166" spans="1:27" ht="15.75" x14ac:dyDescent="0.25">
      <c r="B166" s="991"/>
      <c r="C166" s="390"/>
      <c r="D166" s="6421"/>
      <c r="E166" s="6422"/>
      <c r="F166" s="3031" t="s">
        <v>2343</v>
      </c>
      <c r="G166" s="3141" t="s">
        <v>1794</v>
      </c>
      <c r="H166" s="3444">
        <f>'WSS Profile'!$G$396</f>
        <v>0</v>
      </c>
      <c r="I166" s="5904"/>
      <c r="J166" s="2"/>
      <c r="K166" s="352"/>
      <c r="L166" s="352"/>
      <c r="M166" s="2"/>
      <c r="N166" s="2"/>
      <c r="O166" s="2"/>
      <c r="P166" s="2"/>
      <c r="Q166" s="2"/>
      <c r="R166" s="2"/>
      <c r="S166" s="2"/>
      <c r="T166" s="2"/>
      <c r="U166" s="2"/>
      <c r="V166" s="2"/>
      <c r="W166" s="2"/>
      <c r="X166" s="2"/>
    </row>
    <row r="167" spans="1:27" ht="15.75" x14ac:dyDescent="0.25">
      <c r="B167" s="991"/>
      <c r="C167" s="390"/>
      <c r="D167" s="6429" t="s">
        <v>210</v>
      </c>
      <c r="E167" s="6430"/>
      <c r="F167" s="3042" t="s">
        <v>2344</v>
      </c>
      <c r="G167" s="3143" t="s">
        <v>207</v>
      </c>
      <c r="H167" s="3810"/>
      <c r="I167" s="5904"/>
      <c r="J167" s="2"/>
      <c r="K167" s="352"/>
      <c r="L167" s="352"/>
      <c r="M167" s="2"/>
      <c r="N167" s="2"/>
      <c r="O167" s="2"/>
      <c r="P167" s="2"/>
      <c r="Q167" s="2"/>
      <c r="R167" s="2"/>
      <c r="S167" s="2"/>
      <c r="T167" s="2"/>
      <c r="U167" s="2"/>
      <c r="V167" s="2"/>
      <c r="W167" s="2"/>
      <c r="X167" s="2"/>
    </row>
    <row r="168" spans="1:27" ht="15.75" x14ac:dyDescent="0.25">
      <c r="B168" s="991"/>
      <c r="C168" s="390"/>
      <c r="D168" s="6436"/>
      <c r="E168" s="6437"/>
      <c r="F168" s="3078" t="s">
        <v>2345</v>
      </c>
      <c r="G168" s="3151" t="s">
        <v>2008</v>
      </c>
      <c r="H168" s="3811"/>
      <c r="I168" s="5904"/>
      <c r="J168" s="2"/>
      <c r="K168" s="352"/>
      <c r="L168" s="352"/>
      <c r="M168" s="2"/>
      <c r="N168" s="2"/>
      <c r="O168" s="2"/>
      <c r="P168" s="2"/>
      <c r="Q168" s="2"/>
      <c r="R168" s="2"/>
      <c r="S168" s="2"/>
      <c r="T168" s="2"/>
      <c r="U168" s="2"/>
      <c r="V168" s="2"/>
      <c r="W168" s="2"/>
      <c r="X168" s="2"/>
    </row>
    <row r="169" spans="1:27" ht="15.75" x14ac:dyDescent="0.25">
      <c r="B169" s="991"/>
      <c r="C169" s="390"/>
      <c r="D169" s="6421" t="s">
        <v>211</v>
      </c>
      <c r="E169" s="6422"/>
      <c r="F169" s="3110" t="s">
        <v>2346</v>
      </c>
      <c r="G169" s="3141" t="s">
        <v>3582</v>
      </c>
      <c r="H169" s="5798"/>
      <c r="I169" s="5904"/>
      <c r="J169" s="2"/>
      <c r="K169" s="352"/>
      <c r="L169" s="352"/>
      <c r="M169" s="2"/>
      <c r="N169" s="2"/>
      <c r="O169" s="2"/>
      <c r="P169" s="2"/>
      <c r="Q169" s="2"/>
      <c r="R169" s="2"/>
      <c r="S169" s="2"/>
      <c r="T169" s="2"/>
      <c r="U169" s="2"/>
      <c r="V169" s="2"/>
      <c r="W169" s="2"/>
      <c r="X169" s="2"/>
    </row>
    <row r="170" spans="1:27" ht="16.5" thickBot="1" x14ac:dyDescent="0.3">
      <c r="B170" s="991"/>
      <c r="C170" s="390"/>
      <c r="D170" s="6421"/>
      <c r="E170" s="6422"/>
      <c r="F170" s="3198" t="s">
        <v>1066</v>
      </c>
      <c r="G170" s="3131" t="s">
        <v>1418</v>
      </c>
      <c r="H170" s="3237"/>
      <c r="I170" s="5904"/>
      <c r="J170" s="2"/>
      <c r="K170" s="352"/>
      <c r="L170" s="352"/>
      <c r="M170" s="2"/>
      <c r="N170" s="2"/>
      <c r="O170" s="2"/>
      <c r="P170" s="2"/>
      <c r="Q170" s="2"/>
      <c r="R170" s="2"/>
      <c r="S170" s="2"/>
      <c r="T170" s="2"/>
      <c r="U170" s="2"/>
      <c r="V170" s="2"/>
      <c r="W170" s="2"/>
      <c r="X170" s="2"/>
    </row>
    <row r="171" spans="1:27" ht="32.25" thickBot="1" x14ac:dyDescent="0.3">
      <c r="B171" s="991"/>
      <c r="C171" s="5535" t="s">
        <v>3221</v>
      </c>
      <c r="D171" s="3400" t="s">
        <v>786</v>
      </c>
      <c r="E171" s="2976" t="s">
        <v>78</v>
      </c>
      <c r="F171" s="3368" t="s">
        <v>1800</v>
      </c>
      <c r="G171" s="3935"/>
      <c r="H171" s="3929"/>
      <c r="I171" s="5904"/>
      <c r="J171" s="2"/>
      <c r="K171" s="352"/>
      <c r="L171" s="352"/>
      <c r="M171" s="2"/>
      <c r="N171" s="2"/>
      <c r="O171" s="2"/>
      <c r="P171" s="2"/>
      <c r="Q171" s="2"/>
      <c r="R171" s="2"/>
      <c r="S171" s="2"/>
      <c r="T171" s="2"/>
      <c r="U171" s="2"/>
      <c r="V171" s="2"/>
      <c r="W171" s="2"/>
      <c r="X171" s="2"/>
      <c r="Z171" s="3739" t="b">
        <f>'Perf assessment'!U238</f>
        <v>1</v>
      </c>
    </row>
    <row r="172" spans="1:27" ht="15.75" x14ac:dyDescent="0.25">
      <c r="B172" s="991"/>
      <c r="C172" s="390"/>
      <c r="D172" s="6682" t="s">
        <v>210</v>
      </c>
      <c r="E172" s="6683"/>
      <c r="F172" s="2974" t="s">
        <v>2347</v>
      </c>
      <c r="G172" s="3130" t="s">
        <v>207</v>
      </c>
      <c r="H172" s="3812"/>
      <c r="I172" s="5904"/>
      <c r="J172" s="2"/>
      <c r="K172" s="352"/>
      <c r="L172" s="352"/>
      <c r="M172" s="2"/>
      <c r="N172" s="2"/>
      <c r="O172" s="2"/>
      <c r="P172" s="2"/>
      <c r="Q172" s="2"/>
      <c r="R172" s="2"/>
      <c r="S172" s="2"/>
      <c r="T172" s="2"/>
      <c r="U172" s="2"/>
      <c r="V172" s="2"/>
      <c r="W172" s="2"/>
      <c r="X172" s="2"/>
    </row>
    <row r="173" spans="1:27" ht="15.75" x14ac:dyDescent="0.25">
      <c r="B173" s="991"/>
      <c r="C173" s="390"/>
      <c r="D173" s="6429" t="s">
        <v>211</v>
      </c>
      <c r="E173" s="6430"/>
      <c r="F173" s="3142" t="s">
        <v>2348</v>
      </c>
      <c r="G173" s="3143" t="s">
        <v>3583</v>
      </c>
      <c r="H173" s="5744"/>
      <c r="I173" s="5904"/>
      <c r="J173" s="2"/>
      <c r="K173" s="352"/>
      <c r="L173" s="352"/>
      <c r="M173" s="2"/>
      <c r="N173" s="2"/>
      <c r="O173" s="2"/>
      <c r="P173" s="2"/>
      <c r="Q173" s="2"/>
      <c r="R173" s="2"/>
      <c r="S173" s="2"/>
      <c r="T173" s="2"/>
      <c r="U173" s="2"/>
      <c r="V173" s="2"/>
      <c r="W173" s="2"/>
      <c r="X173" s="2"/>
    </row>
    <row r="174" spans="1:27" ht="16.5" thickBot="1" x14ac:dyDescent="0.3">
      <c r="B174" s="991"/>
      <c r="C174" s="390"/>
      <c r="D174" s="6432"/>
      <c r="E174" s="6433"/>
      <c r="F174" s="3198" t="s">
        <v>1066</v>
      </c>
      <c r="G174" s="3131" t="s">
        <v>1418</v>
      </c>
      <c r="H174" s="3237"/>
      <c r="I174" s="5904"/>
      <c r="J174" s="2"/>
      <c r="K174" s="352"/>
      <c r="L174" s="352"/>
      <c r="M174" s="2"/>
      <c r="N174" s="2"/>
      <c r="O174" s="2"/>
      <c r="P174" s="2"/>
      <c r="Q174" s="2"/>
      <c r="R174" s="2"/>
      <c r="S174" s="2"/>
      <c r="T174" s="2"/>
      <c r="U174" s="2"/>
      <c r="V174" s="2"/>
      <c r="W174" s="2"/>
      <c r="X174" s="2"/>
    </row>
    <row r="175" spans="1:27" ht="18.75" thickBot="1" x14ac:dyDescent="0.3">
      <c r="B175" s="991"/>
      <c r="C175" s="5535" t="s">
        <v>3222</v>
      </c>
      <c r="D175" s="3400" t="s">
        <v>786</v>
      </c>
      <c r="E175" s="2976" t="s">
        <v>78</v>
      </c>
      <c r="F175" s="2989" t="s">
        <v>1798</v>
      </c>
      <c r="G175" s="3922"/>
      <c r="H175" s="3923"/>
      <c r="I175" s="5904"/>
      <c r="J175" s="2"/>
      <c r="K175" s="352"/>
      <c r="L175" s="352"/>
      <c r="M175" s="2"/>
      <c r="N175" s="2"/>
      <c r="O175" s="2"/>
      <c r="P175" s="2"/>
      <c r="Q175" s="2"/>
      <c r="R175" s="2"/>
      <c r="S175" s="2"/>
      <c r="T175" s="2"/>
      <c r="U175" s="2"/>
      <c r="V175" s="2"/>
      <c r="W175" s="2"/>
      <c r="X175" s="2"/>
      <c r="Z175" s="3739" t="b">
        <f>'Perf assessment'!U239</f>
        <v>1</v>
      </c>
    </row>
    <row r="176" spans="1:27" ht="15.75" x14ac:dyDescent="0.25">
      <c r="B176" s="991"/>
      <c r="C176" s="390"/>
      <c r="D176" s="6421" t="s">
        <v>82</v>
      </c>
      <c r="E176" s="6422"/>
      <c r="F176" s="2974" t="s">
        <v>2336</v>
      </c>
      <c r="G176" s="3130" t="s">
        <v>2008</v>
      </c>
      <c r="H176" s="3445">
        <f>'WSS Profile'!$G$437</f>
        <v>12</v>
      </c>
      <c r="I176" s="5904"/>
      <c r="J176" s="2"/>
      <c r="K176" s="352"/>
      <c r="L176" s="352"/>
      <c r="M176" s="2"/>
      <c r="N176" s="2"/>
      <c r="O176" s="2"/>
      <c r="P176" s="2"/>
      <c r="Q176" s="2"/>
      <c r="R176" s="2"/>
      <c r="S176" s="2"/>
      <c r="T176" s="2"/>
      <c r="U176" s="2"/>
      <c r="V176" s="2"/>
      <c r="W176" s="2"/>
      <c r="X176" s="2"/>
    </row>
    <row r="177" spans="1:27" ht="15.75" x14ac:dyDescent="0.25">
      <c r="B177" s="2"/>
      <c r="C177" s="390"/>
      <c r="D177" s="6429" t="s">
        <v>210</v>
      </c>
      <c r="E177" s="6430"/>
      <c r="F177" s="3343" t="s">
        <v>2349</v>
      </c>
      <c r="G177" s="3143" t="s">
        <v>2008</v>
      </c>
      <c r="H177" s="3775"/>
      <c r="I177" s="5904"/>
      <c r="J177" s="991"/>
      <c r="K177" s="352"/>
      <c r="L177" s="352"/>
      <c r="M177" s="2"/>
      <c r="N177" s="2"/>
      <c r="O177" s="2"/>
      <c r="P177" s="2"/>
      <c r="Q177" s="2"/>
      <c r="R177" s="2"/>
      <c r="S177" s="2"/>
      <c r="T177" s="2"/>
      <c r="U177" s="2"/>
      <c r="V177" s="2"/>
      <c r="W177" s="2"/>
      <c r="X177" s="2"/>
    </row>
    <row r="178" spans="1:27" s="918" customFormat="1" ht="30" x14ac:dyDescent="0.25">
      <c r="A178" s="921"/>
      <c r="B178" s="991"/>
      <c r="C178" s="390"/>
      <c r="D178" s="6421"/>
      <c r="E178" s="6422"/>
      <c r="F178" s="3344" t="s">
        <v>2350</v>
      </c>
      <c r="G178" s="3032" t="s">
        <v>18</v>
      </c>
      <c r="H178" s="3813"/>
      <c r="I178" s="5904"/>
      <c r="J178" s="991"/>
      <c r="K178" s="352"/>
      <c r="L178" s="352"/>
      <c r="M178" s="991"/>
      <c r="N178" s="991"/>
      <c r="O178" s="991"/>
      <c r="P178" s="991"/>
      <c r="Q178" s="991"/>
      <c r="R178" s="991"/>
      <c r="S178" s="991"/>
      <c r="T178" s="991"/>
      <c r="U178" s="991"/>
      <c r="V178" s="991"/>
      <c r="W178" s="991"/>
      <c r="X178" s="991"/>
      <c r="Y178" s="1311"/>
      <c r="Z178" s="3739"/>
      <c r="AA178" s="1316"/>
    </row>
    <row r="179" spans="1:27" s="918" customFormat="1" ht="15.75" x14ac:dyDescent="0.25">
      <c r="A179" s="921"/>
      <c r="B179" s="991"/>
      <c r="C179" s="390"/>
      <c r="D179" s="6421"/>
      <c r="E179" s="6422"/>
      <c r="F179" s="6699" t="s">
        <v>1804</v>
      </c>
      <c r="G179" s="6700"/>
      <c r="H179" s="3446"/>
      <c r="I179" s="5904"/>
      <c r="J179" s="991"/>
      <c r="K179" s="352"/>
      <c r="L179" s="352"/>
      <c r="M179" s="991"/>
      <c r="N179" s="991"/>
      <c r="O179" s="991"/>
      <c r="P179" s="991"/>
      <c r="Q179" s="991"/>
      <c r="R179" s="991"/>
      <c r="S179" s="991"/>
      <c r="T179" s="991"/>
      <c r="U179" s="991"/>
      <c r="V179" s="991"/>
      <c r="W179" s="991"/>
      <c r="X179" s="991"/>
      <c r="Y179" s="1311"/>
      <c r="Z179" s="3739"/>
      <c r="AA179" s="1316"/>
    </row>
    <row r="180" spans="1:27" ht="15.75" x14ac:dyDescent="0.25">
      <c r="B180" s="2"/>
      <c r="C180" s="390"/>
      <c r="D180" s="6421"/>
      <c r="E180" s="6422"/>
      <c r="F180" s="3345" t="s">
        <v>2351</v>
      </c>
      <c r="G180" s="3155" t="s">
        <v>18</v>
      </c>
      <c r="H180" s="3814"/>
      <c r="I180" s="5904"/>
      <c r="J180" s="2"/>
      <c r="K180" s="352"/>
      <c r="L180" s="352"/>
      <c r="M180" s="2"/>
      <c r="N180" s="2"/>
      <c r="O180" s="2"/>
      <c r="P180" s="2"/>
      <c r="Q180" s="2"/>
      <c r="R180" s="2"/>
      <c r="S180" s="2"/>
      <c r="T180" s="2"/>
      <c r="U180" s="2"/>
      <c r="V180" s="2"/>
      <c r="W180" s="2"/>
      <c r="X180" s="2"/>
    </row>
    <row r="181" spans="1:27" ht="15.75" x14ac:dyDescent="0.25">
      <c r="B181" s="2"/>
      <c r="C181" s="390"/>
      <c r="D181" s="6421"/>
      <c r="E181" s="6422"/>
      <c r="F181" s="3346" t="s">
        <v>2352</v>
      </c>
      <c r="G181" s="3032" t="s">
        <v>18</v>
      </c>
      <c r="H181" s="3814"/>
      <c r="I181" s="5904"/>
      <c r="J181" s="404"/>
      <c r="K181" s="404"/>
      <c r="L181" s="404"/>
      <c r="M181" s="404"/>
      <c r="N181" s="404"/>
      <c r="O181" s="404"/>
      <c r="P181" s="404"/>
      <c r="Q181" s="404"/>
      <c r="R181" s="404"/>
      <c r="S181" s="404"/>
      <c r="T181" s="404"/>
      <c r="U181" s="2"/>
      <c r="V181" s="2"/>
      <c r="W181" s="2"/>
      <c r="X181" s="2"/>
    </row>
    <row r="182" spans="1:27" ht="30" x14ac:dyDescent="0.25">
      <c r="B182" s="2"/>
      <c r="C182" s="390"/>
      <c r="D182" s="6421"/>
      <c r="E182" s="6422"/>
      <c r="F182" s="3344" t="s">
        <v>2353</v>
      </c>
      <c r="G182" s="3155" t="s">
        <v>18</v>
      </c>
      <c r="H182" s="3813"/>
      <c r="I182" s="5904"/>
      <c r="J182" s="404"/>
      <c r="K182" s="404"/>
      <c r="L182" s="404"/>
      <c r="M182" s="404"/>
      <c r="N182" s="404"/>
      <c r="O182" s="404"/>
      <c r="P182" s="404"/>
      <c r="Q182" s="404"/>
      <c r="R182" s="404"/>
      <c r="S182" s="404"/>
      <c r="T182" s="404"/>
      <c r="U182" s="2"/>
      <c r="V182" s="2"/>
      <c r="W182" s="2"/>
      <c r="X182" s="2"/>
    </row>
    <row r="183" spans="1:27" ht="30" x14ac:dyDescent="0.25">
      <c r="B183" s="2"/>
      <c r="C183" s="390"/>
      <c r="D183" s="6436"/>
      <c r="E183" s="6437"/>
      <c r="F183" s="3347" t="s">
        <v>2354</v>
      </c>
      <c r="G183" s="3145" t="s">
        <v>68</v>
      </c>
      <c r="H183" s="3815"/>
      <c r="I183" s="5904"/>
      <c r="J183" s="404"/>
      <c r="K183" s="404"/>
      <c r="L183" s="404"/>
      <c r="M183" s="404"/>
      <c r="N183" s="404"/>
      <c r="O183" s="404"/>
      <c r="P183" s="404"/>
      <c r="Q183" s="404"/>
      <c r="R183" s="404"/>
      <c r="S183" s="404"/>
      <c r="T183" s="404"/>
      <c r="U183" s="2"/>
      <c r="V183" s="2"/>
      <c r="W183" s="2"/>
      <c r="X183" s="2"/>
    </row>
    <row r="184" spans="1:27" ht="15.75" x14ac:dyDescent="0.25">
      <c r="B184" s="2"/>
      <c r="C184" s="390"/>
      <c r="D184" s="6421" t="s">
        <v>211</v>
      </c>
      <c r="E184" s="6422"/>
      <c r="F184" s="3031" t="s">
        <v>2355</v>
      </c>
      <c r="G184" s="3141" t="s">
        <v>3585</v>
      </c>
      <c r="H184" s="3248"/>
      <c r="I184" s="5904"/>
      <c r="J184" s="404"/>
      <c r="K184" s="404"/>
      <c r="L184" s="404"/>
      <c r="M184" s="404"/>
      <c r="N184" s="404"/>
      <c r="O184" s="404"/>
      <c r="P184" s="404"/>
      <c r="Q184" s="404"/>
      <c r="R184" s="404"/>
      <c r="S184" s="404"/>
      <c r="T184" s="404"/>
      <c r="U184" s="2"/>
      <c r="V184" s="2"/>
      <c r="W184" s="2"/>
      <c r="X184" s="2"/>
    </row>
    <row r="185" spans="1:27" ht="15.75" x14ac:dyDescent="0.25">
      <c r="B185" s="2"/>
      <c r="C185" s="390"/>
      <c r="D185" s="6421"/>
      <c r="E185" s="6422"/>
      <c r="F185" s="3110" t="s">
        <v>2356</v>
      </c>
      <c r="G185" s="3141" t="s">
        <v>3584</v>
      </c>
      <c r="H185" s="3803"/>
      <c r="I185" s="5904"/>
      <c r="J185" s="404"/>
      <c r="K185" s="404"/>
      <c r="L185" s="404"/>
      <c r="M185" s="404"/>
      <c r="N185" s="404"/>
      <c r="O185" s="404"/>
      <c r="P185" s="404"/>
      <c r="Q185" s="404"/>
      <c r="R185" s="404"/>
      <c r="S185" s="404"/>
      <c r="T185" s="404"/>
      <c r="U185" s="2"/>
      <c r="V185" s="2"/>
      <c r="W185" s="2"/>
      <c r="X185" s="2"/>
    </row>
    <row r="186" spans="1:27" ht="15.75" x14ac:dyDescent="0.25">
      <c r="B186" s="2"/>
      <c r="C186" s="390"/>
      <c r="D186" s="6421"/>
      <c r="E186" s="6422"/>
      <c r="F186" s="3110" t="s">
        <v>2357</v>
      </c>
      <c r="G186" s="3141" t="s">
        <v>3584</v>
      </c>
      <c r="H186" s="3803"/>
      <c r="I186" s="5904"/>
      <c r="J186" s="404"/>
      <c r="K186" s="404"/>
      <c r="L186" s="404"/>
      <c r="M186" s="404"/>
      <c r="N186" s="404"/>
      <c r="O186" s="404"/>
      <c r="P186" s="404"/>
      <c r="Q186" s="404"/>
      <c r="R186" s="404"/>
      <c r="S186" s="404"/>
      <c r="T186" s="404"/>
      <c r="U186" s="2"/>
      <c r="V186" s="2"/>
      <c r="W186" s="2"/>
      <c r="X186" s="2"/>
    </row>
    <row r="187" spans="1:27" ht="15.75" x14ac:dyDescent="0.25">
      <c r="B187" s="2"/>
      <c r="C187" s="390"/>
      <c r="D187" s="6421"/>
      <c r="E187" s="6422"/>
      <c r="F187" s="3110" t="s">
        <v>2358</v>
      </c>
      <c r="G187" s="3141" t="s">
        <v>3584</v>
      </c>
      <c r="H187" s="3027"/>
      <c r="I187" s="5904"/>
      <c r="J187" s="404"/>
      <c r="K187" s="404"/>
      <c r="L187" s="404"/>
      <c r="M187" s="404"/>
      <c r="N187" s="404"/>
      <c r="O187" s="404"/>
      <c r="P187" s="404"/>
      <c r="Q187" s="404"/>
      <c r="R187" s="404"/>
      <c r="S187" s="404"/>
      <c r="T187" s="404"/>
      <c r="U187" s="2"/>
      <c r="V187" s="2"/>
      <c r="W187" s="2"/>
      <c r="X187" s="2"/>
    </row>
    <row r="188" spans="1:27" ht="15.75" x14ac:dyDescent="0.25">
      <c r="B188" s="2"/>
      <c r="C188" s="390"/>
      <c r="D188" s="6432"/>
      <c r="E188" s="6433"/>
      <c r="F188" s="3198" t="s">
        <v>2359</v>
      </c>
      <c r="G188" s="3131" t="s">
        <v>1998</v>
      </c>
      <c r="H188" s="3237"/>
      <c r="I188" s="5904"/>
      <c r="J188" s="404"/>
      <c r="K188" s="404"/>
      <c r="L188" s="404"/>
      <c r="M188" s="404"/>
      <c r="N188" s="404"/>
      <c r="O188" s="404"/>
      <c r="P188" s="404"/>
      <c r="Q188" s="404"/>
      <c r="R188" s="404"/>
      <c r="S188" s="404"/>
      <c r="T188" s="404"/>
      <c r="U188" s="2"/>
      <c r="V188" s="2"/>
      <c r="W188" s="2"/>
      <c r="X188" s="2"/>
    </row>
    <row r="189" spans="1:27" ht="15.75" x14ac:dyDescent="0.25">
      <c r="B189" s="991"/>
      <c r="C189" s="388"/>
      <c r="D189" s="415"/>
      <c r="E189" s="388"/>
      <c r="F189" s="388"/>
      <c r="G189" s="388"/>
      <c r="H189" s="388"/>
      <c r="I189" s="390"/>
      <c r="J189" s="404"/>
      <c r="K189" s="404"/>
      <c r="L189" s="404"/>
      <c r="M189" s="404"/>
      <c r="N189" s="404"/>
      <c r="O189" s="404"/>
      <c r="P189" s="404"/>
      <c r="Q189" s="404"/>
      <c r="R189" s="404"/>
      <c r="S189" s="404"/>
      <c r="T189" s="404"/>
      <c r="U189" s="2"/>
      <c r="V189" s="2"/>
      <c r="W189" s="2"/>
      <c r="X189" s="2"/>
    </row>
    <row r="190" spans="1:27" x14ac:dyDescent="0.25">
      <c r="B190" s="991"/>
      <c r="C190" s="991"/>
      <c r="D190" s="413"/>
      <c r="E190" s="991"/>
      <c r="F190" s="991"/>
      <c r="G190" s="991"/>
      <c r="H190" s="991"/>
      <c r="I190" s="991"/>
      <c r="J190" s="404"/>
      <c r="K190" s="404"/>
      <c r="L190" s="404"/>
      <c r="M190" s="404"/>
      <c r="N190" s="404"/>
      <c r="O190" s="404"/>
      <c r="P190" s="404"/>
      <c r="Q190" s="404"/>
      <c r="R190" s="404"/>
      <c r="S190" s="404"/>
      <c r="T190" s="404"/>
      <c r="U190" s="2"/>
      <c r="V190" s="2"/>
      <c r="W190" s="2"/>
      <c r="X190" s="2"/>
    </row>
    <row r="191" spans="1:27" x14ac:dyDescent="0.25">
      <c r="B191" s="2"/>
      <c r="C191" s="991"/>
      <c r="D191" s="413"/>
      <c r="E191" s="991"/>
      <c r="F191" s="991"/>
      <c r="G191" s="991"/>
      <c r="H191" s="991"/>
      <c r="I191" s="991"/>
      <c r="J191" s="2"/>
      <c r="K191" s="2"/>
      <c r="L191" s="2"/>
      <c r="M191" s="2"/>
      <c r="N191" s="2"/>
      <c r="O191" s="2"/>
      <c r="P191" s="2"/>
      <c r="Q191" s="2"/>
      <c r="R191" s="2"/>
      <c r="S191" s="2"/>
      <c r="T191" s="2"/>
      <c r="U191" s="2"/>
      <c r="V191" s="2"/>
      <c r="W191" s="2"/>
      <c r="X191" s="2"/>
    </row>
    <row r="192" spans="1:27" s="480" customFormat="1" ht="31.5" customHeight="1" x14ac:dyDescent="0.25">
      <c r="B192" s="1382"/>
      <c r="C192" s="1383"/>
      <c r="D192" s="1384" t="s">
        <v>36</v>
      </c>
      <c r="E192" s="1384" t="s">
        <v>735</v>
      </c>
      <c r="F192" s="1384"/>
      <c r="G192" s="1384"/>
      <c r="H192" s="1384"/>
      <c r="I192" s="1384"/>
      <c r="J192" s="1384"/>
      <c r="K192" s="1384"/>
      <c r="L192" s="1384"/>
      <c r="M192" s="1384"/>
      <c r="N192" s="1384"/>
      <c r="O192" s="1384"/>
      <c r="P192" s="1384"/>
      <c r="Q192" s="1384"/>
      <c r="R192" s="1384"/>
      <c r="S192" s="1384"/>
      <c r="T192" s="1384"/>
      <c r="U192" s="1385"/>
      <c r="V192" s="1385"/>
      <c r="W192" s="1385"/>
      <c r="X192" s="1386"/>
      <c r="Y192" s="1766"/>
      <c r="Z192" s="3738"/>
      <c r="AA192" s="1766"/>
    </row>
    <row r="193" spans="1:27" x14ac:dyDescent="0.25">
      <c r="B193" s="2"/>
      <c r="C193" s="991"/>
      <c r="D193" s="413"/>
      <c r="E193" s="991"/>
      <c r="F193" s="991"/>
      <c r="G193" s="991"/>
      <c r="H193" s="991"/>
      <c r="I193" s="991"/>
      <c r="J193" s="2"/>
      <c r="K193" s="2"/>
      <c r="L193" s="2"/>
      <c r="M193" s="2"/>
      <c r="N193" s="2"/>
      <c r="O193" s="2"/>
      <c r="P193" s="2"/>
      <c r="Q193" s="2"/>
      <c r="R193" s="2"/>
      <c r="S193" s="2"/>
      <c r="T193" s="2"/>
      <c r="U193" s="2"/>
      <c r="V193" s="2"/>
      <c r="W193" s="2"/>
      <c r="X193" s="2"/>
    </row>
    <row r="194" spans="1:27" ht="21.75" thickBot="1" x14ac:dyDescent="0.3">
      <c r="B194" s="2"/>
      <c r="C194" s="388"/>
      <c r="D194" s="399"/>
      <c r="E194" s="399">
        <v>1</v>
      </c>
      <c r="F194" s="6431" t="s">
        <v>1984</v>
      </c>
      <c r="G194" s="6431"/>
      <c r="H194" s="6431"/>
      <c r="I194" s="390"/>
      <c r="J194" s="2"/>
      <c r="K194" s="2"/>
      <c r="L194" s="2"/>
      <c r="M194" s="2"/>
      <c r="N194" s="2"/>
      <c r="O194" s="2"/>
      <c r="P194" s="2"/>
      <c r="Q194" s="2"/>
      <c r="R194" s="2"/>
      <c r="S194" s="2"/>
      <c r="T194" s="2"/>
      <c r="U194" s="2"/>
      <c r="V194" s="2"/>
      <c r="W194" s="2"/>
      <c r="X194" s="2"/>
    </row>
    <row r="195" spans="1:27" ht="18.75" thickBot="1" x14ac:dyDescent="0.3">
      <c r="B195" s="2"/>
      <c r="C195" s="5534" t="s">
        <v>3223</v>
      </c>
      <c r="D195" s="3400" t="s">
        <v>786</v>
      </c>
      <c r="E195" s="2976" t="s">
        <v>78</v>
      </c>
      <c r="F195" s="6444" t="s">
        <v>1737</v>
      </c>
      <c r="G195" s="6445"/>
      <c r="H195" s="6446"/>
      <c r="I195" s="5904"/>
      <c r="J195" s="2"/>
      <c r="K195" s="2"/>
      <c r="L195" s="2"/>
      <c r="M195" s="2"/>
      <c r="N195" s="2"/>
      <c r="O195" s="2"/>
      <c r="P195" s="2"/>
      <c r="Q195" s="2"/>
      <c r="R195" s="2"/>
      <c r="S195" s="2"/>
      <c r="T195" s="2"/>
      <c r="U195" s="2"/>
      <c r="V195" s="2"/>
      <c r="W195" s="2"/>
      <c r="X195" s="2"/>
      <c r="Z195" s="3739" t="b">
        <f>'Perf assessment'!U245</f>
        <v>1</v>
      </c>
    </row>
    <row r="196" spans="1:27" ht="18.75" customHeight="1" thickBot="1" x14ac:dyDescent="0.3">
      <c r="B196" s="2"/>
      <c r="C196" s="5534" t="s">
        <v>3224</v>
      </c>
      <c r="D196" s="3400" t="s">
        <v>786</v>
      </c>
      <c r="E196" s="2976" t="s">
        <v>78</v>
      </c>
      <c r="F196" s="6444" t="s">
        <v>1782</v>
      </c>
      <c r="G196" s="6445"/>
      <c r="H196" s="6446"/>
      <c r="I196" s="5904"/>
      <c r="J196" s="2"/>
      <c r="K196" s="2"/>
      <c r="L196" s="2"/>
      <c r="M196" s="2"/>
      <c r="N196" s="2"/>
      <c r="O196" s="2"/>
      <c r="P196" s="2"/>
      <c r="Q196" s="2"/>
      <c r="R196" s="2"/>
      <c r="S196" s="2"/>
      <c r="T196" s="2"/>
      <c r="U196" s="2"/>
      <c r="V196" s="2"/>
      <c r="W196" s="2"/>
      <c r="X196" s="2"/>
      <c r="Z196" s="3739">
        <f>'Perf assessment'!U246</f>
        <v>0</v>
      </c>
    </row>
    <row r="197" spans="1:27" ht="35.25" customHeight="1" thickBot="1" x14ac:dyDescent="0.3">
      <c r="B197" s="991"/>
      <c r="C197" s="5534" t="s">
        <v>3225</v>
      </c>
      <c r="D197" s="3400" t="s">
        <v>786</v>
      </c>
      <c r="E197" s="2976" t="s">
        <v>78</v>
      </c>
      <c r="F197" s="6444" t="s">
        <v>1553</v>
      </c>
      <c r="G197" s="6445"/>
      <c r="H197" s="6446"/>
      <c r="I197" s="5904"/>
      <c r="J197" s="2"/>
      <c r="K197" s="2"/>
      <c r="L197" s="2"/>
      <c r="M197" s="2"/>
      <c r="N197" s="2"/>
      <c r="O197" s="2"/>
      <c r="P197" s="2"/>
      <c r="Q197" s="2"/>
      <c r="R197" s="2"/>
      <c r="S197" s="2"/>
      <c r="T197" s="2"/>
      <c r="U197" s="2"/>
      <c r="V197" s="2"/>
      <c r="W197" s="2"/>
      <c r="X197" s="2"/>
      <c r="Z197" s="3739" t="b">
        <f>'Perf assessment'!U247</f>
        <v>1</v>
      </c>
    </row>
    <row r="198" spans="1:27" ht="33.75" customHeight="1" thickBot="1" x14ac:dyDescent="0.3">
      <c r="B198" s="991"/>
      <c r="C198" s="5534" t="s">
        <v>3226</v>
      </c>
      <c r="D198" s="3400" t="s">
        <v>786</v>
      </c>
      <c r="E198" s="2976" t="s">
        <v>78</v>
      </c>
      <c r="F198" s="6444" t="s">
        <v>2009</v>
      </c>
      <c r="G198" s="6445"/>
      <c r="H198" s="6446"/>
      <c r="I198" s="5904"/>
      <c r="J198" s="2"/>
      <c r="K198" s="2"/>
      <c r="L198" s="2"/>
      <c r="M198" s="2"/>
      <c r="N198" s="2"/>
      <c r="O198" s="2"/>
      <c r="P198" s="2"/>
      <c r="Q198" s="2"/>
      <c r="R198" s="2"/>
      <c r="S198" s="2"/>
      <c r="T198" s="2"/>
      <c r="U198" s="2"/>
      <c r="V198" s="2"/>
      <c r="W198" s="2"/>
      <c r="X198" s="2"/>
      <c r="Z198" s="3739">
        <f>'Perf assessment'!U248</f>
        <v>0</v>
      </c>
    </row>
    <row r="199" spans="1:27" x14ac:dyDescent="0.25">
      <c r="B199" s="991"/>
      <c r="C199" s="388"/>
      <c r="D199" s="415"/>
      <c r="E199" s="388"/>
      <c r="F199" s="388"/>
      <c r="G199" s="388"/>
      <c r="H199" s="388"/>
      <c r="I199" s="388"/>
      <c r="J199" s="2"/>
      <c r="K199" s="352"/>
      <c r="L199" s="352"/>
      <c r="M199" s="2"/>
      <c r="N199" s="2"/>
      <c r="O199" s="2"/>
      <c r="P199" s="2"/>
      <c r="Q199" s="2"/>
      <c r="R199" s="2"/>
      <c r="S199" s="2"/>
      <c r="T199" s="2"/>
      <c r="U199" s="2"/>
      <c r="V199" s="2"/>
      <c r="W199" s="2"/>
      <c r="X199" s="2"/>
    </row>
    <row r="200" spans="1:27" x14ac:dyDescent="0.25">
      <c r="B200" s="991"/>
      <c r="C200" s="991"/>
      <c r="D200" s="413"/>
      <c r="E200" s="991"/>
      <c r="F200" s="991"/>
      <c r="G200" s="991"/>
      <c r="H200" s="991"/>
      <c r="I200" s="991"/>
      <c r="J200" s="2"/>
      <c r="K200" s="352"/>
      <c r="L200" s="352"/>
      <c r="M200" s="2"/>
      <c r="N200" s="2"/>
      <c r="O200" s="2"/>
      <c r="P200" s="2"/>
      <c r="Q200" s="2"/>
      <c r="R200" s="2"/>
      <c r="S200" s="2"/>
      <c r="T200" s="2"/>
      <c r="U200" s="2"/>
      <c r="V200" s="2"/>
      <c r="W200" s="2"/>
      <c r="X200" s="2"/>
    </row>
    <row r="201" spans="1:27" ht="21.75" thickBot="1" x14ac:dyDescent="0.3">
      <c r="B201" s="991"/>
      <c r="C201" s="390"/>
      <c r="D201" s="399"/>
      <c r="E201" s="399">
        <v>2</v>
      </c>
      <c r="F201" s="6431" t="s">
        <v>1044</v>
      </c>
      <c r="G201" s="6431"/>
      <c r="H201" s="6431"/>
      <c r="I201" s="390"/>
      <c r="J201" s="2"/>
      <c r="K201" s="352"/>
      <c r="L201" s="352"/>
      <c r="M201" s="2"/>
      <c r="N201" s="2"/>
      <c r="O201" s="2"/>
      <c r="P201" s="2"/>
      <c r="Q201" s="2"/>
      <c r="R201" s="2"/>
      <c r="S201" s="2"/>
      <c r="T201" s="2"/>
      <c r="U201" s="2"/>
      <c r="V201" s="2"/>
      <c r="W201" s="2"/>
      <c r="X201" s="2"/>
    </row>
    <row r="202" spans="1:27" ht="18.75" thickBot="1" x14ac:dyDescent="0.35">
      <c r="B202" s="389"/>
      <c r="C202" s="5534" t="s">
        <v>3227</v>
      </c>
      <c r="D202" s="3400" t="s">
        <v>786</v>
      </c>
      <c r="E202" s="2976" t="s">
        <v>78</v>
      </c>
      <c r="F202" s="2989" t="s">
        <v>1746</v>
      </c>
      <c r="G202" s="3925"/>
      <c r="H202" s="3930"/>
      <c r="I202" s="5904"/>
      <c r="J202" s="2"/>
      <c r="K202" s="2"/>
      <c r="L202" s="2"/>
      <c r="M202" s="2"/>
      <c r="N202" s="2"/>
      <c r="O202" s="2"/>
      <c r="P202" s="2"/>
      <c r="Q202" s="2"/>
      <c r="R202" s="2"/>
      <c r="S202" s="2"/>
      <c r="T202" s="2"/>
      <c r="U202" s="2"/>
      <c r="V202" s="2"/>
      <c r="W202" s="2"/>
      <c r="X202" s="2"/>
      <c r="Z202" s="3739" t="b">
        <f>'Perf assessment'!U250</f>
        <v>1</v>
      </c>
    </row>
    <row r="203" spans="1:27" ht="30" x14ac:dyDescent="0.25">
      <c r="B203" s="2"/>
      <c r="C203" s="388"/>
      <c r="D203" s="6421" t="s">
        <v>82</v>
      </c>
      <c r="E203" s="6422"/>
      <c r="F203" s="3218" t="s">
        <v>1717</v>
      </c>
      <c r="G203" s="3113" t="s">
        <v>18</v>
      </c>
      <c r="H203" s="3287">
        <f>IFERROR('WSS Profile'!G407/'WSS Profile'!G406,0)</f>
        <v>0.96739130434782605</v>
      </c>
      <c r="I203" s="5904"/>
      <c r="J203" s="2"/>
      <c r="K203" s="2"/>
      <c r="L203" s="2"/>
      <c r="M203" s="2"/>
      <c r="N203" s="2"/>
      <c r="O203" s="2"/>
      <c r="P203" s="2"/>
      <c r="Q203" s="2"/>
      <c r="R203" s="2"/>
      <c r="S203" s="2"/>
      <c r="T203" s="2"/>
      <c r="U203" s="2"/>
      <c r="V203" s="2"/>
      <c r="W203" s="2"/>
      <c r="X203" s="2"/>
    </row>
    <row r="204" spans="1:27" s="485" customFormat="1" ht="15.75" x14ac:dyDescent="0.25">
      <c r="A204" s="483"/>
      <c r="B204" s="404"/>
      <c r="C204" s="388"/>
      <c r="D204" s="6438" t="s">
        <v>210</v>
      </c>
      <c r="E204" s="6439"/>
      <c r="F204" s="3220" t="s">
        <v>1073</v>
      </c>
      <c r="G204" s="3213" t="s">
        <v>18</v>
      </c>
      <c r="H204" s="3221"/>
      <c r="I204" s="5904"/>
      <c r="J204" s="404"/>
      <c r="K204" s="404"/>
      <c r="L204" s="404"/>
      <c r="M204" s="404"/>
      <c r="N204" s="404"/>
      <c r="O204" s="404"/>
      <c r="P204" s="404"/>
      <c r="Q204" s="404"/>
      <c r="R204" s="404"/>
      <c r="S204" s="404"/>
      <c r="T204" s="404"/>
      <c r="U204" s="404"/>
      <c r="V204" s="404"/>
      <c r="W204" s="404"/>
      <c r="X204" s="404"/>
      <c r="Y204" s="1762"/>
      <c r="Z204" s="3745"/>
      <c r="AA204" s="3745"/>
    </row>
    <row r="205" spans="1:27" ht="30" x14ac:dyDescent="0.25">
      <c r="B205" s="2"/>
      <c r="C205" s="388"/>
      <c r="D205" s="6432" t="s">
        <v>211</v>
      </c>
      <c r="E205" s="6433"/>
      <c r="F205" s="3207" t="s">
        <v>2294</v>
      </c>
      <c r="G205" s="3112" t="s">
        <v>3520</v>
      </c>
      <c r="H205" s="3766"/>
      <c r="I205" s="5904"/>
      <c r="J205" s="2"/>
      <c r="K205" s="2"/>
      <c r="L205" s="2"/>
      <c r="M205" s="2"/>
      <c r="N205" s="2"/>
      <c r="O205" s="2"/>
      <c r="P205" s="2"/>
      <c r="Q205" s="2"/>
      <c r="R205" s="2"/>
      <c r="S205" s="2"/>
      <c r="T205" s="2"/>
      <c r="U205" s="2"/>
      <c r="V205" s="2"/>
      <c r="W205" s="2"/>
      <c r="X205" s="2"/>
    </row>
    <row r="206" spans="1:27" ht="15.75" x14ac:dyDescent="0.25">
      <c r="B206" s="2"/>
      <c r="C206" s="390"/>
      <c r="D206" s="390"/>
      <c r="E206" s="390"/>
      <c r="F206" s="390"/>
      <c r="G206" s="390"/>
      <c r="H206" s="390"/>
      <c r="I206" s="390"/>
      <c r="J206" s="2"/>
      <c r="K206" s="352"/>
      <c r="L206" s="352"/>
      <c r="M206" s="2"/>
      <c r="N206" s="2"/>
      <c r="O206" s="2"/>
      <c r="P206" s="2"/>
      <c r="Q206" s="2"/>
      <c r="R206" s="2"/>
      <c r="S206" s="2"/>
      <c r="T206" s="2"/>
      <c r="U206" s="2"/>
      <c r="V206" s="2"/>
      <c r="W206" s="2"/>
      <c r="X206" s="2"/>
    </row>
    <row r="207" spans="1:27" x14ac:dyDescent="0.25">
      <c r="B207" s="2"/>
      <c r="C207" s="991"/>
      <c r="D207" s="413"/>
      <c r="E207" s="991"/>
      <c r="F207" s="991"/>
      <c r="G207" s="413"/>
      <c r="H207" s="991"/>
      <c r="I207" s="991"/>
      <c r="J207" s="2"/>
      <c r="K207" s="352"/>
      <c r="L207" s="352"/>
      <c r="M207" s="2"/>
      <c r="N207" s="2"/>
      <c r="O207" s="2"/>
      <c r="P207" s="2"/>
      <c r="Q207" s="2"/>
      <c r="R207" s="2"/>
      <c r="S207" s="2"/>
      <c r="T207" s="2"/>
      <c r="U207" s="2"/>
      <c r="V207" s="2"/>
      <c r="W207" s="2"/>
      <c r="X207" s="2"/>
    </row>
    <row r="208" spans="1:27" ht="21.75" thickBot="1" x14ac:dyDescent="0.3">
      <c r="B208" s="2"/>
      <c r="C208" s="390"/>
      <c r="D208" s="399"/>
      <c r="E208" s="399">
        <v>3</v>
      </c>
      <c r="F208" s="6431" t="s">
        <v>208</v>
      </c>
      <c r="G208" s="6431"/>
      <c r="H208" s="6431"/>
      <c r="I208" s="390"/>
      <c r="J208" s="2"/>
      <c r="K208" s="2"/>
      <c r="L208" s="2"/>
      <c r="M208" s="2"/>
      <c r="N208" s="2"/>
      <c r="O208" s="2"/>
      <c r="P208" s="2"/>
      <c r="Q208" s="2"/>
      <c r="R208" s="2"/>
      <c r="S208" s="2"/>
      <c r="T208" s="2"/>
      <c r="U208" s="2"/>
      <c r="V208" s="2"/>
      <c r="W208" s="2"/>
      <c r="X208" s="2"/>
    </row>
    <row r="209" spans="2:27" ht="18.75" thickBot="1" x14ac:dyDescent="0.3">
      <c r="B209" s="991"/>
      <c r="C209" s="5535" t="s">
        <v>3228</v>
      </c>
      <c r="D209" s="3400" t="s">
        <v>786</v>
      </c>
      <c r="E209" s="2976" t="s">
        <v>78</v>
      </c>
      <c r="F209" s="3349" t="s">
        <v>1805</v>
      </c>
      <c r="G209" s="3935"/>
      <c r="H209" s="3923"/>
      <c r="I209" s="5904"/>
      <c r="J209" s="2"/>
      <c r="K209" s="352"/>
      <c r="L209" s="352"/>
      <c r="M209" s="2"/>
      <c r="N209" s="2"/>
      <c r="O209" s="2"/>
      <c r="P209" s="2"/>
      <c r="Q209" s="2"/>
      <c r="R209" s="2"/>
      <c r="S209" s="2"/>
      <c r="T209" s="2"/>
      <c r="U209" s="2"/>
      <c r="V209" s="2"/>
      <c r="W209" s="2"/>
      <c r="X209" s="2"/>
      <c r="Z209" s="3739">
        <f>'Perf assessment'!U252</f>
        <v>0</v>
      </c>
    </row>
    <row r="210" spans="2:27" ht="15.75" x14ac:dyDescent="0.25">
      <c r="B210" s="991"/>
      <c r="C210" s="390"/>
      <c r="D210" s="6511" t="s">
        <v>82</v>
      </c>
      <c r="E210" s="6512"/>
      <c r="F210" s="3029" t="s">
        <v>2360</v>
      </c>
      <c r="G210" s="3201" t="s">
        <v>949</v>
      </c>
      <c r="H210" s="3316" t="str">
        <f>'WSS Profile'!$G$445</f>
        <v>No</v>
      </c>
      <c r="I210" s="5904"/>
      <c r="J210" s="2"/>
      <c r="K210" s="352"/>
      <c r="L210" s="352"/>
      <c r="M210" s="2"/>
      <c r="N210" s="2"/>
      <c r="O210" s="2"/>
      <c r="P210" s="2"/>
      <c r="Q210" s="2"/>
      <c r="R210" s="2"/>
      <c r="S210" s="2"/>
      <c r="T210" s="2"/>
      <c r="U210" s="2"/>
      <c r="V210" s="2"/>
      <c r="W210" s="2"/>
      <c r="X210" s="2"/>
    </row>
    <row r="211" spans="2:27" ht="15.75" x14ac:dyDescent="0.25">
      <c r="B211" s="2"/>
      <c r="C211" s="390"/>
      <c r="D211" s="6511"/>
      <c r="E211" s="6512"/>
      <c r="F211" s="3031" t="s">
        <v>2361</v>
      </c>
      <c r="G211" s="3155" t="s">
        <v>1017</v>
      </c>
      <c r="H211" s="3321">
        <f>'WSS Profile'!$G$447</f>
        <v>0</v>
      </c>
      <c r="I211" s="5904"/>
      <c r="J211" s="2"/>
      <c r="K211" s="352"/>
      <c r="L211" s="352"/>
      <c r="M211" s="2"/>
      <c r="N211" s="2"/>
      <c r="O211" s="2"/>
      <c r="P211" s="2"/>
      <c r="Q211" s="2"/>
      <c r="R211" s="2"/>
      <c r="S211" s="2"/>
      <c r="T211" s="2"/>
      <c r="U211" s="2"/>
      <c r="V211" s="2"/>
      <c r="W211" s="2"/>
      <c r="X211" s="2"/>
    </row>
    <row r="212" spans="2:27" ht="15.75" x14ac:dyDescent="0.25">
      <c r="B212" s="2"/>
      <c r="C212" s="390"/>
      <c r="D212" s="6438" t="s">
        <v>210</v>
      </c>
      <c r="E212" s="6439"/>
      <c r="F212" s="3040" t="s">
        <v>2362</v>
      </c>
      <c r="G212" s="3041" t="s">
        <v>1017</v>
      </c>
      <c r="H212" s="3816"/>
      <c r="I212" s="5904"/>
      <c r="J212" s="2"/>
      <c r="K212" s="352"/>
      <c r="L212" s="352"/>
      <c r="M212" s="2"/>
      <c r="N212" s="2"/>
      <c r="O212" s="2"/>
      <c r="P212" s="2"/>
      <c r="Q212" s="2"/>
      <c r="R212" s="2"/>
      <c r="S212" s="2"/>
      <c r="T212" s="2"/>
      <c r="U212" s="2"/>
      <c r="V212" s="2"/>
      <c r="W212" s="2"/>
      <c r="X212" s="2"/>
    </row>
    <row r="213" spans="2:27" ht="15.75" x14ac:dyDescent="0.25">
      <c r="B213" s="2"/>
      <c r="C213" s="390"/>
      <c r="D213" s="6572" t="s">
        <v>211</v>
      </c>
      <c r="E213" s="6573"/>
      <c r="F213" s="3031" t="s">
        <v>2363</v>
      </c>
      <c r="G213" s="3141" t="s">
        <v>3520</v>
      </c>
      <c r="H213" s="3803"/>
      <c r="I213" s="5904"/>
      <c r="J213" s="2"/>
      <c r="K213" s="352"/>
      <c r="L213" s="352"/>
      <c r="M213" s="2"/>
      <c r="N213" s="2"/>
      <c r="O213" s="2"/>
      <c r="P213" s="2"/>
      <c r="Q213" s="2"/>
      <c r="R213" s="2"/>
      <c r="S213" s="2"/>
      <c r="T213" s="2"/>
      <c r="U213" s="2"/>
      <c r="V213" s="2"/>
      <c r="W213" s="2"/>
      <c r="X213" s="2"/>
    </row>
    <row r="214" spans="2:27" ht="16.5" thickBot="1" x14ac:dyDescent="0.3">
      <c r="B214" s="2"/>
      <c r="C214" s="390"/>
      <c r="D214" s="6535"/>
      <c r="E214" s="6536"/>
      <c r="F214" s="3198" t="s">
        <v>1066</v>
      </c>
      <c r="G214" s="3131" t="s">
        <v>1998</v>
      </c>
      <c r="H214" s="3237"/>
      <c r="I214" s="5904"/>
      <c r="J214" s="2"/>
      <c r="K214" s="352"/>
      <c r="L214" s="352"/>
      <c r="M214" s="2"/>
      <c r="N214" s="2"/>
      <c r="O214" s="2"/>
      <c r="P214" s="2"/>
      <c r="Q214" s="2"/>
      <c r="R214" s="2"/>
      <c r="S214" s="2"/>
      <c r="T214" s="2"/>
      <c r="U214" s="2"/>
      <c r="V214" s="2"/>
      <c r="W214" s="2"/>
      <c r="X214" s="2"/>
    </row>
    <row r="215" spans="2:27" ht="32.25" thickBot="1" x14ac:dyDescent="0.3">
      <c r="B215" s="2"/>
      <c r="C215" s="5535" t="s">
        <v>3229</v>
      </c>
      <c r="D215" s="3400" t="s">
        <v>786</v>
      </c>
      <c r="E215" s="2976" t="s">
        <v>78</v>
      </c>
      <c r="F215" s="2989" t="s">
        <v>2010</v>
      </c>
      <c r="G215" s="3922"/>
      <c r="H215" s="3923"/>
      <c r="I215" s="5904"/>
      <c r="J215" s="2"/>
      <c r="K215" s="352"/>
      <c r="L215" s="352"/>
      <c r="M215" s="2"/>
      <c r="N215" s="2"/>
      <c r="O215" s="2"/>
      <c r="P215" s="2"/>
      <c r="Q215" s="2"/>
      <c r="R215" s="2"/>
      <c r="S215" s="2"/>
      <c r="T215" s="2"/>
      <c r="U215" s="2"/>
      <c r="V215" s="2"/>
      <c r="W215" s="2"/>
      <c r="X215" s="2"/>
      <c r="Z215" s="3739">
        <f>'Perf assessment'!U253</f>
        <v>0</v>
      </c>
    </row>
    <row r="216" spans="2:27" ht="15.75" x14ac:dyDescent="0.25">
      <c r="B216" s="2"/>
      <c r="C216" s="390"/>
      <c r="D216" s="6676" t="s">
        <v>211</v>
      </c>
      <c r="E216" s="6677"/>
      <c r="F216" s="3348" t="s">
        <v>2364</v>
      </c>
      <c r="G216" s="3264" t="s">
        <v>3520</v>
      </c>
      <c r="H216" s="3817"/>
      <c r="I216" s="5904"/>
      <c r="J216" s="2"/>
      <c r="K216" s="352"/>
      <c r="L216" s="352"/>
      <c r="M216" s="2"/>
      <c r="N216" s="2"/>
      <c r="O216" s="2"/>
      <c r="P216" s="2"/>
      <c r="Q216" s="2"/>
      <c r="R216" s="2"/>
      <c r="S216" s="2"/>
      <c r="T216" s="2"/>
      <c r="U216" s="2"/>
      <c r="V216" s="2"/>
      <c r="W216" s="2"/>
      <c r="X216" s="2"/>
    </row>
    <row r="217" spans="2:27" x14ac:dyDescent="0.25">
      <c r="B217" s="2"/>
      <c r="C217" s="388"/>
      <c r="D217" s="415"/>
      <c r="E217" s="388"/>
      <c r="F217" s="388"/>
      <c r="G217" s="388"/>
      <c r="H217" s="388"/>
      <c r="I217" s="388"/>
      <c r="J217" s="2"/>
      <c r="K217" s="352"/>
      <c r="L217" s="352"/>
      <c r="M217" s="2"/>
      <c r="N217" s="2"/>
      <c r="O217" s="2"/>
      <c r="P217" s="2"/>
      <c r="Q217" s="2"/>
      <c r="R217" s="2"/>
      <c r="S217" s="2"/>
      <c r="T217" s="2"/>
      <c r="U217" s="2"/>
      <c r="V217" s="2"/>
      <c r="W217" s="2"/>
      <c r="X217" s="2"/>
    </row>
    <row r="218" spans="2:27" ht="9" customHeight="1" x14ac:dyDescent="0.25">
      <c r="B218" s="2"/>
      <c r="C218" s="402"/>
      <c r="D218" s="1139"/>
      <c r="E218" s="402"/>
      <c r="F218" s="57"/>
      <c r="G218" s="57"/>
      <c r="H218" s="57"/>
      <c r="I218" s="378"/>
      <c r="J218" s="2"/>
      <c r="K218" s="2"/>
      <c r="L218" s="2"/>
      <c r="M218" s="2"/>
      <c r="N218" s="2"/>
      <c r="O218" s="2"/>
      <c r="P218" s="2"/>
      <c r="Q218" s="2"/>
      <c r="R218" s="2"/>
      <c r="S218" s="2"/>
      <c r="T218" s="2"/>
      <c r="U218" s="2"/>
      <c r="V218" s="2"/>
      <c r="W218" s="2"/>
      <c r="X218" s="2"/>
    </row>
    <row r="219" spans="2:27" ht="9" customHeight="1" x14ac:dyDescent="0.25">
      <c r="B219" s="2"/>
      <c r="C219" s="402"/>
      <c r="D219" s="1139"/>
      <c r="E219" s="402"/>
      <c r="F219" s="57"/>
      <c r="G219" s="57"/>
      <c r="H219" s="57"/>
      <c r="I219" s="378"/>
      <c r="J219" s="2"/>
      <c r="K219" s="2"/>
      <c r="L219" s="2"/>
      <c r="M219" s="2"/>
      <c r="N219" s="2"/>
      <c r="O219" s="2"/>
      <c r="P219" s="2"/>
      <c r="Q219" s="2"/>
      <c r="R219" s="2"/>
      <c r="S219" s="2"/>
      <c r="T219" s="2"/>
      <c r="U219" s="2"/>
      <c r="V219" s="2"/>
      <c r="W219" s="2"/>
      <c r="X219" s="2"/>
    </row>
    <row r="220" spans="2:27" s="480" customFormat="1" ht="25.5" customHeight="1" x14ac:dyDescent="0.25">
      <c r="B220" s="1382"/>
      <c r="C220" s="1383"/>
      <c r="D220" s="1384" t="s">
        <v>150</v>
      </c>
      <c r="E220" s="1384" t="s">
        <v>1045</v>
      </c>
      <c r="F220" s="1384"/>
      <c r="G220" s="1384"/>
      <c r="H220" s="1384"/>
      <c r="I220" s="1384"/>
      <c r="J220" s="1384"/>
      <c r="K220" s="1384"/>
      <c r="L220" s="1384"/>
      <c r="M220" s="1384"/>
      <c r="N220" s="1384"/>
      <c r="O220" s="1384"/>
      <c r="P220" s="1384"/>
      <c r="Q220" s="1384"/>
      <c r="R220" s="1384"/>
      <c r="S220" s="1384"/>
      <c r="T220" s="1384"/>
      <c r="U220" s="1385"/>
      <c r="V220" s="1385"/>
      <c r="W220" s="1385"/>
      <c r="X220" s="1386"/>
      <c r="Y220" s="1766"/>
      <c r="Z220" s="3739"/>
      <c r="AA220" s="1766"/>
    </row>
    <row r="221" spans="2:27" x14ac:dyDescent="0.25">
      <c r="B221" s="2"/>
      <c r="C221" s="991"/>
      <c r="D221" s="413"/>
      <c r="E221" s="991"/>
      <c r="F221" s="991"/>
      <c r="G221" s="991"/>
      <c r="H221" s="991"/>
      <c r="I221" s="991"/>
      <c r="J221" s="2"/>
      <c r="K221" s="2"/>
      <c r="L221" s="2"/>
      <c r="M221" s="2"/>
      <c r="N221" s="2"/>
      <c r="O221" s="2"/>
      <c r="P221" s="2"/>
      <c r="Q221" s="2"/>
      <c r="R221" s="2"/>
      <c r="S221" s="2"/>
      <c r="T221" s="2"/>
      <c r="U221" s="2"/>
      <c r="V221" s="2"/>
      <c r="W221" s="2"/>
      <c r="X221" s="2"/>
    </row>
    <row r="222" spans="2:27" ht="21.75" thickBot="1" x14ac:dyDescent="0.3">
      <c r="B222" s="2"/>
      <c r="C222" s="388"/>
      <c r="D222" s="1221"/>
      <c r="E222" s="1221">
        <v>1</v>
      </c>
      <c r="F222" s="6431" t="s">
        <v>1984</v>
      </c>
      <c r="G222" s="6431"/>
      <c r="H222" s="6431"/>
      <c r="I222" s="390"/>
      <c r="J222" s="2"/>
      <c r="K222" s="2"/>
      <c r="L222" s="2"/>
      <c r="M222" s="2"/>
      <c r="N222" s="2"/>
      <c r="O222" s="2"/>
      <c r="P222" s="2"/>
      <c r="Q222" s="2"/>
      <c r="R222" s="2"/>
      <c r="S222" s="2"/>
      <c r="T222" s="2"/>
      <c r="U222" s="2"/>
      <c r="V222" s="2"/>
      <c r="W222" s="2"/>
      <c r="X222" s="2"/>
    </row>
    <row r="223" spans="2:27" ht="18.75" thickBot="1" x14ac:dyDescent="0.35">
      <c r="B223" s="389"/>
      <c r="C223" s="5538" t="s">
        <v>3230</v>
      </c>
      <c r="D223" s="3400" t="s">
        <v>786</v>
      </c>
      <c r="E223" s="2976" t="s">
        <v>78</v>
      </c>
      <c r="F223" s="6598" t="s">
        <v>1783</v>
      </c>
      <c r="G223" s="6599"/>
      <c r="H223" s="6569"/>
      <c r="I223" s="3560"/>
      <c r="J223" s="2"/>
      <c r="K223" s="2"/>
      <c r="L223" s="2"/>
      <c r="M223" s="2"/>
      <c r="N223" s="2"/>
      <c r="O223" s="2"/>
      <c r="P223" s="2"/>
      <c r="Q223" s="2"/>
      <c r="R223" s="2"/>
      <c r="S223" s="2"/>
      <c r="T223" s="2"/>
      <c r="U223" s="2"/>
      <c r="V223" s="2"/>
      <c r="W223" s="2"/>
      <c r="X223" s="2"/>
      <c r="Z223" s="3739">
        <f>'Perf assessment'!U259</f>
        <v>0</v>
      </c>
    </row>
    <row r="224" spans="2:27" ht="10.9" customHeight="1" x14ac:dyDescent="0.25">
      <c r="B224" s="2"/>
      <c r="C224" s="388"/>
      <c r="D224" s="1140"/>
      <c r="E224" s="392"/>
      <c r="F224" s="401"/>
      <c r="G224" s="401"/>
      <c r="H224" s="401"/>
      <c r="I224" s="388"/>
      <c r="J224" s="2"/>
      <c r="K224" s="2"/>
      <c r="L224" s="2"/>
      <c r="M224" s="2"/>
      <c r="N224" s="2"/>
      <c r="O224" s="2"/>
      <c r="P224" s="2"/>
      <c r="Q224" s="2"/>
      <c r="R224" s="2"/>
      <c r="S224" s="2"/>
      <c r="T224" s="2"/>
      <c r="U224" s="2"/>
      <c r="V224" s="2"/>
      <c r="W224" s="2"/>
      <c r="X224" s="2"/>
    </row>
    <row r="225" spans="1:27" x14ac:dyDescent="0.25">
      <c r="B225" s="2"/>
      <c r="C225" s="991"/>
      <c r="D225" s="1139"/>
      <c r="E225" s="402"/>
      <c r="F225" s="57"/>
      <c r="G225" s="57"/>
      <c r="H225" s="57"/>
      <c r="I225" s="991"/>
      <c r="J225" s="2"/>
      <c r="K225" s="2"/>
      <c r="L225" s="2"/>
      <c r="M225" s="2"/>
      <c r="N225" s="2"/>
      <c r="O225" s="2"/>
      <c r="P225" s="2"/>
      <c r="Q225" s="2"/>
      <c r="R225" s="2"/>
      <c r="S225" s="2"/>
      <c r="T225" s="2"/>
      <c r="U225" s="2"/>
      <c r="V225" s="2"/>
      <c r="W225" s="2"/>
      <c r="X225" s="2"/>
    </row>
    <row r="226" spans="1:27" ht="21.75" thickBot="1" x14ac:dyDescent="0.3">
      <c r="B226" s="2"/>
      <c r="C226" s="388"/>
      <c r="D226" s="399"/>
      <c r="E226" s="399">
        <v>2</v>
      </c>
      <c r="F226" s="6431" t="s">
        <v>1044</v>
      </c>
      <c r="G226" s="6431"/>
      <c r="H226" s="6431"/>
      <c r="I226" s="390"/>
      <c r="J226" s="991"/>
      <c r="K226" s="2"/>
      <c r="L226" s="2"/>
      <c r="M226" s="2"/>
      <c r="N226" s="2"/>
      <c r="O226" s="2"/>
      <c r="P226" s="2"/>
      <c r="Q226" s="2"/>
      <c r="R226" s="2"/>
      <c r="S226" s="2"/>
      <c r="T226" s="2"/>
      <c r="U226" s="2"/>
      <c r="V226" s="2"/>
      <c r="W226" s="2"/>
      <c r="X226" s="2"/>
    </row>
    <row r="227" spans="1:27" ht="18.75" thickBot="1" x14ac:dyDescent="0.3">
      <c r="B227" s="2"/>
      <c r="C227" s="5534" t="s">
        <v>3231</v>
      </c>
      <c r="D227" s="3400" t="s">
        <v>786</v>
      </c>
      <c r="E227" s="2976" t="s">
        <v>78</v>
      </c>
      <c r="F227" s="3354" t="s">
        <v>1784</v>
      </c>
      <c r="G227" s="3922"/>
      <c r="H227" s="3923"/>
      <c r="I227" s="5904"/>
      <c r="J227" s="991"/>
      <c r="K227" s="352"/>
      <c r="L227" s="352"/>
      <c r="M227" s="2"/>
      <c r="N227" s="2"/>
      <c r="O227" s="2"/>
      <c r="P227" s="2"/>
      <c r="Q227" s="2"/>
      <c r="R227" s="2"/>
      <c r="S227" s="2"/>
      <c r="T227" s="2"/>
      <c r="U227" s="2"/>
      <c r="V227" s="2"/>
      <c r="W227" s="2"/>
      <c r="X227" s="2"/>
      <c r="Z227" s="3739">
        <f>'Perf assessment'!U261</f>
        <v>0</v>
      </c>
    </row>
    <row r="228" spans="1:27" ht="30" x14ac:dyDescent="0.25">
      <c r="B228" s="2"/>
      <c r="C228" s="388"/>
      <c r="D228" s="6421" t="s">
        <v>82</v>
      </c>
      <c r="E228" s="6422"/>
      <c r="F228" s="2974" t="s">
        <v>2365</v>
      </c>
      <c r="G228" s="3113" t="s">
        <v>18</v>
      </c>
      <c r="H228" s="890">
        <f>IFERROR('Finance info'!J81/'Finance info'!I81,0)</f>
        <v>0</v>
      </c>
      <c r="I228" s="5904"/>
      <c r="J228" s="991"/>
      <c r="K228" s="352"/>
      <c r="L228" s="352"/>
      <c r="M228" s="2"/>
      <c r="N228" s="2"/>
      <c r="O228" s="2"/>
      <c r="P228" s="2"/>
      <c r="Q228" s="2"/>
      <c r="R228" s="2"/>
      <c r="S228" s="2"/>
      <c r="T228" s="2"/>
      <c r="U228" s="2"/>
      <c r="V228" s="2"/>
      <c r="W228" s="2"/>
      <c r="X228" s="2"/>
    </row>
    <row r="229" spans="1:27" ht="15.75" customHeight="1" x14ac:dyDescent="0.25">
      <c r="B229" s="2"/>
      <c r="C229" s="388"/>
      <c r="D229" s="6421"/>
      <c r="E229" s="6422"/>
      <c r="F229" s="3110" t="s">
        <v>2366</v>
      </c>
      <c r="G229" s="3141" t="s">
        <v>18</v>
      </c>
      <c r="H229" s="533">
        <f>IFERROR('Finance info'!J88/'Finance info'!I88,0)</f>
        <v>0</v>
      </c>
      <c r="I229" s="5904"/>
      <c r="J229" s="2"/>
      <c r="K229" s="352"/>
      <c r="L229" s="352"/>
      <c r="M229" s="2"/>
      <c r="N229" s="2"/>
      <c r="O229" s="2"/>
      <c r="P229" s="2"/>
      <c r="Q229" s="2"/>
      <c r="R229" s="2"/>
      <c r="S229" s="2"/>
      <c r="T229" s="2"/>
      <c r="U229" s="2"/>
      <c r="V229" s="2"/>
      <c r="W229" s="2"/>
      <c r="X229" s="2"/>
    </row>
    <row r="230" spans="1:27" ht="15.75" customHeight="1" x14ac:dyDescent="0.25">
      <c r="B230" s="2"/>
      <c r="C230" s="388"/>
      <c r="D230" s="6423" t="s">
        <v>210</v>
      </c>
      <c r="E230" s="6424"/>
      <c r="F230" s="3142" t="s">
        <v>1064</v>
      </c>
      <c r="G230" s="3143" t="s">
        <v>18</v>
      </c>
      <c r="H230" s="3231"/>
      <c r="I230" s="5904"/>
      <c r="J230" s="2"/>
      <c r="K230" s="352"/>
      <c r="L230" s="352"/>
      <c r="M230" s="2"/>
      <c r="N230" s="2"/>
      <c r="O230" s="2"/>
      <c r="P230" s="2"/>
      <c r="Q230" s="2"/>
      <c r="R230" s="2"/>
      <c r="S230" s="2"/>
      <c r="T230" s="2"/>
      <c r="U230" s="2"/>
      <c r="V230" s="2"/>
      <c r="W230" s="2"/>
      <c r="X230" s="2"/>
    </row>
    <row r="231" spans="1:27" ht="15.75" x14ac:dyDescent="0.25">
      <c r="B231" s="2"/>
      <c r="C231" s="388"/>
      <c r="D231" s="6427"/>
      <c r="E231" s="6428"/>
      <c r="F231" s="3222" t="s">
        <v>1065</v>
      </c>
      <c r="G231" s="3151" t="s">
        <v>18</v>
      </c>
      <c r="H231" s="3818"/>
      <c r="I231" s="5904"/>
      <c r="J231" s="2"/>
      <c r="K231" s="352"/>
      <c r="L231" s="352"/>
      <c r="M231" s="2"/>
      <c r="N231" s="2"/>
      <c r="O231" s="2"/>
      <c r="P231" s="2"/>
      <c r="Q231" s="2"/>
      <c r="R231" s="2"/>
      <c r="S231" s="2"/>
      <c r="T231" s="2"/>
      <c r="U231" s="2"/>
      <c r="V231" s="2"/>
      <c r="W231" s="2"/>
      <c r="X231" s="2"/>
    </row>
    <row r="232" spans="1:27" ht="15.75" x14ac:dyDescent="0.25">
      <c r="B232" s="2"/>
      <c r="C232" s="388"/>
      <c r="D232" s="6674" t="s">
        <v>211</v>
      </c>
      <c r="E232" s="6675"/>
      <c r="F232" s="5353" t="s">
        <v>3587</v>
      </c>
      <c r="G232" s="3131" t="s">
        <v>3520</v>
      </c>
      <c r="H232" s="3773"/>
      <c r="I232" s="5904"/>
      <c r="J232" s="2"/>
      <c r="K232" s="352"/>
      <c r="L232" s="352"/>
      <c r="M232" s="2"/>
      <c r="N232" s="2"/>
      <c r="O232" s="2"/>
      <c r="P232" s="2"/>
      <c r="Q232" s="2"/>
      <c r="R232" s="2"/>
      <c r="S232" s="2"/>
      <c r="T232" s="2"/>
      <c r="U232" s="2"/>
      <c r="V232" s="2"/>
      <c r="W232" s="2"/>
      <c r="X232" s="2"/>
    </row>
    <row r="233" spans="1:27" ht="15.75" x14ac:dyDescent="0.25">
      <c r="B233" s="2"/>
      <c r="C233" s="388"/>
      <c r="D233" s="415"/>
      <c r="E233" s="388"/>
      <c r="F233" s="388"/>
      <c r="G233" s="388"/>
      <c r="H233" s="388"/>
      <c r="I233" s="390"/>
      <c r="J233" s="2"/>
      <c r="K233" s="352"/>
      <c r="L233" s="352"/>
      <c r="M233" s="2"/>
      <c r="N233" s="2"/>
      <c r="O233" s="2"/>
      <c r="P233" s="2"/>
      <c r="Q233" s="2"/>
      <c r="R233" s="2"/>
      <c r="S233" s="2"/>
      <c r="T233" s="2"/>
      <c r="U233" s="2"/>
      <c r="V233" s="2"/>
      <c r="W233" s="2"/>
      <c r="X233" s="2"/>
    </row>
    <row r="234" spans="1:27" ht="8.25" customHeight="1" x14ac:dyDescent="0.25">
      <c r="B234" s="2"/>
      <c r="C234" s="991"/>
      <c r="D234" s="413"/>
      <c r="E234" s="991"/>
      <c r="F234" s="991"/>
      <c r="G234" s="413"/>
      <c r="H234" s="991"/>
      <c r="I234" s="412"/>
      <c r="J234" s="2"/>
      <c r="K234" s="2"/>
      <c r="L234" s="2"/>
      <c r="M234" s="2"/>
      <c r="N234" s="2"/>
      <c r="O234" s="2"/>
      <c r="P234" s="2"/>
      <c r="Q234" s="2"/>
      <c r="R234" s="2"/>
      <c r="S234" s="2"/>
      <c r="T234" s="2"/>
      <c r="U234" s="2"/>
      <c r="V234" s="2"/>
      <c r="W234" s="2"/>
      <c r="X234" s="2"/>
    </row>
    <row r="235" spans="1:27" ht="8.25" customHeight="1" x14ac:dyDescent="0.25">
      <c r="B235" s="2"/>
      <c r="C235" s="991"/>
      <c r="D235" s="413"/>
      <c r="E235" s="991"/>
      <c r="F235" s="991"/>
      <c r="G235" s="413"/>
      <c r="H235" s="991"/>
      <c r="I235" s="412"/>
      <c r="J235" s="2"/>
      <c r="K235" s="2"/>
      <c r="L235" s="2"/>
      <c r="M235" s="2"/>
      <c r="N235" s="2"/>
      <c r="O235" s="2"/>
      <c r="P235" s="2"/>
      <c r="Q235" s="2"/>
      <c r="R235" s="2"/>
      <c r="S235" s="2"/>
      <c r="T235" s="2"/>
      <c r="U235" s="2"/>
      <c r="V235" s="2"/>
      <c r="W235" s="2"/>
      <c r="X235" s="2"/>
    </row>
    <row r="236" spans="1:27" s="480" customFormat="1" ht="22.5" customHeight="1" x14ac:dyDescent="0.25">
      <c r="B236" s="1382"/>
      <c r="C236" s="1383"/>
      <c r="D236" s="1384"/>
      <c r="E236" s="1384" t="s">
        <v>1046</v>
      </c>
      <c r="F236" s="1384"/>
      <c r="G236" s="1384"/>
      <c r="H236" s="1384"/>
      <c r="I236" s="1384"/>
      <c r="J236" s="1384"/>
      <c r="K236" s="1384"/>
      <c r="L236" s="1384"/>
      <c r="M236" s="1384"/>
      <c r="N236" s="1384"/>
      <c r="O236" s="1384"/>
      <c r="P236" s="1384"/>
      <c r="Q236" s="1384"/>
      <c r="R236" s="1384"/>
      <c r="S236" s="1384"/>
      <c r="T236" s="1384"/>
      <c r="U236" s="1385"/>
      <c r="V236" s="1385"/>
      <c r="W236" s="1385"/>
      <c r="X236" s="1386"/>
      <c r="Y236" s="1766"/>
      <c r="Z236" s="3738"/>
      <c r="AA236" s="1766"/>
    </row>
    <row r="237" spans="1:27" s="490" customFormat="1" ht="9" customHeight="1" x14ac:dyDescent="0.2">
      <c r="A237" s="489"/>
      <c r="B237" s="417"/>
      <c r="C237" s="417"/>
      <c r="D237" s="418"/>
      <c r="E237" s="418"/>
      <c r="F237" s="419"/>
      <c r="G237" s="419"/>
      <c r="H237" s="419"/>
      <c r="I237" s="420"/>
      <c r="J237" s="420"/>
      <c r="K237" s="420"/>
      <c r="L237" s="420"/>
      <c r="M237" s="420"/>
      <c r="N237" s="420"/>
      <c r="O237" s="420"/>
      <c r="P237" s="420"/>
      <c r="Q237" s="420"/>
      <c r="R237" s="420"/>
      <c r="S237" s="420"/>
      <c r="T237" s="420"/>
      <c r="U237" s="420"/>
      <c r="V237" s="420"/>
      <c r="W237" s="420"/>
      <c r="X237" s="420"/>
      <c r="Y237" s="3751"/>
      <c r="Z237" s="3746"/>
      <c r="AA237" s="3752"/>
    </row>
    <row r="238" spans="1:27" s="490" customFormat="1" ht="13.5" thickBot="1" x14ac:dyDescent="0.25">
      <c r="A238" s="489"/>
      <c r="B238" s="417"/>
      <c r="C238" s="526"/>
      <c r="D238" s="527"/>
      <c r="E238" s="527"/>
      <c r="F238" s="528"/>
      <c r="G238" s="528"/>
      <c r="H238" s="528"/>
      <c r="I238" s="529"/>
      <c r="J238" s="420"/>
      <c r="K238" s="529"/>
      <c r="L238" s="529"/>
      <c r="M238" s="529"/>
      <c r="N238" s="529"/>
      <c r="O238" s="529"/>
      <c r="P238" s="529"/>
      <c r="Q238" s="529"/>
      <c r="R238" s="529"/>
      <c r="S238" s="529"/>
      <c r="T238" s="529"/>
      <c r="U238" s="529"/>
      <c r="V238" s="529"/>
      <c r="W238" s="529"/>
      <c r="X238" s="420"/>
      <c r="Y238" s="3751"/>
      <c r="Z238" s="3746"/>
      <c r="AA238" s="3752"/>
    </row>
    <row r="239" spans="1:27" ht="17.25" thickBot="1" x14ac:dyDescent="0.35">
      <c r="B239" s="389"/>
      <c r="C239" s="403"/>
      <c r="D239" s="3365"/>
      <c r="E239" s="2981" t="s">
        <v>78</v>
      </c>
      <c r="F239" s="3447" t="s">
        <v>3077</v>
      </c>
      <c r="G239" s="3922"/>
      <c r="H239" s="3932"/>
      <c r="I239" s="3560"/>
      <c r="J239" s="420"/>
      <c r="K239" s="529"/>
      <c r="L239" s="6492" t="s">
        <v>1807</v>
      </c>
      <c r="M239" s="6493"/>
      <c r="N239" s="6493"/>
      <c r="O239" s="6493"/>
      <c r="P239" s="6493"/>
      <c r="Q239" s="6493"/>
      <c r="R239" s="6493"/>
      <c r="S239" s="6493"/>
      <c r="T239" s="6493"/>
      <c r="U239" s="6493"/>
      <c r="V239" s="6494"/>
      <c r="W239" s="529"/>
      <c r="X239" s="420"/>
    </row>
    <row r="240" spans="1:27" ht="15" customHeight="1" x14ac:dyDescent="0.25">
      <c r="B240" s="2"/>
      <c r="C240" s="388"/>
      <c r="D240" s="6425" t="s">
        <v>82</v>
      </c>
      <c r="E240" s="6426"/>
      <c r="F240" s="3819"/>
      <c r="G240" s="3820"/>
      <c r="H240" s="3204"/>
      <c r="I240" s="3560"/>
      <c r="J240" s="420"/>
      <c r="K240" s="529"/>
      <c r="L240" s="6618"/>
      <c r="M240" s="6619"/>
      <c r="N240" s="6619"/>
      <c r="O240" s="6619"/>
      <c r="P240" s="6619"/>
      <c r="Q240" s="6619"/>
      <c r="R240" s="6619"/>
      <c r="S240" s="6619"/>
      <c r="T240" s="6619"/>
      <c r="U240" s="6619"/>
      <c r="V240" s="6620"/>
      <c r="W240" s="529"/>
      <c r="X240" s="420"/>
    </row>
    <row r="241" spans="1:27" ht="15" customHeight="1" x14ac:dyDescent="0.25">
      <c r="B241" s="2"/>
      <c r="C241" s="388"/>
      <c r="D241" s="6501" t="s">
        <v>210</v>
      </c>
      <c r="E241" s="6502"/>
      <c r="F241" s="3819"/>
      <c r="G241" s="3821"/>
      <c r="H241" s="3225"/>
      <c r="I241" s="3560"/>
      <c r="J241" s="420"/>
      <c r="K241" s="529"/>
      <c r="L241" s="6618"/>
      <c r="M241" s="6619"/>
      <c r="N241" s="6619"/>
      <c r="O241" s="6619"/>
      <c r="P241" s="6619"/>
      <c r="Q241" s="6619"/>
      <c r="R241" s="6619"/>
      <c r="S241" s="6619"/>
      <c r="T241" s="6619"/>
      <c r="U241" s="6619"/>
      <c r="V241" s="6620"/>
      <c r="W241" s="529"/>
      <c r="X241" s="420"/>
    </row>
    <row r="242" spans="1:27" ht="15" customHeight="1" x14ac:dyDescent="0.25">
      <c r="B242" s="2"/>
      <c r="C242" s="388"/>
      <c r="D242" s="6503" t="s">
        <v>211</v>
      </c>
      <c r="E242" s="6504"/>
      <c r="F242" s="5352" t="s">
        <v>3041</v>
      </c>
      <c r="G242" s="3226"/>
      <c r="H242" s="3227"/>
      <c r="I242" s="3560"/>
      <c r="J242" s="420"/>
      <c r="K242" s="529"/>
      <c r="L242" s="6618"/>
      <c r="M242" s="6619"/>
      <c r="N242" s="6619"/>
      <c r="O242" s="6619"/>
      <c r="P242" s="6619"/>
      <c r="Q242" s="6619"/>
      <c r="R242" s="6619"/>
      <c r="S242" s="6619"/>
      <c r="T242" s="6619"/>
      <c r="U242" s="6619"/>
      <c r="V242" s="6620"/>
      <c r="W242" s="529"/>
      <c r="X242" s="420"/>
    </row>
    <row r="243" spans="1:27" ht="15" customHeight="1" x14ac:dyDescent="0.25">
      <c r="B243" s="2"/>
      <c r="C243" s="388"/>
      <c r="D243" s="6505"/>
      <c r="E243" s="6506"/>
      <c r="F243" s="3208" t="s">
        <v>2278</v>
      </c>
      <c r="G243" s="3228" t="s">
        <v>3520</v>
      </c>
      <c r="H243" s="5751"/>
      <c r="I243" s="3560"/>
      <c r="J243" s="420"/>
      <c r="K243" s="529"/>
      <c r="L243" s="6618"/>
      <c r="M243" s="6619"/>
      <c r="N243" s="6619"/>
      <c r="O243" s="6619"/>
      <c r="P243" s="6619"/>
      <c r="Q243" s="6619"/>
      <c r="R243" s="6619"/>
      <c r="S243" s="6619"/>
      <c r="T243" s="6619"/>
      <c r="U243" s="6619"/>
      <c r="V243" s="6620"/>
      <c r="W243" s="529"/>
      <c r="X243" s="420"/>
    </row>
    <row r="244" spans="1:27" ht="15" customHeight="1" x14ac:dyDescent="0.25">
      <c r="B244" s="2"/>
      <c r="C244" s="388"/>
      <c r="D244" s="6507"/>
      <c r="E244" s="6508"/>
      <c r="F244" s="3209" t="s">
        <v>1062</v>
      </c>
      <c r="G244" s="3229" t="s">
        <v>1998</v>
      </c>
      <c r="H244" s="3230"/>
      <c r="I244" s="3560"/>
      <c r="J244" s="420"/>
      <c r="K244" s="529"/>
      <c r="L244" s="6618"/>
      <c r="M244" s="6619"/>
      <c r="N244" s="6619"/>
      <c r="O244" s="6619"/>
      <c r="P244" s="6619"/>
      <c r="Q244" s="6619"/>
      <c r="R244" s="6619"/>
      <c r="S244" s="6619"/>
      <c r="T244" s="6619"/>
      <c r="U244" s="6619"/>
      <c r="V244" s="6620"/>
      <c r="W244" s="529"/>
      <c r="X244" s="420"/>
    </row>
    <row r="245" spans="1:27" ht="12" customHeight="1" thickBot="1" x14ac:dyDescent="0.3">
      <c r="B245" s="2"/>
      <c r="C245" s="388"/>
      <c r="D245" s="527"/>
      <c r="E245" s="411"/>
      <c r="F245" s="411"/>
      <c r="G245" s="888"/>
      <c r="H245" s="411"/>
      <c r="I245" s="3560"/>
      <c r="J245" s="420"/>
      <c r="K245" s="529"/>
      <c r="L245" s="6618"/>
      <c r="M245" s="6619"/>
      <c r="N245" s="6619"/>
      <c r="O245" s="6619"/>
      <c r="P245" s="6619"/>
      <c r="Q245" s="6619"/>
      <c r="R245" s="6619"/>
      <c r="S245" s="6619"/>
      <c r="T245" s="6619"/>
      <c r="U245" s="6619"/>
      <c r="V245" s="6620"/>
      <c r="W245" s="529"/>
      <c r="X245" s="420"/>
    </row>
    <row r="246" spans="1:27" ht="16.5" thickBot="1" x14ac:dyDescent="0.35">
      <c r="B246" s="389"/>
      <c r="C246" s="403"/>
      <c r="D246" s="3365"/>
      <c r="E246" s="3734" t="s">
        <v>78</v>
      </c>
      <c r="F246" s="3447" t="s">
        <v>1537</v>
      </c>
      <c r="G246" s="3922"/>
      <c r="H246" s="3932"/>
      <c r="I246" s="3560"/>
      <c r="J246" s="420"/>
      <c r="K246" s="529"/>
      <c r="L246" s="6618"/>
      <c r="M246" s="6619"/>
      <c r="N246" s="6619"/>
      <c r="O246" s="6619"/>
      <c r="P246" s="6619"/>
      <c r="Q246" s="6619"/>
      <c r="R246" s="6619"/>
      <c r="S246" s="6619"/>
      <c r="T246" s="6619"/>
      <c r="U246" s="6619"/>
      <c r="V246" s="6620"/>
      <c r="W246" s="529"/>
      <c r="X246" s="420"/>
    </row>
    <row r="247" spans="1:27" ht="15" customHeight="1" x14ac:dyDescent="0.25">
      <c r="B247" s="2"/>
      <c r="C247" s="388"/>
      <c r="D247" s="6425" t="s">
        <v>82</v>
      </c>
      <c r="E247" s="6426"/>
      <c r="F247" s="3819"/>
      <c r="G247" s="3820"/>
      <c r="H247" s="3204"/>
      <c r="I247" s="3560"/>
      <c r="J247" s="420"/>
      <c r="K247" s="529"/>
      <c r="L247" s="6618"/>
      <c r="M247" s="6619"/>
      <c r="N247" s="6619"/>
      <c r="O247" s="6619"/>
      <c r="P247" s="6619"/>
      <c r="Q247" s="6619"/>
      <c r="R247" s="6619"/>
      <c r="S247" s="6619"/>
      <c r="T247" s="6619"/>
      <c r="U247" s="6619"/>
      <c r="V247" s="6620"/>
      <c r="W247" s="529"/>
      <c r="X247" s="420"/>
    </row>
    <row r="248" spans="1:27" ht="15" customHeight="1" x14ac:dyDescent="0.25">
      <c r="B248" s="2"/>
      <c r="C248" s="388"/>
      <c r="D248" s="6501" t="s">
        <v>210</v>
      </c>
      <c r="E248" s="6502"/>
      <c r="F248" s="3819"/>
      <c r="G248" s="3821"/>
      <c r="H248" s="3225"/>
      <c r="I248" s="3560"/>
      <c r="J248" s="420"/>
      <c r="K248" s="529"/>
      <c r="L248" s="6618"/>
      <c r="M248" s="6619"/>
      <c r="N248" s="6619"/>
      <c r="O248" s="6619"/>
      <c r="P248" s="6619"/>
      <c r="Q248" s="6619"/>
      <c r="R248" s="6619"/>
      <c r="S248" s="6619"/>
      <c r="T248" s="6619"/>
      <c r="U248" s="6619"/>
      <c r="V248" s="6620"/>
      <c r="W248" s="529"/>
      <c r="X248" s="420"/>
    </row>
    <row r="249" spans="1:27" ht="15" customHeight="1" x14ac:dyDescent="0.25">
      <c r="B249" s="2"/>
      <c r="C249" s="388"/>
      <c r="D249" s="6503" t="s">
        <v>211</v>
      </c>
      <c r="E249" s="6504"/>
      <c r="F249" s="5352" t="s">
        <v>3040</v>
      </c>
      <c r="G249" s="3226"/>
      <c r="H249" s="3227"/>
      <c r="I249" s="3560"/>
      <c r="J249" s="420"/>
      <c r="K249" s="529"/>
      <c r="L249" s="6618"/>
      <c r="M249" s="6619"/>
      <c r="N249" s="6619"/>
      <c r="O249" s="6619"/>
      <c r="P249" s="6619"/>
      <c r="Q249" s="6619"/>
      <c r="R249" s="6619"/>
      <c r="S249" s="6619"/>
      <c r="T249" s="6619"/>
      <c r="U249" s="6619"/>
      <c r="V249" s="6620"/>
      <c r="W249" s="529"/>
      <c r="X249" s="420"/>
    </row>
    <row r="250" spans="1:27" ht="15" customHeight="1" x14ac:dyDescent="0.25">
      <c r="B250" s="2"/>
      <c r="C250" s="388"/>
      <c r="D250" s="6505"/>
      <c r="E250" s="6506"/>
      <c r="F250" s="3208" t="s">
        <v>2278</v>
      </c>
      <c r="G250" s="3228" t="s">
        <v>3520</v>
      </c>
      <c r="H250" s="5751"/>
      <c r="I250" s="3560"/>
      <c r="J250" s="420"/>
      <c r="K250" s="529"/>
      <c r="L250" s="6618"/>
      <c r="M250" s="6619"/>
      <c r="N250" s="6619"/>
      <c r="O250" s="6619"/>
      <c r="P250" s="6619"/>
      <c r="Q250" s="6619"/>
      <c r="R250" s="6619"/>
      <c r="S250" s="6619"/>
      <c r="T250" s="6619"/>
      <c r="U250" s="6619"/>
      <c r="V250" s="6620"/>
      <c r="W250" s="529"/>
      <c r="X250" s="420"/>
    </row>
    <row r="251" spans="1:27" ht="15" customHeight="1" x14ac:dyDescent="0.25">
      <c r="B251" s="2"/>
      <c r="C251" s="388"/>
      <c r="D251" s="6507"/>
      <c r="E251" s="6508"/>
      <c r="F251" s="3209" t="s">
        <v>1062</v>
      </c>
      <c r="G251" s="3229" t="s">
        <v>1998</v>
      </c>
      <c r="H251" s="3230"/>
      <c r="I251" s="3560"/>
      <c r="J251" s="420"/>
      <c r="K251" s="529"/>
      <c r="L251" s="6621"/>
      <c r="M251" s="6622"/>
      <c r="N251" s="6622"/>
      <c r="O251" s="6622"/>
      <c r="P251" s="6622"/>
      <c r="Q251" s="6622"/>
      <c r="R251" s="6622"/>
      <c r="S251" s="6622"/>
      <c r="T251" s="6622"/>
      <c r="U251" s="6622"/>
      <c r="V251" s="6623"/>
      <c r="W251" s="529"/>
      <c r="X251" s="420"/>
    </row>
    <row r="252" spans="1:27" s="490" customFormat="1" ht="12.75" x14ac:dyDescent="0.2">
      <c r="A252" s="489"/>
      <c r="B252" s="417"/>
      <c r="C252" s="526"/>
      <c r="D252" s="527"/>
      <c r="E252" s="527"/>
      <c r="F252" s="528"/>
      <c r="G252" s="528"/>
      <c r="H252" s="528"/>
      <c r="I252" s="529"/>
      <c r="J252" s="420"/>
      <c r="K252" s="529"/>
      <c r="L252" s="529"/>
      <c r="M252" s="529"/>
      <c r="N252" s="529"/>
      <c r="O252" s="529"/>
      <c r="P252" s="529"/>
      <c r="Q252" s="529"/>
      <c r="R252" s="529"/>
      <c r="S252" s="529"/>
      <c r="T252" s="529"/>
      <c r="U252" s="529"/>
      <c r="V252" s="529"/>
      <c r="W252" s="529"/>
      <c r="X252" s="420"/>
      <c r="Y252" s="3751"/>
      <c r="Z252" s="3746"/>
      <c r="AA252" s="3752"/>
    </row>
    <row r="253" spans="1:27" x14ac:dyDescent="0.25">
      <c r="B253" s="2"/>
      <c r="C253" s="2"/>
      <c r="D253" s="413"/>
      <c r="E253" s="2"/>
      <c r="F253" s="413"/>
      <c r="G253" s="2"/>
      <c r="H253" s="412"/>
      <c r="I253" s="2"/>
      <c r="J253" s="420"/>
      <c r="K253" s="420"/>
      <c r="L253" s="420"/>
      <c r="M253" s="420"/>
      <c r="N253" s="420"/>
      <c r="O253" s="420"/>
      <c r="P253" s="420"/>
      <c r="Q253" s="420"/>
      <c r="R253" s="420"/>
      <c r="S253" s="420"/>
      <c r="T253" s="420"/>
      <c r="U253" s="420"/>
      <c r="V253" s="420"/>
      <c r="W253" s="420"/>
      <c r="X253" s="420"/>
    </row>
    <row r="254" spans="1:27" x14ac:dyDescent="0.25">
      <c r="B254" s="2"/>
      <c r="C254" s="2"/>
      <c r="D254" s="413"/>
      <c r="E254" s="2"/>
      <c r="F254" s="413"/>
      <c r="G254" s="2"/>
      <c r="H254" s="412"/>
      <c r="I254" s="2"/>
      <c r="J254" s="420"/>
      <c r="K254" s="420"/>
      <c r="L254" s="420"/>
      <c r="M254" s="420"/>
      <c r="N254" s="420"/>
      <c r="O254" s="420"/>
      <c r="P254" s="420"/>
      <c r="Q254" s="420"/>
      <c r="R254" s="420"/>
      <c r="S254" s="420"/>
      <c r="T254" s="420"/>
      <c r="U254" s="420"/>
      <c r="V254" s="420"/>
      <c r="W254" s="420"/>
      <c r="X254" s="420"/>
    </row>
  </sheetData>
  <sheetProtection password="DBDC" sheet="1" objects="1" scenarios="1"/>
  <mergeCells count="113">
    <mergeCell ref="D46:E46"/>
    <mergeCell ref="D49:E49"/>
    <mergeCell ref="D29:E30"/>
    <mergeCell ref="D125:E132"/>
    <mergeCell ref="L240:V251"/>
    <mergeCell ref="F89:H89"/>
    <mergeCell ref="F194:H194"/>
    <mergeCell ref="F195:H195"/>
    <mergeCell ref="F196:H196"/>
    <mergeCell ref="F208:H208"/>
    <mergeCell ref="F222:H222"/>
    <mergeCell ref="F197:H197"/>
    <mergeCell ref="F198:H198"/>
    <mergeCell ref="F223:H223"/>
    <mergeCell ref="F226:H226"/>
    <mergeCell ref="F201:H201"/>
    <mergeCell ref="F179:G179"/>
    <mergeCell ref="F145:H145"/>
    <mergeCell ref="F95:H95"/>
    <mergeCell ref="L239:V239"/>
    <mergeCell ref="D212:E212"/>
    <mergeCell ref="D249:E251"/>
    <mergeCell ref="D43:E44"/>
    <mergeCell ref="D41:E42"/>
    <mergeCell ref="D60:E61"/>
    <mergeCell ref="D124:E124"/>
    <mergeCell ref="C2:R2"/>
    <mergeCell ref="C4:S4"/>
    <mergeCell ref="B6:E6"/>
    <mergeCell ref="F6:Q6"/>
    <mergeCell ref="C8:T8"/>
    <mergeCell ref="D24:E25"/>
    <mergeCell ref="F33:H33"/>
    <mergeCell ref="F37:H37"/>
    <mergeCell ref="F21:H21"/>
    <mergeCell ref="D26:E27"/>
    <mergeCell ref="C9:F9"/>
    <mergeCell ref="B10:E16"/>
    <mergeCell ref="F10:W10"/>
    <mergeCell ref="G11:W11"/>
    <mergeCell ref="G12:W12"/>
    <mergeCell ref="G13:W13"/>
    <mergeCell ref="G14:W14"/>
    <mergeCell ref="G15:W15"/>
    <mergeCell ref="G16:W16"/>
    <mergeCell ref="G9:J9"/>
    <mergeCell ref="S9:V9"/>
    <mergeCell ref="W9:X9"/>
    <mergeCell ref="K9:L9"/>
    <mergeCell ref="D23:E23"/>
    <mergeCell ref="D63:E63"/>
    <mergeCell ref="D64:E64"/>
    <mergeCell ref="D50:E51"/>
    <mergeCell ref="D52:E53"/>
    <mergeCell ref="D47:E48"/>
    <mergeCell ref="D167:E168"/>
    <mergeCell ref="D55:E55"/>
    <mergeCell ref="D79:E82"/>
    <mergeCell ref="D165:E166"/>
    <mergeCell ref="D77:E78"/>
    <mergeCell ref="D107:E109"/>
    <mergeCell ref="D116:E118"/>
    <mergeCell ref="D120:E120"/>
    <mergeCell ref="D103:E104"/>
    <mergeCell ref="D133:E134"/>
    <mergeCell ref="D91:E92"/>
    <mergeCell ref="D147:E147"/>
    <mergeCell ref="D121:E122"/>
    <mergeCell ref="D162:E163"/>
    <mergeCell ref="D140:E142"/>
    <mergeCell ref="D148:E161"/>
    <mergeCell ref="D62:E62"/>
    <mergeCell ref="D213:E214"/>
    <mergeCell ref="D65:E65"/>
    <mergeCell ref="D71:E71"/>
    <mergeCell ref="D184:E188"/>
    <mergeCell ref="D177:E183"/>
    <mergeCell ref="D176:E176"/>
    <mergeCell ref="D136:E137"/>
    <mergeCell ref="D241:E241"/>
    <mergeCell ref="D242:E244"/>
    <mergeCell ref="D66:E68"/>
    <mergeCell ref="D69:E69"/>
    <mergeCell ref="D204:E204"/>
    <mergeCell ref="D172:E172"/>
    <mergeCell ref="D169:E170"/>
    <mergeCell ref="D110:E115"/>
    <mergeCell ref="D76:E76"/>
    <mergeCell ref="D138:E139"/>
    <mergeCell ref="M9:Q9"/>
    <mergeCell ref="D247:E247"/>
    <mergeCell ref="D248:E248"/>
    <mergeCell ref="F34:H34"/>
    <mergeCell ref="F58:H58"/>
    <mergeCell ref="D39:E40"/>
    <mergeCell ref="F45:H45"/>
    <mergeCell ref="F59:H59"/>
    <mergeCell ref="F70:H70"/>
    <mergeCell ref="F96:H96"/>
    <mergeCell ref="F97:H97"/>
    <mergeCell ref="F100:H100"/>
    <mergeCell ref="D203:E203"/>
    <mergeCell ref="D105:E105"/>
    <mergeCell ref="D102:E102"/>
    <mergeCell ref="D232:E232"/>
    <mergeCell ref="D230:E231"/>
    <mergeCell ref="D228:E229"/>
    <mergeCell ref="D216:E216"/>
    <mergeCell ref="D205:E205"/>
    <mergeCell ref="D72:E75"/>
    <mergeCell ref="D240:E240"/>
    <mergeCell ref="D173:E174"/>
    <mergeCell ref="D210:E211"/>
  </mergeCells>
  <conditionalFormatting sqref="F22">
    <cfRule type="expression" dxfId="164" priority="57">
      <formula>$E$22="Activate"</formula>
    </cfRule>
  </conditionalFormatting>
  <conditionalFormatting sqref="H22:H27 G22">
    <cfRule type="expression" dxfId="163" priority="56">
      <formula>$E$22="Deactivate"</formula>
    </cfRule>
  </conditionalFormatting>
  <conditionalFormatting sqref="F34">
    <cfRule type="expression" dxfId="162" priority="55">
      <formula>$E$34="Activate"</formula>
    </cfRule>
  </conditionalFormatting>
  <conditionalFormatting sqref="F38">
    <cfRule type="expression" dxfId="161" priority="54">
      <formula>$E$38="Activate"</formula>
    </cfRule>
  </conditionalFormatting>
  <conditionalFormatting sqref="F101">
    <cfRule type="expression" dxfId="160" priority="53">
      <formula>$E$101="Activate"</formula>
    </cfRule>
  </conditionalFormatting>
  <conditionalFormatting sqref="F54">
    <cfRule type="expression" dxfId="159" priority="52">
      <formula>$E$54="Activate"</formula>
    </cfRule>
  </conditionalFormatting>
  <conditionalFormatting sqref="F28">
    <cfRule type="expression" dxfId="158" priority="51">
      <formula>$E$28="Activate"</formula>
    </cfRule>
  </conditionalFormatting>
  <conditionalFormatting sqref="F96:H96">
    <cfRule type="expression" dxfId="157" priority="50">
      <formula>$E$96="Activate"</formula>
    </cfRule>
  </conditionalFormatting>
  <conditionalFormatting sqref="F97:H97">
    <cfRule type="expression" dxfId="156" priority="49">
      <formula>$E$97="Activate"</formula>
    </cfRule>
  </conditionalFormatting>
  <conditionalFormatting sqref="F106">
    <cfRule type="expression" dxfId="155" priority="48">
      <formula>$E$106="Activate"</formula>
    </cfRule>
  </conditionalFormatting>
  <conditionalFormatting sqref="F119">
    <cfRule type="expression" dxfId="154" priority="47">
      <formula>$E$119="Activate"</formula>
    </cfRule>
  </conditionalFormatting>
  <conditionalFormatting sqref="F123">
    <cfRule type="expression" dxfId="153" priority="46">
      <formula>$E$123="Activate"</formula>
    </cfRule>
  </conditionalFormatting>
  <conditionalFormatting sqref="F146">
    <cfRule type="expression" dxfId="152" priority="45">
      <formula>$E$146="Activate"</formula>
    </cfRule>
  </conditionalFormatting>
  <conditionalFormatting sqref="F164">
    <cfRule type="expression" dxfId="151" priority="44">
      <formula>$E$164="Activate"</formula>
    </cfRule>
  </conditionalFormatting>
  <conditionalFormatting sqref="F90">
    <cfRule type="expression" dxfId="150" priority="43">
      <formula>$E$90="Activate"</formula>
    </cfRule>
  </conditionalFormatting>
  <conditionalFormatting sqref="F195:H195">
    <cfRule type="expression" dxfId="149" priority="42">
      <formula>$E$195="Activate"</formula>
    </cfRule>
  </conditionalFormatting>
  <conditionalFormatting sqref="F197">
    <cfRule type="expression" dxfId="148" priority="41">
      <formula>$E$197="Activate"</formula>
    </cfRule>
  </conditionalFormatting>
  <conditionalFormatting sqref="F196:H196">
    <cfRule type="expression" dxfId="147" priority="40">
      <formula>$E$196="Activate"</formula>
    </cfRule>
  </conditionalFormatting>
  <conditionalFormatting sqref="F198">
    <cfRule type="expression" dxfId="146" priority="39">
      <formula>$E$198="Activate"</formula>
    </cfRule>
  </conditionalFormatting>
  <conditionalFormatting sqref="F135">
    <cfRule type="expression" dxfId="145" priority="38">
      <formula>$E$135="Activate"</formula>
    </cfRule>
  </conditionalFormatting>
  <conditionalFormatting sqref="F202">
    <cfRule type="expression" dxfId="144" priority="37">
      <formula>$E$202="Activate"</formula>
    </cfRule>
  </conditionalFormatting>
  <conditionalFormatting sqref="E246 E239 E227 E209 E215 E223 E202 E195:E198 E175 E171 E146 E164 E90 E135 E101 E119 E123 E96:E97 E106 E28 E54 E45 E59 D62 E22 E34 E38 E70">
    <cfRule type="cellIs" dxfId="143" priority="8" operator="equal">
      <formula>"Activate"</formula>
    </cfRule>
  </conditionalFormatting>
  <conditionalFormatting sqref="F175">
    <cfRule type="expression" dxfId="142" priority="35">
      <formula>$E$175="Activate"</formula>
    </cfRule>
  </conditionalFormatting>
  <conditionalFormatting sqref="F209">
    <cfRule type="expression" dxfId="141" priority="34">
      <formula>$E$209="Activate"</formula>
    </cfRule>
  </conditionalFormatting>
  <conditionalFormatting sqref="F215">
    <cfRule type="expression" dxfId="140" priority="33">
      <formula>$E$215="Activate"</formula>
    </cfRule>
  </conditionalFormatting>
  <conditionalFormatting sqref="F227">
    <cfRule type="expression" dxfId="139" priority="32">
      <formula>$E$227="Activate"</formula>
    </cfRule>
  </conditionalFormatting>
  <conditionalFormatting sqref="F223:H223">
    <cfRule type="expression" dxfId="138" priority="31">
      <formula>$E$223="Activate"</formula>
    </cfRule>
  </conditionalFormatting>
  <conditionalFormatting sqref="H227:H232 G227">
    <cfRule type="expression" dxfId="137" priority="30">
      <formula>$E$227="Deactivate"</formula>
    </cfRule>
  </conditionalFormatting>
  <conditionalFormatting sqref="H215:H216 G215">
    <cfRule type="expression" dxfId="136" priority="29">
      <formula>$E$215="Deactivate"</formula>
    </cfRule>
  </conditionalFormatting>
  <conditionalFormatting sqref="H212:H214 G209:H209">
    <cfRule type="expression" dxfId="135" priority="28">
      <formula>$E$209="Deactivate"</formula>
    </cfRule>
  </conditionalFormatting>
  <conditionalFormatting sqref="H175:H188 G175">
    <cfRule type="expression" dxfId="134" priority="27" stopIfTrue="1">
      <formula>$E$175="Deactivate"</formula>
    </cfRule>
  </conditionalFormatting>
  <conditionalFormatting sqref="H202:H205 G202">
    <cfRule type="expression" dxfId="133" priority="26">
      <formula>$E$202="Deactivate"</formula>
    </cfRule>
  </conditionalFormatting>
  <conditionalFormatting sqref="H135:H142 G135">
    <cfRule type="expression" dxfId="132" priority="25">
      <formula>$E$135="Deactivate"</formula>
    </cfRule>
  </conditionalFormatting>
  <conditionalFormatting sqref="H90:H92 G90">
    <cfRule type="expression" dxfId="131" priority="24">
      <formula>$E$90="Deactivate"</formula>
    </cfRule>
  </conditionalFormatting>
  <conditionalFormatting sqref="G171:H171 H172:H174">
    <cfRule type="expression" dxfId="130" priority="23">
      <formula>$E$171="Deactivate"</formula>
    </cfRule>
  </conditionalFormatting>
  <conditionalFormatting sqref="H164:H170 G164">
    <cfRule type="expression" dxfId="129" priority="22">
      <formula>$E$164="Deactivate"</formula>
    </cfRule>
  </conditionalFormatting>
  <conditionalFormatting sqref="G123:H134">
    <cfRule type="expression" dxfId="128" priority="21">
      <formula>$E$123="Deactivate"</formula>
    </cfRule>
  </conditionalFormatting>
  <conditionalFormatting sqref="H119:H122 G119">
    <cfRule type="expression" dxfId="127" priority="20">
      <formula>$E$119="Deactivate"</formula>
    </cfRule>
  </conditionalFormatting>
  <conditionalFormatting sqref="H106:H118 G106">
    <cfRule type="expression" dxfId="126" priority="19">
      <formula>$E$106="Deactivate"</formula>
    </cfRule>
  </conditionalFormatting>
  <conditionalFormatting sqref="H28:H30 G28">
    <cfRule type="expression" dxfId="125" priority="18">
      <formula>$E$28="Deactivate"</formula>
    </cfRule>
  </conditionalFormatting>
  <conditionalFormatting sqref="H54:H55 G54">
    <cfRule type="expression" dxfId="124" priority="17">
      <formula>$E$54="Deactivate"</formula>
    </cfRule>
  </conditionalFormatting>
  <conditionalFormatting sqref="H101:H105 G101">
    <cfRule type="expression" dxfId="123" priority="16">
      <formula>$E$101="Deactivate"</formula>
    </cfRule>
  </conditionalFormatting>
  <conditionalFormatting sqref="G47:G48">
    <cfRule type="expression" dxfId="122" priority="15">
      <formula>$E$46="Deactivate"</formula>
    </cfRule>
  </conditionalFormatting>
  <conditionalFormatting sqref="H38:H44 G38">
    <cfRule type="expression" dxfId="121" priority="14">
      <formula>$E$38="Deactivate"</formula>
    </cfRule>
  </conditionalFormatting>
  <conditionalFormatting sqref="D49 F49">
    <cfRule type="expression" dxfId="120" priority="58">
      <formula>$E$45="Deactivate"</formula>
    </cfRule>
  </conditionalFormatting>
  <conditionalFormatting sqref="G46:H46 H47:H52 G49">
    <cfRule type="expression" dxfId="119" priority="59">
      <formula>$E$45="Deactivate"</formula>
    </cfRule>
  </conditionalFormatting>
  <conditionalFormatting sqref="F45:H45">
    <cfRule type="expression" dxfId="118" priority="13">
      <formula>$E$45="Activate"</formula>
    </cfRule>
  </conditionalFormatting>
  <conditionalFormatting sqref="D46 F46">
    <cfRule type="expression" dxfId="117" priority="12">
      <formula>$E$45="Deactivate"</formula>
    </cfRule>
  </conditionalFormatting>
  <conditionalFormatting sqref="F62 D65 F65 D62">
    <cfRule type="expression" dxfId="116" priority="60">
      <formula>$E$59="Deactivate"</formula>
    </cfRule>
  </conditionalFormatting>
  <conditionalFormatting sqref="H60:H69 G65 G62">
    <cfRule type="expression" dxfId="115" priority="61">
      <formula>$E$59="Deactivate"</formula>
    </cfRule>
  </conditionalFormatting>
  <conditionalFormatting sqref="F59:H59">
    <cfRule type="expression" dxfId="114" priority="11">
      <formula>$E$59="Activate"</formula>
    </cfRule>
  </conditionalFormatting>
  <conditionalFormatting sqref="F71 D71 D76 F76">
    <cfRule type="expression" dxfId="113" priority="62">
      <formula>$E$70="Deactivate"</formula>
    </cfRule>
  </conditionalFormatting>
  <conditionalFormatting sqref="G71 G76 H71:H82">
    <cfRule type="expression" dxfId="112" priority="63">
      <formula>$E$70="Deactivate"</formula>
    </cfRule>
  </conditionalFormatting>
  <conditionalFormatting sqref="F70:H70">
    <cfRule type="expression" dxfId="111" priority="10">
      <formula>$E$70="Activate"</formula>
    </cfRule>
  </conditionalFormatting>
  <conditionalFormatting sqref="G239:H244">
    <cfRule type="expression" dxfId="110" priority="64">
      <formula>$E$239="Deactivate"</formula>
    </cfRule>
  </conditionalFormatting>
  <conditionalFormatting sqref="H179 G146:H163">
    <cfRule type="expression" dxfId="109" priority="9">
      <formula>$E$146="Deactivate"</formula>
    </cfRule>
  </conditionalFormatting>
  <conditionalFormatting sqref="H178">
    <cfRule type="expression" dxfId="108" priority="66">
      <formula>$H$136=0</formula>
    </cfRule>
  </conditionalFormatting>
  <conditionalFormatting sqref="E22 E28 E34 E38 E45 E54 E59 E70 E90 E96:E97 E101 E106 E119 E123 E135 E146 E164 E171 E175 E195:E198 E202 E209 E215 E223 E227 D239:E239 D246:E246">
    <cfRule type="expression" dxfId="107" priority="36">
      <formula>$Z22</formula>
    </cfRule>
  </conditionalFormatting>
  <conditionalFormatting sqref="F171">
    <cfRule type="expression" dxfId="106" priority="7">
      <formula>$E$171="Activate"</formula>
    </cfRule>
  </conditionalFormatting>
  <conditionalFormatting sqref="D239:F239">
    <cfRule type="expression" dxfId="105" priority="6">
      <formula>$E$239="Activate"</formula>
    </cfRule>
  </conditionalFormatting>
  <conditionalFormatting sqref="D246:F246">
    <cfRule type="expression" dxfId="104" priority="5">
      <formula>$E$246="Activate"</formula>
    </cfRule>
  </conditionalFormatting>
  <conditionalFormatting sqref="F240:F241">
    <cfRule type="expression" dxfId="103" priority="4">
      <formula>$E$239="Deactivate"</formula>
    </cfRule>
  </conditionalFormatting>
  <conditionalFormatting sqref="F247:F248">
    <cfRule type="expression" dxfId="102" priority="3">
      <formula>$E$246="Deactivate"</formula>
    </cfRule>
  </conditionalFormatting>
  <conditionalFormatting sqref="H53">
    <cfRule type="expression" dxfId="101" priority="2">
      <formula>$E$38="Deactivate"</formula>
    </cfRule>
  </conditionalFormatting>
  <conditionalFormatting sqref="G246:H251">
    <cfRule type="expression" dxfId="100" priority="1">
      <formula>$E$239="Deactivate"</formula>
    </cfRule>
  </conditionalFormatting>
  <dataValidations disablePrompts="1" count="3">
    <dataValidation type="list" allowBlank="1" showInputMessage="1" showErrorMessage="1" sqref="E195:E198 E101 E123 E119 E96:E97 E106 E135 E28 E54 E22 E34 E38 E246 E59 E202 E70 E90 E175 E146 E171 E164 E227 E223 E209 E215 E239 E45">
      <formula1>"Activate, Deactivate"</formula1>
    </dataValidation>
    <dataValidation type="list" allowBlank="1" showInputMessage="1" showErrorMessage="1" sqref="G242 G249">
      <formula1>" None, Starts after project is completed, Only during implementation years"</formula1>
    </dataValidation>
    <dataValidation type="list" allowBlank="1" showInputMessage="1" showErrorMessage="1" sqref="G22:H22 G28:H28 G38:H38 G54:H54 G90:H90 G101:H101 G106:H106 G119:H119 G123:H123 G135:H135 G146:H146 G164:H164 G171:H171 G175:H175 G202:H202 G209:H209 G215:H215 G227:H227 G239:H239 G46:H46 G76:H76 G71:H71 G65:H65 G62:H62 G49:H49 G246:H246">
      <formula1>PlanPeriod</formula1>
    </dataValidation>
  </dataValidations>
  <hyperlinks>
    <hyperlink ref="C9:F9" location="'SW Plan'!E18" display="Access and coverage"/>
    <hyperlink ref="G9:J9" location="'SW Plan'!E87" display="Service levels and quality"/>
    <hyperlink ref="M9:Q9" location="'SW Plan'!E192" display="Efficiency in service operations"/>
    <hyperlink ref="S9:V9" location="'SW Plan'!E220" display="Financial sustainability"/>
    <hyperlink ref="D22" location="Annexure!D118" display="Learn more"/>
    <hyperlink ref="D28" location="Annexure!D119" display="Learn more"/>
    <hyperlink ref="D34" location="Annexure!D120" display="Learn more"/>
    <hyperlink ref="D38" location="Annexure!D121" display="Learn more"/>
    <hyperlink ref="D45" location="Annexure!D122" display="Learn more"/>
    <hyperlink ref="D54" location="Annexure!D123" display="Learn more"/>
    <hyperlink ref="D59" location="Annexure!D124" display="Learn more"/>
    <hyperlink ref="D70" location="Annexure!D125" display="Learn more"/>
    <hyperlink ref="D90" location="Annexure!D127" display="Learn more"/>
    <hyperlink ref="D96" location="Annexure!D128" display="Learn more"/>
    <hyperlink ref="D97" location="Annexure!D129" display="Learn more"/>
    <hyperlink ref="D101" location="Annexure!D130" display="Learn more"/>
    <hyperlink ref="D106" location="Annexure!D131" display="Learn more"/>
    <hyperlink ref="D119" location="Annexure!D132" display="Learn more"/>
    <hyperlink ref="D123" location="Annexure!D133" display="Learn more"/>
    <hyperlink ref="D135" location="Annexure!D134" display="Learn more"/>
    <hyperlink ref="D146" location="Annexure!D135" display="Learn more"/>
    <hyperlink ref="D164" location="Annexure!D136" display="Learn more"/>
    <hyperlink ref="D171" location="Annexure!D137" display="Learn more"/>
    <hyperlink ref="D175" location="Annexure!D138" display="Learn more"/>
    <hyperlink ref="D195" location="Annexure!D140" display="Learn more"/>
    <hyperlink ref="D196" location="Annexure!D141" display="Learn more"/>
    <hyperlink ref="D197" location="Annexure!D142" display="Learn more"/>
    <hyperlink ref="D198" location="Annexure!D143" display="Learn more"/>
    <hyperlink ref="D202" location="Annexure!D144" display="Learn more"/>
    <hyperlink ref="D209" location="Annexure!D145" display="Learn more"/>
    <hyperlink ref="D215" location="Annexure!D146" display="Learn more"/>
    <hyperlink ref="D223" location="Annexure!D148" display="Learn more"/>
    <hyperlink ref="D227" location="Annexure!D149" display="Learn more"/>
  </hyperlinks>
  <printOptions horizontalCentered="1"/>
  <pageMargins left="0.196850393700787" right="0.118110236220472" top="0.118110236220472" bottom="0.118110236220472" header="0.118110236220472" footer="0.118110236220472"/>
  <pageSetup paperSize="9" scale="53" fitToHeight="0" orientation="landscape" verticalDpi="300" r:id="rId1"/>
  <rowBreaks count="4" manualBreakCount="4">
    <brk id="44" min="1" max="23" man="1"/>
    <brk id="86" min="1" max="23" man="1"/>
    <brk id="134" min="1" max="23" man="1"/>
    <brk id="191" min="1"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33815" r:id="rId4" name="Button 23">
              <controlPr defaultSize="0" print="0" autoFill="0" autoPict="0" macro="[0]!Print_Sheet" altText="Print this page">
                <anchor moveWithCells="1" sizeWithCells="1">
                  <from>
                    <xdr:col>21</xdr:col>
                    <xdr:colOff>114300</xdr:colOff>
                    <xdr:row>4</xdr:row>
                    <xdr:rowOff>85725</xdr:rowOff>
                  </from>
                  <to>
                    <xdr:col>22</xdr:col>
                    <xdr:colOff>542925</xdr:colOff>
                    <xdr:row>6</xdr:row>
                    <xdr:rowOff>9525</xdr:rowOff>
                  </to>
                </anchor>
              </controlPr>
            </control>
          </mc:Choice>
        </mc:AlternateContent>
        <mc:AlternateContent xmlns:mc="http://schemas.openxmlformats.org/markup-compatibility/2006">
          <mc:Choice Requires="x14">
            <control shapeId="33817" r:id="rId5" name="Button 25">
              <controlPr defaultSize="0" print="0" autoFill="0" autoPict="0" macro="[0]!ResetInputCells" altText="Print this page">
                <anchor moveWithCells="1" sizeWithCells="1">
                  <from>
                    <xdr:col>19</xdr:col>
                    <xdr:colOff>133350</xdr:colOff>
                    <xdr:row>4</xdr:row>
                    <xdr:rowOff>85725</xdr:rowOff>
                  </from>
                  <to>
                    <xdr:col>20</xdr:col>
                    <xdr:colOff>600075</xdr:colOff>
                    <xdr:row>6</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6"/>
    <pageSetUpPr fitToPage="1"/>
  </sheetPr>
  <dimension ref="A1:AA263"/>
  <sheetViews>
    <sheetView topLeftCell="A13" zoomScale="70" zoomScaleNormal="70" zoomScaleSheetLayoutView="40" workbookViewId="0">
      <selection activeCell="S154" sqref="S154:S155"/>
    </sheetView>
  </sheetViews>
  <sheetFormatPr defaultRowHeight="15" outlineLevelRow="1" x14ac:dyDescent="0.25"/>
  <cols>
    <col min="1" max="1" width="11" style="1316" customWidth="1"/>
    <col min="2" max="2" width="4.140625" style="1316" customWidth="1"/>
    <col min="3" max="3" width="60.5703125" style="1316" customWidth="1"/>
    <col min="4" max="4" width="8.5703125" style="1316" customWidth="1"/>
    <col min="5" max="12" width="8.28515625" style="1316" customWidth="1"/>
    <col min="13" max="13" width="8" style="1316" customWidth="1"/>
    <col min="14" max="14" width="8.5703125" style="1316" customWidth="1"/>
    <col min="15" max="15" width="4.28515625" style="1316" customWidth="1"/>
    <col min="16" max="16" width="10.140625" style="1316" customWidth="1"/>
    <col min="17" max="17" width="3.5703125" style="1316" customWidth="1"/>
    <col min="18" max="19" width="18.42578125" style="1316" customWidth="1"/>
    <col min="20" max="22" width="11.42578125" style="1316" customWidth="1"/>
    <col min="23" max="23" width="3.85546875" style="1316" customWidth="1"/>
    <col min="24" max="24" width="2.28515625" style="1316" customWidth="1"/>
    <col min="25" max="26" width="9.85546875" style="1316" customWidth="1"/>
    <col min="27" max="27" width="10.28515625" style="1316" hidden="1" customWidth="1"/>
    <col min="28" max="28" width="9.85546875" style="1316" customWidth="1"/>
    <col min="29" max="16384" width="9.140625" style="1316"/>
  </cols>
  <sheetData>
    <row r="1" spans="1:23" s="1311" customFormat="1" ht="6.75" customHeight="1" x14ac:dyDescent="0.25">
      <c r="H1" s="1312"/>
    </row>
    <row r="2" spans="1:23" s="1311" customFormat="1" ht="48.75" customHeight="1" x14ac:dyDescent="0.4">
      <c r="B2" s="1313"/>
      <c r="C2" s="6701" t="s">
        <v>2088</v>
      </c>
      <c r="D2" s="6701"/>
      <c r="E2" s="6701"/>
      <c r="F2" s="6701"/>
      <c r="G2" s="6701"/>
      <c r="H2" s="6701"/>
      <c r="I2" s="6701"/>
      <c r="J2" s="6701"/>
      <c r="K2" s="1425"/>
      <c r="L2" s="1425"/>
      <c r="M2" s="1425"/>
      <c r="N2" s="1314"/>
      <c r="O2" s="1315"/>
      <c r="T2" s="1316"/>
      <c r="U2" s="1316"/>
    </row>
    <row r="3" spans="1:23" s="1311" customFormat="1" ht="8.25" customHeight="1" x14ac:dyDescent="0.25">
      <c r="B3" s="1318"/>
      <c r="C3" s="1322"/>
      <c r="D3" s="1322"/>
      <c r="E3" s="1322"/>
      <c r="F3" s="1322"/>
      <c r="G3" s="1320"/>
      <c r="H3" s="1320"/>
      <c r="I3" s="1320"/>
      <c r="J3" s="1320"/>
      <c r="K3" s="1320"/>
      <c r="L3" s="1320"/>
      <c r="M3" s="1320"/>
      <c r="N3" s="1320"/>
      <c r="O3" s="1321"/>
      <c r="T3" s="1316"/>
      <c r="U3" s="1316"/>
    </row>
    <row r="4" spans="1:23" s="1311" customFormat="1" ht="28.5" x14ac:dyDescent="0.25">
      <c r="B4" s="1318"/>
      <c r="C4" s="6348" t="s">
        <v>3738</v>
      </c>
      <c r="D4" s="6348"/>
      <c r="E4" s="6348"/>
      <c r="F4" s="6348"/>
      <c r="G4" s="6348"/>
      <c r="H4" s="6348"/>
      <c r="I4" s="6348"/>
      <c r="J4" s="6348"/>
      <c r="K4" s="6348"/>
      <c r="L4" s="6348"/>
      <c r="M4" s="6348"/>
      <c r="N4" s="6348"/>
      <c r="O4" s="1321"/>
      <c r="T4" s="1316"/>
      <c r="U4" s="1316"/>
    </row>
    <row r="5" spans="1:23" s="1311" customFormat="1" ht="6.75" customHeight="1" x14ac:dyDescent="0.25">
      <c r="B5" s="1318"/>
      <c r="C5" s="1322"/>
      <c r="D5" s="1322"/>
      <c r="E5" s="1322"/>
      <c r="F5" s="1322"/>
      <c r="G5" s="1320"/>
      <c r="H5" s="1320"/>
      <c r="I5" s="1320"/>
      <c r="J5" s="1320"/>
      <c r="K5" s="1320"/>
      <c r="L5" s="1320"/>
      <c r="M5" s="1320"/>
      <c r="N5" s="1320"/>
      <c r="O5" s="1321"/>
      <c r="T5" s="1316"/>
      <c r="U5" s="1316"/>
    </row>
    <row r="6" spans="1:23" s="1324" customFormat="1" ht="26.25" x14ac:dyDescent="0.25">
      <c r="B6" s="802"/>
      <c r="C6" s="6349" t="s">
        <v>2911</v>
      </c>
      <c r="D6" s="6349"/>
      <c r="E6" s="6349"/>
      <c r="F6" s="6349"/>
      <c r="G6" s="6349"/>
      <c r="H6" s="6349"/>
      <c r="I6" s="6349"/>
      <c r="J6" s="6349"/>
      <c r="K6" s="6349"/>
      <c r="L6" s="6349"/>
      <c r="M6" s="6349"/>
      <c r="N6" s="6349"/>
      <c r="O6" s="803"/>
      <c r="T6" s="1316"/>
      <c r="U6" s="1316"/>
    </row>
    <row r="7" spans="1:23" s="1324" customFormat="1" ht="7.5" customHeight="1" x14ac:dyDescent="0.25">
      <c r="B7" s="1509"/>
      <c r="C7" s="1508"/>
      <c r="D7" s="1508"/>
      <c r="E7" s="1508"/>
      <c r="F7" s="1508"/>
      <c r="G7" s="1325"/>
      <c r="H7" s="1325"/>
      <c r="I7" s="1325"/>
      <c r="J7" s="1325"/>
      <c r="K7" s="1325"/>
      <c r="L7" s="1325"/>
      <c r="M7" s="1325"/>
      <c r="N7" s="1325"/>
      <c r="O7" s="1326"/>
      <c r="T7" s="1316"/>
      <c r="U7" s="1316"/>
    </row>
    <row r="8" spans="1:23" s="1328" customFormat="1" ht="26.25" x14ac:dyDescent="0.25">
      <c r="B8" s="1329"/>
      <c r="C8" s="6350" t="s">
        <v>3864</v>
      </c>
      <c r="D8" s="6350"/>
      <c r="E8" s="6350"/>
      <c r="F8" s="6350"/>
      <c r="G8" s="6350"/>
      <c r="H8" s="6350"/>
      <c r="I8" s="6350"/>
      <c r="J8" s="6350"/>
      <c r="K8" s="6350"/>
      <c r="L8" s="6350"/>
      <c r="M8" s="6350"/>
      <c r="N8" s="6350"/>
      <c r="O8" s="1331"/>
      <c r="T8" s="1316"/>
      <c r="U8" s="1316"/>
    </row>
    <row r="9" spans="1:23" s="1328" customFormat="1" ht="23.25" x14ac:dyDescent="0.25">
      <c r="A9" s="5468" t="s">
        <v>184</v>
      </c>
      <c r="B9" s="1426"/>
      <c r="C9" s="5649" t="s">
        <v>2100</v>
      </c>
      <c r="D9" s="1336"/>
      <c r="E9" s="1336"/>
      <c r="F9" s="1336"/>
      <c r="G9" s="6673" t="s">
        <v>2011</v>
      </c>
      <c r="H9" s="6673"/>
      <c r="I9" s="6673"/>
      <c r="J9" s="6673"/>
      <c r="K9" s="6673"/>
      <c r="L9" s="6673"/>
      <c r="M9" s="6673"/>
      <c r="N9" s="6673"/>
      <c r="O9" s="6784"/>
      <c r="Q9" s="1316"/>
      <c r="R9" s="1316"/>
      <c r="S9" s="1316"/>
      <c r="U9" s="1316"/>
      <c r="V9" s="1316"/>
      <c r="W9" s="1316"/>
    </row>
    <row r="10" spans="1:23" s="1328" customFormat="1" ht="23.25" x14ac:dyDescent="0.25">
      <c r="A10" s="1333"/>
      <c r="B10" s="1427"/>
      <c r="C10" s="5703" t="s">
        <v>948</v>
      </c>
      <c r="D10" s="5700"/>
      <c r="E10" s="5700"/>
      <c r="F10" s="5700"/>
      <c r="G10" s="5700"/>
      <c r="H10" s="5700"/>
      <c r="I10" s="5700"/>
      <c r="J10" s="5700"/>
      <c r="K10" s="5700"/>
      <c r="L10" s="5700"/>
      <c r="M10" s="5700"/>
      <c r="N10" s="5700"/>
      <c r="O10" s="1428"/>
      <c r="Q10" s="1311"/>
      <c r="R10" s="1311"/>
      <c r="S10" s="1311"/>
      <c r="T10" s="1311"/>
      <c r="U10" s="1311"/>
      <c r="V10" s="1311"/>
      <c r="W10" s="1311"/>
    </row>
    <row r="11" spans="1:23" s="1328" customFormat="1" ht="60.75" customHeight="1" x14ac:dyDescent="0.25">
      <c r="A11" s="1333"/>
      <c r="B11" s="1427"/>
      <c r="C11" s="6298" t="s">
        <v>3484</v>
      </c>
      <c r="D11" s="6783"/>
      <c r="E11" s="6783"/>
      <c r="F11" s="6783"/>
      <c r="G11" s="6783"/>
      <c r="H11" s="6783"/>
      <c r="I11" s="6783"/>
      <c r="J11" s="6783"/>
      <c r="K11" s="6783"/>
      <c r="L11" s="6783"/>
      <c r="M11" s="6783"/>
      <c r="N11" s="6783"/>
      <c r="O11" s="1428"/>
      <c r="Q11" s="1311"/>
      <c r="R11" s="1311"/>
      <c r="S11" s="1311"/>
      <c r="T11" s="1311"/>
      <c r="U11" s="1311"/>
      <c r="V11" s="1311"/>
      <c r="W11" s="1311"/>
    </row>
    <row r="12" spans="1:23" s="1328" customFormat="1" ht="13.5" customHeight="1" x14ac:dyDescent="0.25">
      <c r="A12" s="1333"/>
      <c r="B12" s="1427"/>
      <c r="C12" s="6783"/>
      <c r="D12" s="6783"/>
      <c r="E12" s="6783"/>
      <c r="F12" s="6783"/>
      <c r="G12" s="6783"/>
      <c r="H12" s="6783"/>
      <c r="I12" s="6783"/>
      <c r="J12" s="6783"/>
      <c r="K12" s="6783"/>
      <c r="L12" s="6783"/>
      <c r="M12" s="6783"/>
      <c r="N12" s="6783"/>
      <c r="O12" s="1428"/>
      <c r="Q12" s="1364"/>
      <c r="R12" s="1364"/>
      <c r="S12" s="1364"/>
      <c r="T12" s="1364"/>
      <c r="U12" s="1364"/>
      <c r="V12" s="1364"/>
      <c r="W12" s="1364"/>
    </row>
    <row r="13" spans="1:23" s="1328" customFormat="1" ht="23.25" x14ac:dyDescent="0.25">
      <c r="A13" s="1333"/>
      <c r="B13" s="1427"/>
      <c r="C13" s="6783"/>
      <c r="D13" s="6783"/>
      <c r="E13" s="6783"/>
      <c r="F13" s="6783"/>
      <c r="G13" s="6783"/>
      <c r="H13" s="6783"/>
      <c r="I13" s="6783"/>
      <c r="J13" s="6783"/>
      <c r="K13" s="6783"/>
      <c r="L13" s="6783"/>
      <c r="M13" s="6783"/>
      <c r="N13" s="6783"/>
      <c r="O13" s="1428"/>
      <c r="Q13" s="6775" t="s">
        <v>2063</v>
      </c>
      <c r="R13" s="6775"/>
      <c r="S13" s="6775"/>
      <c r="T13" s="6775"/>
      <c r="U13" s="6775"/>
      <c r="V13" s="6775"/>
      <c r="W13" s="6775"/>
    </row>
    <row r="14" spans="1:23" s="1431" customFormat="1" ht="16.5" customHeight="1" x14ac:dyDescent="0.25">
      <c r="A14" s="1429"/>
      <c r="B14" s="1427"/>
      <c r="C14" s="6783"/>
      <c r="D14" s="6783"/>
      <c r="E14" s="6783"/>
      <c r="F14" s="6783"/>
      <c r="G14" s="6783"/>
      <c r="H14" s="6783"/>
      <c r="I14" s="6783"/>
      <c r="J14" s="6783"/>
      <c r="K14" s="6783"/>
      <c r="L14" s="6783"/>
      <c r="M14" s="6783"/>
      <c r="N14" s="6783"/>
      <c r="O14" s="1430"/>
      <c r="Q14" s="1455"/>
      <c r="R14" s="6781" t="s">
        <v>1846</v>
      </c>
      <c r="S14" s="6781"/>
      <c r="T14" s="6781"/>
      <c r="U14" s="6781"/>
      <c r="V14" s="6781"/>
      <c r="W14" s="1455"/>
    </row>
    <row r="15" spans="1:23" s="1431" customFormat="1" ht="35.25" customHeight="1" thickBot="1" x14ac:dyDescent="0.3">
      <c r="A15" s="1429"/>
      <c r="B15" s="1427"/>
      <c r="C15" s="6783"/>
      <c r="D15" s="6783"/>
      <c r="E15" s="6783"/>
      <c r="F15" s="6783"/>
      <c r="G15" s="6783"/>
      <c r="H15" s="6783"/>
      <c r="I15" s="6783"/>
      <c r="J15" s="6783"/>
      <c r="K15" s="6783"/>
      <c r="L15" s="6783"/>
      <c r="M15" s="6783"/>
      <c r="N15" s="6783"/>
      <c r="O15" s="1430"/>
      <c r="Q15" s="1455"/>
      <c r="R15" s="6782"/>
      <c r="S15" s="6782"/>
      <c r="T15" s="6782"/>
      <c r="U15" s="6782"/>
      <c r="V15" s="6782"/>
      <c r="W15" s="1455"/>
    </row>
    <row r="16" spans="1:23" s="1476" customFormat="1" ht="35.25" customHeight="1" x14ac:dyDescent="0.25">
      <c r="A16" s="1474"/>
      <c r="B16" s="1475"/>
      <c r="C16" s="6774" t="s">
        <v>3923</v>
      </c>
      <c r="D16" s="6774"/>
      <c r="E16" s="6774"/>
      <c r="F16" s="6774"/>
      <c r="G16" s="6774"/>
      <c r="H16" s="6774"/>
      <c r="I16" s="6774"/>
      <c r="J16" s="6774"/>
      <c r="K16" s="6774"/>
      <c r="L16" s="6774"/>
      <c r="M16" s="6774"/>
      <c r="N16" s="6774"/>
      <c r="O16" s="1428"/>
      <c r="P16" s="1477"/>
      <c r="Q16" s="1473"/>
      <c r="R16" s="6776" t="s">
        <v>1847</v>
      </c>
      <c r="S16" s="6777"/>
      <c r="T16" s="1544" t="s">
        <v>1496</v>
      </c>
      <c r="U16" s="1545" t="s">
        <v>905</v>
      </c>
      <c r="V16" s="1546" t="s">
        <v>818</v>
      </c>
      <c r="W16" s="1473"/>
    </row>
    <row r="17" spans="2:27" s="1432" customFormat="1" ht="36" customHeight="1" thickBot="1" x14ac:dyDescent="0.35">
      <c r="B17" s="1433"/>
      <c r="C17" s="1434"/>
      <c r="D17" s="1433"/>
      <c r="E17" s="1433"/>
      <c r="F17" s="1433"/>
      <c r="G17" s="1433"/>
      <c r="H17" s="1433"/>
      <c r="I17" s="1433"/>
      <c r="J17" s="1433"/>
      <c r="K17" s="1433"/>
      <c r="L17" s="1433"/>
      <c r="M17" s="1433"/>
      <c r="N17" s="1433"/>
      <c r="O17" s="1433"/>
      <c r="P17" s="1431"/>
      <c r="Q17" s="1433"/>
      <c r="R17" s="6779" t="s">
        <v>2918</v>
      </c>
      <c r="S17" s="6780"/>
      <c r="T17" s="1547" t="s">
        <v>1535</v>
      </c>
      <c r="U17" s="1548" t="s">
        <v>2067</v>
      </c>
      <c r="V17" s="1549" t="s">
        <v>1536</v>
      </c>
      <c r="W17" s="1433"/>
      <c r="X17" s="1431"/>
      <c r="Y17" s="1431"/>
    </row>
    <row r="18" spans="2:27" s="1344" customFormat="1" ht="30" customHeight="1" x14ac:dyDescent="0.4">
      <c r="B18" s="1387" t="s">
        <v>1</v>
      </c>
      <c r="C18" s="1388" t="s">
        <v>2100</v>
      </c>
      <c r="D18" s="1389"/>
      <c r="E18" s="1389"/>
      <c r="F18" s="1389"/>
      <c r="G18" s="1389"/>
      <c r="H18" s="1389"/>
      <c r="I18" s="1389"/>
      <c r="J18" s="1389"/>
      <c r="K18" s="1389"/>
      <c r="L18" s="1389"/>
      <c r="M18" s="1389"/>
      <c r="N18" s="1389"/>
      <c r="O18" s="1389"/>
      <c r="P18" s="1431"/>
      <c r="Q18" s="1435"/>
      <c r="R18" s="6778" t="s">
        <v>3022</v>
      </c>
      <c r="S18" s="6778"/>
      <c r="T18" s="6778"/>
      <c r="U18" s="6778"/>
      <c r="V18" s="6778"/>
      <c r="W18" s="1435"/>
      <c r="X18" s="1431"/>
      <c r="Y18" s="1431"/>
    </row>
    <row r="19" spans="2:27" s="1432" customFormat="1" ht="24" customHeight="1" x14ac:dyDescent="0.3">
      <c r="B19" s="1433"/>
      <c r="C19" s="1436" t="s">
        <v>3476</v>
      </c>
      <c r="D19" s="1433"/>
      <c r="E19" s="1433"/>
      <c r="F19" s="1433"/>
      <c r="G19" s="1433"/>
      <c r="H19" s="1433"/>
      <c r="I19" s="1433"/>
      <c r="J19" s="1433"/>
      <c r="K19" s="1433"/>
      <c r="L19" s="1433"/>
      <c r="M19" s="1433"/>
      <c r="N19" s="1433"/>
      <c r="O19" s="1433"/>
      <c r="P19" s="1431"/>
      <c r="Q19" s="1433"/>
      <c r="R19" s="1478"/>
      <c r="S19" s="1478"/>
      <c r="T19" s="1478"/>
      <c r="U19" s="1478"/>
      <c r="V19" s="1478"/>
      <c r="W19" s="1433"/>
      <c r="X19" s="1431"/>
      <c r="Y19" s="1431"/>
    </row>
    <row r="20" spans="2:27" s="1441" customFormat="1" ht="24" customHeight="1" x14ac:dyDescent="0.25">
      <c r="B20" s="1437" t="s">
        <v>2</v>
      </c>
      <c r="C20" s="1438" t="s">
        <v>1351</v>
      </c>
      <c r="D20" s="1439"/>
      <c r="E20" s="1440"/>
      <c r="F20" s="1439"/>
      <c r="G20" s="1439"/>
      <c r="H20" s="1439"/>
      <c r="I20" s="1439"/>
      <c r="J20" s="1439"/>
      <c r="K20" s="1439"/>
      <c r="L20" s="1439"/>
      <c r="M20" s="1439"/>
      <c r="N20" s="1439"/>
      <c r="O20" s="1439"/>
      <c r="P20" s="1431"/>
      <c r="Q20" s="1439"/>
      <c r="R20" s="6746" t="s">
        <v>2066</v>
      </c>
      <c r="S20" s="6746"/>
      <c r="T20" s="6746"/>
      <c r="U20" s="6746"/>
      <c r="V20" s="6746"/>
      <c r="W20" s="1439"/>
      <c r="X20" s="1431"/>
      <c r="Y20" s="1431"/>
      <c r="AA20" s="3753" t="b">
        <v>0</v>
      </c>
    </row>
    <row r="21" spans="2:27" ht="28.5" customHeight="1" thickBot="1" x14ac:dyDescent="0.3">
      <c r="B21" s="1341"/>
      <c r="C21" s="1341"/>
      <c r="D21" s="1341"/>
      <c r="E21" s="1341"/>
      <c r="F21" s="1341"/>
      <c r="G21" s="1341"/>
      <c r="H21" s="1341"/>
      <c r="I21" s="1341"/>
      <c r="J21" s="1341"/>
      <c r="K21" s="1341"/>
      <c r="L21" s="1341"/>
      <c r="M21" s="1341"/>
      <c r="N21" s="1341"/>
      <c r="O21" s="1341"/>
      <c r="P21" s="1431"/>
      <c r="Q21" s="1341"/>
      <c r="R21" s="1341"/>
      <c r="S21" s="1341"/>
      <c r="T21" s="1341"/>
      <c r="U21" s="1341"/>
      <c r="V21" s="1341"/>
      <c r="W21" s="1341"/>
      <c r="X21" s="1431"/>
      <c r="Y21" s="1431"/>
      <c r="AA21" s="3739">
        <v>0</v>
      </c>
    </row>
    <row r="22" spans="2:27" s="1343" customFormat="1" ht="21.75" customHeight="1" x14ac:dyDescent="0.25">
      <c r="B22" s="1352"/>
      <c r="C22" s="1442" t="s">
        <v>1352</v>
      </c>
      <c r="D22" s="1451">
        <f>D$220</f>
        <v>2014</v>
      </c>
      <c r="E22" s="1452">
        <f t="shared" ref="E22:N22" si="0">E$220</f>
        <v>2015</v>
      </c>
      <c r="F22" s="1452">
        <f t="shared" si="0"/>
        <v>2016</v>
      </c>
      <c r="G22" s="1452">
        <f t="shared" si="0"/>
        <v>2017</v>
      </c>
      <c r="H22" s="1452">
        <f t="shared" si="0"/>
        <v>2018</v>
      </c>
      <c r="I22" s="1452">
        <f t="shared" si="0"/>
        <v>2019</v>
      </c>
      <c r="J22" s="1452">
        <f t="shared" si="0"/>
        <v>2020</v>
      </c>
      <c r="K22" s="1452">
        <f t="shared" si="0"/>
        <v>2021</v>
      </c>
      <c r="L22" s="1452">
        <f t="shared" si="0"/>
        <v>2022</v>
      </c>
      <c r="M22" s="1452">
        <f t="shared" si="0"/>
        <v>2023</v>
      </c>
      <c r="N22" s="1453">
        <f t="shared" si="0"/>
        <v>2024</v>
      </c>
      <c r="O22" s="1352"/>
      <c r="P22" s="1431"/>
      <c r="Q22" s="1352"/>
      <c r="R22" s="1352"/>
      <c r="S22" s="1352"/>
      <c r="T22" s="1352"/>
      <c r="U22" s="1352"/>
      <c r="V22" s="1352"/>
      <c r="W22" s="1352"/>
      <c r="X22" s="1431"/>
      <c r="AA22" s="3739">
        <v>0.5</v>
      </c>
    </row>
    <row r="23" spans="2:27" ht="21" customHeight="1" x14ac:dyDescent="0.25">
      <c r="B23" s="1341"/>
      <c r="C23" s="1543" t="s">
        <v>565</v>
      </c>
      <c r="D23" s="1443"/>
      <c r="E23" s="1443"/>
      <c r="F23" s="1443"/>
      <c r="G23" s="1443"/>
      <c r="H23" s="1443"/>
      <c r="I23" s="1443"/>
      <c r="J23" s="1443"/>
      <c r="K23" s="1443"/>
      <c r="L23" s="1443"/>
      <c r="M23" s="1443"/>
      <c r="N23" s="1444"/>
      <c r="O23" s="1341"/>
      <c r="P23" s="1431"/>
      <c r="Q23" s="1352"/>
      <c r="R23" s="1482" t="s">
        <v>1534</v>
      </c>
      <c r="S23" s="1483" t="s">
        <v>2064</v>
      </c>
      <c r="T23" s="1479" t="s">
        <v>817</v>
      </c>
      <c r="U23" s="1480" t="s">
        <v>905</v>
      </c>
      <c r="V23" s="1481" t="s">
        <v>818</v>
      </c>
      <c r="W23" s="1352"/>
      <c r="X23" s="1431"/>
      <c r="Y23" s="1431"/>
      <c r="AA23" s="3739">
        <v>0.9</v>
      </c>
    </row>
    <row r="24" spans="2:27" ht="30" customHeight="1" x14ac:dyDescent="0.25">
      <c r="B24" s="1341"/>
      <c r="C24" s="1510" t="s">
        <v>796</v>
      </c>
      <c r="D24" s="1511">
        <f>'WS calcu'!E170</f>
        <v>0</v>
      </c>
      <c r="E24" s="1511">
        <f>'WS calcu'!F170</f>
        <v>0</v>
      </c>
      <c r="F24" s="1511">
        <f>'WS calcu'!G170</f>
        <v>0</v>
      </c>
      <c r="G24" s="1511">
        <f>'WS calcu'!H170</f>
        <v>0</v>
      </c>
      <c r="H24" s="1511">
        <f>'WS calcu'!I170</f>
        <v>0</v>
      </c>
      <c r="I24" s="1511">
        <f>'WS calcu'!J170</f>
        <v>0</v>
      </c>
      <c r="J24" s="1511">
        <f>'WS calcu'!K170</f>
        <v>0</v>
      </c>
      <c r="K24" s="1511">
        <f>'WS calcu'!L170</f>
        <v>0</v>
      </c>
      <c r="L24" s="1511">
        <f>'WS calcu'!M170</f>
        <v>0</v>
      </c>
      <c r="M24" s="1511">
        <f>'WS calcu'!N170</f>
        <v>0</v>
      </c>
      <c r="N24" s="1512">
        <f>'WS calcu'!O170</f>
        <v>0</v>
      </c>
      <c r="O24" s="1341"/>
      <c r="P24" s="1431"/>
      <c r="Q24" s="1341"/>
      <c r="R24" s="6717">
        <v>1</v>
      </c>
      <c r="S24" s="6718"/>
      <c r="T24" s="6719">
        <f>IF($R$17="II. CUSTOMIZE BENCHMARKS",$S24,$R24)*$AA$21</f>
        <v>0</v>
      </c>
      <c r="U24" s="6720">
        <f>IF($R$17="II. CUSTOMIZE BENCHMARKS",$S24,$R24)*$AA$22</f>
        <v>0.5</v>
      </c>
      <c r="V24" s="6721">
        <f>IF($R$17="II. CUSTOMIZE BENCHMARKS",$S24,$R24)*$AA$23</f>
        <v>0.9</v>
      </c>
      <c r="W24" s="1341"/>
      <c r="X24" s="1431"/>
      <c r="Y24" s="1431"/>
    </row>
    <row r="25" spans="2:27" outlineLevel="1" x14ac:dyDescent="0.25">
      <c r="B25" s="1341"/>
      <c r="C25" s="6767" t="s">
        <v>1848</v>
      </c>
      <c r="D25" s="6768"/>
      <c r="E25" s="6768"/>
      <c r="F25" s="6768"/>
      <c r="G25" s="6768"/>
      <c r="H25" s="6768"/>
      <c r="I25" s="6768"/>
      <c r="J25" s="6768"/>
      <c r="K25" s="6768"/>
      <c r="L25" s="6768"/>
      <c r="M25" s="6768"/>
      <c r="N25" s="6769"/>
      <c r="O25" s="1341"/>
      <c r="P25" s="1431"/>
      <c r="Q25" s="1352"/>
      <c r="R25" s="6710"/>
      <c r="S25" s="6712"/>
      <c r="T25" s="6751"/>
      <c r="U25" s="6707"/>
      <c r="V25" s="6709"/>
      <c r="W25" s="1352"/>
      <c r="X25" s="1431"/>
      <c r="Y25" s="1431"/>
    </row>
    <row r="26" spans="2:27" ht="30" customHeight="1" x14ac:dyDescent="0.25">
      <c r="B26" s="1341"/>
      <c r="C26" s="1510" t="s">
        <v>1503</v>
      </c>
      <c r="D26" s="1511">
        <f>'WS calcu'!E171</f>
        <v>0</v>
      </c>
      <c r="E26" s="1511">
        <f>'WS calcu'!F171</f>
        <v>0</v>
      </c>
      <c r="F26" s="1511">
        <f>'WS calcu'!G171</f>
        <v>0</v>
      </c>
      <c r="G26" s="1511">
        <f>'WS calcu'!H171</f>
        <v>0</v>
      </c>
      <c r="H26" s="1511">
        <f>'WS calcu'!I171</f>
        <v>0</v>
      </c>
      <c r="I26" s="1511">
        <f>'WS calcu'!J171</f>
        <v>0</v>
      </c>
      <c r="J26" s="1511">
        <f>'WS calcu'!K171</f>
        <v>0</v>
      </c>
      <c r="K26" s="1511">
        <f>'WS calcu'!L171</f>
        <v>0</v>
      </c>
      <c r="L26" s="1511">
        <f>'WS calcu'!M171</f>
        <v>0</v>
      </c>
      <c r="M26" s="1511">
        <f>'WS calcu'!N171</f>
        <v>0</v>
      </c>
      <c r="N26" s="1512">
        <f>'WS calcu'!O171</f>
        <v>0</v>
      </c>
      <c r="O26" s="1341"/>
      <c r="P26" s="1431"/>
      <c r="Q26" s="1352"/>
      <c r="R26" s="6756">
        <v>1</v>
      </c>
      <c r="S26" s="6757"/>
      <c r="T26" s="6704">
        <f>IF($R$17="II. CUSTOMIZE BENCHMARKS",$S26,$R26)*$AA$21</f>
        <v>0</v>
      </c>
      <c r="U26" s="6706">
        <f>IF($R$17="II. CUSTOMIZE BENCHMARKS",$S26,$R26)*$AA$22</f>
        <v>0.5</v>
      </c>
      <c r="V26" s="6708">
        <f>IF($R$17="II. CUSTOMIZE BENCHMARKS",$S26,$R26)*$AA$23</f>
        <v>0.9</v>
      </c>
      <c r="W26" s="1352"/>
      <c r="X26" s="1431"/>
      <c r="Y26" s="1431"/>
    </row>
    <row r="27" spans="2:27" ht="17.25" customHeight="1" outlineLevel="1" x14ac:dyDescent="0.25">
      <c r="B27" s="1341"/>
      <c r="C27" s="6767" t="s">
        <v>1849</v>
      </c>
      <c r="D27" s="6768"/>
      <c r="E27" s="6768"/>
      <c r="F27" s="6768"/>
      <c r="G27" s="6768"/>
      <c r="H27" s="6768"/>
      <c r="I27" s="6768"/>
      <c r="J27" s="6768"/>
      <c r="K27" s="6768"/>
      <c r="L27" s="6768"/>
      <c r="M27" s="6768"/>
      <c r="N27" s="6769"/>
      <c r="O27" s="1341"/>
      <c r="P27" s="1431"/>
      <c r="Q27" s="1352"/>
      <c r="R27" s="6711"/>
      <c r="S27" s="6713"/>
      <c r="T27" s="6714"/>
      <c r="U27" s="6715"/>
      <c r="V27" s="6716"/>
      <c r="W27" s="1352"/>
      <c r="X27" s="1431"/>
      <c r="Y27" s="1431"/>
    </row>
    <row r="28" spans="2:27" x14ac:dyDescent="0.25">
      <c r="B28" s="1341"/>
      <c r="C28" s="1534" t="s">
        <v>1822</v>
      </c>
      <c r="D28" s="1520">
        <f>'WS calcu'!E172</f>
        <v>0</v>
      </c>
      <c r="E28" s="1520">
        <f>'WS calcu'!F172</f>
        <v>0</v>
      </c>
      <c r="F28" s="1520">
        <f>'WS calcu'!G172</f>
        <v>0</v>
      </c>
      <c r="G28" s="1520">
        <f>'WS calcu'!H172</f>
        <v>0</v>
      </c>
      <c r="H28" s="1520">
        <f>'WS calcu'!I172</f>
        <v>0</v>
      </c>
      <c r="I28" s="1520">
        <f>'WS calcu'!J172</f>
        <v>0</v>
      </c>
      <c r="J28" s="1520">
        <f>'WS calcu'!K172</f>
        <v>0</v>
      </c>
      <c r="K28" s="1520">
        <f>'WS calcu'!L172</f>
        <v>0</v>
      </c>
      <c r="L28" s="1520">
        <f>'WS calcu'!M172</f>
        <v>0</v>
      </c>
      <c r="M28" s="1520">
        <f>'WS calcu'!N172</f>
        <v>0</v>
      </c>
      <c r="N28" s="1521">
        <f>'WS calcu'!O172</f>
        <v>0</v>
      </c>
      <c r="O28" s="1341"/>
      <c r="P28" s="1431"/>
      <c r="Q28" s="1341"/>
      <c r="R28" s="1484"/>
      <c r="S28" s="1484"/>
      <c r="T28" s="1485"/>
      <c r="U28" s="1485"/>
      <c r="V28" s="1485"/>
      <c r="W28" s="1341"/>
      <c r="X28" s="1431"/>
      <c r="Y28" s="1431"/>
    </row>
    <row r="29" spans="2:27" ht="15.75" customHeight="1" outlineLevel="1" x14ac:dyDescent="0.25">
      <c r="B29" s="1341"/>
      <c r="C29" s="6764" t="s">
        <v>1850</v>
      </c>
      <c r="D29" s="6765"/>
      <c r="E29" s="6765"/>
      <c r="F29" s="6765"/>
      <c r="G29" s="6765"/>
      <c r="H29" s="6765"/>
      <c r="I29" s="6765"/>
      <c r="J29" s="6765"/>
      <c r="K29" s="6765"/>
      <c r="L29" s="6765"/>
      <c r="M29" s="6765"/>
      <c r="N29" s="6766"/>
      <c r="O29" s="1341"/>
      <c r="P29" s="1431"/>
      <c r="Q29" s="1341"/>
      <c r="R29" s="1341"/>
      <c r="S29" s="1341"/>
      <c r="T29" s="1454"/>
      <c r="U29" s="1454"/>
      <c r="V29" s="1454"/>
      <c r="W29" s="1341"/>
      <c r="X29" s="1431"/>
      <c r="Y29" s="1431"/>
    </row>
    <row r="30" spans="2:27" x14ac:dyDescent="0.25">
      <c r="B30" s="1341"/>
      <c r="C30" s="1534" t="s">
        <v>1823</v>
      </c>
      <c r="D30" s="1520">
        <f>'WS calcu'!E173</f>
        <v>0</v>
      </c>
      <c r="E30" s="1520">
        <f>'WS calcu'!F173</f>
        <v>0</v>
      </c>
      <c r="F30" s="1520">
        <f>'WS calcu'!G173</f>
        <v>0</v>
      </c>
      <c r="G30" s="1520">
        <f>'WS calcu'!H173</f>
        <v>0</v>
      </c>
      <c r="H30" s="1520">
        <f>'WS calcu'!I173</f>
        <v>0</v>
      </c>
      <c r="I30" s="1520">
        <f>'WS calcu'!J173</f>
        <v>0</v>
      </c>
      <c r="J30" s="1520">
        <f>'WS calcu'!K173</f>
        <v>0</v>
      </c>
      <c r="K30" s="1520">
        <f>'WS calcu'!L173</f>
        <v>0</v>
      </c>
      <c r="L30" s="1520">
        <f>'WS calcu'!M173</f>
        <v>0</v>
      </c>
      <c r="M30" s="1520">
        <f>'WS calcu'!N173</f>
        <v>0</v>
      </c>
      <c r="N30" s="1521">
        <f>'WS calcu'!O173</f>
        <v>0</v>
      </c>
      <c r="O30" s="1341"/>
      <c r="P30" s="1431"/>
      <c r="Q30" s="1341"/>
      <c r="R30" s="1341"/>
      <c r="S30" s="1341"/>
      <c r="T30" s="1454"/>
      <c r="U30" s="1454"/>
      <c r="V30" s="1454"/>
      <c r="W30" s="1341"/>
      <c r="X30" s="1431"/>
      <c r="Y30" s="1431"/>
    </row>
    <row r="31" spans="2:27" ht="16.5" customHeight="1" outlineLevel="1" x14ac:dyDescent="0.25">
      <c r="B31" s="1341"/>
      <c r="C31" s="6764" t="s">
        <v>2013</v>
      </c>
      <c r="D31" s="6765"/>
      <c r="E31" s="6765"/>
      <c r="F31" s="6765"/>
      <c r="G31" s="6765"/>
      <c r="H31" s="6765"/>
      <c r="I31" s="6765"/>
      <c r="J31" s="6765"/>
      <c r="K31" s="6765"/>
      <c r="L31" s="6765"/>
      <c r="M31" s="6765"/>
      <c r="N31" s="6766"/>
      <c r="O31" s="1341"/>
      <c r="P31" s="1431"/>
      <c r="Q31" s="1341"/>
      <c r="R31" s="1341"/>
      <c r="S31" s="1341"/>
      <c r="T31" s="1454"/>
      <c r="U31" s="1454"/>
      <c r="V31" s="1454"/>
      <c r="W31" s="1341"/>
      <c r="X31" s="1431"/>
      <c r="Y31" s="1431"/>
    </row>
    <row r="32" spans="2:27" x14ac:dyDescent="0.25">
      <c r="B32" s="1341"/>
      <c r="C32" s="1534" t="s">
        <v>1459</v>
      </c>
      <c r="D32" s="1520">
        <f>'WS calcu'!E131</f>
        <v>0</v>
      </c>
      <c r="E32" s="1520">
        <f>'WS calcu'!F131</f>
        <v>0</v>
      </c>
      <c r="F32" s="1520">
        <f>'WS calcu'!G131</f>
        <v>0</v>
      </c>
      <c r="G32" s="1520">
        <f>'WS calcu'!H131</f>
        <v>0</v>
      </c>
      <c r="H32" s="1520">
        <f>'WS calcu'!I131</f>
        <v>0</v>
      </c>
      <c r="I32" s="1520">
        <f>'WS calcu'!J131</f>
        <v>0</v>
      </c>
      <c r="J32" s="1520">
        <f>'WS calcu'!K131</f>
        <v>0</v>
      </c>
      <c r="K32" s="1520">
        <f>'WS calcu'!L131</f>
        <v>0</v>
      </c>
      <c r="L32" s="1520">
        <f>'WS calcu'!M131</f>
        <v>0</v>
      </c>
      <c r="M32" s="1520">
        <f>'WS calcu'!N131</f>
        <v>0</v>
      </c>
      <c r="N32" s="1521">
        <f>'WS calcu'!O131</f>
        <v>0</v>
      </c>
      <c r="O32" s="1341"/>
      <c r="P32" s="1431"/>
      <c r="Q32" s="1341"/>
      <c r="R32" s="1341"/>
      <c r="S32" s="1341"/>
      <c r="T32" s="1454"/>
      <c r="U32" s="1454"/>
      <c r="V32" s="1454"/>
      <c r="W32" s="1341"/>
      <c r="X32" s="1431"/>
      <c r="Y32" s="1431"/>
    </row>
    <row r="33" spans="2:25" ht="15.75" customHeight="1" outlineLevel="1" x14ac:dyDescent="0.25">
      <c r="B33" s="1341"/>
      <c r="C33" s="6764" t="s">
        <v>2012</v>
      </c>
      <c r="D33" s="6765"/>
      <c r="E33" s="6765"/>
      <c r="F33" s="6765"/>
      <c r="G33" s="6765"/>
      <c r="H33" s="6765"/>
      <c r="I33" s="6765"/>
      <c r="J33" s="6765"/>
      <c r="K33" s="6765"/>
      <c r="L33" s="6765"/>
      <c r="M33" s="6765"/>
      <c r="N33" s="6766"/>
      <c r="O33" s="1341"/>
      <c r="P33" s="1431"/>
      <c r="Q33" s="1341"/>
      <c r="R33" s="1341"/>
      <c r="S33" s="1341"/>
      <c r="T33" s="1454"/>
      <c r="U33" s="1454"/>
      <c r="V33" s="1454"/>
      <c r="W33" s="1341"/>
      <c r="X33" s="1431"/>
      <c r="Y33" s="1431"/>
    </row>
    <row r="34" spans="2:25" ht="21" customHeight="1" x14ac:dyDescent="0.25">
      <c r="B34" s="1341"/>
      <c r="C34" s="1543" t="s">
        <v>568</v>
      </c>
      <c r="D34" s="1443"/>
      <c r="E34" s="1443"/>
      <c r="F34" s="1443"/>
      <c r="G34" s="1443"/>
      <c r="H34" s="1443"/>
      <c r="I34" s="1443"/>
      <c r="J34" s="1443"/>
      <c r="K34" s="1443"/>
      <c r="L34" s="1443"/>
      <c r="M34" s="1443"/>
      <c r="N34" s="1444"/>
      <c r="O34" s="1341"/>
      <c r="P34" s="1431"/>
      <c r="Q34" s="1352"/>
      <c r="R34" s="1482" t="s">
        <v>1534</v>
      </c>
      <c r="S34" s="1483" t="s">
        <v>2064</v>
      </c>
      <c r="T34" s="1479" t="s">
        <v>817</v>
      </c>
      <c r="U34" s="1480" t="s">
        <v>905</v>
      </c>
      <c r="V34" s="1481" t="s">
        <v>818</v>
      </c>
      <c r="W34" s="1352"/>
      <c r="X34" s="1431"/>
      <c r="Y34" s="1431"/>
    </row>
    <row r="35" spans="2:25" x14ac:dyDescent="0.25">
      <c r="B35" s="1341"/>
      <c r="C35" s="1510" t="s">
        <v>1680</v>
      </c>
      <c r="D35" s="1513">
        <f>'WS calcu'!E251</f>
        <v>0</v>
      </c>
      <c r="E35" s="1513">
        <f>'WS calcu'!F251</f>
        <v>0</v>
      </c>
      <c r="F35" s="1513">
        <f>'WS calcu'!G251</f>
        <v>0</v>
      </c>
      <c r="G35" s="1513">
        <f>'WS calcu'!H251</f>
        <v>0</v>
      </c>
      <c r="H35" s="1513">
        <f>'WS calcu'!I251</f>
        <v>0</v>
      </c>
      <c r="I35" s="1513">
        <f>'WS calcu'!J251</f>
        <v>0</v>
      </c>
      <c r="J35" s="1513">
        <f>'WS calcu'!K251</f>
        <v>0</v>
      </c>
      <c r="K35" s="1513">
        <f>'WS calcu'!L251</f>
        <v>0</v>
      </c>
      <c r="L35" s="1513">
        <f>'WS calcu'!M251</f>
        <v>0</v>
      </c>
      <c r="M35" s="1513">
        <f>'WS calcu'!N251</f>
        <v>0</v>
      </c>
      <c r="N35" s="1514">
        <f>'WS calcu'!O251</f>
        <v>0</v>
      </c>
      <c r="O35" s="1341"/>
      <c r="P35" s="1431"/>
      <c r="Q35" s="1352"/>
      <c r="R35" s="6760">
        <f>'Indicator info'!E19</f>
        <v>70</v>
      </c>
      <c r="S35" s="6762"/>
      <c r="T35" s="6747">
        <f>IF($R$17="II. CUSTOMIZE BENCHMARKS",$S35,$R35)*$AA$21</f>
        <v>0</v>
      </c>
      <c r="U35" s="6749">
        <f>IF($R$17="II. CUSTOMIZE BENCHMARKS",$S35,$R35)*$AA$22</f>
        <v>35</v>
      </c>
      <c r="V35" s="6750">
        <f>IF($R$17="II. CUSTOMIZE BENCHMARKS",$S35,$R35)*$AA$23</f>
        <v>63</v>
      </c>
      <c r="W35" s="1352"/>
      <c r="X35" s="1431"/>
      <c r="Y35" s="1431"/>
    </row>
    <row r="36" spans="2:25" outlineLevel="1" x14ac:dyDescent="0.25">
      <c r="B36" s="1341"/>
      <c r="C36" s="6770" t="s">
        <v>2014</v>
      </c>
      <c r="D36" s="6768"/>
      <c r="E36" s="6768"/>
      <c r="F36" s="6768"/>
      <c r="G36" s="6768"/>
      <c r="H36" s="6768"/>
      <c r="I36" s="6768"/>
      <c r="J36" s="6768"/>
      <c r="K36" s="6768"/>
      <c r="L36" s="6768"/>
      <c r="M36" s="6768"/>
      <c r="N36" s="6769"/>
      <c r="O36" s="1341"/>
      <c r="P36" s="1431"/>
      <c r="Q36" s="1341"/>
      <c r="R36" s="6761"/>
      <c r="S36" s="6763"/>
      <c r="T36" s="6748"/>
      <c r="U36" s="6742"/>
      <c r="V36" s="6744"/>
      <c r="W36" s="1341"/>
      <c r="X36" s="1431"/>
      <c r="Y36" s="1431"/>
    </row>
    <row r="37" spans="2:25" x14ac:dyDescent="0.25">
      <c r="B37" s="1341"/>
      <c r="C37" s="1515" t="s">
        <v>1467</v>
      </c>
      <c r="D37" s="1516">
        <f>'WS calcu'!E267</f>
        <v>0</v>
      </c>
      <c r="E37" s="1516">
        <f>'WS calcu'!F267</f>
        <v>0</v>
      </c>
      <c r="F37" s="1516">
        <f>'WS calcu'!G267</f>
        <v>0</v>
      </c>
      <c r="G37" s="1516">
        <f>'WS calcu'!H267</f>
        <v>0</v>
      </c>
      <c r="H37" s="1516">
        <f>'WS calcu'!I267</f>
        <v>0</v>
      </c>
      <c r="I37" s="1516">
        <f>'WS calcu'!J267</f>
        <v>0</v>
      </c>
      <c r="J37" s="1516">
        <f>'WS calcu'!K267</f>
        <v>0</v>
      </c>
      <c r="K37" s="1516">
        <f>'WS calcu'!L267</f>
        <v>0</v>
      </c>
      <c r="L37" s="1516">
        <f>'WS calcu'!M267</f>
        <v>0</v>
      </c>
      <c r="M37" s="1516">
        <f>'WS calcu'!N267</f>
        <v>0</v>
      </c>
      <c r="N37" s="1517">
        <f>'WS calcu'!O267</f>
        <v>0</v>
      </c>
      <c r="O37" s="1341"/>
      <c r="P37" s="1431"/>
      <c r="Q37" s="1341"/>
      <c r="R37" s="6752">
        <v>24</v>
      </c>
      <c r="S37" s="6754"/>
      <c r="T37" s="6726">
        <f>IF($R$17="II. CUSTOMIZE BENCHMARKS",$S37,$R37)*$AA$21</f>
        <v>0</v>
      </c>
      <c r="U37" s="6728">
        <f>IF($R$17="II. CUSTOMIZE BENCHMARKS",$S37,$R37)*$AA$22</f>
        <v>12</v>
      </c>
      <c r="V37" s="6730">
        <f>IF($R$17="II. CUSTOMIZE BENCHMARKS",$S37,$R37)*$AA$23</f>
        <v>21.6</v>
      </c>
      <c r="W37" s="1341"/>
      <c r="X37" s="1431"/>
      <c r="Y37" s="1431"/>
    </row>
    <row r="38" spans="2:25" outlineLevel="1" x14ac:dyDescent="0.25">
      <c r="B38" s="1341"/>
      <c r="C38" s="6770" t="s">
        <v>1853</v>
      </c>
      <c r="D38" s="6768"/>
      <c r="E38" s="6768"/>
      <c r="F38" s="6768"/>
      <c r="G38" s="6768"/>
      <c r="H38" s="6768"/>
      <c r="I38" s="6768"/>
      <c r="J38" s="6768"/>
      <c r="K38" s="6768"/>
      <c r="L38" s="6768"/>
      <c r="M38" s="6768"/>
      <c r="N38" s="6769"/>
      <c r="O38" s="1341"/>
      <c r="P38" s="1431"/>
      <c r="Q38" s="1341"/>
      <c r="R38" s="6753"/>
      <c r="S38" s="6755"/>
      <c r="T38" s="6734"/>
      <c r="U38" s="6735"/>
      <c r="V38" s="6736"/>
      <c r="W38" s="1341"/>
      <c r="X38" s="1431"/>
      <c r="Y38" s="1431"/>
    </row>
    <row r="39" spans="2:25" x14ac:dyDescent="0.25">
      <c r="B39" s="1341"/>
      <c r="C39" s="1515" t="s">
        <v>801</v>
      </c>
      <c r="D39" s="1518">
        <f>'WS calcu'!E268</f>
        <v>0</v>
      </c>
      <c r="E39" s="1518">
        <f>'WS calcu'!F268</f>
        <v>0</v>
      </c>
      <c r="F39" s="1518">
        <f>'WS calcu'!G268</f>
        <v>0</v>
      </c>
      <c r="G39" s="1518">
        <f>'WS calcu'!H268</f>
        <v>0</v>
      </c>
      <c r="H39" s="1518">
        <f>'WS calcu'!I268</f>
        <v>0</v>
      </c>
      <c r="I39" s="1518">
        <f>'WS calcu'!J268</f>
        <v>0</v>
      </c>
      <c r="J39" s="1518">
        <f>'WS calcu'!K268</f>
        <v>0</v>
      </c>
      <c r="K39" s="1518">
        <f>'WS calcu'!L268</f>
        <v>0</v>
      </c>
      <c r="L39" s="1518">
        <f>'WS calcu'!M268</f>
        <v>0</v>
      </c>
      <c r="M39" s="1518">
        <f>'WS calcu'!N268</f>
        <v>0</v>
      </c>
      <c r="N39" s="1519">
        <f>'WS calcu'!O268</f>
        <v>0</v>
      </c>
      <c r="O39" s="1341"/>
      <c r="P39" s="1431"/>
      <c r="Q39" s="1341"/>
      <c r="R39" s="6756">
        <v>1</v>
      </c>
      <c r="S39" s="6757"/>
      <c r="T39" s="6704">
        <f>IF($R$17="II. CUSTOMIZE BENCHMARKS",$S39,$R39)*$AA$21</f>
        <v>0</v>
      </c>
      <c r="U39" s="6706">
        <f>IF($R$17="II. CUSTOMIZE BENCHMARKS",$S39,$R39)*$AA$22</f>
        <v>0.5</v>
      </c>
      <c r="V39" s="6708">
        <f>IF($R$17="II. CUSTOMIZE BENCHMARKS",$S39,$R39)*$AA$23</f>
        <v>0.9</v>
      </c>
      <c r="W39" s="1341"/>
      <c r="X39" s="1431"/>
      <c r="Y39" s="1431"/>
    </row>
    <row r="40" spans="2:25" outlineLevel="1" x14ac:dyDescent="0.25">
      <c r="B40" s="1341"/>
      <c r="C40" s="6767" t="s">
        <v>1854</v>
      </c>
      <c r="D40" s="6768"/>
      <c r="E40" s="6768"/>
      <c r="F40" s="6768"/>
      <c r="G40" s="6768"/>
      <c r="H40" s="6768"/>
      <c r="I40" s="6768"/>
      <c r="J40" s="6768"/>
      <c r="K40" s="6768"/>
      <c r="L40" s="6768"/>
      <c r="M40" s="6768"/>
      <c r="N40" s="6769"/>
      <c r="O40" s="1341"/>
      <c r="P40" s="1431"/>
      <c r="Q40" s="1341"/>
      <c r="R40" s="6711"/>
      <c r="S40" s="6713"/>
      <c r="T40" s="6714"/>
      <c r="U40" s="6715"/>
      <c r="V40" s="6716"/>
      <c r="W40" s="1341"/>
      <c r="X40" s="1431"/>
      <c r="Y40" s="1431"/>
    </row>
    <row r="41" spans="2:25" x14ac:dyDescent="0.25">
      <c r="B41" s="1341"/>
      <c r="C41" s="1534" t="s">
        <v>1824</v>
      </c>
      <c r="D41" s="1520">
        <f>'WS calcu'!E804</f>
        <v>0</v>
      </c>
      <c r="E41" s="1520">
        <f>'WS calcu'!F804</f>
        <v>0</v>
      </c>
      <c r="F41" s="1520">
        <f>'WS calcu'!G804</f>
        <v>0</v>
      </c>
      <c r="G41" s="1520">
        <f>'WS calcu'!H804</f>
        <v>0</v>
      </c>
      <c r="H41" s="1520">
        <f>'WS calcu'!I804</f>
        <v>0</v>
      </c>
      <c r="I41" s="1520">
        <f>'WS calcu'!J804</f>
        <v>0</v>
      </c>
      <c r="J41" s="1520">
        <f>'WS calcu'!K804</f>
        <v>0</v>
      </c>
      <c r="K41" s="1520">
        <f>'WS calcu'!L804</f>
        <v>0</v>
      </c>
      <c r="L41" s="1520">
        <f>'WS calcu'!M804</f>
        <v>0</v>
      </c>
      <c r="M41" s="1520">
        <f>'WS calcu'!N804</f>
        <v>0</v>
      </c>
      <c r="N41" s="1521">
        <f>'WS calcu'!O804</f>
        <v>0</v>
      </c>
      <c r="O41" s="1341"/>
      <c r="P41" s="1431"/>
      <c r="Q41" s="1341"/>
      <c r="R41" s="1484"/>
      <c r="S41" s="1484"/>
      <c r="T41" s="1484"/>
      <c r="U41" s="1484"/>
      <c r="V41" s="1484"/>
      <c r="W41" s="1341"/>
      <c r="X41" s="1431"/>
      <c r="Y41" s="1431"/>
    </row>
    <row r="42" spans="2:25" outlineLevel="1" x14ac:dyDescent="0.25">
      <c r="B42" s="1341"/>
      <c r="C42" s="6764" t="s">
        <v>2783</v>
      </c>
      <c r="D42" s="6765"/>
      <c r="E42" s="6765"/>
      <c r="F42" s="6765"/>
      <c r="G42" s="6765"/>
      <c r="H42" s="6765"/>
      <c r="I42" s="6765"/>
      <c r="J42" s="6765"/>
      <c r="K42" s="6765"/>
      <c r="L42" s="6765"/>
      <c r="M42" s="6765"/>
      <c r="N42" s="6766"/>
      <c r="O42" s="1341"/>
      <c r="P42" s="1431"/>
      <c r="Q42" s="1341"/>
      <c r="R42" s="1341"/>
      <c r="S42" s="1341"/>
      <c r="T42" s="1341"/>
      <c r="U42" s="1341"/>
      <c r="V42" s="1341"/>
      <c r="W42" s="1341"/>
      <c r="X42" s="1431"/>
      <c r="Y42" s="1431"/>
    </row>
    <row r="43" spans="2:25" x14ac:dyDescent="0.25">
      <c r="B43" s="1341"/>
      <c r="C43" s="1534" t="s">
        <v>1825</v>
      </c>
      <c r="D43" s="1520">
        <f>'WS calcu'!E806</f>
        <v>0</v>
      </c>
      <c r="E43" s="1520">
        <f>'WS calcu'!F806</f>
        <v>0</v>
      </c>
      <c r="F43" s="1520">
        <f>'WS calcu'!G806</f>
        <v>0</v>
      </c>
      <c r="G43" s="1520">
        <f>'WS calcu'!H806</f>
        <v>0</v>
      </c>
      <c r="H43" s="1520">
        <f>'WS calcu'!I806</f>
        <v>0</v>
      </c>
      <c r="I43" s="1520">
        <f>'WS calcu'!J806</f>
        <v>0</v>
      </c>
      <c r="J43" s="1520">
        <f>'WS calcu'!K806</f>
        <v>0</v>
      </c>
      <c r="K43" s="1520">
        <f>'WS calcu'!L806</f>
        <v>0</v>
      </c>
      <c r="L43" s="1520">
        <f>'WS calcu'!M806</f>
        <v>0</v>
      </c>
      <c r="M43" s="1520">
        <f>'WS calcu'!N806</f>
        <v>0</v>
      </c>
      <c r="N43" s="1521">
        <f>'WS calcu'!O806</f>
        <v>0</v>
      </c>
      <c r="O43" s="1341"/>
      <c r="P43" s="1431"/>
      <c r="Q43" s="1341"/>
      <c r="R43" s="1341"/>
      <c r="S43" s="1341"/>
      <c r="T43" s="1341"/>
      <c r="U43" s="1341"/>
      <c r="V43" s="1341"/>
      <c r="W43" s="1341"/>
      <c r="X43" s="1431"/>
      <c r="Y43" s="1431"/>
    </row>
    <row r="44" spans="2:25" ht="15" customHeight="1" outlineLevel="1" x14ac:dyDescent="0.25">
      <c r="B44" s="1341"/>
      <c r="C44" s="6764" t="s">
        <v>2016</v>
      </c>
      <c r="D44" s="6765"/>
      <c r="E44" s="6765"/>
      <c r="F44" s="6765"/>
      <c r="G44" s="6765"/>
      <c r="H44" s="6765"/>
      <c r="I44" s="6765"/>
      <c r="J44" s="6765"/>
      <c r="K44" s="6765"/>
      <c r="L44" s="6765"/>
      <c r="M44" s="6765"/>
      <c r="N44" s="6766"/>
      <c r="O44" s="1341"/>
      <c r="P44" s="1431"/>
      <c r="Q44" s="1341"/>
      <c r="R44" s="1341"/>
      <c r="S44" s="1341"/>
      <c r="T44" s="1341"/>
      <c r="U44" s="1341"/>
      <c r="V44" s="1341"/>
      <c r="W44" s="1341"/>
      <c r="X44" s="1431"/>
      <c r="Y44" s="1431"/>
    </row>
    <row r="45" spans="2:25" x14ac:dyDescent="0.25">
      <c r="B45" s="1341"/>
      <c r="C45" s="1534" t="s">
        <v>1826</v>
      </c>
      <c r="D45" s="1524">
        <f>'WS calcu'!E260</f>
        <v>0</v>
      </c>
      <c r="E45" s="1524">
        <f>'WS calcu'!F260</f>
        <v>0</v>
      </c>
      <c r="F45" s="1524">
        <f>'WS calcu'!G260</f>
        <v>0</v>
      </c>
      <c r="G45" s="1524">
        <f>'WS calcu'!H260</f>
        <v>0</v>
      </c>
      <c r="H45" s="1524">
        <f>'WS calcu'!I260</f>
        <v>0</v>
      </c>
      <c r="I45" s="1524">
        <f>'WS calcu'!J260</f>
        <v>0</v>
      </c>
      <c r="J45" s="1524">
        <f>'WS calcu'!K260</f>
        <v>0</v>
      </c>
      <c r="K45" s="1524">
        <f>'WS calcu'!L260</f>
        <v>0</v>
      </c>
      <c r="L45" s="1524">
        <f>'WS calcu'!M260</f>
        <v>0</v>
      </c>
      <c r="M45" s="1524">
        <f>'WS calcu'!N260</f>
        <v>0</v>
      </c>
      <c r="N45" s="1525">
        <f>'WS calcu'!O260</f>
        <v>0</v>
      </c>
      <c r="O45" s="1341"/>
      <c r="P45" s="1431"/>
      <c r="Q45" s="1341"/>
      <c r="R45" s="1341"/>
      <c r="S45" s="1341"/>
      <c r="T45" s="1341"/>
      <c r="U45" s="1341"/>
      <c r="V45" s="1341"/>
      <c r="W45" s="1341"/>
      <c r="X45" s="1431"/>
      <c r="Y45" s="1431"/>
    </row>
    <row r="46" spans="2:25" outlineLevel="1" x14ac:dyDescent="0.25">
      <c r="B46" s="1341"/>
      <c r="C46" s="6764" t="s">
        <v>1460</v>
      </c>
      <c r="D46" s="6765"/>
      <c r="E46" s="6765"/>
      <c r="F46" s="6765"/>
      <c r="G46" s="6765"/>
      <c r="H46" s="6765"/>
      <c r="I46" s="6765"/>
      <c r="J46" s="6765"/>
      <c r="K46" s="6765"/>
      <c r="L46" s="6765"/>
      <c r="M46" s="6765"/>
      <c r="N46" s="6766"/>
      <c r="O46" s="1341"/>
      <c r="P46" s="1431"/>
      <c r="Q46" s="1341"/>
      <c r="R46" s="1341"/>
      <c r="S46" s="1341"/>
      <c r="T46" s="1341"/>
      <c r="U46" s="1341"/>
      <c r="V46" s="1341"/>
      <c r="W46" s="1341"/>
      <c r="X46" s="1431"/>
      <c r="Y46" s="1431"/>
    </row>
    <row r="47" spans="2:25" x14ac:dyDescent="0.25">
      <c r="B47" s="1341"/>
      <c r="C47" s="1534" t="s">
        <v>1827</v>
      </c>
      <c r="D47" s="1522">
        <f>'WS calcu'!E266</f>
        <v>0</v>
      </c>
      <c r="E47" s="1522">
        <f>'WS calcu'!F266</f>
        <v>0</v>
      </c>
      <c r="F47" s="1522">
        <f>'WS calcu'!G266</f>
        <v>0</v>
      </c>
      <c r="G47" s="1522">
        <f>'WS calcu'!H266</f>
        <v>0</v>
      </c>
      <c r="H47" s="1522">
        <f>'WS calcu'!I266</f>
        <v>0</v>
      </c>
      <c r="I47" s="1522">
        <f>'WS calcu'!J266</f>
        <v>0</v>
      </c>
      <c r="J47" s="1522">
        <f>'WS calcu'!K266</f>
        <v>0</v>
      </c>
      <c r="K47" s="1522">
        <f>'WS calcu'!L266</f>
        <v>0</v>
      </c>
      <c r="L47" s="1522">
        <f>'WS calcu'!M266</f>
        <v>0</v>
      </c>
      <c r="M47" s="1522">
        <f>'WS calcu'!N266</f>
        <v>0</v>
      </c>
      <c r="N47" s="1523">
        <f>'WS calcu'!O266</f>
        <v>0</v>
      </c>
      <c r="O47" s="1341"/>
      <c r="P47" s="1431"/>
      <c r="Q47" s="1341"/>
      <c r="R47" s="1341"/>
      <c r="S47" s="1341"/>
      <c r="T47" s="1341"/>
      <c r="U47" s="1341"/>
      <c r="V47" s="1341"/>
      <c r="W47" s="1341"/>
      <c r="X47" s="1431"/>
      <c r="Y47" s="1431"/>
    </row>
    <row r="48" spans="2:25" outlineLevel="1" x14ac:dyDescent="0.25">
      <c r="B48" s="1341"/>
      <c r="C48" s="6764" t="s">
        <v>1461</v>
      </c>
      <c r="D48" s="6765"/>
      <c r="E48" s="6765"/>
      <c r="F48" s="6765"/>
      <c r="G48" s="6765"/>
      <c r="H48" s="6765"/>
      <c r="I48" s="6765"/>
      <c r="J48" s="6765"/>
      <c r="K48" s="6765"/>
      <c r="L48" s="6765"/>
      <c r="M48" s="6765"/>
      <c r="N48" s="6766"/>
      <c r="O48" s="1341"/>
      <c r="P48" s="1431"/>
      <c r="Q48" s="1341"/>
      <c r="R48" s="1341"/>
      <c r="S48" s="1341"/>
      <c r="T48" s="1341"/>
      <c r="U48" s="1341"/>
      <c r="V48" s="1341"/>
      <c r="W48" s="1341"/>
      <c r="X48" s="1431"/>
      <c r="Y48" s="1431"/>
    </row>
    <row r="49" spans="2:25" ht="21" customHeight="1" x14ac:dyDescent="0.25">
      <c r="B49" s="1341"/>
      <c r="C49" s="1543" t="s">
        <v>735</v>
      </c>
      <c r="D49" s="1443"/>
      <c r="E49" s="1443"/>
      <c r="F49" s="1443"/>
      <c r="G49" s="1443"/>
      <c r="H49" s="1443"/>
      <c r="I49" s="1443"/>
      <c r="J49" s="1443"/>
      <c r="K49" s="1443"/>
      <c r="L49" s="1443"/>
      <c r="M49" s="1443"/>
      <c r="N49" s="1444"/>
      <c r="O49" s="1341"/>
      <c r="P49" s="1431"/>
      <c r="Q49" s="1352"/>
      <c r="R49" s="1482" t="s">
        <v>1534</v>
      </c>
      <c r="S49" s="1483" t="s">
        <v>2064</v>
      </c>
      <c r="T49" s="1479" t="s">
        <v>817</v>
      </c>
      <c r="U49" s="1480" t="s">
        <v>905</v>
      </c>
      <c r="V49" s="1481" t="s">
        <v>818</v>
      </c>
      <c r="W49" s="1352"/>
      <c r="X49" s="1431"/>
      <c r="Y49" s="1431"/>
    </row>
    <row r="50" spans="2:25" x14ac:dyDescent="0.25">
      <c r="B50" s="1341"/>
      <c r="C50" s="1510" t="s">
        <v>2015</v>
      </c>
      <c r="D50" s="1511">
        <f>'WS calcu'!E32</f>
        <v>0</v>
      </c>
      <c r="E50" s="1511">
        <f>'WS calcu'!F32</f>
        <v>0</v>
      </c>
      <c r="F50" s="1511">
        <f>'WS calcu'!G32</f>
        <v>0</v>
      </c>
      <c r="G50" s="1511">
        <f>'WS calcu'!H32</f>
        <v>0</v>
      </c>
      <c r="H50" s="1511">
        <f>'WS calcu'!I32</f>
        <v>0</v>
      </c>
      <c r="I50" s="1511">
        <f>'WS calcu'!J32</f>
        <v>0</v>
      </c>
      <c r="J50" s="1511">
        <f>'WS calcu'!K32</f>
        <v>0</v>
      </c>
      <c r="K50" s="1511">
        <f>'WS calcu'!L32</f>
        <v>0</v>
      </c>
      <c r="L50" s="1511">
        <f>'WS calcu'!M32</f>
        <v>0</v>
      </c>
      <c r="M50" s="1511">
        <f>'WS calcu'!N32</f>
        <v>0</v>
      </c>
      <c r="N50" s="1512">
        <f>'WS calcu'!O32</f>
        <v>0</v>
      </c>
      <c r="O50" s="1341"/>
      <c r="P50" s="1431"/>
      <c r="Q50" s="1341"/>
      <c r="R50" s="6717">
        <v>0.15</v>
      </c>
      <c r="S50" s="6718"/>
      <c r="T50" s="6719">
        <f>IF($R$17="II. CUSTOMIZE BENCHMARKS",$S50,$R50)*$AA$23</f>
        <v>0.13500000000000001</v>
      </c>
      <c r="U50" s="6720">
        <f>IF($R$17="II. CUSTOMIZE BENCHMARKS",$S50,$R50)*$AA$22</f>
        <v>7.4999999999999997E-2</v>
      </c>
      <c r="V50" s="6721">
        <f>IF($R$17="II. CUSTOMIZE BENCHMARKS",$S50,$R50)*$AA$21</f>
        <v>0</v>
      </c>
      <c r="W50" s="1341"/>
      <c r="X50" s="1431"/>
      <c r="Y50" s="1431"/>
    </row>
    <row r="51" spans="2:25" outlineLevel="1" x14ac:dyDescent="0.25">
      <c r="B51" s="1341"/>
      <c r="C51" s="6770" t="s">
        <v>2017</v>
      </c>
      <c r="D51" s="6768"/>
      <c r="E51" s="6768"/>
      <c r="F51" s="6768"/>
      <c r="G51" s="6768"/>
      <c r="H51" s="6768"/>
      <c r="I51" s="6768"/>
      <c r="J51" s="6768"/>
      <c r="K51" s="6768"/>
      <c r="L51" s="6768"/>
      <c r="M51" s="6768"/>
      <c r="N51" s="6769"/>
      <c r="O51" s="1341"/>
      <c r="P51" s="1431"/>
      <c r="Q51" s="1341"/>
      <c r="R51" s="6710"/>
      <c r="S51" s="6712"/>
      <c r="T51" s="6705"/>
      <c r="U51" s="6707"/>
      <c r="V51" s="6709"/>
      <c r="W51" s="1341"/>
      <c r="X51" s="1431"/>
      <c r="Y51" s="1431"/>
    </row>
    <row r="52" spans="2:25" x14ac:dyDescent="0.25">
      <c r="B52" s="1341"/>
      <c r="C52" s="1510" t="s">
        <v>1855</v>
      </c>
      <c r="D52" s="1511">
        <f>'WS calcu'!E296</f>
        <v>0</v>
      </c>
      <c r="E52" s="1511">
        <f>'WS calcu'!F296</f>
        <v>0</v>
      </c>
      <c r="F52" s="1511">
        <f>'WS calcu'!G296</f>
        <v>0</v>
      </c>
      <c r="G52" s="1511">
        <f>'WS calcu'!H296</f>
        <v>0</v>
      </c>
      <c r="H52" s="1511">
        <f>'WS calcu'!I296</f>
        <v>0</v>
      </c>
      <c r="I52" s="1511">
        <f>'WS calcu'!J296</f>
        <v>0</v>
      </c>
      <c r="J52" s="1511">
        <f>'WS calcu'!K296</f>
        <v>0</v>
      </c>
      <c r="K52" s="1511">
        <f>'WS calcu'!L296</f>
        <v>0</v>
      </c>
      <c r="L52" s="1511">
        <f>'WS calcu'!M296</f>
        <v>0</v>
      </c>
      <c r="M52" s="1511">
        <f>'WS calcu'!N296</f>
        <v>0</v>
      </c>
      <c r="N52" s="1512">
        <f>'WS calcu'!O296</f>
        <v>0</v>
      </c>
      <c r="O52" s="1341"/>
      <c r="P52" s="1431"/>
      <c r="Q52" s="1341"/>
      <c r="R52" s="6756">
        <v>1</v>
      </c>
      <c r="S52" s="6757"/>
      <c r="T52" s="6704">
        <f>IF($R$17="II. CUSTOMIZE BENCHMARKS",$S52,$R52)*$AA$21</f>
        <v>0</v>
      </c>
      <c r="U52" s="6706">
        <f>IF($R$17="II. CUSTOMIZE BENCHMARKS",$S52,$R52)*$AA$22</f>
        <v>0.5</v>
      </c>
      <c r="V52" s="6708">
        <f>IF($R$17="II. CUSTOMIZE BENCHMARKS",$S52,$R52)*$AA$23</f>
        <v>0.9</v>
      </c>
      <c r="W52" s="1341"/>
      <c r="X52" s="1431"/>
      <c r="Y52" s="1431"/>
    </row>
    <row r="53" spans="2:25" outlineLevel="1" x14ac:dyDescent="0.25">
      <c r="B53" s="1341"/>
      <c r="C53" s="6767" t="s">
        <v>2018</v>
      </c>
      <c r="D53" s="6768"/>
      <c r="E53" s="6768"/>
      <c r="F53" s="6768"/>
      <c r="G53" s="6768"/>
      <c r="H53" s="6768"/>
      <c r="I53" s="6768"/>
      <c r="J53" s="6768"/>
      <c r="K53" s="6768"/>
      <c r="L53" s="6768"/>
      <c r="M53" s="6768"/>
      <c r="N53" s="6769"/>
      <c r="O53" s="1341"/>
      <c r="P53" s="1431"/>
      <c r="Q53" s="1352"/>
      <c r="R53" s="6758"/>
      <c r="S53" s="6759"/>
      <c r="T53" s="6705"/>
      <c r="U53" s="6707"/>
      <c r="V53" s="6709"/>
      <c r="W53" s="1352"/>
      <c r="X53" s="1431"/>
      <c r="Y53" s="1431"/>
    </row>
    <row r="54" spans="2:25" x14ac:dyDescent="0.25">
      <c r="B54" s="1341"/>
      <c r="C54" s="1510" t="s">
        <v>802</v>
      </c>
      <c r="D54" s="1511">
        <f>'WS calcu'!E264</f>
        <v>0</v>
      </c>
      <c r="E54" s="1511">
        <f>'WS calcu'!F264</f>
        <v>0</v>
      </c>
      <c r="F54" s="1511">
        <f>'WS calcu'!G264</f>
        <v>0</v>
      </c>
      <c r="G54" s="1511">
        <f>'WS calcu'!H264</f>
        <v>0</v>
      </c>
      <c r="H54" s="1511">
        <f>'WS calcu'!I264</f>
        <v>0</v>
      </c>
      <c r="I54" s="1511">
        <f>'WS calcu'!J264</f>
        <v>0</v>
      </c>
      <c r="J54" s="1511">
        <f>'WS calcu'!K264</f>
        <v>0</v>
      </c>
      <c r="K54" s="1511">
        <f>'WS calcu'!L264</f>
        <v>0</v>
      </c>
      <c r="L54" s="1511">
        <f>'WS calcu'!M264</f>
        <v>0</v>
      </c>
      <c r="M54" s="1511">
        <f>'WS calcu'!N264</f>
        <v>0</v>
      </c>
      <c r="N54" s="1512">
        <f>'WS calcu'!O264</f>
        <v>0</v>
      </c>
      <c r="O54" s="1341"/>
      <c r="P54" s="1431"/>
      <c r="Q54" s="1352"/>
      <c r="R54" s="6756">
        <v>0.8</v>
      </c>
      <c r="S54" s="6757"/>
      <c r="T54" s="6704">
        <f>IF($R$17="II. CUSTOMIZE BENCHMARKS",$S54,$R54)*$AA$21</f>
        <v>0</v>
      </c>
      <c r="U54" s="6706">
        <f>IF($R$17="II. CUSTOMIZE BENCHMARKS",$S54,$R54)*$AA$22</f>
        <v>0.4</v>
      </c>
      <c r="V54" s="6708">
        <f>IF($R$17="II. CUSTOMIZE BENCHMARKS",$S54,$R54)*$AA$23</f>
        <v>0.72000000000000008</v>
      </c>
      <c r="W54" s="1352"/>
      <c r="X54" s="1431"/>
      <c r="Y54" s="1431"/>
    </row>
    <row r="55" spans="2:25" outlineLevel="1" x14ac:dyDescent="0.25">
      <c r="B55" s="1341"/>
      <c r="C55" s="6767" t="s">
        <v>3810</v>
      </c>
      <c r="D55" s="6768"/>
      <c r="E55" s="6768"/>
      <c r="F55" s="6768"/>
      <c r="G55" s="6768"/>
      <c r="H55" s="6768"/>
      <c r="I55" s="6768"/>
      <c r="J55" s="6768"/>
      <c r="K55" s="6768"/>
      <c r="L55" s="6768"/>
      <c r="M55" s="6768"/>
      <c r="N55" s="6769"/>
      <c r="O55" s="1341"/>
      <c r="P55" s="1431"/>
      <c r="Q55" s="1341"/>
      <c r="R55" s="6711"/>
      <c r="S55" s="6713"/>
      <c r="T55" s="6714"/>
      <c r="U55" s="6715"/>
      <c r="V55" s="6716"/>
      <c r="W55" s="1341"/>
      <c r="X55" s="1431"/>
      <c r="Y55" s="1431"/>
    </row>
    <row r="56" spans="2:25" x14ac:dyDescent="0.25">
      <c r="B56" s="1341"/>
      <c r="C56" s="1550" t="s">
        <v>1828</v>
      </c>
      <c r="D56" s="1456">
        <f>'WS calcu'!E9</f>
        <v>0</v>
      </c>
      <c r="E56" s="1456">
        <f>'WS calcu'!F9</f>
        <v>0</v>
      </c>
      <c r="F56" s="1456">
        <f>'WS calcu'!G9</f>
        <v>0</v>
      </c>
      <c r="G56" s="1456">
        <f>'WS calcu'!H9</f>
        <v>0</v>
      </c>
      <c r="H56" s="1456">
        <f>'WS calcu'!I9</f>
        <v>0</v>
      </c>
      <c r="I56" s="1456">
        <f>'WS calcu'!J9</f>
        <v>0</v>
      </c>
      <c r="J56" s="1456">
        <f>'WS calcu'!K9</f>
        <v>0</v>
      </c>
      <c r="K56" s="1456">
        <f>'WS calcu'!L9</f>
        <v>0</v>
      </c>
      <c r="L56" s="1456">
        <f>'WS calcu'!M9</f>
        <v>0</v>
      </c>
      <c r="M56" s="1456">
        <f>'WS calcu'!N9</f>
        <v>0</v>
      </c>
      <c r="N56" s="1457">
        <f>'WS calcu'!O9</f>
        <v>0</v>
      </c>
      <c r="O56" s="1341"/>
      <c r="P56" s="1431"/>
      <c r="Q56" s="1352"/>
      <c r="R56" s="1486"/>
      <c r="S56" s="1486"/>
      <c r="T56" s="1486"/>
      <c r="U56" s="1486"/>
      <c r="V56" s="1486"/>
      <c r="W56" s="1352"/>
      <c r="X56" s="1431"/>
      <c r="Y56" s="1431"/>
    </row>
    <row r="57" spans="2:25" outlineLevel="1" x14ac:dyDescent="0.25">
      <c r="B57" s="1341"/>
      <c r="C57" s="6771" t="s">
        <v>2019</v>
      </c>
      <c r="D57" s="6772"/>
      <c r="E57" s="6772"/>
      <c r="F57" s="6772"/>
      <c r="G57" s="6772"/>
      <c r="H57" s="6772"/>
      <c r="I57" s="6772"/>
      <c r="J57" s="6772"/>
      <c r="K57" s="6772"/>
      <c r="L57" s="6772"/>
      <c r="M57" s="6772"/>
      <c r="N57" s="6773"/>
      <c r="O57" s="1341"/>
      <c r="P57" s="1431"/>
      <c r="Q57" s="1341"/>
      <c r="R57" s="1341"/>
      <c r="S57" s="1341"/>
      <c r="T57" s="1341"/>
      <c r="U57" s="1341"/>
      <c r="V57" s="1341"/>
      <c r="W57" s="1341"/>
      <c r="X57" s="1431"/>
      <c r="Y57" s="1431"/>
    </row>
    <row r="58" spans="2:25" x14ac:dyDescent="0.25">
      <c r="B58" s="1341"/>
      <c r="C58" s="1550" t="s">
        <v>1829</v>
      </c>
      <c r="D58" s="1456">
        <f>'WS calcu'!E23</f>
        <v>0</v>
      </c>
      <c r="E58" s="1456">
        <f>'WS calcu'!F23</f>
        <v>0</v>
      </c>
      <c r="F58" s="1456">
        <f>'WS calcu'!G23</f>
        <v>0</v>
      </c>
      <c r="G58" s="1456">
        <f>'WS calcu'!H23</f>
        <v>0</v>
      </c>
      <c r="H58" s="1456">
        <f>'WS calcu'!I23</f>
        <v>0</v>
      </c>
      <c r="I58" s="1456">
        <f>'WS calcu'!J23</f>
        <v>0</v>
      </c>
      <c r="J58" s="1456">
        <f>'WS calcu'!K23</f>
        <v>0</v>
      </c>
      <c r="K58" s="1456">
        <f>'WS calcu'!L23</f>
        <v>0</v>
      </c>
      <c r="L58" s="1456">
        <f>'WS calcu'!M23</f>
        <v>0</v>
      </c>
      <c r="M58" s="1456">
        <f>'WS calcu'!N23</f>
        <v>0</v>
      </c>
      <c r="N58" s="1457">
        <f>'WS calcu'!O23</f>
        <v>0</v>
      </c>
      <c r="O58" s="1341"/>
      <c r="P58" s="1431"/>
      <c r="Q58" s="1341"/>
      <c r="R58" s="1341"/>
      <c r="S58" s="1341"/>
      <c r="T58" s="1341"/>
      <c r="U58" s="1341"/>
      <c r="V58" s="1341"/>
      <c r="W58" s="1341"/>
      <c r="X58" s="1431"/>
      <c r="Y58" s="1431"/>
    </row>
    <row r="59" spans="2:25" outlineLevel="1" x14ac:dyDescent="0.25">
      <c r="B59" s="1341"/>
      <c r="C59" s="6771" t="s">
        <v>2020</v>
      </c>
      <c r="D59" s="6772"/>
      <c r="E59" s="6772"/>
      <c r="F59" s="6772"/>
      <c r="G59" s="6772"/>
      <c r="H59" s="6772"/>
      <c r="I59" s="6772"/>
      <c r="J59" s="6772"/>
      <c r="K59" s="6772"/>
      <c r="L59" s="6772"/>
      <c r="M59" s="6772"/>
      <c r="N59" s="6773"/>
      <c r="O59" s="1341"/>
      <c r="P59" s="1431"/>
      <c r="Q59" s="1341"/>
      <c r="R59" s="1341"/>
      <c r="S59" s="1341"/>
      <c r="T59" s="1341"/>
      <c r="U59" s="1341"/>
      <c r="V59" s="1341"/>
      <c r="W59" s="1341"/>
      <c r="X59" s="1431"/>
      <c r="Y59" s="1431"/>
    </row>
    <row r="60" spans="2:25" x14ac:dyDescent="0.25">
      <c r="B60" s="1341"/>
      <c r="C60" s="1550" t="s">
        <v>1830</v>
      </c>
      <c r="D60" s="1456">
        <f>'WS calcu'!E25</f>
        <v>0</v>
      </c>
      <c r="E60" s="1456">
        <f>'WS calcu'!F25</f>
        <v>0</v>
      </c>
      <c r="F60" s="1456">
        <f>'WS calcu'!G25</f>
        <v>0</v>
      </c>
      <c r="G60" s="1456">
        <f>'WS calcu'!H25</f>
        <v>0</v>
      </c>
      <c r="H60" s="1456">
        <f>'WS calcu'!I25</f>
        <v>0</v>
      </c>
      <c r="I60" s="1456">
        <f>'WS calcu'!J25</f>
        <v>0</v>
      </c>
      <c r="J60" s="1456">
        <f>'WS calcu'!K25</f>
        <v>0</v>
      </c>
      <c r="K60" s="1456">
        <f>'WS calcu'!L25</f>
        <v>0</v>
      </c>
      <c r="L60" s="1456">
        <f>'WS calcu'!M25</f>
        <v>0</v>
      </c>
      <c r="M60" s="1456">
        <f>'WS calcu'!N25</f>
        <v>0</v>
      </c>
      <c r="N60" s="1457">
        <f>'WS calcu'!O25</f>
        <v>0</v>
      </c>
      <c r="O60" s="1341"/>
      <c r="P60" s="1431"/>
      <c r="Q60" s="1341"/>
      <c r="R60" s="1341"/>
      <c r="S60" s="1341"/>
      <c r="T60" s="1341"/>
      <c r="U60" s="1341"/>
      <c r="V60" s="1341"/>
      <c r="W60" s="1341"/>
      <c r="X60" s="1431"/>
      <c r="Y60" s="1431"/>
    </row>
    <row r="61" spans="2:25" ht="29.25" customHeight="1" outlineLevel="1" x14ac:dyDescent="0.25">
      <c r="B61" s="1341"/>
      <c r="C61" s="6771" t="s">
        <v>2021</v>
      </c>
      <c r="D61" s="6772"/>
      <c r="E61" s="6772"/>
      <c r="F61" s="6772"/>
      <c r="G61" s="6772"/>
      <c r="H61" s="6772"/>
      <c r="I61" s="6772"/>
      <c r="J61" s="6772"/>
      <c r="K61" s="6772"/>
      <c r="L61" s="6772"/>
      <c r="M61" s="6772"/>
      <c r="N61" s="6773"/>
      <c r="O61" s="1341"/>
      <c r="P61" s="1431"/>
      <c r="Q61" s="1341"/>
      <c r="R61" s="1341"/>
      <c r="S61" s="1341"/>
      <c r="T61" s="1341"/>
      <c r="U61" s="1341"/>
      <c r="V61" s="1341"/>
      <c r="W61" s="1341"/>
      <c r="X61" s="1431"/>
      <c r="Y61" s="1431"/>
    </row>
    <row r="62" spans="2:25" x14ac:dyDescent="0.25">
      <c r="B62" s="1341"/>
      <c r="C62" s="1550" t="s">
        <v>1831</v>
      </c>
      <c r="D62" s="1456">
        <f>'WS calcu'!E297</f>
        <v>0</v>
      </c>
      <c r="E62" s="1456">
        <f>'WS calcu'!F297</f>
        <v>0</v>
      </c>
      <c r="F62" s="1456">
        <f>'WS calcu'!G297</f>
        <v>0</v>
      </c>
      <c r="G62" s="1456">
        <f>'WS calcu'!H297</f>
        <v>0</v>
      </c>
      <c r="H62" s="1456">
        <f>'WS calcu'!I297</f>
        <v>0</v>
      </c>
      <c r="I62" s="1456">
        <f>'WS calcu'!J297</f>
        <v>0</v>
      </c>
      <c r="J62" s="1456">
        <f>'WS calcu'!K297</f>
        <v>0</v>
      </c>
      <c r="K62" s="1456">
        <f>'WS calcu'!L297</f>
        <v>0</v>
      </c>
      <c r="L62" s="1456">
        <f>'WS calcu'!M297</f>
        <v>0</v>
      </c>
      <c r="M62" s="1456">
        <f>'WS calcu'!N297</f>
        <v>0</v>
      </c>
      <c r="N62" s="1457">
        <f>'WS calcu'!O297</f>
        <v>0</v>
      </c>
      <c r="O62" s="1341"/>
      <c r="P62" s="1431"/>
      <c r="Q62" s="1341"/>
      <c r="R62" s="1341"/>
      <c r="S62" s="1341"/>
      <c r="T62" s="1341"/>
      <c r="U62" s="1341"/>
      <c r="V62" s="1341"/>
      <c r="W62" s="1341"/>
      <c r="X62" s="1431"/>
      <c r="Y62" s="1431"/>
    </row>
    <row r="63" spans="2:25" s="1343" customFormat="1" outlineLevel="1" x14ac:dyDescent="0.25">
      <c r="B63" s="1352"/>
      <c r="C63" s="6771" t="s">
        <v>1857</v>
      </c>
      <c r="D63" s="6772"/>
      <c r="E63" s="6772"/>
      <c r="F63" s="6772"/>
      <c r="G63" s="6772"/>
      <c r="H63" s="6772"/>
      <c r="I63" s="6772"/>
      <c r="J63" s="6772"/>
      <c r="K63" s="6772"/>
      <c r="L63" s="6772"/>
      <c r="M63" s="6772"/>
      <c r="N63" s="6773"/>
      <c r="O63" s="1352"/>
      <c r="P63" s="1431"/>
      <c r="Q63" s="1341"/>
      <c r="R63" s="1341"/>
      <c r="S63" s="1341"/>
      <c r="T63" s="1341"/>
      <c r="U63" s="1341"/>
      <c r="V63" s="1341"/>
      <c r="W63" s="1341"/>
      <c r="X63" s="1431"/>
      <c r="Y63" s="1431"/>
    </row>
    <row r="64" spans="2:25" ht="21" customHeight="1" x14ac:dyDescent="0.25">
      <c r="B64" s="1341"/>
      <c r="C64" s="1543" t="s">
        <v>1045</v>
      </c>
      <c r="D64" s="1443"/>
      <c r="E64" s="1443"/>
      <c r="F64" s="1443"/>
      <c r="G64" s="1443"/>
      <c r="H64" s="1443"/>
      <c r="I64" s="1443"/>
      <c r="J64" s="1443"/>
      <c r="K64" s="1443"/>
      <c r="L64" s="1443"/>
      <c r="M64" s="1443"/>
      <c r="N64" s="1444"/>
      <c r="O64" s="1341"/>
      <c r="P64" s="1431"/>
      <c r="Q64" s="1352"/>
      <c r="R64" s="1482" t="s">
        <v>1534</v>
      </c>
      <c r="S64" s="1483" t="s">
        <v>2064</v>
      </c>
      <c r="T64" s="1479" t="s">
        <v>817</v>
      </c>
      <c r="U64" s="1480" t="s">
        <v>905</v>
      </c>
      <c r="V64" s="1481" t="s">
        <v>818</v>
      </c>
      <c r="W64" s="1352"/>
      <c r="X64" s="1431"/>
      <c r="Y64" s="1431"/>
    </row>
    <row r="65" spans="2:25" x14ac:dyDescent="0.25">
      <c r="B65" s="1341"/>
      <c r="C65" s="1510" t="s">
        <v>1463</v>
      </c>
      <c r="D65" s="1511">
        <f>'WS calcu'!E651</f>
        <v>0</v>
      </c>
      <c r="E65" s="1511">
        <f>'WS calcu'!F651</f>
        <v>0</v>
      </c>
      <c r="F65" s="1511">
        <f>'WS calcu'!G651</f>
        <v>0</v>
      </c>
      <c r="G65" s="1511">
        <f>'WS calcu'!H651</f>
        <v>0</v>
      </c>
      <c r="H65" s="1511">
        <f>'WS calcu'!I651</f>
        <v>0</v>
      </c>
      <c r="I65" s="1511">
        <f>'WS calcu'!J651</f>
        <v>0</v>
      </c>
      <c r="J65" s="1511">
        <f>'WS calcu'!K651</f>
        <v>0</v>
      </c>
      <c r="K65" s="1511">
        <f>'WS calcu'!L651</f>
        <v>0</v>
      </c>
      <c r="L65" s="1511">
        <f>'WS calcu'!M651</f>
        <v>0</v>
      </c>
      <c r="M65" s="1511">
        <f>'WS calcu'!N651</f>
        <v>0</v>
      </c>
      <c r="N65" s="1512">
        <f>'WS calcu'!O651</f>
        <v>0</v>
      </c>
      <c r="O65" s="1352"/>
      <c r="P65" s="1431"/>
      <c r="Q65" s="1341"/>
      <c r="R65" s="6717">
        <v>0.9</v>
      </c>
      <c r="S65" s="6718"/>
      <c r="T65" s="6719">
        <f>IF($R$17="II. CUSTOMIZE BENCHMARKS",$S65,$R65)*$AA$21</f>
        <v>0</v>
      </c>
      <c r="U65" s="6720">
        <f>IF($R$17="II. CUSTOMIZE BENCHMARKS",$S65,$R65)*$AA$22</f>
        <v>0.45</v>
      </c>
      <c r="V65" s="6721">
        <f>IF($R$17="II. CUSTOMIZE BENCHMARKS",$S65,$R65)*$AA$23</f>
        <v>0.81</v>
      </c>
      <c r="W65" s="1445"/>
      <c r="X65" s="1431"/>
      <c r="Y65" s="1431"/>
    </row>
    <row r="66" spans="2:25" outlineLevel="1" x14ac:dyDescent="0.25">
      <c r="B66" s="1341"/>
      <c r="C66" s="6767" t="s">
        <v>2022</v>
      </c>
      <c r="D66" s="6768"/>
      <c r="E66" s="6768"/>
      <c r="F66" s="6768"/>
      <c r="G66" s="6768"/>
      <c r="H66" s="6768"/>
      <c r="I66" s="6768"/>
      <c r="J66" s="6768"/>
      <c r="K66" s="6768"/>
      <c r="L66" s="6768"/>
      <c r="M66" s="6768"/>
      <c r="N66" s="6769"/>
      <c r="O66" s="1352"/>
      <c r="P66" s="1431"/>
      <c r="Q66" s="1341"/>
      <c r="R66" s="6710"/>
      <c r="S66" s="6712"/>
      <c r="T66" s="6751"/>
      <c r="U66" s="6707"/>
      <c r="V66" s="6709"/>
      <c r="W66" s="1341"/>
      <c r="X66" s="1431"/>
      <c r="Y66" s="1431"/>
    </row>
    <row r="67" spans="2:25" x14ac:dyDescent="0.25">
      <c r="B67" s="1341"/>
      <c r="C67" s="1515" t="s">
        <v>1329</v>
      </c>
      <c r="D67" s="1511">
        <f>'WS calcu'!E672</f>
        <v>0</v>
      </c>
      <c r="E67" s="1511">
        <f>'WS calcu'!F672</f>
        <v>0</v>
      </c>
      <c r="F67" s="1511">
        <f>'WS calcu'!G672</f>
        <v>0</v>
      </c>
      <c r="G67" s="1511">
        <f>'WS calcu'!H672</f>
        <v>0</v>
      </c>
      <c r="H67" s="1511">
        <f>'WS calcu'!I672</f>
        <v>0</v>
      </c>
      <c r="I67" s="1511">
        <f>'WS calcu'!J672</f>
        <v>0</v>
      </c>
      <c r="J67" s="1511">
        <f>'WS calcu'!K672</f>
        <v>0</v>
      </c>
      <c r="K67" s="1511">
        <f>'WS calcu'!L672</f>
        <v>0</v>
      </c>
      <c r="L67" s="1511">
        <f>'WS calcu'!M672</f>
        <v>0</v>
      </c>
      <c r="M67" s="1511">
        <f>'WS calcu'!N672</f>
        <v>0</v>
      </c>
      <c r="N67" s="1512">
        <f>'WS calcu'!O672</f>
        <v>0</v>
      </c>
      <c r="O67" s="1352"/>
      <c r="P67" s="1431"/>
      <c r="Q67" s="1341"/>
      <c r="R67" s="6702">
        <v>1</v>
      </c>
      <c r="S67" s="6703"/>
      <c r="T67" s="6704">
        <f>IF($R$17="II. CUSTOMIZE BENCHMARKS",$S67,$R67)*$AA$21</f>
        <v>0</v>
      </c>
      <c r="U67" s="6706">
        <f>IF($R$17="II. CUSTOMIZE BENCHMARKS",$S67,$R67)*$AA$22</f>
        <v>0.5</v>
      </c>
      <c r="V67" s="6708">
        <f>IF($R$17="II. CUSTOMIZE BENCHMARKS",$S67,$R67)*$AA$23</f>
        <v>0.9</v>
      </c>
      <c r="W67" s="1341"/>
      <c r="X67" s="1431"/>
      <c r="Y67" s="1431"/>
    </row>
    <row r="68" spans="2:25" outlineLevel="1" x14ac:dyDescent="0.25">
      <c r="B68" s="1341"/>
      <c r="C68" s="6767" t="s">
        <v>1858</v>
      </c>
      <c r="D68" s="6768"/>
      <c r="E68" s="6768"/>
      <c r="F68" s="6768"/>
      <c r="G68" s="6768"/>
      <c r="H68" s="6768"/>
      <c r="I68" s="6768"/>
      <c r="J68" s="6768"/>
      <c r="K68" s="6768"/>
      <c r="L68" s="6768"/>
      <c r="M68" s="6768"/>
      <c r="N68" s="6769"/>
      <c r="O68" s="1352"/>
      <c r="P68" s="1431"/>
      <c r="Q68" s="1341"/>
      <c r="R68" s="6732"/>
      <c r="S68" s="6733"/>
      <c r="T68" s="6714"/>
      <c r="U68" s="6715"/>
      <c r="V68" s="6716"/>
      <c r="W68" s="1352"/>
      <c r="X68" s="1431"/>
      <c r="Y68" s="1431"/>
    </row>
    <row r="69" spans="2:25" x14ac:dyDescent="0.25">
      <c r="B69" s="1341"/>
      <c r="C69" s="1534" t="s">
        <v>2023</v>
      </c>
      <c r="D69" s="1458">
        <f>'WS calcu'!E673</f>
        <v>0</v>
      </c>
      <c r="E69" s="1458">
        <f>'WS calcu'!F673</f>
        <v>0</v>
      </c>
      <c r="F69" s="1458">
        <f>'WS calcu'!G673</f>
        <v>0</v>
      </c>
      <c r="G69" s="1458">
        <f>'WS calcu'!H673</f>
        <v>0</v>
      </c>
      <c r="H69" s="1458">
        <f>'WS calcu'!I673</f>
        <v>0</v>
      </c>
      <c r="I69" s="1458">
        <f>'WS calcu'!J673</f>
        <v>0</v>
      </c>
      <c r="J69" s="1458">
        <f>'WS calcu'!K673</f>
        <v>0</v>
      </c>
      <c r="K69" s="1458">
        <f>'WS calcu'!L673</f>
        <v>0</v>
      </c>
      <c r="L69" s="1458">
        <f>'WS calcu'!M673</f>
        <v>0</v>
      </c>
      <c r="M69" s="1458">
        <f>'WS calcu'!N673</f>
        <v>0</v>
      </c>
      <c r="N69" s="1459">
        <f>'WS calcu'!O673</f>
        <v>0</v>
      </c>
      <c r="O69" s="1341"/>
      <c r="P69" s="1431"/>
      <c r="Q69" s="1445"/>
      <c r="R69" s="1487"/>
      <c r="S69" s="1487"/>
      <c r="T69" s="1487"/>
      <c r="U69" s="1487"/>
      <c r="V69" s="1487"/>
      <c r="W69" s="1445"/>
      <c r="X69" s="1431"/>
      <c r="Y69" s="1431"/>
    </row>
    <row r="70" spans="2:25" outlineLevel="1" x14ac:dyDescent="0.25">
      <c r="B70" s="1341"/>
      <c r="C70" s="6764" t="s">
        <v>3812</v>
      </c>
      <c r="D70" s="6765"/>
      <c r="E70" s="6765"/>
      <c r="F70" s="6765"/>
      <c r="G70" s="6765"/>
      <c r="H70" s="6765"/>
      <c r="I70" s="6765"/>
      <c r="J70" s="6765"/>
      <c r="K70" s="6765"/>
      <c r="L70" s="6765"/>
      <c r="M70" s="6765"/>
      <c r="N70" s="6766"/>
      <c r="O70" s="1446"/>
      <c r="P70" s="1431"/>
      <c r="Q70" s="1341"/>
      <c r="R70" s="1360"/>
      <c r="S70" s="1341"/>
      <c r="T70" s="1341"/>
      <c r="U70" s="1341"/>
      <c r="V70" s="1341"/>
      <c r="W70" s="1341"/>
      <c r="X70" s="1431"/>
      <c r="Y70" s="1431"/>
    </row>
    <row r="71" spans="2:25" x14ac:dyDescent="0.25">
      <c r="B71" s="1341"/>
      <c r="C71" s="1462" t="s">
        <v>1342</v>
      </c>
      <c r="D71" s="1458">
        <f>'WS calcu'!E674</f>
        <v>0</v>
      </c>
      <c r="E71" s="1458">
        <f>'WS calcu'!F674</f>
        <v>0</v>
      </c>
      <c r="F71" s="1458">
        <f>'WS calcu'!G674</f>
        <v>0</v>
      </c>
      <c r="G71" s="1458">
        <f>'WS calcu'!H674</f>
        <v>0</v>
      </c>
      <c r="H71" s="1458">
        <f>'WS calcu'!I674</f>
        <v>0</v>
      </c>
      <c r="I71" s="1458">
        <f>'WS calcu'!J674</f>
        <v>0</v>
      </c>
      <c r="J71" s="1458">
        <f>'WS calcu'!K674</f>
        <v>0</v>
      </c>
      <c r="K71" s="1458">
        <f>'WS calcu'!L674</f>
        <v>0</v>
      </c>
      <c r="L71" s="1458">
        <f>'WS calcu'!M674</f>
        <v>0</v>
      </c>
      <c r="M71" s="1458">
        <f>'WS calcu'!N674</f>
        <v>0</v>
      </c>
      <c r="N71" s="1459">
        <f>'WS calcu'!O674</f>
        <v>0</v>
      </c>
      <c r="O71" s="1341"/>
      <c r="P71" s="1431"/>
      <c r="Q71" s="1341"/>
      <c r="R71" s="1341"/>
      <c r="S71" s="1341"/>
      <c r="T71" s="1341"/>
      <c r="U71" s="1341"/>
      <c r="V71" s="1341"/>
      <c r="W71" s="1341"/>
      <c r="X71" s="1431"/>
      <c r="Y71" s="1431"/>
    </row>
    <row r="72" spans="2:25" outlineLevel="1" x14ac:dyDescent="0.25">
      <c r="B72" s="1341"/>
      <c r="C72" s="6764" t="s">
        <v>3811</v>
      </c>
      <c r="D72" s="6765"/>
      <c r="E72" s="6765"/>
      <c r="F72" s="6765"/>
      <c r="G72" s="6765"/>
      <c r="H72" s="6765"/>
      <c r="I72" s="6765"/>
      <c r="J72" s="6765"/>
      <c r="K72" s="6765"/>
      <c r="L72" s="6765"/>
      <c r="M72" s="6765"/>
      <c r="N72" s="6766"/>
      <c r="O72" s="1341"/>
      <c r="P72" s="1431"/>
      <c r="Q72" s="1341"/>
      <c r="R72" s="1341"/>
      <c r="S72" s="1341"/>
      <c r="T72" s="1341"/>
      <c r="U72" s="1341"/>
      <c r="V72" s="1341"/>
      <c r="W72" s="1341"/>
      <c r="X72" s="1431"/>
      <c r="Y72" s="1431"/>
    </row>
    <row r="73" spans="2:25" x14ac:dyDescent="0.25">
      <c r="B73" s="1341"/>
      <c r="C73" s="1462" t="s">
        <v>1343</v>
      </c>
      <c r="D73" s="1458">
        <f>'WS calcu'!E675</f>
        <v>0</v>
      </c>
      <c r="E73" s="1458">
        <f>'WS calcu'!F675</f>
        <v>0</v>
      </c>
      <c r="F73" s="1458">
        <f>'WS calcu'!G675</f>
        <v>0</v>
      </c>
      <c r="G73" s="1458">
        <f>'WS calcu'!H675</f>
        <v>0</v>
      </c>
      <c r="H73" s="1458">
        <f>'WS calcu'!I675</f>
        <v>0</v>
      </c>
      <c r="I73" s="1458">
        <f>'WS calcu'!J675</f>
        <v>0</v>
      </c>
      <c r="J73" s="1458">
        <f>'WS calcu'!K675</f>
        <v>0</v>
      </c>
      <c r="K73" s="1458">
        <f>'WS calcu'!L675</f>
        <v>0</v>
      </c>
      <c r="L73" s="1458">
        <f>'WS calcu'!M675</f>
        <v>0</v>
      </c>
      <c r="M73" s="1458">
        <f>'WS calcu'!N675</f>
        <v>0</v>
      </c>
      <c r="N73" s="1459">
        <f>'WS calcu'!O675</f>
        <v>0</v>
      </c>
      <c r="O73" s="1341"/>
      <c r="P73" s="1431"/>
      <c r="Q73" s="1341"/>
      <c r="R73" s="1341"/>
      <c r="S73" s="1341"/>
      <c r="T73" s="1341"/>
      <c r="U73" s="1341"/>
      <c r="V73" s="1341"/>
      <c r="W73" s="1341"/>
      <c r="X73" s="1431"/>
      <c r="Y73" s="1431"/>
    </row>
    <row r="74" spans="2:25" outlineLevel="1" x14ac:dyDescent="0.25">
      <c r="B74" s="1341"/>
      <c r="C74" s="6764" t="s">
        <v>3823</v>
      </c>
      <c r="D74" s="6765"/>
      <c r="E74" s="6765"/>
      <c r="F74" s="6765"/>
      <c r="G74" s="6765"/>
      <c r="H74" s="6765"/>
      <c r="I74" s="6765"/>
      <c r="J74" s="6765"/>
      <c r="K74" s="6765"/>
      <c r="L74" s="6765"/>
      <c r="M74" s="6765"/>
      <c r="N74" s="6766"/>
      <c r="O74" s="1341"/>
      <c r="P74" s="1431"/>
      <c r="Q74" s="1341"/>
      <c r="R74" s="1341"/>
      <c r="S74" s="1341"/>
      <c r="T74" s="1341"/>
      <c r="U74" s="1341"/>
      <c r="V74" s="1341"/>
      <c r="W74" s="1341"/>
      <c r="X74" s="1431"/>
      <c r="Y74" s="1431"/>
    </row>
    <row r="75" spans="2:25" x14ac:dyDescent="0.25">
      <c r="B75" s="1341"/>
      <c r="C75" s="1462" t="s">
        <v>1344</v>
      </c>
      <c r="D75" s="1456">
        <f>'WS calcu'!E666</f>
        <v>0</v>
      </c>
      <c r="E75" s="1456">
        <f>'WS calcu'!F666</f>
        <v>0</v>
      </c>
      <c r="F75" s="1456">
        <f>'WS calcu'!G666</f>
        <v>0</v>
      </c>
      <c r="G75" s="1456">
        <f>'WS calcu'!H666</f>
        <v>0</v>
      </c>
      <c r="H75" s="1456">
        <f>'WS calcu'!I666</f>
        <v>0</v>
      </c>
      <c r="I75" s="1456">
        <f>'WS calcu'!J666</f>
        <v>0</v>
      </c>
      <c r="J75" s="1456">
        <f>'WS calcu'!K666</f>
        <v>0</v>
      </c>
      <c r="K75" s="1456">
        <f>'WS calcu'!L666</f>
        <v>0</v>
      </c>
      <c r="L75" s="1456">
        <f>'WS calcu'!M666</f>
        <v>0</v>
      </c>
      <c r="M75" s="1456">
        <f>'WS calcu'!N666</f>
        <v>0</v>
      </c>
      <c r="N75" s="1457">
        <f>'WS calcu'!O666</f>
        <v>0</v>
      </c>
      <c r="O75" s="1341"/>
      <c r="P75" s="1431"/>
      <c r="Q75" s="1341"/>
      <c r="R75" s="1341"/>
      <c r="S75" s="1341"/>
      <c r="T75" s="1341"/>
      <c r="U75" s="1341"/>
      <c r="V75" s="1341"/>
      <c r="W75" s="1341"/>
      <c r="X75" s="1431"/>
      <c r="Y75" s="1431"/>
    </row>
    <row r="76" spans="2:25" outlineLevel="1" x14ac:dyDescent="0.25">
      <c r="B76" s="1341"/>
      <c r="C76" s="6764" t="s">
        <v>2024</v>
      </c>
      <c r="D76" s="6765"/>
      <c r="E76" s="6765"/>
      <c r="F76" s="6765"/>
      <c r="G76" s="6765"/>
      <c r="H76" s="6765"/>
      <c r="I76" s="6765"/>
      <c r="J76" s="6765"/>
      <c r="K76" s="6765"/>
      <c r="L76" s="6765"/>
      <c r="M76" s="6765"/>
      <c r="N76" s="6766"/>
      <c r="O76" s="1341"/>
      <c r="P76" s="1431"/>
      <c r="Q76" s="1341"/>
      <c r="R76" s="1341"/>
      <c r="S76" s="1341"/>
      <c r="T76" s="1341"/>
      <c r="U76" s="1341"/>
      <c r="V76" s="1341"/>
      <c r="W76" s="1341"/>
      <c r="X76" s="1431"/>
      <c r="Y76" s="1431"/>
    </row>
    <row r="77" spans="2:25" x14ac:dyDescent="0.25">
      <c r="B77" s="1341"/>
      <c r="C77" s="1540" t="s">
        <v>1359</v>
      </c>
      <c r="D77" s="1541">
        <f>'WS calcu'!E656</f>
        <v>0</v>
      </c>
      <c r="E77" s="1541">
        <f>'WS calcu'!F656</f>
        <v>0</v>
      </c>
      <c r="F77" s="1541">
        <f>'WS calcu'!G656</f>
        <v>0</v>
      </c>
      <c r="G77" s="1541">
        <f>'WS calcu'!H656</f>
        <v>0</v>
      </c>
      <c r="H77" s="1541">
        <f>'WS calcu'!I656</f>
        <v>0</v>
      </c>
      <c r="I77" s="1541">
        <f>'WS calcu'!J656</f>
        <v>0</v>
      </c>
      <c r="J77" s="1541">
        <f>'WS calcu'!K656</f>
        <v>0</v>
      </c>
      <c r="K77" s="1541">
        <f>'WS calcu'!L656</f>
        <v>0</v>
      </c>
      <c r="L77" s="1541">
        <f>'WS calcu'!M656</f>
        <v>0</v>
      </c>
      <c r="M77" s="1541">
        <f>'WS calcu'!N656</f>
        <v>0</v>
      </c>
      <c r="N77" s="1542">
        <f>'WS calcu'!O656</f>
        <v>0</v>
      </c>
      <c r="O77" s="1341"/>
      <c r="P77" s="1431"/>
      <c r="Q77" s="1341"/>
      <c r="R77" s="1341"/>
      <c r="S77" s="1341"/>
      <c r="T77" s="1341"/>
      <c r="U77" s="1341"/>
      <c r="V77" s="1341"/>
      <c r="W77" s="1341"/>
      <c r="X77" s="1431"/>
      <c r="Y77" s="1431"/>
    </row>
    <row r="78" spans="2:25" ht="15.75" outlineLevel="1" thickBot="1" x14ac:dyDescent="0.3">
      <c r="B78" s="1341"/>
      <c r="C78" s="6788" t="s">
        <v>2025</v>
      </c>
      <c r="D78" s="6789"/>
      <c r="E78" s="6789"/>
      <c r="F78" s="6789"/>
      <c r="G78" s="6789"/>
      <c r="H78" s="6789"/>
      <c r="I78" s="6789"/>
      <c r="J78" s="6789"/>
      <c r="K78" s="6789"/>
      <c r="L78" s="6789"/>
      <c r="M78" s="6789"/>
      <c r="N78" s="6790"/>
      <c r="O78" s="1341"/>
      <c r="P78" s="1431"/>
      <c r="Q78" s="1341"/>
      <c r="R78" s="1341"/>
      <c r="S78" s="1341"/>
      <c r="T78" s="1341"/>
      <c r="U78" s="1341"/>
      <c r="V78" s="1341"/>
      <c r="W78" s="1341"/>
      <c r="X78" s="1431"/>
      <c r="Y78" s="1431"/>
    </row>
    <row r="79" spans="2:25" x14ac:dyDescent="0.25">
      <c r="B79" s="1341"/>
      <c r="C79" s="1461"/>
      <c r="D79" s="1461"/>
      <c r="E79" s="1461"/>
      <c r="F79" s="1461"/>
      <c r="G79" s="1461"/>
      <c r="H79" s="1461"/>
      <c r="I79" s="1461"/>
      <c r="J79" s="1461"/>
      <c r="K79" s="1461"/>
      <c r="L79" s="1461"/>
      <c r="M79" s="1461"/>
      <c r="N79" s="1461"/>
      <c r="O79" s="1341"/>
      <c r="P79" s="1431"/>
      <c r="Q79" s="1341"/>
      <c r="R79" s="1341"/>
      <c r="S79" s="1341"/>
      <c r="T79" s="1341"/>
      <c r="U79" s="1341"/>
      <c r="V79" s="1341"/>
      <c r="W79" s="1341"/>
      <c r="X79" s="1431"/>
      <c r="Y79" s="1431"/>
    </row>
    <row r="80" spans="2:25" x14ac:dyDescent="0.25">
      <c r="B80" s="1341"/>
      <c r="C80" s="1341"/>
      <c r="D80" s="1341"/>
      <c r="E80" s="1341"/>
      <c r="F80" s="1341"/>
      <c r="G80" s="1341"/>
      <c r="H80" s="1341"/>
      <c r="I80" s="1341"/>
      <c r="J80" s="1341"/>
      <c r="K80" s="1341"/>
      <c r="L80" s="1341"/>
      <c r="M80" s="1341"/>
      <c r="N80" s="1341"/>
      <c r="O80" s="1341"/>
      <c r="P80" s="1431"/>
      <c r="Q80" s="1341"/>
      <c r="R80" s="1341"/>
      <c r="S80" s="1341"/>
      <c r="T80" s="1341"/>
      <c r="U80" s="1341"/>
      <c r="V80" s="1341"/>
      <c r="W80" s="1341"/>
      <c r="X80" s="1431"/>
      <c r="Y80" s="1431"/>
    </row>
    <row r="81" spans="2:25" s="1441" customFormat="1" ht="23.25" customHeight="1" x14ac:dyDescent="0.25">
      <c r="B81" s="1437" t="s">
        <v>8</v>
      </c>
      <c r="C81" s="1438" t="s">
        <v>3772</v>
      </c>
      <c r="D81" s="1439"/>
      <c r="E81" s="1440"/>
      <c r="F81" s="1439"/>
      <c r="G81" s="1439"/>
      <c r="H81" s="1439"/>
      <c r="I81" s="1439"/>
      <c r="J81" s="1439"/>
      <c r="K81" s="1439"/>
      <c r="L81" s="1439"/>
      <c r="M81" s="1439"/>
      <c r="N81" s="1439"/>
      <c r="O81" s="1439"/>
      <c r="P81" s="1431"/>
      <c r="Q81" s="1439"/>
      <c r="R81" s="6746" t="s">
        <v>1851</v>
      </c>
      <c r="S81" s="6746"/>
      <c r="T81" s="6746"/>
      <c r="U81" s="6746"/>
      <c r="V81" s="6746"/>
      <c r="W81" s="1439"/>
      <c r="X81" s="1431"/>
      <c r="Y81" s="1431"/>
    </row>
    <row r="82" spans="2:25" ht="28.5" customHeight="1" thickBot="1" x14ac:dyDescent="0.3">
      <c r="B82" s="1341"/>
      <c r="C82" s="1341"/>
      <c r="D82" s="1535"/>
      <c r="E82" s="1535"/>
      <c r="F82" s="1535"/>
      <c r="G82" s="1535"/>
      <c r="H82" s="1535"/>
      <c r="I82" s="1535"/>
      <c r="J82" s="1535"/>
      <c r="K82" s="1535"/>
      <c r="L82" s="1535"/>
      <c r="M82" s="1535"/>
      <c r="N82" s="1535"/>
      <c r="O82" s="1341"/>
      <c r="P82" s="1431"/>
      <c r="Q82" s="1341"/>
      <c r="R82" s="1341"/>
      <c r="S82" s="1341"/>
      <c r="T82" s="1341"/>
      <c r="U82" s="1341"/>
      <c r="V82" s="1341"/>
      <c r="W82" s="1341"/>
      <c r="X82" s="1431"/>
      <c r="Y82" s="1431"/>
    </row>
    <row r="83" spans="2:25" ht="22.5" customHeight="1" x14ac:dyDescent="0.25">
      <c r="B83" s="1341"/>
      <c r="C83" s="1442" t="s">
        <v>1352</v>
      </c>
      <c r="D83" s="1451">
        <f>D$220</f>
        <v>2014</v>
      </c>
      <c r="E83" s="1452">
        <f t="shared" ref="E83:N83" si="1">E$220</f>
        <v>2015</v>
      </c>
      <c r="F83" s="1452">
        <f t="shared" si="1"/>
        <v>2016</v>
      </c>
      <c r="G83" s="1452">
        <f t="shared" si="1"/>
        <v>2017</v>
      </c>
      <c r="H83" s="1452">
        <f t="shared" si="1"/>
        <v>2018</v>
      </c>
      <c r="I83" s="1452">
        <f t="shared" si="1"/>
        <v>2019</v>
      </c>
      <c r="J83" s="1452">
        <f t="shared" si="1"/>
        <v>2020</v>
      </c>
      <c r="K83" s="1452">
        <f t="shared" si="1"/>
        <v>2021</v>
      </c>
      <c r="L83" s="1452">
        <f t="shared" si="1"/>
        <v>2022</v>
      </c>
      <c r="M83" s="1452">
        <f t="shared" si="1"/>
        <v>2023</v>
      </c>
      <c r="N83" s="1453">
        <f t="shared" si="1"/>
        <v>2024</v>
      </c>
      <c r="O83" s="1341"/>
      <c r="P83" s="1431"/>
      <c r="Q83" s="1341"/>
      <c r="R83" s="1341"/>
      <c r="S83" s="1341"/>
      <c r="T83" s="1341"/>
      <c r="U83" s="1341"/>
      <c r="V83" s="1341"/>
      <c r="W83" s="1341"/>
      <c r="X83" s="1431"/>
      <c r="Y83" s="1431"/>
    </row>
    <row r="84" spans="2:25" ht="21" customHeight="1" x14ac:dyDescent="0.25">
      <c r="B84" s="1341"/>
      <c r="C84" s="1543" t="s">
        <v>565</v>
      </c>
      <c r="D84" s="1443"/>
      <c r="E84" s="1443"/>
      <c r="F84" s="1443"/>
      <c r="G84" s="1443"/>
      <c r="H84" s="1443"/>
      <c r="I84" s="1443"/>
      <c r="J84" s="1443"/>
      <c r="K84" s="1443"/>
      <c r="L84" s="1443"/>
      <c r="M84" s="1443"/>
      <c r="N84" s="1444"/>
      <c r="O84" s="1341"/>
      <c r="P84" s="1431"/>
      <c r="Q84" s="1352"/>
      <c r="R84" s="1482" t="s">
        <v>1534</v>
      </c>
      <c r="S84" s="1483" t="s">
        <v>2064</v>
      </c>
      <c r="T84" s="1479" t="s">
        <v>817</v>
      </c>
      <c r="U84" s="1480" t="s">
        <v>905</v>
      </c>
      <c r="V84" s="1481" t="s">
        <v>818</v>
      </c>
      <c r="W84" s="1352"/>
      <c r="X84" s="1431"/>
      <c r="Y84" s="1431"/>
    </row>
    <row r="85" spans="2:25" ht="30" customHeight="1" x14ac:dyDescent="0.25">
      <c r="B85" s="1341"/>
      <c r="C85" s="6028" t="s">
        <v>2978</v>
      </c>
      <c r="D85" s="1511">
        <f>'WW calcu'!E218</f>
        <v>0</v>
      </c>
      <c r="E85" s="1511">
        <f>'WW calcu'!F218</f>
        <v>0</v>
      </c>
      <c r="F85" s="1511">
        <f>'WW calcu'!G218</f>
        <v>0</v>
      </c>
      <c r="G85" s="1511">
        <f>'WW calcu'!H218</f>
        <v>0</v>
      </c>
      <c r="H85" s="1511">
        <f>'WW calcu'!I218</f>
        <v>0</v>
      </c>
      <c r="I85" s="1511">
        <f>'WW calcu'!J218</f>
        <v>0</v>
      </c>
      <c r="J85" s="1511">
        <f>'WW calcu'!K218</f>
        <v>0</v>
      </c>
      <c r="K85" s="1511">
        <f>'WW calcu'!L218</f>
        <v>0</v>
      </c>
      <c r="L85" s="1511">
        <f>'WW calcu'!M218</f>
        <v>0</v>
      </c>
      <c r="M85" s="1511">
        <f>'WW calcu'!N218</f>
        <v>0</v>
      </c>
      <c r="N85" s="1512">
        <f>'WW calcu'!O218</f>
        <v>0</v>
      </c>
      <c r="O85" s="1352"/>
      <c r="P85" s="1431"/>
      <c r="Q85" s="1341"/>
      <c r="R85" s="6717">
        <v>1</v>
      </c>
      <c r="S85" s="6718">
        <v>0.6</v>
      </c>
      <c r="T85" s="6719">
        <f>IF($R$17="II. CUSTOMIZE BENCHMARKS",$S85,$R85)*$AA$21</f>
        <v>0</v>
      </c>
      <c r="U85" s="6720">
        <f>IF($R$17="II. CUSTOMIZE BENCHMARKS",$S85,$R85)*$AA$22</f>
        <v>0.5</v>
      </c>
      <c r="V85" s="6721">
        <f>IF($R$17="II. CUSTOMIZE BENCHMARKS",$S85,$R85)*$AA$23</f>
        <v>0.9</v>
      </c>
      <c r="W85" s="1445"/>
      <c r="X85" s="1431"/>
      <c r="Y85" s="1431"/>
    </row>
    <row r="86" spans="2:25" outlineLevel="1" x14ac:dyDescent="0.25">
      <c r="B86" s="1341"/>
      <c r="C86" s="6767" t="s">
        <v>2980</v>
      </c>
      <c r="D86" s="6768"/>
      <c r="E86" s="6768"/>
      <c r="F86" s="6768"/>
      <c r="G86" s="6768"/>
      <c r="H86" s="6768"/>
      <c r="I86" s="6768"/>
      <c r="J86" s="6768"/>
      <c r="K86" s="6768"/>
      <c r="L86" s="6768"/>
      <c r="M86" s="6768"/>
      <c r="N86" s="6769"/>
      <c r="O86" s="1352"/>
      <c r="P86" s="1431"/>
      <c r="Q86" s="1341"/>
      <c r="R86" s="6710"/>
      <c r="S86" s="6712"/>
      <c r="T86" s="6705"/>
      <c r="U86" s="6707"/>
      <c r="V86" s="6709"/>
      <c r="W86" s="1341"/>
      <c r="X86" s="1431"/>
      <c r="Y86" s="1431"/>
    </row>
    <row r="87" spans="2:25" ht="30.75" customHeight="1" x14ac:dyDescent="0.25">
      <c r="B87" s="1341"/>
      <c r="C87" s="6028" t="s">
        <v>2979</v>
      </c>
      <c r="D87" s="1511">
        <f>'WW calcu'!E219</f>
        <v>0</v>
      </c>
      <c r="E87" s="1511">
        <f>'WW calcu'!F219</f>
        <v>0</v>
      </c>
      <c r="F87" s="1511">
        <f>'WW calcu'!G219</f>
        <v>0</v>
      </c>
      <c r="G87" s="1511">
        <f>'WW calcu'!H219</f>
        <v>0</v>
      </c>
      <c r="H87" s="1511">
        <f>'WW calcu'!I219</f>
        <v>0</v>
      </c>
      <c r="I87" s="1511">
        <f>'WW calcu'!J219</f>
        <v>0</v>
      </c>
      <c r="J87" s="1511">
        <f>'WW calcu'!K219</f>
        <v>0</v>
      </c>
      <c r="K87" s="1511">
        <f>'WW calcu'!L219</f>
        <v>0</v>
      </c>
      <c r="L87" s="1511">
        <f>'WW calcu'!M219</f>
        <v>0</v>
      </c>
      <c r="M87" s="1511">
        <f>'WW calcu'!N219</f>
        <v>0</v>
      </c>
      <c r="N87" s="1512">
        <f>'WW calcu'!O219</f>
        <v>0</v>
      </c>
      <c r="O87" s="1352"/>
      <c r="P87" s="1431"/>
      <c r="Q87" s="1341"/>
      <c r="R87" s="6702">
        <v>1</v>
      </c>
      <c r="S87" s="6703"/>
      <c r="T87" s="6704">
        <f>IF($R$17="II. CUSTOMIZE BENCHMARKS",$S87,$R87)*$AA$21</f>
        <v>0</v>
      </c>
      <c r="U87" s="6706">
        <f>IF($R$17="II. CUSTOMIZE BENCHMARKS",$S87,$R87)*$AA$22</f>
        <v>0.5</v>
      </c>
      <c r="V87" s="6708">
        <f>IF($R$17="II. CUSTOMIZE BENCHMARKS",$S87,$R87)*$AA$23</f>
        <v>0.9</v>
      </c>
      <c r="W87" s="1445"/>
      <c r="X87" s="1431"/>
      <c r="Y87" s="1431"/>
    </row>
    <row r="88" spans="2:25" ht="15" customHeight="1" outlineLevel="1" x14ac:dyDescent="0.25">
      <c r="B88" s="1341"/>
      <c r="C88" s="6767" t="s">
        <v>2981</v>
      </c>
      <c r="D88" s="6768"/>
      <c r="E88" s="6768"/>
      <c r="F88" s="6768"/>
      <c r="G88" s="6768"/>
      <c r="H88" s="6768"/>
      <c r="I88" s="6768"/>
      <c r="J88" s="6768"/>
      <c r="K88" s="6768"/>
      <c r="L88" s="6768"/>
      <c r="M88" s="6768"/>
      <c r="N88" s="6769"/>
      <c r="O88" s="1352"/>
      <c r="P88" s="1431"/>
      <c r="Q88" s="1341"/>
      <c r="R88" s="6732"/>
      <c r="S88" s="6733"/>
      <c r="T88" s="6714"/>
      <c r="U88" s="6715"/>
      <c r="V88" s="6716"/>
      <c r="W88" s="1341"/>
      <c r="X88" s="1431"/>
      <c r="Y88" s="1431"/>
    </row>
    <row r="89" spans="2:25" x14ac:dyDescent="0.25">
      <c r="B89" s="1341"/>
      <c r="C89" s="6029" t="s">
        <v>2902</v>
      </c>
      <c r="D89" s="1456">
        <f>'WW calcu'!E223</f>
        <v>0</v>
      </c>
      <c r="E89" s="1456">
        <f>'WW calcu'!F223</f>
        <v>0</v>
      </c>
      <c r="F89" s="1456">
        <f>'WW calcu'!G223</f>
        <v>0</v>
      </c>
      <c r="G89" s="1456">
        <f>'WW calcu'!H223</f>
        <v>0</v>
      </c>
      <c r="H89" s="1456">
        <f>'WW calcu'!I223</f>
        <v>0</v>
      </c>
      <c r="I89" s="1456">
        <f>'WW calcu'!J223</f>
        <v>0</v>
      </c>
      <c r="J89" s="1456">
        <f>'WW calcu'!K223</f>
        <v>0</v>
      </c>
      <c r="K89" s="1456">
        <f>'WW calcu'!L223</f>
        <v>0</v>
      </c>
      <c r="L89" s="1456">
        <f>'WW calcu'!M223</f>
        <v>0</v>
      </c>
      <c r="M89" s="1456">
        <f>'WW calcu'!N223</f>
        <v>0</v>
      </c>
      <c r="N89" s="1457">
        <f>'WW calcu'!O223</f>
        <v>0</v>
      </c>
      <c r="O89" s="1341"/>
      <c r="P89" s="1431"/>
      <c r="Q89" s="1341"/>
      <c r="R89" s="1484"/>
      <c r="S89" s="1484"/>
      <c r="T89" s="1484"/>
      <c r="U89" s="1484"/>
      <c r="V89" s="1484"/>
      <c r="W89" s="1341"/>
      <c r="X89" s="1431"/>
      <c r="Y89" s="1431"/>
    </row>
    <row r="90" spans="2:25" outlineLevel="1" x14ac:dyDescent="0.25">
      <c r="B90" s="1341"/>
      <c r="C90" s="6764" t="s">
        <v>3019</v>
      </c>
      <c r="D90" s="6765"/>
      <c r="E90" s="6765"/>
      <c r="F90" s="6765"/>
      <c r="G90" s="6765"/>
      <c r="H90" s="6765"/>
      <c r="I90" s="6765"/>
      <c r="J90" s="6765"/>
      <c r="K90" s="6765"/>
      <c r="L90" s="6765"/>
      <c r="M90" s="6765"/>
      <c r="N90" s="6766"/>
      <c r="O90" s="1341"/>
      <c r="P90" s="1431"/>
      <c r="Q90" s="1341"/>
      <c r="R90" s="1364"/>
      <c r="S90" s="1364"/>
      <c r="T90" s="1364"/>
      <c r="U90" s="1364"/>
      <c r="V90" s="1364"/>
      <c r="W90" s="1341"/>
      <c r="X90" s="1431"/>
      <c r="Y90" s="1431"/>
    </row>
    <row r="91" spans="2:25" x14ac:dyDescent="0.25">
      <c r="B91" s="1341"/>
      <c r="C91" s="6029" t="s">
        <v>1832</v>
      </c>
      <c r="D91" s="1456">
        <f>'WW calcu'!E225</f>
        <v>1</v>
      </c>
      <c r="E91" s="1456">
        <f>'WW calcu'!F225</f>
        <v>1</v>
      </c>
      <c r="F91" s="1456">
        <f>'WW calcu'!G225</f>
        <v>1</v>
      </c>
      <c r="G91" s="1456">
        <f>'WW calcu'!H225</f>
        <v>1</v>
      </c>
      <c r="H91" s="1456">
        <f>'WW calcu'!I225</f>
        <v>1</v>
      </c>
      <c r="I91" s="1456">
        <f>'WW calcu'!J225</f>
        <v>1</v>
      </c>
      <c r="J91" s="1456">
        <f>'WW calcu'!K225</f>
        <v>1</v>
      </c>
      <c r="K91" s="1456">
        <f>'WW calcu'!L225</f>
        <v>1</v>
      </c>
      <c r="L91" s="1456">
        <f>'WW calcu'!M225</f>
        <v>1</v>
      </c>
      <c r="M91" s="1456">
        <f>'WW calcu'!N225</f>
        <v>1</v>
      </c>
      <c r="N91" s="1457">
        <f>'WW calcu'!O225</f>
        <v>1</v>
      </c>
      <c r="O91" s="1341"/>
      <c r="P91" s="1431"/>
      <c r="Q91" s="1341"/>
      <c r="R91" s="1364"/>
      <c r="S91" s="1364"/>
      <c r="T91" s="1364"/>
      <c r="U91" s="1364"/>
      <c r="V91" s="1364"/>
      <c r="W91" s="1341"/>
      <c r="X91" s="1431"/>
      <c r="Y91" s="1431"/>
    </row>
    <row r="92" spans="2:25" outlineLevel="1" x14ac:dyDescent="0.25">
      <c r="B92" s="1341"/>
      <c r="C92" s="6764" t="s">
        <v>2869</v>
      </c>
      <c r="D92" s="6765"/>
      <c r="E92" s="6765"/>
      <c r="F92" s="6765"/>
      <c r="G92" s="6765"/>
      <c r="H92" s="6765"/>
      <c r="I92" s="6765"/>
      <c r="J92" s="6765"/>
      <c r="K92" s="6765"/>
      <c r="L92" s="6765"/>
      <c r="M92" s="6765"/>
      <c r="N92" s="6766"/>
      <c r="O92" s="1341"/>
      <c r="P92" s="1431"/>
      <c r="Q92" s="1341"/>
      <c r="R92" s="1364"/>
      <c r="S92" s="1364"/>
      <c r="T92" s="1364"/>
      <c r="U92" s="1364"/>
      <c r="V92" s="1364"/>
      <c r="W92" s="1341"/>
      <c r="X92" s="1431"/>
      <c r="Y92" s="1431"/>
    </row>
    <row r="93" spans="2:25" x14ac:dyDescent="0.25">
      <c r="B93" s="1341"/>
      <c r="C93" s="2943" t="s">
        <v>1833</v>
      </c>
      <c r="D93" s="1456">
        <f>'WW calcu'!E223-'WW calcu'!E213</f>
        <v>0</v>
      </c>
      <c r="E93" s="1456">
        <f>'WW calcu'!F223-'WW calcu'!F213</f>
        <v>0</v>
      </c>
      <c r="F93" s="1456">
        <f>'WW calcu'!G223-'WW calcu'!G213</f>
        <v>0</v>
      </c>
      <c r="G93" s="1456">
        <f>'WW calcu'!H223-'WW calcu'!H213</f>
        <v>0</v>
      </c>
      <c r="H93" s="1456">
        <f>'WW calcu'!I223-'WW calcu'!I213</f>
        <v>0</v>
      </c>
      <c r="I93" s="1456">
        <f>'WW calcu'!J223-'WW calcu'!J213</f>
        <v>0</v>
      </c>
      <c r="J93" s="1456">
        <f>'WW calcu'!K223-'WW calcu'!K213</f>
        <v>0</v>
      </c>
      <c r="K93" s="1456">
        <f>'WW calcu'!L223-'WW calcu'!L213</f>
        <v>0</v>
      </c>
      <c r="L93" s="1456">
        <f>'WW calcu'!M223-'WW calcu'!M213</f>
        <v>0</v>
      </c>
      <c r="M93" s="1456">
        <f>'WW calcu'!N223-'WW calcu'!N213</f>
        <v>0</v>
      </c>
      <c r="N93" s="1457">
        <f>'WW calcu'!O223-'WW calcu'!O213</f>
        <v>0</v>
      </c>
      <c r="O93" s="1341"/>
      <c r="P93" s="1431"/>
      <c r="Q93" s="1341"/>
      <c r="R93" s="1341"/>
      <c r="S93" s="1341"/>
      <c r="T93" s="1341"/>
      <c r="U93" s="1341"/>
      <c r="V93" s="1341"/>
      <c r="W93" s="1341"/>
      <c r="X93" s="1431"/>
      <c r="Y93" s="1431"/>
    </row>
    <row r="94" spans="2:25" outlineLevel="1" x14ac:dyDescent="0.25">
      <c r="B94" s="1341"/>
      <c r="C94" s="6764" t="s">
        <v>2027</v>
      </c>
      <c r="D94" s="6765"/>
      <c r="E94" s="6765"/>
      <c r="F94" s="6765"/>
      <c r="G94" s="6765"/>
      <c r="H94" s="6765"/>
      <c r="I94" s="6765"/>
      <c r="J94" s="6765"/>
      <c r="K94" s="6765"/>
      <c r="L94" s="6765"/>
      <c r="M94" s="6765"/>
      <c r="N94" s="6766"/>
      <c r="O94" s="1341"/>
      <c r="P94" s="1431"/>
      <c r="Q94" s="1341"/>
      <c r="R94" s="1341"/>
      <c r="S94" s="1341"/>
      <c r="T94" s="1341"/>
      <c r="U94" s="1341"/>
      <c r="V94" s="1341"/>
      <c r="W94" s="1341"/>
      <c r="X94" s="1431"/>
      <c r="Y94" s="1431"/>
    </row>
    <row r="95" spans="2:25" x14ac:dyDescent="0.25">
      <c r="B95" s="1341"/>
      <c r="C95" s="2943" t="s">
        <v>2870</v>
      </c>
      <c r="D95" s="1456">
        <f>'WW calcu'!D1028</f>
        <v>0.16981132075471697</v>
      </c>
      <c r="E95" s="1456">
        <f>'WW calcu'!E1028</f>
        <v>0.11320754716981132</v>
      </c>
      <c r="F95" s="1456">
        <f>'WW calcu'!F1028</f>
        <v>5.6603773584905662E-2</v>
      </c>
      <c r="G95" s="1456">
        <f>'WW calcu'!G1028</f>
        <v>0</v>
      </c>
      <c r="H95" s="1456">
        <f>'WW calcu'!H1028</f>
        <v>0</v>
      </c>
      <c r="I95" s="1456">
        <f>'WW calcu'!I1028</f>
        <v>0</v>
      </c>
      <c r="J95" s="1456">
        <f>'WW calcu'!J1028</f>
        <v>0</v>
      </c>
      <c r="K95" s="1456">
        <f>'WW calcu'!K1028</f>
        <v>0</v>
      </c>
      <c r="L95" s="1456">
        <f>'WW calcu'!L1028</f>
        <v>0</v>
      </c>
      <c r="M95" s="1456">
        <f>'WW calcu'!M1028</f>
        <v>0</v>
      </c>
      <c r="N95" s="1457">
        <f>'WW calcu'!N1028</f>
        <v>0</v>
      </c>
      <c r="O95" s="1341"/>
      <c r="P95" s="1431"/>
      <c r="Q95" s="1341"/>
      <c r="R95" s="1341"/>
      <c r="S95" s="1341"/>
      <c r="T95" s="1341"/>
      <c r="U95" s="1341"/>
      <c r="V95" s="1341"/>
      <c r="W95" s="1341"/>
      <c r="X95" s="1431"/>
      <c r="Y95" s="1431"/>
    </row>
    <row r="96" spans="2:25" outlineLevel="1" x14ac:dyDescent="0.25">
      <c r="B96" s="1341"/>
      <c r="C96" s="6764" t="s">
        <v>2871</v>
      </c>
      <c r="D96" s="6765"/>
      <c r="E96" s="6765"/>
      <c r="F96" s="6765"/>
      <c r="G96" s="6765"/>
      <c r="H96" s="6765"/>
      <c r="I96" s="6765"/>
      <c r="J96" s="6765"/>
      <c r="K96" s="6765"/>
      <c r="L96" s="6765"/>
      <c r="M96" s="6765"/>
      <c r="N96" s="6766"/>
      <c r="O96" s="1341"/>
      <c r="P96" s="1431"/>
      <c r="Q96" s="1341"/>
      <c r="R96" s="1341"/>
      <c r="S96" s="1341"/>
      <c r="T96" s="1341"/>
      <c r="U96" s="1341"/>
      <c r="V96" s="1341"/>
      <c r="W96" s="1341"/>
      <c r="X96" s="1431"/>
      <c r="Y96" s="1431"/>
    </row>
    <row r="97" spans="1:25" ht="21" customHeight="1" x14ac:dyDescent="0.25">
      <c r="B97" s="1341"/>
      <c r="C97" s="1543" t="s">
        <v>1340</v>
      </c>
      <c r="D97" s="1443"/>
      <c r="E97" s="1443"/>
      <c r="F97" s="1443"/>
      <c r="G97" s="1443"/>
      <c r="H97" s="1443"/>
      <c r="I97" s="1443"/>
      <c r="J97" s="1443"/>
      <c r="K97" s="1443"/>
      <c r="L97" s="1443"/>
      <c r="M97" s="1443"/>
      <c r="N97" s="1444"/>
      <c r="O97" s="1341"/>
      <c r="P97" s="1431"/>
      <c r="Q97" s="1352"/>
      <c r="R97" s="1482" t="s">
        <v>1534</v>
      </c>
      <c r="S97" s="1483" t="s">
        <v>2064</v>
      </c>
      <c r="T97" s="1479" t="s">
        <v>817</v>
      </c>
      <c r="U97" s="1480" t="s">
        <v>905</v>
      </c>
      <c r="V97" s="1481" t="s">
        <v>818</v>
      </c>
      <c r="W97" s="1352"/>
      <c r="X97" s="1431"/>
      <c r="Y97" s="1431"/>
    </row>
    <row r="98" spans="1:25" x14ac:dyDescent="0.25">
      <c r="A98" s="2393"/>
      <c r="B98" s="1341"/>
      <c r="C98" s="6028" t="s">
        <v>1381</v>
      </c>
      <c r="D98" s="1511">
        <f>'WW calcu'!E494</f>
        <v>0</v>
      </c>
      <c r="E98" s="1511">
        <f>'WW calcu'!F494</f>
        <v>0</v>
      </c>
      <c r="F98" s="1511">
        <f>'WW calcu'!G494</f>
        <v>0</v>
      </c>
      <c r="G98" s="1511">
        <f>'WW calcu'!H494</f>
        <v>0</v>
      </c>
      <c r="H98" s="1511">
        <f>'WW calcu'!I494</f>
        <v>0</v>
      </c>
      <c r="I98" s="1511">
        <f>'WW calcu'!J494</f>
        <v>0</v>
      </c>
      <c r="J98" s="1511">
        <f>'WW calcu'!K494</f>
        <v>0</v>
      </c>
      <c r="K98" s="1511">
        <f>'WW calcu'!L494</f>
        <v>0</v>
      </c>
      <c r="L98" s="1511">
        <f>'WW calcu'!M494</f>
        <v>0</v>
      </c>
      <c r="M98" s="1511">
        <f>'WW calcu'!N494</f>
        <v>0</v>
      </c>
      <c r="N98" s="1512">
        <f>'WW calcu'!O494</f>
        <v>0</v>
      </c>
      <c r="O98" s="1352"/>
      <c r="P98" s="1431"/>
      <c r="Q98" s="1341"/>
      <c r="R98" s="6717">
        <v>1</v>
      </c>
      <c r="S98" s="6718"/>
      <c r="T98" s="6719">
        <f>IF($R$17="II. CUSTOMIZE BENCHMARKS",$S98,$R98)*$AA$21</f>
        <v>0</v>
      </c>
      <c r="U98" s="6720">
        <f>IF($R$17="II. CUSTOMIZE BENCHMARKS",$S98,$R98)*$AA$22</f>
        <v>0.5</v>
      </c>
      <c r="V98" s="6721">
        <f>IF($R$17="II. CUSTOMIZE BENCHMARKS",$S98,$R98)*$AA$23</f>
        <v>0.9</v>
      </c>
      <c r="W98" s="1445"/>
      <c r="X98" s="1431"/>
      <c r="Y98" s="1431"/>
    </row>
    <row r="99" spans="1:25" ht="15" customHeight="1" outlineLevel="1" x14ac:dyDescent="0.25">
      <c r="B99" s="1341"/>
      <c r="C99" s="6767" t="s">
        <v>2026</v>
      </c>
      <c r="D99" s="6768"/>
      <c r="E99" s="6768"/>
      <c r="F99" s="6768"/>
      <c r="G99" s="6768"/>
      <c r="H99" s="6768"/>
      <c r="I99" s="6768"/>
      <c r="J99" s="6768"/>
      <c r="K99" s="6768"/>
      <c r="L99" s="6768"/>
      <c r="M99" s="6768"/>
      <c r="N99" s="6769"/>
      <c r="O99" s="1352"/>
      <c r="P99" s="1431"/>
      <c r="Q99" s="1341"/>
      <c r="R99" s="6710"/>
      <c r="S99" s="6712"/>
      <c r="T99" s="6705"/>
      <c r="U99" s="6707"/>
      <c r="V99" s="6709"/>
      <c r="W99" s="1341"/>
      <c r="X99" s="1431"/>
      <c r="Y99" s="1431"/>
    </row>
    <row r="100" spans="1:25" x14ac:dyDescent="0.25">
      <c r="B100" s="1341"/>
      <c r="C100" s="6028" t="s">
        <v>1430</v>
      </c>
      <c r="D100" s="1511">
        <f>'WW calcu'!E609</f>
        <v>0</v>
      </c>
      <c r="E100" s="1511">
        <f>'WW calcu'!F609</f>
        <v>0</v>
      </c>
      <c r="F100" s="1511">
        <f>'WW calcu'!G609</f>
        <v>0</v>
      </c>
      <c r="G100" s="1511">
        <f>'WW calcu'!H609</f>
        <v>0</v>
      </c>
      <c r="H100" s="1511">
        <f>'WW calcu'!I609</f>
        <v>0</v>
      </c>
      <c r="I100" s="1511">
        <f>'WW calcu'!J609</f>
        <v>0</v>
      </c>
      <c r="J100" s="1511">
        <f>'WW calcu'!K609</f>
        <v>0</v>
      </c>
      <c r="K100" s="1511">
        <f>'WW calcu'!L609</f>
        <v>0</v>
      </c>
      <c r="L100" s="1511">
        <f>'WW calcu'!M609</f>
        <v>0</v>
      </c>
      <c r="M100" s="1511">
        <f>'WW calcu'!N609</f>
        <v>0</v>
      </c>
      <c r="N100" s="1512">
        <f>'WW calcu'!O609</f>
        <v>0</v>
      </c>
      <c r="O100" s="1352"/>
      <c r="P100" s="1431"/>
      <c r="Q100" s="1341"/>
      <c r="R100" s="6702">
        <v>1</v>
      </c>
      <c r="S100" s="6703"/>
      <c r="T100" s="6704">
        <f>IF($R$17="II. CUSTOMIZE BENCHMARKS",$S100,$R100)*$AA$21</f>
        <v>0</v>
      </c>
      <c r="U100" s="6706">
        <f>IF($R$17="II. CUSTOMIZE BENCHMARKS",$S100,$R100)*$AA$22</f>
        <v>0.5</v>
      </c>
      <c r="V100" s="6708">
        <f>IF($R$17="II. CUSTOMIZE BENCHMARKS",$S100,$R100)*$AA$23</f>
        <v>0.9</v>
      </c>
      <c r="W100" s="1445"/>
      <c r="X100" s="1431"/>
      <c r="Y100" s="1431"/>
    </row>
    <row r="101" spans="1:25" ht="28.5" customHeight="1" outlineLevel="1" x14ac:dyDescent="0.25">
      <c r="B101" s="1341"/>
      <c r="C101" s="6767" t="s">
        <v>2028</v>
      </c>
      <c r="D101" s="6768"/>
      <c r="E101" s="6768"/>
      <c r="F101" s="6768"/>
      <c r="G101" s="6768"/>
      <c r="H101" s="6768"/>
      <c r="I101" s="6768"/>
      <c r="J101" s="6768"/>
      <c r="K101" s="6768"/>
      <c r="L101" s="6768"/>
      <c r="M101" s="6768"/>
      <c r="N101" s="6769"/>
      <c r="O101" s="1352"/>
      <c r="P101" s="1431"/>
      <c r="Q101" s="1341"/>
      <c r="R101" s="6702"/>
      <c r="S101" s="6703"/>
      <c r="T101" s="6705"/>
      <c r="U101" s="6707"/>
      <c r="V101" s="6709"/>
      <c r="W101" s="1341"/>
      <c r="X101" s="1431"/>
      <c r="Y101" s="1431"/>
    </row>
    <row r="102" spans="1:25" x14ac:dyDescent="0.25">
      <c r="B102" s="1341"/>
      <c r="C102" s="1510" t="s">
        <v>1368</v>
      </c>
      <c r="D102" s="1511">
        <f>MIN('WW calcu'!E776,1)</f>
        <v>0</v>
      </c>
      <c r="E102" s="1511">
        <f>MIN('WW calcu'!F776,1)</f>
        <v>0</v>
      </c>
      <c r="F102" s="1511">
        <f>MIN('WW calcu'!G776,1)</f>
        <v>0</v>
      </c>
      <c r="G102" s="1511">
        <f>MIN('WW calcu'!H776,1)</f>
        <v>0</v>
      </c>
      <c r="H102" s="1511">
        <f>MIN('WW calcu'!I776,1)</f>
        <v>0</v>
      </c>
      <c r="I102" s="1511">
        <f>MIN('WW calcu'!J776,1)</f>
        <v>0</v>
      </c>
      <c r="J102" s="1511">
        <f>MIN('WW calcu'!K776,1)</f>
        <v>0</v>
      </c>
      <c r="K102" s="1511">
        <f>MIN('WW calcu'!L776,1)</f>
        <v>0</v>
      </c>
      <c r="L102" s="1511">
        <f>MIN('WW calcu'!M776,1)</f>
        <v>0</v>
      </c>
      <c r="M102" s="1511">
        <f>MIN('WW calcu'!N776,1)</f>
        <v>0</v>
      </c>
      <c r="N102" s="1512">
        <f>MINA('WW calcu'!O776,1)</f>
        <v>0</v>
      </c>
      <c r="O102" s="1352"/>
      <c r="P102" s="1431"/>
      <c r="Q102" s="1341"/>
      <c r="R102" s="6702">
        <v>1</v>
      </c>
      <c r="S102" s="6703"/>
      <c r="T102" s="6704">
        <f>IF($R$17="II. CUSTOMIZE BENCHMARKS",$S102,$R102)*$AA$21</f>
        <v>0</v>
      </c>
      <c r="U102" s="6706">
        <f>IF($R$17="II. CUSTOMIZE BENCHMARKS",$S102,$R102)*$AA$22</f>
        <v>0.5</v>
      </c>
      <c r="V102" s="6708">
        <f>IF($R$17="II. CUSTOMIZE BENCHMARKS",$S102,$R102)*$AA$23</f>
        <v>0.9</v>
      </c>
      <c r="W102" s="1445"/>
      <c r="X102" s="1431"/>
      <c r="Y102" s="1431"/>
    </row>
    <row r="103" spans="1:25" ht="30" customHeight="1" outlineLevel="1" x14ac:dyDescent="0.25">
      <c r="B103" s="1341"/>
      <c r="C103" s="6767" t="s">
        <v>2029</v>
      </c>
      <c r="D103" s="6768"/>
      <c r="E103" s="6768"/>
      <c r="F103" s="6768"/>
      <c r="G103" s="6768"/>
      <c r="H103" s="6768"/>
      <c r="I103" s="6768"/>
      <c r="J103" s="6768"/>
      <c r="K103" s="6768"/>
      <c r="L103" s="6768"/>
      <c r="M103" s="6768"/>
      <c r="N103" s="6769"/>
      <c r="O103" s="1352"/>
      <c r="P103" s="1431"/>
      <c r="Q103" s="1341"/>
      <c r="R103" s="6732"/>
      <c r="S103" s="6733"/>
      <c r="T103" s="6714"/>
      <c r="U103" s="6715"/>
      <c r="V103" s="6716"/>
      <c r="W103" s="1341"/>
      <c r="X103" s="1431"/>
      <c r="Y103" s="1431"/>
    </row>
    <row r="104" spans="1:25" x14ac:dyDescent="0.25">
      <c r="B104" s="1341"/>
      <c r="C104" s="2943" t="s">
        <v>2875</v>
      </c>
      <c r="D104" s="1456">
        <f>'WW calcu'!E325</f>
        <v>0</v>
      </c>
      <c r="E104" s="1456">
        <f>'WW calcu'!F325</f>
        <v>0</v>
      </c>
      <c r="F104" s="1456">
        <f>'WW calcu'!G325</f>
        <v>0</v>
      </c>
      <c r="G104" s="1456">
        <f>'WW calcu'!H325</f>
        <v>0</v>
      </c>
      <c r="H104" s="1456">
        <f>'WW calcu'!I325</f>
        <v>0</v>
      </c>
      <c r="I104" s="1456">
        <f>'WW calcu'!J325</f>
        <v>0</v>
      </c>
      <c r="J104" s="1456">
        <f>'WW calcu'!K325</f>
        <v>0</v>
      </c>
      <c r="K104" s="1456">
        <f>'WW calcu'!L325</f>
        <v>0</v>
      </c>
      <c r="L104" s="1456">
        <f>'WW calcu'!M325</f>
        <v>0</v>
      </c>
      <c r="M104" s="1456">
        <f>'WW calcu'!N325</f>
        <v>0</v>
      </c>
      <c r="N104" s="1457">
        <f>'WW calcu'!O325</f>
        <v>0</v>
      </c>
      <c r="O104" s="1352"/>
      <c r="P104" s="1431"/>
      <c r="Q104" s="1341"/>
      <c r="R104" s="1484"/>
      <c r="S104" s="1484"/>
      <c r="T104" s="1484"/>
      <c r="U104" s="1484"/>
      <c r="V104" s="1484"/>
      <c r="W104" s="1341"/>
      <c r="X104" s="1431"/>
      <c r="Y104" s="1431"/>
    </row>
    <row r="105" spans="1:25" outlineLevel="1" x14ac:dyDescent="0.25">
      <c r="B105" s="1341"/>
      <c r="C105" s="6764" t="s">
        <v>2873</v>
      </c>
      <c r="D105" s="6765"/>
      <c r="E105" s="6765"/>
      <c r="F105" s="6765"/>
      <c r="G105" s="6765"/>
      <c r="H105" s="6765"/>
      <c r="I105" s="6765"/>
      <c r="J105" s="6765"/>
      <c r="K105" s="6765"/>
      <c r="L105" s="6765"/>
      <c r="M105" s="6765"/>
      <c r="N105" s="6766"/>
      <c r="O105" s="1352"/>
      <c r="P105" s="1431"/>
      <c r="Q105" s="1341"/>
      <c r="R105" s="1341"/>
      <c r="S105" s="1341"/>
      <c r="T105" s="1341"/>
      <c r="U105" s="1341"/>
      <c r="V105" s="1341"/>
      <c r="W105" s="1341"/>
      <c r="X105" s="1431"/>
      <c r="Y105" s="1431"/>
    </row>
    <row r="106" spans="1:25" x14ac:dyDescent="0.25">
      <c r="B106" s="1341"/>
      <c r="C106" s="2943" t="s">
        <v>2876</v>
      </c>
      <c r="D106" s="1456">
        <f>'WW calcu'!E378</f>
        <v>0</v>
      </c>
      <c r="E106" s="1456">
        <f>'WW calcu'!F378</f>
        <v>0</v>
      </c>
      <c r="F106" s="1456">
        <f>'WW calcu'!G378</f>
        <v>0</v>
      </c>
      <c r="G106" s="1456">
        <f>'WW calcu'!H378</f>
        <v>0</v>
      </c>
      <c r="H106" s="1456">
        <f>'WW calcu'!I378</f>
        <v>0</v>
      </c>
      <c r="I106" s="1456">
        <f>'WW calcu'!J378</f>
        <v>0</v>
      </c>
      <c r="J106" s="1456">
        <f>'WW calcu'!K378</f>
        <v>0</v>
      </c>
      <c r="K106" s="1456">
        <f>'WW calcu'!L378</f>
        <v>0</v>
      </c>
      <c r="L106" s="1456">
        <f>'WW calcu'!M378</f>
        <v>0</v>
      </c>
      <c r="M106" s="1456">
        <f>'WW calcu'!N378</f>
        <v>0</v>
      </c>
      <c r="N106" s="1457">
        <f>'WW calcu'!O378</f>
        <v>0</v>
      </c>
      <c r="O106" s="1352"/>
      <c r="P106" s="1431"/>
      <c r="Q106" s="1341"/>
      <c r="R106" s="1341"/>
      <c r="S106" s="1341"/>
      <c r="T106" s="1341"/>
      <c r="U106" s="1341"/>
      <c r="V106" s="1341"/>
      <c r="W106" s="1341"/>
      <c r="X106" s="1431"/>
      <c r="Y106" s="1431"/>
    </row>
    <row r="107" spans="1:25" ht="28.5" customHeight="1" outlineLevel="1" x14ac:dyDescent="0.25">
      <c r="B107" s="1341"/>
      <c r="C107" s="6764" t="s">
        <v>2872</v>
      </c>
      <c r="D107" s="6765"/>
      <c r="E107" s="6765"/>
      <c r="F107" s="6765"/>
      <c r="G107" s="6765"/>
      <c r="H107" s="6765"/>
      <c r="I107" s="6765"/>
      <c r="J107" s="6765"/>
      <c r="K107" s="6765"/>
      <c r="L107" s="6765"/>
      <c r="M107" s="6765"/>
      <c r="N107" s="6766"/>
      <c r="O107" s="1352"/>
      <c r="P107" s="1431"/>
      <c r="Q107" s="1341"/>
      <c r="R107" s="1341"/>
      <c r="S107" s="1341"/>
      <c r="T107" s="1341"/>
      <c r="U107" s="1341"/>
      <c r="V107" s="1341"/>
      <c r="W107" s="1341"/>
      <c r="X107" s="1431"/>
      <c r="Y107" s="1431"/>
    </row>
    <row r="108" spans="1:25" x14ac:dyDescent="0.25">
      <c r="B108" s="1341"/>
      <c r="C108" s="2943" t="s">
        <v>1834</v>
      </c>
      <c r="D108" s="1456">
        <f>'WW calcu'!E493</f>
        <v>0</v>
      </c>
      <c r="E108" s="1456">
        <f>'WW calcu'!F493</f>
        <v>0</v>
      </c>
      <c r="F108" s="1456">
        <f>'WW calcu'!G493</f>
        <v>0</v>
      </c>
      <c r="G108" s="1456">
        <f>'WW calcu'!H493</f>
        <v>0</v>
      </c>
      <c r="H108" s="1456">
        <f>'WW calcu'!I493</f>
        <v>0</v>
      </c>
      <c r="I108" s="1456">
        <f>'WW calcu'!J493</f>
        <v>0</v>
      </c>
      <c r="J108" s="1456">
        <f>'WW calcu'!K493</f>
        <v>0</v>
      </c>
      <c r="K108" s="1456">
        <f>'WW calcu'!L493</f>
        <v>0</v>
      </c>
      <c r="L108" s="1456">
        <f>'WW calcu'!M493</f>
        <v>0</v>
      </c>
      <c r="M108" s="1456">
        <f>'WW calcu'!N493</f>
        <v>0</v>
      </c>
      <c r="N108" s="1457">
        <f>'WW calcu'!O493</f>
        <v>0</v>
      </c>
      <c r="O108" s="1352"/>
      <c r="P108" s="1431"/>
      <c r="Q108" s="1341"/>
      <c r="R108" s="1341"/>
      <c r="S108" s="1341"/>
      <c r="T108" s="1341"/>
      <c r="U108" s="1341"/>
      <c r="V108" s="1341"/>
      <c r="W108" s="1341"/>
      <c r="X108" s="1431"/>
      <c r="Y108" s="1431"/>
    </row>
    <row r="109" spans="1:25" outlineLevel="1" x14ac:dyDescent="0.25">
      <c r="B109" s="1341"/>
      <c r="C109" s="6764" t="s">
        <v>2874</v>
      </c>
      <c r="D109" s="6765"/>
      <c r="E109" s="6765"/>
      <c r="F109" s="6765"/>
      <c r="G109" s="6765"/>
      <c r="H109" s="6765"/>
      <c r="I109" s="6765"/>
      <c r="J109" s="6765"/>
      <c r="K109" s="6765"/>
      <c r="L109" s="6765"/>
      <c r="M109" s="6765"/>
      <c r="N109" s="6766"/>
      <c r="O109" s="1352"/>
      <c r="P109" s="1431"/>
      <c r="Q109" s="1341"/>
      <c r="R109" s="1341"/>
      <c r="S109" s="1341"/>
      <c r="T109" s="1341"/>
      <c r="U109" s="1341"/>
      <c r="V109" s="1341"/>
      <c r="W109" s="1341"/>
      <c r="X109" s="1431"/>
      <c r="Y109" s="1431"/>
    </row>
    <row r="110" spans="1:25" x14ac:dyDescent="0.25">
      <c r="B110" s="1341"/>
      <c r="C110" s="2943" t="s">
        <v>1838</v>
      </c>
      <c r="D110" s="1456">
        <f>'WW calcu'!E575</f>
        <v>0</v>
      </c>
      <c r="E110" s="1456">
        <f>'WW calcu'!F575</f>
        <v>0</v>
      </c>
      <c r="F110" s="1456">
        <f>'WW calcu'!G575</f>
        <v>0</v>
      </c>
      <c r="G110" s="1456">
        <f>'WW calcu'!H575</f>
        <v>0</v>
      </c>
      <c r="H110" s="1456">
        <f>'WW calcu'!I575</f>
        <v>0</v>
      </c>
      <c r="I110" s="1456">
        <f>'WW calcu'!J575</f>
        <v>0</v>
      </c>
      <c r="J110" s="1456">
        <f>'WW calcu'!K575</f>
        <v>0</v>
      </c>
      <c r="K110" s="1456">
        <f>'WW calcu'!L575</f>
        <v>0</v>
      </c>
      <c r="L110" s="1456">
        <f>'WW calcu'!M575</f>
        <v>0</v>
      </c>
      <c r="M110" s="1456">
        <f>'WW calcu'!N575</f>
        <v>0</v>
      </c>
      <c r="N110" s="1457">
        <f>'WW calcu'!O575</f>
        <v>0</v>
      </c>
      <c r="O110" s="1341"/>
      <c r="P110" s="1431"/>
      <c r="Q110" s="1341"/>
      <c r="R110" s="1341"/>
      <c r="S110" s="1341"/>
      <c r="T110" s="1341"/>
      <c r="U110" s="1341"/>
      <c r="V110" s="1341"/>
      <c r="W110" s="1341"/>
      <c r="X110" s="1431"/>
      <c r="Y110" s="1431"/>
    </row>
    <row r="111" spans="1:25" outlineLevel="1" x14ac:dyDescent="0.25">
      <c r="B111" s="1341"/>
      <c r="C111" s="6764" t="s">
        <v>2961</v>
      </c>
      <c r="D111" s="6765"/>
      <c r="E111" s="6765"/>
      <c r="F111" s="6765"/>
      <c r="G111" s="6765"/>
      <c r="H111" s="6765"/>
      <c r="I111" s="6765"/>
      <c r="J111" s="6765"/>
      <c r="K111" s="6765"/>
      <c r="L111" s="6765"/>
      <c r="M111" s="6765"/>
      <c r="N111" s="6766"/>
      <c r="O111" s="1341"/>
      <c r="P111" s="1431"/>
      <c r="Q111" s="1341"/>
      <c r="R111" s="1341"/>
      <c r="S111" s="1341"/>
      <c r="T111" s="1341"/>
      <c r="U111" s="1341"/>
      <c r="V111" s="1341"/>
      <c r="W111" s="1341"/>
      <c r="X111" s="1431"/>
      <c r="Y111" s="1431"/>
    </row>
    <row r="112" spans="1:25" x14ac:dyDescent="0.25">
      <c r="B112" s="1341"/>
      <c r="C112" s="6029" t="s">
        <v>1837</v>
      </c>
      <c r="D112" s="1456">
        <f>'WW calcu'!E683</f>
        <v>0</v>
      </c>
      <c r="E112" s="1456">
        <f>'WW calcu'!F683</f>
        <v>0</v>
      </c>
      <c r="F112" s="1456">
        <f>'WW calcu'!G683</f>
        <v>0</v>
      </c>
      <c r="G112" s="1456">
        <f>'WW calcu'!H683</f>
        <v>0</v>
      </c>
      <c r="H112" s="1456">
        <f>'WW calcu'!I683</f>
        <v>0</v>
      </c>
      <c r="I112" s="1456">
        <f>'WW calcu'!J683</f>
        <v>0</v>
      </c>
      <c r="J112" s="1456">
        <f>'WW calcu'!K683</f>
        <v>0</v>
      </c>
      <c r="K112" s="1456">
        <f>'WW calcu'!L683</f>
        <v>0</v>
      </c>
      <c r="L112" s="1456">
        <f>'WW calcu'!M683</f>
        <v>0</v>
      </c>
      <c r="M112" s="1456">
        <f>'WW calcu'!N683</f>
        <v>0</v>
      </c>
      <c r="N112" s="1457">
        <f>'WW calcu'!O683</f>
        <v>0</v>
      </c>
      <c r="O112" s="1341"/>
      <c r="P112" s="1431"/>
      <c r="Q112" s="1341"/>
      <c r="R112" s="1341"/>
      <c r="S112" s="1341"/>
      <c r="T112" s="1341"/>
      <c r="U112" s="1341"/>
      <c r="V112" s="1341"/>
      <c r="W112" s="1341"/>
      <c r="X112" s="1431"/>
      <c r="Y112" s="1431"/>
    </row>
    <row r="113" spans="2:25" outlineLevel="1" x14ac:dyDescent="0.25">
      <c r="B113" s="1341"/>
      <c r="C113" s="6764" t="s">
        <v>2030</v>
      </c>
      <c r="D113" s="6765"/>
      <c r="E113" s="6765"/>
      <c r="F113" s="6765"/>
      <c r="G113" s="6765"/>
      <c r="H113" s="6765"/>
      <c r="I113" s="6765"/>
      <c r="J113" s="6765"/>
      <c r="K113" s="6765"/>
      <c r="L113" s="6765"/>
      <c r="M113" s="6765"/>
      <c r="N113" s="6766"/>
      <c r="O113" s="1341"/>
      <c r="P113" s="1431"/>
      <c r="Q113" s="1341"/>
      <c r="R113" s="1341"/>
      <c r="S113" s="1341"/>
      <c r="T113" s="1341"/>
      <c r="U113" s="1341"/>
      <c r="V113" s="1341"/>
      <c r="W113" s="1341"/>
      <c r="X113" s="1431"/>
      <c r="Y113" s="1431"/>
    </row>
    <row r="114" spans="2:25" x14ac:dyDescent="0.25">
      <c r="B114" s="1341"/>
      <c r="C114" s="1462" t="s">
        <v>1385</v>
      </c>
      <c r="D114" s="1456">
        <f>'WW calcu'!E717</f>
        <v>0</v>
      </c>
      <c r="E114" s="1456">
        <f>'WW calcu'!F717</f>
        <v>0</v>
      </c>
      <c r="F114" s="1456">
        <f>'WW calcu'!G717</f>
        <v>0</v>
      </c>
      <c r="G114" s="1456">
        <f>'WW calcu'!H717</f>
        <v>0</v>
      </c>
      <c r="H114" s="1456">
        <f>'WW calcu'!I717</f>
        <v>0</v>
      </c>
      <c r="I114" s="1456">
        <f>'WW calcu'!J717</f>
        <v>0</v>
      </c>
      <c r="J114" s="1456">
        <f>'WW calcu'!K717</f>
        <v>0</v>
      </c>
      <c r="K114" s="1456">
        <f>'WW calcu'!L717</f>
        <v>0</v>
      </c>
      <c r="L114" s="1456">
        <f>'WW calcu'!M717</f>
        <v>0</v>
      </c>
      <c r="M114" s="1456">
        <f>'WW calcu'!N717</f>
        <v>0</v>
      </c>
      <c r="N114" s="1457">
        <f>'WW calcu'!O717</f>
        <v>0</v>
      </c>
      <c r="O114" s="1341"/>
      <c r="P114" s="1431"/>
      <c r="Q114" s="1341"/>
      <c r="R114" s="1341"/>
      <c r="S114" s="1341"/>
      <c r="T114" s="1341"/>
      <c r="U114" s="1341"/>
      <c r="V114" s="1341"/>
      <c r="W114" s="1341"/>
      <c r="X114" s="1431"/>
      <c r="Y114" s="1431"/>
    </row>
    <row r="115" spans="2:25" outlineLevel="1" x14ac:dyDescent="0.25">
      <c r="B115" s="1341"/>
      <c r="C115" s="6764" t="s">
        <v>2031</v>
      </c>
      <c r="D115" s="6765"/>
      <c r="E115" s="6765"/>
      <c r="F115" s="6765"/>
      <c r="G115" s="6765"/>
      <c r="H115" s="6765"/>
      <c r="I115" s="6765"/>
      <c r="J115" s="6765"/>
      <c r="K115" s="6765"/>
      <c r="L115" s="6765"/>
      <c r="M115" s="6765"/>
      <c r="N115" s="6766"/>
      <c r="O115" s="1341"/>
      <c r="P115" s="1431"/>
      <c r="Q115" s="1341"/>
      <c r="R115" s="1341"/>
      <c r="S115" s="1341"/>
      <c r="T115" s="1341"/>
      <c r="U115" s="1341"/>
      <c r="V115" s="1341"/>
      <c r="W115" s="1341"/>
      <c r="X115" s="1431"/>
      <c r="Y115" s="1431"/>
    </row>
    <row r="116" spans="2:25" x14ac:dyDescent="0.25">
      <c r="B116" s="1341"/>
      <c r="C116" s="2946" t="s">
        <v>1840</v>
      </c>
      <c r="D116" s="1456">
        <f>'WW calcu'!E748</f>
        <v>0</v>
      </c>
      <c r="E116" s="1456">
        <f>'WW calcu'!F748</f>
        <v>0</v>
      </c>
      <c r="F116" s="1456">
        <f>'WW calcu'!G748</f>
        <v>0</v>
      </c>
      <c r="G116" s="1456">
        <f>'WW calcu'!H748</f>
        <v>0</v>
      </c>
      <c r="H116" s="1456">
        <f>'WW calcu'!I748</f>
        <v>0</v>
      </c>
      <c r="I116" s="1456">
        <f>'WW calcu'!J748</f>
        <v>0</v>
      </c>
      <c r="J116" s="1456">
        <f>'WW calcu'!K748</f>
        <v>0</v>
      </c>
      <c r="K116" s="1456">
        <f>'WW calcu'!L748</f>
        <v>0</v>
      </c>
      <c r="L116" s="1456">
        <f>'WW calcu'!M748</f>
        <v>0</v>
      </c>
      <c r="M116" s="1456">
        <f>'WW calcu'!N748</f>
        <v>0</v>
      </c>
      <c r="N116" s="1457">
        <f>'WW calcu'!O748</f>
        <v>0</v>
      </c>
      <c r="O116" s="1341"/>
      <c r="P116" s="1431"/>
      <c r="Q116" s="1341"/>
      <c r="R116" s="1341"/>
      <c r="S116" s="1341"/>
      <c r="T116" s="1341"/>
      <c r="U116" s="1341"/>
      <c r="V116" s="1341"/>
      <c r="W116" s="1341"/>
      <c r="X116" s="1431"/>
      <c r="Y116" s="1431"/>
    </row>
    <row r="117" spans="2:25" outlineLevel="1" x14ac:dyDescent="0.25">
      <c r="B117" s="1341"/>
      <c r="C117" s="6797" t="s">
        <v>2878</v>
      </c>
      <c r="D117" s="6798"/>
      <c r="E117" s="6798"/>
      <c r="F117" s="6798"/>
      <c r="G117" s="6798"/>
      <c r="H117" s="6798"/>
      <c r="I117" s="6798"/>
      <c r="J117" s="6798"/>
      <c r="K117" s="6798"/>
      <c r="L117" s="6798"/>
      <c r="M117" s="6798"/>
      <c r="N117" s="6799"/>
      <c r="O117" s="1341"/>
      <c r="P117" s="1431"/>
      <c r="Q117" s="1341"/>
      <c r="R117" s="1341"/>
      <c r="S117" s="1341"/>
      <c r="T117" s="1341"/>
      <c r="U117" s="1341"/>
      <c r="V117" s="1341"/>
      <c r="W117" s="1341"/>
      <c r="X117" s="1431"/>
      <c r="Y117" s="1431"/>
    </row>
    <row r="118" spans="2:25" x14ac:dyDescent="0.25">
      <c r="B118" s="1341"/>
      <c r="C118" s="6030" t="s">
        <v>1839</v>
      </c>
      <c r="D118" s="1456">
        <f>'WW calcu'!E775</f>
        <v>0</v>
      </c>
      <c r="E118" s="1456">
        <f>'WW calcu'!F775</f>
        <v>0</v>
      </c>
      <c r="F118" s="1456">
        <f>'WW calcu'!G775</f>
        <v>0</v>
      </c>
      <c r="G118" s="1456">
        <f>'WW calcu'!H775</f>
        <v>0</v>
      </c>
      <c r="H118" s="1456">
        <f>'WW calcu'!I775</f>
        <v>0</v>
      </c>
      <c r="I118" s="1456">
        <f>'WW calcu'!J775</f>
        <v>0</v>
      </c>
      <c r="J118" s="1456">
        <f>'WW calcu'!K775</f>
        <v>0</v>
      </c>
      <c r="K118" s="1456">
        <f>'WW calcu'!L775</f>
        <v>0</v>
      </c>
      <c r="L118" s="1456">
        <f>'WW calcu'!M775</f>
        <v>0</v>
      </c>
      <c r="M118" s="1456">
        <f>'WW calcu'!N775</f>
        <v>0</v>
      </c>
      <c r="N118" s="1457">
        <f>'WW calcu'!O775</f>
        <v>0</v>
      </c>
      <c r="O118" s="1341"/>
      <c r="P118" s="1431"/>
      <c r="Q118" s="1341"/>
      <c r="R118" s="1341"/>
      <c r="S118" s="1341"/>
      <c r="T118" s="1341"/>
      <c r="U118" s="1341"/>
      <c r="V118" s="1341"/>
      <c r="W118" s="1341"/>
      <c r="X118" s="1431"/>
      <c r="Y118" s="1431"/>
    </row>
    <row r="119" spans="2:25" outlineLevel="1" x14ac:dyDescent="0.25">
      <c r="B119" s="1341"/>
      <c r="C119" s="6764" t="s">
        <v>2880</v>
      </c>
      <c r="D119" s="6765"/>
      <c r="E119" s="6765"/>
      <c r="F119" s="6765"/>
      <c r="G119" s="6765"/>
      <c r="H119" s="6765"/>
      <c r="I119" s="6765"/>
      <c r="J119" s="6765"/>
      <c r="K119" s="6765"/>
      <c r="L119" s="6765"/>
      <c r="M119" s="6765"/>
      <c r="N119" s="6766"/>
      <c r="O119" s="1341"/>
      <c r="P119" s="1431"/>
      <c r="Q119" s="1341"/>
      <c r="R119" s="1341"/>
      <c r="S119" s="1341"/>
      <c r="T119" s="1341"/>
      <c r="U119" s="1341"/>
      <c r="V119" s="1341"/>
      <c r="W119" s="1341"/>
      <c r="X119" s="1431"/>
      <c r="Y119" s="1431"/>
    </row>
    <row r="120" spans="2:25" ht="21" customHeight="1" x14ac:dyDescent="0.25">
      <c r="B120" s="1341"/>
      <c r="C120" s="1543" t="s">
        <v>1339</v>
      </c>
      <c r="D120" s="1443"/>
      <c r="E120" s="1443"/>
      <c r="F120" s="1443"/>
      <c r="G120" s="1443"/>
      <c r="H120" s="1443"/>
      <c r="I120" s="1443"/>
      <c r="J120" s="1443"/>
      <c r="K120" s="1443"/>
      <c r="L120" s="1443"/>
      <c r="M120" s="1443"/>
      <c r="N120" s="1444"/>
      <c r="O120" s="1341"/>
      <c r="P120" s="1431"/>
      <c r="Q120" s="1352"/>
      <c r="R120" s="1482" t="s">
        <v>1534</v>
      </c>
      <c r="S120" s="1483" t="s">
        <v>2064</v>
      </c>
      <c r="T120" s="1479" t="s">
        <v>817</v>
      </c>
      <c r="U120" s="1480" t="s">
        <v>905</v>
      </c>
      <c r="V120" s="1481" t="s">
        <v>818</v>
      </c>
      <c r="W120" s="1352"/>
      <c r="X120" s="1431"/>
      <c r="Y120" s="1431"/>
    </row>
    <row r="121" spans="2:25" ht="30" customHeight="1" x14ac:dyDescent="0.25">
      <c r="B121" s="1341"/>
      <c r="C121" s="1510" t="s">
        <v>1983</v>
      </c>
      <c r="D121" s="1511">
        <f>'WW calcu'!E824</f>
        <v>0</v>
      </c>
      <c r="E121" s="1511">
        <f>'WW calcu'!F824</f>
        <v>0</v>
      </c>
      <c r="F121" s="1511">
        <f>'WW calcu'!G824</f>
        <v>0</v>
      </c>
      <c r="G121" s="1511">
        <f>'WW calcu'!H824</f>
        <v>0</v>
      </c>
      <c r="H121" s="1511">
        <f>'WW calcu'!I824</f>
        <v>0</v>
      </c>
      <c r="I121" s="1511">
        <f>'WW calcu'!J824</f>
        <v>0</v>
      </c>
      <c r="J121" s="1511">
        <f>'WW calcu'!K824</f>
        <v>0</v>
      </c>
      <c r="K121" s="1511">
        <f>'WW calcu'!L824</f>
        <v>0</v>
      </c>
      <c r="L121" s="1511">
        <f>'WW calcu'!M824</f>
        <v>0</v>
      </c>
      <c r="M121" s="1511">
        <f>'WW calcu'!N824</f>
        <v>0</v>
      </c>
      <c r="N121" s="1512">
        <f>'WW calcu'!O824</f>
        <v>0</v>
      </c>
      <c r="O121" s="1352"/>
      <c r="P121" s="1431"/>
      <c r="Q121" s="1341"/>
      <c r="R121" s="6717">
        <v>0.2</v>
      </c>
      <c r="S121" s="6718"/>
      <c r="T121" s="6719">
        <f>IF($R$17="II. CUSTOMIZE BENCHMARKS",$S121,$R121)*$AA$21</f>
        <v>0</v>
      </c>
      <c r="U121" s="6720">
        <f>IF($R$17="II. CUSTOMIZE BENCHMARKS",$S121,$R121)*$AA$22</f>
        <v>0.1</v>
      </c>
      <c r="V121" s="6721">
        <f>IF($R$17="II. CUSTOMIZE BENCHMARKS",$S121,$R121)*$AA$23</f>
        <v>0.18000000000000002</v>
      </c>
      <c r="W121" s="1445"/>
      <c r="X121" s="1431"/>
      <c r="Y121" s="1431"/>
    </row>
    <row r="122" spans="2:25" ht="29.25" customHeight="1" outlineLevel="1" x14ac:dyDescent="0.25">
      <c r="B122" s="1341"/>
      <c r="C122" s="6794" t="s">
        <v>2032</v>
      </c>
      <c r="D122" s="6795"/>
      <c r="E122" s="6795"/>
      <c r="F122" s="6795"/>
      <c r="G122" s="6795"/>
      <c r="H122" s="6795"/>
      <c r="I122" s="6795"/>
      <c r="J122" s="6795"/>
      <c r="K122" s="6795"/>
      <c r="L122" s="6795"/>
      <c r="M122" s="6795"/>
      <c r="N122" s="6796"/>
      <c r="O122" s="1352"/>
      <c r="P122" s="1431"/>
      <c r="Q122" s="1341"/>
      <c r="R122" s="6710"/>
      <c r="S122" s="6712"/>
      <c r="T122" s="6705"/>
      <c r="U122" s="6707"/>
      <c r="V122" s="6709"/>
      <c r="W122" s="1341"/>
      <c r="X122" s="1431"/>
      <c r="Y122" s="1431"/>
    </row>
    <row r="123" spans="2:25" x14ac:dyDescent="0.25">
      <c r="B123" s="1341"/>
      <c r="C123" s="1510" t="s">
        <v>1139</v>
      </c>
      <c r="D123" s="1511">
        <f>'WW calcu'!E839</f>
        <v>0</v>
      </c>
      <c r="E123" s="1511">
        <f>'WW calcu'!F839</f>
        <v>0</v>
      </c>
      <c r="F123" s="1511">
        <f>'WW calcu'!G839</f>
        <v>0</v>
      </c>
      <c r="G123" s="1511">
        <f>'WW calcu'!H839</f>
        <v>0</v>
      </c>
      <c r="H123" s="1511">
        <f>'WW calcu'!I839</f>
        <v>0</v>
      </c>
      <c r="I123" s="1511">
        <f>'WW calcu'!J839</f>
        <v>0</v>
      </c>
      <c r="J123" s="1511">
        <f>'WW calcu'!K839</f>
        <v>0</v>
      </c>
      <c r="K123" s="1511">
        <f>'WW calcu'!L839</f>
        <v>0</v>
      </c>
      <c r="L123" s="1511">
        <f>'WW calcu'!M839</f>
        <v>0</v>
      </c>
      <c r="M123" s="1511">
        <f>'WW calcu'!N839</f>
        <v>0</v>
      </c>
      <c r="N123" s="1512">
        <f>'WW calcu'!O839</f>
        <v>0</v>
      </c>
      <c r="O123" s="1352"/>
      <c r="P123" s="1431"/>
      <c r="Q123" s="1341"/>
      <c r="R123" s="6702">
        <v>1</v>
      </c>
      <c r="S123" s="6703"/>
      <c r="T123" s="6704">
        <f>IF($R$17="II. CUSTOMIZE BENCHMARKS",$S123,$R123)*$AA$21</f>
        <v>0</v>
      </c>
      <c r="U123" s="6706">
        <f>IF($R$17="II. CUSTOMIZE BENCHMARKS",$S123,$R123)*$AA$22</f>
        <v>0.5</v>
      </c>
      <c r="V123" s="6708">
        <f>IF($R$17="II. CUSTOMIZE BENCHMARKS",$S123,$R123)*$AA$23</f>
        <v>0.9</v>
      </c>
      <c r="W123" s="1445"/>
      <c r="X123" s="1431"/>
      <c r="Y123" s="1431"/>
    </row>
    <row r="124" spans="2:25" ht="30" customHeight="1" outlineLevel="1" x14ac:dyDescent="0.25">
      <c r="B124" s="1341"/>
      <c r="C124" s="6767" t="s">
        <v>2033</v>
      </c>
      <c r="D124" s="6768"/>
      <c r="E124" s="6768"/>
      <c r="F124" s="6768"/>
      <c r="G124" s="6768"/>
      <c r="H124" s="6768"/>
      <c r="I124" s="6768"/>
      <c r="J124" s="6768"/>
      <c r="K124" s="6768"/>
      <c r="L124" s="6768"/>
      <c r="M124" s="6768"/>
      <c r="N124" s="6769"/>
      <c r="O124" s="1352"/>
      <c r="P124" s="1431"/>
      <c r="Q124" s="1341"/>
      <c r="R124" s="6702"/>
      <c r="S124" s="6703"/>
      <c r="T124" s="6705"/>
      <c r="U124" s="6707"/>
      <c r="V124" s="6709"/>
      <c r="W124" s="1341"/>
      <c r="X124" s="1431"/>
      <c r="Y124" s="1431"/>
    </row>
    <row r="125" spans="2:25" x14ac:dyDescent="0.25">
      <c r="B125" s="1341"/>
      <c r="C125" s="1515" t="s">
        <v>1117</v>
      </c>
      <c r="D125" s="1511">
        <f>'WW calcu'!E841</f>
        <v>1</v>
      </c>
      <c r="E125" s="1511">
        <f>'WW calcu'!F841</f>
        <v>1</v>
      </c>
      <c r="F125" s="1511">
        <f>'WW calcu'!G841</f>
        <v>1</v>
      </c>
      <c r="G125" s="1511">
        <f>'WW calcu'!H841</f>
        <v>1</v>
      </c>
      <c r="H125" s="1511">
        <f>'WW calcu'!I841</f>
        <v>1</v>
      </c>
      <c r="I125" s="1511">
        <f>'WW calcu'!J841</f>
        <v>1</v>
      </c>
      <c r="J125" s="1511">
        <f>'WW calcu'!K841</f>
        <v>1</v>
      </c>
      <c r="K125" s="1511">
        <f>'WW calcu'!L841</f>
        <v>1</v>
      </c>
      <c r="L125" s="1511">
        <f>'WW calcu'!M841</f>
        <v>1</v>
      </c>
      <c r="M125" s="1511">
        <f>'WW calcu'!N841</f>
        <v>1</v>
      </c>
      <c r="N125" s="1512">
        <f>'WW calcu'!O841</f>
        <v>1</v>
      </c>
      <c r="O125" s="1352"/>
      <c r="P125" s="1431"/>
      <c r="Q125" s="1341"/>
      <c r="R125" s="6702">
        <v>0.8</v>
      </c>
      <c r="S125" s="6703"/>
      <c r="T125" s="6704">
        <f>IF($R$17="II. CUSTOMIZE BENCHMARKS",$S125,$R125)*$AA$21</f>
        <v>0</v>
      </c>
      <c r="U125" s="6706">
        <f>IF($R$17="II. CUSTOMIZE BENCHMARKS",$S125,$R125)*$AA$22</f>
        <v>0.4</v>
      </c>
      <c r="V125" s="6708">
        <f>IF($R$17="II. CUSTOMIZE BENCHMARKS",$S125,$R125)*$AA$23</f>
        <v>0.72000000000000008</v>
      </c>
      <c r="W125" s="1445"/>
      <c r="X125" s="1431"/>
      <c r="Y125" s="1431"/>
    </row>
    <row r="126" spans="2:25" outlineLevel="1" x14ac:dyDescent="0.25">
      <c r="B126" s="1341"/>
      <c r="C126" s="6767" t="s">
        <v>3822</v>
      </c>
      <c r="D126" s="6768"/>
      <c r="E126" s="6768"/>
      <c r="F126" s="6768"/>
      <c r="G126" s="6768"/>
      <c r="H126" s="6768"/>
      <c r="I126" s="6768"/>
      <c r="J126" s="6768"/>
      <c r="K126" s="6768"/>
      <c r="L126" s="6768"/>
      <c r="M126" s="6768"/>
      <c r="N126" s="6769"/>
      <c r="O126" s="1352"/>
      <c r="P126" s="1431"/>
      <c r="Q126" s="1341"/>
      <c r="R126" s="6732"/>
      <c r="S126" s="6733"/>
      <c r="T126" s="6714"/>
      <c r="U126" s="6715"/>
      <c r="V126" s="6716"/>
      <c r="W126" s="1341"/>
      <c r="X126" s="1431"/>
      <c r="Y126" s="1431"/>
    </row>
    <row r="127" spans="2:25" x14ac:dyDescent="0.25">
      <c r="B127" s="1341"/>
      <c r="C127" s="1534" t="s">
        <v>2034</v>
      </c>
      <c r="D127" s="1456">
        <f>'WW calcu'!E821</f>
        <v>0</v>
      </c>
      <c r="E127" s="1456">
        <f>'WW calcu'!F821</f>
        <v>0</v>
      </c>
      <c r="F127" s="1456">
        <f>'WW calcu'!G821</f>
        <v>0</v>
      </c>
      <c r="G127" s="1456">
        <f>'WW calcu'!H821</f>
        <v>0</v>
      </c>
      <c r="H127" s="1456">
        <f>'WW calcu'!I821</f>
        <v>0</v>
      </c>
      <c r="I127" s="1456">
        <f>'WW calcu'!J821</f>
        <v>0</v>
      </c>
      <c r="J127" s="1456">
        <f>'WW calcu'!K821</f>
        <v>0</v>
      </c>
      <c r="K127" s="1456">
        <f>'WW calcu'!L821</f>
        <v>0</v>
      </c>
      <c r="L127" s="1456">
        <f>'WW calcu'!M821</f>
        <v>0</v>
      </c>
      <c r="M127" s="1456">
        <f>'WW calcu'!N821</f>
        <v>0</v>
      </c>
      <c r="N127" s="1457">
        <f>'WW calcu'!O821</f>
        <v>0</v>
      </c>
      <c r="O127" s="1341"/>
      <c r="P127" s="1431"/>
      <c r="Q127" s="1341"/>
      <c r="R127" s="1484"/>
      <c r="S127" s="1484"/>
      <c r="T127" s="1484"/>
      <c r="U127" s="1484"/>
      <c r="V127" s="1484"/>
      <c r="W127" s="1341"/>
      <c r="X127" s="1431"/>
      <c r="Y127" s="1431"/>
    </row>
    <row r="128" spans="2:25" outlineLevel="1" x14ac:dyDescent="0.25">
      <c r="B128" s="1341"/>
      <c r="C128" s="6764" t="s">
        <v>2035</v>
      </c>
      <c r="D128" s="6765"/>
      <c r="E128" s="6765"/>
      <c r="F128" s="6765"/>
      <c r="G128" s="6765"/>
      <c r="H128" s="6765"/>
      <c r="I128" s="6765"/>
      <c r="J128" s="6765"/>
      <c r="K128" s="6765"/>
      <c r="L128" s="6765"/>
      <c r="M128" s="6765"/>
      <c r="N128" s="6766"/>
      <c r="O128" s="1341"/>
      <c r="P128" s="1431"/>
      <c r="Q128" s="1341"/>
      <c r="R128" s="1341"/>
      <c r="S128" s="1341"/>
      <c r="T128" s="1341"/>
      <c r="U128" s="1341"/>
      <c r="V128" s="1341"/>
      <c r="W128" s="1341"/>
      <c r="X128" s="1431"/>
      <c r="Y128" s="1431"/>
    </row>
    <row r="129" spans="2:25" x14ac:dyDescent="0.25">
      <c r="B129" s="1341"/>
      <c r="C129" s="1534" t="s">
        <v>2036</v>
      </c>
      <c r="D129" s="1456">
        <f>'WW calcu'!E822</f>
        <v>0</v>
      </c>
      <c r="E129" s="1456">
        <f>'WW calcu'!F822</f>
        <v>0</v>
      </c>
      <c r="F129" s="1456">
        <f>'WW calcu'!G822</f>
        <v>0</v>
      </c>
      <c r="G129" s="1456">
        <f>'WW calcu'!H822</f>
        <v>0</v>
      </c>
      <c r="H129" s="1456">
        <f>'WW calcu'!I822</f>
        <v>0</v>
      </c>
      <c r="I129" s="1456">
        <f>'WW calcu'!J822</f>
        <v>0</v>
      </c>
      <c r="J129" s="1456">
        <f>'WW calcu'!K822</f>
        <v>0</v>
      </c>
      <c r="K129" s="1456">
        <f>'WW calcu'!L822</f>
        <v>0</v>
      </c>
      <c r="L129" s="1456">
        <f>'WW calcu'!M822</f>
        <v>0</v>
      </c>
      <c r="M129" s="1456">
        <f>'WW calcu'!N822</f>
        <v>0</v>
      </c>
      <c r="N129" s="1457">
        <f>'WW calcu'!O822</f>
        <v>0</v>
      </c>
      <c r="O129" s="1341"/>
      <c r="P129" s="1431"/>
      <c r="Q129" s="1341"/>
      <c r="R129" s="1341"/>
      <c r="S129" s="1341"/>
      <c r="T129" s="1341"/>
      <c r="U129" s="1341"/>
      <c r="V129" s="1341"/>
      <c r="W129" s="1341"/>
      <c r="X129" s="1431"/>
      <c r="Y129" s="1431"/>
    </row>
    <row r="130" spans="2:25" outlineLevel="1" x14ac:dyDescent="0.25">
      <c r="B130" s="1341"/>
      <c r="C130" s="6764" t="s">
        <v>2037</v>
      </c>
      <c r="D130" s="6765"/>
      <c r="E130" s="6765"/>
      <c r="F130" s="6765"/>
      <c r="G130" s="6765"/>
      <c r="H130" s="6765"/>
      <c r="I130" s="6765"/>
      <c r="J130" s="6765"/>
      <c r="K130" s="6765"/>
      <c r="L130" s="6765"/>
      <c r="M130" s="6765"/>
      <c r="N130" s="6766"/>
      <c r="O130" s="1341"/>
      <c r="P130" s="1431"/>
      <c r="Q130" s="1341"/>
      <c r="R130" s="1341"/>
      <c r="S130" s="1341"/>
      <c r="T130" s="1341"/>
      <c r="U130" s="1341"/>
      <c r="V130" s="1341"/>
      <c r="W130" s="1341"/>
      <c r="X130" s="1431"/>
      <c r="Y130" s="1431"/>
    </row>
    <row r="131" spans="2:25" x14ac:dyDescent="0.25">
      <c r="B131" s="1341"/>
      <c r="C131" s="1534" t="s">
        <v>2038</v>
      </c>
      <c r="D131" s="1456">
        <f>'WW calcu'!E823</f>
        <v>0</v>
      </c>
      <c r="E131" s="1456">
        <f>'WW calcu'!F823</f>
        <v>0</v>
      </c>
      <c r="F131" s="1456">
        <f>'WW calcu'!G823</f>
        <v>0</v>
      </c>
      <c r="G131" s="1456">
        <f>'WW calcu'!H823</f>
        <v>0</v>
      </c>
      <c r="H131" s="1456">
        <f>'WW calcu'!I823</f>
        <v>0</v>
      </c>
      <c r="I131" s="1456">
        <f>'WW calcu'!J823</f>
        <v>0</v>
      </c>
      <c r="J131" s="1456">
        <f>'WW calcu'!K823</f>
        <v>0</v>
      </c>
      <c r="K131" s="1456">
        <f>'WW calcu'!L823</f>
        <v>0</v>
      </c>
      <c r="L131" s="1456">
        <f>'WW calcu'!M823</f>
        <v>0</v>
      </c>
      <c r="M131" s="1456">
        <f>'WW calcu'!N823</f>
        <v>0</v>
      </c>
      <c r="N131" s="1457">
        <f>'WW calcu'!O823</f>
        <v>0</v>
      </c>
      <c r="O131" s="1341"/>
      <c r="P131" s="1431"/>
      <c r="Q131" s="1341"/>
      <c r="R131" s="1341"/>
      <c r="S131" s="1341"/>
      <c r="T131" s="1341"/>
      <c r="U131" s="1341"/>
      <c r="V131" s="1341"/>
      <c r="W131" s="1341"/>
      <c r="X131" s="1431"/>
      <c r="Y131" s="1431"/>
    </row>
    <row r="132" spans="2:25" outlineLevel="1" x14ac:dyDescent="0.25">
      <c r="B132" s="1341"/>
      <c r="C132" s="6764" t="s">
        <v>2039</v>
      </c>
      <c r="D132" s="6765"/>
      <c r="E132" s="6765"/>
      <c r="F132" s="6765"/>
      <c r="G132" s="6765"/>
      <c r="H132" s="6765"/>
      <c r="I132" s="6765"/>
      <c r="J132" s="6765"/>
      <c r="K132" s="6765"/>
      <c r="L132" s="6765"/>
      <c r="M132" s="6765"/>
      <c r="N132" s="6766"/>
      <c r="O132" s="1341"/>
      <c r="P132" s="1431"/>
      <c r="Q132" s="1341"/>
      <c r="R132" s="1341"/>
      <c r="S132" s="1341"/>
      <c r="T132" s="1341"/>
      <c r="U132" s="1341"/>
      <c r="V132" s="1341"/>
      <c r="W132" s="1341"/>
      <c r="X132" s="1431"/>
      <c r="Y132" s="1431"/>
    </row>
    <row r="133" spans="2:25" ht="21" customHeight="1" x14ac:dyDescent="0.25">
      <c r="B133" s="1341"/>
      <c r="C133" s="1543" t="s">
        <v>1045</v>
      </c>
      <c r="D133" s="1443"/>
      <c r="E133" s="1443"/>
      <c r="F133" s="1443"/>
      <c r="G133" s="1443"/>
      <c r="H133" s="1443"/>
      <c r="I133" s="1443"/>
      <c r="J133" s="1443"/>
      <c r="K133" s="1443"/>
      <c r="L133" s="1443"/>
      <c r="M133" s="1443"/>
      <c r="N133" s="1444"/>
      <c r="O133" s="1341"/>
      <c r="P133" s="1431"/>
      <c r="Q133" s="1352"/>
      <c r="R133" s="1482" t="s">
        <v>1534</v>
      </c>
      <c r="S133" s="1483" t="s">
        <v>2064</v>
      </c>
      <c r="T133" s="1479" t="s">
        <v>817</v>
      </c>
      <c r="U133" s="1480" t="s">
        <v>905</v>
      </c>
      <c r="V133" s="1481" t="s">
        <v>818</v>
      </c>
      <c r="W133" s="1352"/>
      <c r="X133" s="1431"/>
      <c r="Y133" s="1431"/>
    </row>
    <row r="134" spans="2:25" x14ac:dyDescent="0.25">
      <c r="B134" s="1341"/>
      <c r="C134" s="1510" t="s">
        <v>1436</v>
      </c>
      <c r="D134" s="1511">
        <f>D237</f>
        <v>0</v>
      </c>
      <c r="E134" s="1511">
        <f t="shared" ref="E134:N134" si="2">E237</f>
        <v>0</v>
      </c>
      <c r="F134" s="1511">
        <f t="shared" si="2"/>
        <v>0</v>
      </c>
      <c r="G134" s="1511">
        <f t="shared" si="2"/>
        <v>0</v>
      </c>
      <c r="H134" s="1511">
        <f t="shared" si="2"/>
        <v>0</v>
      </c>
      <c r="I134" s="1511">
        <f t="shared" si="2"/>
        <v>0</v>
      </c>
      <c r="J134" s="1511">
        <f t="shared" si="2"/>
        <v>0</v>
      </c>
      <c r="K134" s="1511">
        <f t="shared" si="2"/>
        <v>0</v>
      </c>
      <c r="L134" s="1511">
        <f t="shared" si="2"/>
        <v>0</v>
      </c>
      <c r="M134" s="1511">
        <f t="shared" si="2"/>
        <v>0</v>
      </c>
      <c r="N134" s="1512">
        <f t="shared" si="2"/>
        <v>0</v>
      </c>
      <c r="O134" s="1352"/>
      <c r="P134" s="1431"/>
      <c r="Q134" s="1341"/>
      <c r="R134" s="6717">
        <v>0.9</v>
      </c>
      <c r="S134" s="6718"/>
      <c r="T134" s="6719">
        <f>IF($R$17="II. CUSTOMIZE BENCHMARKS",$S134,$R134)*$AA$21</f>
        <v>0</v>
      </c>
      <c r="U134" s="6720">
        <f>IF($R$17="II. CUSTOMIZE BENCHMARKS",$S134,$R134)*$AA$22</f>
        <v>0.45</v>
      </c>
      <c r="V134" s="6721">
        <f>IF($R$17="II. CUSTOMIZE BENCHMARKS",$S134,$R134)*$AA$23</f>
        <v>0.81</v>
      </c>
      <c r="W134" s="1445"/>
      <c r="X134" s="1431"/>
      <c r="Y134" s="1431"/>
    </row>
    <row r="135" spans="2:25" outlineLevel="1" x14ac:dyDescent="0.25">
      <c r="B135" s="1341"/>
      <c r="C135" s="6767" t="s">
        <v>2040</v>
      </c>
      <c r="D135" s="6768"/>
      <c r="E135" s="6768"/>
      <c r="F135" s="6768"/>
      <c r="G135" s="6768"/>
      <c r="H135" s="6768"/>
      <c r="I135" s="6768"/>
      <c r="J135" s="6768"/>
      <c r="K135" s="6768"/>
      <c r="L135" s="6768"/>
      <c r="M135" s="6768"/>
      <c r="N135" s="6769"/>
      <c r="O135" s="1352"/>
      <c r="P135" s="1431"/>
      <c r="Q135" s="1341"/>
      <c r="R135" s="6710"/>
      <c r="S135" s="6712"/>
      <c r="T135" s="6705"/>
      <c r="U135" s="6707"/>
      <c r="V135" s="6709"/>
      <c r="W135" s="1341"/>
      <c r="X135" s="1431"/>
      <c r="Y135" s="1431"/>
    </row>
    <row r="136" spans="2:25" x14ac:dyDescent="0.25">
      <c r="B136" s="1341"/>
      <c r="C136" s="1515" t="s">
        <v>1119</v>
      </c>
      <c r="D136" s="1511">
        <f>'WW calcu'!E924</f>
        <v>0</v>
      </c>
      <c r="E136" s="1511">
        <f>'WW calcu'!F924</f>
        <v>5.3649068195134146E-3</v>
      </c>
      <c r="F136" s="1511">
        <f>'WW calcu'!G924</f>
        <v>4.7708009893881846E-3</v>
      </c>
      <c r="G136" s="1511">
        <f>'WW calcu'!H924</f>
        <v>4.4997201726306732E-3</v>
      </c>
      <c r="H136" s="1511">
        <f>'WW calcu'!I924</f>
        <v>5.1342029527855673E-2</v>
      </c>
      <c r="I136" s="1511">
        <f>'WW calcu'!J924</f>
        <v>5.0364086108277466E-2</v>
      </c>
      <c r="J136" s="1511">
        <f>'WW calcu'!K924</f>
        <v>0</v>
      </c>
      <c r="K136" s="1511">
        <f>'WW calcu'!L924</f>
        <v>0</v>
      </c>
      <c r="L136" s="1511">
        <f>'WW calcu'!M924</f>
        <v>0</v>
      </c>
      <c r="M136" s="1511">
        <f>'WW calcu'!N924</f>
        <v>0</v>
      </c>
      <c r="N136" s="1512">
        <f>'WW calcu'!O924</f>
        <v>0</v>
      </c>
      <c r="O136" s="1352"/>
      <c r="P136" s="1431"/>
      <c r="Q136" s="1341"/>
      <c r="R136" s="6702">
        <v>1</v>
      </c>
      <c r="S136" s="6703"/>
      <c r="T136" s="6704">
        <f>IF($R$17="II. CUSTOMIZE BENCHMARKS",$S136,$R136)*$AA$21</f>
        <v>0</v>
      </c>
      <c r="U136" s="6706">
        <f>IF($R$17="II. CUSTOMIZE BENCHMARKS",$S136,$R136)*$AA$22</f>
        <v>0.5</v>
      </c>
      <c r="V136" s="6708">
        <f>IF($R$17="II. CUSTOMIZE BENCHMARKS",$S136,$R136)*$AA$23</f>
        <v>0.9</v>
      </c>
      <c r="W136" s="1445"/>
      <c r="X136" s="1431"/>
      <c r="Y136" s="1431"/>
    </row>
    <row r="137" spans="2:25" outlineLevel="1" x14ac:dyDescent="0.25">
      <c r="B137" s="1341"/>
      <c r="C137" s="6767" t="s">
        <v>1859</v>
      </c>
      <c r="D137" s="6768"/>
      <c r="E137" s="6768"/>
      <c r="F137" s="6768"/>
      <c r="G137" s="6768"/>
      <c r="H137" s="6768"/>
      <c r="I137" s="6768"/>
      <c r="J137" s="6768"/>
      <c r="K137" s="6768"/>
      <c r="L137" s="6768"/>
      <c r="M137" s="6768"/>
      <c r="N137" s="6769"/>
      <c r="O137" s="1352"/>
      <c r="P137" s="1431"/>
      <c r="Q137" s="1341"/>
      <c r="R137" s="6732"/>
      <c r="S137" s="6733"/>
      <c r="T137" s="6714"/>
      <c r="U137" s="6715"/>
      <c r="V137" s="6716"/>
      <c r="W137" s="1341"/>
      <c r="X137" s="1431"/>
      <c r="Y137" s="1431"/>
    </row>
    <row r="138" spans="2:25" x14ac:dyDescent="0.25">
      <c r="B138" s="1341"/>
      <c r="C138" s="1462" t="s">
        <v>1348</v>
      </c>
      <c r="D138" s="1458">
        <f>'WW calcu'!E925</f>
        <v>0</v>
      </c>
      <c r="E138" s="1458">
        <f>'WW calcu'!F925</f>
        <v>0</v>
      </c>
      <c r="F138" s="1458">
        <f>'WW calcu'!G925</f>
        <v>0</v>
      </c>
      <c r="G138" s="1458">
        <f>'WW calcu'!H925</f>
        <v>0</v>
      </c>
      <c r="H138" s="1458">
        <f>'WW calcu'!I925</f>
        <v>0</v>
      </c>
      <c r="I138" s="1458">
        <f>'WW calcu'!J925</f>
        <v>0</v>
      </c>
      <c r="J138" s="1458">
        <f>'WW calcu'!K925</f>
        <v>0</v>
      </c>
      <c r="K138" s="1458">
        <f>'WW calcu'!L925</f>
        <v>0</v>
      </c>
      <c r="L138" s="1458">
        <f>'WW calcu'!M925</f>
        <v>0</v>
      </c>
      <c r="M138" s="1458">
        <f>'WW calcu'!N925</f>
        <v>0</v>
      </c>
      <c r="N138" s="1459">
        <f>'WW calcu'!O925</f>
        <v>0</v>
      </c>
      <c r="O138" s="1341"/>
      <c r="P138" s="1431"/>
      <c r="Q138" s="1341"/>
      <c r="R138" s="1484"/>
      <c r="S138" s="1484"/>
      <c r="T138" s="1484"/>
      <c r="U138" s="1484"/>
      <c r="V138" s="1484"/>
      <c r="W138" s="1341"/>
      <c r="X138" s="1431"/>
      <c r="Y138" s="1431"/>
    </row>
    <row r="139" spans="2:25" outlineLevel="1" x14ac:dyDescent="0.25">
      <c r="B139" s="1341"/>
      <c r="C139" s="6764" t="s">
        <v>3821</v>
      </c>
      <c r="D139" s="6765"/>
      <c r="E139" s="6765"/>
      <c r="F139" s="6765"/>
      <c r="G139" s="6765"/>
      <c r="H139" s="6765"/>
      <c r="I139" s="6765"/>
      <c r="J139" s="6765"/>
      <c r="K139" s="6765"/>
      <c r="L139" s="6765"/>
      <c r="M139" s="6765"/>
      <c r="N139" s="6766"/>
      <c r="O139" s="1341"/>
      <c r="P139" s="1431"/>
      <c r="Q139" s="1341"/>
      <c r="R139" s="1341"/>
      <c r="S139" s="1341"/>
      <c r="T139" s="1341"/>
      <c r="U139" s="1341"/>
      <c r="V139" s="1341"/>
      <c r="W139" s="1341"/>
      <c r="X139" s="1431"/>
      <c r="Y139" s="1431"/>
    </row>
    <row r="140" spans="2:25" x14ac:dyDescent="0.25">
      <c r="B140" s="1341"/>
      <c r="C140" s="1462" t="s">
        <v>1342</v>
      </c>
      <c r="D140" s="1458">
        <f>'WW calcu'!E926</f>
        <v>0</v>
      </c>
      <c r="E140" s="1458">
        <f>'WW calcu'!F926</f>
        <v>0</v>
      </c>
      <c r="F140" s="1458">
        <f>'WW calcu'!G926</f>
        <v>0</v>
      </c>
      <c r="G140" s="1458">
        <f>'WW calcu'!H926</f>
        <v>0</v>
      </c>
      <c r="H140" s="1458">
        <f>'WW calcu'!I926</f>
        <v>0</v>
      </c>
      <c r="I140" s="1458">
        <f>'WW calcu'!J926</f>
        <v>0</v>
      </c>
      <c r="J140" s="1458">
        <f>'WW calcu'!K926</f>
        <v>0</v>
      </c>
      <c r="K140" s="1458">
        <f>'WW calcu'!L926</f>
        <v>0</v>
      </c>
      <c r="L140" s="1458">
        <f>'WW calcu'!M926</f>
        <v>0</v>
      </c>
      <c r="M140" s="1458">
        <f>'WW calcu'!N926</f>
        <v>0</v>
      </c>
      <c r="N140" s="1459">
        <f>'WW calcu'!O926</f>
        <v>0</v>
      </c>
      <c r="O140" s="1341"/>
      <c r="P140" s="1431"/>
      <c r="Q140" s="1341"/>
      <c r="R140" s="1341"/>
      <c r="S140" s="1341"/>
      <c r="T140" s="1341"/>
      <c r="U140" s="1341"/>
      <c r="V140" s="1341"/>
      <c r="W140" s="1341"/>
      <c r="X140" s="1431"/>
      <c r="Y140" s="1431"/>
    </row>
    <row r="141" spans="2:25" outlineLevel="1" x14ac:dyDescent="0.25">
      <c r="B141" s="1341"/>
      <c r="C141" s="6764" t="s">
        <v>3820</v>
      </c>
      <c r="D141" s="6765"/>
      <c r="E141" s="6765"/>
      <c r="F141" s="6765"/>
      <c r="G141" s="6765"/>
      <c r="H141" s="6765"/>
      <c r="I141" s="6765"/>
      <c r="J141" s="6765"/>
      <c r="K141" s="6765"/>
      <c r="L141" s="6765"/>
      <c r="M141" s="6765"/>
      <c r="N141" s="6766"/>
      <c r="O141" s="1341"/>
      <c r="P141" s="1431"/>
      <c r="Q141" s="1341"/>
      <c r="R141" s="1341"/>
      <c r="S141" s="1341"/>
      <c r="T141" s="1341"/>
      <c r="U141" s="1341"/>
      <c r="V141" s="1341"/>
      <c r="W141" s="1341"/>
      <c r="X141" s="1431"/>
      <c r="Y141" s="1431"/>
    </row>
    <row r="142" spans="2:25" x14ac:dyDescent="0.25">
      <c r="B142" s="1341"/>
      <c r="C142" s="1462" t="s">
        <v>1343</v>
      </c>
      <c r="D142" s="1458">
        <f>'WW calcu'!E927</f>
        <v>0</v>
      </c>
      <c r="E142" s="1458">
        <f>'WW calcu'!F927</f>
        <v>0</v>
      </c>
      <c r="F142" s="1458">
        <f>'WW calcu'!G927</f>
        <v>0</v>
      </c>
      <c r="G142" s="1458">
        <f>'WW calcu'!H927</f>
        <v>0</v>
      </c>
      <c r="H142" s="1458">
        <f>'WW calcu'!I927</f>
        <v>0</v>
      </c>
      <c r="I142" s="1458">
        <f>'WW calcu'!J927</f>
        <v>0</v>
      </c>
      <c r="J142" s="1458">
        <f>'WW calcu'!K927</f>
        <v>0</v>
      </c>
      <c r="K142" s="1458">
        <f>'WW calcu'!L927</f>
        <v>0</v>
      </c>
      <c r="L142" s="1458">
        <f>'WW calcu'!M927</f>
        <v>0</v>
      </c>
      <c r="M142" s="1458">
        <f>'WW calcu'!N927</f>
        <v>0</v>
      </c>
      <c r="N142" s="1459">
        <f>'WW calcu'!O927</f>
        <v>0</v>
      </c>
      <c r="O142" s="1341"/>
      <c r="P142" s="1431"/>
      <c r="Q142" s="1341"/>
      <c r="R142" s="1341"/>
      <c r="S142" s="1341"/>
      <c r="T142" s="1341"/>
      <c r="U142" s="1341"/>
      <c r="V142" s="1341"/>
      <c r="W142" s="1341"/>
      <c r="X142" s="1431"/>
      <c r="Y142" s="1431"/>
    </row>
    <row r="143" spans="2:25" outlineLevel="1" x14ac:dyDescent="0.25">
      <c r="B143" s="1341"/>
      <c r="C143" s="6764" t="s">
        <v>3819</v>
      </c>
      <c r="D143" s="6765"/>
      <c r="E143" s="6765"/>
      <c r="F143" s="6765"/>
      <c r="G143" s="6765"/>
      <c r="H143" s="6765"/>
      <c r="I143" s="6765"/>
      <c r="J143" s="6765"/>
      <c r="K143" s="6765"/>
      <c r="L143" s="6765"/>
      <c r="M143" s="6765"/>
      <c r="N143" s="6766"/>
      <c r="O143" s="1341"/>
      <c r="P143" s="1431"/>
      <c r="Q143" s="1341"/>
      <c r="R143" s="1341"/>
      <c r="S143" s="1341"/>
      <c r="T143" s="1341"/>
      <c r="U143" s="1341"/>
      <c r="V143" s="1341"/>
      <c r="W143" s="1341"/>
      <c r="X143" s="1431"/>
      <c r="Y143" s="1431"/>
    </row>
    <row r="144" spans="2:25" x14ac:dyDescent="0.25">
      <c r="B144" s="1341"/>
      <c r="C144" s="1462" t="s">
        <v>1344</v>
      </c>
      <c r="D144" s="1456">
        <f>'WW calcu'!E913</f>
        <v>0</v>
      </c>
      <c r="E144" s="1456">
        <f>'WW calcu'!F913</f>
        <v>0</v>
      </c>
      <c r="F144" s="1456">
        <f>'WW calcu'!G913</f>
        <v>0</v>
      </c>
      <c r="G144" s="1456">
        <f>'WW calcu'!H913</f>
        <v>0</v>
      </c>
      <c r="H144" s="1456">
        <f>'WW calcu'!I913</f>
        <v>0</v>
      </c>
      <c r="I144" s="1456">
        <f>'WW calcu'!J913</f>
        <v>0</v>
      </c>
      <c r="J144" s="1456">
        <f>'WW calcu'!K913</f>
        <v>0</v>
      </c>
      <c r="K144" s="1456">
        <f>'WW calcu'!L913</f>
        <v>0</v>
      </c>
      <c r="L144" s="1456">
        <f>'WW calcu'!M913</f>
        <v>0</v>
      </c>
      <c r="M144" s="1456">
        <f>'WW calcu'!N913</f>
        <v>0</v>
      </c>
      <c r="N144" s="1457">
        <f>'WW calcu'!O913</f>
        <v>0</v>
      </c>
      <c r="O144" s="1341"/>
      <c r="P144" s="1431"/>
      <c r="Q144" s="1341"/>
      <c r="R144" s="1341"/>
      <c r="S144" s="1341"/>
      <c r="T144" s="1341"/>
      <c r="U144" s="1341"/>
      <c r="V144" s="1341"/>
      <c r="W144" s="1341"/>
      <c r="X144" s="1431"/>
      <c r="Y144" s="1431"/>
    </row>
    <row r="145" spans="2:25" outlineLevel="1" x14ac:dyDescent="0.25">
      <c r="B145" s="1341"/>
      <c r="C145" s="6785" t="s">
        <v>2041</v>
      </c>
      <c r="D145" s="6786"/>
      <c r="E145" s="6786"/>
      <c r="F145" s="6786"/>
      <c r="G145" s="6786"/>
      <c r="H145" s="6786"/>
      <c r="I145" s="6786"/>
      <c r="J145" s="6786"/>
      <c r="K145" s="6786"/>
      <c r="L145" s="6786"/>
      <c r="M145" s="6786"/>
      <c r="N145" s="6787"/>
      <c r="O145" s="1341"/>
      <c r="P145" s="1431"/>
      <c r="Q145" s="1341"/>
      <c r="R145" s="1341"/>
      <c r="S145" s="1341"/>
      <c r="T145" s="1341"/>
      <c r="U145" s="1341"/>
      <c r="V145" s="1341"/>
      <c r="W145" s="1341"/>
      <c r="X145" s="1431"/>
      <c r="Y145" s="1431"/>
    </row>
    <row r="146" spans="2:25" x14ac:dyDescent="0.25">
      <c r="B146" s="1341"/>
      <c r="C146" s="1462" t="s">
        <v>1359</v>
      </c>
      <c r="D146" s="1456">
        <f>'WW calcu'!E903</f>
        <v>0</v>
      </c>
      <c r="E146" s="1456">
        <f>'WW calcu'!F903</f>
        <v>0</v>
      </c>
      <c r="F146" s="1456">
        <f>'WW calcu'!G903</f>
        <v>0</v>
      </c>
      <c r="G146" s="1456">
        <f>'WW calcu'!H903</f>
        <v>0</v>
      </c>
      <c r="H146" s="1456">
        <f>'WW calcu'!I903</f>
        <v>0</v>
      </c>
      <c r="I146" s="1456">
        <f>'WW calcu'!J903</f>
        <v>0</v>
      </c>
      <c r="J146" s="1456">
        <f>'WW calcu'!K903</f>
        <v>0</v>
      </c>
      <c r="K146" s="1456">
        <f>'WW calcu'!L903</f>
        <v>0</v>
      </c>
      <c r="L146" s="1456">
        <f>'WW calcu'!M903</f>
        <v>0</v>
      </c>
      <c r="M146" s="1456">
        <f>'WW calcu'!N903</f>
        <v>0</v>
      </c>
      <c r="N146" s="1457">
        <f>'WW calcu'!O903</f>
        <v>0</v>
      </c>
      <c r="O146" s="1341"/>
      <c r="P146" s="1431"/>
      <c r="Q146" s="1341"/>
      <c r="R146" s="1341"/>
      <c r="S146" s="1341"/>
      <c r="T146" s="1341"/>
      <c r="U146" s="1341"/>
      <c r="V146" s="1341"/>
      <c r="W146" s="1341"/>
      <c r="X146" s="1431"/>
      <c r="Y146" s="1431"/>
    </row>
    <row r="147" spans="2:25" ht="15.75" outlineLevel="1" thickBot="1" x14ac:dyDescent="0.3">
      <c r="B147" s="1341"/>
      <c r="C147" s="6791" t="s">
        <v>2042</v>
      </c>
      <c r="D147" s="6792"/>
      <c r="E147" s="6792"/>
      <c r="F147" s="6792"/>
      <c r="G147" s="6792"/>
      <c r="H147" s="6792"/>
      <c r="I147" s="6792"/>
      <c r="J147" s="6792"/>
      <c r="K147" s="6792"/>
      <c r="L147" s="6792"/>
      <c r="M147" s="6792"/>
      <c r="N147" s="6793"/>
      <c r="O147" s="1341"/>
      <c r="P147" s="1431"/>
      <c r="Q147" s="1341"/>
      <c r="R147" s="1341"/>
      <c r="S147" s="1341"/>
      <c r="T147" s="1341"/>
      <c r="U147" s="1341"/>
      <c r="V147" s="1341"/>
      <c r="W147" s="1341"/>
      <c r="X147" s="1431"/>
      <c r="Y147" s="1431"/>
    </row>
    <row r="148" spans="2:25" x14ac:dyDescent="0.25">
      <c r="B148" s="1341"/>
      <c r="C148" s="1461"/>
      <c r="D148" s="1461"/>
      <c r="E148" s="1461"/>
      <c r="F148" s="1461"/>
      <c r="G148" s="1461"/>
      <c r="H148" s="1461"/>
      <c r="I148" s="1461"/>
      <c r="J148" s="1461"/>
      <c r="K148" s="1461"/>
      <c r="L148" s="1461"/>
      <c r="M148" s="1461"/>
      <c r="N148" s="1461"/>
      <c r="O148" s="1341"/>
      <c r="P148" s="1431"/>
      <c r="Q148" s="1341"/>
      <c r="R148" s="1341"/>
      <c r="S148" s="1341"/>
      <c r="T148" s="1341"/>
      <c r="U148" s="1341"/>
      <c r="V148" s="1341"/>
      <c r="W148" s="1341"/>
      <c r="X148" s="1431"/>
      <c r="Y148" s="1431"/>
    </row>
    <row r="149" spans="2:25" x14ac:dyDescent="0.25">
      <c r="B149" s="1341"/>
      <c r="C149" s="1341"/>
      <c r="D149" s="1341"/>
      <c r="E149" s="1341"/>
      <c r="F149" s="1341"/>
      <c r="G149" s="1341"/>
      <c r="H149" s="1341"/>
      <c r="I149" s="1341"/>
      <c r="J149" s="1341"/>
      <c r="K149" s="1341"/>
      <c r="L149" s="1341"/>
      <c r="M149" s="1341"/>
      <c r="N149" s="1341"/>
      <c r="O149" s="1341"/>
      <c r="P149" s="1431"/>
      <c r="Q149" s="1341"/>
      <c r="R149" s="1341"/>
      <c r="S149" s="1341"/>
      <c r="T149" s="1341"/>
      <c r="U149" s="1341"/>
      <c r="V149" s="1341"/>
      <c r="W149" s="1341"/>
      <c r="X149" s="1431"/>
      <c r="Y149" s="1431"/>
    </row>
    <row r="150" spans="2:25" s="1441" customFormat="1" ht="18.75" x14ac:dyDescent="0.25">
      <c r="B150" s="1437" t="s">
        <v>10</v>
      </c>
      <c r="C150" s="1438" t="s">
        <v>1373</v>
      </c>
      <c r="D150" s="1439"/>
      <c r="E150" s="1440"/>
      <c r="F150" s="1439"/>
      <c r="G150" s="1439"/>
      <c r="H150" s="1439"/>
      <c r="I150" s="1439"/>
      <c r="J150" s="1439"/>
      <c r="K150" s="1439"/>
      <c r="L150" s="1439"/>
      <c r="M150" s="1439"/>
      <c r="N150" s="1439"/>
      <c r="O150" s="1439"/>
      <c r="P150" s="1431"/>
      <c r="Q150" s="1439"/>
      <c r="R150" s="6745" t="s">
        <v>2065</v>
      </c>
      <c r="S150" s="6745"/>
      <c r="T150" s="6745"/>
      <c r="U150" s="6745"/>
      <c r="V150" s="6745"/>
      <c r="W150" s="1439"/>
      <c r="X150" s="1431"/>
      <c r="Y150" s="1431"/>
    </row>
    <row r="151" spans="2:25" ht="28.5" customHeight="1" thickBot="1" x14ac:dyDescent="0.3">
      <c r="B151" s="1341"/>
      <c r="C151" s="1341"/>
      <c r="D151" s="1341"/>
      <c r="E151" s="1341"/>
      <c r="F151" s="1341"/>
      <c r="G151" s="1341"/>
      <c r="H151" s="1341"/>
      <c r="I151" s="1341"/>
      <c r="J151" s="1341"/>
      <c r="K151" s="1341"/>
      <c r="L151" s="1341"/>
      <c r="M151" s="1341"/>
      <c r="N151" s="1341"/>
      <c r="O151" s="1341"/>
      <c r="P151" s="1431"/>
      <c r="Q151" s="1341"/>
      <c r="R151" s="1341"/>
      <c r="S151" s="1341"/>
      <c r="T151" s="1341"/>
      <c r="U151" s="1341"/>
      <c r="V151" s="1341"/>
      <c r="W151" s="1341"/>
      <c r="X151" s="1431"/>
      <c r="Y151" s="1431"/>
    </row>
    <row r="152" spans="2:25" ht="22.5" customHeight="1" x14ac:dyDescent="0.25">
      <c r="B152" s="1341"/>
      <c r="C152" s="1442" t="s">
        <v>1352</v>
      </c>
      <c r="D152" s="1451">
        <f>D$220</f>
        <v>2014</v>
      </c>
      <c r="E152" s="1452">
        <f t="shared" ref="E152:N152" si="3">E$220</f>
        <v>2015</v>
      </c>
      <c r="F152" s="1452">
        <f t="shared" si="3"/>
        <v>2016</v>
      </c>
      <c r="G152" s="1452">
        <f t="shared" si="3"/>
        <v>2017</v>
      </c>
      <c r="H152" s="1452">
        <f t="shared" si="3"/>
        <v>2018</v>
      </c>
      <c r="I152" s="1452">
        <f t="shared" si="3"/>
        <v>2019</v>
      </c>
      <c r="J152" s="1452">
        <f t="shared" si="3"/>
        <v>2020</v>
      </c>
      <c r="K152" s="1452">
        <f t="shared" si="3"/>
        <v>2021</v>
      </c>
      <c r="L152" s="1452">
        <f t="shared" si="3"/>
        <v>2022</v>
      </c>
      <c r="M152" s="1452">
        <f t="shared" si="3"/>
        <v>2023</v>
      </c>
      <c r="N152" s="1453">
        <f t="shared" si="3"/>
        <v>2024</v>
      </c>
      <c r="O152" s="1341"/>
      <c r="P152" s="1431"/>
      <c r="Q152" s="1341"/>
      <c r="R152" s="1341"/>
      <c r="S152" s="1341"/>
      <c r="T152" s="1341"/>
      <c r="U152" s="1341"/>
      <c r="V152" s="1341"/>
      <c r="W152" s="1341"/>
      <c r="X152" s="1431"/>
      <c r="Y152" s="1431"/>
    </row>
    <row r="153" spans="2:25" ht="21" customHeight="1" x14ac:dyDescent="0.25">
      <c r="B153" s="1341"/>
      <c r="C153" s="1543" t="s">
        <v>565</v>
      </c>
      <c r="D153" s="1443"/>
      <c r="E153" s="1443"/>
      <c r="F153" s="1443"/>
      <c r="G153" s="1443"/>
      <c r="H153" s="1443"/>
      <c r="I153" s="1443"/>
      <c r="J153" s="1443"/>
      <c r="K153" s="1443"/>
      <c r="L153" s="1443"/>
      <c r="M153" s="1443"/>
      <c r="N153" s="1444"/>
      <c r="O153" s="1341"/>
      <c r="P153" s="1431"/>
      <c r="Q153" s="1352"/>
      <c r="R153" s="1482" t="s">
        <v>1534</v>
      </c>
      <c r="S153" s="1483" t="s">
        <v>2064</v>
      </c>
      <c r="T153" s="1479" t="s">
        <v>817</v>
      </c>
      <c r="U153" s="1480" t="s">
        <v>905</v>
      </c>
      <c r="V153" s="1481" t="s">
        <v>818</v>
      </c>
      <c r="W153" s="1352"/>
      <c r="X153" s="1431"/>
      <c r="Y153" s="1431"/>
    </row>
    <row r="154" spans="2:25" ht="30" customHeight="1" x14ac:dyDescent="0.25">
      <c r="B154" s="1341"/>
      <c r="C154" s="1510" t="s">
        <v>1364</v>
      </c>
      <c r="D154" s="1511">
        <f>'MSW calcu'!F65</f>
        <v>0</v>
      </c>
      <c r="E154" s="1511">
        <f>'MSW calcu'!G65</f>
        <v>0</v>
      </c>
      <c r="F154" s="1511">
        <f>'MSW calcu'!H65</f>
        <v>0</v>
      </c>
      <c r="G154" s="1511">
        <f>'MSW calcu'!I65</f>
        <v>0</v>
      </c>
      <c r="H154" s="1511">
        <f>'MSW calcu'!J65</f>
        <v>0</v>
      </c>
      <c r="I154" s="1511">
        <f>'MSW calcu'!K65</f>
        <v>0</v>
      </c>
      <c r="J154" s="1511">
        <f>'MSW calcu'!L65</f>
        <v>0</v>
      </c>
      <c r="K154" s="1511">
        <f>'MSW calcu'!M65</f>
        <v>0</v>
      </c>
      <c r="L154" s="1511">
        <f>'MSW calcu'!N65</f>
        <v>0</v>
      </c>
      <c r="M154" s="1511">
        <f>'MSW calcu'!O65</f>
        <v>0</v>
      </c>
      <c r="N154" s="1512">
        <f>'MSW calcu'!P65</f>
        <v>0</v>
      </c>
      <c r="O154" s="1352"/>
      <c r="P154" s="1431"/>
      <c r="Q154" s="1341"/>
      <c r="R154" s="6717">
        <v>1</v>
      </c>
      <c r="S154" s="6718"/>
      <c r="T154" s="6719">
        <f>IF($R$17="II. CUSTOMIZE BENCHMARKS",$S154,$R154)*$AA$21</f>
        <v>0</v>
      </c>
      <c r="U154" s="6720">
        <f>IF($R$17="II. CUSTOMIZE BENCHMARKS",$S154,$R154)*$AA$22</f>
        <v>0.5</v>
      </c>
      <c r="V154" s="6721">
        <f>IF($R$17="II. CUSTOMIZE BENCHMARKS",$S154,$R154)*$AA$23</f>
        <v>0.9</v>
      </c>
      <c r="W154" s="1445"/>
      <c r="X154" s="1431"/>
      <c r="Y154" s="1431"/>
    </row>
    <row r="155" spans="2:25" outlineLevel="1" x14ac:dyDescent="0.25">
      <c r="B155" s="1341"/>
      <c r="C155" s="6767" t="s">
        <v>2043</v>
      </c>
      <c r="D155" s="6768"/>
      <c r="E155" s="6768"/>
      <c r="F155" s="6768"/>
      <c r="G155" s="6768"/>
      <c r="H155" s="6768"/>
      <c r="I155" s="6768"/>
      <c r="J155" s="6768"/>
      <c r="K155" s="6768"/>
      <c r="L155" s="6768"/>
      <c r="M155" s="6768"/>
      <c r="N155" s="6769"/>
      <c r="O155" s="1352"/>
      <c r="P155" s="1431"/>
      <c r="Q155" s="1341"/>
      <c r="R155" s="6710"/>
      <c r="S155" s="6712"/>
      <c r="T155" s="6705"/>
      <c r="U155" s="6707"/>
      <c r="V155" s="6709"/>
      <c r="W155" s="1341"/>
      <c r="X155" s="1431"/>
      <c r="Y155" s="1431"/>
    </row>
    <row r="156" spans="2:25" ht="30" customHeight="1" x14ac:dyDescent="0.25">
      <c r="B156" s="1341"/>
      <c r="C156" s="1510" t="s">
        <v>1365</v>
      </c>
      <c r="D156" s="1511">
        <f>'MSW calcu'!F66</f>
        <v>0</v>
      </c>
      <c r="E156" s="1511">
        <f>'MSW calcu'!G66</f>
        <v>0</v>
      </c>
      <c r="F156" s="1511">
        <f>'MSW calcu'!H66</f>
        <v>0</v>
      </c>
      <c r="G156" s="1511">
        <f>'MSW calcu'!I66</f>
        <v>0</v>
      </c>
      <c r="H156" s="1511">
        <f>'MSW calcu'!J66</f>
        <v>0</v>
      </c>
      <c r="I156" s="1511">
        <f>'MSW calcu'!K66</f>
        <v>0</v>
      </c>
      <c r="J156" s="1511">
        <f>'MSW calcu'!L66</f>
        <v>0</v>
      </c>
      <c r="K156" s="1511">
        <f>'MSW calcu'!M66</f>
        <v>0</v>
      </c>
      <c r="L156" s="1511">
        <f>'MSW calcu'!N66</f>
        <v>0</v>
      </c>
      <c r="M156" s="1511">
        <f>'MSW calcu'!O66</f>
        <v>0</v>
      </c>
      <c r="N156" s="1512">
        <f>'MSW calcu'!P66</f>
        <v>0</v>
      </c>
      <c r="O156" s="1352"/>
      <c r="P156" s="1431"/>
      <c r="Q156" s="1341"/>
      <c r="R156" s="6702">
        <v>1</v>
      </c>
      <c r="S156" s="6703"/>
      <c r="T156" s="6704">
        <f>IF($R$17="II. CUSTOMIZE BENCHMARKS",$S156,$R156)*$AA$21</f>
        <v>0</v>
      </c>
      <c r="U156" s="6706">
        <f>IF($R$17="II. CUSTOMIZE BENCHMARKS",$S156,$R156)*$AA$22</f>
        <v>0.5</v>
      </c>
      <c r="V156" s="6708">
        <f>IF($R$17="II. CUSTOMIZE BENCHMARKS",$S156,$R156)*$AA$23</f>
        <v>0.9</v>
      </c>
      <c r="W156" s="1445"/>
      <c r="X156" s="1431"/>
      <c r="Y156" s="1431"/>
    </row>
    <row r="157" spans="2:25" outlineLevel="1" x14ac:dyDescent="0.25">
      <c r="B157" s="1341"/>
      <c r="C157" s="6767" t="s">
        <v>2045</v>
      </c>
      <c r="D157" s="6768"/>
      <c r="E157" s="6768"/>
      <c r="F157" s="6768"/>
      <c r="G157" s="6768"/>
      <c r="H157" s="6768"/>
      <c r="I157" s="6768"/>
      <c r="J157" s="6768"/>
      <c r="K157" s="6768"/>
      <c r="L157" s="6768"/>
      <c r="M157" s="6768"/>
      <c r="N157" s="6769"/>
      <c r="O157" s="1352"/>
      <c r="P157" s="1431"/>
      <c r="Q157" s="1341"/>
      <c r="R157" s="6732"/>
      <c r="S157" s="6733"/>
      <c r="T157" s="6714"/>
      <c r="U157" s="6715"/>
      <c r="V157" s="6716"/>
      <c r="W157" s="1341"/>
      <c r="X157" s="1431"/>
      <c r="Y157" s="1431"/>
    </row>
    <row r="158" spans="2:25" ht="16.5" customHeight="1" x14ac:dyDescent="0.25">
      <c r="B158" s="1341"/>
      <c r="C158" s="1534" t="s">
        <v>1845</v>
      </c>
      <c r="D158" s="1456">
        <f>'MSW calcu'!F67</f>
        <v>0</v>
      </c>
      <c r="E158" s="1456">
        <f>'MSW calcu'!G67</f>
        <v>0</v>
      </c>
      <c r="F158" s="1456">
        <f>'MSW calcu'!H67</f>
        <v>0</v>
      </c>
      <c r="G158" s="1456">
        <f>'MSW calcu'!I67</f>
        <v>0</v>
      </c>
      <c r="H158" s="1456">
        <f>'MSW calcu'!J67</f>
        <v>0</v>
      </c>
      <c r="I158" s="1456">
        <f>'MSW calcu'!K67</f>
        <v>0</v>
      </c>
      <c r="J158" s="1456">
        <f>'MSW calcu'!L67</f>
        <v>0</v>
      </c>
      <c r="K158" s="1456">
        <f>'MSW calcu'!M67</f>
        <v>0</v>
      </c>
      <c r="L158" s="1456">
        <f>'MSW calcu'!N67</f>
        <v>0</v>
      </c>
      <c r="M158" s="1456">
        <f>'MSW calcu'!O67</f>
        <v>0</v>
      </c>
      <c r="N158" s="1457">
        <f>'MSW calcu'!P67</f>
        <v>0</v>
      </c>
      <c r="O158" s="1341"/>
      <c r="P158" s="1431"/>
      <c r="Q158" s="1341"/>
      <c r="R158" s="1484"/>
      <c r="S158" s="1484"/>
      <c r="T158" s="1484"/>
      <c r="U158" s="1484"/>
      <c r="V158" s="1484"/>
      <c r="W158" s="1341"/>
      <c r="X158" s="1431"/>
      <c r="Y158" s="1431"/>
    </row>
    <row r="159" spans="2:25" outlineLevel="1" x14ac:dyDescent="0.25">
      <c r="B159" s="1341"/>
      <c r="C159" s="6764" t="s">
        <v>2044</v>
      </c>
      <c r="D159" s="6765"/>
      <c r="E159" s="6765"/>
      <c r="F159" s="6765"/>
      <c r="G159" s="6765"/>
      <c r="H159" s="6765"/>
      <c r="I159" s="6765"/>
      <c r="J159" s="6765"/>
      <c r="K159" s="6765"/>
      <c r="L159" s="6765"/>
      <c r="M159" s="6765"/>
      <c r="N159" s="6766"/>
      <c r="O159" s="1341"/>
      <c r="P159" s="1431"/>
      <c r="Q159" s="1341"/>
      <c r="R159" s="1341"/>
      <c r="S159" s="1341"/>
      <c r="T159" s="1341"/>
      <c r="U159" s="1341"/>
      <c r="V159" s="1341"/>
      <c r="W159" s="1341"/>
      <c r="X159" s="1431"/>
      <c r="Y159" s="1431"/>
    </row>
    <row r="160" spans="2:25" ht="21" customHeight="1" x14ac:dyDescent="0.25">
      <c r="B160" s="1341"/>
      <c r="C160" s="1543" t="s">
        <v>1340</v>
      </c>
      <c r="D160" s="1443"/>
      <c r="E160" s="1443"/>
      <c r="F160" s="1443"/>
      <c r="G160" s="1443"/>
      <c r="H160" s="1443"/>
      <c r="I160" s="1443"/>
      <c r="J160" s="1443"/>
      <c r="K160" s="1443"/>
      <c r="L160" s="1443"/>
      <c r="M160" s="1443"/>
      <c r="N160" s="1444"/>
      <c r="O160" s="1341"/>
      <c r="P160" s="1431"/>
      <c r="Q160" s="1352"/>
      <c r="R160" s="1482" t="s">
        <v>1534</v>
      </c>
      <c r="S160" s="1483" t="s">
        <v>2064</v>
      </c>
      <c r="T160" s="1479" t="s">
        <v>817</v>
      </c>
      <c r="U160" s="1480" t="s">
        <v>905</v>
      </c>
      <c r="V160" s="1481" t="s">
        <v>818</v>
      </c>
      <c r="W160" s="1352"/>
      <c r="X160" s="1431"/>
      <c r="Y160" s="1431"/>
    </row>
    <row r="161" spans="2:25" x14ac:dyDescent="0.25">
      <c r="B161" s="1341"/>
      <c r="C161" s="1510" t="s">
        <v>1431</v>
      </c>
      <c r="D161" s="1511">
        <f>'MSW calcu'!F148</f>
        <v>0</v>
      </c>
      <c r="E161" s="1511">
        <f>'MSW calcu'!G148</f>
        <v>0</v>
      </c>
      <c r="F161" s="1511">
        <f>'MSW calcu'!H148</f>
        <v>0</v>
      </c>
      <c r="G161" s="1511">
        <f>'MSW calcu'!I148</f>
        <v>0</v>
      </c>
      <c r="H161" s="1511">
        <f>'MSW calcu'!J148</f>
        <v>0</v>
      </c>
      <c r="I161" s="1511">
        <f>'MSW calcu'!K148</f>
        <v>0</v>
      </c>
      <c r="J161" s="1511">
        <f>'MSW calcu'!L148</f>
        <v>0</v>
      </c>
      <c r="K161" s="1511">
        <f>'MSW calcu'!M148</f>
        <v>0</v>
      </c>
      <c r="L161" s="1511">
        <f>'MSW calcu'!N148</f>
        <v>0</v>
      </c>
      <c r="M161" s="1511">
        <f>'MSW calcu'!O148</f>
        <v>0</v>
      </c>
      <c r="N161" s="1512">
        <f>'MSW calcu'!P148</f>
        <v>0</v>
      </c>
      <c r="O161" s="1352"/>
      <c r="P161" s="1431"/>
      <c r="Q161" s="1341"/>
      <c r="R161" s="6717">
        <v>1</v>
      </c>
      <c r="S161" s="6718"/>
      <c r="T161" s="6719">
        <f>IF($R$17="II. CUSTOMIZE BENCHMARKS",$S161,$R161)*$AA$21</f>
        <v>0</v>
      </c>
      <c r="U161" s="6720">
        <f>IF($R$17="II. CUSTOMIZE BENCHMARKS",$S161,$R161)*$AA$22</f>
        <v>0.5</v>
      </c>
      <c r="V161" s="6721">
        <f>IF($R$17="II. CUSTOMIZE BENCHMARKS",$S161,$R161)*$AA$23</f>
        <v>0.9</v>
      </c>
      <c r="W161" s="1445"/>
      <c r="X161" s="1431"/>
      <c r="Y161" s="1431"/>
    </row>
    <row r="162" spans="2:25" outlineLevel="1" x14ac:dyDescent="0.25">
      <c r="B162" s="1341"/>
      <c r="C162" s="6767" t="s">
        <v>2046</v>
      </c>
      <c r="D162" s="6768"/>
      <c r="E162" s="6768"/>
      <c r="F162" s="6768"/>
      <c r="G162" s="6768"/>
      <c r="H162" s="6768"/>
      <c r="I162" s="6768"/>
      <c r="J162" s="6768"/>
      <c r="K162" s="6768"/>
      <c r="L162" s="6768"/>
      <c r="M162" s="6768"/>
      <c r="N162" s="6769"/>
      <c r="O162" s="1352"/>
      <c r="P162" s="1431"/>
      <c r="Q162" s="1341"/>
      <c r="R162" s="6710"/>
      <c r="S162" s="6712"/>
      <c r="T162" s="6705"/>
      <c r="U162" s="6707"/>
      <c r="V162" s="6709"/>
      <c r="W162" s="1341"/>
      <c r="X162" s="1431"/>
      <c r="Y162" s="1431"/>
    </row>
    <row r="163" spans="2:25" x14ac:dyDescent="0.25">
      <c r="B163" s="1341"/>
      <c r="C163" s="1510" t="s">
        <v>1502</v>
      </c>
      <c r="D163" s="1511">
        <f>'MSW calcu'!F149</f>
        <v>0</v>
      </c>
      <c r="E163" s="1511">
        <f>'MSW calcu'!G149</f>
        <v>0</v>
      </c>
      <c r="F163" s="1511">
        <f>'MSW calcu'!H149</f>
        <v>0</v>
      </c>
      <c r="G163" s="1511">
        <f>'MSW calcu'!I149</f>
        <v>0</v>
      </c>
      <c r="H163" s="1511">
        <f>'MSW calcu'!J149</f>
        <v>0</v>
      </c>
      <c r="I163" s="1511">
        <f>'MSW calcu'!K149</f>
        <v>0</v>
      </c>
      <c r="J163" s="1511">
        <f>'MSW calcu'!L149</f>
        <v>0</v>
      </c>
      <c r="K163" s="1511">
        <f>'MSW calcu'!M149</f>
        <v>0</v>
      </c>
      <c r="L163" s="1511">
        <f>'MSW calcu'!N149</f>
        <v>0</v>
      </c>
      <c r="M163" s="1511">
        <f>'MSW calcu'!O149</f>
        <v>0</v>
      </c>
      <c r="N163" s="1512">
        <f>'MSW calcu'!P149</f>
        <v>0</v>
      </c>
      <c r="O163" s="1352"/>
      <c r="P163" s="1431"/>
      <c r="Q163" s="1341"/>
      <c r="R163" s="6702">
        <v>1</v>
      </c>
      <c r="S163" s="6703"/>
      <c r="T163" s="6704">
        <f>IF($R$17="II. CUSTOMIZE BENCHMARKS",$S163,$R163)*$AA$21</f>
        <v>0</v>
      </c>
      <c r="U163" s="6706">
        <f>IF($R$17="II. CUSTOMIZE BENCHMARKS",$S163,$R163)*$AA$22</f>
        <v>0.5</v>
      </c>
      <c r="V163" s="6708">
        <f>IF($R$17="II. CUSTOMIZE BENCHMARKS",$S163,$R163)*$AA$23</f>
        <v>0.9</v>
      </c>
      <c r="W163" s="1445"/>
      <c r="X163" s="1431"/>
      <c r="Y163" s="1431"/>
    </row>
    <row r="164" spans="2:25" outlineLevel="1" x14ac:dyDescent="0.25">
      <c r="B164" s="1341"/>
      <c r="C164" s="6767" t="s">
        <v>2047</v>
      </c>
      <c r="D164" s="6768"/>
      <c r="E164" s="6768"/>
      <c r="F164" s="6768"/>
      <c r="G164" s="6768"/>
      <c r="H164" s="6768"/>
      <c r="I164" s="6768"/>
      <c r="J164" s="6768"/>
      <c r="K164" s="6768"/>
      <c r="L164" s="6768"/>
      <c r="M164" s="6768"/>
      <c r="N164" s="6769"/>
      <c r="O164" s="1352"/>
      <c r="P164" s="1431"/>
      <c r="Q164" s="1341"/>
      <c r="R164" s="6702"/>
      <c r="S164" s="6703"/>
      <c r="T164" s="6705"/>
      <c r="U164" s="6707"/>
      <c r="V164" s="6709"/>
      <c r="W164" s="1341"/>
      <c r="X164" s="1431"/>
      <c r="Y164" s="1431"/>
    </row>
    <row r="165" spans="2:25" x14ac:dyDescent="0.25">
      <c r="B165" s="1341"/>
      <c r="C165" s="1510" t="s">
        <v>1432</v>
      </c>
      <c r="D165" s="1511">
        <f>'MSW calcu'!F170</f>
        <v>0</v>
      </c>
      <c r="E165" s="1511">
        <f>'MSW calcu'!G170</f>
        <v>0</v>
      </c>
      <c r="F165" s="1511">
        <f>'MSW calcu'!H170</f>
        <v>0</v>
      </c>
      <c r="G165" s="1511">
        <f>'MSW calcu'!I170</f>
        <v>0</v>
      </c>
      <c r="H165" s="1511">
        <f>'MSW calcu'!J170</f>
        <v>0</v>
      </c>
      <c r="I165" s="1511">
        <f>'MSW calcu'!K170</f>
        <v>0</v>
      </c>
      <c r="J165" s="1511">
        <f>'MSW calcu'!L170</f>
        <v>0</v>
      </c>
      <c r="K165" s="1511">
        <f>'MSW calcu'!M170</f>
        <v>0</v>
      </c>
      <c r="L165" s="1511">
        <f>'MSW calcu'!N170</f>
        <v>0</v>
      </c>
      <c r="M165" s="1511">
        <f>'MSW calcu'!O170</f>
        <v>0</v>
      </c>
      <c r="N165" s="1512">
        <f>'MSW calcu'!P170</f>
        <v>0</v>
      </c>
      <c r="O165" s="1352"/>
      <c r="P165" s="1431"/>
      <c r="Q165" s="1341"/>
      <c r="R165" s="6702">
        <v>0.8</v>
      </c>
      <c r="S165" s="6703"/>
      <c r="T165" s="6704">
        <f>IF($R$17="II. CUSTOMIZE BENCHMARKS",$S165,$R165)*$AA$21</f>
        <v>0</v>
      </c>
      <c r="U165" s="6706">
        <f>IF($R$17="II. CUSTOMIZE BENCHMARKS",$S165,$R165)*$AA$22</f>
        <v>0.4</v>
      </c>
      <c r="V165" s="6708">
        <f>IF($R$17="II. CUSTOMIZE BENCHMARKS",$S165,$R165)*$AA$23</f>
        <v>0.72000000000000008</v>
      </c>
      <c r="W165" s="1445"/>
      <c r="X165" s="1431"/>
      <c r="Y165" s="1431"/>
    </row>
    <row r="166" spans="2:25" outlineLevel="1" x14ac:dyDescent="0.25">
      <c r="B166" s="1341"/>
      <c r="C166" s="6767" t="s">
        <v>2048</v>
      </c>
      <c r="D166" s="6768"/>
      <c r="E166" s="6768"/>
      <c r="F166" s="6768"/>
      <c r="G166" s="6768"/>
      <c r="H166" s="6768"/>
      <c r="I166" s="6768"/>
      <c r="J166" s="6768"/>
      <c r="K166" s="6768"/>
      <c r="L166" s="6768"/>
      <c r="M166" s="6768"/>
      <c r="N166" s="6769"/>
      <c r="O166" s="1352"/>
      <c r="P166" s="1431"/>
      <c r="Q166" s="1341"/>
      <c r="R166" s="6732"/>
      <c r="S166" s="6733"/>
      <c r="T166" s="6714"/>
      <c r="U166" s="6715"/>
      <c r="V166" s="6716"/>
      <c r="W166" s="1341"/>
      <c r="X166" s="1431"/>
      <c r="Y166" s="1431"/>
    </row>
    <row r="167" spans="2:25" x14ac:dyDescent="0.25">
      <c r="B167" s="1341"/>
      <c r="C167" s="1534" t="s">
        <v>1841</v>
      </c>
      <c r="D167" s="1456">
        <f>'MSW calcu'!F94</f>
        <v>0</v>
      </c>
      <c r="E167" s="1456">
        <f>'MSW calcu'!G94</f>
        <v>0</v>
      </c>
      <c r="F167" s="1456">
        <f>'MSW calcu'!H94</f>
        <v>0</v>
      </c>
      <c r="G167" s="1456">
        <f>'MSW calcu'!I94</f>
        <v>0</v>
      </c>
      <c r="H167" s="1456">
        <f>'MSW calcu'!J94</f>
        <v>0</v>
      </c>
      <c r="I167" s="1456">
        <f>'MSW calcu'!K94</f>
        <v>0</v>
      </c>
      <c r="J167" s="1456">
        <f>'MSW calcu'!L94</f>
        <v>0</v>
      </c>
      <c r="K167" s="1456">
        <f>'MSW calcu'!M94</f>
        <v>0</v>
      </c>
      <c r="L167" s="1456">
        <f>'MSW calcu'!N94</f>
        <v>0</v>
      </c>
      <c r="M167" s="1456">
        <f>'MSW calcu'!O94</f>
        <v>0</v>
      </c>
      <c r="N167" s="1457">
        <f>'MSW calcu'!P94</f>
        <v>0</v>
      </c>
      <c r="O167" s="1341"/>
      <c r="P167" s="1431"/>
      <c r="Q167" s="1341"/>
      <c r="R167" s="1484"/>
      <c r="S167" s="1484"/>
      <c r="T167" s="1484"/>
      <c r="U167" s="1484"/>
      <c r="V167" s="1484"/>
      <c r="W167" s="1341"/>
      <c r="X167" s="1431"/>
      <c r="Y167" s="1431"/>
    </row>
    <row r="168" spans="2:25" outlineLevel="1" x14ac:dyDescent="0.25">
      <c r="B168" s="1341"/>
      <c r="C168" s="6764" t="s">
        <v>2049</v>
      </c>
      <c r="D168" s="6765"/>
      <c r="E168" s="6765"/>
      <c r="F168" s="6765"/>
      <c r="G168" s="6765"/>
      <c r="H168" s="6765"/>
      <c r="I168" s="6765"/>
      <c r="J168" s="6765"/>
      <c r="K168" s="6765"/>
      <c r="L168" s="6765"/>
      <c r="M168" s="6765"/>
      <c r="N168" s="6766"/>
      <c r="O168" s="1341"/>
      <c r="P168" s="1431"/>
      <c r="Q168" s="1341"/>
      <c r="R168" s="1341"/>
      <c r="S168" s="1341"/>
      <c r="T168" s="1341"/>
      <c r="U168" s="1341"/>
      <c r="V168" s="1341"/>
      <c r="W168" s="1341"/>
      <c r="X168" s="1431"/>
      <c r="Y168" s="1431"/>
    </row>
    <row r="169" spans="2:25" x14ac:dyDescent="0.25">
      <c r="B169" s="1341"/>
      <c r="C169" s="1534" t="s">
        <v>1842</v>
      </c>
      <c r="D169" s="1456">
        <f>'MSW calcu'!F114</f>
        <v>0</v>
      </c>
      <c r="E169" s="1456">
        <f>'MSW calcu'!G114</f>
        <v>0</v>
      </c>
      <c r="F169" s="1456">
        <f>'MSW calcu'!H114</f>
        <v>0</v>
      </c>
      <c r="G169" s="1456">
        <f>'MSW calcu'!I114</f>
        <v>0</v>
      </c>
      <c r="H169" s="1456">
        <f>'MSW calcu'!J114</f>
        <v>0</v>
      </c>
      <c r="I169" s="1456">
        <f>'MSW calcu'!K114</f>
        <v>0</v>
      </c>
      <c r="J169" s="1456">
        <f>'MSW calcu'!L114</f>
        <v>0</v>
      </c>
      <c r="K169" s="1456">
        <f>'MSW calcu'!M114</f>
        <v>0</v>
      </c>
      <c r="L169" s="1456">
        <f>'MSW calcu'!N114</f>
        <v>0</v>
      </c>
      <c r="M169" s="1456">
        <f>'MSW calcu'!O114</f>
        <v>0</v>
      </c>
      <c r="N169" s="1457">
        <f>'MSW calcu'!P114</f>
        <v>0</v>
      </c>
      <c r="O169" s="1341"/>
      <c r="P169" s="1431"/>
      <c r="Q169" s="1341"/>
      <c r="R169" s="1341"/>
      <c r="S169" s="1341"/>
      <c r="T169" s="1341"/>
      <c r="U169" s="1341"/>
      <c r="V169" s="1341"/>
      <c r="W169" s="1341"/>
      <c r="X169" s="1431"/>
      <c r="Y169" s="1431"/>
    </row>
    <row r="170" spans="2:25" outlineLevel="1" x14ac:dyDescent="0.25">
      <c r="B170" s="1341"/>
      <c r="C170" s="6764" t="s">
        <v>2050</v>
      </c>
      <c r="D170" s="6765"/>
      <c r="E170" s="6765"/>
      <c r="F170" s="6765"/>
      <c r="G170" s="6765"/>
      <c r="H170" s="6765"/>
      <c r="I170" s="6765"/>
      <c r="J170" s="6765"/>
      <c r="K170" s="6765"/>
      <c r="L170" s="6765"/>
      <c r="M170" s="6765"/>
      <c r="N170" s="6766"/>
      <c r="O170" s="1341"/>
      <c r="P170" s="1431"/>
      <c r="Q170" s="1341"/>
      <c r="R170" s="1341"/>
      <c r="S170" s="1341"/>
      <c r="T170" s="1341"/>
      <c r="U170" s="1341"/>
      <c r="V170" s="1341"/>
      <c r="W170" s="1341"/>
      <c r="X170" s="1431"/>
      <c r="Y170" s="1431"/>
    </row>
    <row r="171" spans="2:25" x14ac:dyDescent="0.25">
      <c r="B171" s="1341"/>
      <c r="C171" s="1534" t="s">
        <v>1843</v>
      </c>
      <c r="D171" s="1456">
        <f>'MSW calcu'!F122</f>
        <v>0</v>
      </c>
      <c r="E171" s="1456">
        <f>'MSW calcu'!G122</f>
        <v>0</v>
      </c>
      <c r="F171" s="1456">
        <f>'MSW calcu'!H122</f>
        <v>0</v>
      </c>
      <c r="G171" s="1456">
        <f>'MSW calcu'!I122</f>
        <v>0</v>
      </c>
      <c r="H171" s="1456">
        <f>'MSW calcu'!J122</f>
        <v>0</v>
      </c>
      <c r="I171" s="1456">
        <f>'MSW calcu'!K122</f>
        <v>0</v>
      </c>
      <c r="J171" s="1456">
        <f>'MSW calcu'!L122</f>
        <v>0</v>
      </c>
      <c r="K171" s="1456">
        <f>'MSW calcu'!M122</f>
        <v>0</v>
      </c>
      <c r="L171" s="1456">
        <f>'MSW calcu'!N122</f>
        <v>0</v>
      </c>
      <c r="M171" s="1456">
        <f>'MSW calcu'!O122</f>
        <v>0</v>
      </c>
      <c r="N171" s="1457">
        <f>'MSW calcu'!P122</f>
        <v>0</v>
      </c>
      <c r="O171" s="1341"/>
      <c r="P171" s="1431"/>
      <c r="Q171" s="1341"/>
      <c r="R171" s="1341"/>
      <c r="S171" s="1341"/>
      <c r="T171" s="1341"/>
      <c r="U171" s="1341"/>
      <c r="V171" s="1341"/>
      <c r="W171" s="1341"/>
      <c r="X171" s="1431"/>
      <c r="Y171" s="1431"/>
    </row>
    <row r="172" spans="2:25" outlineLevel="1" x14ac:dyDescent="0.25">
      <c r="B172" s="1341"/>
      <c r="C172" s="6764" t="s">
        <v>2051</v>
      </c>
      <c r="D172" s="6765"/>
      <c r="E172" s="6765"/>
      <c r="F172" s="6765"/>
      <c r="G172" s="6765"/>
      <c r="H172" s="6765"/>
      <c r="I172" s="6765"/>
      <c r="J172" s="6765"/>
      <c r="K172" s="6765"/>
      <c r="L172" s="6765"/>
      <c r="M172" s="6765"/>
      <c r="N172" s="6766"/>
      <c r="O172" s="1341"/>
      <c r="P172" s="1431"/>
      <c r="Q172" s="1341"/>
      <c r="R172" s="1341"/>
      <c r="S172" s="1341"/>
      <c r="T172" s="1341"/>
      <c r="U172" s="1341"/>
      <c r="V172" s="1341"/>
      <c r="W172" s="1341"/>
      <c r="X172" s="1431"/>
      <c r="Y172" s="1431"/>
    </row>
    <row r="173" spans="2:25" ht="21" customHeight="1" x14ac:dyDescent="0.25">
      <c r="B173" s="1341"/>
      <c r="C173" s="1543" t="s">
        <v>1339</v>
      </c>
      <c r="D173" s="1443"/>
      <c r="E173" s="1443"/>
      <c r="F173" s="1443"/>
      <c r="G173" s="1443"/>
      <c r="H173" s="1443"/>
      <c r="I173" s="1443"/>
      <c r="J173" s="1443"/>
      <c r="K173" s="1443"/>
      <c r="L173" s="1443"/>
      <c r="M173" s="1443"/>
      <c r="N173" s="1444"/>
      <c r="O173" s="1341"/>
      <c r="P173" s="1431"/>
      <c r="Q173" s="1352"/>
      <c r="R173" s="1482" t="s">
        <v>1534</v>
      </c>
      <c r="S173" s="1483" t="s">
        <v>2064</v>
      </c>
      <c r="T173" s="1479" t="s">
        <v>817</v>
      </c>
      <c r="U173" s="1480" t="s">
        <v>905</v>
      </c>
      <c r="V173" s="1481" t="s">
        <v>818</v>
      </c>
      <c r="W173" s="1352"/>
      <c r="X173" s="1431"/>
      <c r="Y173" s="1431"/>
    </row>
    <row r="174" spans="2:25" x14ac:dyDescent="0.25">
      <c r="B174" s="1341"/>
      <c r="C174" s="1510" t="s">
        <v>1433</v>
      </c>
      <c r="D174" s="1511">
        <f>'MSW calcu'!F150</f>
        <v>0</v>
      </c>
      <c r="E174" s="1511">
        <f>'MSW calcu'!G150</f>
        <v>0</v>
      </c>
      <c r="F174" s="1511">
        <f>'MSW calcu'!H150</f>
        <v>0</v>
      </c>
      <c r="G174" s="1511">
        <f>'MSW calcu'!I150</f>
        <v>0</v>
      </c>
      <c r="H174" s="1511">
        <f>'MSW calcu'!J150</f>
        <v>0</v>
      </c>
      <c r="I174" s="1511">
        <f>'MSW calcu'!K150</f>
        <v>0</v>
      </c>
      <c r="J174" s="1511">
        <f>'MSW calcu'!L150</f>
        <v>0</v>
      </c>
      <c r="K174" s="1511">
        <f>'MSW calcu'!M150</f>
        <v>0</v>
      </c>
      <c r="L174" s="1511">
        <f>'MSW calcu'!N150</f>
        <v>0</v>
      </c>
      <c r="M174" s="1511">
        <f>'MSW calcu'!O150</f>
        <v>0</v>
      </c>
      <c r="N174" s="1512">
        <f>'MSW calcu'!P150</f>
        <v>0</v>
      </c>
      <c r="O174" s="1352"/>
      <c r="P174" s="1431"/>
      <c r="Q174" s="1341"/>
      <c r="R174" s="6717">
        <v>1</v>
      </c>
      <c r="S174" s="6718"/>
      <c r="T174" s="6719">
        <f>IF($R$17="II. CUSTOMIZE BENCHMARKS",$S174,$R174)*$AA$21</f>
        <v>0</v>
      </c>
      <c r="U174" s="6720">
        <f>IF($R$17="II. CUSTOMIZE BENCHMARKS",$S174,$R174)*$AA$22</f>
        <v>0.5</v>
      </c>
      <c r="V174" s="6721">
        <f>IF($R$17="II. CUSTOMIZE BENCHMARKS",$S174,$R174)*$AA$23</f>
        <v>0.9</v>
      </c>
      <c r="W174" s="1445"/>
      <c r="X174" s="1431"/>
      <c r="Y174" s="1431"/>
    </row>
    <row r="175" spans="2:25" outlineLevel="1" x14ac:dyDescent="0.25">
      <c r="B175" s="1341"/>
      <c r="C175" s="6767" t="s">
        <v>2052</v>
      </c>
      <c r="D175" s="6768"/>
      <c r="E175" s="6768"/>
      <c r="F175" s="6768"/>
      <c r="G175" s="6768"/>
      <c r="H175" s="6768"/>
      <c r="I175" s="6768"/>
      <c r="J175" s="6768"/>
      <c r="K175" s="6768"/>
      <c r="L175" s="6768"/>
      <c r="M175" s="6768"/>
      <c r="N175" s="6769"/>
      <c r="O175" s="1352"/>
      <c r="P175" s="1431"/>
      <c r="Q175" s="1341"/>
      <c r="R175" s="6710"/>
      <c r="S175" s="6712"/>
      <c r="T175" s="6705"/>
      <c r="U175" s="6707"/>
      <c r="V175" s="6709"/>
      <c r="W175" s="1341"/>
      <c r="X175" s="1431"/>
      <c r="Y175" s="1431"/>
    </row>
    <row r="176" spans="2:25" x14ac:dyDescent="0.25">
      <c r="B176" s="1341"/>
      <c r="C176" s="1510" t="s">
        <v>1117</v>
      </c>
      <c r="D176" s="1511">
        <f>'MSW calcu'!F70</f>
        <v>0.96739130434782605</v>
      </c>
      <c r="E176" s="1511">
        <f>'MSW calcu'!G70</f>
        <v>0.96739130434782605</v>
      </c>
      <c r="F176" s="1511">
        <f>'MSW calcu'!H70</f>
        <v>0.96739130434782605</v>
      </c>
      <c r="G176" s="1511">
        <f>'MSW calcu'!I70</f>
        <v>0.96739130434782605</v>
      </c>
      <c r="H176" s="1511">
        <f>'MSW calcu'!J70</f>
        <v>0.96739130434782605</v>
      </c>
      <c r="I176" s="1511">
        <f>'MSW calcu'!K70</f>
        <v>0.96739130434782605</v>
      </c>
      <c r="J176" s="1511">
        <f>'MSW calcu'!L70</f>
        <v>0.96739130434782605</v>
      </c>
      <c r="K176" s="1511">
        <f>'MSW calcu'!M70</f>
        <v>0.96739130434782605</v>
      </c>
      <c r="L176" s="1511">
        <f>'MSW calcu'!N70</f>
        <v>0.96739130434782605</v>
      </c>
      <c r="M176" s="1511">
        <f>'MSW calcu'!O70</f>
        <v>0.96739130434782605</v>
      </c>
      <c r="N176" s="1512">
        <f>'MSW calcu'!P70</f>
        <v>0.96739130434782605</v>
      </c>
      <c r="O176" s="1352"/>
      <c r="P176" s="1431"/>
      <c r="Q176" s="1341"/>
      <c r="R176" s="6702">
        <v>0.8</v>
      </c>
      <c r="S176" s="6703"/>
      <c r="T176" s="6704">
        <f>IF($R$17="II. CUSTOMIZE BENCHMARKS",$S176,$R176)*$AA$21</f>
        <v>0</v>
      </c>
      <c r="U176" s="6706">
        <f>IF($R$17="II. CUSTOMIZE BENCHMARKS",$S176,$R176)*$AA$22</f>
        <v>0.4</v>
      </c>
      <c r="V176" s="6708">
        <f>IF($R$17="II. CUSTOMIZE BENCHMARKS",$S176,$R176)*$AA$23</f>
        <v>0.72000000000000008</v>
      </c>
      <c r="W176" s="1445"/>
      <c r="X176" s="1431"/>
      <c r="Y176" s="1431"/>
    </row>
    <row r="177" spans="2:25" outlineLevel="1" x14ac:dyDescent="0.25">
      <c r="B177" s="1341"/>
      <c r="C177" s="6767" t="s">
        <v>3818</v>
      </c>
      <c r="D177" s="6768"/>
      <c r="E177" s="6768"/>
      <c r="F177" s="6768"/>
      <c r="G177" s="6768"/>
      <c r="H177" s="6768"/>
      <c r="I177" s="6768"/>
      <c r="J177" s="6768"/>
      <c r="K177" s="6768"/>
      <c r="L177" s="6768"/>
      <c r="M177" s="6768"/>
      <c r="N177" s="6769"/>
      <c r="O177" s="1352"/>
      <c r="P177" s="1431"/>
      <c r="Q177" s="1341"/>
      <c r="R177" s="6732"/>
      <c r="S177" s="6733"/>
      <c r="T177" s="6714"/>
      <c r="U177" s="6715"/>
      <c r="V177" s="6716"/>
      <c r="W177" s="1341"/>
      <c r="X177" s="1431"/>
      <c r="Y177" s="1431"/>
    </row>
    <row r="178" spans="2:25" x14ac:dyDescent="0.25">
      <c r="B178" s="1341"/>
      <c r="C178" s="1534" t="s">
        <v>1844</v>
      </c>
      <c r="D178" s="1456">
        <f>'MSW calcu'!F142</f>
        <v>0</v>
      </c>
      <c r="E178" s="1456">
        <f>'MSW calcu'!G142</f>
        <v>0</v>
      </c>
      <c r="F178" s="1456">
        <f>'MSW calcu'!H142</f>
        <v>0</v>
      </c>
      <c r="G178" s="1456">
        <f>'MSW calcu'!I142</f>
        <v>0</v>
      </c>
      <c r="H178" s="1456">
        <f>'MSW calcu'!J142</f>
        <v>0</v>
      </c>
      <c r="I178" s="1456">
        <f>'MSW calcu'!K142</f>
        <v>0</v>
      </c>
      <c r="J178" s="1456">
        <f>'MSW calcu'!L142</f>
        <v>0</v>
      </c>
      <c r="K178" s="1456">
        <f>'MSW calcu'!M142</f>
        <v>0</v>
      </c>
      <c r="L178" s="1456">
        <f>'MSW calcu'!N142</f>
        <v>0</v>
      </c>
      <c r="M178" s="1456">
        <f>'MSW calcu'!O142</f>
        <v>0</v>
      </c>
      <c r="N178" s="1457">
        <f>'MSW calcu'!P142</f>
        <v>0</v>
      </c>
      <c r="O178" s="1341"/>
      <c r="P178" s="1431"/>
      <c r="Q178" s="1341"/>
      <c r="R178" s="1484"/>
      <c r="S178" s="1484"/>
      <c r="T178" s="1484"/>
      <c r="U178" s="1484"/>
      <c r="V178" s="1484"/>
      <c r="W178" s="1341"/>
      <c r="X178" s="1431"/>
      <c r="Y178" s="1431"/>
    </row>
    <row r="179" spans="2:25" ht="28.5" customHeight="1" outlineLevel="1" x14ac:dyDescent="0.25">
      <c r="B179" s="1341"/>
      <c r="C179" s="6764" t="s">
        <v>3020</v>
      </c>
      <c r="D179" s="6765"/>
      <c r="E179" s="6765"/>
      <c r="F179" s="6765"/>
      <c r="G179" s="6765"/>
      <c r="H179" s="6765"/>
      <c r="I179" s="6765"/>
      <c r="J179" s="6765"/>
      <c r="K179" s="6765"/>
      <c r="L179" s="6765"/>
      <c r="M179" s="6765"/>
      <c r="N179" s="6766"/>
      <c r="O179" s="1341"/>
      <c r="P179" s="1431"/>
      <c r="Q179" s="1341"/>
      <c r="R179" s="1341"/>
      <c r="S179" s="1341"/>
      <c r="T179" s="1341"/>
      <c r="U179" s="1341"/>
      <c r="V179" s="1341"/>
      <c r="W179" s="1341"/>
      <c r="X179" s="1431"/>
      <c r="Y179" s="1431"/>
    </row>
    <row r="180" spans="2:25" ht="21" customHeight="1" x14ac:dyDescent="0.25">
      <c r="B180" s="1341"/>
      <c r="C180" s="1543" t="s">
        <v>1045</v>
      </c>
      <c r="D180" s="1556"/>
      <c r="E180" s="1556"/>
      <c r="F180" s="1556"/>
      <c r="G180" s="1556"/>
      <c r="H180" s="1556"/>
      <c r="I180" s="1556"/>
      <c r="J180" s="1556"/>
      <c r="K180" s="1556"/>
      <c r="L180" s="1556"/>
      <c r="M180" s="1556"/>
      <c r="N180" s="1557"/>
      <c r="O180" s="1341"/>
      <c r="P180" s="1431"/>
      <c r="Q180" s="1352"/>
      <c r="R180" s="1482" t="s">
        <v>1534</v>
      </c>
      <c r="S180" s="1483" t="s">
        <v>2064</v>
      </c>
      <c r="T180" s="1479" t="s">
        <v>817</v>
      </c>
      <c r="U180" s="1480" t="s">
        <v>905</v>
      </c>
      <c r="V180" s="1481" t="s">
        <v>818</v>
      </c>
      <c r="W180" s="1352"/>
      <c r="X180" s="1431"/>
      <c r="Y180" s="1431"/>
    </row>
    <row r="181" spans="2:25" x14ac:dyDescent="0.25">
      <c r="B181" s="1341"/>
      <c r="C181" s="1510" t="s">
        <v>1434</v>
      </c>
      <c r="D181" s="1511">
        <f>D261</f>
        <v>0</v>
      </c>
      <c r="E181" s="1511">
        <f>E261</f>
        <v>0</v>
      </c>
      <c r="F181" s="1511">
        <f t="shared" ref="F181:N181" si="4">F261</f>
        <v>0</v>
      </c>
      <c r="G181" s="1511">
        <f t="shared" si="4"/>
        <v>0</v>
      </c>
      <c r="H181" s="1511">
        <f t="shared" si="4"/>
        <v>0</v>
      </c>
      <c r="I181" s="1511">
        <f t="shared" si="4"/>
        <v>0</v>
      </c>
      <c r="J181" s="1511">
        <f t="shared" si="4"/>
        <v>0</v>
      </c>
      <c r="K181" s="1511">
        <f t="shared" si="4"/>
        <v>0</v>
      </c>
      <c r="L181" s="1511">
        <f t="shared" si="4"/>
        <v>0</v>
      </c>
      <c r="M181" s="1511">
        <f t="shared" si="4"/>
        <v>0</v>
      </c>
      <c r="N181" s="1512">
        <f t="shared" si="4"/>
        <v>0</v>
      </c>
      <c r="O181" s="1352"/>
      <c r="P181" s="1431"/>
      <c r="Q181" s="1341"/>
      <c r="R181" s="6717">
        <v>0.9</v>
      </c>
      <c r="S181" s="6718"/>
      <c r="T181" s="6719">
        <f>IF($R$17="II. CUSTOMIZE BENCHMARKS",$S181,$R181)*$AA$21</f>
        <v>0</v>
      </c>
      <c r="U181" s="6720">
        <f>IF($R$17="II. CUSTOMIZE BENCHMARKS",$S181,$R181)*$AA$22</f>
        <v>0.45</v>
      </c>
      <c r="V181" s="6721">
        <f>IF($R$17="II. CUSTOMIZE BENCHMARKS",$S181,$R181)*$AA$23</f>
        <v>0.81</v>
      </c>
      <c r="W181" s="1445"/>
      <c r="X181" s="1431"/>
      <c r="Y181" s="1431"/>
    </row>
    <row r="182" spans="2:25" outlineLevel="1" x14ac:dyDescent="0.25">
      <c r="B182" s="1341"/>
      <c r="C182" s="6767" t="s">
        <v>2053</v>
      </c>
      <c r="D182" s="6768"/>
      <c r="E182" s="6768"/>
      <c r="F182" s="6768"/>
      <c r="G182" s="6768"/>
      <c r="H182" s="6768"/>
      <c r="I182" s="6768"/>
      <c r="J182" s="6768"/>
      <c r="K182" s="6768"/>
      <c r="L182" s="6768"/>
      <c r="M182" s="6768"/>
      <c r="N182" s="6769"/>
      <c r="O182" s="1352"/>
      <c r="P182" s="1431"/>
      <c r="Q182" s="1341"/>
      <c r="R182" s="6710"/>
      <c r="S182" s="6712"/>
      <c r="T182" s="6705"/>
      <c r="U182" s="6707"/>
      <c r="V182" s="6709"/>
      <c r="W182" s="1341"/>
      <c r="X182" s="1431"/>
      <c r="Y182" s="1431"/>
    </row>
    <row r="183" spans="2:25" x14ac:dyDescent="0.25">
      <c r="B183" s="1341"/>
      <c r="C183" s="1515" t="s">
        <v>1435</v>
      </c>
      <c r="D183" s="1511">
        <f>'MSW calcu'!F228</f>
        <v>0</v>
      </c>
      <c r="E183" s="1511">
        <f>'MSW calcu'!G228</f>
        <v>0</v>
      </c>
      <c r="F183" s="1511">
        <f>'MSW calcu'!H228</f>
        <v>0</v>
      </c>
      <c r="G183" s="1511">
        <f>'MSW calcu'!I228</f>
        <v>0</v>
      </c>
      <c r="H183" s="1511">
        <f>'MSW calcu'!J228</f>
        <v>0</v>
      </c>
      <c r="I183" s="1511">
        <f>'MSW calcu'!K228</f>
        <v>0</v>
      </c>
      <c r="J183" s="1511">
        <f>'MSW calcu'!L228</f>
        <v>0</v>
      </c>
      <c r="K183" s="1511">
        <f>'MSW calcu'!M228</f>
        <v>0</v>
      </c>
      <c r="L183" s="1511">
        <f>'MSW calcu'!N228</f>
        <v>0</v>
      </c>
      <c r="M183" s="1511">
        <f>'MSW calcu'!O228</f>
        <v>0</v>
      </c>
      <c r="N183" s="1512">
        <f>'MSW calcu'!P228</f>
        <v>0</v>
      </c>
      <c r="O183" s="1352"/>
      <c r="P183" s="1431"/>
      <c r="Q183" s="1341"/>
      <c r="R183" s="6702">
        <v>1</v>
      </c>
      <c r="S183" s="6703"/>
      <c r="T183" s="6704">
        <f>IF($R$17="II. CUSTOMIZE BENCHMARKS",$S183,$R183)*$AA$21</f>
        <v>0</v>
      </c>
      <c r="U183" s="6706">
        <f>IF($R$17="II. CUSTOMIZE BENCHMARKS",$S183,$R183)*$AA$22</f>
        <v>0.5</v>
      </c>
      <c r="V183" s="6708">
        <f>IF($R$17="II. CUSTOMIZE BENCHMARKS",$S183,$R183)*$AA$23</f>
        <v>0.9</v>
      </c>
      <c r="W183" s="1445"/>
      <c r="X183" s="1431"/>
      <c r="Y183" s="1431"/>
    </row>
    <row r="184" spans="2:25" outlineLevel="1" x14ac:dyDescent="0.25">
      <c r="B184" s="1341"/>
      <c r="C184" s="6767" t="s">
        <v>1860</v>
      </c>
      <c r="D184" s="6768"/>
      <c r="E184" s="6768"/>
      <c r="F184" s="6768"/>
      <c r="G184" s="6768"/>
      <c r="H184" s="6768"/>
      <c r="I184" s="6768"/>
      <c r="J184" s="6768"/>
      <c r="K184" s="6768"/>
      <c r="L184" s="6768"/>
      <c r="M184" s="6768"/>
      <c r="N184" s="6769"/>
      <c r="O184" s="1352"/>
      <c r="P184" s="1431"/>
      <c r="Q184" s="1341"/>
      <c r="R184" s="6732"/>
      <c r="S184" s="6733"/>
      <c r="T184" s="6714"/>
      <c r="U184" s="6715"/>
      <c r="V184" s="6716"/>
      <c r="W184" s="1341"/>
      <c r="X184" s="1431"/>
      <c r="Y184" s="1431"/>
    </row>
    <row r="185" spans="2:25" x14ac:dyDescent="0.25">
      <c r="B185" s="1341"/>
      <c r="C185" s="1534" t="s">
        <v>2054</v>
      </c>
      <c r="D185" s="1458">
        <f>'MSW calcu'!F229</f>
        <v>0</v>
      </c>
      <c r="E185" s="1458">
        <f>'MSW calcu'!G229</f>
        <v>0</v>
      </c>
      <c r="F185" s="1458">
        <f>'MSW calcu'!H229</f>
        <v>0</v>
      </c>
      <c r="G185" s="1458">
        <f>'MSW calcu'!I229</f>
        <v>0</v>
      </c>
      <c r="H185" s="1458">
        <f>'MSW calcu'!J229</f>
        <v>0</v>
      </c>
      <c r="I185" s="1458">
        <f>'MSW calcu'!K229</f>
        <v>0</v>
      </c>
      <c r="J185" s="1458">
        <f>'MSW calcu'!L229</f>
        <v>0</v>
      </c>
      <c r="K185" s="1458">
        <f>'MSW calcu'!M229</f>
        <v>0</v>
      </c>
      <c r="L185" s="1458">
        <f>'MSW calcu'!N229</f>
        <v>0</v>
      </c>
      <c r="M185" s="1458">
        <f>'MSW calcu'!O229</f>
        <v>0</v>
      </c>
      <c r="N185" s="1459">
        <f>'MSW calcu'!P229</f>
        <v>0</v>
      </c>
      <c r="O185" s="1341"/>
      <c r="P185" s="1431"/>
      <c r="Q185" s="1341"/>
      <c r="R185" s="1484"/>
      <c r="S185" s="1484"/>
      <c r="T185" s="1484"/>
      <c r="U185" s="1484"/>
      <c r="V185" s="1484"/>
      <c r="W185" s="1341"/>
      <c r="X185" s="1431"/>
      <c r="Y185" s="1431"/>
    </row>
    <row r="186" spans="2:25" outlineLevel="1" x14ac:dyDescent="0.25">
      <c r="B186" s="1341"/>
      <c r="C186" s="6764" t="s">
        <v>3817</v>
      </c>
      <c r="D186" s="6765"/>
      <c r="E186" s="6765"/>
      <c r="F186" s="6765"/>
      <c r="G186" s="6765"/>
      <c r="H186" s="6765"/>
      <c r="I186" s="6765"/>
      <c r="J186" s="6765"/>
      <c r="K186" s="6765"/>
      <c r="L186" s="6765"/>
      <c r="M186" s="6765"/>
      <c r="N186" s="6766"/>
      <c r="O186" s="1341"/>
      <c r="P186" s="1431"/>
      <c r="Q186" s="1341"/>
      <c r="R186" s="1364"/>
      <c r="S186" s="1364"/>
      <c r="T186" s="1364"/>
      <c r="U186" s="1364"/>
      <c r="V186" s="1364"/>
      <c r="W186" s="1341"/>
      <c r="X186" s="1431"/>
      <c r="Y186" s="1431"/>
    </row>
    <row r="187" spans="2:25" x14ac:dyDescent="0.25">
      <c r="B187" s="1341"/>
      <c r="C187" s="1462" t="s">
        <v>1342</v>
      </c>
      <c r="D187" s="1458">
        <f>'MSW calcu'!F230</f>
        <v>0</v>
      </c>
      <c r="E187" s="1458">
        <f>'MSW calcu'!G230</f>
        <v>0</v>
      </c>
      <c r="F187" s="1458">
        <f>'MSW calcu'!H230</f>
        <v>0</v>
      </c>
      <c r="G187" s="1458">
        <f>'MSW calcu'!I230</f>
        <v>0</v>
      </c>
      <c r="H187" s="1458">
        <f>'MSW calcu'!J230</f>
        <v>0</v>
      </c>
      <c r="I187" s="1458">
        <f>'MSW calcu'!K230</f>
        <v>0</v>
      </c>
      <c r="J187" s="1458">
        <f>'MSW calcu'!L230</f>
        <v>0</v>
      </c>
      <c r="K187" s="1458">
        <f>'MSW calcu'!M230</f>
        <v>0</v>
      </c>
      <c r="L187" s="1458">
        <f>'MSW calcu'!N230</f>
        <v>0</v>
      </c>
      <c r="M187" s="1458">
        <f>'MSW calcu'!O230</f>
        <v>0</v>
      </c>
      <c r="N187" s="1459">
        <f>'MSW calcu'!P230</f>
        <v>0</v>
      </c>
      <c r="O187" s="1341"/>
      <c r="P187" s="1431"/>
      <c r="Q187" s="1341"/>
      <c r="R187" s="1364"/>
      <c r="S187" s="1364"/>
      <c r="T187" s="1364"/>
      <c r="U187" s="1364"/>
      <c r="V187" s="1364"/>
      <c r="W187" s="1341"/>
      <c r="X187" s="1431"/>
      <c r="Y187" s="1431"/>
    </row>
    <row r="188" spans="2:25" outlineLevel="1" x14ac:dyDescent="0.25">
      <c r="B188" s="1341"/>
      <c r="C188" s="6764" t="s">
        <v>3816</v>
      </c>
      <c r="D188" s="6765"/>
      <c r="E188" s="6765"/>
      <c r="F188" s="6765"/>
      <c r="G188" s="6765"/>
      <c r="H188" s="6765"/>
      <c r="I188" s="6765"/>
      <c r="J188" s="6765"/>
      <c r="K188" s="6765"/>
      <c r="L188" s="6765"/>
      <c r="M188" s="6765"/>
      <c r="N188" s="6766"/>
      <c r="O188" s="1341"/>
      <c r="P188" s="1431"/>
      <c r="Q188" s="1341"/>
      <c r="R188" s="1341"/>
      <c r="S188" s="1341"/>
      <c r="T188" s="1341"/>
      <c r="U188" s="1341"/>
      <c r="V188" s="1341"/>
      <c r="W188" s="1341"/>
      <c r="X188" s="1431"/>
      <c r="Y188" s="1431"/>
    </row>
    <row r="189" spans="2:25" x14ac:dyDescent="0.25">
      <c r="B189" s="1341"/>
      <c r="C189" s="1462" t="s">
        <v>1343</v>
      </c>
      <c r="D189" s="1458">
        <f>'MSW calcu'!F231</f>
        <v>0</v>
      </c>
      <c r="E189" s="1458">
        <f>'MSW calcu'!G231</f>
        <v>0</v>
      </c>
      <c r="F189" s="1458">
        <f>'MSW calcu'!H231</f>
        <v>0</v>
      </c>
      <c r="G189" s="1458">
        <f>'MSW calcu'!I231</f>
        <v>0</v>
      </c>
      <c r="H189" s="1458">
        <f>'MSW calcu'!J231</f>
        <v>0</v>
      </c>
      <c r="I189" s="1458">
        <f>'MSW calcu'!K231</f>
        <v>0</v>
      </c>
      <c r="J189" s="1458">
        <f>'MSW calcu'!L231</f>
        <v>0</v>
      </c>
      <c r="K189" s="1458">
        <f>'MSW calcu'!M231</f>
        <v>0</v>
      </c>
      <c r="L189" s="1458">
        <f>'MSW calcu'!N231</f>
        <v>0</v>
      </c>
      <c r="M189" s="1458">
        <f>'MSW calcu'!O231</f>
        <v>0</v>
      </c>
      <c r="N189" s="1459">
        <f>'MSW calcu'!P231</f>
        <v>0</v>
      </c>
      <c r="O189" s="1341"/>
      <c r="P189" s="1431"/>
      <c r="Q189" s="1341"/>
      <c r="R189" s="1341"/>
      <c r="S189" s="1341"/>
      <c r="T189" s="1341"/>
      <c r="U189" s="1341"/>
      <c r="V189" s="1341"/>
      <c r="W189" s="1341"/>
      <c r="X189" s="1431"/>
      <c r="Y189" s="1431"/>
    </row>
    <row r="190" spans="2:25" outlineLevel="1" x14ac:dyDescent="0.25">
      <c r="B190" s="1341"/>
      <c r="C190" s="6764" t="s">
        <v>3815</v>
      </c>
      <c r="D190" s="6765"/>
      <c r="E190" s="6765"/>
      <c r="F190" s="6765"/>
      <c r="G190" s="6765"/>
      <c r="H190" s="6765"/>
      <c r="I190" s="6765"/>
      <c r="J190" s="6765"/>
      <c r="K190" s="6765"/>
      <c r="L190" s="6765"/>
      <c r="M190" s="6765"/>
      <c r="N190" s="6766"/>
      <c r="O190" s="1341"/>
      <c r="P190" s="1431"/>
      <c r="Q190" s="1341"/>
      <c r="R190" s="1341"/>
      <c r="S190" s="1341"/>
      <c r="T190" s="1341"/>
      <c r="U190" s="1341"/>
      <c r="V190" s="1341"/>
      <c r="W190" s="1341"/>
      <c r="X190" s="1431"/>
      <c r="Y190" s="1431"/>
    </row>
    <row r="191" spans="2:25" x14ac:dyDescent="0.25">
      <c r="B191" s="1341"/>
      <c r="C191" s="1462" t="s">
        <v>1344</v>
      </c>
      <c r="D191" s="1456">
        <f>'MSW calcu'!F223</f>
        <v>0</v>
      </c>
      <c r="E191" s="1456">
        <f>'MSW calcu'!G223</f>
        <v>0</v>
      </c>
      <c r="F191" s="1456">
        <f>'MSW calcu'!H223</f>
        <v>0</v>
      </c>
      <c r="G191" s="1456">
        <f>'MSW calcu'!I223</f>
        <v>0</v>
      </c>
      <c r="H191" s="1456">
        <f>'MSW calcu'!J223</f>
        <v>0</v>
      </c>
      <c r="I191" s="1456">
        <f>'MSW calcu'!K223</f>
        <v>0</v>
      </c>
      <c r="J191" s="1456">
        <f>'MSW calcu'!L223</f>
        <v>0</v>
      </c>
      <c r="K191" s="1456">
        <f>'MSW calcu'!M223</f>
        <v>0</v>
      </c>
      <c r="L191" s="1456">
        <f>'MSW calcu'!N223</f>
        <v>0</v>
      </c>
      <c r="M191" s="1456">
        <f>'MSW calcu'!O223</f>
        <v>0</v>
      </c>
      <c r="N191" s="1457">
        <f>'MSW calcu'!P223</f>
        <v>0</v>
      </c>
      <c r="O191" s="1341"/>
      <c r="P191" s="1431"/>
      <c r="Q191" s="1341"/>
      <c r="R191" s="1341"/>
      <c r="S191" s="1341"/>
      <c r="T191" s="1341"/>
      <c r="U191" s="1341"/>
      <c r="V191" s="1341"/>
      <c r="W191" s="1341"/>
      <c r="X191" s="1431"/>
      <c r="Y191" s="1431"/>
    </row>
    <row r="192" spans="2:25" outlineLevel="1" x14ac:dyDescent="0.25">
      <c r="B192" s="1341"/>
      <c r="C192" s="6764" t="s">
        <v>2055</v>
      </c>
      <c r="D192" s="6765"/>
      <c r="E192" s="6765"/>
      <c r="F192" s="6765"/>
      <c r="G192" s="6765"/>
      <c r="H192" s="6765"/>
      <c r="I192" s="6765"/>
      <c r="J192" s="6765"/>
      <c r="K192" s="6765"/>
      <c r="L192" s="6765"/>
      <c r="M192" s="6765"/>
      <c r="N192" s="6766"/>
      <c r="O192" s="1341"/>
      <c r="P192" s="1431"/>
      <c r="Q192" s="1341"/>
      <c r="R192" s="1341"/>
      <c r="S192" s="1341"/>
      <c r="T192" s="1341"/>
      <c r="U192" s="1341"/>
      <c r="V192" s="1341"/>
      <c r="W192" s="1341"/>
      <c r="X192" s="1431"/>
      <c r="Y192" s="1431"/>
    </row>
    <row r="193" spans="2:25" x14ac:dyDescent="0.25">
      <c r="B193" s="1341"/>
      <c r="C193" s="1462" t="s">
        <v>1359</v>
      </c>
      <c r="D193" s="1456">
        <f>'MSW calcu'!F213</f>
        <v>0</v>
      </c>
      <c r="E193" s="1456">
        <f>'MSW calcu'!G213</f>
        <v>0</v>
      </c>
      <c r="F193" s="1456">
        <f>'MSW calcu'!H213</f>
        <v>0</v>
      </c>
      <c r="G193" s="1456">
        <f>'MSW calcu'!I213</f>
        <v>0</v>
      </c>
      <c r="H193" s="1456">
        <f>'MSW calcu'!J213</f>
        <v>0</v>
      </c>
      <c r="I193" s="1456">
        <f>'MSW calcu'!K213</f>
        <v>0</v>
      </c>
      <c r="J193" s="1456">
        <f>'MSW calcu'!L213</f>
        <v>0</v>
      </c>
      <c r="K193" s="1456">
        <f>'MSW calcu'!M213</f>
        <v>0</v>
      </c>
      <c r="L193" s="1456">
        <f>'MSW calcu'!N213</f>
        <v>0</v>
      </c>
      <c r="M193" s="1456">
        <f>'MSW calcu'!O213</f>
        <v>0</v>
      </c>
      <c r="N193" s="1457">
        <f>'MSW calcu'!P213</f>
        <v>0</v>
      </c>
      <c r="O193" s="1341"/>
      <c r="P193" s="1431"/>
      <c r="Q193" s="1341"/>
      <c r="R193" s="1341"/>
      <c r="S193" s="1341"/>
      <c r="T193" s="1341"/>
      <c r="U193" s="1341"/>
      <c r="V193" s="1341"/>
      <c r="W193" s="1341"/>
      <c r="X193" s="1431"/>
      <c r="Y193" s="1431"/>
    </row>
    <row r="194" spans="2:25" ht="15.75" outlineLevel="1" thickBot="1" x14ac:dyDescent="0.3">
      <c r="B194" s="1341"/>
      <c r="C194" s="6791" t="s">
        <v>2056</v>
      </c>
      <c r="D194" s="6792"/>
      <c r="E194" s="6792"/>
      <c r="F194" s="6792"/>
      <c r="G194" s="6792"/>
      <c r="H194" s="6792"/>
      <c r="I194" s="6792"/>
      <c r="J194" s="6792"/>
      <c r="K194" s="6792"/>
      <c r="L194" s="6792"/>
      <c r="M194" s="6792"/>
      <c r="N194" s="6793"/>
      <c r="O194" s="1341"/>
      <c r="P194" s="1431"/>
      <c r="Q194" s="1341"/>
      <c r="R194" s="1341"/>
      <c r="S194" s="1341"/>
      <c r="T194" s="1341"/>
      <c r="U194" s="1341"/>
      <c r="V194" s="1341"/>
      <c r="W194" s="1341"/>
      <c r="X194" s="1431"/>
      <c r="Y194" s="1431"/>
    </row>
    <row r="195" spans="2:25" x14ac:dyDescent="0.25">
      <c r="B195" s="1341"/>
      <c r="C195" s="1461"/>
      <c r="D195" s="1461"/>
      <c r="E195" s="1461"/>
      <c r="F195" s="1461"/>
      <c r="G195" s="1461"/>
      <c r="H195" s="1461"/>
      <c r="I195" s="1461"/>
      <c r="J195" s="1461"/>
      <c r="K195" s="1461"/>
      <c r="L195" s="1461"/>
      <c r="M195" s="1461"/>
      <c r="N195" s="1461"/>
      <c r="O195" s="1341"/>
      <c r="P195" s="1431"/>
      <c r="Q195" s="1341"/>
      <c r="R195" s="1341"/>
      <c r="S195" s="1341"/>
      <c r="T195" s="1341"/>
      <c r="U195" s="1341"/>
      <c r="V195" s="1341"/>
      <c r="W195" s="1341"/>
      <c r="X195" s="1431"/>
      <c r="Y195" s="1431"/>
    </row>
    <row r="196" spans="2:25" x14ac:dyDescent="0.25">
      <c r="B196" s="1341"/>
      <c r="C196" s="1341"/>
      <c r="D196" s="1341"/>
      <c r="E196" s="1341"/>
      <c r="F196" s="1341"/>
      <c r="G196" s="1341"/>
      <c r="H196" s="1341"/>
      <c r="I196" s="1341"/>
      <c r="J196" s="1341"/>
      <c r="K196" s="1341"/>
      <c r="L196" s="1341"/>
      <c r="M196" s="1341"/>
      <c r="N196" s="1341"/>
      <c r="O196" s="1341"/>
      <c r="P196" s="1431"/>
      <c r="Q196" s="1341"/>
      <c r="R196" s="1341"/>
      <c r="S196" s="1341"/>
      <c r="T196" s="1341"/>
      <c r="U196" s="1341"/>
      <c r="V196" s="1341"/>
      <c r="W196" s="1341"/>
      <c r="X196" s="1431"/>
      <c r="Y196" s="1431"/>
    </row>
    <row r="197" spans="2:25" x14ac:dyDescent="0.25">
      <c r="B197" s="1341"/>
      <c r="C197" s="1341"/>
      <c r="D197" s="1341"/>
      <c r="E197" s="1341"/>
      <c r="F197" s="1341"/>
      <c r="G197" s="1341"/>
      <c r="H197" s="1341"/>
      <c r="I197" s="1341"/>
      <c r="J197" s="1341"/>
      <c r="K197" s="1341"/>
      <c r="L197" s="1341"/>
      <c r="M197" s="1341"/>
      <c r="N197" s="1341"/>
      <c r="O197" s="1341"/>
      <c r="P197" s="1431"/>
      <c r="Q197" s="1341"/>
      <c r="R197" s="1341"/>
      <c r="S197" s="1341"/>
      <c r="T197" s="1341"/>
      <c r="U197" s="1341"/>
      <c r="V197" s="1341"/>
      <c r="W197" s="1341"/>
      <c r="X197" s="1431"/>
      <c r="Y197" s="1431"/>
    </row>
    <row r="198" spans="2:25" s="1344" customFormat="1" ht="32.25" customHeight="1" x14ac:dyDescent="0.4">
      <c r="B198" s="6111" t="s">
        <v>14</v>
      </c>
      <c r="C198" s="6112" t="s">
        <v>2101</v>
      </c>
      <c r="D198" s="6113"/>
      <c r="E198" s="6113"/>
      <c r="F198" s="6113"/>
      <c r="G198" s="6113"/>
      <c r="H198" s="6113"/>
      <c r="I198" s="6113"/>
      <c r="J198" s="6113"/>
      <c r="K198" s="6113"/>
      <c r="L198" s="6113"/>
      <c r="M198" s="6113"/>
      <c r="N198" s="6113"/>
      <c r="O198" s="6113"/>
      <c r="P198" s="1431"/>
      <c r="Q198" s="1439"/>
      <c r="R198" s="6746" t="s">
        <v>1558</v>
      </c>
      <c r="S198" s="6746"/>
      <c r="T198" s="6746"/>
      <c r="U198" s="6746"/>
      <c r="V198" s="6746"/>
      <c r="W198" s="1439"/>
      <c r="X198" s="1431"/>
      <c r="Y198" s="1431"/>
    </row>
    <row r="199" spans="2:25" ht="28.5" customHeight="1" thickBot="1" x14ac:dyDescent="0.3">
      <c r="B199" s="1341"/>
      <c r="C199" s="1341"/>
      <c r="D199" s="1341"/>
      <c r="E199" s="1341"/>
      <c r="F199" s="1341"/>
      <c r="G199" s="1341"/>
      <c r="H199" s="1341"/>
      <c r="I199" s="1341"/>
      <c r="J199" s="1341"/>
      <c r="K199" s="1341"/>
      <c r="L199" s="1341"/>
      <c r="M199" s="1341"/>
      <c r="N199" s="1341"/>
      <c r="O199" s="1341"/>
      <c r="P199" s="1431"/>
      <c r="Q199" s="1341"/>
      <c r="R199" s="1341"/>
      <c r="S199" s="1341"/>
      <c r="T199" s="1341"/>
      <c r="U199" s="1341"/>
      <c r="V199" s="1341"/>
      <c r="W199" s="1341"/>
      <c r="X199" s="1431"/>
      <c r="Y199" s="1431"/>
    </row>
    <row r="200" spans="2:25" ht="22.5" customHeight="1" x14ac:dyDescent="0.25">
      <c r="B200" s="1341"/>
      <c r="C200" s="1447" t="s">
        <v>927</v>
      </c>
      <c r="D200" s="1448">
        <f>IF('General info'!$E$20=0,"",'General info'!$E$20)</f>
        <v>2014</v>
      </c>
      <c r="E200" s="1449">
        <f>IFERROR(D200+1,"")</f>
        <v>2015</v>
      </c>
      <c r="F200" s="1449">
        <f>IFERROR(E200+1,"")</f>
        <v>2016</v>
      </c>
      <c r="G200" s="1449">
        <f>IFERROR(F200+1,"")</f>
        <v>2017</v>
      </c>
      <c r="H200" s="1449">
        <f t="shared" ref="H200:N200" si="5">IFERROR(G200+1,"")</f>
        <v>2018</v>
      </c>
      <c r="I200" s="1449">
        <f t="shared" si="5"/>
        <v>2019</v>
      </c>
      <c r="J200" s="1449">
        <f t="shared" si="5"/>
        <v>2020</v>
      </c>
      <c r="K200" s="1449">
        <f t="shared" si="5"/>
        <v>2021</v>
      </c>
      <c r="L200" s="1449">
        <f t="shared" si="5"/>
        <v>2022</v>
      </c>
      <c r="M200" s="1449">
        <f t="shared" si="5"/>
        <v>2023</v>
      </c>
      <c r="N200" s="1450">
        <f t="shared" si="5"/>
        <v>2024</v>
      </c>
      <c r="O200" s="1341"/>
      <c r="P200" s="1431"/>
      <c r="Q200" s="1341"/>
      <c r="R200" s="1482" t="s">
        <v>1534</v>
      </c>
      <c r="S200" s="1483" t="s">
        <v>2064</v>
      </c>
      <c r="T200" s="1479" t="s">
        <v>817</v>
      </c>
      <c r="U200" s="1480" t="s">
        <v>905</v>
      </c>
      <c r="V200" s="1481" t="s">
        <v>818</v>
      </c>
      <c r="W200" s="1341"/>
      <c r="X200" s="1431"/>
      <c r="Y200" s="1431"/>
    </row>
    <row r="201" spans="2:25" x14ac:dyDescent="0.25">
      <c r="B201" s="1341"/>
      <c r="C201" s="1460" t="s">
        <v>1464</v>
      </c>
      <c r="D201" s="1500">
        <f>'WS calcu'!E170</f>
        <v>0</v>
      </c>
      <c r="E201" s="1500">
        <f>'WS calcu'!F170</f>
        <v>0</v>
      </c>
      <c r="F201" s="1500">
        <f>'WS calcu'!G170</f>
        <v>0</v>
      </c>
      <c r="G201" s="1500">
        <f>'WS calcu'!H170</f>
        <v>0</v>
      </c>
      <c r="H201" s="1500">
        <f>'WS calcu'!I170</f>
        <v>0</v>
      </c>
      <c r="I201" s="1500">
        <f>'WS calcu'!J170</f>
        <v>0</v>
      </c>
      <c r="J201" s="1500">
        <f>'WS calcu'!K170</f>
        <v>0</v>
      </c>
      <c r="K201" s="1500">
        <f>'WS calcu'!L170</f>
        <v>0</v>
      </c>
      <c r="L201" s="1500">
        <f>'WS calcu'!M170</f>
        <v>0</v>
      </c>
      <c r="M201" s="1500">
        <f>'WS calcu'!N170</f>
        <v>0</v>
      </c>
      <c r="N201" s="1501">
        <f>'WS calcu'!O170</f>
        <v>0</v>
      </c>
      <c r="O201" s="1352"/>
      <c r="P201" s="1431"/>
      <c r="Q201" s="1341"/>
      <c r="R201" s="6717">
        <v>1</v>
      </c>
      <c r="S201" s="6718"/>
      <c r="T201" s="6719">
        <f>IF($R$17="II. CUSTOMIZE BENCHMARKS",$S201,$R201)*$AA$21</f>
        <v>0</v>
      </c>
      <c r="U201" s="6720">
        <f>IF($R$17="II. CUSTOMIZE BENCHMARKS",$S201,$R201)*$AA$22</f>
        <v>0.5</v>
      </c>
      <c r="V201" s="6721">
        <f>IF($R$17="II. CUSTOMIZE BENCHMARKS",$S201,$R201)*$AA$23</f>
        <v>0.9</v>
      </c>
      <c r="W201" s="1445"/>
      <c r="X201" s="1431"/>
      <c r="Y201" s="1431"/>
    </row>
    <row r="202" spans="2:25" outlineLevel="1" x14ac:dyDescent="0.25">
      <c r="B202" s="1341"/>
      <c r="C202" s="6764" t="s">
        <v>2057</v>
      </c>
      <c r="D202" s="6765"/>
      <c r="E202" s="6765"/>
      <c r="F202" s="6765"/>
      <c r="G202" s="6765"/>
      <c r="H202" s="6765"/>
      <c r="I202" s="6765"/>
      <c r="J202" s="6765"/>
      <c r="K202" s="6765"/>
      <c r="L202" s="6765"/>
      <c r="M202" s="6765"/>
      <c r="N202" s="6766"/>
      <c r="O202" s="1352"/>
      <c r="P202" s="1431"/>
      <c r="Q202" s="1341"/>
      <c r="R202" s="6710"/>
      <c r="S202" s="6712"/>
      <c r="T202" s="6705"/>
      <c r="U202" s="6707"/>
      <c r="V202" s="6709"/>
      <c r="W202" s="1341"/>
      <c r="X202" s="1431"/>
      <c r="Y202" s="1431"/>
    </row>
    <row r="203" spans="2:25" x14ac:dyDescent="0.25">
      <c r="B203" s="1341"/>
      <c r="C203" s="1460" t="s">
        <v>1465</v>
      </c>
      <c r="D203" s="1502">
        <f>'WS calcu'!E254</f>
        <v>0</v>
      </c>
      <c r="E203" s="1502">
        <f>'WS calcu'!F254</f>
        <v>0</v>
      </c>
      <c r="F203" s="1502">
        <f>'WS calcu'!G254</f>
        <v>0</v>
      </c>
      <c r="G203" s="1502">
        <f>'WS calcu'!H254</f>
        <v>0</v>
      </c>
      <c r="H203" s="1502">
        <f>'WS calcu'!I254</f>
        <v>0</v>
      </c>
      <c r="I203" s="1502">
        <f>'WS calcu'!J254</f>
        <v>0</v>
      </c>
      <c r="J203" s="1502">
        <f>'WS calcu'!K254</f>
        <v>0</v>
      </c>
      <c r="K203" s="1502">
        <f>'WS calcu'!L254</f>
        <v>0</v>
      </c>
      <c r="L203" s="1502">
        <f>'WS calcu'!M254</f>
        <v>0</v>
      </c>
      <c r="M203" s="1502">
        <f>'WS calcu'!N254</f>
        <v>0</v>
      </c>
      <c r="N203" s="1503">
        <f>'WS calcu'!O254</f>
        <v>0</v>
      </c>
      <c r="O203" s="1352"/>
      <c r="P203" s="1431"/>
      <c r="Q203" s="1341"/>
      <c r="R203" s="6737">
        <f>Population!M158</f>
        <v>0</v>
      </c>
      <c r="S203" s="6738"/>
      <c r="T203" s="6739">
        <f>IF($R$17="II. CUSTOMIZE BENCHMARKS",$S203,$R203)*$AA$21</f>
        <v>0</v>
      </c>
      <c r="U203" s="6741">
        <f>IF($R$17="II. CUSTOMIZE BENCHMARKS",$S203,$R203)*$AA$22</f>
        <v>0</v>
      </c>
      <c r="V203" s="6743">
        <f>IF($R$17="II. CUSTOMIZE BENCHMARKS",$S203,$R203)*$AA$23</f>
        <v>0</v>
      </c>
      <c r="W203" s="1445"/>
      <c r="X203" s="1431"/>
      <c r="Y203" s="1431"/>
    </row>
    <row r="204" spans="2:25" outlineLevel="1" x14ac:dyDescent="0.25">
      <c r="B204" s="1341"/>
      <c r="C204" s="6764" t="s">
        <v>1466</v>
      </c>
      <c r="D204" s="6765"/>
      <c r="E204" s="6765"/>
      <c r="F204" s="6765"/>
      <c r="G204" s="6765"/>
      <c r="H204" s="6765"/>
      <c r="I204" s="6765"/>
      <c r="J204" s="6765"/>
      <c r="K204" s="6765"/>
      <c r="L204" s="6765"/>
      <c r="M204" s="6765"/>
      <c r="N204" s="6766"/>
      <c r="O204" s="1352"/>
      <c r="P204" s="1431"/>
      <c r="Q204" s="1341"/>
      <c r="R204" s="6737"/>
      <c r="S204" s="6738"/>
      <c r="T204" s="6740"/>
      <c r="U204" s="6742"/>
      <c r="V204" s="6744"/>
      <c r="W204" s="1341"/>
      <c r="X204" s="1431"/>
      <c r="Y204" s="1431"/>
    </row>
    <row r="205" spans="2:25" x14ac:dyDescent="0.25">
      <c r="B205" s="1341"/>
      <c r="C205" s="1460" t="s">
        <v>800</v>
      </c>
      <c r="D205" s="1500">
        <f>'WS calcu'!E296</f>
        <v>0</v>
      </c>
      <c r="E205" s="1500">
        <f>'WS calcu'!F296</f>
        <v>0</v>
      </c>
      <c r="F205" s="1500">
        <f>'WS calcu'!G296</f>
        <v>0</v>
      </c>
      <c r="G205" s="1500">
        <f>'WS calcu'!H296</f>
        <v>0</v>
      </c>
      <c r="H205" s="1500">
        <f>'WS calcu'!I296</f>
        <v>0</v>
      </c>
      <c r="I205" s="1500">
        <f>'WS calcu'!J296</f>
        <v>0</v>
      </c>
      <c r="J205" s="1500">
        <f>'WS calcu'!K296</f>
        <v>0</v>
      </c>
      <c r="K205" s="1500">
        <f>'WS calcu'!L296</f>
        <v>0</v>
      </c>
      <c r="L205" s="1500">
        <f>'WS calcu'!M296</f>
        <v>0</v>
      </c>
      <c r="M205" s="1500">
        <f>'WS calcu'!N296</f>
        <v>0</v>
      </c>
      <c r="N205" s="1501">
        <f>'WS calcu'!O296</f>
        <v>0</v>
      </c>
      <c r="O205" s="1352"/>
      <c r="P205" s="1431"/>
      <c r="Q205" s="1341"/>
      <c r="R205" s="6702">
        <v>1</v>
      </c>
      <c r="S205" s="6703"/>
      <c r="T205" s="6704">
        <f>IF($R$17="II. CUSTOMIZE BENCHMARKS",$S205,$R205)*$AA$21</f>
        <v>0</v>
      </c>
      <c r="U205" s="6706">
        <f>IF($R$17="II. CUSTOMIZE BENCHMARKS",$S205,$R205)*$AA$22</f>
        <v>0.5</v>
      </c>
      <c r="V205" s="6708">
        <f>IF($R$17="II. CUSTOMIZE BENCHMARKS",$S205,$R205)*$AA$23</f>
        <v>0.9</v>
      </c>
      <c r="W205" s="1445"/>
      <c r="X205" s="1431"/>
      <c r="Y205" s="1431"/>
    </row>
    <row r="206" spans="2:25" outlineLevel="1" x14ac:dyDescent="0.25">
      <c r="B206" s="1341"/>
      <c r="C206" s="6764" t="s">
        <v>1861</v>
      </c>
      <c r="D206" s="6765"/>
      <c r="E206" s="6765"/>
      <c r="F206" s="6765"/>
      <c r="G206" s="6765"/>
      <c r="H206" s="6765"/>
      <c r="I206" s="6765"/>
      <c r="J206" s="6765"/>
      <c r="K206" s="6765"/>
      <c r="L206" s="6765"/>
      <c r="M206" s="6765"/>
      <c r="N206" s="6766"/>
      <c r="O206" s="1352"/>
      <c r="P206" s="1431"/>
      <c r="Q206" s="1341"/>
      <c r="R206" s="6702"/>
      <c r="S206" s="6703"/>
      <c r="T206" s="6705"/>
      <c r="U206" s="6707"/>
      <c r="V206" s="6709"/>
      <c r="W206" s="1341"/>
      <c r="X206" s="1431"/>
      <c r="Y206" s="1431"/>
    </row>
    <row r="207" spans="2:25" x14ac:dyDescent="0.25">
      <c r="B207" s="1341"/>
      <c r="C207" s="1460" t="s">
        <v>2058</v>
      </c>
      <c r="D207" s="1511">
        <f>'WS calcu'!E31</f>
        <v>0</v>
      </c>
      <c r="E207" s="1511">
        <f>'WS calcu'!F31</f>
        <v>0</v>
      </c>
      <c r="F207" s="1511">
        <f>'WS calcu'!G31</f>
        <v>0</v>
      </c>
      <c r="G207" s="1511">
        <f>'WS calcu'!H31</f>
        <v>0</v>
      </c>
      <c r="H207" s="1511">
        <f>'WS calcu'!I31</f>
        <v>0</v>
      </c>
      <c r="I207" s="1511">
        <f>'WS calcu'!J31</f>
        <v>0</v>
      </c>
      <c r="J207" s="1511">
        <f>'WS calcu'!K31</f>
        <v>0</v>
      </c>
      <c r="K207" s="1511">
        <f>'WS calcu'!L31</f>
        <v>0</v>
      </c>
      <c r="L207" s="1511">
        <f>'WS calcu'!M31</f>
        <v>0</v>
      </c>
      <c r="M207" s="1511">
        <f>'WS calcu'!N31</f>
        <v>0</v>
      </c>
      <c r="N207" s="1512">
        <f>'WS calcu'!O31</f>
        <v>0</v>
      </c>
      <c r="O207" s="1352"/>
      <c r="P207" s="1431"/>
      <c r="Q207" s="1341"/>
      <c r="R207" s="6702">
        <v>0.15</v>
      </c>
      <c r="S207" s="6703"/>
      <c r="T207" s="6704">
        <f>IF($R$17="II. CUSTOMIZE BENCHMARKS",$S207,$R207)*$AA$23</f>
        <v>0.13500000000000001</v>
      </c>
      <c r="U207" s="6706">
        <f>IF($R$17="II. CUSTOMIZE BENCHMARKS",$S207,$R207)*$AA$22</f>
        <v>7.4999999999999997E-2</v>
      </c>
      <c r="V207" s="6708">
        <f>IF($R$17="II. CUSTOMIZE BENCHMARKS",$S207,$R207)*$AA$21</f>
        <v>0</v>
      </c>
      <c r="W207" s="1341"/>
      <c r="X207" s="1431"/>
      <c r="Y207" s="1431"/>
    </row>
    <row r="208" spans="2:25" outlineLevel="1" x14ac:dyDescent="0.25">
      <c r="B208" s="1341"/>
      <c r="C208" s="6764" t="s">
        <v>1862</v>
      </c>
      <c r="D208" s="6765"/>
      <c r="E208" s="6765"/>
      <c r="F208" s="6765"/>
      <c r="G208" s="6765"/>
      <c r="H208" s="6765"/>
      <c r="I208" s="6765"/>
      <c r="J208" s="6765"/>
      <c r="K208" s="6765"/>
      <c r="L208" s="6765"/>
      <c r="M208" s="6765"/>
      <c r="N208" s="6766"/>
      <c r="O208" s="1352"/>
      <c r="P208" s="1431"/>
      <c r="Q208" s="1341"/>
      <c r="R208" s="6702"/>
      <c r="S208" s="6703"/>
      <c r="T208" s="6705"/>
      <c r="U208" s="6707"/>
      <c r="V208" s="6709"/>
      <c r="W208" s="1341"/>
      <c r="X208" s="1431"/>
      <c r="Y208" s="1431"/>
    </row>
    <row r="209" spans="2:25" x14ac:dyDescent="0.25">
      <c r="B209" s="1341"/>
      <c r="C209" s="1460" t="s">
        <v>1467</v>
      </c>
      <c r="D209" s="1504">
        <f>'WS calcu'!E267</f>
        <v>0</v>
      </c>
      <c r="E209" s="1504">
        <f>'WS calcu'!F267</f>
        <v>0</v>
      </c>
      <c r="F209" s="1504">
        <f>'WS calcu'!G267</f>
        <v>0</v>
      </c>
      <c r="G209" s="1504">
        <f>'WS calcu'!H267</f>
        <v>0</v>
      </c>
      <c r="H209" s="1504">
        <f>'WS calcu'!I267</f>
        <v>0</v>
      </c>
      <c r="I209" s="1504">
        <f>'WS calcu'!J267</f>
        <v>0</v>
      </c>
      <c r="J209" s="1504">
        <f>'WS calcu'!K267</f>
        <v>0</v>
      </c>
      <c r="K209" s="1504">
        <f>'WS calcu'!L267</f>
        <v>0</v>
      </c>
      <c r="L209" s="1504">
        <f>'WS calcu'!M267</f>
        <v>0</v>
      </c>
      <c r="M209" s="1504">
        <f>'WS calcu'!N267</f>
        <v>0</v>
      </c>
      <c r="N209" s="1505">
        <f>'WS calcu'!O267</f>
        <v>0</v>
      </c>
      <c r="O209" s="1352"/>
      <c r="P209" s="1431"/>
      <c r="Q209" s="1341"/>
      <c r="R209" s="6722">
        <v>24</v>
      </c>
      <c r="S209" s="6724"/>
      <c r="T209" s="6726">
        <f>IF($R$17="II. CUSTOMIZE BENCHMARKS",$S209,$R209)*$AA$21</f>
        <v>0</v>
      </c>
      <c r="U209" s="6728">
        <f>IF($R$17="II. CUSTOMIZE BENCHMARKS",$S209,$R209)*$AA$22</f>
        <v>12</v>
      </c>
      <c r="V209" s="6730">
        <f>IF($R$17="II. CUSTOMIZE BENCHMARKS",$S209,$R209)*$AA$23</f>
        <v>21.6</v>
      </c>
      <c r="W209" s="1445"/>
      <c r="X209" s="1431"/>
      <c r="Y209" s="1431"/>
    </row>
    <row r="210" spans="2:25" ht="16.5" customHeight="1" outlineLevel="1" x14ac:dyDescent="0.25">
      <c r="B210" s="1341"/>
      <c r="C210" s="6800" t="s">
        <v>1468</v>
      </c>
      <c r="D210" s="6765"/>
      <c r="E210" s="6765"/>
      <c r="F210" s="6765"/>
      <c r="G210" s="6765"/>
      <c r="H210" s="6765"/>
      <c r="I210" s="6765"/>
      <c r="J210" s="6765"/>
      <c r="K210" s="6765"/>
      <c r="L210" s="6765"/>
      <c r="M210" s="6765"/>
      <c r="N210" s="6766"/>
      <c r="O210" s="1352"/>
      <c r="P210" s="1431"/>
      <c r="Q210" s="1341"/>
      <c r="R210" s="6722"/>
      <c r="S210" s="6724"/>
      <c r="T210" s="6734"/>
      <c r="U210" s="6735"/>
      <c r="V210" s="6736"/>
      <c r="W210" s="1341"/>
      <c r="X210" s="1431"/>
      <c r="Y210" s="1431"/>
    </row>
    <row r="211" spans="2:25" x14ac:dyDescent="0.25">
      <c r="B211" s="1341"/>
      <c r="C211" s="1460" t="s">
        <v>801</v>
      </c>
      <c r="D211" s="1500">
        <f>'WS calcu'!E268</f>
        <v>0</v>
      </c>
      <c r="E211" s="1500">
        <f>'WS calcu'!F268</f>
        <v>0</v>
      </c>
      <c r="F211" s="1500">
        <f>'WS calcu'!G268</f>
        <v>0</v>
      </c>
      <c r="G211" s="1500">
        <f>'WS calcu'!H268</f>
        <v>0</v>
      </c>
      <c r="H211" s="1500">
        <f>'WS calcu'!I268</f>
        <v>0</v>
      </c>
      <c r="I211" s="1500">
        <f>'WS calcu'!J268</f>
        <v>0</v>
      </c>
      <c r="J211" s="1500">
        <f>'WS calcu'!K268</f>
        <v>0</v>
      </c>
      <c r="K211" s="1500">
        <f>'WS calcu'!L268</f>
        <v>0</v>
      </c>
      <c r="L211" s="1500">
        <f>'WS calcu'!M268</f>
        <v>0</v>
      </c>
      <c r="M211" s="1500">
        <f>'WS calcu'!N268</f>
        <v>0</v>
      </c>
      <c r="N211" s="1501">
        <f>'WS calcu'!O268</f>
        <v>0</v>
      </c>
      <c r="O211" s="1352"/>
      <c r="P211" s="1431"/>
      <c r="Q211" s="1341"/>
      <c r="R211" s="6702">
        <v>1</v>
      </c>
      <c r="S211" s="6703"/>
      <c r="T211" s="6704">
        <f>IF($R$17="II. CUSTOMIZE BENCHMARKS",$S211,$R211)*$AA$21</f>
        <v>0</v>
      </c>
      <c r="U211" s="6706">
        <f>IF($R$17="II. CUSTOMIZE BENCHMARKS",$S211,$R211)*$AA$22</f>
        <v>0.5</v>
      </c>
      <c r="V211" s="6708">
        <f>IF($R$17="II. CUSTOMIZE BENCHMARKS",$S211,$R211)*$AA$23</f>
        <v>0.9</v>
      </c>
      <c r="W211" s="1445"/>
      <c r="X211" s="1431"/>
      <c r="Y211" s="1431"/>
    </row>
    <row r="212" spans="2:25" outlineLevel="1" x14ac:dyDescent="0.25">
      <c r="B212" s="1341"/>
      <c r="C212" s="6764" t="s">
        <v>2059</v>
      </c>
      <c r="D212" s="6765"/>
      <c r="E212" s="6765"/>
      <c r="F212" s="6765"/>
      <c r="G212" s="6765"/>
      <c r="H212" s="6765"/>
      <c r="I212" s="6765"/>
      <c r="J212" s="6765"/>
      <c r="K212" s="6765"/>
      <c r="L212" s="6765"/>
      <c r="M212" s="6765"/>
      <c r="N212" s="6766"/>
      <c r="O212" s="1352"/>
      <c r="P212" s="1431"/>
      <c r="Q212" s="1341"/>
      <c r="R212" s="6702"/>
      <c r="S212" s="6703"/>
      <c r="T212" s="6705"/>
      <c r="U212" s="6707"/>
      <c r="V212" s="6709"/>
      <c r="W212" s="1341"/>
      <c r="X212" s="1431"/>
      <c r="Y212" s="1431"/>
    </row>
    <row r="213" spans="2:25" x14ac:dyDescent="0.25">
      <c r="B213" s="1341"/>
      <c r="C213" s="1460" t="s">
        <v>802</v>
      </c>
      <c r="D213" s="1500">
        <f>'WS calcu'!E264</f>
        <v>0</v>
      </c>
      <c r="E213" s="1500">
        <f>'WS calcu'!F264</f>
        <v>0</v>
      </c>
      <c r="F213" s="1500">
        <f>'WS calcu'!G264</f>
        <v>0</v>
      </c>
      <c r="G213" s="1500">
        <f>'WS calcu'!H264</f>
        <v>0</v>
      </c>
      <c r="H213" s="1500">
        <f>'WS calcu'!I264</f>
        <v>0</v>
      </c>
      <c r="I213" s="1500">
        <f>'WS calcu'!J264</f>
        <v>0</v>
      </c>
      <c r="J213" s="1500">
        <f>'WS calcu'!K264</f>
        <v>0</v>
      </c>
      <c r="K213" s="1500">
        <f>'WS calcu'!L264</f>
        <v>0</v>
      </c>
      <c r="L213" s="1500">
        <f>'WS calcu'!M264</f>
        <v>0</v>
      </c>
      <c r="M213" s="1500">
        <f>'WS calcu'!N264</f>
        <v>0</v>
      </c>
      <c r="N213" s="1501">
        <f>'WS calcu'!O264</f>
        <v>0</v>
      </c>
      <c r="O213" s="1352"/>
      <c r="P213" s="1431"/>
      <c r="Q213" s="1341"/>
      <c r="R213" s="6702">
        <v>0.8</v>
      </c>
      <c r="S213" s="6703"/>
      <c r="T213" s="6704">
        <f>IF($R$17="II. CUSTOMIZE BENCHMARKS",$S213,$R213)*$AA$21</f>
        <v>0</v>
      </c>
      <c r="U213" s="6706">
        <f>IF($R$17="II. CUSTOMIZE BENCHMARKS",$S213,$R213)*$AA$22</f>
        <v>0.4</v>
      </c>
      <c r="V213" s="6708">
        <f>IF($R$17="II. CUSTOMIZE BENCHMARKS",$S213,$R213)*$AA$23</f>
        <v>0.72000000000000008</v>
      </c>
      <c r="W213" s="1445"/>
      <c r="X213" s="1431"/>
      <c r="Y213" s="1431"/>
    </row>
    <row r="214" spans="2:25" outlineLevel="1" x14ac:dyDescent="0.25">
      <c r="B214" s="1341"/>
      <c r="C214" s="6764" t="s">
        <v>1863</v>
      </c>
      <c r="D214" s="6765"/>
      <c r="E214" s="6765"/>
      <c r="F214" s="6765"/>
      <c r="G214" s="6765"/>
      <c r="H214" s="6765"/>
      <c r="I214" s="6765"/>
      <c r="J214" s="6765"/>
      <c r="K214" s="6765"/>
      <c r="L214" s="6765"/>
      <c r="M214" s="6765"/>
      <c r="N214" s="6766"/>
      <c r="O214" s="1352"/>
      <c r="P214" s="1431"/>
      <c r="Q214" s="1341"/>
      <c r="R214" s="6702"/>
      <c r="S214" s="6703"/>
      <c r="T214" s="6705"/>
      <c r="U214" s="6707"/>
      <c r="V214" s="6709"/>
      <c r="W214" s="1341"/>
      <c r="X214" s="1431"/>
      <c r="Y214" s="1431"/>
    </row>
    <row r="215" spans="2:25" x14ac:dyDescent="0.25">
      <c r="B215" s="1341"/>
      <c r="C215" s="1460" t="s">
        <v>1329</v>
      </c>
      <c r="D215" s="1500">
        <f>'WS calcu'!E672</f>
        <v>0</v>
      </c>
      <c r="E215" s="1500">
        <f>'WS calcu'!F672</f>
        <v>0</v>
      </c>
      <c r="F215" s="1500">
        <f>'WS calcu'!G672</f>
        <v>0</v>
      </c>
      <c r="G215" s="1500">
        <f>'WS calcu'!H672</f>
        <v>0</v>
      </c>
      <c r="H215" s="1500">
        <f>'WS calcu'!I672</f>
        <v>0</v>
      </c>
      <c r="I215" s="1500">
        <f>'WS calcu'!J672</f>
        <v>0</v>
      </c>
      <c r="J215" s="1500">
        <f>'WS calcu'!K672</f>
        <v>0</v>
      </c>
      <c r="K215" s="1500">
        <f>'WS calcu'!L672</f>
        <v>0</v>
      </c>
      <c r="L215" s="1500">
        <f>'WS calcu'!M672</f>
        <v>0</v>
      </c>
      <c r="M215" s="1500">
        <f>'WS calcu'!N672</f>
        <v>0</v>
      </c>
      <c r="N215" s="1501">
        <f>'WS calcu'!O672</f>
        <v>0</v>
      </c>
      <c r="O215" s="1352"/>
      <c r="P215" s="1431"/>
      <c r="Q215" s="1341"/>
      <c r="R215" s="6702">
        <v>1</v>
      </c>
      <c r="S215" s="6703"/>
      <c r="T215" s="6704">
        <f>IF($R$17="II. CUSTOMIZE BENCHMARKS",$S215,$R215)*$AA$21</f>
        <v>0</v>
      </c>
      <c r="U215" s="6706">
        <f>IF($R$17="II. CUSTOMIZE BENCHMARKS",$S215,$R215)*$AA$22</f>
        <v>0.5</v>
      </c>
      <c r="V215" s="6708">
        <f>IF($R$17="II. CUSTOMIZE BENCHMARKS",$S215,$R215)*$AA$23</f>
        <v>0.9</v>
      </c>
      <c r="W215" s="1445"/>
      <c r="X215" s="1431"/>
      <c r="Y215" s="1431"/>
    </row>
    <row r="216" spans="2:25" outlineLevel="1" x14ac:dyDescent="0.25">
      <c r="B216" s="1341"/>
      <c r="C216" s="6800" t="s">
        <v>1864</v>
      </c>
      <c r="D216" s="6765"/>
      <c r="E216" s="6765"/>
      <c r="F216" s="6765"/>
      <c r="G216" s="6765"/>
      <c r="H216" s="6765"/>
      <c r="I216" s="6765"/>
      <c r="J216" s="6765"/>
      <c r="K216" s="6765"/>
      <c r="L216" s="6765"/>
      <c r="M216" s="6765"/>
      <c r="N216" s="6766"/>
      <c r="O216" s="1352"/>
      <c r="P216" s="1431"/>
      <c r="Q216" s="1341"/>
      <c r="R216" s="6702"/>
      <c r="S216" s="6703"/>
      <c r="T216" s="6705"/>
      <c r="U216" s="6707"/>
      <c r="V216" s="6709"/>
      <c r="W216" s="1341"/>
      <c r="X216" s="1431"/>
      <c r="Y216" s="1431"/>
    </row>
    <row r="217" spans="2:25" x14ac:dyDescent="0.25">
      <c r="B217" s="1341"/>
      <c r="C217" s="1460" t="s">
        <v>1419</v>
      </c>
      <c r="D217" s="1500">
        <f>'WS calcu'!E651</f>
        <v>0</v>
      </c>
      <c r="E217" s="1500">
        <f>'WS calcu'!F651</f>
        <v>0</v>
      </c>
      <c r="F217" s="1500">
        <f>'WS calcu'!G651</f>
        <v>0</v>
      </c>
      <c r="G217" s="1500">
        <f>'WS calcu'!H651</f>
        <v>0</v>
      </c>
      <c r="H217" s="1500">
        <f>'WS calcu'!I651</f>
        <v>0</v>
      </c>
      <c r="I217" s="1500">
        <f>'WS calcu'!J651</f>
        <v>0</v>
      </c>
      <c r="J217" s="1500">
        <f>'WS calcu'!K651</f>
        <v>0</v>
      </c>
      <c r="K217" s="1500">
        <f>'WS calcu'!L651</f>
        <v>0</v>
      </c>
      <c r="L217" s="1500">
        <f>'WS calcu'!M651</f>
        <v>0</v>
      </c>
      <c r="M217" s="1500">
        <f>'WS calcu'!N651</f>
        <v>0</v>
      </c>
      <c r="N217" s="1501">
        <f>'WS calcu'!O651</f>
        <v>0</v>
      </c>
      <c r="O217" s="1352"/>
      <c r="P217" s="1431"/>
      <c r="Q217" s="1341"/>
      <c r="R217" s="6702">
        <v>0.9</v>
      </c>
      <c r="S217" s="6703"/>
      <c r="T217" s="6704">
        <f>IF($R$17="II. CUSTOMIZE BENCHMARKS",$S217,$R217)*$AA$21</f>
        <v>0</v>
      </c>
      <c r="U217" s="6706">
        <f>IF($R$17="II. CUSTOMIZE BENCHMARKS",$S217,$R217)*$AA$22</f>
        <v>0.45</v>
      </c>
      <c r="V217" s="6708">
        <f>IF($R$17="II. CUSTOMIZE BENCHMARKS",$S217,$R217)*$AA$23</f>
        <v>0.81</v>
      </c>
      <c r="W217" s="1445"/>
      <c r="X217" s="1431"/>
      <c r="Y217" s="1431"/>
    </row>
    <row r="218" spans="2:25" ht="15.75" outlineLevel="1" thickBot="1" x14ac:dyDescent="0.3">
      <c r="B218" s="1341"/>
      <c r="C218" s="6791" t="s">
        <v>1865</v>
      </c>
      <c r="D218" s="6792"/>
      <c r="E218" s="6792"/>
      <c r="F218" s="6792"/>
      <c r="G218" s="6792"/>
      <c r="H218" s="6792"/>
      <c r="I218" s="6792"/>
      <c r="J218" s="6792"/>
      <c r="K218" s="6792"/>
      <c r="L218" s="6792"/>
      <c r="M218" s="6792"/>
      <c r="N218" s="6793"/>
      <c r="O218" s="1352"/>
      <c r="P218" s="1431"/>
      <c r="Q218" s="1341"/>
      <c r="R218" s="6732"/>
      <c r="S218" s="6733"/>
      <c r="T218" s="6714"/>
      <c r="U218" s="6715"/>
      <c r="V218" s="6716"/>
      <c r="W218" s="1341"/>
      <c r="X218" s="1431"/>
      <c r="Y218" s="1431"/>
    </row>
    <row r="219" spans="2:25" ht="37.5" customHeight="1" thickBot="1" x14ac:dyDescent="0.3">
      <c r="B219" s="1341"/>
      <c r="C219" s="1467"/>
      <c r="D219" s="1467"/>
      <c r="E219" s="1467"/>
      <c r="F219" s="1467"/>
      <c r="G219" s="1467"/>
      <c r="H219" s="1467"/>
      <c r="I219" s="1467"/>
      <c r="J219" s="1467"/>
      <c r="K219" s="1467"/>
      <c r="L219" s="1467"/>
      <c r="M219" s="1467"/>
      <c r="N219" s="1467"/>
      <c r="O219" s="1341"/>
      <c r="P219" s="1431"/>
      <c r="Q219" s="1341"/>
      <c r="R219" s="1484"/>
      <c r="S219" s="1484"/>
      <c r="T219" s="1484"/>
      <c r="U219" s="1484"/>
      <c r="V219" s="1484"/>
      <c r="W219" s="1341"/>
      <c r="X219" s="1431"/>
      <c r="Y219" s="1431"/>
    </row>
    <row r="220" spans="2:25" ht="22.5" customHeight="1" x14ac:dyDescent="0.25">
      <c r="B220" s="1341"/>
      <c r="C220" s="1447" t="s">
        <v>1030</v>
      </c>
      <c r="D220" s="1448">
        <f>D200</f>
        <v>2014</v>
      </c>
      <c r="E220" s="1449">
        <f t="shared" ref="E220:N220" si="6">E200</f>
        <v>2015</v>
      </c>
      <c r="F220" s="1449">
        <f t="shared" si="6"/>
        <v>2016</v>
      </c>
      <c r="G220" s="1449">
        <f t="shared" si="6"/>
        <v>2017</v>
      </c>
      <c r="H220" s="1449">
        <f t="shared" si="6"/>
        <v>2018</v>
      </c>
      <c r="I220" s="1449">
        <f t="shared" si="6"/>
        <v>2019</v>
      </c>
      <c r="J220" s="1449">
        <f t="shared" si="6"/>
        <v>2020</v>
      </c>
      <c r="K220" s="1449">
        <f t="shared" si="6"/>
        <v>2021</v>
      </c>
      <c r="L220" s="1449">
        <f t="shared" si="6"/>
        <v>2022</v>
      </c>
      <c r="M220" s="1449">
        <f t="shared" si="6"/>
        <v>2023</v>
      </c>
      <c r="N220" s="1450">
        <f t="shared" si="6"/>
        <v>2024</v>
      </c>
      <c r="O220" s="1341"/>
      <c r="P220" s="1431"/>
      <c r="Q220" s="1341"/>
      <c r="R220" s="1483" t="s">
        <v>1534</v>
      </c>
      <c r="S220" s="1483" t="s">
        <v>2064</v>
      </c>
      <c r="T220" s="1488" t="s">
        <v>817</v>
      </c>
      <c r="U220" s="1489" t="s">
        <v>905</v>
      </c>
      <c r="V220" s="1490" t="s">
        <v>818</v>
      </c>
      <c r="W220" s="1341"/>
      <c r="X220" s="1431"/>
      <c r="Y220" s="1431"/>
    </row>
    <row r="221" spans="2:25" x14ac:dyDescent="0.25">
      <c r="B221" s="1341"/>
      <c r="C221" s="1460" t="s">
        <v>1330</v>
      </c>
      <c r="D221" s="1500">
        <f>'WW calcu'!E232</f>
        <v>0</v>
      </c>
      <c r="E221" s="1500">
        <f>'WW calcu'!F232</f>
        <v>0</v>
      </c>
      <c r="F221" s="1500">
        <f>'WW calcu'!G232</f>
        <v>0</v>
      </c>
      <c r="G221" s="1500">
        <f>'WW calcu'!H232</f>
        <v>0</v>
      </c>
      <c r="H221" s="1500">
        <f>'WW calcu'!I232</f>
        <v>0</v>
      </c>
      <c r="I221" s="1500">
        <f>'WW calcu'!J232</f>
        <v>0</v>
      </c>
      <c r="J221" s="1500">
        <f>'WW calcu'!K232</f>
        <v>0</v>
      </c>
      <c r="K221" s="1500">
        <f>'WW calcu'!L232</f>
        <v>0</v>
      </c>
      <c r="L221" s="1500">
        <f>'WW calcu'!M232</f>
        <v>0</v>
      </c>
      <c r="M221" s="1500">
        <f>'WW calcu'!N232</f>
        <v>0</v>
      </c>
      <c r="N221" s="1501">
        <f>'WW calcu'!O232</f>
        <v>0</v>
      </c>
      <c r="O221" s="1352"/>
      <c r="P221" s="1431"/>
      <c r="Q221" s="1341"/>
      <c r="R221" s="6717">
        <v>1</v>
      </c>
      <c r="S221" s="6718"/>
      <c r="T221" s="6719">
        <f>IF($R$17="II. CUSTOMIZE BENCHMARKS",$S221,$R221)*$AA$21</f>
        <v>0</v>
      </c>
      <c r="U221" s="6720">
        <f>IF($R$17="II. CUSTOMIZE BENCHMARKS",$S221,$R221)*$AA$22</f>
        <v>0.5</v>
      </c>
      <c r="V221" s="6721">
        <f>IF($R$17="II. CUSTOMIZE BENCHMARKS",$S221,$R221)*$AA$23</f>
        <v>0.9</v>
      </c>
      <c r="W221" s="1445"/>
      <c r="X221" s="1431"/>
      <c r="Y221" s="1431"/>
    </row>
    <row r="222" spans="2:25" outlineLevel="1" x14ac:dyDescent="0.25">
      <c r="B222" s="1341"/>
      <c r="C222" s="6764" t="s">
        <v>1504</v>
      </c>
      <c r="D222" s="6765"/>
      <c r="E222" s="6765"/>
      <c r="F222" s="6765"/>
      <c r="G222" s="6765"/>
      <c r="H222" s="6765"/>
      <c r="I222" s="6765"/>
      <c r="J222" s="6765"/>
      <c r="K222" s="6765"/>
      <c r="L222" s="6765"/>
      <c r="M222" s="6765"/>
      <c r="N222" s="6766"/>
      <c r="O222" s="1352"/>
      <c r="P222" s="1431"/>
      <c r="Q222" s="1341"/>
      <c r="R222" s="6710"/>
      <c r="S222" s="6712"/>
      <c r="T222" s="6705"/>
      <c r="U222" s="6707"/>
      <c r="V222" s="6709"/>
      <c r="W222" s="1341"/>
      <c r="X222" s="1431"/>
      <c r="Y222" s="1431"/>
    </row>
    <row r="223" spans="2:25" x14ac:dyDescent="0.25">
      <c r="B223" s="1341"/>
      <c r="C223" s="1460" t="s">
        <v>1472</v>
      </c>
      <c r="D223" s="1500">
        <f>'WW calcu'!E492</f>
        <v>0</v>
      </c>
      <c r="E223" s="1500">
        <f>'WW calcu'!F492</f>
        <v>0</v>
      </c>
      <c r="F223" s="1500">
        <f>'WW calcu'!G492</f>
        <v>0</v>
      </c>
      <c r="G223" s="1500">
        <f>'WW calcu'!H492</f>
        <v>0</v>
      </c>
      <c r="H223" s="1500">
        <f>'WW calcu'!I492</f>
        <v>0</v>
      </c>
      <c r="I223" s="1500">
        <f>'WW calcu'!J492</f>
        <v>0</v>
      </c>
      <c r="J223" s="1500">
        <f>'WW calcu'!K492</f>
        <v>0</v>
      </c>
      <c r="K223" s="1500">
        <f>'WW calcu'!L492</f>
        <v>0</v>
      </c>
      <c r="L223" s="1500">
        <f>'WW calcu'!M492</f>
        <v>0</v>
      </c>
      <c r="M223" s="1500">
        <f>'WW calcu'!N492</f>
        <v>0</v>
      </c>
      <c r="N223" s="1501">
        <f>'WW calcu'!O492</f>
        <v>0</v>
      </c>
      <c r="O223" s="1352"/>
      <c r="P223" s="1431"/>
      <c r="Q223" s="1341"/>
      <c r="R223" s="6702">
        <v>1</v>
      </c>
      <c r="S223" s="6703"/>
      <c r="T223" s="6704">
        <f>IF($R$17="II. CUSTOMIZE BENCHMARKS",$S223,$R223)*$AA$21</f>
        <v>0</v>
      </c>
      <c r="U223" s="6706">
        <f>IF($R$17="II. CUSTOMIZE BENCHMARKS",$S223,$R223)*$AA$22</f>
        <v>0.5</v>
      </c>
      <c r="V223" s="6708">
        <f>IF($R$17="II. CUSTOMIZE BENCHMARKS",$S223,$R223)*$AA$23</f>
        <v>0.9</v>
      </c>
      <c r="W223" s="1445"/>
      <c r="X223" s="1431"/>
      <c r="Y223" s="1431"/>
    </row>
    <row r="224" spans="2:25" outlineLevel="1" x14ac:dyDescent="0.25">
      <c r="B224" s="1341"/>
      <c r="C224" s="6764" t="s">
        <v>1469</v>
      </c>
      <c r="D224" s="6765"/>
      <c r="E224" s="6765"/>
      <c r="F224" s="6765"/>
      <c r="G224" s="6765"/>
      <c r="H224" s="6765"/>
      <c r="I224" s="6765"/>
      <c r="J224" s="6765"/>
      <c r="K224" s="6765"/>
      <c r="L224" s="6765"/>
      <c r="M224" s="6765"/>
      <c r="N224" s="6766"/>
      <c r="O224" s="1352"/>
      <c r="P224" s="1431"/>
      <c r="Q224" s="1341"/>
      <c r="R224" s="6702"/>
      <c r="S224" s="6703"/>
      <c r="T224" s="6705"/>
      <c r="U224" s="6707"/>
      <c r="V224" s="6709"/>
      <c r="W224" s="1341"/>
      <c r="X224" s="1431"/>
      <c r="Y224" s="1431"/>
    </row>
    <row r="225" spans="2:25" x14ac:dyDescent="0.25">
      <c r="B225" s="1341"/>
      <c r="C225" s="1460" t="s">
        <v>1473</v>
      </c>
      <c r="D225" s="1500">
        <f>'WW calcu'!E591</f>
        <v>0</v>
      </c>
      <c r="E225" s="1500">
        <f>'WW calcu'!F591</f>
        <v>0</v>
      </c>
      <c r="F225" s="1500">
        <f>'WW calcu'!G591</f>
        <v>0</v>
      </c>
      <c r="G225" s="1500">
        <f>'WW calcu'!H591</f>
        <v>0</v>
      </c>
      <c r="H225" s="1500">
        <f>'WW calcu'!I591</f>
        <v>0</v>
      </c>
      <c r="I225" s="1500">
        <f>'WW calcu'!J591</f>
        <v>0</v>
      </c>
      <c r="J225" s="1500">
        <f>'WW calcu'!K591</f>
        <v>0</v>
      </c>
      <c r="K225" s="1500">
        <f>'WW calcu'!L591</f>
        <v>0</v>
      </c>
      <c r="L225" s="1500">
        <f>'WW calcu'!M591</f>
        <v>0</v>
      </c>
      <c r="M225" s="1500">
        <f>'WW calcu'!N591</f>
        <v>0</v>
      </c>
      <c r="N225" s="1501">
        <f>'WW calcu'!O591</f>
        <v>0</v>
      </c>
      <c r="O225" s="1352"/>
      <c r="P225" s="1431"/>
      <c r="Q225" s="1341"/>
      <c r="R225" s="6702">
        <v>1</v>
      </c>
      <c r="S225" s="6703"/>
      <c r="T225" s="6704">
        <f>IF($R$17="II. CUSTOMIZE BENCHMARKS",$S225,$R225)*$AA$21</f>
        <v>0</v>
      </c>
      <c r="U225" s="6706">
        <f>IF($R$17="II. CUSTOMIZE BENCHMARKS",$S225,$R225)*$AA$22</f>
        <v>0.5</v>
      </c>
      <c r="V225" s="6708">
        <f>IF($R$17="II. CUSTOMIZE BENCHMARKS",$S225,$R225)*$AA$23</f>
        <v>0.9</v>
      </c>
      <c r="W225" s="1445"/>
      <c r="X225" s="1431"/>
      <c r="Y225" s="1431"/>
    </row>
    <row r="226" spans="2:25" outlineLevel="1" x14ac:dyDescent="0.25">
      <c r="B226" s="1341"/>
      <c r="C226" s="6764" t="s">
        <v>3791</v>
      </c>
      <c r="D226" s="6765"/>
      <c r="E226" s="6765"/>
      <c r="F226" s="6765"/>
      <c r="G226" s="6765"/>
      <c r="H226" s="6765"/>
      <c r="I226" s="6765"/>
      <c r="J226" s="6765"/>
      <c r="K226" s="6765"/>
      <c r="L226" s="6765"/>
      <c r="M226" s="6765"/>
      <c r="N226" s="6766"/>
      <c r="O226" s="1352"/>
      <c r="P226" s="1431"/>
      <c r="Q226" s="1341"/>
      <c r="R226" s="6702"/>
      <c r="S226" s="6703"/>
      <c r="T226" s="6705"/>
      <c r="U226" s="6707"/>
      <c r="V226" s="6709"/>
      <c r="W226" s="1341"/>
      <c r="X226" s="1431"/>
      <c r="Y226" s="1431"/>
    </row>
    <row r="227" spans="2:25" x14ac:dyDescent="0.25">
      <c r="B227" s="1341"/>
      <c r="C227" s="1460" t="s">
        <v>1385</v>
      </c>
      <c r="D227" s="1500">
        <f>'WW calcu'!E716</f>
        <v>0</v>
      </c>
      <c r="E227" s="1500">
        <f>'WW calcu'!F716</f>
        <v>0</v>
      </c>
      <c r="F227" s="1500">
        <f>'WW calcu'!G716</f>
        <v>0</v>
      </c>
      <c r="G227" s="1500">
        <f>'WW calcu'!H716</f>
        <v>0</v>
      </c>
      <c r="H227" s="1500">
        <f>'WW calcu'!I716</f>
        <v>0</v>
      </c>
      <c r="I227" s="1500">
        <f>'WW calcu'!J716</f>
        <v>0</v>
      </c>
      <c r="J227" s="1500">
        <f>'WW calcu'!K716</f>
        <v>0</v>
      </c>
      <c r="K227" s="1500">
        <f>'WW calcu'!L716</f>
        <v>0</v>
      </c>
      <c r="L227" s="1500">
        <f>'WW calcu'!M716</f>
        <v>0</v>
      </c>
      <c r="M227" s="1500">
        <f>'WW calcu'!N716</f>
        <v>0</v>
      </c>
      <c r="N227" s="1501">
        <f>'WW calcu'!O716</f>
        <v>0</v>
      </c>
      <c r="O227" s="1352"/>
      <c r="P227" s="1431"/>
      <c r="Q227" s="1341"/>
      <c r="R227" s="6702">
        <v>1</v>
      </c>
      <c r="S227" s="6703"/>
      <c r="T227" s="6704">
        <f>IF($R$17="II. CUSTOMIZE BENCHMARKS",$S227,$R227)*$AA$21</f>
        <v>0</v>
      </c>
      <c r="U227" s="6706">
        <f>IF($R$17="II. CUSTOMIZE BENCHMARKS",$S227,$R227)*$AA$22</f>
        <v>0.5</v>
      </c>
      <c r="V227" s="6708">
        <f>IF($R$17="II. CUSTOMIZE BENCHMARKS",$S227,$R227)*$AA$23</f>
        <v>0.9</v>
      </c>
      <c r="W227" s="1445"/>
      <c r="X227" s="1431"/>
      <c r="Y227" s="1431"/>
    </row>
    <row r="228" spans="2:25" outlineLevel="1" x14ac:dyDescent="0.25">
      <c r="B228" s="1341"/>
      <c r="C228" s="6764" t="s">
        <v>1866</v>
      </c>
      <c r="D228" s="6765"/>
      <c r="E228" s="6765"/>
      <c r="F228" s="6765"/>
      <c r="G228" s="6765"/>
      <c r="H228" s="6765"/>
      <c r="I228" s="6765"/>
      <c r="J228" s="6765"/>
      <c r="K228" s="6765"/>
      <c r="L228" s="6765"/>
      <c r="M228" s="6765"/>
      <c r="N228" s="6766"/>
      <c r="O228" s="1352"/>
      <c r="P228" s="1431"/>
      <c r="Q228" s="1341"/>
      <c r="R228" s="6702"/>
      <c r="S228" s="6703"/>
      <c r="T228" s="6705"/>
      <c r="U228" s="6707"/>
      <c r="V228" s="6709"/>
      <c r="W228" s="1341"/>
      <c r="X228" s="1431"/>
      <c r="Y228" s="1431"/>
    </row>
    <row r="229" spans="2:25" x14ac:dyDescent="0.25">
      <c r="B229" s="1341"/>
      <c r="C229" s="1460" t="s">
        <v>1387</v>
      </c>
      <c r="D229" s="1500">
        <f>IFERROR('WW calcu'!E840,0)</f>
        <v>0</v>
      </c>
      <c r="E229" s="1500">
        <f>IFERROR('WW calcu'!F840,0)</f>
        <v>0</v>
      </c>
      <c r="F229" s="1500">
        <f>IFERROR('WW calcu'!G840,0)</f>
        <v>0</v>
      </c>
      <c r="G229" s="1500">
        <f>IFERROR('WW calcu'!H840,0)</f>
        <v>0</v>
      </c>
      <c r="H229" s="1500">
        <f>IFERROR('WW calcu'!I840,0)</f>
        <v>0</v>
      </c>
      <c r="I229" s="1500">
        <f>IFERROR('WW calcu'!J840,0)</f>
        <v>0</v>
      </c>
      <c r="J229" s="1500">
        <f>IFERROR('WW calcu'!K840,0)</f>
        <v>0</v>
      </c>
      <c r="K229" s="1500">
        <f>IFERROR('WW calcu'!L840,0)</f>
        <v>0</v>
      </c>
      <c r="L229" s="1500">
        <f>IFERROR('WW calcu'!M840,0)</f>
        <v>0</v>
      </c>
      <c r="M229" s="1500">
        <f>IFERROR('WW calcu'!N840,0)</f>
        <v>0</v>
      </c>
      <c r="N229" s="1501">
        <f>IFERROR('WW calcu'!O840,0)</f>
        <v>0</v>
      </c>
      <c r="O229" s="1352"/>
      <c r="P229" s="1431"/>
      <c r="Q229" s="1341"/>
      <c r="R229" s="6702">
        <v>1</v>
      </c>
      <c r="S229" s="6703"/>
      <c r="T229" s="6704">
        <f>IF($R$17="II. CUSTOMIZE BENCHMARKS",$S229,$R229)*$AA$21</f>
        <v>0</v>
      </c>
      <c r="U229" s="6706">
        <f>IF($R$17="II. CUSTOMIZE BENCHMARKS",$S229,$R229)*$AA$22</f>
        <v>0.5</v>
      </c>
      <c r="V229" s="6708">
        <f>IF($R$17="II. CUSTOMIZE BENCHMARKS",$S229,$R229)*$AA$23</f>
        <v>0.9</v>
      </c>
      <c r="W229" s="1445"/>
      <c r="X229" s="1431"/>
      <c r="Y229" s="1431"/>
    </row>
    <row r="230" spans="2:25" outlineLevel="1" x14ac:dyDescent="0.25">
      <c r="B230" s="1341"/>
      <c r="C230" s="6800" t="s">
        <v>1867</v>
      </c>
      <c r="D230" s="6765"/>
      <c r="E230" s="6765"/>
      <c r="F230" s="6765"/>
      <c r="G230" s="6765"/>
      <c r="H230" s="6765"/>
      <c r="I230" s="6765"/>
      <c r="J230" s="6765"/>
      <c r="K230" s="6765"/>
      <c r="L230" s="6765"/>
      <c r="M230" s="6765"/>
      <c r="N230" s="6766"/>
      <c r="O230" s="1352"/>
      <c r="P230" s="1431"/>
      <c r="Q230" s="1341"/>
      <c r="R230" s="6702"/>
      <c r="S230" s="6703"/>
      <c r="T230" s="6705"/>
      <c r="U230" s="6707"/>
      <c r="V230" s="6709"/>
      <c r="W230" s="1341"/>
      <c r="X230" s="1431"/>
      <c r="Y230" s="1431"/>
    </row>
    <row r="231" spans="2:25" x14ac:dyDescent="0.25">
      <c r="B231" s="1341"/>
      <c r="C231" s="1460" t="s">
        <v>1386</v>
      </c>
      <c r="D231" s="1500">
        <f>'WW calcu'!E821</f>
        <v>0</v>
      </c>
      <c r="E231" s="1500">
        <f>'WW calcu'!F821</f>
        <v>0</v>
      </c>
      <c r="F231" s="1500">
        <f>'WW calcu'!G821</f>
        <v>0</v>
      </c>
      <c r="G231" s="1500">
        <f>'WW calcu'!H821</f>
        <v>0</v>
      </c>
      <c r="H231" s="1500">
        <f>'WW calcu'!I821</f>
        <v>0</v>
      </c>
      <c r="I231" s="1500">
        <f>'WW calcu'!J821</f>
        <v>0</v>
      </c>
      <c r="J231" s="1500">
        <f>'WW calcu'!K821</f>
        <v>0</v>
      </c>
      <c r="K231" s="1500">
        <f>'WW calcu'!L821</f>
        <v>0</v>
      </c>
      <c r="L231" s="1500">
        <f>'WW calcu'!M821</f>
        <v>0</v>
      </c>
      <c r="M231" s="1500">
        <f>'WW calcu'!N821</f>
        <v>0</v>
      </c>
      <c r="N231" s="1501">
        <f>'WW calcu'!O821</f>
        <v>0</v>
      </c>
      <c r="O231" s="1352"/>
      <c r="P231" s="1431"/>
      <c r="Q231" s="1341"/>
      <c r="R231" s="6702">
        <v>0.2</v>
      </c>
      <c r="S231" s="6703"/>
      <c r="T231" s="6704">
        <f>IF($R$17="II. CUSTOMIZE BENCHMARKS",$S231,$R231)*$AA$21</f>
        <v>0</v>
      </c>
      <c r="U231" s="6706">
        <f>IF($R$17="II. CUSTOMIZE BENCHMARKS",$S231,$R231)*$AA$22</f>
        <v>0.1</v>
      </c>
      <c r="V231" s="6708">
        <f>IF($R$17="II. CUSTOMIZE BENCHMARKS",$S231,$R231)*$AA$23</f>
        <v>0.18000000000000002</v>
      </c>
      <c r="W231" s="1445"/>
      <c r="X231" s="1431"/>
      <c r="Y231" s="1431"/>
    </row>
    <row r="232" spans="2:25" outlineLevel="1" x14ac:dyDescent="0.25">
      <c r="B232" s="1341"/>
      <c r="C232" s="6764" t="s">
        <v>1868</v>
      </c>
      <c r="D232" s="6765"/>
      <c r="E232" s="6765"/>
      <c r="F232" s="6765"/>
      <c r="G232" s="6765"/>
      <c r="H232" s="6765"/>
      <c r="I232" s="6765"/>
      <c r="J232" s="6765"/>
      <c r="K232" s="6765"/>
      <c r="L232" s="6765"/>
      <c r="M232" s="6765"/>
      <c r="N232" s="6766"/>
      <c r="O232" s="1352"/>
      <c r="P232" s="1431"/>
      <c r="Q232" s="1341"/>
      <c r="R232" s="6702"/>
      <c r="S232" s="6703"/>
      <c r="T232" s="6705"/>
      <c r="U232" s="6707"/>
      <c r="V232" s="6709"/>
      <c r="W232" s="1341"/>
      <c r="X232" s="1431"/>
      <c r="Y232" s="1431"/>
    </row>
    <row r="233" spans="2:25" x14ac:dyDescent="0.25">
      <c r="B233" s="1341"/>
      <c r="C233" s="1460" t="s">
        <v>802</v>
      </c>
      <c r="D233" s="1500">
        <f>'WW calcu'!E841</f>
        <v>1</v>
      </c>
      <c r="E233" s="1500">
        <f>'WW calcu'!F841</f>
        <v>1</v>
      </c>
      <c r="F233" s="1500">
        <f>'WW calcu'!G841</f>
        <v>1</v>
      </c>
      <c r="G233" s="1500">
        <f>'WW calcu'!H841</f>
        <v>1</v>
      </c>
      <c r="H233" s="1500">
        <f>'WW calcu'!I841</f>
        <v>1</v>
      </c>
      <c r="I233" s="1500">
        <f>'WW calcu'!J841</f>
        <v>1</v>
      </c>
      <c r="J233" s="1500">
        <f>'WW calcu'!K841</f>
        <v>1</v>
      </c>
      <c r="K233" s="1500">
        <f>'WW calcu'!L841</f>
        <v>1</v>
      </c>
      <c r="L233" s="1500">
        <f>'WW calcu'!M841</f>
        <v>1</v>
      </c>
      <c r="M233" s="1500">
        <f>'WW calcu'!N841</f>
        <v>1</v>
      </c>
      <c r="N233" s="1501">
        <f>'WW calcu'!O841</f>
        <v>1</v>
      </c>
      <c r="O233" s="1352"/>
      <c r="P233" s="1431"/>
      <c r="Q233" s="1341"/>
      <c r="R233" s="6702">
        <v>0.8</v>
      </c>
      <c r="S233" s="6703"/>
      <c r="T233" s="6704">
        <f>IF($R$17="II. CUSTOMIZE BENCHMARKS",$S233,$R233)*$AA$21</f>
        <v>0</v>
      </c>
      <c r="U233" s="6706">
        <f>IF($R$17="II. CUSTOMIZE BENCHMARKS",$S233,$R233)*$AA$22</f>
        <v>0.4</v>
      </c>
      <c r="V233" s="6708">
        <f>IF($R$17="II. CUSTOMIZE BENCHMARKS",$S233,$R233)*$AA$23</f>
        <v>0.72000000000000008</v>
      </c>
      <c r="W233" s="1445"/>
      <c r="X233" s="1431"/>
      <c r="Y233" s="1431"/>
    </row>
    <row r="234" spans="2:25" outlineLevel="1" x14ac:dyDescent="0.25">
      <c r="B234" s="1341"/>
      <c r="C234" s="6764" t="s">
        <v>2060</v>
      </c>
      <c r="D234" s="6765"/>
      <c r="E234" s="6765"/>
      <c r="F234" s="6765"/>
      <c r="G234" s="6765"/>
      <c r="H234" s="6765"/>
      <c r="I234" s="6765"/>
      <c r="J234" s="6765"/>
      <c r="K234" s="6765"/>
      <c r="L234" s="6765"/>
      <c r="M234" s="6765"/>
      <c r="N234" s="6766"/>
      <c r="O234" s="1352"/>
      <c r="P234" s="1431"/>
      <c r="Q234" s="1341"/>
      <c r="R234" s="6702"/>
      <c r="S234" s="6703"/>
      <c r="T234" s="6705"/>
      <c r="U234" s="6707"/>
      <c r="V234" s="6709"/>
      <c r="W234" s="1341"/>
      <c r="X234" s="1431"/>
      <c r="Y234" s="1431"/>
    </row>
    <row r="235" spans="2:25" x14ac:dyDescent="0.25">
      <c r="B235" s="1341"/>
      <c r="C235" s="1460" t="s">
        <v>1420</v>
      </c>
      <c r="D235" s="1500">
        <f>'WW calcu'!E924</f>
        <v>0</v>
      </c>
      <c r="E235" s="1500">
        <f>'WW calcu'!F924</f>
        <v>5.3649068195134146E-3</v>
      </c>
      <c r="F235" s="1500">
        <f>'WW calcu'!G924</f>
        <v>4.7708009893881846E-3</v>
      </c>
      <c r="G235" s="1500">
        <f>'WW calcu'!H924</f>
        <v>4.4997201726306732E-3</v>
      </c>
      <c r="H235" s="1500">
        <f>'WW calcu'!I924</f>
        <v>5.1342029527855673E-2</v>
      </c>
      <c r="I235" s="1500">
        <f>'WW calcu'!J924</f>
        <v>5.0364086108277466E-2</v>
      </c>
      <c r="J235" s="1500">
        <f>'WW calcu'!K924</f>
        <v>0</v>
      </c>
      <c r="K235" s="1500">
        <f>'WW calcu'!L924</f>
        <v>0</v>
      </c>
      <c r="L235" s="1500">
        <f>'WW calcu'!M924</f>
        <v>0</v>
      </c>
      <c r="M235" s="1500">
        <f>'WW calcu'!N924</f>
        <v>0</v>
      </c>
      <c r="N235" s="1501">
        <f>'WW calcu'!O924</f>
        <v>0</v>
      </c>
      <c r="O235" s="1352"/>
      <c r="P235" s="1431"/>
      <c r="Q235" s="1341"/>
      <c r="R235" s="6702">
        <v>1</v>
      </c>
      <c r="S235" s="6703"/>
      <c r="T235" s="6704">
        <f>IF($R$17="II. CUSTOMIZE BENCHMARKS",$S235,$R235)*$AA$21</f>
        <v>0</v>
      </c>
      <c r="U235" s="6706">
        <f>IF($R$17="II. CUSTOMIZE BENCHMARKS",$S235,$R235)*$AA$22</f>
        <v>0.5</v>
      </c>
      <c r="V235" s="6708">
        <f>IF($R$17="II. CUSTOMIZE BENCHMARKS",$S235,$R235)*$AA$23</f>
        <v>0.9</v>
      </c>
      <c r="W235" s="1445"/>
      <c r="X235" s="1431"/>
      <c r="Y235" s="1431"/>
    </row>
    <row r="236" spans="2:25" outlineLevel="1" x14ac:dyDescent="0.25">
      <c r="B236" s="1341"/>
      <c r="C236" s="6764" t="s">
        <v>1869</v>
      </c>
      <c r="D236" s="6765"/>
      <c r="E236" s="6765"/>
      <c r="F236" s="6765"/>
      <c r="G236" s="6765"/>
      <c r="H236" s="6765"/>
      <c r="I236" s="6765"/>
      <c r="J236" s="6765"/>
      <c r="K236" s="6765"/>
      <c r="L236" s="6765"/>
      <c r="M236" s="6765"/>
      <c r="N236" s="6766"/>
      <c r="O236" s="1352"/>
      <c r="P236" s="1431"/>
      <c r="Q236" s="1341"/>
      <c r="R236" s="6702"/>
      <c r="S236" s="6703"/>
      <c r="T236" s="6705"/>
      <c r="U236" s="6707"/>
      <c r="V236" s="6709"/>
      <c r="W236" s="1341"/>
      <c r="X236" s="1431"/>
      <c r="Y236" s="1431"/>
    </row>
    <row r="237" spans="2:25" x14ac:dyDescent="0.25">
      <c r="B237" s="1341"/>
      <c r="C237" s="1460" t="s">
        <v>1388</v>
      </c>
      <c r="D237" s="1500">
        <f>SUM('WW calcu'!E897,'WW calcu'!E898)</f>
        <v>0</v>
      </c>
      <c r="E237" s="1500">
        <f>SUM('WW calcu'!F897,'WW calcu'!F898)</f>
        <v>0</v>
      </c>
      <c r="F237" s="1500">
        <f>SUM('WW calcu'!G897,'WW calcu'!G898)</f>
        <v>0</v>
      </c>
      <c r="G237" s="1500">
        <f>SUM('WW calcu'!H897,'WW calcu'!H898)</f>
        <v>0</v>
      </c>
      <c r="H237" s="1500">
        <f>SUM('WW calcu'!I897,'WW calcu'!I898)</f>
        <v>0</v>
      </c>
      <c r="I237" s="1500">
        <f>SUM('WW calcu'!J897,'WW calcu'!J898)</f>
        <v>0</v>
      </c>
      <c r="J237" s="1500">
        <f>SUM('WW calcu'!K897,'WW calcu'!K898)</f>
        <v>0</v>
      </c>
      <c r="K237" s="1500">
        <f>SUM('WW calcu'!L897,'WW calcu'!L898)</f>
        <v>0</v>
      </c>
      <c r="L237" s="1500">
        <f>SUM('WW calcu'!M897,'WW calcu'!M898)</f>
        <v>0</v>
      </c>
      <c r="M237" s="1500">
        <f>SUM('WW calcu'!N897,'WW calcu'!N898)</f>
        <v>0</v>
      </c>
      <c r="N237" s="1501">
        <f>SUM('WW calcu'!O897,'WW calcu'!O898)</f>
        <v>0</v>
      </c>
      <c r="O237" s="1352"/>
      <c r="P237" s="1431"/>
      <c r="Q237" s="1341"/>
      <c r="R237" s="6702">
        <v>0.9</v>
      </c>
      <c r="S237" s="6703"/>
      <c r="T237" s="6704">
        <f>IF($R$17="II. CUSTOMIZE BENCHMARKS",$S237,$R237)*$AA$21</f>
        <v>0</v>
      </c>
      <c r="U237" s="6706">
        <f>IF($R$17="II. CUSTOMIZE BENCHMARKS",$S237,$R237)*$AA$22</f>
        <v>0.45</v>
      </c>
      <c r="V237" s="6708">
        <f>IF($R$17="II. CUSTOMIZE BENCHMARKS",$S237,$R237)*$AA$23</f>
        <v>0.81</v>
      </c>
      <c r="W237" s="1445"/>
      <c r="X237" s="1431"/>
      <c r="Y237" s="1431"/>
    </row>
    <row r="238" spans="2:25" ht="15.75" outlineLevel="1" thickBot="1" x14ac:dyDescent="0.3">
      <c r="B238" s="1341"/>
      <c r="C238" s="6791" t="s">
        <v>1865</v>
      </c>
      <c r="D238" s="6792"/>
      <c r="E238" s="6792"/>
      <c r="F238" s="6792"/>
      <c r="G238" s="6792"/>
      <c r="H238" s="6792"/>
      <c r="I238" s="6792"/>
      <c r="J238" s="6792"/>
      <c r="K238" s="6792"/>
      <c r="L238" s="6792"/>
      <c r="M238" s="6792"/>
      <c r="N238" s="6793"/>
      <c r="O238" s="1352"/>
      <c r="P238" s="1431"/>
      <c r="Q238" s="1341"/>
      <c r="R238" s="6732"/>
      <c r="S238" s="6733"/>
      <c r="T238" s="6714"/>
      <c r="U238" s="6715"/>
      <c r="V238" s="6716"/>
      <c r="W238" s="1341"/>
      <c r="X238" s="1431"/>
      <c r="Y238" s="1431"/>
    </row>
    <row r="239" spans="2:25" ht="37.5" customHeight="1" thickBot="1" x14ac:dyDescent="0.3">
      <c r="B239" s="1341"/>
      <c r="C239" s="1467"/>
      <c r="D239" s="1467"/>
      <c r="E239" s="1467"/>
      <c r="F239" s="1467"/>
      <c r="G239" s="1467"/>
      <c r="H239" s="1467"/>
      <c r="I239" s="1467"/>
      <c r="J239" s="1467"/>
      <c r="K239" s="1467"/>
      <c r="L239" s="1467"/>
      <c r="M239" s="1467"/>
      <c r="N239" s="1467"/>
      <c r="O239" s="1341"/>
      <c r="P239" s="1431"/>
      <c r="Q239" s="1341"/>
      <c r="R239" s="1484"/>
      <c r="S239" s="1484"/>
      <c r="T239" s="1484"/>
      <c r="U239" s="1484"/>
      <c r="V239" s="1484"/>
      <c r="W239" s="1341"/>
      <c r="X239" s="1431"/>
      <c r="Y239" s="1431"/>
    </row>
    <row r="240" spans="2:25" ht="22.5" customHeight="1" x14ac:dyDescent="0.25">
      <c r="B240" s="1341"/>
      <c r="C240" s="1447" t="s">
        <v>1136</v>
      </c>
      <c r="D240" s="1448">
        <f>D246</f>
        <v>2014</v>
      </c>
      <c r="E240" s="1449">
        <f t="shared" ref="E240:N240" si="7">E246</f>
        <v>2015</v>
      </c>
      <c r="F240" s="1449">
        <f t="shared" si="7"/>
        <v>2016</v>
      </c>
      <c r="G240" s="1449">
        <f t="shared" si="7"/>
        <v>2017</v>
      </c>
      <c r="H240" s="1449">
        <f t="shared" si="7"/>
        <v>2018</v>
      </c>
      <c r="I240" s="1449">
        <f t="shared" si="7"/>
        <v>2019</v>
      </c>
      <c r="J240" s="1449">
        <f t="shared" si="7"/>
        <v>2020</v>
      </c>
      <c r="K240" s="1449">
        <f t="shared" si="7"/>
        <v>2021</v>
      </c>
      <c r="L240" s="1449">
        <f t="shared" si="7"/>
        <v>2022</v>
      </c>
      <c r="M240" s="1449">
        <f t="shared" si="7"/>
        <v>2023</v>
      </c>
      <c r="N240" s="1450">
        <f t="shared" si="7"/>
        <v>2024</v>
      </c>
      <c r="O240" s="1341"/>
      <c r="P240" s="1431"/>
      <c r="Q240" s="1341"/>
      <c r="R240" s="1483" t="s">
        <v>1534</v>
      </c>
      <c r="S240" s="1483" t="s">
        <v>2064</v>
      </c>
      <c r="T240" s="1488" t="s">
        <v>817</v>
      </c>
      <c r="U240" s="1489" t="s">
        <v>905</v>
      </c>
      <c r="V240" s="1490" t="s">
        <v>818</v>
      </c>
      <c r="W240" s="1341"/>
      <c r="X240" s="1431"/>
      <c r="Y240" s="1431"/>
    </row>
    <row r="241" spans="2:25" x14ac:dyDescent="0.25">
      <c r="B241" s="1341"/>
      <c r="C241" s="1460" t="s">
        <v>2061</v>
      </c>
      <c r="D241" s="1500">
        <f>'WW calcu'!E575</f>
        <v>0</v>
      </c>
      <c r="E241" s="1500">
        <f>'WW calcu'!F575</f>
        <v>0</v>
      </c>
      <c r="F241" s="1500">
        <f>'WW calcu'!G575</f>
        <v>0</v>
      </c>
      <c r="G241" s="1500">
        <f>'WW calcu'!H575</f>
        <v>0</v>
      </c>
      <c r="H241" s="1500">
        <f>'WW calcu'!I575</f>
        <v>0</v>
      </c>
      <c r="I241" s="1500">
        <f>'WW calcu'!J575</f>
        <v>0</v>
      </c>
      <c r="J241" s="1500">
        <f>'WW calcu'!K575</f>
        <v>0</v>
      </c>
      <c r="K241" s="1500">
        <f>'WW calcu'!L575</f>
        <v>0</v>
      </c>
      <c r="L241" s="1500">
        <f>'WW calcu'!M575</f>
        <v>0</v>
      </c>
      <c r="M241" s="1500">
        <f>'WW calcu'!N575</f>
        <v>0</v>
      </c>
      <c r="N241" s="1501">
        <f>'WW calcu'!O575</f>
        <v>0</v>
      </c>
      <c r="O241" s="1352"/>
      <c r="P241" s="1431"/>
      <c r="Q241" s="1341"/>
      <c r="R241" s="6717">
        <v>1</v>
      </c>
      <c r="S241" s="6718"/>
      <c r="T241" s="6719">
        <f>IF($R$17="II. CUSTOMIZE BENCHMARKS",$S241,$R241)*$AA$21</f>
        <v>0</v>
      </c>
      <c r="U241" s="6720">
        <f>IF($R$17="II. CUSTOMIZE BENCHMARKS",$S241,$R241)*$AA$22</f>
        <v>0.5</v>
      </c>
      <c r="V241" s="6721">
        <f>IF($R$17="II. CUSTOMIZE BENCHMARKS",$S241,$R241)*$AA$23</f>
        <v>0.9</v>
      </c>
      <c r="W241" s="1445"/>
      <c r="X241" s="1431"/>
      <c r="Y241" s="1431"/>
    </row>
    <row r="242" spans="2:25" ht="16.5" customHeight="1" outlineLevel="1" x14ac:dyDescent="0.25">
      <c r="B242" s="1341"/>
      <c r="C242" s="6800" t="s">
        <v>1870</v>
      </c>
      <c r="D242" s="6765"/>
      <c r="E242" s="6765"/>
      <c r="F242" s="6765"/>
      <c r="G242" s="6765"/>
      <c r="H242" s="6765"/>
      <c r="I242" s="6765"/>
      <c r="J242" s="6765"/>
      <c r="K242" s="6765"/>
      <c r="L242" s="6765"/>
      <c r="M242" s="6765"/>
      <c r="N242" s="6766"/>
      <c r="O242" s="1352"/>
      <c r="P242" s="1431"/>
      <c r="Q242" s="1341"/>
      <c r="R242" s="6710"/>
      <c r="S242" s="6712"/>
      <c r="T242" s="6705"/>
      <c r="U242" s="6707"/>
      <c r="V242" s="6709"/>
      <c r="W242" s="1341"/>
      <c r="X242" s="1431"/>
      <c r="Y242" s="1431"/>
    </row>
    <row r="243" spans="2:25" x14ac:dyDescent="0.25">
      <c r="B243" s="1341"/>
      <c r="C243" s="1526" t="s">
        <v>1332</v>
      </c>
      <c r="D243" s="1527">
        <f>IFERROR('WW calcu'!E831,0)</f>
        <v>3</v>
      </c>
      <c r="E243" s="1527">
        <f>IFERROR('WW calcu'!F831,0)</f>
        <v>3</v>
      </c>
      <c r="F243" s="1527">
        <f>IFERROR('WW calcu'!G831,0)</f>
        <v>3</v>
      </c>
      <c r="G243" s="1527">
        <f>IFERROR('WW calcu'!H831,0)</f>
        <v>3</v>
      </c>
      <c r="H243" s="1527">
        <f>IFERROR('WW calcu'!I831,0)</f>
        <v>3</v>
      </c>
      <c r="I243" s="1527">
        <f>IFERROR('WW calcu'!J831,0)</f>
        <v>3</v>
      </c>
      <c r="J243" s="1527">
        <f>IFERROR('WW calcu'!K831,0)</f>
        <v>3</v>
      </c>
      <c r="K243" s="1527">
        <f>IFERROR('WW calcu'!L831,0)</f>
        <v>3</v>
      </c>
      <c r="L243" s="1527">
        <f>IFERROR('WW calcu'!M831,0)</f>
        <v>3</v>
      </c>
      <c r="M243" s="1527">
        <f>IFERROR('WW calcu'!N831,0)</f>
        <v>3</v>
      </c>
      <c r="N243" s="1528">
        <f>IFERROR('WW calcu'!O831,0)</f>
        <v>3</v>
      </c>
      <c r="O243" s="1352"/>
      <c r="P243" s="1431"/>
      <c r="Q243" s="1341"/>
      <c r="R243" s="6722">
        <v>0</v>
      </c>
      <c r="S243" s="6724"/>
      <c r="T243" s="6726">
        <f>IF($R$17="II. CUSTOMIZE BENCHMARKS",$S243*$AA$23,10)</f>
        <v>10</v>
      </c>
      <c r="U243" s="6728">
        <f>IF($R$17="II. CUSTOMIZE BENCHMARKS",$S243*$AA$22,5)</f>
        <v>5</v>
      </c>
      <c r="V243" s="6730">
        <f>IF($R$17="II. CUSTOMIZE BENCHMARKS",$S243*$AA$21,$R243)</f>
        <v>0</v>
      </c>
      <c r="W243" s="1341"/>
      <c r="X243" s="1431"/>
      <c r="Y243" s="1431"/>
    </row>
    <row r="244" spans="2:25" ht="15.75" outlineLevel="1" thickBot="1" x14ac:dyDescent="0.3">
      <c r="B244" s="1341"/>
      <c r="C244" s="6801" t="s">
        <v>2062</v>
      </c>
      <c r="D244" s="6802"/>
      <c r="E244" s="6802"/>
      <c r="F244" s="6802"/>
      <c r="G244" s="6802"/>
      <c r="H244" s="6802"/>
      <c r="I244" s="6802"/>
      <c r="J244" s="6802"/>
      <c r="K244" s="6802"/>
      <c r="L244" s="6802"/>
      <c r="M244" s="6802"/>
      <c r="N244" s="6803"/>
      <c r="O244" s="1352"/>
      <c r="P244" s="1431"/>
      <c r="Q244" s="1341"/>
      <c r="R244" s="6723"/>
      <c r="S244" s="6725"/>
      <c r="T244" s="6727"/>
      <c r="U244" s="6729"/>
      <c r="V244" s="6731"/>
      <c r="W244" s="1341"/>
      <c r="X244" s="1431"/>
      <c r="Y244" s="1431"/>
    </row>
    <row r="245" spans="2:25" ht="37.5" customHeight="1" thickBot="1" x14ac:dyDescent="0.3">
      <c r="B245" s="1341"/>
      <c r="C245" s="1467"/>
      <c r="D245" s="1467"/>
      <c r="E245" s="1467"/>
      <c r="F245" s="1467"/>
      <c r="G245" s="1467"/>
      <c r="H245" s="1467"/>
      <c r="I245" s="1467"/>
      <c r="J245" s="1467"/>
      <c r="K245" s="1467"/>
      <c r="L245" s="1467"/>
      <c r="M245" s="1467"/>
      <c r="N245" s="1467"/>
      <c r="O245" s="1341"/>
      <c r="P245" s="1431"/>
      <c r="Q245" s="1341"/>
      <c r="R245" s="1484"/>
      <c r="S245" s="1484"/>
      <c r="T245" s="1484"/>
      <c r="U245" s="1484"/>
      <c r="V245" s="1484"/>
      <c r="W245" s="1341"/>
      <c r="X245" s="1431"/>
      <c r="Y245" s="1431"/>
    </row>
    <row r="246" spans="2:25" ht="22.5" customHeight="1" thickBot="1" x14ac:dyDescent="0.3">
      <c r="B246" s="1341"/>
      <c r="C246" s="1463" t="s">
        <v>1372</v>
      </c>
      <c r="D246" s="1464">
        <f>D200</f>
        <v>2014</v>
      </c>
      <c r="E246" s="1465">
        <f t="shared" ref="E246:N246" si="8">E200</f>
        <v>2015</v>
      </c>
      <c r="F246" s="1465">
        <f t="shared" si="8"/>
        <v>2016</v>
      </c>
      <c r="G246" s="1465">
        <f t="shared" si="8"/>
        <v>2017</v>
      </c>
      <c r="H246" s="1465">
        <f t="shared" si="8"/>
        <v>2018</v>
      </c>
      <c r="I246" s="1465">
        <f t="shared" si="8"/>
        <v>2019</v>
      </c>
      <c r="J246" s="1465">
        <f t="shared" si="8"/>
        <v>2020</v>
      </c>
      <c r="K246" s="1465">
        <f t="shared" si="8"/>
        <v>2021</v>
      </c>
      <c r="L246" s="1465">
        <f t="shared" si="8"/>
        <v>2022</v>
      </c>
      <c r="M246" s="1465">
        <f t="shared" si="8"/>
        <v>2023</v>
      </c>
      <c r="N246" s="1466">
        <f t="shared" si="8"/>
        <v>2024</v>
      </c>
      <c r="O246" s="1341"/>
      <c r="P246" s="1431"/>
      <c r="Q246" s="1341"/>
      <c r="R246" s="1483" t="s">
        <v>1534</v>
      </c>
      <c r="S246" s="1483" t="s">
        <v>2064</v>
      </c>
      <c r="T246" s="1488" t="s">
        <v>817</v>
      </c>
      <c r="U246" s="1489" t="s">
        <v>905</v>
      </c>
      <c r="V246" s="1490" t="s">
        <v>818</v>
      </c>
      <c r="W246" s="1341"/>
      <c r="X246" s="1431"/>
      <c r="Y246" s="1431"/>
    </row>
    <row r="247" spans="2:25" ht="30" x14ac:dyDescent="0.25">
      <c r="B247" s="1341"/>
      <c r="C247" s="1583" t="s">
        <v>1379</v>
      </c>
      <c r="D247" s="1506">
        <f>'MSW calcu'!F68</f>
        <v>0</v>
      </c>
      <c r="E247" s="1506">
        <f>'MSW calcu'!G68</f>
        <v>0</v>
      </c>
      <c r="F247" s="1506">
        <f>'MSW calcu'!H68</f>
        <v>0</v>
      </c>
      <c r="G247" s="1506">
        <f>'MSW calcu'!I68</f>
        <v>0</v>
      </c>
      <c r="H247" s="1506">
        <f>'MSW calcu'!J68</f>
        <v>0</v>
      </c>
      <c r="I247" s="1506">
        <f>'MSW calcu'!K68</f>
        <v>0</v>
      </c>
      <c r="J247" s="1506">
        <f>'MSW calcu'!L68</f>
        <v>0</v>
      </c>
      <c r="K247" s="1506">
        <f>'MSW calcu'!M68</f>
        <v>0</v>
      </c>
      <c r="L247" s="1506">
        <f>'MSW calcu'!N68</f>
        <v>0</v>
      </c>
      <c r="M247" s="1506">
        <f>'MSW calcu'!O68</f>
        <v>0</v>
      </c>
      <c r="N247" s="1507">
        <f>'MSW calcu'!P68</f>
        <v>0</v>
      </c>
      <c r="O247" s="1352"/>
      <c r="P247" s="1431"/>
      <c r="Q247" s="1341"/>
      <c r="R247" s="6717">
        <v>1</v>
      </c>
      <c r="S247" s="6718"/>
      <c r="T247" s="6719">
        <f>IF($R$17="II. CUSTOMIZE BENCHMARKS",$S247,$R247)*$AA$21</f>
        <v>0</v>
      </c>
      <c r="U247" s="6720">
        <f>IF($R$17="II. CUSTOMIZE BENCHMARKS",$S247,$R247)*$AA$22</f>
        <v>0.5</v>
      </c>
      <c r="V247" s="6721">
        <f>IF($R$17="II. CUSTOMIZE BENCHMARKS",$S247,$R247)*$AA$23</f>
        <v>0.9</v>
      </c>
      <c r="W247" s="1341"/>
      <c r="X247" s="1431"/>
      <c r="Y247" s="1431"/>
    </row>
    <row r="248" spans="2:25" outlineLevel="1" x14ac:dyDescent="0.25">
      <c r="B248" s="1341"/>
      <c r="C248" s="6764" t="s">
        <v>1871</v>
      </c>
      <c r="D248" s="6765"/>
      <c r="E248" s="6765"/>
      <c r="F248" s="6765"/>
      <c r="G248" s="6765"/>
      <c r="H248" s="6765"/>
      <c r="I248" s="6765"/>
      <c r="J248" s="6765"/>
      <c r="K248" s="6765"/>
      <c r="L248" s="6765"/>
      <c r="M248" s="6765"/>
      <c r="N248" s="6766"/>
      <c r="O248" s="1352"/>
      <c r="P248" s="1431"/>
      <c r="Q248" s="1341"/>
      <c r="R248" s="6710"/>
      <c r="S248" s="6712"/>
      <c r="T248" s="6705"/>
      <c r="U248" s="6707"/>
      <c r="V248" s="6709"/>
      <c r="W248" s="1341"/>
      <c r="X248" s="1431"/>
      <c r="Y248" s="1431"/>
    </row>
    <row r="249" spans="2:25" x14ac:dyDescent="0.25">
      <c r="B249" s="1341"/>
      <c r="C249" s="1460" t="s">
        <v>1333</v>
      </c>
      <c r="D249" s="1500">
        <f>'MSW calcu'!F148</f>
        <v>0</v>
      </c>
      <c r="E249" s="1500">
        <f>'MSW calcu'!G148</f>
        <v>0</v>
      </c>
      <c r="F249" s="1500">
        <f>'MSW calcu'!H148</f>
        <v>0</v>
      </c>
      <c r="G249" s="1500">
        <f>'MSW calcu'!I148</f>
        <v>0</v>
      </c>
      <c r="H249" s="1500">
        <f>'MSW calcu'!J148</f>
        <v>0</v>
      </c>
      <c r="I249" s="1500">
        <f>'MSW calcu'!K148</f>
        <v>0</v>
      </c>
      <c r="J249" s="1500">
        <f>'MSW calcu'!L148</f>
        <v>0</v>
      </c>
      <c r="K249" s="1500">
        <f>'MSW calcu'!M148</f>
        <v>0</v>
      </c>
      <c r="L249" s="1500">
        <f>'MSW calcu'!N148</f>
        <v>0</v>
      </c>
      <c r="M249" s="1500">
        <f>'MSW calcu'!O148</f>
        <v>0</v>
      </c>
      <c r="N249" s="1501">
        <f>'MSW calcu'!P148</f>
        <v>0</v>
      </c>
      <c r="O249" s="1352"/>
      <c r="P249" s="1431"/>
      <c r="Q249" s="1341"/>
      <c r="R249" s="6702">
        <v>1</v>
      </c>
      <c r="S249" s="6703"/>
      <c r="T249" s="6704">
        <f>IF($R$17="II. CUSTOMIZE BENCHMARKS",$S249,$R249)*$AA$21</f>
        <v>0</v>
      </c>
      <c r="U249" s="6706">
        <f>IF($R$17="II. CUSTOMIZE BENCHMARKS",$S249,$R249)*$AA$22</f>
        <v>0.5</v>
      </c>
      <c r="V249" s="6708">
        <f>IF($R$17="II. CUSTOMIZE BENCHMARKS",$S249,$R249)*$AA$23</f>
        <v>0.9</v>
      </c>
      <c r="W249" s="1445"/>
      <c r="X249" s="1431"/>
      <c r="Y249" s="1431"/>
    </row>
    <row r="250" spans="2:25" outlineLevel="1" x14ac:dyDescent="0.25">
      <c r="B250" s="1341"/>
      <c r="C250" s="6764" t="s">
        <v>3814</v>
      </c>
      <c r="D250" s="6765"/>
      <c r="E250" s="6765"/>
      <c r="F250" s="6765"/>
      <c r="G250" s="6765"/>
      <c r="H250" s="6765"/>
      <c r="I250" s="6765"/>
      <c r="J250" s="6765"/>
      <c r="K250" s="6765"/>
      <c r="L250" s="6765"/>
      <c r="M250" s="6765"/>
      <c r="N250" s="6766"/>
      <c r="O250" s="1352"/>
      <c r="P250" s="1431"/>
      <c r="Q250" s="1341"/>
      <c r="R250" s="6702"/>
      <c r="S250" s="6703"/>
      <c r="T250" s="6705"/>
      <c r="U250" s="6707"/>
      <c r="V250" s="6709"/>
      <c r="W250" s="1341"/>
      <c r="X250" s="1431"/>
      <c r="Y250" s="1431"/>
    </row>
    <row r="251" spans="2:25" x14ac:dyDescent="0.25">
      <c r="B251" s="1341"/>
      <c r="C251" s="1460" t="s">
        <v>1334</v>
      </c>
      <c r="D251" s="1500">
        <f>'MSW calcu'!F149</f>
        <v>0</v>
      </c>
      <c r="E251" s="1500">
        <f>'MSW calcu'!G149</f>
        <v>0</v>
      </c>
      <c r="F251" s="1500">
        <f>'MSW calcu'!H149</f>
        <v>0</v>
      </c>
      <c r="G251" s="1500">
        <f>'MSW calcu'!I149</f>
        <v>0</v>
      </c>
      <c r="H251" s="1500">
        <f>'MSW calcu'!J149</f>
        <v>0</v>
      </c>
      <c r="I251" s="1500">
        <f>'MSW calcu'!K149</f>
        <v>0</v>
      </c>
      <c r="J251" s="1500">
        <f>'MSW calcu'!L149</f>
        <v>0</v>
      </c>
      <c r="K251" s="1500">
        <f>'MSW calcu'!M149</f>
        <v>0</v>
      </c>
      <c r="L251" s="1500">
        <f>'MSW calcu'!N149</f>
        <v>0</v>
      </c>
      <c r="M251" s="1500">
        <f>'MSW calcu'!O149</f>
        <v>0</v>
      </c>
      <c r="N251" s="1501">
        <f>'MSW calcu'!P149</f>
        <v>0</v>
      </c>
      <c r="O251" s="1352"/>
      <c r="P251" s="1431"/>
      <c r="Q251" s="1341"/>
      <c r="R251" s="6702">
        <v>1</v>
      </c>
      <c r="S251" s="6703"/>
      <c r="T251" s="6704">
        <f>IF($R$17="II. CUSTOMIZE BENCHMARKS",$S251,$R251)*$AA$21</f>
        <v>0</v>
      </c>
      <c r="U251" s="6706">
        <f>IF($R$17="II. CUSTOMIZE BENCHMARKS",$S251,$R251)*$AA$22</f>
        <v>0.5</v>
      </c>
      <c r="V251" s="6708">
        <f>IF($R$17="II. CUSTOMIZE BENCHMARKS",$S251,$R251)*$AA$23</f>
        <v>0.9</v>
      </c>
      <c r="W251" s="1445"/>
      <c r="X251" s="1431"/>
      <c r="Y251" s="1431"/>
    </row>
    <row r="252" spans="2:25" outlineLevel="1" x14ac:dyDescent="0.25">
      <c r="B252" s="1341"/>
      <c r="C252" s="6764" t="s">
        <v>1872</v>
      </c>
      <c r="D252" s="6765"/>
      <c r="E252" s="6765"/>
      <c r="F252" s="6765"/>
      <c r="G252" s="6765"/>
      <c r="H252" s="6765"/>
      <c r="I252" s="6765"/>
      <c r="J252" s="6765"/>
      <c r="K252" s="6765"/>
      <c r="L252" s="6765"/>
      <c r="M252" s="6765"/>
      <c r="N252" s="6766"/>
      <c r="O252" s="1352"/>
      <c r="P252" s="1431"/>
      <c r="Q252" s="1341"/>
      <c r="R252" s="6702"/>
      <c r="S252" s="6703"/>
      <c r="T252" s="6705"/>
      <c r="U252" s="6707"/>
      <c r="V252" s="6709"/>
      <c r="W252" s="1341"/>
      <c r="X252" s="1431"/>
      <c r="Y252" s="1431"/>
    </row>
    <row r="253" spans="2:25" x14ac:dyDescent="0.25">
      <c r="B253" s="1341"/>
      <c r="C253" s="1460" t="s">
        <v>1335</v>
      </c>
      <c r="D253" s="1500">
        <f>'MSW calcu'!F170</f>
        <v>0</v>
      </c>
      <c r="E253" s="1500">
        <f>'MSW calcu'!G170</f>
        <v>0</v>
      </c>
      <c r="F253" s="1500">
        <f>'MSW calcu'!H170</f>
        <v>0</v>
      </c>
      <c r="G253" s="1500">
        <f>'MSW calcu'!I170</f>
        <v>0</v>
      </c>
      <c r="H253" s="1500">
        <f>'MSW calcu'!J170</f>
        <v>0</v>
      </c>
      <c r="I253" s="1500">
        <f>'MSW calcu'!K170</f>
        <v>0</v>
      </c>
      <c r="J253" s="1500">
        <f>'MSW calcu'!L170</f>
        <v>0</v>
      </c>
      <c r="K253" s="1500">
        <f>'MSW calcu'!M170</f>
        <v>0</v>
      </c>
      <c r="L253" s="1500">
        <f>'MSW calcu'!N170</f>
        <v>0</v>
      </c>
      <c r="M253" s="1500">
        <f>'MSW calcu'!O170</f>
        <v>0</v>
      </c>
      <c r="N253" s="1501">
        <f>'MSW calcu'!P170</f>
        <v>0</v>
      </c>
      <c r="O253" s="1352"/>
      <c r="P253" s="1431"/>
      <c r="Q253" s="1341"/>
      <c r="R253" s="6702">
        <v>0.8</v>
      </c>
      <c r="S253" s="6703"/>
      <c r="T253" s="6704">
        <f>IF($R$17="II. CUSTOMIZE BENCHMARKS",$S253,$R253)*$AA$21</f>
        <v>0</v>
      </c>
      <c r="U253" s="6706">
        <f>IF($R$17="II. CUSTOMIZE BENCHMARKS",$S253,$R253)*$AA$22</f>
        <v>0.4</v>
      </c>
      <c r="V253" s="6708">
        <f>IF($R$17="II. CUSTOMIZE BENCHMARKS",$S253,$R253)*$AA$23</f>
        <v>0.72000000000000008</v>
      </c>
      <c r="W253" s="1445"/>
      <c r="X253" s="1431"/>
      <c r="Y253" s="1431"/>
    </row>
    <row r="254" spans="2:25" outlineLevel="1" x14ac:dyDescent="0.25">
      <c r="B254" s="1341"/>
      <c r="C254" s="6764" t="s">
        <v>1873</v>
      </c>
      <c r="D254" s="6765"/>
      <c r="E254" s="6765"/>
      <c r="F254" s="6765"/>
      <c r="G254" s="6765"/>
      <c r="H254" s="6765"/>
      <c r="I254" s="6765"/>
      <c r="J254" s="6765"/>
      <c r="K254" s="6765"/>
      <c r="L254" s="6765"/>
      <c r="M254" s="6765"/>
      <c r="N254" s="6766"/>
      <c r="O254" s="1352"/>
      <c r="P254" s="1431"/>
      <c r="Q254" s="1341"/>
      <c r="R254" s="6702"/>
      <c r="S254" s="6703"/>
      <c r="T254" s="6705"/>
      <c r="U254" s="6707"/>
      <c r="V254" s="6709"/>
      <c r="W254" s="1341"/>
      <c r="X254" s="1431"/>
      <c r="Y254" s="1431"/>
    </row>
    <row r="255" spans="2:25" x14ac:dyDescent="0.25">
      <c r="B255" s="1341"/>
      <c r="C255" s="1460" t="s">
        <v>1336</v>
      </c>
      <c r="D255" s="1500">
        <f>'MSW calcu'!F150</f>
        <v>0</v>
      </c>
      <c r="E255" s="1500">
        <f>'MSW calcu'!G150</f>
        <v>0</v>
      </c>
      <c r="F255" s="1500">
        <f>'MSW calcu'!H150</f>
        <v>0</v>
      </c>
      <c r="G255" s="1500">
        <f>'MSW calcu'!I150</f>
        <v>0</v>
      </c>
      <c r="H255" s="1500">
        <f>'MSW calcu'!J150</f>
        <v>0</v>
      </c>
      <c r="I255" s="1500">
        <f>'MSW calcu'!K150</f>
        <v>0</v>
      </c>
      <c r="J255" s="1500">
        <f>'MSW calcu'!L150</f>
        <v>0</v>
      </c>
      <c r="K255" s="1500">
        <f>'MSW calcu'!M150</f>
        <v>0</v>
      </c>
      <c r="L255" s="1500">
        <f>'MSW calcu'!N150</f>
        <v>0</v>
      </c>
      <c r="M255" s="1500">
        <f>'MSW calcu'!O150</f>
        <v>0</v>
      </c>
      <c r="N255" s="1501">
        <f>'MSW calcu'!P150</f>
        <v>0</v>
      </c>
      <c r="O255" s="1352"/>
      <c r="P255" s="1431"/>
      <c r="Q255" s="1341"/>
      <c r="R255" s="6702">
        <v>1</v>
      </c>
      <c r="S255" s="6703"/>
      <c r="T255" s="6704">
        <f>IF($R$17="II. CUSTOMIZE BENCHMARKS",$S255,$R255)*$AA$21</f>
        <v>0</v>
      </c>
      <c r="U255" s="6706">
        <f>IF($R$17="II. CUSTOMIZE BENCHMARKS",$S255,$R255)*$AA$22</f>
        <v>0.5</v>
      </c>
      <c r="V255" s="6708">
        <f>IF($R$17="II. CUSTOMIZE BENCHMARKS",$S255,$R255)*$AA$23</f>
        <v>0.9</v>
      </c>
      <c r="W255" s="1445"/>
      <c r="X255" s="1431"/>
      <c r="Y255" s="1431"/>
    </row>
    <row r="256" spans="2:25" outlineLevel="1" x14ac:dyDescent="0.25">
      <c r="B256" s="1341"/>
      <c r="C256" s="6764" t="s">
        <v>3021</v>
      </c>
      <c r="D256" s="6765"/>
      <c r="E256" s="6765"/>
      <c r="F256" s="6765"/>
      <c r="G256" s="6765"/>
      <c r="H256" s="6765"/>
      <c r="I256" s="6765"/>
      <c r="J256" s="6765"/>
      <c r="K256" s="6765"/>
      <c r="L256" s="6765"/>
      <c r="M256" s="6765"/>
      <c r="N256" s="6766"/>
      <c r="O256" s="1352"/>
      <c r="P256" s="1431"/>
      <c r="Q256" s="1341"/>
      <c r="R256" s="6702"/>
      <c r="S256" s="6703"/>
      <c r="T256" s="6705"/>
      <c r="U256" s="6707"/>
      <c r="V256" s="6709"/>
      <c r="W256" s="1341"/>
      <c r="X256" s="1431"/>
      <c r="Y256" s="1431"/>
    </row>
    <row r="257" spans="2:25" x14ac:dyDescent="0.25">
      <c r="B257" s="1341"/>
      <c r="C257" s="1460" t="s">
        <v>802</v>
      </c>
      <c r="D257" s="1500">
        <f>'MSW calcu'!F70</f>
        <v>0.96739130434782605</v>
      </c>
      <c r="E257" s="1500">
        <f>'MSW calcu'!G70</f>
        <v>0.96739130434782605</v>
      </c>
      <c r="F257" s="1500">
        <f>'MSW calcu'!H70</f>
        <v>0.96739130434782605</v>
      </c>
      <c r="G257" s="1500">
        <f>'MSW calcu'!I70</f>
        <v>0.96739130434782605</v>
      </c>
      <c r="H257" s="1500">
        <f>'MSW calcu'!J70</f>
        <v>0.96739130434782605</v>
      </c>
      <c r="I257" s="1500">
        <f>'MSW calcu'!K70</f>
        <v>0.96739130434782605</v>
      </c>
      <c r="J257" s="1500">
        <f>'MSW calcu'!L70</f>
        <v>0.96739130434782605</v>
      </c>
      <c r="K257" s="1500">
        <f>'MSW calcu'!M70</f>
        <v>0.96739130434782605</v>
      </c>
      <c r="L257" s="1500">
        <f>'MSW calcu'!N70</f>
        <v>0.96739130434782605</v>
      </c>
      <c r="M257" s="1500">
        <f>'MSW calcu'!O70</f>
        <v>0.96739130434782605</v>
      </c>
      <c r="N257" s="1501">
        <f>'MSW calcu'!P70</f>
        <v>0.96739130434782605</v>
      </c>
      <c r="O257" s="1352"/>
      <c r="P257" s="1431"/>
      <c r="Q257" s="1341"/>
      <c r="R257" s="6702">
        <v>0.8</v>
      </c>
      <c r="S257" s="6703"/>
      <c r="T257" s="6704">
        <f>IF($R$17="II. CUSTOMIZE BENCHMARKS",$S257,$R257)*$AA$21</f>
        <v>0</v>
      </c>
      <c r="U257" s="6706">
        <f>IF($R$17="II. CUSTOMIZE BENCHMARKS",$S257,$R257)*$AA$22</f>
        <v>0.4</v>
      </c>
      <c r="V257" s="6708">
        <f>IF($R$17="II. CUSTOMIZE BENCHMARKS",$S257,$R257)*$AA$23</f>
        <v>0.72000000000000008</v>
      </c>
      <c r="W257" s="1445"/>
      <c r="X257" s="1431"/>
      <c r="Y257" s="1431"/>
    </row>
    <row r="258" spans="2:25" outlineLevel="1" x14ac:dyDescent="0.25">
      <c r="B258" s="1341"/>
      <c r="C258" s="6764" t="s">
        <v>1874</v>
      </c>
      <c r="D258" s="6765"/>
      <c r="E258" s="6765"/>
      <c r="F258" s="6765"/>
      <c r="G258" s="6765"/>
      <c r="H258" s="6765"/>
      <c r="I258" s="6765"/>
      <c r="J258" s="6765"/>
      <c r="K258" s="6765"/>
      <c r="L258" s="6765"/>
      <c r="M258" s="6765"/>
      <c r="N258" s="6766"/>
      <c r="O258" s="1352"/>
      <c r="P258" s="1431"/>
      <c r="Q258" s="1341"/>
      <c r="R258" s="6702"/>
      <c r="S258" s="6703"/>
      <c r="T258" s="6705"/>
      <c r="U258" s="6707"/>
      <c r="V258" s="6709"/>
      <c r="W258" s="1341"/>
      <c r="X258" s="1431"/>
      <c r="Y258" s="1431"/>
    </row>
    <row r="259" spans="2:25" x14ac:dyDescent="0.25">
      <c r="B259" s="1341"/>
      <c r="C259" s="1460" t="s">
        <v>1337</v>
      </c>
      <c r="D259" s="1500">
        <f>'MSW calcu'!F228</f>
        <v>0</v>
      </c>
      <c r="E259" s="1500">
        <f>'MSW calcu'!G228</f>
        <v>0</v>
      </c>
      <c r="F259" s="1500">
        <f>'MSW calcu'!H228</f>
        <v>0</v>
      </c>
      <c r="G259" s="1500">
        <f>'MSW calcu'!I228</f>
        <v>0</v>
      </c>
      <c r="H259" s="1500">
        <f>'MSW calcu'!J228</f>
        <v>0</v>
      </c>
      <c r="I259" s="1500">
        <f>'MSW calcu'!K228</f>
        <v>0</v>
      </c>
      <c r="J259" s="1500">
        <f>'MSW calcu'!L228</f>
        <v>0</v>
      </c>
      <c r="K259" s="1500">
        <f>'MSW calcu'!M228</f>
        <v>0</v>
      </c>
      <c r="L259" s="1500">
        <f>'MSW calcu'!N228</f>
        <v>0</v>
      </c>
      <c r="M259" s="1500">
        <f>'MSW calcu'!O228</f>
        <v>0</v>
      </c>
      <c r="N259" s="1501">
        <f>'MSW calcu'!P228</f>
        <v>0</v>
      </c>
      <c r="O259" s="1352"/>
      <c r="P259" s="1431"/>
      <c r="Q259" s="1341"/>
      <c r="R259" s="6702">
        <v>1</v>
      </c>
      <c r="S259" s="6703"/>
      <c r="T259" s="6704">
        <f>IF($R$17="II. CUSTOMIZE BENCHMARKS",$S259,$R259)*$AA$21</f>
        <v>0</v>
      </c>
      <c r="U259" s="6706">
        <f>IF($R$17="II. CUSTOMIZE BENCHMARKS",$S259,$R259)*$AA$22</f>
        <v>0.5</v>
      </c>
      <c r="V259" s="6708">
        <f>IF($R$17="II. CUSTOMIZE BENCHMARKS",$S259,$R259)*$AA$23</f>
        <v>0.9</v>
      </c>
      <c r="W259" s="1445"/>
      <c r="X259" s="1431"/>
      <c r="Y259" s="1431"/>
    </row>
    <row r="260" spans="2:25" outlineLevel="1" x14ac:dyDescent="0.25">
      <c r="B260" s="1341"/>
      <c r="C260" s="6764" t="s">
        <v>3813</v>
      </c>
      <c r="D260" s="6765"/>
      <c r="E260" s="6765"/>
      <c r="F260" s="6765"/>
      <c r="G260" s="6765"/>
      <c r="H260" s="6765"/>
      <c r="I260" s="6765"/>
      <c r="J260" s="6765"/>
      <c r="K260" s="6765"/>
      <c r="L260" s="6765"/>
      <c r="M260" s="6765"/>
      <c r="N260" s="6766"/>
      <c r="O260" s="1352"/>
      <c r="P260" s="1431"/>
      <c r="Q260" s="1341"/>
      <c r="R260" s="6702"/>
      <c r="S260" s="6703"/>
      <c r="T260" s="6705"/>
      <c r="U260" s="6707"/>
      <c r="V260" s="6709"/>
      <c r="W260" s="1341"/>
      <c r="X260" s="1431"/>
      <c r="Y260" s="1431"/>
    </row>
    <row r="261" spans="2:25" x14ac:dyDescent="0.25">
      <c r="B261" s="1341"/>
      <c r="C261" s="1460" t="s">
        <v>1362</v>
      </c>
      <c r="D261" s="1500">
        <f>SUM('MSW calcu'!F207,'MSW calcu'!F208)</f>
        <v>0</v>
      </c>
      <c r="E261" s="1500">
        <f>SUM('MSW calcu'!G207,'MSW calcu'!G208)</f>
        <v>0</v>
      </c>
      <c r="F261" s="1500">
        <f>SUM('MSW calcu'!H207,'MSW calcu'!H208)</f>
        <v>0</v>
      </c>
      <c r="G261" s="1500">
        <f>SUM('MSW calcu'!I207,'MSW calcu'!I208)</f>
        <v>0</v>
      </c>
      <c r="H261" s="1500">
        <f>SUM('MSW calcu'!J207,'MSW calcu'!J208)</f>
        <v>0</v>
      </c>
      <c r="I261" s="1500">
        <f>SUM('MSW calcu'!K207,'MSW calcu'!K208)</f>
        <v>0</v>
      </c>
      <c r="J261" s="1500">
        <f>SUM('MSW calcu'!L207,'MSW calcu'!L208)</f>
        <v>0</v>
      </c>
      <c r="K261" s="1500">
        <f>SUM('MSW calcu'!M207,'MSW calcu'!M208)</f>
        <v>0</v>
      </c>
      <c r="L261" s="1500">
        <f>SUM('MSW calcu'!N207,'MSW calcu'!N208)</f>
        <v>0</v>
      </c>
      <c r="M261" s="1500">
        <f>SUM('MSW calcu'!O207,'MSW calcu'!O208)</f>
        <v>0</v>
      </c>
      <c r="N261" s="1501">
        <f>SUM('MSW calcu'!P207,'MSW calcu'!P208)</f>
        <v>0</v>
      </c>
      <c r="O261" s="1352"/>
      <c r="P261" s="1431"/>
      <c r="Q261" s="1341"/>
      <c r="R261" s="6710">
        <v>0.9</v>
      </c>
      <c r="S261" s="6712"/>
      <c r="T261" s="6704">
        <f>IF($R$17="II. CUSTOMIZE BENCHMARKS",$S261,$R261)*$AA$21</f>
        <v>0</v>
      </c>
      <c r="U261" s="6706">
        <f>IF($R$17="II. CUSTOMIZE BENCHMARKS",$S261,$R261)*$AA$22</f>
        <v>0.45</v>
      </c>
      <c r="V261" s="6708">
        <f>IF($R$17="II. CUSTOMIZE BENCHMARKS",$S261,$R261)*$AA$23</f>
        <v>0.81</v>
      </c>
      <c r="W261" s="1445"/>
      <c r="X261" s="1431"/>
      <c r="Y261" s="1431"/>
    </row>
    <row r="262" spans="2:25" ht="15.75" outlineLevel="1" thickBot="1" x14ac:dyDescent="0.3">
      <c r="B262" s="1341"/>
      <c r="C262" s="6791" t="s">
        <v>1865</v>
      </c>
      <c r="D262" s="6792"/>
      <c r="E262" s="6792"/>
      <c r="F262" s="6792"/>
      <c r="G262" s="6792"/>
      <c r="H262" s="6792"/>
      <c r="I262" s="6792"/>
      <c r="J262" s="6792"/>
      <c r="K262" s="6792"/>
      <c r="L262" s="6792"/>
      <c r="M262" s="6792"/>
      <c r="N262" s="6793"/>
      <c r="O262" s="1352"/>
      <c r="P262" s="1431"/>
      <c r="Q262" s="1341"/>
      <c r="R262" s="6711"/>
      <c r="S262" s="6713"/>
      <c r="T262" s="6714"/>
      <c r="U262" s="6715"/>
      <c r="V262" s="6716"/>
      <c r="W262" s="1341"/>
      <c r="X262" s="1431"/>
      <c r="Y262" s="1431"/>
    </row>
    <row r="263" spans="2:25" ht="30" customHeight="1" collapsed="1" x14ac:dyDescent="0.25">
      <c r="B263" s="1341"/>
      <c r="C263" s="1461"/>
      <c r="D263" s="1461"/>
      <c r="E263" s="1461"/>
      <c r="F263" s="1461"/>
      <c r="G263" s="1461"/>
      <c r="H263" s="1461"/>
      <c r="I263" s="1461"/>
      <c r="J263" s="1461"/>
      <c r="K263" s="1461"/>
      <c r="L263" s="1461"/>
      <c r="M263" s="1461"/>
      <c r="N263" s="1461"/>
      <c r="O263" s="1341"/>
      <c r="P263" s="1431"/>
      <c r="Q263" s="1341"/>
      <c r="R263" s="1484"/>
      <c r="S263" s="1484"/>
      <c r="T263" s="1484"/>
      <c r="U263" s="1484"/>
      <c r="V263" s="1484"/>
      <c r="W263" s="1341"/>
      <c r="X263" s="1431"/>
      <c r="Y263" s="1431"/>
    </row>
  </sheetData>
  <sheetProtection password="DBDC" sheet="1" objects="1" scenarios="1" selectLockedCells="1"/>
  <mergeCells count="404">
    <mergeCell ref="R198:V198"/>
    <mergeCell ref="C248:N248"/>
    <mergeCell ref="C250:N250"/>
    <mergeCell ref="C252:N252"/>
    <mergeCell ref="C254:N254"/>
    <mergeCell ref="C256:N256"/>
    <mergeCell ref="C258:N258"/>
    <mergeCell ref="C260:N260"/>
    <mergeCell ref="C262:N262"/>
    <mergeCell ref="C226:N226"/>
    <mergeCell ref="C228:N228"/>
    <mergeCell ref="C230:N230"/>
    <mergeCell ref="C232:N232"/>
    <mergeCell ref="C234:N234"/>
    <mergeCell ref="C236:N236"/>
    <mergeCell ref="C238:N238"/>
    <mergeCell ref="C242:N242"/>
    <mergeCell ref="C244:N244"/>
    <mergeCell ref="C202:N202"/>
    <mergeCell ref="C206:N206"/>
    <mergeCell ref="C208:N208"/>
    <mergeCell ref="C212:N212"/>
    <mergeCell ref="C214:N214"/>
    <mergeCell ref="C216:N216"/>
    <mergeCell ref="C218:N218"/>
    <mergeCell ref="C204:N204"/>
    <mergeCell ref="C210:N210"/>
    <mergeCell ref="C184:N184"/>
    <mergeCell ref="C168:N168"/>
    <mergeCell ref="C170:N170"/>
    <mergeCell ref="C172:N172"/>
    <mergeCell ref="C179:N179"/>
    <mergeCell ref="C192:N192"/>
    <mergeCell ref="C194:N194"/>
    <mergeCell ref="C186:N186"/>
    <mergeCell ref="C188:N188"/>
    <mergeCell ref="C190:N190"/>
    <mergeCell ref="C175:N175"/>
    <mergeCell ref="C177:N177"/>
    <mergeCell ref="C182:N182"/>
    <mergeCell ref="C147:N147"/>
    <mergeCell ref="C86:N86"/>
    <mergeCell ref="C88:N88"/>
    <mergeCell ref="C99:N99"/>
    <mergeCell ref="C101:N101"/>
    <mergeCell ref="C103:N103"/>
    <mergeCell ref="C122:N122"/>
    <mergeCell ref="C124:N124"/>
    <mergeCell ref="C126:N126"/>
    <mergeCell ref="C135:N135"/>
    <mergeCell ref="C137:N137"/>
    <mergeCell ref="C105:N105"/>
    <mergeCell ref="C107:N107"/>
    <mergeCell ref="C113:N113"/>
    <mergeCell ref="C111:N111"/>
    <mergeCell ref="C115:N115"/>
    <mergeCell ref="C117:N117"/>
    <mergeCell ref="C119:N119"/>
    <mergeCell ref="C128:N128"/>
    <mergeCell ref="C94:N94"/>
    <mergeCell ref="C109:N109"/>
    <mergeCell ref="C132:N132"/>
    <mergeCell ref="C139:N139"/>
    <mergeCell ref="C141:N141"/>
    <mergeCell ref="C143:N143"/>
    <mergeCell ref="C145:N145"/>
    <mergeCell ref="C78:N78"/>
    <mergeCell ref="C74:N74"/>
    <mergeCell ref="C90:N90"/>
    <mergeCell ref="C96:N96"/>
    <mergeCell ref="C51:N51"/>
    <mergeCell ref="C53:N53"/>
    <mergeCell ref="C55:N55"/>
    <mergeCell ref="C66:N66"/>
    <mergeCell ref="C68:N68"/>
    <mergeCell ref="C92:N92"/>
    <mergeCell ref="C63:N63"/>
    <mergeCell ref="C70:N70"/>
    <mergeCell ref="C72:N72"/>
    <mergeCell ref="C4:N4"/>
    <mergeCell ref="C6:N6"/>
    <mergeCell ref="C16:N16"/>
    <mergeCell ref="Q13:W13"/>
    <mergeCell ref="C25:N25"/>
    <mergeCell ref="R20:V20"/>
    <mergeCell ref="R24:R25"/>
    <mergeCell ref="S24:S25"/>
    <mergeCell ref="R16:S16"/>
    <mergeCell ref="R18:V18"/>
    <mergeCell ref="R17:S17"/>
    <mergeCell ref="R14:V15"/>
    <mergeCell ref="C8:N8"/>
    <mergeCell ref="C11:N15"/>
    <mergeCell ref="G9:O9"/>
    <mergeCell ref="C222:N222"/>
    <mergeCell ref="C224:N224"/>
    <mergeCell ref="C155:N155"/>
    <mergeCell ref="C157:N157"/>
    <mergeCell ref="C159:N159"/>
    <mergeCell ref="C162:N162"/>
    <mergeCell ref="C164:N164"/>
    <mergeCell ref="C166:N166"/>
    <mergeCell ref="C27:N27"/>
    <mergeCell ref="C29:N29"/>
    <mergeCell ref="C31:N31"/>
    <mergeCell ref="C33:N33"/>
    <mergeCell ref="C42:N42"/>
    <mergeCell ref="C44:N44"/>
    <mergeCell ref="C46:N46"/>
    <mergeCell ref="C48:N48"/>
    <mergeCell ref="C36:N36"/>
    <mergeCell ref="C38:N38"/>
    <mergeCell ref="C40:N40"/>
    <mergeCell ref="C57:N57"/>
    <mergeCell ref="C59:N59"/>
    <mergeCell ref="C61:N61"/>
    <mergeCell ref="C130:N130"/>
    <mergeCell ref="C76:N76"/>
    <mergeCell ref="S26:S27"/>
    <mergeCell ref="R26:R27"/>
    <mergeCell ref="T24:T25"/>
    <mergeCell ref="U24:U25"/>
    <mergeCell ref="V24:V25"/>
    <mergeCell ref="V26:V27"/>
    <mergeCell ref="U26:U27"/>
    <mergeCell ref="T26:T27"/>
    <mergeCell ref="R35:R36"/>
    <mergeCell ref="S35:S36"/>
    <mergeCell ref="R98:R99"/>
    <mergeCell ref="S98:S99"/>
    <mergeCell ref="R37:R38"/>
    <mergeCell ref="S37:S38"/>
    <mergeCell ref="R39:R40"/>
    <mergeCell ref="S39:S40"/>
    <mergeCell ref="R50:R51"/>
    <mergeCell ref="S50:S51"/>
    <mergeCell ref="R52:R53"/>
    <mergeCell ref="S52:S53"/>
    <mergeCell ref="R54:R55"/>
    <mergeCell ref="S54:S55"/>
    <mergeCell ref="R100:R101"/>
    <mergeCell ref="S100:S101"/>
    <mergeCell ref="R102:R103"/>
    <mergeCell ref="S102:S103"/>
    <mergeCell ref="T35:T36"/>
    <mergeCell ref="U35:U36"/>
    <mergeCell ref="V35:V36"/>
    <mergeCell ref="T37:T38"/>
    <mergeCell ref="U37:U38"/>
    <mergeCell ref="V37:V38"/>
    <mergeCell ref="T39:T40"/>
    <mergeCell ref="U39:U40"/>
    <mergeCell ref="V39:V40"/>
    <mergeCell ref="T50:T51"/>
    <mergeCell ref="U50:U51"/>
    <mergeCell ref="V50:V51"/>
    <mergeCell ref="T52:T53"/>
    <mergeCell ref="U52:U53"/>
    <mergeCell ref="V52:V53"/>
    <mergeCell ref="T54:T55"/>
    <mergeCell ref="U54:U55"/>
    <mergeCell ref="V54:V55"/>
    <mergeCell ref="T65:T66"/>
    <mergeCell ref="U65:U66"/>
    <mergeCell ref="V65:V66"/>
    <mergeCell ref="T67:T68"/>
    <mergeCell ref="U67:U68"/>
    <mergeCell ref="V67:V68"/>
    <mergeCell ref="T85:T86"/>
    <mergeCell ref="U85:U86"/>
    <mergeCell ref="V85:V86"/>
    <mergeCell ref="T87:T88"/>
    <mergeCell ref="U87:U88"/>
    <mergeCell ref="V87:V88"/>
    <mergeCell ref="R81:V81"/>
    <mergeCell ref="R65:R66"/>
    <mergeCell ref="S65:S66"/>
    <mergeCell ref="R67:R68"/>
    <mergeCell ref="S67:S68"/>
    <mergeCell ref="R85:R86"/>
    <mergeCell ref="S85:S86"/>
    <mergeCell ref="R87:R88"/>
    <mergeCell ref="S87:S88"/>
    <mergeCell ref="T98:T99"/>
    <mergeCell ref="U98:U99"/>
    <mergeCell ref="V98:V99"/>
    <mergeCell ref="T100:T101"/>
    <mergeCell ref="U100:U101"/>
    <mergeCell ref="V100:V101"/>
    <mergeCell ref="T102:T103"/>
    <mergeCell ref="U102:U103"/>
    <mergeCell ref="V102:V103"/>
    <mergeCell ref="R121:R122"/>
    <mergeCell ref="S121:S122"/>
    <mergeCell ref="T121:T122"/>
    <mergeCell ref="U121:U122"/>
    <mergeCell ref="V121:V122"/>
    <mergeCell ref="R123:R124"/>
    <mergeCell ref="S123:S124"/>
    <mergeCell ref="T123:T124"/>
    <mergeCell ref="U123:U124"/>
    <mergeCell ref="V123:V124"/>
    <mergeCell ref="R125:R126"/>
    <mergeCell ref="S125:S126"/>
    <mergeCell ref="T125:T126"/>
    <mergeCell ref="U125:U126"/>
    <mergeCell ref="V125:V126"/>
    <mergeCell ref="R134:R135"/>
    <mergeCell ref="S134:S135"/>
    <mergeCell ref="T134:T135"/>
    <mergeCell ref="U134:U135"/>
    <mergeCell ref="V134:V135"/>
    <mergeCell ref="R136:R137"/>
    <mergeCell ref="S136:S137"/>
    <mergeCell ref="T136:T137"/>
    <mergeCell ref="U136:U137"/>
    <mergeCell ref="V136:V137"/>
    <mergeCell ref="R154:R155"/>
    <mergeCell ref="S154:S155"/>
    <mergeCell ref="T154:T155"/>
    <mergeCell ref="U154:U155"/>
    <mergeCell ref="V154:V155"/>
    <mergeCell ref="R150:V150"/>
    <mergeCell ref="R156:R157"/>
    <mergeCell ref="S156:S157"/>
    <mergeCell ref="T156:T157"/>
    <mergeCell ref="U156:U157"/>
    <mergeCell ref="V156:V157"/>
    <mergeCell ref="R161:R162"/>
    <mergeCell ref="S161:S162"/>
    <mergeCell ref="T161:T162"/>
    <mergeCell ref="U161:U162"/>
    <mergeCell ref="V161:V162"/>
    <mergeCell ref="R163:R164"/>
    <mergeCell ref="S163:S164"/>
    <mergeCell ref="T163:T164"/>
    <mergeCell ref="U163:U164"/>
    <mergeCell ref="V163:V164"/>
    <mergeCell ref="R165:R166"/>
    <mergeCell ref="S165:S166"/>
    <mergeCell ref="T165:T166"/>
    <mergeCell ref="U165:U166"/>
    <mergeCell ref="V165:V166"/>
    <mergeCell ref="R174:R175"/>
    <mergeCell ref="S174:S175"/>
    <mergeCell ref="T174:T175"/>
    <mergeCell ref="U174:U175"/>
    <mergeCell ref="V174:V175"/>
    <mergeCell ref="R176:R177"/>
    <mergeCell ref="S176:S177"/>
    <mergeCell ref="T176:T177"/>
    <mergeCell ref="U176:U177"/>
    <mergeCell ref="V176:V177"/>
    <mergeCell ref="R181:R182"/>
    <mergeCell ref="S181:S182"/>
    <mergeCell ref="T181:T182"/>
    <mergeCell ref="U181:U182"/>
    <mergeCell ref="V181:V182"/>
    <mergeCell ref="R183:R184"/>
    <mergeCell ref="S183:S184"/>
    <mergeCell ref="T183:T184"/>
    <mergeCell ref="U183:U184"/>
    <mergeCell ref="V183:V184"/>
    <mergeCell ref="R201:R202"/>
    <mergeCell ref="S201:S202"/>
    <mergeCell ref="T201:T202"/>
    <mergeCell ref="U201:U202"/>
    <mergeCell ref="V201:V202"/>
    <mergeCell ref="R203:R204"/>
    <mergeCell ref="S203:S204"/>
    <mergeCell ref="T203:T204"/>
    <mergeCell ref="U203:U204"/>
    <mergeCell ref="V203:V204"/>
    <mergeCell ref="R205:R206"/>
    <mergeCell ref="S205:S206"/>
    <mergeCell ref="T205:T206"/>
    <mergeCell ref="U205:U206"/>
    <mergeCell ref="V205:V206"/>
    <mergeCell ref="R207:R208"/>
    <mergeCell ref="S207:S208"/>
    <mergeCell ref="T207:T208"/>
    <mergeCell ref="U207:U208"/>
    <mergeCell ref="V207:V208"/>
    <mergeCell ref="R209:R210"/>
    <mergeCell ref="S209:S210"/>
    <mergeCell ref="T209:T210"/>
    <mergeCell ref="U209:U210"/>
    <mergeCell ref="V209:V210"/>
    <mergeCell ref="R211:R212"/>
    <mergeCell ref="S211:S212"/>
    <mergeCell ref="T211:T212"/>
    <mergeCell ref="U211:U212"/>
    <mergeCell ref="V211:V212"/>
    <mergeCell ref="R213:R214"/>
    <mergeCell ref="S213:S214"/>
    <mergeCell ref="T213:T214"/>
    <mergeCell ref="U213:U214"/>
    <mergeCell ref="V213:V214"/>
    <mergeCell ref="R215:R216"/>
    <mergeCell ref="S215:S216"/>
    <mergeCell ref="T215:T216"/>
    <mergeCell ref="U215:U216"/>
    <mergeCell ref="V215:V216"/>
    <mergeCell ref="R217:R218"/>
    <mergeCell ref="S217:S218"/>
    <mergeCell ref="T217:T218"/>
    <mergeCell ref="U217:U218"/>
    <mergeCell ref="V217:V218"/>
    <mergeCell ref="R221:R222"/>
    <mergeCell ref="S221:S222"/>
    <mergeCell ref="T221:T222"/>
    <mergeCell ref="U221:U222"/>
    <mergeCell ref="V221:V222"/>
    <mergeCell ref="R223:R224"/>
    <mergeCell ref="S223:S224"/>
    <mergeCell ref="T223:T224"/>
    <mergeCell ref="U223:U224"/>
    <mergeCell ref="V223:V224"/>
    <mergeCell ref="R225:R226"/>
    <mergeCell ref="S225:S226"/>
    <mergeCell ref="T225:T226"/>
    <mergeCell ref="U225:U226"/>
    <mergeCell ref="V225:V226"/>
    <mergeCell ref="R227:R228"/>
    <mergeCell ref="S227:S228"/>
    <mergeCell ref="T227:T228"/>
    <mergeCell ref="U227:U228"/>
    <mergeCell ref="V227:V228"/>
    <mergeCell ref="R229:R230"/>
    <mergeCell ref="S229:S230"/>
    <mergeCell ref="T229:T230"/>
    <mergeCell ref="U229:U230"/>
    <mergeCell ref="V229:V230"/>
    <mergeCell ref="R231:R232"/>
    <mergeCell ref="S231:S232"/>
    <mergeCell ref="T231:T232"/>
    <mergeCell ref="U231:U232"/>
    <mergeCell ref="V231:V232"/>
    <mergeCell ref="R233:R234"/>
    <mergeCell ref="S233:S234"/>
    <mergeCell ref="T233:T234"/>
    <mergeCell ref="U233:U234"/>
    <mergeCell ref="V233:V234"/>
    <mergeCell ref="R235:R236"/>
    <mergeCell ref="S235:S236"/>
    <mergeCell ref="T235:T236"/>
    <mergeCell ref="U235:U236"/>
    <mergeCell ref="V235:V236"/>
    <mergeCell ref="R237:R238"/>
    <mergeCell ref="S237:S238"/>
    <mergeCell ref="T237:T238"/>
    <mergeCell ref="U237:U238"/>
    <mergeCell ref="V237:V238"/>
    <mergeCell ref="R241:R242"/>
    <mergeCell ref="S241:S242"/>
    <mergeCell ref="T241:T242"/>
    <mergeCell ref="U241:U242"/>
    <mergeCell ref="V241:V242"/>
    <mergeCell ref="R243:R244"/>
    <mergeCell ref="S243:S244"/>
    <mergeCell ref="T243:T244"/>
    <mergeCell ref="U243:U244"/>
    <mergeCell ref="V243:V244"/>
    <mergeCell ref="U251:U252"/>
    <mergeCell ref="V251:V252"/>
    <mergeCell ref="R253:R254"/>
    <mergeCell ref="S253:S254"/>
    <mergeCell ref="T253:T254"/>
    <mergeCell ref="U253:U254"/>
    <mergeCell ref="V253:V254"/>
    <mergeCell ref="R247:R248"/>
    <mergeCell ref="S247:S248"/>
    <mergeCell ref="T247:T248"/>
    <mergeCell ref="U247:U248"/>
    <mergeCell ref="V247:V248"/>
    <mergeCell ref="R249:R250"/>
    <mergeCell ref="S249:S250"/>
    <mergeCell ref="T249:T250"/>
    <mergeCell ref="U249:U250"/>
    <mergeCell ref="V249:V250"/>
    <mergeCell ref="C2:J2"/>
    <mergeCell ref="R259:R260"/>
    <mergeCell ref="S259:S260"/>
    <mergeCell ref="T259:T260"/>
    <mergeCell ref="U259:U260"/>
    <mergeCell ref="V259:V260"/>
    <mergeCell ref="R261:R262"/>
    <mergeCell ref="S261:S262"/>
    <mergeCell ref="T261:T262"/>
    <mergeCell ref="U261:U262"/>
    <mergeCell ref="V261:V262"/>
    <mergeCell ref="R255:R256"/>
    <mergeCell ref="S255:S256"/>
    <mergeCell ref="T255:T256"/>
    <mergeCell ref="U255:U256"/>
    <mergeCell ref="V255:V256"/>
    <mergeCell ref="R257:R258"/>
    <mergeCell ref="S257:S258"/>
    <mergeCell ref="T257:T258"/>
    <mergeCell ref="U257:U258"/>
    <mergeCell ref="V257:V258"/>
    <mergeCell ref="R251:R252"/>
    <mergeCell ref="S251:S252"/>
    <mergeCell ref="T251:T252"/>
  </mergeCells>
  <conditionalFormatting sqref="D259:N259 D121:N121 D123:N123 D125:N125 D134:N134 D261:N261 D154:N154 D156:N156 D161:N161 D163:N163 D165:N165 D174:N174 D176:N176 D181:N181 D183:N183 D201:N201 D203:N203 D205:N205 D257:N257 D209:N209 D211:N211 D213:N213 D215:N215 D217:N217 D221:N221 D223:N223 D225:N225 D227:N227 D229:N229 D231:N231 D233:N233 D235:N235 D237:N237 D241:N241 D136:N136 D247:N247 D249:N249 D251:N251 D253:N253 D255:N255 D98:N98 D100:N100 D85:N85 D87:N87 D24:N24 D26:N26 D35:N35 D37:N37 D39:N39 D52:N52 D54:N54 D65:N65 D67:N67 D102:N102">
    <cfRule type="cellIs" dxfId="99" priority="20" operator="lessThanOrEqual">
      <formula>INDEX(ColourRange,,3)</formula>
    </cfRule>
  </conditionalFormatting>
  <conditionalFormatting sqref="D244:N244 D121:N121 D123:N123 D125:N125 D134:N134 D154:N154 D156:N156 D161:N161 D163:N163 D165:N165 D174:N174 D176:N176 D181:N181 D183:N183 D201:N201 D203:N203 D205:N205 D246:N262 D209:N209 D211:N211 D213:N213 D215:N215 D217:N217 D221:N221 D223:N223 D225:N225 D227:N227 D229:N229 D231:N231 D233:N233 D235:N235 D237:N237 D241:N241 D136:N136 D98:N98 D100:N100 D85:N85 D87:N87 D24:N24 D26:N26 D35:N35 D37:N37 D39:N39 D52:N52 D54:N54 D65:N65 D67:N67 D102:N102">
    <cfRule type="expression" dxfId="98" priority="18">
      <formula>D24=0</formula>
    </cfRule>
  </conditionalFormatting>
  <conditionalFormatting sqref="D259:N259 D121:N121 D123:N123 D125:N125 D134:N134 D261:N261 D154:N154 D156:N156 D161:N161 D163:N163 D165:N165 D174:N174 D176:N176 D181:N181 D183:N183 D201:N201 D203:N203 D205:N205 D257:N257 D209:N209 D211:N211 D213:N213 D215:N215 D217:N217 D221:N221 D223:N223 D225:N225 D227:N227 D229:N229 D231:N231 D233:N233 D235:N235 D237:N237 D241:N241 D136:N136 D247:N247 D249:N249 D251:N251 D253:N253 D255:N255 D98:N98 D100:N100 D85:N85 D87:N87 D24:N24 D26:N26 D35:N35 D37:N37 D39:N39 D52:N52 D54:N54 D65:N65 D67:N67 D102:N102">
    <cfRule type="cellIs" dxfId="97" priority="19" operator="lessThanOrEqual">
      <formula>INDEX(ColourRange,,2)</formula>
    </cfRule>
  </conditionalFormatting>
  <conditionalFormatting sqref="D244:N24326 D121:N121 D123:N123 D125:N125 D134:N134 D154:N154 D156:N156 D161:N161 D163:N163 D165:N165 D174:N174 D176:N176 D181:N181 D183:N183 D201:N201 D203:N203 D205:N205 D136:N136 D209:N209 D211:N211 D213:N213 D215:N215 D217:N217 D221:N221 D223:N223 D225:N225 D227:N227 D229:N229 D231:N231 D233:N233 D235:N235 D237:N237 D241:N241 D98:N98 D100:N100 D85:N85 D87:N87 D24:N24 D26:N26 D35:N35 D37:N37 D39:N39 D52:N52 D54:N54 D65:N65 D67:N67 D102:N102">
    <cfRule type="cellIs" dxfId="96" priority="21" operator="greaterThan">
      <formula>INDEX(ColourRange,,3)</formula>
    </cfRule>
  </conditionalFormatting>
  <conditionalFormatting sqref="D243:N243">
    <cfRule type="cellIs" dxfId="95" priority="15" operator="greaterThanOrEqual">
      <formula>INDEX(ColourRange,,1)</formula>
    </cfRule>
    <cfRule type="cellIs" dxfId="94" priority="16" operator="greaterThanOrEqual">
      <formula>INDEX(ColourRange,,2)</formula>
    </cfRule>
    <cfRule type="cellIs" dxfId="93" priority="17" operator="greaterThanOrEqual">
      <formula>INDEX(ColourRange,,3)</formula>
    </cfRule>
  </conditionalFormatting>
  <conditionalFormatting sqref="R200:R218 R220:R238 R240:R244 R246:R262 R180:R184 R120:R126 R133:R137 R153:R157 R160:R166 R173:R177 R64:R68 R23:R27 R34:R40 R49:R55 R84:R88 R97:R103">
    <cfRule type="expression" dxfId="92" priority="432">
      <formula>$R$17="II. CUSTOMIZE BENCHMARKS"</formula>
    </cfRule>
  </conditionalFormatting>
  <conditionalFormatting sqref="S246:S262 S120:S126 S133:S137 S153:S157 S160:S166 S173:S177 S180:S184 S200:S218 S220:S238 S240:S244 S64:S68 S23:S27 S34:S40 S49:S55 S84:S88 S97:S103">
    <cfRule type="expression" dxfId="91" priority="448">
      <formula>$R$17&lt;&gt;"II. CUSTOMIZE BENCHMARKS"</formula>
    </cfRule>
  </conditionalFormatting>
  <conditionalFormatting sqref="Q11:W263">
    <cfRule type="expression" dxfId="90" priority="1">
      <formula>$AA$20&lt;&gt;TRUE</formula>
    </cfRule>
  </conditionalFormatting>
  <dataValidations count="1">
    <dataValidation type="list" allowBlank="1" showInputMessage="1" showErrorMessage="1" sqref="R17">
      <formula1>"I. STANDARD SLB BENCHMARKS,II. CUSTOMIZE BENCHMARKS"</formula1>
    </dataValidation>
  </dataValidations>
  <hyperlinks>
    <hyperlink ref="C9" location="'Summary of CSP'!C18" display="PAS performance indicators"/>
    <hyperlink ref="G9" location="'Summary of PIP Plan'!C198" display="Standardised Service Level Benchmark Report "/>
    <hyperlink ref="G9:O9" location="'Summary of CSP'!C198" display="Standardised Service Level Benchmark Report "/>
  </hyperlinks>
  <printOptions horizontalCentered="1"/>
  <pageMargins left="0.19685039370078741" right="0.11811023622047245" top="0.11811023622047245" bottom="0.11811023622047245" header="0.11811023622047245" footer="0.11811023622047245"/>
  <pageSetup paperSize="9" scale="63" fitToHeight="0" orientation="portrait" verticalDpi="300" r:id="rId1"/>
  <rowBreaks count="3" manualBreakCount="3">
    <brk id="63" min="1" max="14" man="1"/>
    <brk id="132" min="1" max="14" man="1"/>
    <brk id="197" min="1"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182289" r:id="rId4" name="Check Box 17">
              <controlPr locked="0" defaultSize="0" autoFill="0" autoLine="0" autoPict="0">
                <anchor moveWithCells="1">
                  <from>
                    <xdr:col>2</xdr:col>
                    <xdr:colOff>123825</xdr:colOff>
                    <xdr:row>18</xdr:row>
                    <xdr:rowOff>47625</xdr:rowOff>
                  </from>
                  <to>
                    <xdr:col>2</xdr:col>
                    <xdr:colOff>428625</xdr:colOff>
                    <xdr:row>18</xdr:row>
                    <xdr:rowOff>276225</xdr:rowOff>
                  </to>
                </anchor>
              </controlPr>
            </control>
          </mc:Choice>
        </mc:AlternateContent>
        <mc:AlternateContent xmlns:mc="http://schemas.openxmlformats.org/markup-compatibility/2006">
          <mc:Choice Requires="x14">
            <control shapeId="182291" r:id="rId5" name="Button 19">
              <controlPr defaultSize="0" print="0" autoFill="0" autoPict="0" macro="[0]!Print_Sheet" altText="Print this page">
                <anchor moveWithCells="1" sizeWithCells="1">
                  <from>
                    <xdr:col>12</xdr:col>
                    <xdr:colOff>114300</xdr:colOff>
                    <xdr:row>5</xdr:row>
                    <xdr:rowOff>28575</xdr:rowOff>
                  </from>
                  <to>
                    <xdr:col>13</xdr:col>
                    <xdr:colOff>552450</xdr:colOff>
                    <xdr:row>5</xdr:row>
                    <xdr:rowOff>314325</xdr:rowOff>
                  </to>
                </anchor>
              </controlPr>
            </control>
          </mc:Choice>
        </mc:AlternateContent>
        <mc:AlternateContent xmlns:mc="http://schemas.openxmlformats.org/markup-compatibility/2006">
          <mc:Choice Requires="x14">
            <control shapeId="182293" r:id="rId6" name="Button 21">
              <controlPr defaultSize="0" print="0" autoFill="0" autoPict="0" macro="[0]!ResetInputCells" altText="Print this page">
                <anchor moveWithCells="1" sizeWithCells="1">
                  <from>
                    <xdr:col>10</xdr:col>
                    <xdr:colOff>85725</xdr:colOff>
                    <xdr:row>5</xdr:row>
                    <xdr:rowOff>28575</xdr:rowOff>
                  </from>
                  <to>
                    <xdr:col>11</xdr:col>
                    <xdr:colOff>504825</xdr:colOff>
                    <xdr:row>5</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5"/>
    <pageSetUpPr fitToPage="1"/>
  </sheetPr>
  <dimension ref="A1:X360"/>
  <sheetViews>
    <sheetView topLeftCell="A9" zoomScale="70" zoomScaleNormal="70" zoomScaleSheetLayoutView="70" workbookViewId="0">
      <selection activeCell="A9" sqref="A9"/>
    </sheetView>
  </sheetViews>
  <sheetFormatPr defaultColWidth="9.140625" defaultRowHeight="15" x14ac:dyDescent="0.25"/>
  <cols>
    <col min="1" max="1" width="9.140625" style="493"/>
    <col min="2" max="2" width="7.85546875" style="493" customWidth="1"/>
    <col min="3" max="3" width="8.7109375" style="493" customWidth="1"/>
    <col min="4" max="4" width="44.28515625" style="493" customWidth="1"/>
    <col min="5" max="8" width="11.42578125" style="493" customWidth="1"/>
    <col min="9" max="9" width="11.5703125" style="493" customWidth="1"/>
    <col min="10" max="10" width="11.42578125" style="493" customWidth="1"/>
    <col min="11" max="20" width="11.42578125" style="514" customWidth="1"/>
    <col min="21" max="21" width="6.7109375" style="1104" customWidth="1"/>
    <col min="22" max="23" width="9.140625" style="493"/>
    <col min="24" max="24" width="9.140625" style="493" customWidth="1"/>
    <col min="25" max="16384" width="9.140625" style="493"/>
  </cols>
  <sheetData>
    <row r="1" spans="1:22" s="466" customFormat="1" x14ac:dyDescent="0.25">
      <c r="I1" s="465"/>
      <c r="U1" s="482"/>
    </row>
    <row r="2" spans="1:22" s="466" customFormat="1" ht="54.75" customHeight="1" x14ac:dyDescent="0.5">
      <c r="B2" s="516"/>
      <c r="C2" s="6467" t="s">
        <v>2088</v>
      </c>
      <c r="D2" s="6467"/>
      <c r="E2" s="6467"/>
      <c r="F2" s="6467"/>
      <c r="G2" s="6467"/>
      <c r="H2" s="6467"/>
      <c r="I2" s="6467"/>
      <c r="J2" s="6467"/>
      <c r="K2" s="6467"/>
      <c r="L2" s="6467"/>
      <c r="M2" s="6467"/>
      <c r="N2" s="6467"/>
      <c r="O2" s="6467"/>
      <c r="P2" s="6467"/>
      <c r="Q2" s="6467"/>
      <c r="R2" s="517"/>
      <c r="S2" s="517"/>
      <c r="T2" s="517"/>
      <c r="U2" s="5572"/>
    </row>
    <row r="3" spans="1:22" s="466" customFormat="1" ht="8.25" customHeight="1" x14ac:dyDescent="0.25">
      <c r="B3" s="519"/>
      <c r="C3" s="469"/>
      <c r="D3" s="469"/>
      <c r="E3" s="469"/>
      <c r="F3" s="469"/>
      <c r="G3" s="469"/>
      <c r="H3" s="468"/>
      <c r="I3" s="468"/>
      <c r="J3" s="468"/>
      <c r="K3" s="468"/>
      <c r="L3" s="468"/>
      <c r="M3" s="468"/>
      <c r="N3" s="468"/>
      <c r="O3" s="468"/>
      <c r="P3" s="468"/>
      <c r="Q3" s="468"/>
      <c r="R3" s="468"/>
      <c r="S3" s="468"/>
      <c r="T3" s="468"/>
      <c r="U3" s="5573"/>
    </row>
    <row r="4" spans="1:22" s="466" customFormat="1" ht="28.5" x14ac:dyDescent="0.25">
      <c r="B4" s="519"/>
      <c r="C4" s="6176" t="s">
        <v>3084</v>
      </c>
      <c r="D4" s="6176"/>
      <c r="E4" s="6176"/>
      <c r="F4" s="6176"/>
      <c r="G4" s="6176"/>
      <c r="H4" s="6176"/>
      <c r="I4" s="6176"/>
      <c r="J4" s="6176"/>
      <c r="K4" s="6176"/>
      <c r="L4" s="6176"/>
      <c r="M4" s="6176"/>
      <c r="N4" s="6176"/>
      <c r="O4" s="6176"/>
      <c r="P4" s="6176"/>
      <c r="Q4" s="6176"/>
      <c r="R4" s="486"/>
      <c r="S4" s="486"/>
      <c r="T4" s="491"/>
      <c r="U4" s="5573"/>
    </row>
    <row r="5" spans="1:22" s="466" customFormat="1" ht="6" customHeight="1" x14ac:dyDescent="0.25">
      <c r="B5" s="519"/>
      <c r="C5" s="469"/>
      <c r="D5" s="469"/>
      <c r="E5" s="469"/>
      <c r="F5" s="469"/>
      <c r="G5" s="469"/>
      <c r="H5" s="468"/>
      <c r="I5" s="468"/>
      <c r="J5" s="468"/>
      <c r="K5" s="468"/>
      <c r="L5" s="468"/>
      <c r="M5" s="468"/>
      <c r="N5" s="468"/>
      <c r="O5" s="468"/>
      <c r="P5" s="468"/>
      <c r="Q5" s="468"/>
      <c r="R5" s="468"/>
      <c r="S5" s="468"/>
      <c r="T5" s="468"/>
      <c r="U5" s="5573"/>
    </row>
    <row r="6" spans="1:22" s="472" customFormat="1" ht="26.25" x14ac:dyDescent="0.25">
      <c r="B6" s="6811" t="s">
        <v>2068</v>
      </c>
      <c r="C6" s="6349"/>
      <c r="D6" s="6349"/>
      <c r="E6" s="6349"/>
      <c r="F6" s="6349"/>
      <c r="G6" s="6349"/>
      <c r="H6" s="6349"/>
      <c r="I6" s="6349"/>
      <c r="J6" s="6349"/>
      <c r="K6" s="6349"/>
      <c r="L6" s="6349"/>
      <c r="M6" s="6349"/>
      <c r="N6" s="6349"/>
      <c r="O6" s="6349"/>
      <c r="P6" s="6349"/>
      <c r="Q6" s="6349"/>
      <c r="R6" s="6349"/>
      <c r="S6" s="953"/>
      <c r="T6" s="953"/>
      <c r="U6" s="5574"/>
    </row>
    <row r="7" spans="1:22" s="472" customFormat="1" ht="3" customHeight="1" x14ac:dyDescent="0.25">
      <c r="B7" s="800"/>
      <c r="C7" s="799"/>
      <c r="D7" s="801"/>
      <c r="E7" s="801"/>
      <c r="F7" s="801"/>
      <c r="G7" s="801"/>
      <c r="H7" s="473"/>
      <c r="I7" s="473"/>
      <c r="J7" s="473"/>
      <c r="K7" s="473"/>
      <c r="L7" s="473"/>
      <c r="M7" s="473"/>
      <c r="N7" s="473"/>
      <c r="O7" s="473"/>
      <c r="P7" s="473"/>
      <c r="Q7" s="473"/>
      <c r="R7" s="473"/>
      <c r="S7" s="473"/>
      <c r="T7" s="473"/>
      <c r="U7" s="5574"/>
    </row>
    <row r="8" spans="1:22" s="467" customFormat="1" ht="26.25" x14ac:dyDescent="0.25">
      <c r="B8" s="523"/>
      <c r="C8" s="6810" t="s">
        <v>736</v>
      </c>
      <c r="D8" s="6810"/>
      <c r="E8" s="6810"/>
      <c r="F8" s="6810"/>
      <c r="G8" s="6810"/>
      <c r="H8" s="6810"/>
      <c r="I8" s="6810"/>
      <c r="J8" s="6810"/>
      <c r="K8" s="6810"/>
      <c r="L8" s="6810"/>
      <c r="M8" s="6810"/>
      <c r="N8" s="6810"/>
      <c r="O8" s="6810"/>
      <c r="P8" s="6810"/>
      <c r="Q8" s="6810"/>
      <c r="R8" s="6810"/>
      <c r="S8" s="479"/>
      <c r="T8" s="479"/>
      <c r="U8" s="5575"/>
    </row>
    <row r="9" spans="1:22" s="467" customFormat="1" ht="23.25" customHeight="1" x14ac:dyDescent="0.25">
      <c r="A9" s="5468" t="s">
        <v>184</v>
      </c>
      <c r="B9" s="6808"/>
      <c r="C9" s="6809"/>
      <c r="D9" s="1336"/>
      <c r="E9" s="6470" t="s">
        <v>3863</v>
      </c>
      <c r="F9" s="6470"/>
      <c r="G9" s="6470"/>
      <c r="H9" s="6470"/>
      <c r="I9" s="5701"/>
      <c r="J9" s="6470" t="s">
        <v>3602</v>
      </c>
      <c r="K9" s="6470"/>
      <c r="L9" s="6470"/>
      <c r="M9" s="6470"/>
      <c r="N9" s="6470"/>
      <c r="O9" s="6470" t="s">
        <v>3924</v>
      </c>
      <c r="P9" s="6470"/>
      <c r="Q9" s="6470"/>
      <c r="R9" s="6470"/>
      <c r="S9" s="525"/>
      <c r="T9" s="3642"/>
      <c r="U9" s="3643"/>
      <c r="V9" s="1709"/>
    </row>
    <row r="10" spans="1:22" s="467" customFormat="1" ht="20.25" customHeight="1" x14ac:dyDescent="0.25">
      <c r="B10" s="5260"/>
      <c r="C10" s="6812" t="s">
        <v>3466</v>
      </c>
      <c r="D10" s="6812"/>
      <c r="E10" s="5700"/>
      <c r="F10" s="5700"/>
      <c r="G10" s="5700"/>
      <c r="H10" s="5700"/>
      <c r="I10" s="5700"/>
      <c r="J10" s="5700"/>
      <c r="K10" s="5700"/>
      <c r="L10" s="5700"/>
      <c r="M10" s="5700"/>
      <c r="N10" s="5700"/>
      <c r="O10" s="5700"/>
      <c r="P10" s="5700"/>
      <c r="Q10" s="5700"/>
      <c r="R10" s="5700"/>
      <c r="S10" s="5700"/>
      <c r="T10" s="5700"/>
      <c r="U10" s="5576"/>
    </row>
    <row r="11" spans="1:22" s="467" customFormat="1" ht="125.25" customHeight="1" x14ac:dyDescent="0.25">
      <c r="B11" s="5284"/>
      <c r="C11" s="6299" t="s">
        <v>3824</v>
      </c>
      <c r="D11" s="6299"/>
      <c r="E11" s="6299"/>
      <c r="F11" s="6299"/>
      <c r="G11" s="6299"/>
      <c r="H11" s="6299"/>
      <c r="I11" s="6299"/>
      <c r="J11" s="6299"/>
      <c r="K11" s="6299"/>
      <c r="L11" s="6299"/>
      <c r="M11" s="6299"/>
      <c r="N11" s="6299"/>
      <c r="O11" s="6299"/>
      <c r="P11" s="6299"/>
      <c r="Q11" s="6299"/>
      <c r="R11" s="6299"/>
      <c r="S11" s="6299"/>
      <c r="T11" s="6299"/>
      <c r="U11" s="5576"/>
    </row>
    <row r="12" spans="1:22" s="465" customFormat="1" x14ac:dyDescent="0.25">
      <c r="B12" s="464"/>
      <c r="C12" s="47"/>
      <c r="D12" s="470"/>
      <c r="E12" s="4"/>
      <c r="F12" s="4"/>
      <c r="G12" s="4"/>
      <c r="H12" s="4"/>
      <c r="I12" s="4"/>
      <c r="J12" s="4"/>
      <c r="K12" s="4"/>
      <c r="L12" s="4"/>
      <c r="M12" s="4"/>
      <c r="N12" s="4"/>
      <c r="O12" s="4"/>
      <c r="P12" s="4"/>
      <c r="Q12" s="4"/>
      <c r="R12" s="4"/>
      <c r="S12" s="4"/>
      <c r="T12" s="4"/>
      <c r="U12" s="5577"/>
    </row>
    <row r="13" spans="1:22" s="1317" customFormat="1" ht="26.25" x14ac:dyDescent="0.25">
      <c r="B13" s="1603"/>
      <c r="C13" s="5607" t="s">
        <v>1670</v>
      </c>
      <c r="D13" s="1724"/>
      <c r="E13" s="1724"/>
      <c r="F13" s="1724"/>
      <c r="G13" s="1604"/>
      <c r="H13" s="1604"/>
      <c r="I13" s="1604"/>
      <c r="J13" s="1604"/>
      <c r="K13" s="1604"/>
      <c r="L13" s="1604"/>
      <c r="M13" s="1604"/>
      <c r="N13" s="1604"/>
      <c r="O13" s="1604"/>
      <c r="P13" s="1604"/>
      <c r="Q13" s="1604"/>
      <c r="R13" s="1604"/>
      <c r="S13" s="1604"/>
      <c r="T13" s="1604"/>
      <c r="U13" s="5578"/>
    </row>
    <row r="14" spans="1:22" s="1312" customFormat="1" x14ac:dyDescent="0.25">
      <c r="B14" s="1601"/>
      <c r="C14" s="5568" t="s">
        <v>3373</v>
      </c>
      <c r="D14" s="1614" t="s">
        <v>4</v>
      </c>
      <c r="E14" s="5549" t="s">
        <v>33</v>
      </c>
      <c r="F14" s="5549" t="s">
        <v>9</v>
      </c>
      <c r="G14" s="6320" t="s">
        <v>3758</v>
      </c>
      <c r="H14" s="6320"/>
      <c r="I14" s="6320"/>
      <c r="J14" s="6320"/>
      <c r="K14" s="1601"/>
      <c r="L14" s="1601"/>
      <c r="M14" s="1601"/>
      <c r="N14" s="1601"/>
      <c r="O14" s="1601"/>
      <c r="P14" s="1601"/>
      <c r="Q14" s="1601"/>
      <c r="R14" s="1601"/>
      <c r="S14" s="1601"/>
      <c r="T14" s="1601"/>
      <c r="U14" s="1630"/>
    </row>
    <row r="15" spans="1:22" s="1312" customFormat="1" ht="15" customHeight="1" x14ac:dyDescent="0.25">
      <c r="B15" s="1601"/>
      <c r="C15" s="1637">
        <v>1</v>
      </c>
      <c r="D15" s="1725" t="s">
        <v>1672</v>
      </c>
      <c r="E15" s="1676" t="s">
        <v>64</v>
      </c>
      <c r="F15" s="3873">
        <v>7.0000000000000007E-2</v>
      </c>
      <c r="G15" s="6320"/>
      <c r="H15" s="6320"/>
      <c r="I15" s="6320"/>
      <c r="J15" s="6320"/>
      <c r="K15" s="1601"/>
      <c r="L15" s="1601"/>
      <c r="M15" s="1601"/>
      <c r="N15" s="1601"/>
      <c r="O15" s="1601"/>
      <c r="P15" s="1601"/>
      <c r="Q15" s="1601"/>
      <c r="R15" s="1601"/>
      <c r="S15" s="1601"/>
      <c r="T15" s="1601"/>
      <c r="U15" s="1630"/>
    </row>
    <row r="16" spans="1:22" s="1312" customFormat="1" ht="30" x14ac:dyDescent="0.25">
      <c r="B16" s="1726"/>
      <c r="C16" s="1637">
        <v>2</v>
      </c>
      <c r="D16" s="1725" t="s">
        <v>1671</v>
      </c>
      <c r="E16" s="1676" t="s">
        <v>64</v>
      </c>
      <c r="F16" s="3873">
        <v>0.05</v>
      </c>
      <c r="G16" s="6320"/>
      <c r="H16" s="6320"/>
      <c r="I16" s="6320"/>
      <c r="J16" s="6320"/>
      <c r="K16" s="1601"/>
      <c r="L16" s="1601"/>
      <c r="M16" s="1601"/>
      <c r="N16" s="1601"/>
      <c r="O16" s="1601"/>
      <c r="P16" s="1601"/>
      <c r="Q16" s="1601"/>
      <c r="R16" s="1601"/>
      <c r="S16" s="1601"/>
      <c r="T16" s="1601"/>
      <c r="U16" s="1630"/>
    </row>
    <row r="17" spans="1:21" s="1312" customFormat="1" ht="30" x14ac:dyDescent="0.25">
      <c r="B17" s="1726"/>
      <c r="C17" s="1637">
        <v>3</v>
      </c>
      <c r="D17" s="1725" t="s">
        <v>461</v>
      </c>
      <c r="E17" s="1676" t="s">
        <v>64</v>
      </c>
      <c r="F17" s="3873">
        <v>0.03</v>
      </c>
      <c r="G17" s="6320"/>
      <c r="H17" s="6320"/>
      <c r="I17" s="6320"/>
      <c r="J17" s="6320"/>
      <c r="K17" s="1601"/>
      <c r="L17" s="1601"/>
      <c r="M17" s="1601"/>
      <c r="N17" s="1601"/>
      <c r="O17" s="1601"/>
      <c r="P17" s="1601"/>
      <c r="Q17" s="1601"/>
      <c r="R17" s="1601"/>
      <c r="S17" s="1601"/>
      <c r="T17" s="1601"/>
      <c r="U17" s="1630"/>
    </row>
    <row r="18" spans="1:21" s="1312" customFormat="1" x14ac:dyDescent="0.25">
      <c r="B18" s="1726"/>
      <c r="C18" s="1726"/>
      <c r="D18" s="1727"/>
      <c r="E18" s="1726"/>
      <c r="F18" s="1726"/>
      <c r="G18" s="1601"/>
      <c r="H18" s="1601"/>
      <c r="I18" s="1601"/>
      <c r="J18" s="1601"/>
      <c r="K18" s="1601"/>
      <c r="L18" s="1601"/>
      <c r="M18" s="1601"/>
      <c r="N18" s="1601"/>
      <c r="O18" s="1601"/>
      <c r="P18" s="1601"/>
      <c r="Q18" s="1601"/>
      <c r="R18" s="1601"/>
      <c r="S18" s="1601"/>
      <c r="T18" s="1601"/>
      <c r="U18" s="1630"/>
    </row>
    <row r="19" spans="1:21" s="1316" customFormat="1" ht="26.25" x14ac:dyDescent="0.25">
      <c r="A19" s="1311"/>
      <c r="B19" s="5976" t="s">
        <v>1</v>
      </c>
      <c r="C19" s="5977" t="s">
        <v>3751</v>
      </c>
      <c r="D19" s="5978"/>
      <c r="E19" s="1604"/>
      <c r="F19" s="1604"/>
      <c r="G19" s="1604"/>
      <c r="H19" s="1604"/>
      <c r="I19" s="1604"/>
      <c r="J19" s="5830"/>
      <c r="K19" s="1604"/>
      <c r="L19" s="1604"/>
      <c r="M19" s="1604"/>
      <c r="N19" s="1604"/>
      <c r="O19" s="1604"/>
      <c r="P19" s="1604"/>
      <c r="Q19" s="1604"/>
      <c r="R19" s="1604"/>
      <c r="S19" s="1604"/>
      <c r="T19" s="5830" t="str">
        <f>CONCATENATE("All figures in ",'General info'!$E$43," ",'General info'!$G$43)</f>
        <v>All figures in INR Lakhs</v>
      </c>
      <c r="U19" s="5830"/>
    </row>
    <row r="20" spans="1:21" s="1316" customFormat="1" ht="15.75" x14ac:dyDescent="0.25">
      <c r="A20" s="1311"/>
      <c r="B20" s="1609" t="s">
        <v>2</v>
      </c>
      <c r="C20" s="1610" t="s">
        <v>0</v>
      </c>
      <c r="D20" s="1623"/>
      <c r="E20" s="1611"/>
      <c r="F20" s="1611"/>
      <c r="G20" s="1728"/>
      <c r="H20" s="1611"/>
      <c r="I20" s="1611"/>
      <c r="J20" s="1611"/>
      <c r="K20" s="1611"/>
      <c r="L20" s="1611"/>
      <c r="M20" s="1611"/>
      <c r="N20" s="1611"/>
      <c r="O20" s="1611"/>
      <c r="P20" s="1611"/>
      <c r="Q20" s="1611"/>
      <c r="R20" s="1611"/>
      <c r="S20" s="1611"/>
      <c r="T20" s="1611"/>
      <c r="U20" s="1611"/>
    </row>
    <row r="21" spans="1:21" s="1316" customFormat="1" x14ac:dyDescent="0.25">
      <c r="A21" s="1311"/>
      <c r="B21" s="1601"/>
      <c r="C21" s="5965" t="s">
        <v>1010</v>
      </c>
      <c r="D21" s="1614" t="s">
        <v>4</v>
      </c>
      <c r="E21" s="971" t="str">
        <f>'Finance info'!E$99</f>
        <v xml:space="preserve">2009 </v>
      </c>
      <c r="F21" s="971" t="str">
        <f>'Finance info'!F$99</f>
        <v>2010  (A)</v>
      </c>
      <c r="G21" s="971" t="str">
        <f>'Finance info'!G$99</f>
        <v>2011  (A)</v>
      </c>
      <c r="H21" s="971" t="str">
        <f>'Finance info'!H$99</f>
        <v>2012  (A)</v>
      </c>
      <c r="I21" s="971" t="str">
        <f>'Finance info'!I$99</f>
        <v>2013  (RE)</v>
      </c>
      <c r="J21" s="971" t="str">
        <f>'Finance info'!J$99</f>
        <v>2014 (BE)</v>
      </c>
      <c r="K21" s="5965">
        <f>IFERROR('General info'!$E$20+1,"")</f>
        <v>2015</v>
      </c>
      <c r="L21" s="5965">
        <f>IFERROR(K21+1,"")</f>
        <v>2016</v>
      </c>
      <c r="M21" s="5965">
        <f t="shared" ref="M21:T21" si="0">IFERROR(L21+1,"")</f>
        <v>2017</v>
      </c>
      <c r="N21" s="5965">
        <f t="shared" si="0"/>
        <v>2018</v>
      </c>
      <c r="O21" s="5965">
        <f t="shared" si="0"/>
        <v>2019</v>
      </c>
      <c r="P21" s="5965">
        <f t="shared" si="0"/>
        <v>2020</v>
      </c>
      <c r="Q21" s="5965">
        <f t="shared" si="0"/>
        <v>2021</v>
      </c>
      <c r="R21" s="5965">
        <f t="shared" si="0"/>
        <v>2022</v>
      </c>
      <c r="S21" s="5965">
        <f t="shared" si="0"/>
        <v>2023</v>
      </c>
      <c r="T21" s="5965">
        <f t="shared" si="0"/>
        <v>2024</v>
      </c>
      <c r="U21" s="1731"/>
    </row>
    <row r="22" spans="1:21" s="1316" customFormat="1" x14ac:dyDescent="0.25">
      <c r="A22" s="1311"/>
      <c r="B22" s="1731"/>
      <c r="C22" s="1637"/>
      <c r="D22" s="1735" t="s">
        <v>3752</v>
      </c>
      <c r="E22" s="4286">
        <f>'Finance info'!E41</f>
        <v>0</v>
      </c>
      <c r="F22" s="4286">
        <f>'Finance info'!F41</f>
        <v>0</v>
      </c>
      <c r="G22" s="4286">
        <f>'Finance info'!G41</f>
        <v>0</v>
      </c>
      <c r="H22" s="4286">
        <f>'Finance info'!H41</f>
        <v>0</v>
      </c>
      <c r="I22" s="4286">
        <f>'Finance info'!I41</f>
        <v>0</v>
      </c>
      <c r="J22" s="4286">
        <f>'Finance info'!J41</f>
        <v>0</v>
      </c>
      <c r="K22" s="1128">
        <f>'WS calcu'!F763</f>
        <v>0</v>
      </c>
      <c r="L22" s="1128">
        <f>'WS calcu'!G763</f>
        <v>0</v>
      </c>
      <c r="M22" s="1128">
        <f>'WS calcu'!H763</f>
        <v>0</v>
      </c>
      <c r="N22" s="1128">
        <f>'WS calcu'!I763</f>
        <v>0</v>
      </c>
      <c r="O22" s="1128">
        <f>'WS calcu'!J763</f>
        <v>0</v>
      </c>
      <c r="P22" s="1128">
        <f>'WS calcu'!K763</f>
        <v>0</v>
      </c>
      <c r="Q22" s="1128">
        <f>'WS calcu'!L763</f>
        <v>0</v>
      </c>
      <c r="R22" s="1128">
        <f>'WS calcu'!M763</f>
        <v>0</v>
      </c>
      <c r="S22" s="1128">
        <f>'WS calcu'!N763</f>
        <v>0</v>
      </c>
      <c r="T22" s="1128">
        <f>'WS calcu'!O763</f>
        <v>0</v>
      </c>
      <c r="U22" s="1731"/>
    </row>
    <row r="23" spans="1:21" s="1316" customFormat="1" x14ac:dyDescent="0.25">
      <c r="A23" s="1311"/>
      <c r="B23" s="1731"/>
      <c r="C23" s="1637"/>
      <c r="D23" s="1735" t="s">
        <v>3753</v>
      </c>
      <c r="E23" s="4286">
        <f>'Finance info'!E42</f>
        <v>0</v>
      </c>
      <c r="F23" s="4286">
        <f>'Finance info'!F42</f>
        <v>0</v>
      </c>
      <c r="G23" s="4286">
        <f>'Finance info'!G42</f>
        <v>0</v>
      </c>
      <c r="H23" s="4286">
        <f>'Finance info'!H42</f>
        <v>0</v>
      </c>
      <c r="I23" s="4286">
        <f>'Finance info'!I42</f>
        <v>0</v>
      </c>
      <c r="J23" s="4286">
        <f>'Finance info'!J42</f>
        <v>0</v>
      </c>
      <c r="K23" s="3848"/>
      <c r="L23" s="3848"/>
      <c r="M23" s="3848"/>
      <c r="N23" s="3848"/>
      <c r="O23" s="3848"/>
      <c r="P23" s="3848"/>
      <c r="Q23" s="3848"/>
      <c r="R23" s="3848"/>
      <c r="S23" s="3848"/>
      <c r="T23" s="3848"/>
      <c r="U23" s="1731"/>
    </row>
    <row r="24" spans="1:21" s="1316" customFormat="1" x14ac:dyDescent="0.25">
      <c r="A24" s="1311"/>
      <c r="B24" s="1731"/>
      <c r="C24" s="1632"/>
      <c r="D24" s="6012" t="s">
        <v>3759</v>
      </c>
      <c r="E24" s="5971"/>
      <c r="F24" s="5972"/>
      <c r="G24" s="5972"/>
      <c r="H24" s="5972"/>
      <c r="I24" s="5972"/>
      <c r="J24" s="5973"/>
      <c r="K24" s="986">
        <f>IFERROR('WS calcu'!F765-'WS calcu'!F763,0)</f>
        <v>0</v>
      </c>
      <c r="L24" s="986">
        <f>IFERROR('WS calcu'!G765-'WS calcu'!G763,0)</f>
        <v>0</v>
      </c>
      <c r="M24" s="986">
        <f>IFERROR('WS calcu'!H765-'WS calcu'!H763,0)</f>
        <v>0</v>
      </c>
      <c r="N24" s="986">
        <f>IFERROR('WS calcu'!I765-'WS calcu'!I763,0)</f>
        <v>0</v>
      </c>
      <c r="O24" s="986">
        <f>IFERROR('WS calcu'!J765-'WS calcu'!J763,0)</f>
        <v>0</v>
      </c>
      <c r="P24" s="986">
        <f>IFERROR('WS calcu'!K765-'WS calcu'!K763,0)</f>
        <v>0</v>
      </c>
      <c r="Q24" s="986">
        <f>IFERROR('WS calcu'!L765-'WS calcu'!L763,0)</f>
        <v>0</v>
      </c>
      <c r="R24" s="986">
        <f>IFERROR('WS calcu'!M765-'WS calcu'!M763,0)</f>
        <v>0</v>
      </c>
      <c r="S24" s="986">
        <f>IFERROR('WS calcu'!N765-'WS calcu'!N763,0)</f>
        <v>0</v>
      </c>
      <c r="T24" s="986">
        <f>IFERROR('WS calcu'!O765-'WS calcu'!O763,0)</f>
        <v>0</v>
      </c>
      <c r="U24" s="1731"/>
    </row>
    <row r="25" spans="1:21" s="1316" customFormat="1" x14ac:dyDescent="0.25">
      <c r="A25" s="1311"/>
      <c r="B25" s="1731"/>
      <c r="C25" s="1637"/>
      <c r="D25" s="1740" t="s">
        <v>3750</v>
      </c>
      <c r="E25" s="973">
        <f t="shared" ref="E25" si="1">SUM(E22:E24)</f>
        <v>0</v>
      </c>
      <c r="F25" s="973">
        <f t="shared" ref="F25" si="2">SUM(F22:F24)</f>
        <v>0</v>
      </c>
      <c r="G25" s="973">
        <f t="shared" ref="G25" si="3">SUM(G22:G24)</f>
        <v>0</v>
      </c>
      <c r="H25" s="973">
        <f t="shared" ref="H25" si="4">SUM(H22:H24)</f>
        <v>0</v>
      </c>
      <c r="I25" s="973">
        <f t="shared" ref="I25" si="5">SUM(I22:I24)</f>
        <v>0</v>
      </c>
      <c r="J25" s="973">
        <f t="shared" ref="J25" si="6">SUM(J22:J24)</f>
        <v>0</v>
      </c>
      <c r="K25" s="973">
        <f t="shared" ref="K25:T25" si="7">SUM(K22:K24)</f>
        <v>0</v>
      </c>
      <c r="L25" s="973">
        <f t="shared" si="7"/>
        <v>0</v>
      </c>
      <c r="M25" s="973">
        <f t="shared" si="7"/>
        <v>0</v>
      </c>
      <c r="N25" s="973">
        <f t="shared" si="7"/>
        <v>0</v>
      </c>
      <c r="O25" s="973">
        <f t="shared" si="7"/>
        <v>0</v>
      </c>
      <c r="P25" s="973">
        <f t="shared" si="7"/>
        <v>0</v>
      </c>
      <c r="Q25" s="973">
        <f t="shared" si="7"/>
        <v>0</v>
      </c>
      <c r="R25" s="973">
        <f t="shared" si="7"/>
        <v>0</v>
      </c>
      <c r="S25" s="973">
        <f t="shared" si="7"/>
        <v>0</v>
      </c>
      <c r="T25" s="973">
        <f t="shared" si="7"/>
        <v>0</v>
      </c>
      <c r="U25" s="1731"/>
    </row>
    <row r="26" spans="1:21" s="1316" customFormat="1" x14ac:dyDescent="0.25">
      <c r="A26" s="1311"/>
      <c r="B26" s="1731"/>
      <c r="C26" s="1731"/>
      <c r="D26" s="1731"/>
      <c r="E26" s="1731"/>
      <c r="F26" s="1731"/>
      <c r="G26" s="1731"/>
      <c r="H26" s="1731"/>
      <c r="I26" s="1731"/>
      <c r="J26" s="1731"/>
      <c r="K26" s="1731"/>
      <c r="L26" s="1731"/>
      <c r="M26" s="1731"/>
      <c r="N26" s="1731"/>
      <c r="O26" s="1731"/>
      <c r="P26" s="1731"/>
      <c r="Q26" s="1731"/>
      <c r="R26" s="1731"/>
      <c r="S26" s="1731"/>
      <c r="T26" s="1731"/>
      <c r="U26" s="1731"/>
    </row>
    <row r="27" spans="1:21" s="1316" customFormat="1" x14ac:dyDescent="0.25">
      <c r="A27" s="1311"/>
      <c r="B27" s="1731"/>
      <c r="C27" s="1637"/>
      <c r="D27" s="1735" t="s">
        <v>3761</v>
      </c>
      <c r="E27" s="4286">
        <f>'Finance info'!E45</f>
        <v>0</v>
      </c>
      <c r="F27" s="4286">
        <f>'Finance info'!F45</f>
        <v>0</v>
      </c>
      <c r="G27" s="4286">
        <f>'Finance info'!G45</f>
        <v>0</v>
      </c>
      <c r="H27" s="4286">
        <f>'Finance info'!H45</f>
        <v>0</v>
      </c>
      <c r="I27" s="4286">
        <f>'Finance info'!I45</f>
        <v>0</v>
      </c>
      <c r="J27" s="4286">
        <f>'Finance info'!J45</f>
        <v>0</v>
      </c>
      <c r="K27" s="3848"/>
      <c r="L27" s="3848"/>
      <c r="M27" s="3848"/>
      <c r="N27" s="3848"/>
      <c r="O27" s="3848"/>
      <c r="P27" s="3848"/>
      <c r="Q27" s="3848"/>
      <c r="R27" s="3848"/>
      <c r="S27" s="3848"/>
      <c r="T27" s="3848"/>
      <c r="U27" s="1731"/>
    </row>
    <row r="28" spans="1:21" s="1316" customFormat="1" x14ac:dyDescent="0.25">
      <c r="A28" s="1311"/>
      <c r="B28" s="1731"/>
      <c r="C28" s="1632"/>
      <c r="D28" s="6012" t="s">
        <v>3760</v>
      </c>
      <c r="E28" s="5979"/>
      <c r="F28" s="5980"/>
      <c r="G28" s="5980"/>
      <c r="H28" s="5980"/>
      <c r="I28" s="5980"/>
      <c r="J28" s="5981"/>
      <c r="K28" s="986">
        <f>'PIP finance'!G114</f>
        <v>0</v>
      </c>
      <c r="L28" s="986">
        <f>'PIP finance'!H114</f>
        <v>0</v>
      </c>
      <c r="M28" s="986">
        <f>'PIP finance'!I114</f>
        <v>0</v>
      </c>
      <c r="N28" s="986">
        <f>'PIP finance'!J114</f>
        <v>0</v>
      </c>
      <c r="O28" s="986">
        <f>'PIP finance'!K114</f>
        <v>0</v>
      </c>
      <c r="P28" s="986">
        <f>'PIP finance'!L114</f>
        <v>0</v>
      </c>
      <c r="Q28" s="986">
        <f>'PIP finance'!M114</f>
        <v>0</v>
      </c>
      <c r="R28" s="986">
        <f>'PIP finance'!N114</f>
        <v>0</v>
      </c>
      <c r="S28" s="986">
        <f>'PIP finance'!O114</f>
        <v>0</v>
      </c>
      <c r="T28" s="986">
        <f>'PIP finance'!P114</f>
        <v>0</v>
      </c>
      <c r="U28" s="1731"/>
    </row>
    <row r="29" spans="1:21" s="1316" customFormat="1" x14ac:dyDescent="0.25">
      <c r="A29" s="1311"/>
      <c r="B29" s="1731"/>
      <c r="C29" s="1637"/>
      <c r="D29" s="1740" t="s">
        <v>3765</v>
      </c>
      <c r="E29" s="973">
        <f t="shared" ref="E29:J29" si="8">SUM(E27:E28)</f>
        <v>0</v>
      </c>
      <c r="F29" s="973">
        <f t="shared" si="8"/>
        <v>0</v>
      </c>
      <c r="G29" s="973">
        <f t="shared" si="8"/>
        <v>0</v>
      </c>
      <c r="H29" s="973">
        <f t="shared" si="8"/>
        <v>0</v>
      </c>
      <c r="I29" s="973">
        <f t="shared" si="8"/>
        <v>0</v>
      </c>
      <c r="J29" s="973">
        <f t="shared" si="8"/>
        <v>0</v>
      </c>
      <c r="K29" s="973">
        <f>SUM(K27:K28)</f>
        <v>0</v>
      </c>
      <c r="L29" s="973">
        <f t="shared" ref="L29:T29" si="9">SUM(L27:L28)</f>
        <v>0</v>
      </c>
      <c r="M29" s="973">
        <f t="shared" si="9"/>
        <v>0</v>
      </c>
      <c r="N29" s="973">
        <f t="shared" si="9"/>
        <v>0</v>
      </c>
      <c r="O29" s="973">
        <f t="shared" si="9"/>
        <v>0</v>
      </c>
      <c r="P29" s="973">
        <f t="shared" si="9"/>
        <v>0</v>
      </c>
      <c r="Q29" s="973">
        <f t="shared" si="9"/>
        <v>0</v>
      </c>
      <c r="R29" s="973">
        <f t="shared" si="9"/>
        <v>0</v>
      </c>
      <c r="S29" s="973">
        <f t="shared" si="9"/>
        <v>0</v>
      </c>
      <c r="T29" s="973">
        <f t="shared" si="9"/>
        <v>0</v>
      </c>
      <c r="U29" s="1731"/>
    </row>
    <row r="30" spans="1:21" s="1316" customFormat="1" x14ac:dyDescent="0.25">
      <c r="A30" s="1311"/>
      <c r="B30" s="1726"/>
      <c r="C30" s="1726"/>
      <c r="D30" s="1727"/>
      <c r="E30" s="1726"/>
      <c r="F30" s="1726"/>
      <c r="G30" s="1601"/>
      <c r="H30" s="1601"/>
      <c r="I30" s="1601"/>
      <c r="J30" s="1601"/>
      <c r="K30" s="1601"/>
      <c r="L30" s="1601"/>
      <c r="M30" s="1601"/>
      <c r="N30" s="1601"/>
      <c r="O30" s="1601"/>
      <c r="P30" s="1601"/>
      <c r="Q30" s="1601"/>
      <c r="R30" s="1601"/>
      <c r="S30" s="1601"/>
      <c r="T30" s="1601"/>
      <c r="U30" s="1601"/>
    </row>
    <row r="31" spans="1:21" s="1316" customFormat="1" x14ac:dyDescent="0.25">
      <c r="A31" s="1311"/>
      <c r="B31" s="1726"/>
      <c r="C31" s="1637"/>
      <c r="D31" s="1735" t="s">
        <v>3762</v>
      </c>
      <c r="E31" s="4286">
        <f>'Finance info'!E47</f>
        <v>0</v>
      </c>
      <c r="F31" s="4286">
        <f>'Finance info'!F47</f>
        <v>0</v>
      </c>
      <c r="G31" s="4286">
        <f>'Finance info'!G47</f>
        <v>0</v>
      </c>
      <c r="H31" s="4286">
        <f>'Finance info'!H47</f>
        <v>0</v>
      </c>
      <c r="I31" s="4286">
        <f>'Finance info'!I47</f>
        <v>0</v>
      </c>
      <c r="J31" s="4286">
        <f>'Finance info'!J47</f>
        <v>0</v>
      </c>
      <c r="K31" s="3848"/>
      <c r="L31" s="3848"/>
      <c r="M31" s="3848"/>
      <c r="N31" s="3848"/>
      <c r="O31" s="3848"/>
      <c r="P31" s="3848"/>
      <c r="Q31" s="3848"/>
      <c r="R31" s="3848"/>
      <c r="S31" s="3848"/>
      <c r="T31" s="3848"/>
      <c r="U31" s="1731"/>
    </row>
    <row r="32" spans="1:21" s="1316" customFormat="1" x14ac:dyDescent="0.25">
      <c r="A32" s="1311"/>
      <c r="B32" s="1726"/>
      <c r="C32" s="1632"/>
      <c r="D32" s="6012" t="s">
        <v>3764</v>
      </c>
      <c r="E32" s="5971"/>
      <c r="F32" s="5972"/>
      <c r="G32" s="5972"/>
      <c r="H32" s="5972"/>
      <c r="I32" s="5972"/>
      <c r="J32" s="5973"/>
      <c r="K32" s="986">
        <f ca="1">SUM('PIP finance'!D609:D613)</f>
        <v>0</v>
      </c>
      <c r="L32" s="986">
        <f ca="1">SUM('PIP finance'!E609:E613)</f>
        <v>0</v>
      </c>
      <c r="M32" s="986">
        <f ca="1">SUM('PIP finance'!F609:F613)</f>
        <v>0</v>
      </c>
      <c r="N32" s="986">
        <f ca="1">SUM('PIP finance'!G609:G613)</f>
        <v>0</v>
      </c>
      <c r="O32" s="986">
        <f ca="1">SUM('PIP finance'!H609:H613)</f>
        <v>0</v>
      </c>
      <c r="P32" s="986">
        <f ca="1">SUM('PIP finance'!I609:I613)</f>
        <v>0</v>
      </c>
      <c r="Q32" s="986">
        <f ca="1">SUM('PIP finance'!J609:J613)</f>
        <v>0</v>
      </c>
      <c r="R32" s="986">
        <f ca="1">SUM('PIP finance'!K609:K613)</f>
        <v>0</v>
      </c>
      <c r="S32" s="986">
        <f ca="1">SUM('PIP finance'!L609:L613)</f>
        <v>0</v>
      </c>
      <c r="T32" s="986">
        <f ca="1">SUM('PIP finance'!M609:M613)</f>
        <v>0</v>
      </c>
      <c r="U32" s="1731"/>
    </row>
    <row r="33" spans="1:21" s="1316" customFormat="1" x14ac:dyDescent="0.25">
      <c r="A33" s="1311"/>
      <c r="B33" s="1726"/>
      <c r="C33" s="1637"/>
      <c r="D33" s="1740" t="s">
        <v>3767</v>
      </c>
      <c r="E33" s="973">
        <f t="shared" ref="E33" si="10">SUM(E31:E32)</f>
        <v>0</v>
      </c>
      <c r="F33" s="973">
        <f t="shared" ref="F33" si="11">SUM(F31:F32)</f>
        <v>0</v>
      </c>
      <c r="G33" s="973">
        <f t="shared" ref="G33" si="12">SUM(G31:G32)</f>
        <v>0</v>
      </c>
      <c r="H33" s="973">
        <f t="shared" ref="H33" si="13">SUM(H31:H32)</f>
        <v>0</v>
      </c>
      <c r="I33" s="973">
        <f t="shared" ref="I33" si="14">SUM(I31:I32)</f>
        <v>0</v>
      </c>
      <c r="J33" s="973">
        <f t="shared" ref="J33" si="15">SUM(J31:J32)</f>
        <v>0</v>
      </c>
      <c r="K33" s="973">
        <f ca="1">SUM(K31:K32)</f>
        <v>0</v>
      </c>
      <c r="L33" s="973">
        <f t="shared" ref="L33:T33" ca="1" si="16">SUM(L31:L32)</f>
        <v>0</v>
      </c>
      <c r="M33" s="973">
        <f t="shared" ca="1" si="16"/>
        <v>0</v>
      </c>
      <c r="N33" s="973">
        <f t="shared" ca="1" si="16"/>
        <v>0</v>
      </c>
      <c r="O33" s="973">
        <f t="shared" ca="1" si="16"/>
        <v>0</v>
      </c>
      <c r="P33" s="973">
        <f t="shared" ca="1" si="16"/>
        <v>0</v>
      </c>
      <c r="Q33" s="973">
        <f t="shared" ca="1" si="16"/>
        <v>0</v>
      </c>
      <c r="R33" s="973">
        <f t="shared" ca="1" si="16"/>
        <v>0</v>
      </c>
      <c r="S33" s="973">
        <f t="shared" ca="1" si="16"/>
        <v>0</v>
      </c>
      <c r="T33" s="973">
        <f t="shared" ca="1" si="16"/>
        <v>0</v>
      </c>
      <c r="U33" s="1731"/>
    </row>
    <row r="34" spans="1:21" s="1316" customFormat="1" x14ac:dyDescent="0.25">
      <c r="A34" s="1311"/>
      <c r="B34" s="1731"/>
      <c r="C34" s="1731"/>
      <c r="D34" s="1731"/>
      <c r="E34" s="1731"/>
      <c r="F34" s="1731"/>
      <c r="G34" s="1731"/>
      <c r="H34" s="1731"/>
      <c r="I34" s="1731"/>
      <c r="J34" s="1731"/>
      <c r="K34" s="1731"/>
      <c r="L34" s="1731"/>
      <c r="M34" s="1731"/>
      <c r="N34" s="1731"/>
      <c r="O34" s="1731"/>
      <c r="P34" s="1731"/>
      <c r="Q34" s="1731"/>
      <c r="R34" s="1731"/>
      <c r="S34" s="1731"/>
      <c r="T34" s="1731"/>
      <c r="U34" s="1731"/>
    </row>
    <row r="35" spans="1:21" s="1316" customFormat="1" x14ac:dyDescent="0.25">
      <c r="A35" s="1311"/>
      <c r="B35" s="1726"/>
      <c r="C35" s="1637"/>
      <c r="D35" s="1735" t="s">
        <v>3763</v>
      </c>
      <c r="E35" s="4286">
        <f>'Finance info'!E48</f>
        <v>0</v>
      </c>
      <c r="F35" s="4286">
        <f>'Finance info'!F48</f>
        <v>0</v>
      </c>
      <c r="G35" s="4286">
        <f>'Finance info'!G48</f>
        <v>0</v>
      </c>
      <c r="H35" s="4286">
        <f>'Finance info'!H48</f>
        <v>0</v>
      </c>
      <c r="I35" s="4286">
        <f>'Finance info'!I48</f>
        <v>0</v>
      </c>
      <c r="J35" s="4286">
        <f>'Finance info'!J48</f>
        <v>0</v>
      </c>
      <c r="K35" s="3848"/>
      <c r="L35" s="3848"/>
      <c r="M35" s="3848"/>
      <c r="N35" s="3848"/>
      <c r="O35" s="3848"/>
      <c r="P35" s="3848"/>
      <c r="Q35" s="3848"/>
      <c r="R35" s="3848"/>
      <c r="S35" s="3848"/>
      <c r="T35" s="3848"/>
      <c r="U35" s="1731"/>
    </row>
    <row r="36" spans="1:21" s="1316" customFormat="1" x14ac:dyDescent="0.25">
      <c r="A36" s="1311"/>
      <c r="B36" s="1726"/>
      <c r="C36" s="1632"/>
      <c r="D36" s="6012" t="s">
        <v>3093</v>
      </c>
      <c r="E36" s="5971"/>
      <c r="F36" s="5972"/>
      <c r="G36" s="5972"/>
      <c r="H36" s="5972"/>
      <c r="I36" s="5972"/>
      <c r="J36" s="5973"/>
      <c r="K36" s="986">
        <f>'PIP finance'!G59</f>
        <v>0</v>
      </c>
      <c r="L36" s="986">
        <f>'PIP finance'!H59</f>
        <v>0</v>
      </c>
      <c r="M36" s="986">
        <f>'PIP finance'!I59</f>
        <v>0</v>
      </c>
      <c r="N36" s="986">
        <f>'PIP finance'!J59</f>
        <v>0</v>
      </c>
      <c r="O36" s="986">
        <f>'PIP finance'!K59</f>
        <v>0</v>
      </c>
      <c r="P36" s="986">
        <f>'PIP finance'!L59</f>
        <v>0</v>
      </c>
      <c r="Q36" s="986">
        <f>'PIP finance'!M59</f>
        <v>0</v>
      </c>
      <c r="R36" s="986">
        <f>'PIP finance'!N59</f>
        <v>0</v>
      </c>
      <c r="S36" s="986">
        <f>'PIP finance'!O59</f>
        <v>0</v>
      </c>
      <c r="T36" s="986">
        <f>'PIP finance'!P59</f>
        <v>0</v>
      </c>
      <c r="U36" s="1731"/>
    </row>
    <row r="37" spans="1:21" s="1316" customFormat="1" x14ac:dyDescent="0.25">
      <c r="A37" s="1311"/>
      <c r="B37" s="1726"/>
      <c r="C37" s="1637"/>
      <c r="D37" s="1746" t="s">
        <v>3766</v>
      </c>
      <c r="E37" s="973">
        <f t="shared" ref="E37" si="17">SUM(E35:E36)</f>
        <v>0</v>
      </c>
      <c r="F37" s="973">
        <f t="shared" ref="F37" si="18">SUM(F35:F36)</f>
        <v>0</v>
      </c>
      <c r="G37" s="973">
        <f t="shared" ref="G37" si="19">SUM(G35:G36)</f>
        <v>0</v>
      </c>
      <c r="H37" s="973">
        <f t="shared" ref="H37" si="20">SUM(H35:H36)</f>
        <v>0</v>
      </c>
      <c r="I37" s="973">
        <f t="shared" ref="I37" si="21">SUM(I35:I36)</f>
        <v>0</v>
      </c>
      <c r="J37" s="973">
        <f t="shared" ref="J37" si="22">SUM(J35:J36)</f>
        <v>0</v>
      </c>
      <c r="K37" s="973">
        <f>SUM(K35:K36)</f>
        <v>0</v>
      </c>
      <c r="L37" s="973">
        <f t="shared" ref="L37:T37" si="23">SUM(L35:L36)</f>
        <v>0</v>
      </c>
      <c r="M37" s="973">
        <f t="shared" si="23"/>
        <v>0</v>
      </c>
      <c r="N37" s="973">
        <f t="shared" si="23"/>
        <v>0</v>
      </c>
      <c r="O37" s="973">
        <f t="shared" si="23"/>
        <v>0</v>
      </c>
      <c r="P37" s="973">
        <f t="shared" si="23"/>
        <v>0</v>
      </c>
      <c r="Q37" s="973">
        <f t="shared" si="23"/>
        <v>0</v>
      </c>
      <c r="R37" s="973">
        <f t="shared" si="23"/>
        <v>0</v>
      </c>
      <c r="S37" s="973">
        <f t="shared" si="23"/>
        <v>0</v>
      </c>
      <c r="T37" s="973">
        <f t="shared" si="23"/>
        <v>0</v>
      </c>
      <c r="U37" s="1731"/>
    </row>
    <row r="38" spans="1:21" s="1316" customFormat="1" x14ac:dyDescent="0.25">
      <c r="A38" s="1311"/>
      <c r="B38" s="1726"/>
      <c r="C38" s="1726"/>
      <c r="D38" s="1727"/>
      <c r="E38" s="1726"/>
      <c r="F38" s="1726"/>
      <c r="G38" s="1601"/>
      <c r="H38" s="1601"/>
      <c r="I38" s="1601"/>
      <c r="J38" s="1601"/>
      <c r="K38" s="1731"/>
      <c r="L38" s="1731"/>
      <c r="M38" s="1731"/>
      <c r="N38" s="1731"/>
      <c r="O38" s="1731"/>
      <c r="P38" s="1731"/>
      <c r="Q38" s="1731"/>
      <c r="R38" s="1731"/>
      <c r="S38" s="1731"/>
      <c r="T38" s="1731"/>
      <c r="U38" s="1731"/>
    </row>
    <row r="39" spans="1:21" s="1316" customFormat="1" ht="15.75" x14ac:dyDescent="0.25">
      <c r="A39" s="1311"/>
      <c r="B39" s="1609" t="s">
        <v>8</v>
      </c>
      <c r="C39" s="1610" t="s">
        <v>3768</v>
      </c>
      <c r="D39" s="1623"/>
      <c r="E39" s="1611"/>
      <c r="F39" s="1611"/>
      <c r="G39" s="1728"/>
      <c r="H39" s="1611"/>
      <c r="I39" s="1611"/>
      <c r="J39" s="1611"/>
      <c r="K39" s="1611"/>
      <c r="L39" s="1611"/>
      <c r="M39" s="1611"/>
      <c r="N39" s="1611"/>
      <c r="O39" s="1611"/>
      <c r="P39" s="1611"/>
      <c r="Q39" s="1611"/>
      <c r="R39" s="1611"/>
      <c r="S39" s="1611"/>
      <c r="T39" s="1611"/>
      <c r="U39" s="1611"/>
    </row>
    <row r="40" spans="1:21" s="1316" customFormat="1" x14ac:dyDescent="0.25">
      <c r="A40" s="1311"/>
      <c r="B40" s="1601"/>
      <c r="C40" s="5966" t="s">
        <v>1010</v>
      </c>
      <c r="D40" s="1614" t="s">
        <v>4</v>
      </c>
      <c r="E40" s="971" t="str">
        <f>E21</f>
        <v xml:space="preserve">2009 </v>
      </c>
      <c r="F40" s="971" t="str">
        <f t="shared" ref="F40:T40" si="24">F21</f>
        <v>2010  (A)</v>
      </c>
      <c r="G40" s="971" t="str">
        <f t="shared" si="24"/>
        <v>2011  (A)</v>
      </c>
      <c r="H40" s="971" t="str">
        <f t="shared" si="24"/>
        <v>2012  (A)</v>
      </c>
      <c r="I40" s="971" t="str">
        <f t="shared" si="24"/>
        <v>2013  (RE)</v>
      </c>
      <c r="J40" s="971" t="str">
        <f t="shared" si="24"/>
        <v>2014 (BE)</v>
      </c>
      <c r="K40" s="5966">
        <f t="shared" si="24"/>
        <v>2015</v>
      </c>
      <c r="L40" s="5966">
        <f t="shared" si="24"/>
        <v>2016</v>
      </c>
      <c r="M40" s="5966">
        <f t="shared" si="24"/>
        <v>2017</v>
      </c>
      <c r="N40" s="5966">
        <f t="shared" si="24"/>
        <v>2018</v>
      </c>
      <c r="O40" s="5966">
        <f t="shared" si="24"/>
        <v>2019</v>
      </c>
      <c r="P40" s="5966">
        <f t="shared" si="24"/>
        <v>2020</v>
      </c>
      <c r="Q40" s="5966">
        <f t="shared" si="24"/>
        <v>2021</v>
      </c>
      <c r="R40" s="5966">
        <f t="shared" si="24"/>
        <v>2022</v>
      </c>
      <c r="S40" s="5966">
        <f t="shared" si="24"/>
        <v>2023</v>
      </c>
      <c r="T40" s="5966">
        <f t="shared" si="24"/>
        <v>2024</v>
      </c>
      <c r="U40" s="1731"/>
    </row>
    <row r="41" spans="1:21" s="1316" customFormat="1" x14ac:dyDescent="0.25">
      <c r="A41" s="1311"/>
      <c r="B41" s="1731"/>
      <c r="C41" s="1637"/>
      <c r="D41" s="1735" t="s">
        <v>3861</v>
      </c>
      <c r="E41" s="4286">
        <f>'Finance info'!E52</f>
        <v>0</v>
      </c>
      <c r="F41" s="4286">
        <f>'Finance info'!F52</f>
        <v>0</v>
      </c>
      <c r="G41" s="4286">
        <f>'Finance info'!G52</f>
        <v>0</v>
      </c>
      <c r="H41" s="4286">
        <f>'Finance info'!H52</f>
        <v>0</v>
      </c>
      <c r="I41" s="4286">
        <f>'Finance info'!I52</f>
        <v>0</v>
      </c>
      <c r="J41" s="4286">
        <f>'Finance info'!J52</f>
        <v>0</v>
      </c>
      <c r="K41" s="1128">
        <f>'WW calcu'!F972</f>
        <v>0</v>
      </c>
      <c r="L41" s="1128">
        <f>'WW calcu'!G972</f>
        <v>0</v>
      </c>
      <c r="M41" s="1128">
        <f>'WW calcu'!H972</f>
        <v>0</v>
      </c>
      <c r="N41" s="1128">
        <f>'WW calcu'!I972</f>
        <v>0</v>
      </c>
      <c r="O41" s="1128">
        <f>'WW calcu'!J972</f>
        <v>0</v>
      </c>
      <c r="P41" s="1128">
        <f>'WW calcu'!K972</f>
        <v>0</v>
      </c>
      <c r="Q41" s="1128">
        <f>'WW calcu'!L972</f>
        <v>0</v>
      </c>
      <c r="R41" s="1128">
        <f>'WW calcu'!M972</f>
        <v>0</v>
      </c>
      <c r="S41" s="1128">
        <f>'WW calcu'!N972</f>
        <v>0</v>
      </c>
      <c r="T41" s="1128">
        <f>'WW calcu'!O972</f>
        <v>0</v>
      </c>
      <c r="U41" s="1731"/>
    </row>
    <row r="42" spans="1:21" s="1316" customFormat="1" x14ac:dyDescent="0.25">
      <c r="A42" s="1311"/>
      <c r="B42" s="1731"/>
      <c r="C42" s="1637"/>
      <c r="D42" s="1735" t="s">
        <v>3753</v>
      </c>
      <c r="E42" s="4286">
        <f>'Finance info'!E53</f>
        <v>0</v>
      </c>
      <c r="F42" s="4286">
        <f>'Finance info'!F53</f>
        <v>0</v>
      </c>
      <c r="G42" s="4286">
        <f>'Finance info'!G53</f>
        <v>0</v>
      </c>
      <c r="H42" s="4286">
        <f>'Finance info'!H53</f>
        <v>0</v>
      </c>
      <c r="I42" s="4286">
        <f>'Finance info'!I53</f>
        <v>0</v>
      </c>
      <c r="J42" s="4286">
        <f>'Finance info'!J53</f>
        <v>0</v>
      </c>
      <c r="K42" s="3848"/>
      <c r="L42" s="3848"/>
      <c r="M42" s="3848"/>
      <c r="N42" s="3848"/>
      <c r="O42" s="3848"/>
      <c r="P42" s="3848"/>
      <c r="Q42" s="3848"/>
      <c r="R42" s="3848"/>
      <c r="S42" s="3848"/>
      <c r="T42" s="3848"/>
      <c r="U42" s="1731"/>
    </row>
    <row r="43" spans="1:21" s="1316" customFormat="1" x14ac:dyDescent="0.25">
      <c r="A43" s="1311"/>
      <c r="B43" s="1731"/>
      <c r="C43" s="1632"/>
      <c r="D43" s="6012" t="s">
        <v>3759</v>
      </c>
      <c r="E43" s="5971"/>
      <c r="F43" s="5972"/>
      <c r="G43" s="5972"/>
      <c r="H43" s="5972"/>
      <c r="I43" s="5972"/>
      <c r="J43" s="5973"/>
      <c r="K43" s="986">
        <f>IFERROR('WW calcu'!F974-'WW calcu'!F972,0)</f>
        <v>1.4133333333333336</v>
      </c>
      <c r="L43" s="986">
        <f>IFERROR('WW calcu'!G974-'WW calcu'!G972,0)</f>
        <v>1.4345333333333334</v>
      </c>
      <c r="M43" s="986">
        <f>IFERROR('WW calcu'!H974-'WW calcu'!H972,0)</f>
        <v>1.4563693333333336</v>
      </c>
      <c r="N43" s="986">
        <f>IFERROR('WW calcu'!I974-'WW calcu'!I972,0)</f>
        <v>18.845451697666668</v>
      </c>
      <c r="O43" s="986">
        <f>IFERROR('WW calcu'!J974-'WW calcu'!J972,0)</f>
        <v>19.114907248596666</v>
      </c>
      <c r="P43" s="986">
        <f>IFERROR('WW calcu'!K974-'WW calcu'!K972,0)</f>
        <v>0</v>
      </c>
      <c r="Q43" s="986">
        <f>IFERROR('WW calcu'!L974-'WW calcu'!L972,0)</f>
        <v>0</v>
      </c>
      <c r="R43" s="986">
        <f>IFERROR('WW calcu'!M974-'WW calcu'!M972,0)</f>
        <v>0</v>
      </c>
      <c r="S43" s="986">
        <f>IFERROR('WW calcu'!N974-'WW calcu'!N972,0)</f>
        <v>0</v>
      </c>
      <c r="T43" s="986">
        <f>IFERROR('WW calcu'!O974-'WW calcu'!O972,0)</f>
        <v>0</v>
      </c>
      <c r="U43" s="1731"/>
    </row>
    <row r="44" spans="1:21" s="1316" customFormat="1" x14ac:dyDescent="0.25">
      <c r="A44" s="1311"/>
      <c r="B44" s="1731"/>
      <c r="C44" s="1637"/>
      <c r="D44" s="1740" t="s">
        <v>3750</v>
      </c>
      <c r="E44" s="973">
        <f t="shared" ref="E44" si="25">SUM(E41:E43)</f>
        <v>0</v>
      </c>
      <c r="F44" s="973">
        <f t="shared" ref="F44" si="26">SUM(F41:F43)</f>
        <v>0</v>
      </c>
      <c r="G44" s="973">
        <f t="shared" ref="G44" si="27">SUM(G41:G43)</f>
        <v>0</v>
      </c>
      <c r="H44" s="973">
        <f t="shared" ref="H44" si="28">SUM(H41:H43)</f>
        <v>0</v>
      </c>
      <c r="I44" s="973">
        <f t="shared" ref="I44" si="29">SUM(I41:I43)</f>
        <v>0</v>
      </c>
      <c r="J44" s="973">
        <f t="shared" ref="J44" si="30">SUM(J41:J43)</f>
        <v>0</v>
      </c>
      <c r="K44" s="973">
        <f t="shared" ref="K44:T44" si="31">SUM(K41:K43)</f>
        <v>1.4133333333333336</v>
      </c>
      <c r="L44" s="973">
        <f t="shared" si="31"/>
        <v>1.4345333333333334</v>
      </c>
      <c r="M44" s="973">
        <f t="shared" si="31"/>
        <v>1.4563693333333336</v>
      </c>
      <c r="N44" s="973">
        <f t="shared" si="31"/>
        <v>18.845451697666668</v>
      </c>
      <c r="O44" s="973">
        <f t="shared" si="31"/>
        <v>19.114907248596666</v>
      </c>
      <c r="P44" s="973">
        <f t="shared" si="31"/>
        <v>0</v>
      </c>
      <c r="Q44" s="973">
        <f t="shared" si="31"/>
        <v>0</v>
      </c>
      <c r="R44" s="973">
        <f t="shared" si="31"/>
        <v>0</v>
      </c>
      <c r="S44" s="973">
        <f t="shared" si="31"/>
        <v>0</v>
      </c>
      <c r="T44" s="973">
        <f t="shared" si="31"/>
        <v>0</v>
      </c>
      <c r="U44" s="1731"/>
    </row>
    <row r="45" spans="1:21" s="1316" customFormat="1" x14ac:dyDescent="0.25">
      <c r="A45" s="1311"/>
      <c r="B45" s="1731"/>
      <c r="C45" s="1731"/>
      <c r="D45" s="1731"/>
      <c r="E45" s="1731"/>
      <c r="F45" s="1731"/>
      <c r="G45" s="1731"/>
      <c r="H45" s="1731"/>
      <c r="I45" s="1731"/>
      <c r="J45" s="1731"/>
      <c r="K45" s="1731"/>
      <c r="L45" s="1731"/>
      <c r="M45" s="1731"/>
      <c r="N45" s="1731"/>
      <c r="O45" s="1731"/>
      <c r="P45" s="1731"/>
      <c r="Q45" s="1731"/>
      <c r="R45" s="1731"/>
      <c r="S45" s="1731"/>
      <c r="T45" s="1731"/>
      <c r="U45" s="1731"/>
    </row>
    <row r="46" spans="1:21" s="1316" customFormat="1" x14ac:dyDescent="0.25">
      <c r="A46" s="1311"/>
      <c r="B46" s="1726"/>
      <c r="C46" s="1637"/>
      <c r="D46" s="1735" t="s">
        <v>3761</v>
      </c>
      <c r="E46" s="4286">
        <f>'Finance info'!E56</f>
        <v>55.488790000000002</v>
      </c>
      <c r="F46" s="4286">
        <f>'Finance info'!F56</f>
        <v>68.531319999999994</v>
      </c>
      <c r="G46" s="4286">
        <f>'Finance info'!G56</f>
        <v>84.86090999999999</v>
      </c>
      <c r="H46" s="4286">
        <f>'Finance info'!H56</f>
        <v>111.61520000000002</v>
      </c>
      <c r="I46" s="4286">
        <f>'Finance info'!I56</f>
        <v>121.2</v>
      </c>
      <c r="J46" s="4286">
        <f>'Finance info'!J56</f>
        <v>108</v>
      </c>
      <c r="K46" s="3848">
        <v>129.20854590000002</v>
      </c>
      <c r="L46" s="3848">
        <v>135.66897319500004</v>
      </c>
      <c r="M46" s="3848">
        <v>142.45242185475004</v>
      </c>
      <c r="N46" s="3848">
        <v>149.57504294748756</v>
      </c>
      <c r="O46" s="3848">
        <v>157.05379509486195</v>
      </c>
      <c r="P46" s="3848">
        <v>164.90648484960505</v>
      </c>
      <c r="Q46" s="3848">
        <v>173.1518090920853</v>
      </c>
      <c r="R46" s="3848">
        <v>181.80939954668958</v>
      </c>
      <c r="S46" s="3848">
        <v>190.89986952402407</v>
      </c>
      <c r="T46" s="3848">
        <v>200.44486300022527</v>
      </c>
      <c r="U46" s="1731"/>
    </row>
    <row r="47" spans="1:21" s="1316" customFormat="1" x14ac:dyDescent="0.25">
      <c r="A47" s="1311"/>
      <c r="B47" s="1726"/>
      <c r="C47" s="1632"/>
      <c r="D47" s="6012" t="s">
        <v>3760</v>
      </c>
      <c r="E47" s="5979"/>
      <c r="F47" s="5980"/>
      <c r="G47" s="5980"/>
      <c r="H47" s="5980"/>
      <c r="I47" s="5980"/>
      <c r="J47" s="5981"/>
      <c r="K47" s="987">
        <f>'PIP finance'!G268</f>
        <v>2.5116666666666667</v>
      </c>
      <c r="L47" s="987">
        <f>'PIP finance'!H268</f>
        <v>16.898</v>
      </c>
      <c r="M47" s="987">
        <f>'PIP finance'!I268</f>
        <v>24.158531249999999</v>
      </c>
      <c r="N47" s="987">
        <f>'PIP finance'!J268</f>
        <v>25.366457812500002</v>
      </c>
      <c r="O47" s="987">
        <f>'PIP finance'!K268</f>
        <v>26.634780703125006</v>
      </c>
      <c r="P47" s="987">
        <f>'PIP finance'!L268</f>
        <v>27.96651973828126</v>
      </c>
      <c r="Q47" s="987">
        <f>'PIP finance'!M268</f>
        <v>29.364845725195323</v>
      </c>
      <c r="R47" s="987">
        <f>'PIP finance'!N268</f>
        <v>30.833088011455089</v>
      </c>
      <c r="S47" s="987">
        <f>'PIP finance'!O268</f>
        <v>32.374742412027842</v>
      </c>
      <c r="T47" s="987">
        <f>'PIP finance'!P268</f>
        <v>33.993479532629237</v>
      </c>
      <c r="U47" s="1731"/>
    </row>
    <row r="48" spans="1:21" s="1316" customFormat="1" x14ac:dyDescent="0.25">
      <c r="A48" s="1311"/>
      <c r="B48" s="1726"/>
      <c r="C48" s="1637"/>
      <c r="D48" s="1740" t="s">
        <v>3765</v>
      </c>
      <c r="E48" s="973">
        <f t="shared" ref="E48" si="32">SUM(E46:E47)</f>
        <v>55.488790000000002</v>
      </c>
      <c r="F48" s="973">
        <f t="shared" ref="F48" si="33">SUM(F46:F47)</f>
        <v>68.531319999999994</v>
      </c>
      <c r="G48" s="973">
        <f t="shared" ref="G48" si="34">SUM(G46:G47)</f>
        <v>84.86090999999999</v>
      </c>
      <c r="H48" s="973">
        <f t="shared" ref="H48" si="35">SUM(H46:H47)</f>
        <v>111.61520000000002</v>
      </c>
      <c r="I48" s="973">
        <f t="shared" ref="I48" si="36">SUM(I46:I47)</f>
        <v>121.2</v>
      </c>
      <c r="J48" s="973">
        <f t="shared" ref="J48" si="37">SUM(J46:J47)</f>
        <v>108</v>
      </c>
      <c r="K48" s="973">
        <f>SUM(K46:K47)</f>
        <v>131.72021256666667</v>
      </c>
      <c r="L48" s="973">
        <f t="shared" ref="L48:T48" si="38">SUM(L46:L47)</f>
        <v>152.56697319500003</v>
      </c>
      <c r="M48" s="973">
        <f t="shared" si="38"/>
        <v>166.61095310475005</v>
      </c>
      <c r="N48" s="973">
        <f t="shared" si="38"/>
        <v>174.94150075998755</v>
      </c>
      <c r="O48" s="973">
        <f t="shared" si="38"/>
        <v>183.68857579798697</v>
      </c>
      <c r="P48" s="973">
        <f t="shared" si="38"/>
        <v>192.8730045878863</v>
      </c>
      <c r="Q48" s="973">
        <f t="shared" si="38"/>
        <v>202.51665481728062</v>
      </c>
      <c r="R48" s="973">
        <f t="shared" si="38"/>
        <v>212.64248755814467</v>
      </c>
      <c r="S48" s="973">
        <f t="shared" si="38"/>
        <v>223.27461193605191</v>
      </c>
      <c r="T48" s="973">
        <f t="shared" si="38"/>
        <v>234.43834253285451</v>
      </c>
      <c r="U48" s="1731"/>
    </row>
    <row r="49" spans="1:21" s="1316" customFormat="1" x14ac:dyDescent="0.25">
      <c r="A49" s="1311"/>
      <c r="B49" s="1726"/>
      <c r="C49" s="1726"/>
      <c r="D49" s="1727"/>
      <c r="E49" s="1726"/>
      <c r="F49" s="1726"/>
      <c r="G49" s="1601"/>
      <c r="H49" s="1601"/>
      <c r="I49" s="1601"/>
      <c r="J49" s="1601"/>
      <c r="K49" s="1601"/>
      <c r="L49" s="1601"/>
      <c r="M49" s="1601"/>
      <c r="N49" s="1601"/>
      <c r="O49" s="1601"/>
      <c r="P49" s="1601"/>
      <c r="Q49" s="1601"/>
      <c r="R49" s="1601"/>
      <c r="S49" s="1601"/>
      <c r="T49" s="1601"/>
      <c r="U49" s="1731"/>
    </row>
    <row r="50" spans="1:21" s="1316" customFormat="1" x14ac:dyDescent="0.25">
      <c r="A50" s="1311"/>
      <c r="B50" s="1726"/>
      <c r="C50" s="1637"/>
      <c r="D50" s="1735" t="s">
        <v>3762</v>
      </c>
      <c r="E50" s="4286">
        <f>'Finance info'!E58</f>
        <v>0</v>
      </c>
      <c r="F50" s="4286">
        <f>'Finance info'!F58</f>
        <v>0</v>
      </c>
      <c r="G50" s="4286">
        <f>'Finance info'!G58</f>
        <v>0</v>
      </c>
      <c r="H50" s="4286">
        <f>'Finance info'!H58</f>
        <v>0</v>
      </c>
      <c r="I50" s="4286">
        <f>'Finance info'!I58</f>
        <v>0</v>
      </c>
      <c r="J50" s="4286">
        <f>'Finance info'!J58</f>
        <v>0</v>
      </c>
      <c r="K50" s="3848"/>
      <c r="L50" s="3848"/>
      <c r="M50" s="3848"/>
      <c r="N50" s="3848"/>
      <c r="O50" s="3848"/>
      <c r="P50" s="3848"/>
      <c r="Q50" s="3848"/>
      <c r="R50" s="3848"/>
      <c r="S50" s="3848"/>
      <c r="T50" s="3848"/>
      <c r="U50" s="1731"/>
    </row>
    <row r="51" spans="1:21" s="1316" customFormat="1" x14ac:dyDescent="0.25">
      <c r="A51" s="1311"/>
      <c r="B51" s="1601"/>
      <c r="C51" s="1632"/>
      <c r="D51" s="6012" t="s">
        <v>3764</v>
      </c>
      <c r="E51" s="5979"/>
      <c r="F51" s="5980"/>
      <c r="G51" s="5980"/>
      <c r="H51" s="5980"/>
      <c r="I51" s="5980"/>
      <c r="J51" s="5981"/>
      <c r="K51" s="986">
        <f ca="1">SUM('PIP finance'!D616:D620)</f>
        <v>373.74</v>
      </c>
      <c r="L51" s="986">
        <f ca="1">SUM('PIP finance'!E616:E620)</f>
        <v>358.87799999999999</v>
      </c>
      <c r="M51" s="986">
        <f ca="1">SUM('PIP finance'!F616:F620)</f>
        <v>371.63453999999996</v>
      </c>
      <c r="N51" s="986">
        <f ca="1">SUM('PIP finance'!G616:G620)</f>
        <v>387.50560175999999</v>
      </c>
      <c r="O51" s="986">
        <f ca="1">SUM('PIP finance'!H616:H620)</f>
        <v>414.63099388320006</v>
      </c>
      <c r="P51" s="986">
        <f ca="1">SUM('PIP finance'!I616:I620)</f>
        <v>0</v>
      </c>
      <c r="Q51" s="986">
        <f ca="1">SUM('PIP finance'!J616:J620)</f>
        <v>0</v>
      </c>
      <c r="R51" s="986">
        <f ca="1">SUM('PIP finance'!K616:K620)</f>
        <v>0</v>
      </c>
      <c r="S51" s="986">
        <f ca="1">SUM('PIP finance'!L616:L620)</f>
        <v>0</v>
      </c>
      <c r="T51" s="986">
        <f ca="1">SUM('PIP finance'!M616:M620)</f>
        <v>0</v>
      </c>
      <c r="U51" s="1731"/>
    </row>
    <row r="52" spans="1:21" s="1316" customFormat="1" x14ac:dyDescent="0.25">
      <c r="A52" s="1311"/>
      <c r="B52" s="1731"/>
      <c r="C52" s="1637"/>
      <c r="D52" s="1740" t="s">
        <v>3767</v>
      </c>
      <c r="E52" s="973">
        <f t="shared" ref="E52" si="39">SUM(E50:E51)</f>
        <v>0</v>
      </c>
      <c r="F52" s="973">
        <f t="shared" ref="F52" si="40">SUM(F50:F51)</f>
        <v>0</v>
      </c>
      <c r="G52" s="973">
        <f t="shared" ref="G52" si="41">SUM(G50:G51)</f>
        <v>0</v>
      </c>
      <c r="H52" s="973">
        <f t="shared" ref="H52" si="42">SUM(H50:H51)</f>
        <v>0</v>
      </c>
      <c r="I52" s="973">
        <f t="shared" ref="I52" si="43">SUM(I50:I51)</f>
        <v>0</v>
      </c>
      <c r="J52" s="973">
        <f t="shared" ref="J52" si="44">SUM(J50:J51)</f>
        <v>0</v>
      </c>
      <c r="K52" s="973">
        <f ca="1">SUM(K50:K51)</f>
        <v>373.74</v>
      </c>
      <c r="L52" s="973">
        <f t="shared" ref="L52:T52" ca="1" si="45">SUM(L50:L51)</f>
        <v>358.87799999999999</v>
      </c>
      <c r="M52" s="973">
        <f t="shared" ca="1" si="45"/>
        <v>371.63453999999996</v>
      </c>
      <c r="N52" s="973">
        <f t="shared" ca="1" si="45"/>
        <v>387.50560175999999</v>
      </c>
      <c r="O52" s="973">
        <f t="shared" ca="1" si="45"/>
        <v>414.63099388320006</v>
      </c>
      <c r="P52" s="973">
        <f t="shared" ca="1" si="45"/>
        <v>0</v>
      </c>
      <c r="Q52" s="973">
        <f t="shared" ca="1" si="45"/>
        <v>0</v>
      </c>
      <c r="R52" s="973">
        <f t="shared" ca="1" si="45"/>
        <v>0</v>
      </c>
      <c r="S52" s="973">
        <f t="shared" ca="1" si="45"/>
        <v>0</v>
      </c>
      <c r="T52" s="973">
        <f t="shared" ca="1" si="45"/>
        <v>0</v>
      </c>
      <c r="U52" s="1731"/>
    </row>
    <row r="53" spans="1:21" s="1316" customFormat="1" x14ac:dyDescent="0.25">
      <c r="A53" s="1311"/>
      <c r="B53" s="1731"/>
      <c r="C53" s="1731"/>
      <c r="D53" s="1731"/>
      <c r="E53" s="1731"/>
      <c r="F53" s="1731"/>
      <c r="G53" s="1731"/>
      <c r="H53" s="1731"/>
      <c r="I53" s="1731"/>
      <c r="J53" s="1731"/>
      <c r="K53" s="1731"/>
      <c r="L53" s="1731"/>
      <c r="M53" s="1731"/>
      <c r="N53" s="1731"/>
      <c r="O53" s="1731"/>
      <c r="P53" s="1731"/>
      <c r="Q53" s="1731"/>
      <c r="R53" s="1731"/>
      <c r="S53" s="1731"/>
      <c r="T53" s="1731"/>
      <c r="U53" s="1731"/>
    </row>
    <row r="54" spans="1:21" s="1316" customFormat="1" x14ac:dyDescent="0.25">
      <c r="A54" s="1311"/>
      <c r="B54" s="1731"/>
      <c r="C54" s="1637"/>
      <c r="D54" s="1735" t="s">
        <v>3763</v>
      </c>
      <c r="E54" s="4286">
        <f>'Finance info'!E59</f>
        <v>0</v>
      </c>
      <c r="F54" s="4286">
        <f>'Finance info'!F59</f>
        <v>0</v>
      </c>
      <c r="G54" s="4286">
        <f>'Finance info'!G59</f>
        <v>0</v>
      </c>
      <c r="H54" s="4286">
        <f>'Finance info'!H59</f>
        <v>0</v>
      </c>
      <c r="I54" s="4286">
        <f>'Finance info'!I59</f>
        <v>0</v>
      </c>
      <c r="J54" s="4286">
        <f>'Finance info'!J59</f>
        <v>0</v>
      </c>
      <c r="K54" s="3848"/>
      <c r="L54" s="3848"/>
      <c r="M54" s="3848"/>
      <c r="N54" s="3848"/>
      <c r="O54" s="3848"/>
      <c r="P54" s="3848"/>
      <c r="Q54" s="3848"/>
      <c r="R54" s="3848"/>
      <c r="S54" s="3848"/>
      <c r="T54" s="3848"/>
      <c r="U54" s="1731"/>
    </row>
    <row r="55" spans="1:21" s="1316" customFormat="1" x14ac:dyDescent="0.25">
      <c r="A55" s="1311"/>
      <c r="B55" s="1731"/>
      <c r="C55" s="1632"/>
      <c r="D55" s="6012" t="s">
        <v>3777</v>
      </c>
      <c r="E55" s="5979"/>
      <c r="F55" s="5980"/>
      <c r="G55" s="5980"/>
      <c r="H55" s="5980"/>
      <c r="I55" s="5980"/>
      <c r="J55" s="5981"/>
      <c r="K55" s="986">
        <f>'PIP finance'!G220</f>
        <v>345.26666666666671</v>
      </c>
      <c r="L55" s="986">
        <f>'PIP finance'!H220</f>
        <v>301.06233333333336</v>
      </c>
      <c r="M55" s="986">
        <f>'PIP finance'!I220</f>
        <v>256.87739666666664</v>
      </c>
      <c r="N55" s="986">
        <f>'PIP finance'!J220</f>
        <v>242.19100109999999</v>
      </c>
      <c r="O55" s="986">
        <f>'PIP finance'!K220</f>
        <v>259.14437117700004</v>
      </c>
      <c r="P55" s="986">
        <f>'PIP finance'!L220</f>
        <v>0</v>
      </c>
      <c r="Q55" s="986">
        <f>'PIP finance'!M220</f>
        <v>0</v>
      </c>
      <c r="R55" s="986">
        <f>'PIP finance'!N220</f>
        <v>0</v>
      </c>
      <c r="S55" s="986">
        <f>'PIP finance'!O220</f>
        <v>0</v>
      </c>
      <c r="T55" s="986">
        <f>'PIP finance'!P220</f>
        <v>0</v>
      </c>
      <c r="U55" s="1731"/>
    </row>
    <row r="56" spans="1:21" s="1316" customFormat="1" x14ac:dyDescent="0.25">
      <c r="A56" s="1311"/>
      <c r="B56" s="1731"/>
      <c r="C56" s="1637"/>
      <c r="D56" s="1746" t="s">
        <v>3766</v>
      </c>
      <c r="E56" s="973">
        <f t="shared" ref="E56" si="46">SUM(E54:E55)</f>
        <v>0</v>
      </c>
      <c r="F56" s="973">
        <f t="shared" ref="F56" si="47">SUM(F54:F55)</f>
        <v>0</v>
      </c>
      <c r="G56" s="973">
        <f t="shared" ref="G56" si="48">SUM(G54:G55)</f>
        <v>0</v>
      </c>
      <c r="H56" s="973">
        <f t="shared" ref="H56" si="49">SUM(H54:H55)</f>
        <v>0</v>
      </c>
      <c r="I56" s="973">
        <f t="shared" ref="I56" si="50">SUM(I54:I55)</f>
        <v>0</v>
      </c>
      <c r="J56" s="973">
        <f t="shared" ref="J56" si="51">SUM(J54:J55)</f>
        <v>0</v>
      </c>
      <c r="K56" s="973">
        <f>SUM(K54:K55)</f>
        <v>345.26666666666671</v>
      </c>
      <c r="L56" s="973">
        <f t="shared" ref="L56:T56" si="52">SUM(L54:L55)</f>
        <v>301.06233333333336</v>
      </c>
      <c r="M56" s="973">
        <f t="shared" si="52"/>
        <v>256.87739666666664</v>
      </c>
      <c r="N56" s="973">
        <f t="shared" si="52"/>
        <v>242.19100109999999</v>
      </c>
      <c r="O56" s="973">
        <f t="shared" si="52"/>
        <v>259.14437117700004</v>
      </c>
      <c r="P56" s="973">
        <f t="shared" si="52"/>
        <v>0</v>
      </c>
      <c r="Q56" s="973">
        <f t="shared" si="52"/>
        <v>0</v>
      </c>
      <c r="R56" s="973">
        <f t="shared" si="52"/>
        <v>0</v>
      </c>
      <c r="S56" s="973">
        <f t="shared" si="52"/>
        <v>0</v>
      </c>
      <c r="T56" s="973">
        <f t="shared" si="52"/>
        <v>0</v>
      </c>
      <c r="U56" s="1731"/>
    </row>
    <row r="57" spans="1:21" s="1316" customFormat="1" x14ac:dyDescent="0.25">
      <c r="A57" s="1311"/>
      <c r="B57" s="1726"/>
      <c r="C57" s="1726"/>
      <c r="D57" s="1727"/>
      <c r="E57" s="1726"/>
      <c r="F57" s="1726"/>
      <c r="G57" s="1601"/>
      <c r="H57" s="1601"/>
      <c r="I57" s="1601"/>
      <c r="J57" s="1601"/>
      <c r="K57" s="1601"/>
      <c r="L57" s="1601"/>
      <c r="M57" s="1601"/>
      <c r="N57" s="1601"/>
      <c r="O57" s="1601"/>
      <c r="P57" s="1601"/>
      <c r="Q57" s="1601"/>
      <c r="R57" s="1601"/>
      <c r="S57" s="1601"/>
      <c r="T57" s="1601"/>
      <c r="U57" s="1601"/>
    </row>
    <row r="58" spans="1:21" s="1316" customFormat="1" ht="15.75" x14ac:dyDescent="0.25">
      <c r="A58" s="1311"/>
      <c r="B58" s="1609" t="s">
        <v>10</v>
      </c>
      <c r="C58" s="1610" t="s">
        <v>3732</v>
      </c>
      <c r="D58" s="1623"/>
      <c r="E58" s="1611"/>
      <c r="F58" s="1611"/>
      <c r="G58" s="1728"/>
      <c r="H58" s="1611"/>
      <c r="I58" s="1611"/>
      <c r="J58" s="1611"/>
      <c r="K58" s="1611"/>
      <c r="L58" s="1611"/>
      <c r="M58" s="1611"/>
      <c r="N58" s="1611"/>
      <c r="O58" s="1611"/>
      <c r="P58" s="1611"/>
      <c r="Q58" s="1611"/>
      <c r="R58" s="1611"/>
      <c r="S58" s="1611"/>
      <c r="T58" s="1611"/>
      <c r="U58" s="1611"/>
    </row>
    <row r="59" spans="1:21" s="1316" customFormat="1" x14ac:dyDescent="0.25">
      <c r="A59" s="1311"/>
      <c r="B59" s="1601"/>
      <c r="C59" s="5966" t="s">
        <v>1010</v>
      </c>
      <c r="D59" s="1614" t="s">
        <v>4</v>
      </c>
      <c r="E59" s="971" t="str">
        <f>E40</f>
        <v xml:space="preserve">2009 </v>
      </c>
      <c r="F59" s="971" t="str">
        <f t="shared" ref="F59:T59" si="53">F40</f>
        <v>2010  (A)</v>
      </c>
      <c r="G59" s="971" t="str">
        <f t="shared" si="53"/>
        <v>2011  (A)</v>
      </c>
      <c r="H59" s="971" t="str">
        <f t="shared" si="53"/>
        <v>2012  (A)</v>
      </c>
      <c r="I59" s="971" t="str">
        <f t="shared" si="53"/>
        <v>2013  (RE)</v>
      </c>
      <c r="J59" s="971" t="str">
        <f t="shared" si="53"/>
        <v>2014 (BE)</v>
      </c>
      <c r="K59" s="5966">
        <f t="shared" si="53"/>
        <v>2015</v>
      </c>
      <c r="L59" s="5966">
        <f t="shared" si="53"/>
        <v>2016</v>
      </c>
      <c r="M59" s="5966">
        <f t="shared" si="53"/>
        <v>2017</v>
      </c>
      <c r="N59" s="5966">
        <f t="shared" si="53"/>
        <v>2018</v>
      </c>
      <c r="O59" s="5966">
        <f t="shared" si="53"/>
        <v>2019</v>
      </c>
      <c r="P59" s="5966">
        <f t="shared" si="53"/>
        <v>2020</v>
      </c>
      <c r="Q59" s="5966">
        <f t="shared" si="53"/>
        <v>2021</v>
      </c>
      <c r="R59" s="5966">
        <f t="shared" si="53"/>
        <v>2022</v>
      </c>
      <c r="S59" s="5966">
        <f t="shared" si="53"/>
        <v>2023</v>
      </c>
      <c r="T59" s="5966">
        <f t="shared" si="53"/>
        <v>2024</v>
      </c>
      <c r="U59" s="1731"/>
    </row>
    <row r="60" spans="1:21" s="1316" customFormat="1" x14ac:dyDescent="0.25">
      <c r="A60" s="1311"/>
      <c r="B60" s="1731"/>
      <c r="C60" s="1637"/>
      <c r="D60" s="1735" t="s">
        <v>3860</v>
      </c>
      <c r="E60" s="4286">
        <f>'Finance info'!E63</f>
        <v>0</v>
      </c>
      <c r="F60" s="4286">
        <f>'Finance info'!F63</f>
        <v>0</v>
      </c>
      <c r="G60" s="4286">
        <f>'Finance info'!G63</f>
        <v>0</v>
      </c>
      <c r="H60" s="4286">
        <f>'Finance info'!H63</f>
        <v>0</v>
      </c>
      <c r="I60" s="4286">
        <f>'Finance info'!I63</f>
        <v>0</v>
      </c>
      <c r="J60" s="4286">
        <f>'Finance info'!J63</f>
        <v>0</v>
      </c>
      <c r="K60" s="1128">
        <f>'MSW calcu'!G235</f>
        <v>0</v>
      </c>
      <c r="L60" s="1128">
        <f>'MSW calcu'!H235</f>
        <v>0</v>
      </c>
      <c r="M60" s="1128">
        <f>'MSW calcu'!I235</f>
        <v>0</v>
      </c>
      <c r="N60" s="1128">
        <f>'MSW calcu'!J235</f>
        <v>0</v>
      </c>
      <c r="O60" s="1128">
        <f>'MSW calcu'!K235</f>
        <v>0</v>
      </c>
      <c r="P60" s="1128">
        <f>'MSW calcu'!L235</f>
        <v>0</v>
      </c>
      <c r="Q60" s="1128">
        <f>'MSW calcu'!M235</f>
        <v>0</v>
      </c>
      <c r="R60" s="1128">
        <f>'MSW calcu'!N235</f>
        <v>0</v>
      </c>
      <c r="S60" s="1128">
        <f>'MSW calcu'!O235</f>
        <v>0</v>
      </c>
      <c r="T60" s="1128">
        <f>'MSW calcu'!P235</f>
        <v>0</v>
      </c>
      <c r="U60" s="1731"/>
    </row>
    <row r="61" spans="1:21" s="1316" customFormat="1" x14ac:dyDescent="0.25">
      <c r="A61" s="1311"/>
      <c r="B61" s="1731"/>
      <c r="C61" s="1637"/>
      <c r="D61" s="1735" t="s">
        <v>3753</v>
      </c>
      <c r="E61" s="4286">
        <f>'Finance info'!E64</f>
        <v>0</v>
      </c>
      <c r="F61" s="4286">
        <f>'Finance info'!F64</f>
        <v>0</v>
      </c>
      <c r="G61" s="4286">
        <f>'Finance info'!G64</f>
        <v>0</v>
      </c>
      <c r="H61" s="4286">
        <f>'Finance info'!H64</f>
        <v>0</v>
      </c>
      <c r="I61" s="4286">
        <f>'Finance info'!I64</f>
        <v>0</v>
      </c>
      <c r="J61" s="4286">
        <f>'Finance info'!J64</f>
        <v>0</v>
      </c>
      <c r="K61" s="3848"/>
      <c r="L61" s="3848"/>
      <c r="M61" s="3848"/>
      <c r="N61" s="3848"/>
      <c r="O61" s="3848"/>
      <c r="P61" s="3848"/>
      <c r="Q61" s="3848"/>
      <c r="R61" s="3848"/>
      <c r="S61" s="3848"/>
      <c r="T61" s="3848"/>
      <c r="U61" s="1731"/>
    </row>
    <row r="62" spans="1:21" s="1316" customFormat="1" x14ac:dyDescent="0.25">
      <c r="A62" s="1311"/>
      <c r="B62" s="1731"/>
      <c r="C62" s="5975"/>
      <c r="D62" s="5974" t="s">
        <v>3759</v>
      </c>
      <c r="E62" s="5979"/>
      <c r="F62" s="5980"/>
      <c r="G62" s="5980"/>
      <c r="H62" s="5980"/>
      <c r="I62" s="5980"/>
      <c r="J62" s="5981"/>
      <c r="K62" s="986">
        <f>'MSW calcu'!G237-'MSW calcu'!G235</f>
        <v>0</v>
      </c>
      <c r="L62" s="986">
        <f>'MSW calcu'!H237-'MSW calcu'!H235</f>
        <v>0</v>
      </c>
      <c r="M62" s="986">
        <f>'MSW calcu'!I237-'MSW calcu'!I235</f>
        <v>0</v>
      </c>
      <c r="N62" s="986">
        <f>'MSW calcu'!J237-'MSW calcu'!J235</f>
        <v>0</v>
      </c>
      <c r="O62" s="986">
        <f>'MSW calcu'!K237-'MSW calcu'!K235</f>
        <v>0</v>
      </c>
      <c r="P62" s="986">
        <f>'MSW calcu'!L237-'MSW calcu'!L235</f>
        <v>0</v>
      </c>
      <c r="Q62" s="986">
        <f>'MSW calcu'!M237-'MSW calcu'!M235</f>
        <v>0</v>
      </c>
      <c r="R62" s="986">
        <f>'MSW calcu'!N237-'MSW calcu'!N235</f>
        <v>0</v>
      </c>
      <c r="S62" s="986">
        <f>'MSW calcu'!O237-'MSW calcu'!O235</f>
        <v>0</v>
      </c>
      <c r="T62" s="986">
        <f>'MSW calcu'!P237-'MSW calcu'!P235</f>
        <v>0</v>
      </c>
      <c r="U62" s="1731"/>
    </row>
    <row r="63" spans="1:21" s="1316" customFormat="1" x14ac:dyDescent="0.25">
      <c r="A63" s="1311"/>
      <c r="B63" s="1731"/>
      <c r="C63" s="1637"/>
      <c r="D63" s="1740" t="s">
        <v>3750</v>
      </c>
      <c r="E63" s="5982">
        <f t="shared" ref="E63" si="54">SUM(E60:E62)</f>
        <v>0</v>
      </c>
      <c r="F63" s="5982">
        <f t="shared" ref="F63" si="55">SUM(F60:F62)</f>
        <v>0</v>
      </c>
      <c r="G63" s="5982">
        <f t="shared" ref="G63" si="56">SUM(G60:G62)</f>
        <v>0</v>
      </c>
      <c r="H63" s="5982">
        <f t="shared" ref="H63" si="57">SUM(H60:H62)</f>
        <v>0</v>
      </c>
      <c r="I63" s="5982">
        <f t="shared" ref="I63" si="58">SUM(I60:I62)</f>
        <v>0</v>
      </c>
      <c r="J63" s="5982">
        <f t="shared" ref="J63" si="59">SUM(J60:J62)</f>
        <v>0</v>
      </c>
      <c r="K63" s="973">
        <f t="shared" ref="K63:T63" si="60">SUM(K60:K62)</f>
        <v>0</v>
      </c>
      <c r="L63" s="973">
        <f t="shared" si="60"/>
        <v>0</v>
      </c>
      <c r="M63" s="973">
        <f t="shared" si="60"/>
        <v>0</v>
      </c>
      <c r="N63" s="973">
        <f t="shared" si="60"/>
        <v>0</v>
      </c>
      <c r="O63" s="973">
        <f t="shared" si="60"/>
        <v>0</v>
      </c>
      <c r="P63" s="973">
        <f t="shared" si="60"/>
        <v>0</v>
      </c>
      <c r="Q63" s="973">
        <f t="shared" si="60"/>
        <v>0</v>
      </c>
      <c r="R63" s="973">
        <f t="shared" si="60"/>
        <v>0</v>
      </c>
      <c r="S63" s="973">
        <f t="shared" si="60"/>
        <v>0</v>
      </c>
      <c r="T63" s="973">
        <f t="shared" si="60"/>
        <v>0</v>
      </c>
      <c r="U63" s="1731"/>
    </row>
    <row r="64" spans="1:21" s="1316" customFormat="1" x14ac:dyDescent="0.25">
      <c r="A64" s="1311"/>
      <c r="B64" s="1731"/>
      <c r="C64" s="1731"/>
      <c r="D64" s="1731"/>
      <c r="E64" s="1731"/>
      <c r="F64" s="1731"/>
      <c r="G64" s="1731"/>
      <c r="H64" s="1731"/>
      <c r="I64" s="1731"/>
      <c r="J64" s="1731"/>
      <c r="K64" s="1731"/>
      <c r="L64" s="1731"/>
      <c r="M64" s="1731"/>
      <c r="N64" s="1731"/>
      <c r="O64" s="1731"/>
      <c r="P64" s="1731"/>
      <c r="Q64" s="1731"/>
      <c r="R64" s="1731"/>
      <c r="S64" s="1731"/>
      <c r="T64" s="1731"/>
      <c r="U64" s="1731"/>
    </row>
    <row r="65" spans="1:21" s="1316" customFormat="1" x14ac:dyDescent="0.25">
      <c r="A65" s="1311"/>
      <c r="B65" s="1726"/>
      <c r="C65" s="1637"/>
      <c r="D65" s="1735" t="s">
        <v>3761</v>
      </c>
      <c r="E65" s="4286">
        <f>'Finance info'!E67</f>
        <v>0</v>
      </c>
      <c r="F65" s="4286">
        <f>'Finance info'!F67</f>
        <v>0</v>
      </c>
      <c r="G65" s="4286">
        <f>'Finance info'!G67</f>
        <v>0</v>
      </c>
      <c r="H65" s="4286">
        <f>'Finance info'!H67</f>
        <v>0</v>
      </c>
      <c r="I65" s="4286">
        <f>'Finance info'!I67</f>
        <v>0</v>
      </c>
      <c r="J65" s="4286">
        <f>'Finance info'!J67</f>
        <v>0</v>
      </c>
      <c r="K65" s="3848"/>
      <c r="L65" s="3848"/>
      <c r="M65" s="3848"/>
      <c r="N65" s="3848"/>
      <c r="O65" s="3848"/>
      <c r="P65" s="3848"/>
      <c r="Q65" s="3848"/>
      <c r="R65" s="3848"/>
      <c r="S65" s="3848"/>
      <c r="T65" s="3848"/>
      <c r="U65" s="1731"/>
    </row>
    <row r="66" spans="1:21" s="1316" customFormat="1" x14ac:dyDescent="0.25">
      <c r="A66" s="1311"/>
      <c r="B66" s="1726"/>
      <c r="C66" s="5975"/>
      <c r="D66" s="5974" t="s">
        <v>3760</v>
      </c>
      <c r="E66" s="5979"/>
      <c r="F66" s="5980"/>
      <c r="G66" s="5980"/>
      <c r="H66" s="5980"/>
      <c r="I66" s="5980"/>
      <c r="J66" s="5981"/>
      <c r="K66" s="986">
        <f>'PIP finance'!G401</f>
        <v>0</v>
      </c>
      <c r="L66" s="986">
        <f>'PIP finance'!H401</f>
        <v>0</v>
      </c>
      <c r="M66" s="986">
        <f>'PIP finance'!I401</f>
        <v>0</v>
      </c>
      <c r="N66" s="986">
        <f>'PIP finance'!J401</f>
        <v>0</v>
      </c>
      <c r="O66" s="986">
        <f>'PIP finance'!K401</f>
        <v>0</v>
      </c>
      <c r="P66" s="986">
        <f>'PIP finance'!L401</f>
        <v>0</v>
      </c>
      <c r="Q66" s="986">
        <f>'PIP finance'!M401</f>
        <v>0</v>
      </c>
      <c r="R66" s="986">
        <f>'PIP finance'!N401</f>
        <v>0</v>
      </c>
      <c r="S66" s="986">
        <f>'PIP finance'!O401</f>
        <v>0</v>
      </c>
      <c r="T66" s="986">
        <f>'PIP finance'!P401</f>
        <v>0</v>
      </c>
      <c r="U66" s="1731"/>
    </row>
    <row r="67" spans="1:21" s="1316" customFormat="1" x14ac:dyDescent="0.25">
      <c r="A67" s="1311"/>
      <c r="B67" s="1726"/>
      <c r="C67" s="1637"/>
      <c r="D67" s="1740" t="s">
        <v>3765</v>
      </c>
      <c r="E67" s="5982">
        <f t="shared" ref="E67" si="61">SUM(E65:E66)</f>
        <v>0</v>
      </c>
      <c r="F67" s="5982">
        <f t="shared" ref="F67" si="62">SUM(F65:F66)</f>
        <v>0</v>
      </c>
      <c r="G67" s="5982">
        <f t="shared" ref="G67" si="63">SUM(G65:G66)</f>
        <v>0</v>
      </c>
      <c r="H67" s="5982">
        <f t="shared" ref="H67" si="64">SUM(H65:H66)</f>
        <v>0</v>
      </c>
      <c r="I67" s="5982">
        <f t="shared" ref="I67" si="65">SUM(I65:I66)</f>
        <v>0</v>
      </c>
      <c r="J67" s="5982">
        <f t="shared" ref="J67" si="66">SUM(J65:J66)</f>
        <v>0</v>
      </c>
      <c r="K67" s="973">
        <f>SUM(K65:K66)</f>
        <v>0</v>
      </c>
      <c r="L67" s="973">
        <f t="shared" ref="L67:T67" si="67">SUM(L65:L66)</f>
        <v>0</v>
      </c>
      <c r="M67" s="973">
        <f t="shared" si="67"/>
        <v>0</v>
      </c>
      <c r="N67" s="973">
        <f t="shared" si="67"/>
        <v>0</v>
      </c>
      <c r="O67" s="973">
        <f t="shared" si="67"/>
        <v>0</v>
      </c>
      <c r="P67" s="973">
        <f t="shared" si="67"/>
        <v>0</v>
      </c>
      <c r="Q67" s="973">
        <f t="shared" si="67"/>
        <v>0</v>
      </c>
      <c r="R67" s="973">
        <f t="shared" si="67"/>
        <v>0</v>
      </c>
      <c r="S67" s="973">
        <f t="shared" si="67"/>
        <v>0</v>
      </c>
      <c r="T67" s="973">
        <f t="shared" si="67"/>
        <v>0</v>
      </c>
      <c r="U67" s="1731"/>
    </row>
    <row r="68" spans="1:21" s="1316" customFormat="1" x14ac:dyDescent="0.25">
      <c r="A68" s="1311"/>
      <c r="B68" s="1726"/>
      <c r="C68" s="1726"/>
      <c r="D68" s="1727"/>
      <c r="E68" s="1726"/>
      <c r="F68" s="1726"/>
      <c r="G68" s="1601"/>
      <c r="H68" s="1601"/>
      <c r="I68" s="1601"/>
      <c r="J68" s="1601"/>
      <c r="K68" s="1601"/>
      <c r="L68" s="1601"/>
      <c r="M68" s="1601"/>
      <c r="N68" s="1601"/>
      <c r="O68" s="1601"/>
      <c r="P68" s="1601"/>
      <c r="Q68" s="1601"/>
      <c r="R68" s="1601"/>
      <c r="S68" s="1601"/>
      <c r="T68" s="1601"/>
      <c r="U68" s="1731"/>
    </row>
    <row r="69" spans="1:21" s="1316" customFormat="1" x14ac:dyDescent="0.25">
      <c r="A69" s="1311"/>
      <c r="B69" s="1726"/>
      <c r="C69" s="1637"/>
      <c r="D69" s="1735" t="s">
        <v>3762</v>
      </c>
      <c r="E69" s="4286">
        <f>'Finance info'!E69</f>
        <v>0</v>
      </c>
      <c r="F69" s="4286">
        <f>'Finance info'!F69</f>
        <v>0</v>
      </c>
      <c r="G69" s="4286">
        <f>'Finance info'!G69</f>
        <v>0</v>
      </c>
      <c r="H69" s="4286">
        <f>'Finance info'!H69</f>
        <v>0</v>
      </c>
      <c r="I69" s="4286">
        <f>'Finance info'!I69</f>
        <v>0</v>
      </c>
      <c r="J69" s="4286">
        <f>'Finance info'!J69</f>
        <v>0</v>
      </c>
      <c r="K69" s="3848"/>
      <c r="L69" s="3848"/>
      <c r="M69" s="3848"/>
      <c r="N69" s="3848"/>
      <c r="O69" s="3848"/>
      <c r="P69" s="3848"/>
      <c r="Q69" s="3848"/>
      <c r="R69" s="3848"/>
      <c r="S69" s="3848"/>
      <c r="T69" s="3848"/>
      <c r="U69" s="1731"/>
    </row>
    <row r="70" spans="1:21" s="1316" customFormat="1" x14ac:dyDescent="0.25">
      <c r="A70" s="1311"/>
      <c r="B70" s="1601"/>
      <c r="C70" s="5975"/>
      <c r="D70" s="5974" t="s">
        <v>3764</v>
      </c>
      <c r="E70" s="5979"/>
      <c r="F70" s="5980"/>
      <c r="G70" s="5980"/>
      <c r="H70" s="5980"/>
      <c r="I70" s="5980"/>
      <c r="J70" s="5981"/>
      <c r="K70" s="986">
        <f ca="1">SUM('PIP finance'!D623:D627)</f>
        <v>0</v>
      </c>
      <c r="L70" s="986">
        <f ca="1">SUM('PIP finance'!E623:E627)</f>
        <v>0</v>
      </c>
      <c r="M70" s="986">
        <f ca="1">SUM('PIP finance'!F623:F627)</f>
        <v>0</v>
      </c>
      <c r="N70" s="986">
        <f ca="1">SUM('PIP finance'!G623:G627)</f>
        <v>0</v>
      </c>
      <c r="O70" s="986">
        <f ca="1">SUM('PIP finance'!H623:H627)</f>
        <v>0</v>
      </c>
      <c r="P70" s="986">
        <f ca="1">SUM('PIP finance'!I623:I627)</f>
        <v>0</v>
      </c>
      <c r="Q70" s="986">
        <f ca="1">SUM('PIP finance'!J623:J627)</f>
        <v>0</v>
      </c>
      <c r="R70" s="986">
        <f ca="1">SUM('PIP finance'!K623:K627)</f>
        <v>0</v>
      </c>
      <c r="S70" s="986">
        <f ca="1">SUM('PIP finance'!L623:L627)</f>
        <v>0</v>
      </c>
      <c r="T70" s="986">
        <f ca="1">SUM('PIP finance'!M623:M627)</f>
        <v>0</v>
      </c>
      <c r="U70" s="1731"/>
    </row>
    <row r="71" spans="1:21" s="1316" customFormat="1" x14ac:dyDescent="0.25">
      <c r="A71" s="1311"/>
      <c r="B71" s="1731"/>
      <c r="C71" s="1637"/>
      <c r="D71" s="1740" t="s">
        <v>3767</v>
      </c>
      <c r="E71" s="5982">
        <f t="shared" ref="E71" si="68">SUM(E69:E70)</f>
        <v>0</v>
      </c>
      <c r="F71" s="5982">
        <f t="shared" ref="F71" si="69">SUM(F69:F70)</f>
        <v>0</v>
      </c>
      <c r="G71" s="5982">
        <f t="shared" ref="G71" si="70">SUM(G69:G70)</f>
        <v>0</v>
      </c>
      <c r="H71" s="5982">
        <f t="shared" ref="H71" si="71">SUM(H69:H70)</f>
        <v>0</v>
      </c>
      <c r="I71" s="5982">
        <f t="shared" ref="I71" si="72">SUM(I69:I70)</f>
        <v>0</v>
      </c>
      <c r="J71" s="5982">
        <f t="shared" ref="J71" si="73">SUM(J69:J70)</f>
        <v>0</v>
      </c>
      <c r="K71" s="973">
        <f ca="1">SUM(K69:K70)</f>
        <v>0</v>
      </c>
      <c r="L71" s="973">
        <f t="shared" ref="L71:T71" ca="1" si="74">SUM(L69:L70)</f>
        <v>0</v>
      </c>
      <c r="M71" s="973">
        <f t="shared" ca="1" si="74"/>
        <v>0</v>
      </c>
      <c r="N71" s="973">
        <f t="shared" ca="1" si="74"/>
        <v>0</v>
      </c>
      <c r="O71" s="973">
        <f t="shared" ca="1" si="74"/>
        <v>0</v>
      </c>
      <c r="P71" s="973">
        <f t="shared" ca="1" si="74"/>
        <v>0</v>
      </c>
      <c r="Q71" s="973">
        <f t="shared" ca="1" si="74"/>
        <v>0</v>
      </c>
      <c r="R71" s="973">
        <f t="shared" ca="1" si="74"/>
        <v>0</v>
      </c>
      <c r="S71" s="973">
        <f t="shared" ca="1" si="74"/>
        <v>0</v>
      </c>
      <c r="T71" s="973">
        <f t="shared" ca="1" si="74"/>
        <v>0</v>
      </c>
      <c r="U71" s="1731"/>
    </row>
    <row r="72" spans="1:21" s="1316" customFormat="1" x14ac:dyDescent="0.25">
      <c r="A72" s="1311"/>
      <c r="B72" s="1731"/>
      <c r="C72" s="1731"/>
      <c r="D72" s="1731"/>
      <c r="E72" s="1731"/>
      <c r="F72" s="1731"/>
      <c r="G72" s="1731"/>
      <c r="H72" s="1731"/>
      <c r="I72" s="1731"/>
      <c r="J72" s="1731"/>
      <c r="K72" s="1731"/>
      <c r="L72" s="1731"/>
      <c r="M72" s="1731"/>
      <c r="N72" s="1731"/>
      <c r="O72" s="1731"/>
      <c r="P72" s="1731"/>
      <c r="Q72" s="1731"/>
      <c r="R72" s="1731"/>
      <c r="S72" s="1731"/>
      <c r="T72" s="1731"/>
      <c r="U72" s="1731"/>
    </row>
    <row r="73" spans="1:21" s="1316" customFormat="1" x14ac:dyDescent="0.25">
      <c r="A73" s="1311"/>
      <c r="B73" s="1731"/>
      <c r="C73" s="1637"/>
      <c r="D73" s="1735" t="s">
        <v>3763</v>
      </c>
      <c r="E73" s="4286">
        <f>'Finance info'!E70</f>
        <v>0</v>
      </c>
      <c r="F73" s="4286">
        <f>'Finance info'!F70</f>
        <v>0</v>
      </c>
      <c r="G73" s="4286">
        <f>'Finance info'!G70</f>
        <v>0</v>
      </c>
      <c r="H73" s="4286">
        <f>'Finance info'!H70</f>
        <v>0</v>
      </c>
      <c r="I73" s="4286">
        <f>'Finance info'!I70</f>
        <v>0</v>
      </c>
      <c r="J73" s="4286">
        <f>'Finance info'!J70</f>
        <v>0</v>
      </c>
      <c r="K73" s="3848"/>
      <c r="L73" s="3848"/>
      <c r="M73" s="3848"/>
      <c r="N73" s="3848"/>
      <c r="O73" s="3848"/>
      <c r="P73" s="3848"/>
      <c r="Q73" s="3848"/>
      <c r="R73" s="3848"/>
      <c r="S73" s="3848"/>
      <c r="T73" s="3848"/>
      <c r="U73" s="1731"/>
    </row>
    <row r="74" spans="1:21" s="1316" customFormat="1" x14ac:dyDescent="0.25">
      <c r="A74" s="1311"/>
      <c r="B74" s="1731"/>
      <c r="C74" s="5975"/>
      <c r="D74" s="5974" t="s">
        <v>3093</v>
      </c>
      <c r="E74" s="5979"/>
      <c r="F74" s="5980"/>
      <c r="G74" s="5980"/>
      <c r="H74" s="5980"/>
      <c r="I74" s="5980"/>
      <c r="J74" s="5981"/>
      <c r="K74" s="986">
        <f>'PIP finance'!G360</f>
        <v>0</v>
      </c>
      <c r="L74" s="986">
        <f>'PIP finance'!H360</f>
        <v>0</v>
      </c>
      <c r="M74" s="986">
        <f>'PIP finance'!I360</f>
        <v>0</v>
      </c>
      <c r="N74" s="986">
        <f>'PIP finance'!J360</f>
        <v>0</v>
      </c>
      <c r="O74" s="986">
        <f>'PIP finance'!K360</f>
        <v>0</v>
      </c>
      <c r="P74" s="986">
        <f>'PIP finance'!L360</f>
        <v>0</v>
      </c>
      <c r="Q74" s="986">
        <f>'PIP finance'!M360</f>
        <v>0</v>
      </c>
      <c r="R74" s="986">
        <f>'PIP finance'!N360</f>
        <v>0</v>
      </c>
      <c r="S74" s="986">
        <f>'PIP finance'!O360</f>
        <v>0</v>
      </c>
      <c r="T74" s="986">
        <f>'PIP finance'!P360</f>
        <v>0</v>
      </c>
      <c r="U74" s="1731"/>
    </row>
    <row r="75" spans="1:21" s="1316" customFormat="1" x14ac:dyDescent="0.25">
      <c r="A75" s="1311"/>
      <c r="B75" s="1731"/>
      <c r="C75" s="1637"/>
      <c r="D75" s="1746" t="s">
        <v>3766</v>
      </c>
      <c r="E75" s="5982">
        <f t="shared" ref="E75" si="75">SUM(E73:E74)</f>
        <v>0</v>
      </c>
      <c r="F75" s="5982">
        <f t="shared" ref="F75" si="76">SUM(F73:F74)</f>
        <v>0</v>
      </c>
      <c r="G75" s="5982">
        <f t="shared" ref="G75" si="77">SUM(G73:G74)</f>
        <v>0</v>
      </c>
      <c r="H75" s="5982">
        <f t="shared" ref="H75" si="78">SUM(H73:H74)</f>
        <v>0</v>
      </c>
      <c r="I75" s="5982">
        <f t="shared" ref="I75" si="79">SUM(I73:I74)</f>
        <v>0</v>
      </c>
      <c r="J75" s="5982">
        <f t="shared" ref="J75" si="80">SUM(J73:J74)</f>
        <v>0</v>
      </c>
      <c r="K75" s="973">
        <f>SUM(K73:K74)</f>
        <v>0</v>
      </c>
      <c r="L75" s="973">
        <f t="shared" ref="L75:T75" si="81">SUM(L73:L74)</f>
        <v>0</v>
      </c>
      <c r="M75" s="973">
        <f t="shared" si="81"/>
        <v>0</v>
      </c>
      <c r="N75" s="973">
        <f t="shared" si="81"/>
        <v>0</v>
      </c>
      <c r="O75" s="973">
        <f t="shared" si="81"/>
        <v>0</v>
      </c>
      <c r="P75" s="973">
        <f t="shared" si="81"/>
        <v>0</v>
      </c>
      <c r="Q75" s="973">
        <f t="shared" si="81"/>
        <v>0</v>
      </c>
      <c r="R75" s="973">
        <f t="shared" si="81"/>
        <v>0</v>
      </c>
      <c r="S75" s="973">
        <f t="shared" si="81"/>
        <v>0</v>
      </c>
      <c r="T75" s="973">
        <f t="shared" si="81"/>
        <v>0</v>
      </c>
      <c r="U75" s="1731"/>
    </row>
    <row r="76" spans="1:21" s="1316" customFormat="1" x14ac:dyDescent="0.25">
      <c r="A76" s="1311"/>
      <c r="B76" s="1726"/>
      <c r="C76" s="1726"/>
      <c r="D76" s="1727"/>
      <c r="E76" s="1726"/>
      <c r="F76" s="1726"/>
      <c r="G76" s="1601"/>
      <c r="H76" s="1601"/>
      <c r="I76" s="1601"/>
      <c r="J76" s="1601"/>
      <c r="K76" s="1601"/>
      <c r="L76" s="1601"/>
      <c r="M76" s="1601"/>
      <c r="N76" s="1601"/>
      <c r="O76" s="1601"/>
      <c r="P76" s="1601"/>
      <c r="Q76" s="1601"/>
      <c r="R76" s="1601"/>
      <c r="S76" s="1601"/>
      <c r="T76" s="1601"/>
      <c r="U76" s="1731"/>
    </row>
    <row r="77" spans="1:21" s="1316" customFormat="1" ht="26.25" x14ac:dyDescent="0.25">
      <c r="A77" s="1311"/>
      <c r="B77" s="5976" t="s">
        <v>14</v>
      </c>
      <c r="C77" s="5977" t="s">
        <v>3769</v>
      </c>
      <c r="D77" s="1604"/>
      <c r="E77" s="1604"/>
      <c r="F77" s="1604"/>
      <c r="G77" s="1604"/>
      <c r="H77" s="1604"/>
      <c r="I77" s="1604"/>
      <c r="J77" s="1604"/>
      <c r="K77" s="1604"/>
      <c r="L77" s="1604"/>
      <c r="M77" s="1604"/>
      <c r="N77" s="1604"/>
      <c r="O77" s="1604"/>
      <c r="P77" s="1604"/>
      <c r="Q77" s="1604"/>
      <c r="R77" s="1604"/>
      <c r="S77" s="1604"/>
      <c r="T77" s="5830" t="str">
        <f>CONCATENATE("All figures in ",'General info'!$E$43," ",'General info'!$G$43)</f>
        <v>All figures in INR Lakhs</v>
      </c>
      <c r="U77" s="1604"/>
    </row>
    <row r="78" spans="1:21" s="1316" customFormat="1" ht="15.75" x14ac:dyDescent="0.25">
      <c r="A78" s="1311"/>
      <c r="B78" s="1609" t="s">
        <v>2</v>
      </c>
      <c r="C78" s="1610" t="s">
        <v>1083</v>
      </c>
      <c r="D78" s="1623"/>
      <c r="E78" s="1611"/>
      <c r="F78" s="1611"/>
      <c r="G78" s="1728"/>
      <c r="H78" s="1728"/>
      <c r="I78" s="1728"/>
      <c r="J78" s="1728"/>
      <c r="K78" s="1728"/>
      <c r="L78" s="1728"/>
      <c r="M78" s="1728"/>
      <c r="N78" s="1728"/>
      <c r="O78" s="1728"/>
      <c r="P78" s="1728"/>
      <c r="Q78" s="1728"/>
      <c r="R78" s="1728"/>
      <c r="S78" s="1728"/>
      <c r="T78" s="1728"/>
      <c r="U78" s="1728"/>
    </row>
    <row r="79" spans="1:21" s="1316" customFormat="1" x14ac:dyDescent="0.25">
      <c r="A79" s="1311"/>
      <c r="B79" s="1601"/>
      <c r="C79" s="5966" t="s">
        <v>1010</v>
      </c>
      <c r="D79" s="1614" t="s">
        <v>4</v>
      </c>
      <c r="E79" s="971" t="str">
        <f>E21</f>
        <v xml:space="preserve">2009 </v>
      </c>
      <c r="F79" s="971" t="str">
        <f t="shared" ref="F79:T79" si="82">F21</f>
        <v>2010  (A)</v>
      </c>
      <c r="G79" s="971" t="str">
        <f t="shared" si="82"/>
        <v>2011  (A)</v>
      </c>
      <c r="H79" s="971" t="str">
        <f t="shared" si="82"/>
        <v>2012  (A)</v>
      </c>
      <c r="I79" s="971" t="str">
        <f t="shared" si="82"/>
        <v>2013  (RE)</v>
      </c>
      <c r="J79" s="971" t="str">
        <f t="shared" si="82"/>
        <v>2014 (BE)</v>
      </c>
      <c r="K79" s="5966">
        <f t="shared" si="82"/>
        <v>2015</v>
      </c>
      <c r="L79" s="5966">
        <f t="shared" si="82"/>
        <v>2016</v>
      </c>
      <c r="M79" s="5966">
        <f t="shared" si="82"/>
        <v>2017</v>
      </c>
      <c r="N79" s="5966">
        <f t="shared" si="82"/>
        <v>2018</v>
      </c>
      <c r="O79" s="5966">
        <f t="shared" si="82"/>
        <v>2019</v>
      </c>
      <c r="P79" s="5966">
        <f t="shared" si="82"/>
        <v>2020</v>
      </c>
      <c r="Q79" s="5966">
        <f t="shared" si="82"/>
        <v>2021</v>
      </c>
      <c r="R79" s="5966">
        <f t="shared" si="82"/>
        <v>2022</v>
      </c>
      <c r="S79" s="5966">
        <f t="shared" si="82"/>
        <v>2023</v>
      </c>
      <c r="T79" s="5966">
        <f t="shared" si="82"/>
        <v>2024</v>
      </c>
      <c r="U79" s="1731"/>
    </row>
    <row r="80" spans="1:21" s="1316" customFormat="1" x14ac:dyDescent="0.25">
      <c r="A80" s="1311"/>
      <c r="B80" s="1731"/>
      <c r="C80" s="1637"/>
      <c r="D80" s="1735" t="s">
        <v>206</v>
      </c>
      <c r="E80" s="4286">
        <f>'Finance info'!E28</f>
        <v>0</v>
      </c>
      <c r="F80" s="4286">
        <f>'Finance info'!F28</f>
        <v>85.792540000000002</v>
      </c>
      <c r="G80" s="4286">
        <f>'Finance info'!G28</f>
        <v>86.876559999999998</v>
      </c>
      <c r="H80" s="4286">
        <f>'Finance info'!H28</f>
        <v>142.1378</v>
      </c>
      <c r="I80" s="4286">
        <f>'Finance info'!I28</f>
        <v>200.7</v>
      </c>
      <c r="J80" s="4286">
        <f>'Finance info'!J28</f>
        <v>250.08</v>
      </c>
      <c r="K80" s="1128">
        <f>'WS calcu'!F496</f>
        <v>35.343110436109349</v>
      </c>
      <c r="L80" s="1128">
        <f>'WS calcu'!G496</f>
        <v>12.81379902508073</v>
      </c>
      <c r="M80" s="1128">
        <f>'WS calcu'!H496</f>
        <v>4.645698791903917</v>
      </c>
      <c r="N80" s="1128">
        <f>'WS calcu'!I496</f>
        <v>1.6843183838652043</v>
      </c>
      <c r="O80" s="1128">
        <f>'WS calcu'!J496</f>
        <v>0.61065698516017097</v>
      </c>
      <c r="P80" s="1128">
        <f>'WS calcu'!K496</f>
        <v>0.22139635658976017</v>
      </c>
      <c r="Q80" s="1128">
        <f>'WS calcu'!L496</f>
        <v>8.026821587632145E-2</v>
      </c>
      <c r="R80" s="1128">
        <f>'WS calcu'!M496</f>
        <v>2.9101592181602045E-2</v>
      </c>
      <c r="S80" s="1128">
        <f>'WS calcu'!N496</f>
        <v>1.0550909326416353E-2</v>
      </c>
      <c r="T80" s="1128">
        <f>'WS calcu'!O496</f>
        <v>3.8252782500552292E-3</v>
      </c>
      <c r="U80" s="1731"/>
    </row>
    <row r="81" spans="1:22" s="1316" customFormat="1" x14ac:dyDescent="0.25">
      <c r="A81" s="1311"/>
      <c r="B81" s="1731"/>
      <c r="C81" s="1637"/>
      <c r="D81" s="1735" t="s">
        <v>3770</v>
      </c>
      <c r="E81" s="4286">
        <f>'Finance info'!E29-'Financial Projections'!E22-'Financial Projections'!E41-'Financial Projections'!E60</f>
        <v>0</v>
      </c>
      <c r="F81" s="4286">
        <f>'Finance info'!F29-'Financial Projections'!F22-'Financial Projections'!F41-'Financial Projections'!F60</f>
        <v>72.57987</v>
      </c>
      <c r="G81" s="4286">
        <f>'Finance info'!G29-'Financial Projections'!G22-'Financial Projections'!G41-'Financial Projections'!G60</f>
        <v>64.610830000000007</v>
      </c>
      <c r="H81" s="4286">
        <f>'Finance info'!H29-'Financial Projections'!H22-'Financial Projections'!H41-'Financial Projections'!H60</f>
        <v>98.006529999999984</v>
      </c>
      <c r="I81" s="4286">
        <f>'Finance info'!I29-'Financial Projections'!I22-'Financial Projections'!I41-'Financial Projections'!I60</f>
        <v>174.34</v>
      </c>
      <c r="J81" s="4286">
        <f>'Finance info'!J29-'Financial Projections'!J22-'Financial Projections'!J41-'Financial Projections'!J60</f>
        <v>182.47</v>
      </c>
      <c r="K81" s="3848">
        <v>18.771129689704139</v>
      </c>
      <c r="L81" s="3848">
        <v>30.649079020865656</v>
      </c>
      <c r="M81" s="3848">
        <v>40.516037811543129</v>
      </c>
      <c r="N81" s="3848">
        <v>49.889356200266775</v>
      </c>
      <c r="O81" s="3848">
        <v>59.283771127742284</v>
      </c>
      <c r="P81" s="3848">
        <v>68.907994975002339</v>
      </c>
      <c r="Q81" s="3848">
        <v>78.871640634275082</v>
      </c>
      <c r="R81" s="3848">
        <v>89.201695242499454</v>
      </c>
      <c r="S81" s="3848">
        <v>99.926672737140734</v>
      </c>
      <c r="T81" s="3848">
        <v>111.07129588421958</v>
      </c>
      <c r="U81" s="1731"/>
    </row>
    <row r="82" spans="1:22" s="1316" customFormat="1" x14ac:dyDescent="0.25">
      <c r="A82" s="1311"/>
      <c r="B82" s="1731"/>
      <c r="C82" s="1637"/>
      <c r="D82" s="1735" t="s">
        <v>3749</v>
      </c>
      <c r="E82" s="4286">
        <f>'Finance info'!E30</f>
        <v>0</v>
      </c>
      <c r="F82" s="4286">
        <f>'Finance info'!F30</f>
        <v>601.61822500000017</v>
      </c>
      <c r="G82" s="4286">
        <f>'Finance info'!G30</f>
        <v>655.99288500000011</v>
      </c>
      <c r="H82" s="4286">
        <f>'Finance info'!H30</f>
        <v>761.85159999999996</v>
      </c>
      <c r="I82" s="4286">
        <f>'Finance info'!I30</f>
        <v>1013.9268499999999</v>
      </c>
      <c r="J82" s="4286">
        <f>'Finance info'!J30</f>
        <v>971.39200000000005</v>
      </c>
      <c r="K82" s="3848">
        <v>892.46934377000002</v>
      </c>
      <c r="L82" s="3848">
        <v>929.09602322410001</v>
      </c>
      <c r="M82" s="3848">
        <v>967.23429363215303</v>
      </c>
      <c r="N82" s="3848">
        <v>1006.9469551003565</v>
      </c>
      <c r="O82" s="3848">
        <v>1048.2994373848981</v>
      </c>
      <c r="P82" s="3848">
        <v>1091.3599110260284</v>
      </c>
      <c r="Q82" s="3848">
        <v>1136.1994032301659</v>
      </c>
      <c r="R82" s="3848">
        <v>1182.8919187055053</v>
      </c>
      <c r="S82" s="3848">
        <v>1231.5145656656368</v>
      </c>
      <c r="T82" s="3848">
        <v>1282.1476872251192</v>
      </c>
      <c r="U82" s="1731"/>
    </row>
    <row r="83" spans="1:22" s="1316" customFormat="1" ht="17.25" customHeight="1" x14ac:dyDescent="0.25">
      <c r="A83" s="1311"/>
      <c r="B83" s="1731"/>
      <c r="C83" s="4167"/>
      <c r="D83" s="6012" t="s">
        <v>752</v>
      </c>
      <c r="E83" s="6013"/>
      <c r="F83" s="6014"/>
      <c r="G83" s="6014"/>
      <c r="H83" s="6014"/>
      <c r="I83" s="6014"/>
      <c r="J83" s="6015"/>
      <c r="K83" s="986">
        <f>'WS calcu'!F517+'WS calcu'!F514</f>
        <v>4.5064054396783604</v>
      </c>
      <c r="L83" s="986">
        <f>'WS calcu'!G517+'WS calcu'!G514</f>
        <v>0</v>
      </c>
      <c r="M83" s="986">
        <f>'WS calcu'!H517+'WS calcu'!H514</f>
        <v>0</v>
      </c>
      <c r="N83" s="986">
        <f>'WS calcu'!I517+'WS calcu'!I514</f>
        <v>0</v>
      </c>
      <c r="O83" s="986">
        <f>'WS calcu'!J517+'WS calcu'!J514</f>
        <v>0</v>
      </c>
      <c r="P83" s="986">
        <f>'WS calcu'!K517+'WS calcu'!K514</f>
        <v>0</v>
      </c>
      <c r="Q83" s="986">
        <f>'WS calcu'!L517+'WS calcu'!L514</f>
        <v>0</v>
      </c>
      <c r="R83" s="986">
        <f>'WS calcu'!M517+'WS calcu'!M514</f>
        <v>0</v>
      </c>
      <c r="S83" s="986">
        <f>'WS calcu'!N517+'WS calcu'!N514</f>
        <v>0</v>
      </c>
      <c r="T83" s="986">
        <f>'WS calcu'!O517+'WS calcu'!O514</f>
        <v>0</v>
      </c>
      <c r="U83" s="1731"/>
    </row>
    <row r="84" spans="1:22" s="1316" customFormat="1" x14ac:dyDescent="0.25">
      <c r="A84" s="1311"/>
      <c r="B84" s="1726"/>
      <c r="C84" s="1637"/>
      <c r="D84" s="1735" t="s">
        <v>3750</v>
      </c>
      <c r="E84" s="973">
        <f t="shared" ref="E84:J84" si="83">SUM(E80:E83)</f>
        <v>0</v>
      </c>
      <c r="F84" s="973">
        <f t="shared" si="83"/>
        <v>759.99063500000011</v>
      </c>
      <c r="G84" s="973">
        <f t="shared" si="83"/>
        <v>807.48027500000012</v>
      </c>
      <c r="H84" s="973">
        <f t="shared" si="83"/>
        <v>1001.9959299999999</v>
      </c>
      <c r="I84" s="973">
        <f t="shared" si="83"/>
        <v>1388.9668499999998</v>
      </c>
      <c r="J84" s="973">
        <f t="shared" si="83"/>
        <v>1403.942</v>
      </c>
      <c r="K84" s="973">
        <f>SUM(K80:K83)</f>
        <v>951.08998933549185</v>
      </c>
      <c r="L84" s="973">
        <f t="shared" ref="L84:T84" si="84">SUM(L80:L83)</f>
        <v>972.55890127004636</v>
      </c>
      <c r="M84" s="973">
        <f t="shared" si="84"/>
        <v>1012.3960302356001</v>
      </c>
      <c r="N84" s="973">
        <f t="shared" si="84"/>
        <v>1058.5206296844885</v>
      </c>
      <c r="O84" s="973">
        <f t="shared" si="84"/>
        <v>1108.1938654978005</v>
      </c>
      <c r="P84" s="973">
        <f t="shared" si="84"/>
        <v>1160.4893023576205</v>
      </c>
      <c r="Q84" s="973">
        <f t="shared" si="84"/>
        <v>1215.1513120803172</v>
      </c>
      <c r="R84" s="973">
        <f t="shared" si="84"/>
        <v>1272.1227155401864</v>
      </c>
      <c r="S84" s="973">
        <f t="shared" si="84"/>
        <v>1331.451789312104</v>
      </c>
      <c r="T84" s="973">
        <f t="shared" si="84"/>
        <v>1393.2228083875889</v>
      </c>
      <c r="U84" s="1731"/>
    </row>
    <row r="85" spans="1:22" s="1316" customFormat="1" x14ac:dyDescent="0.25">
      <c r="A85" s="1311"/>
      <c r="B85" s="1726"/>
      <c r="C85" s="1726"/>
      <c r="D85" s="1727"/>
      <c r="E85" s="1726"/>
      <c r="F85" s="1726"/>
      <c r="G85" s="1601"/>
      <c r="H85" s="1601"/>
      <c r="I85" s="1601"/>
      <c r="J85" s="1601"/>
      <c r="K85" s="960"/>
      <c r="L85" s="960"/>
      <c r="M85" s="960"/>
      <c r="N85" s="960"/>
      <c r="O85" s="960"/>
      <c r="P85" s="960"/>
      <c r="Q85" s="960"/>
      <c r="R85" s="960"/>
      <c r="S85" s="960"/>
      <c r="T85" s="960"/>
      <c r="U85" s="1601"/>
    </row>
    <row r="86" spans="1:22" s="1316" customFormat="1" x14ac:dyDescent="0.25">
      <c r="A86" s="1311"/>
      <c r="B86" s="1726"/>
      <c r="C86" s="1637"/>
      <c r="D86" s="1735" t="s">
        <v>190</v>
      </c>
      <c r="E86" s="4286">
        <f>'Finance info'!E33-'Financial Projections'!E29-'Financial Projections'!E48-'Financial Projections'!E67</f>
        <v>-55.488790000000002</v>
      </c>
      <c r="F86" s="4286">
        <f>'Finance info'!F33-'Financial Projections'!F29-'Financial Projections'!F48-'Financial Projections'!F67</f>
        <v>733.59835999999996</v>
      </c>
      <c r="G86" s="4286">
        <f>'Finance info'!G33-'Financial Projections'!G29-'Financial Projections'!G48-'Financial Projections'!G67</f>
        <v>639.84931999999992</v>
      </c>
      <c r="H86" s="4286">
        <f>'Finance info'!H33-'Financial Projections'!H29-'Financial Projections'!H48-'Financial Projections'!H67</f>
        <v>806.71525999999994</v>
      </c>
      <c r="I86" s="4286">
        <f>'Finance info'!I33-'Financial Projections'!I29-'Financial Projections'!I48-'Financial Projections'!I67</f>
        <v>1048.1414</v>
      </c>
      <c r="J86" s="4286">
        <f>'Finance info'!J33-'Financial Projections'!J29-'Financial Projections'!J48-'Financial Projections'!J67</f>
        <v>1212.70433</v>
      </c>
      <c r="K86" s="3848">
        <v>920.3439725043628</v>
      </c>
      <c r="L86" s="3848">
        <v>960.795586916258</v>
      </c>
      <c r="M86" s="3848">
        <v>1003.1277526593872</v>
      </c>
      <c r="N86" s="3848">
        <v>1047.4306399239058</v>
      </c>
      <c r="O86" s="3848">
        <v>1093.7988223055791</v>
      </c>
      <c r="P86" s="3848">
        <v>1142.3314945186401</v>
      </c>
      <c r="Q86" s="3848">
        <v>1193.1327009767042</v>
      </c>
      <c r="R86" s="3848">
        <v>1246.311575788797</v>
      </c>
      <c r="S86" s="3848">
        <v>1301.9825947453101</v>
      </c>
      <c r="T86" s="3848">
        <v>1360.2658398978642</v>
      </c>
      <c r="U86" s="1601"/>
    </row>
    <row r="87" spans="1:22" s="1316" customFormat="1" x14ac:dyDescent="0.25">
      <c r="A87" s="1311"/>
      <c r="B87" s="1726"/>
      <c r="C87" s="1726"/>
      <c r="D87" s="1727"/>
      <c r="E87" s="1726"/>
      <c r="F87" s="1726"/>
      <c r="G87" s="1726"/>
      <c r="H87" s="1726"/>
      <c r="I87" s="1726"/>
      <c r="J87" s="1726"/>
      <c r="K87" s="3491"/>
      <c r="L87" s="3491"/>
      <c r="M87" s="3491"/>
      <c r="N87" s="3491"/>
      <c r="O87" s="3491"/>
      <c r="P87" s="3491"/>
      <c r="Q87" s="3491"/>
      <c r="R87" s="3491"/>
      <c r="S87" s="3491"/>
      <c r="T87" s="3491"/>
      <c r="U87" s="1601"/>
    </row>
    <row r="88" spans="1:22" s="1316" customFormat="1" x14ac:dyDescent="0.25">
      <c r="A88" s="1311"/>
      <c r="B88" s="1726"/>
      <c r="C88" s="1637"/>
      <c r="D88" s="1735" t="s">
        <v>192</v>
      </c>
      <c r="E88" s="4286">
        <f>'Finance info'!E35-'Financial Projections'!E31-'Financial Projections'!E50-'Financial Projections'!E69</f>
        <v>0</v>
      </c>
      <c r="F88" s="4286">
        <f>'Finance info'!F35-'Financial Projections'!F31-'Financial Projections'!F50-'Financial Projections'!F69</f>
        <v>196.53337499999998</v>
      </c>
      <c r="G88" s="4286">
        <f>'Finance info'!G35-'Financial Projections'!G31-'Financial Projections'!G50-'Financial Projections'!G69</f>
        <v>644.02077500000007</v>
      </c>
      <c r="H88" s="4286">
        <f>'Finance info'!H35-'Financial Projections'!H31-'Financial Projections'!H50-'Financial Projections'!H69</f>
        <v>128.93708999999998</v>
      </c>
      <c r="I88" s="4286">
        <f>'Finance info'!I35-'Financial Projections'!I31-'Financial Projections'!I50-'Financial Projections'!I69</f>
        <v>962.6</v>
      </c>
      <c r="J88" s="4286">
        <f>'Finance info'!J35-'Financial Projections'!J31-'Financial Projections'!J50-'Financial Projections'!J69</f>
        <v>688.2</v>
      </c>
      <c r="K88" s="3848"/>
      <c r="L88" s="3848"/>
      <c r="M88" s="3848"/>
      <c r="N88" s="3848"/>
      <c r="O88" s="3848"/>
      <c r="P88" s="3848"/>
      <c r="Q88" s="3848"/>
      <c r="R88" s="3848"/>
      <c r="S88" s="3848"/>
      <c r="T88" s="3848"/>
      <c r="U88" s="1601"/>
    </row>
    <row r="89" spans="1:22" s="1316" customFormat="1" x14ac:dyDescent="0.25">
      <c r="A89" s="1311"/>
      <c r="B89" s="1726"/>
      <c r="C89" s="1637"/>
      <c r="D89" s="1735" t="s">
        <v>146</v>
      </c>
      <c r="E89" s="4286">
        <f>'Finance info'!E36-'Financial Projections'!E35-'Financial Projections'!E54-'Financial Projections'!E73</f>
        <v>0</v>
      </c>
      <c r="F89" s="4286">
        <f>'Finance info'!F36-'Financial Projections'!F35-'Financial Projections'!F54-'Financial Projections'!F73</f>
        <v>188.28072999999998</v>
      </c>
      <c r="G89" s="4286">
        <f>'Finance info'!G36-'Financial Projections'!G35-'Financial Projections'!G54-'Financial Projections'!G73</f>
        <v>958.62439000000006</v>
      </c>
      <c r="H89" s="4286">
        <f>'Finance info'!H36-'Financial Projections'!H35-'Financial Projections'!H54-'Financial Projections'!H73</f>
        <v>215.00096000000002</v>
      </c>
      <c r="I89" s="4286">
        <f>'Finance info'!I36-'Financial Projections'!I35-'Financial Projections'!I54-'Financial Projections'!I73</f>
        <v>939.1</v>
      </c>
      <c r="J89" s="4286">
        <f>'Finance info'!J36-'Financial Projections'!J35-'Financial Projections'!J54-'Financial Projections'!J73</f>
        <v>471.2</v>
      </c>
      <c r="K89" s="3848"/>
      <c r="L89" s="3848"/>
      <c r="M89" s="3848"/>
      <c r="N89" s="3848"/>
      <c r="O89" s="3848"/>
      <c r="P89" s="3848"/>
      <c r="Q89" s="3848"/>
      <c r="R89" s="3848"/>
      <c r="S89" s="3848"/>
      <c r="T89" s="3848"/>
      <c r="U89" s="1601"/>
    </row>
    <row r="90" spans="1:22" s="1316" customFormat="1" x14ac:dyDescent="0.25">
      <c r="A90" s="1311"/>
      <c r="B90" s="1726"/>
      <c r="C90" s="1726"/>
      <c r="D90" s="1727"/>
      <c r="E90" s="1726"/>
      <c r="F90" s="1726"/>
      <c r="G90" s="1601"/>
      <c r="H90" s="1601"/>
      <c r="I90" s="1601"/>
      <c r="J90" s="1601"/>
      <c r="K90" s="1601"/>
      <c r="L90" s="1601"/>
      <c r="M90" s="1601"/>
      <c r="N90" s="1601"/>
      <c r="O90" s="1601"/>
      <c r="P90" s="1601"/>
      <c r="Q90" s="1601"/>
      <c r="R90" s="1601"/>
      <c r="S90" s="1601"/>
      <c r="T90" s="1601"/>
      <c r="U90" s="1601"/>
    </row>
    <row r="91" spans="1:22" s="1316" customFormat="1" hidden="1" x14ac:dyDescent="0.25">
      <c r="A91" s="1311"/>
      <c r="B91" s="1726"/>
      <c r="C91" s="1726"/>
      <c r="D91" s="1727"/>
      <c r="E91" s="1726"/>
      <c r="F91" s="1726"/>
      <c r="G91" s="1601"/>
      <c r="H91" s="1601"/>
      <c r="I91" s="1601"/>
      <c r="J91" s="1601"/>
      <c r="K91" s="1601"/>
      <c r="L91" s="1601"/>
      <c r="M91" s="1601"/>
      <c r="N91" s="1601"/>
      <c r="O91" s="1601"/>
      <c r="P91" s="1601"/>
      <c r="Q91" s="1601"/>
      <c r="R91" s="1601"/>
      <c r="S91" s="1601"/>
      <c r="T91" s="1601"/>
      <c r="U91" s="1731"/>
    </row>
    <row r="92" spans="1:22" s="1316" customFormat="1" hidden="1" x14ac:dyDescent="0.25">
      <c r="A92" s="1311"/>
      <c r="B92" s="1726"/>
      <c r="C92" s="1726"/>
      <c r="D92" s="1727"/>
      <c r="E92" s="1726"/>
      <c r="F92" s="1726"/>
      <c r="G92" s="1601"/>
      <c r="H92" s="1601"/>
      <c r="I92" s="1601"/>
      <c r="J92" s="1601"/>
      <c r="K92" s="1601"/>
      <c r="L92" s="1601"/>
      <c r="M92" s="1601"/>
      <c r="N92" s="1601"/>
      <c r="O92" s="1601"/>
      <c r="P92" s="1601"/>
      <c r="Q92" s="1601"/>
      <c r="R92" s="1601"/>
      <c r="S92" s="1601"/>
      <c r="T92" s="1601"/>
      <c r="U92" s="1731"/>
    </row>
    <row r="93" spans="1:22" s="1316" customFormat="1" hidden="1" x14ac:dyDescent="0.25">
      <c r="A93" s="1311"/>
      <c r="B93" s="1731"/>
      <c r="C93" s="1731"/>
      <c r="D93" s="1731"/>
      <c r="E93" s="1731"/>
      <c r="F93" s="1731"/>
      <c r="G93" s="1731"/>
      <c r="H93" s="1731"/>
      <c r="I93" s="1731"/>
      <c r="J93" s="1731"/>
      <c r="K93" s="1731"/>
      <c r="L93" s="1311"/>
      <c r="U93" s="1731"/>
    </row>
    <row r="94" spans="1:22" s="1026" customFormat="1" ht="26.25" hidden="1" customHeight="1" x14ac:dyDescent="0.25">
      <c r="B94" s="1390"/>
      <c r="C94" s="1392" t="s">
        <v>1</v>
      </c>
      <c r="D94" s="1392" t="s">
        <v>1019</v>
      </c>
      <c r="E94" s="1391"/>
      <c r="F94" s="1391"/>
      <c r="G94" s="1391"/>
      <c r="H94" s="1391"/>
      <c r="I94" s="1391"/>
      <c r="J94" s="1391"/>
      <c r="K94" s="1391"/>
      <c r="L94" s="1391"/>
      <c r="M94" s="1391"/>
      <c r="N94" s="1391"/>
      <c r="O94" s="1391"/>
      <c r="P94" s="1391"/>
      <c r="Q94" s="1391"/>
      <c r="R94" s="1391"/>
      <c r="S94" s="1391"/>
      <c r="T94" s="5964" t="str">
        <f>CONCATENATE("All figures in ",'General info'!$E$43," ",'General info'!$G$43)</f>
        <v>All figures in INR Lakhs</v>
      </c>
      <c r="U94" s="5579"/>
      <c r="V94" s="1025"/>
    </row>
    <row r="95" spans="1:22" s="508" customFormat="1" ht="18.75" hidden="1" x14ac:dyDescent="0.25">
      <c r="B95" s="505"/>
      <c r="C95" s="505" t="s">
        <v>2</v>
      </c>
      <c r="D95" s="505" t="s">
        <v>195</v>
      </c>
      <c r="E95" s="506"/>
      <c r="F95" s="506"/>
      <c r="G95" s="506"/>
      <c r="H95" s="506"/>
      <c r="I95" s="506"/>
      <c r="J95" s="506"/>
      <c r="K95" s="1103"/>
      <c r="L95" s="1103"/>
      <c r="M95" s="1103"/>
      <c r="N95" s="1103"/>
      <c r="O95" s="1103"/>
      <c r="P95" s="1103"/>
      <c r="Q95" s="1103"/>
      <c r="R95" s="1103"/>
      <c r="S95" s="1103"/>
      <c r="T95" s="1103"/>
      <c r="U95" s="5580"/>
    </row>
    <row r="96" spans="1:22" s="512" customFormat="1" ht="15.75" hidden="1" x14ac:dyDescent="0.25">
      <c r="B96" s="511"/>
      <c r="C96" s="513" t="s">
        <v>725</v>
      </c>
      <c r="D96" s="509" t="s">
        <v>196</v>
      </c>
      <c r="E96" s="956"/>
      <c r="F96" s="956"/>
      <c r="G96" s="956"/>
      <c r="H96" s="956"/>
      <c r="I96" s="956"/>
      <c r="J96" s="956"/>
      <c r="K96" s="956"/>
      <c r="L96" s="956"/>
      <c r="M96" s="956"/>
      <c r="N96" s="956"/>
      <c r="O96" s="956"/>
      <c r="P96" s="956"/>
      <c r="Q96" s="956"/>
      <c r="R96" s="956"/>
      <c r="S96" s="956"/>
      <c r="T96" s="956"/>
      <c r="U96" s="510"/>
    </row>
    <row r="97" spans="2:24" hidden="1" x14ac:dyDescent="0.25">
      <c r="B97" s="499"/>
      <c r="C97" s="1554" t="s">
        <v>3373</v>
      </c>
      <c r="D97" s="1554" t="s">
        <v>4</v>
      </c>
      <c r="E97" s="971" t="str">
        <f>'Finance info'!E$99</f>
        <v xml:space="preserve">2009 </v>
      </c>
      <c r="F97" s="971" t="str">
        <f>'Finance info'!F$99</f>
        <v>2010  (A)</v>
      </c>
      <c r="G97" s="971" t="str">
        <f>'Finance info'!G$99</f>
        <v>2011  (A)</v>
      </c>
      <c r="H97" s="971" t="str">
        <f>'Finance info'!H$99</f>
        <v>2012  (A)</v>
      </c>
      <c r="I97" s="971" t="str">
        <f>'Finance info'!I$99</f>
        <v>2013  (RE)</v>
      </c>
      <c r="J97" s="971" t="str">
        <f>'Finance info'!J$99</f>
        <v>2014 (BE)</v>
      </c>
      <c r="K97" s="972">
        <f>IFERROR('General info'!$E$20+1,"")</f>
        <v>2015</v>
      </c>
      <c r="L97" s="972">
        <f t="shared" ref="L97:T97" si="85">IFERROR(K97+1,"")</f>
        <v>2016</v>
      </c>
      <c r="M97" s="972">
        <f t="shared" si="85"/>
        <v>2017</v>
      </c>
      <c r="N97" s="972">
        <f t="shared" si="85"/>
        <v>2018</v>
      </c>
      <c r="O97" s="972">
        <f t="shared" si="85"/>
        <v>2019</v>
      </c>
      <c r="P97" s="972">
        <f t="shared" si="85"/>
        <v>2020</v>
      </c>
      <c r="Q97" s="972">
        <f t="shared" si="85"/>
        <v>2021</v>
      </c>
      <c r="R97" s="972">
        <f t="shared" si="85"/>
        <v>2022</v>
      </c>
      <c r="S97" s="972">
        <f t="shared" si="85"/>
        <v>2023</v>
      </c>
      <c r="T97" s="972">
        <f t="shared" si="85"/>
        <v>2024</v>
      </c>
      <c r="U97" s="502"/>
    </row>
    <row r="98" spans="2:24" ht="30" hidden="1" customHeight="1" x14ac:dyDescent="0.25">
      <c r="B98" s="499"/>
      <c r="C98" s="6806">
        <v>1</v>
      </c>
      <c r="D98" s="1126" t="s">
        <v>1264</v>
      </c>
      <c r="E98" s="6804">
        <f>SUM('Finance info'!E$152:E$154)</f>
        <v>0</v>
      </c>
      <c r="F98" s="6804">
        <f>SUM('Finance info'!F$152:F$154)</f>
        <v>0</v>
      </c>
      <c r="G98" s="6804">
        <f>SUM('Finance info'!G$152:G$154)</f>
        <v>0</v>
      </c>
      <c r="H98" s="6804">
        <f>SUM('Finance info'!H$152:H$154)</f>
        <v>0</v>
      </c>
      <c r="I98" s="6804">
        <f>SUM('Finance info'!I$152:I$154)</f>
        <v>0</v>
      </c>
      <c r="J98" s="6804">
        <f>SUM('Finance info'!J$152:J$154)</f>
        <v>0</v>
      </c>
      <c r="K98" s="493"/>
      <c r="L98" s="493"/>
      <c r="M98" s="493"/>
      <c r="N98" s="493"/>
      <c r="O98" s="493"/>
      <c r="P98" s="493"/>
      <c r="Q98" s="493"/>
      <c r="R98" s="493"/>
      <c r="S98" s="493"/>
      <c r="T98" s="493"/>
      <c r="U98" s="502"/>
      <c r="V98" s="1104"/>
    </row>
    <row r="99" spans="2:24" hidden="1" x14ac:dyDescent="0.25">
      <c r="B99" s="499"/>
      <c r="C99" s="6807"/>
      <c r="D99" s="1127" t="s">
        <v>1265</v>
      </c>
      <c r="E99" s="6805"/>
      <c r="F99" s="6805"/>
      <c r="G99" s="6805"/>
      <c r="H99" s="6805"/>
      <c r="I99" s="6805"/>
      <c r="J99" s="6805"/>
      <c r="K99" s="5569"/>
      <c r="L99" s="3888"/>
      <c r="M99" s="3888"/>
      <c r="N99" s="3888"/>
      <c r="O99" s="3888"/>
      <c r="P99" s="3888"/>
      <c r="Q99" s="3888"/>
      <c r="R99" s="3888"/>
      <c r="S99" s="3888"/>
      <c r="T99" s="3888"/>
      <c r="U99" s="502"/>
      <c r="V99" s="1104"/>
    </row>
    <row r="100" spans="2:24" hidden="1" x14ac:dyDescent="0.25">
      <c r="B100" s="499"/>
      <c r="C100" s="58">
        <v>2</v>
      </c>
      <c r="D100" s="969" t="s">
        <v>1028</v>
      </c>
      <c r="E100" s="975">
        <f>'Finance info'!E155</f>
        <v>0</v>
      </c>
      <c r="F100" s="975">
        <f>'Finance info'!F155</f>
        <v>0</v>
      </c>
      <c r="G100" s="975">
        <f>'Finance info'!G155</f>
        <v>0</v>
      </c>
      <c r="H100" s="975">
        <f>'Finance info'!H155</f>
        <v>0</v>
      </c>
      <c r="I100" s="975">
        <f>'Finance info'!I155</f>
        <v>0</v>
      </c>
      <c r="J100" s="976">
        <f>'Finance info'!J155</f>
        <v>0</v>
      </c>
      <c r="K100" s="3888"/>
      <c r="L100" s="3888"/>
      <c r="M100" s="3888"/>
      <c r="N100" s="3888"/>
      <c r="O100" s="3888"/>
      <c r="P100" s="3888"/>
      <c r="Q100" s="3888"/>
      <c r="R100" s="3888"/>
      <c r="S100" s="3888"/>
      <c r="T100" s="3888"/>
      <c r="U100" s="500"/>
    </row>
    <row r="101" spans="2:24" hidden="1" x14ac:dyDescent="0.25">
      <c r="B101" s="499"/>
      <c r="C101" s="58">
        <v>3</v>
      </c>
      <c r="D101" s="969" t="s">
        <v>1262</v>
      </c>
      <c r="E101" s="975">
        <f>'Finance info'!E156</f>
        <v>0</v>
      </c>
      <c r="F101" s="975">
        <f>'Finance info'!F156</f>
        <v>0</v>
      </c>
      <c r="G101" s="975">
        <f>'Finance info'!G156</f>
        <v>0</v>
      </c>
      <c r="H101" s="975">
        <f>'Finance info'!H156</f>
        <v>0</v>
      </c>
      <c r="I101" s="975">
        <f>'Finance info'!I156</f>
        <v>0</v>
      </c>
      <c r="J101" s="976">
        <f>'Finance info'!J156</f>
        <v>0</v>
      </c>
      <c r="K101" s="3888"/>
      <c r="L101" s="3888"/>
      <c r="M101" s="3888"/>
      <c r="N101" s="3888"/>
      <c r="O101" s="3888"/>
      <c r="P101" s="3888"/>
      <c r="Q101" s="3888"/>
      <c r="R101" s="3888"/>
      <c r="S101" s="3888"/>
      <c r="T101" s="3888"/>
      <c r="U101" s="502"/>
    </row>
    <row r="102" spans="2:24" s="498" customFormat="1" hidden="1" x14ac:dyDescent="0.25">
      <c r="B102" s="500"/>
      <c r="C102" s="968">
        <v>4</v>
      </c>
      <c r="D102" s="967" t="s">
        <v>3090</v>
      </c>
      <c r="E102" s="983"/>
      <c r="F102" s="984"/>
      <c r="G102" s="984"/>
      <c r="H102" s="984"/>
      <c r="I102" s="984"/>
      <c r="J102" s="985"/>
      <c r="U102" s="500"/>
    </row>
    <row r="103" spans="2:24" s="496" customFormat="1" hidden="1" x14ac:dyDescent="0.25">
      <c r="B103" s="503"/>
      <c r="C103" s="989"/>
      <c r="D103" s="989" t="s">
        <v>16</v>
      </c>
      <c r="E103" s="990">
        <f t="shared" ref="E103:I103" si="86">SUM(E98:E102)</f>
        <v>0</v>
      </c>
      <c r="F103" s="990">
        <f t="shared" si="86"/>
        <v>0</v>
      </c>
      <c r="G103" s="990">
        <f t="shared" si="86"/>
        <v>0</v>
      </c>
      <c r="H103" s="990">
        <f t="shared" si="86"/>
        <v>0</v>
      </c>
      <c r="I103" s="990">
        <f t="shared" si="86"/>
        <v>0</v>
      </c>
      <c r="J103" s="990">
        <f>SUM(J98:J102)</f>
        <v>0</v>
      </c>
      <c r="U103" s="500"/>
      <c r="X103" s="493"/>
    </row>
    <row r="104" spans="2:24" hidden="1" x14ac:dyDescent="0.25">
      <c r="B104" s="499"/>
      <c r="C104" s="499"/>
      <c r="D104" s="499"/>
      <c r="E104" s="499"/>
      <c r="F104" s="499"/>
      <c r="G104" s="499"/>
      <c r="H104" s="499"/>
      <c r="I104" s="499"/>
      <c r="J104" s="499"/>
      <c r="K104" s="716"/>
      <c r="L104" s="716"/>
      <c r="M104" s="716"/>
      <c r="N104" s="716"/>
      <c r="O104" s="716"/>
      <c r="P104" s="716"/>
      <c r="Q104" s="716"/>
      <c r="R104" s="716"/>
      <c r="S104" s="716"/>
      <c r="T104" s="716"/>
      <c r="U104" s="502"/>
    </row>
    <row r="105" spans="2:24" s="955" customFormat="1" ht="15.75" hidden="1" x14ac:dyDescent="0.25">
      <c r="B105" s="727"/>
      <c r="C105" s="513" t="s">
        <v>726</v>
      </c>
      <c r="D105" s="509" t="s">
        <v>197</v>
      </c>
      <c r="E105" s="727"/>
      <c r="F105" s="956"/>
      <c r="G105" s="956"/>
      <c r="H105" s="956"/>
      <c r="I105" s="956"/>
      <c r="J105" s="956"/>
      <c r="K105" s="956"/>
      <c r="L105" s="956"/>
      <c r="M105" s="956"/>
      <c r="N105" s="956"/>
      <c r="O105" s="956"/>
      <c r="P105" s="956"/>
      <c r="Q105" s="956"/>
      <c r="R105" s="956"/>
      <c r="S105" s="956"/>
      <c r="T105" s="956"/>
      <c r="U105" s="510"/>
    </row>
    <row r="106" spans="2:24" hidden="1" x14ac:dyDescent="0.25">
      <c r="B106" s="499"/>
      <c r="C106" s="1554" t="s">
        <v>3373</v>
      </c>
      <c r="D106" s="1554" t="s">
        <v>4</v>
      </c>
      <c r="E106" s="971" t="str">
        <f>E$97</f>
        <v xml:space="preserve">2009 </v>
      </c>
      <c r="F106" s="971" t="str">
        <f t="shared" ref="F106:T106" si="87">F$97</f>
        <v>2010  (A)</v>
      </c>
      <c r="G106" s="971" t="str">
        <f t="shared" si="87"/>
        <v>2011  (A)</v>
      </c>
      <c r="H106" s="971" t="str">
        <f t="shared" si="87"/>
        <v>2012  (A)</v>
      </c>
      <c r="I106" s="971" t="str">
        <f t="shared" si="87"/>
        <v>2013  (RE)</v>
      </c>
      <c r="J106" s="971" t="str">
        <f t="shared" si="87"/>
        <v>2014 (BE)</v>
      </c>
      <c r="K106" s="972">
        <f t="shared" si="87"/>
        <v>2015</v>
      </c>
      <c r="L106" s="972">
        <f t="shared" si="87"/>
        <v>2016</v>
      </c>
      <c r="M106" s="972">
        <f t="shared" si="87"/>
        <v>2017</v>
      </c>
      <c r="N106" s="972">
        <f t="shared" si="87"/>
        <v>2018</v>
      </c>
      <c r="O106" s="972">
        <f t="shared" si="87"/>
        <v>2019</v>
      </c>
      <c r="P106" s="972">
        <f t="shared" si="87"/>
        <v>2020</v>
      </c>
      <c r="Q106" s="972">
        <f t="shared" si="87"/>
        <v>2021</v>
      </c>
      <c r="R106" s="972">
        <f t="shared" si="87"/>
        <v>2022</v>
      </c>
      <c r="S106" s="972">
        <f t="shared" si="87"/>
        <v>2023</v>
      </c>
      <c r="T106" s="972">
        <f t="shared" si="87"/>
        <v>2024</v>
      </c>
      <c r="U106" s="502"/>
    </row>
    <row r="107" spans="2:24" hidden="1" x14ac:dyDescent="0.25">
      <c r="B107" s="499"/>
      <c r="C107" s="3377">
        <v>1</v>
      </c>
      <c r="D107" s="3378" t="s">
        <v>1029</v>
      </c>
      <c r="E107" s="3379">
        <f>'Finance info'!E$161</f>
        <v>0</v>
      </c>
      <c r="F107" s="3379">
        <f>'Finance info'!F$161</f>
        <v>0</v>
      </c>
      <c r="G107" s="3379">
        <f>'Finance info'!G$161</f>
        <v>0</v>
      </c>
      <c r="H107" s="3379">
        <f>'Finance info'!H$161</f>
        <v>0</v>
      </c>
      <c r="I107" s="3379">
        <f>'Finance info'!I$161</f>
        <v>0</v>
      </c>
      <c r="J107" s="3380">
        <f>'Finance info'!J$161</f>
        <v>0</v>
      </c>
      <c r="K107" s="3888"/>
      <c r="L107" s="3888"/>
      <c r="M107" s="3888"/>
      <c r="N107" s="3888"/>
      <c r="O107" s="3888"/>
      <c r="P107" s="3888"/>
      <c r="Q107" s="3888"/>
      <c r="R107" s="3888"/>
      <c r="S107" s="3888"/>
      <c r="T107" s="3888"/>
      <c r="U107" s="502"/>
    </row>
    <row r="108" spans="2:24" ht="30.75" hidden="1" customHeight="1" x14ac:dyDescent="0.25">
      <c r="B108" s="499"/>
      <c r="C108" s="3377">
        <v>2</v>
      </c>
      <c r="D108" s="1581" t="s">
        <v>1074</v>
      </c>
      <c r="E108" s="3379">
        <f>'Finance info'!E162</f>
        <v>0</v>
      </c>
      <c r="F108" s="3379">
        <f>'Finance info'!F162</f>
        <v>0</v>
      </c>
      <c r="G108" s="3379">
        <f>'Finance info'!G162</f>
        <v>0</v>
      </c>
      <c r="H108" s="3379">
        <f>'Finance info'!H162</f>
        <v>0</v>
      </c>
      <c r="I108" s="3379">
        <f>'Finance info'!I162</f>
        <v>0</v>
      </c>
      <c r="J108" s="3380">
        <f>'Finance info'!J162</f>
        <v>0</v>
      </c>
      <c r="K108" s="3888"/>
      <c r="L108" s="3888"/>
      <c r="M108" s="3888"/>
      <c r="N108" s="3888"/>
      <c r="O108" s="3888"/>
      <c r="P108" s="3888"/>
      <c r="Q108" s="3888"/>
      <c r="R108" s="3888"/>
      <c r="S108" s="3888"/>
      <c r="T108" s="3888"/>
      <c r="U108" s="502"/>
    </row>
    <row r="109" spans="2:24" hidden="1" x14ac:dyDescent="0.25">
      <c r="B109" s="499"/>
      <c r="C109" s="3377">
        <v>3</v>
      </c>
      <c r="D109" s="1559" t="s">
        <v>1876</v>
      </c>
      <c r="E109" s="3379">
        <f>'Finance info'!E163</f>
        <v>0</v>
      </c>
      <c r="F109" s="3379">
        <f>'Finance info'!F163</f>
        <v>0</v>
      </c>
      <c r="G109" s="3379">
        <f>'Finance info'!G163</f>
        <v>0</v>
      </c>
      <c r="H109" s="3379">
        <f>'Finance info'!H163</f>
        <v>0</v>
      </c>
      <c r="I109" s="3379">
        <f>'Finance info'!I163</f>
        <v>0</v>
      </c>
      <c r="J109" s="3380">
        <f>'Finance info'!J163</f>
        <v>0</v>
      </c>
      <c r="K109" s="3888"/>
      <c r="L109" s="3888"/>
      <c r="M109" s="3888"/>
      <c r="N109" s="3888"/>
      <c r="O109" s="3888"/>
      <c r="P109" s="3888"/>
      <c r="Q109" s="3888"/>
      <c r="R109" s="3888"/>
      <c r="S109" s="3888"/>
      <c r="T109" s="3888"/>
      <c r="U109" s="502"/>
    </row>
    <row r="110" spans="2:24" ht="27.75" hidden="1" x14ac:dyDescent="0.25">
      <c r="B110" s="499"/>
      <c r="C110" s="3377">
        <v>4</v>
      </c>
      <c r="D110" s="44" t="s">
        <v>1877</v>
      </c>
      <c r="E110" s="3379">
        <f>'Finance info'!E164</f>
        <v>0</v>
      </c>
      <c r="F110" s="3379">
        <f>'Finance info'!F164</f>
        <v>0</v>
      </c>
      <c r="G110" s="3379">
        <f>'Finance info'!G164</f>
        <v>0</v>
      </c>
      <c r="H110" s="3379">
        <f>'Finance info'!H164</f>
        <v>0</v>
      </c>
      <c r="I110" s="3379">
        <f>'Finance info'!I164</f>
        <v>0</v>
      </c>
      <c r="J110" s="3380">
        <f>'Finance info'!J164</f>
        <v>0</v>
      </c>
      <c r="K110" s="3888"/>
      <c r="L110" s="3888"/>
      <c r="M110" s="3888"/>
      <c r="N110" s="3888"/>
      <c r="O110" s="3888"/>
      <c r="P110" s="3888"/>
      <c r="Q110" s="3888"/>
      <c r="R110" s="3888"/>
      <c r="S110" s="3888"/>
      <c r="T110" s="3888"/>
      <c r="U110" s="502"/>
    </row>
    <row r="111" spans="2:24" hidden="1" x14ac:dyDescent="0.25">
      <c r="B111" s="499"/>
      <c r="C111" s="3377">
        <v>5</v>
      </c>
      <c r="D111" s="3381" t="s">
        <v>55</v>
      </c>
      <c r="E111" s="3379">
        <f>'Finance info'!E165</f>
        <v>0</v>
      </c>
      <c r="F111" s="3379">
        <f>'Finance info'!F165</f>
        <v>0</v>
      </c>
      <c r="G111" s="3379">
        <f>'Finance info'!G165</f>
        <v>0</v>
      </c>
      <c r="H111" s="3379">
        <f>'Finance info'!H165</f>
        <v>0</v>
      </c>
      <c r="I111" s="3379">
        <f>'Finance info'!I165</f>
        <v>0</v>
      </c>
      <c r="J111" s="3380">
        <f>'Finance info'!J165</f>
        <v>0</v>
      </c>
      <c r="K111" s="3888"/>
      <c r="L111" s="3888"/>
      <c r="M111" s="3888"/>
      <c r="N111" s="3888"/>
      <c r="O111" s="3888"/>
      <c r="P111" s="3888"/>
      <c r="Q111" s="3888"/>
      <c r="R111" s="3888"/>
      <c r="S111" s="3888"/>
      <c r="T111" s="3888"/>
      <c r="U111" s="502"/>
    </row>
    <row r="112" spans="2:24" hidden="1" x14ac:dyDescent="0.25">
      <c r="B112" s="499"/>
      <c r="C112" s="3377">
        <v>6</v>
      </c>
      <c r="D112" s="3382" t="s">
        <v>54</v>
      </c>
      <c r="E112" s="3379">
        <f>'Finance info'!E166</f>
        <v>0</v>
      </c>
      <c r="F112" s="3379">
        <f>'Finance info'!F166</f>
        <v>0</v>
      </c>
      <c r="G112" s="3379">
        <f>'Finance info'!G166</f>
        <v>0</v>
      </c>
      <c r="H112" s="3379">
        <f>'Finance info'!H166</f>
        <v>0</v>
      </c>
      <c r="I112" s="3379">
        <f>'Finance info'!I166</f>
        <v>0</v>
      </c>
      <c r="J112" s="3380">
        <f>'Finance info'!J166</f>
        <v>0</v>
      </c>
      <c r="K112" s="3888"/>
      <c r="L112" s="3888"/>
      <c r="M112" s="3888"/>
      <c r="N112" s="3888"/>
      <c r="O112" s="3888"/>
      <c r="P112" s="3888"/>
      <c r="Q112" s="3888"/>
      <c r="R112" s="3888"/>
      <c r="S112" s="3888"/>
      <c r="T112" s="3888"/>
      <c r="U112" s="502"/>
    </row>
    <row r="113" spans="2:24" s="498" customFormat="1" hidden="1" x14ac:dyDescent="0.25">
      <c r="B113" s="500"/>
      <c r="C113" s="968">
        <v>7</v>
      </c>
      <c r="D113" s="967" t="s">
        <v>3091</v>
      </c>
      <c r="E113" s="983"/>
      <c r="F113" s="984"/>
      <c r="G113" s="984"/>
      <c r="H113" s="984"/>
      <c r="I113" s="984"/>
      <c r="J113" s="985"/>
      <c r="U113" s="500"/>
    </row>
    <row r="114" spans="2:24" s="496" customFormat="1" hidden="1" x14ac:dyDescent="0.25">
      <c r="B114" s="503"/>
      <c r="C114" s="989"/>
      <c r="D114" s="989" t="s">
        <v>16</v>
      </c>
      <c r="E114" s="990">
        <f t="shared" ref="E114:J114" si="88">SUM(E107:E113)</f>
        <v>0</v>
      </c>
      <c r="F114" s="990">
        <f t="shared" si="88"/>
        <v>0</v>
      </c>
      <c r="G114" s="990">
        <f t="shared" si="88"/>
        <v>0</v>
      </c>
      <c r="H114" s="990">
        <f t="shared" si="88"/>
        <v>0</v>
      </c>
      <c r="I114" s="990">
        <f t="shared" si="88"/>
        <v>0</v>
      </c>
      <c r="J114" s="990">
        <f t="shared" si="88"/>
        <v>0</v>
      </c>
      <c r="U114" s="500"/>
      <c r="X114" s="493"/>
    </row>
    <row r="115" spans="2:24" hidden="1" x14ac:dyDescent="0.25">
      <c r="B115" s="502"/>
      <c r="C115" s="502"/>
      <c r="D115" s="502"/>
      <c r="E115" s="502"/>
      <c r="F115" s="957"/>
      <c r="G115" s="957"/>
      <c r="H115" s="957"/>
      <c r="I115" s="957"/>
      <c r="J115" s="957"/>
      <c r="K115" s="1111"/>
      <c r="L115" s="1111"/>
      <c r="M115" s="1111"/>
      <c r="N115" s="1111"/>
      <c r="O115" s="1111"/>
      <c r="P115" s="1111"/>
      <c r="Q115" s="1111"/>
      <c r="R115" s="1111"/>
      <c r="S115" s="1111"/>
      <c r="T115" s="1111"/>
      <c r="U115" s="502"/>
    </row>
    <row r="116" spans="2:24" s="508" customFormat="1" ht="18.75" hidden="1" x14ac:dyDescent="0.25">
      <c r="B116" s="505"/>
      <c r="C116" s="505" t="s">
        <v>8</v>
      </c>
      <c r="D116" s="505" t="s">
        <v>198</v>
      </c>
      <c r="E116" s="506"/>
      <c r="F116" s="506"/>
      <c r="G116" s="506"/>
      <c r="H116" s="507"/>
      <c r="I116" s="506"/>
      <c r="J116" s="506"/>
      <c r="K116" s="506"/>
      <c r="L116" s="506"/>
      <c r="M116" s="506"/>
      <c r="N116" s="506"/>
      <c r="O116" s="506"/>
      <c r="P116" s="506"/>
      <c r="Q116" s="506"/>
      <c r="R116" s="506"/>
      <c r="S116" s="506"/>
      <c r="T116" s="506"/>
      <c r="U116" s="5580"/>
    </row>
    <row r="117" spans="2:24" s="512" customFormat="1" ht="15.75" hidden="1" x14ac:dyDescent="0.25">
      <c r="B117" s="511"/>
      <c r="C117" s="513" t="s">
        <v>725</v>
      </c>
      <c r="D117" s="509" t="s">
        <v>193</v>
      </c>
      <c r="E117" s="502"/>
      <c r="F117" s="510"/>
      <c r="G117" s="511"/>
      <c r="H117" s="511"/>
      <c r="I117" s="511"/>
      <c r="J117" s="511"/>
      <c r="K117" s="511"/>
      <c r="L117" s="511"/>
      <c r="M117" s="511"/>
      <c r="N117" s="511"/>
      <c r="O117" s="511"/>
      <c r="P117" s="511"/>
      <c r="Q117" s="511"/>
      <c r="R117" s="511"/>
      <c r="S117" s="511"/>
      <c r="T117" s="511"/>
      <c r="U117" s="510"/>
    </row>
    <row r="118" spans="2:24" hidden="1" x14ac:dyDescent="0.25">
      <c r="B118" s="499"/>
      <c r="C118" s="1554" t="s">
        <v>3373</v>
      </c>
      <c r="D118" s="1554" t="s">
        <v>4</v>
      </c>
      <c r="E118" s="971" t="str">
        <f>E$97</f>
        <v xml:space="preserve">2009 </v>
      </c>
      <c r="F118" s="971" t="str">
        <f t="shared" ref="F118:T118" si="89">F$97</f>
        <v>2010  (A)</v>
      </c>
      <c r="G118" s="971" t="str">
        <f t="shared" si="89"/>
        <v>2011  (A)</v>
      </c>
      <c r="H118" s="971" t="str">
        <f t="shared" si="89"/>
        <v>2012  (A)</v>
      </c>
      <c r="I118" s="971" t="str">
        <f t="shared" si="89"/>
        <v>2013  (RE)</v>
      </c>
      <c r="J118" s="971" t="str">
        <f t="shared" si="89"/>
        <v>2014 (BE)</v>
      </c>
      <c r="K118" s="972">
        <f t="shared" si="89"/>
        <v>2015</v>
      </c>
      <c r="L118" s="972">
        <f t="shared" si="89"/>
        <v>2016</v>
      </c>
      <c r="M118" s="972">
        <f t="shared" si="89"/>
        <v>2017</v>
      </c>
      <c r="N118" s="972">
        <f t="shared" si="89"/>
        <v>2018</v>
      </c>
      <c r="O118" s="972">
        <f t="shared" si="89"/>
        <v>2019</v>
      </c>
      <c r="P118" s="972">
        <f t="shared" si="89"/>
        <v>2020</v>
      </c>
      <c r="Q118" s="972">
        <f t="shared" si="89"/>
        <v>2021</v>
      </c>
      <c r="R118" s="972">
        <f t="shared" si="89"/>
        <v>2022</v>
      </c>
      <c r="S118" s="972">
        <f t="shared" si="89"/>
        <v>2023</v>
      </c>
      <c r="T118" s="972">
        <f t="shared" si="89"/>
        <v>2024</v>
      </c>
      <c r="U118" s="502"/>
    </row>
    <row r="119" spans="2:24" s="497" customFormat="1" hidden="1" x14ac:dyDescent="0.25">
      <c r="B119" s="502"/>
      <c r="C119" s="333">
        <v>1</v>
      </c>
      <c r="D119" s="429" t="s">
        <v>2070</v>
      </c>
      <c r="E119" s="975">
        <f>'Finance info'!E172</f>
        <v>0</v>
      </c>
      <c r="F119" s="981">
        <f>'Finance info'!F172</f>
        <v>0</v>
      </c>
      <c r="G119" s="981">
        <f>'Finance info'!G172</f>
        <v>0</v>
      </c>
      <c r="H119" s="981">
        <f>'Finance info'!H172</f>
        <v>0</v>
      </c>
      <c r="I119" s="981">
        <f>'Finance info'!I172</f>
        <v>0</v>
      </c>
      <c r="J119" s="982">
        <f>'Finance info'!J172</f>
        <v>0</v>
      </c>
      <c r="K119" s="3888"/>
      <c r="L119" s="3888"/>
      <c r="M119" s="3888"/>
      <c r="N119" s="3888"/>
      <c r="O119" s="3888"/>
      <c r="P119" s="3888"/>
      <c r="Q119" s="3888"/>
      <c r="R119" s="3888"/>
      <c r="S119" s="3888"/>
      <c r="T119" s="3851"/>
      <c r="U119" s="502"/>
    </row>
    <row r="120" spans="2:24" s="497" customFormat="1" hidden="1" x14ac:dyDescent="0.25">
      <c r="B120" s="502"/>
      <c r="C120" s="333">
        <v>2</v>
      </c>
      <c r="D120" s="1582" t="s">
        <v>2071</v>
      </c>
      <c r="E120" s="975">
        <f>'Finance info'!E173</f>
        <v>0</v>
      </c>
      <c r="F120" s="981">
        <f>'Finance info'!F173</f>
        <v>0</v>
      </c>
      <c r="G120" s="981">
        <f>'Finance info'!G173</f>
        <v>0</v>
      </c>
      <c r="H120" s="981">
        <f>'Finance info'!H173</f>
        <v>0</v>
      </c>
      <c r="I120" s="981">
        <f>'Finance info'!I173</f>
        <v>0</v>
      </c>
      <c r="J120" s="982">
        <f>'Finance info'!J173</f>
        <v>0</v>
      </c>
      <c r="K120" s="3851"/>
      <c r="L120" s="3851"/>
      <c r="M120" s="3851"/>
      <c r="N120" s="3851"/>
      <c r="O120" s="3851"/>
      <c r="P120" s="3851"/>
      <c r="Q120" s="3851"/>
      <c r="R120" s="3851"/>
      <c r="S120" s="3851"/>
      <c r="T120" s="3851"/>
      <c r="U120" s="502"/>
    </row>
    <row r="121" spans="2:24" s="497" customFormat="1" hidden="1" x14ac:dyDescent="0.25">
      <c r="B121" s="502"/>
      <c r="C121" s="333">
        <v>3</v>
      </c>
      <c r="D121" s="429" t="s">
        <v>2072</v>
      </c>
      <c r="E121" s="975">
        <f>'Finance info'!E174</f>
        <v>0</v>
      </c>
      <c r="F121" s="981">
        <f>'Finance info'!F174</f>
        <v>0</v>
      </c>
      <c r="G121" s="981">
        <f>'Finance info'!G174</f>
        <v>0</v>
      </c>
      <c r="H121" s="981">
        <f>'Finance info'!H174</f>
        <v>0</v>
      </c>
      <c r="I121" s="981">
        <f>'Finance info'!I174</f>
        <v>0</v>
      </c>
      <c r="J121" s="982">
        <f>'Finance info'!J174</f>
        <v>0</v>
      </c>
      <c r="K121" s="3851"/>
      <c r="L121" s="3851"/>
      <c r="M121" s="3851"/>
      <c r="N121" s="3851"/>
      <c r="O121" s="3851"/>
      <c r="P121" s="3851"/>
      <c r="Q121" s="3851"/>
      <c r="R121" s="3851"/>
      <c r="S121" s="3851"/>
      <c r="T121" s="3851"/>
      <c r="U121" s="502"/>
    </row>
    <row r="122" spans="2:24" s="497" customFormat="1" hidden="1" x14ac:dyDescent="0.25">
      <c r="B122" s="502"/>
      <c r="C122" s="333">
        <v>4</v>
      </c>
      <c r="D122" s="429" t="s">
        <v>26</v>
      </c>
      <c r="E122" s="975">
        <f>'Finance info'!E175</f>
        <v>0</v>
      </c>
      <c r="F122" s="981">
        <f>'Finance info'!F175</f>
        <v>0</v>
      </c>
      <c r="G122" s="981">
        <f>'Finance info'!G175</f>
        <v>0</v>
      </c>
      <c r="H122" s="981">
        <f>'Finance info'!H175</f>
        <v>0</v>
      </c>
      <c r="I122" s="981">
        <f>'Finance info'!I175</f>
        <v>0</v>
      </c>
      <c r="J122" s="982">
        <f>'Finance info'!J175</f>
        <v>0</v>
      </c>
      <c r="K122" s="3851"/>
      <c r="L122" s="3851"/>
      <c r="M122" s="3851"/>
      <c r="N122" s="3851"/>
      <c r="O122" s="3851"/>
      <c r="P122" s="3851"/>
      <c r="Q122" s="3851"/>
      <c r="R122" s="3851"/>
      <c r="S122" s="3851"/>
      <c r="T122" s="3851"/>
      <c r="U122" s="502"/>
    </row>
    <row r="123" spans="2:24" s="498" customFormat="1" hidden="1" x14ac:dyDescent="0.25">
      <c r="B123" s="500"/>
      <c r="C123" s="968">
        <v>5</v>
      </c>
      <c r="D123" s="967" t="s">
        <v>3092</v>
      </c>
      <c r="E123" s="983"/>
      <c r="F123" s="984"/>
      <c r="G123" s="984"/>
      <c r="H123" s="984"/>
      <c r="I123" s="984"/>
      <c r="J123" s="985"/>
      <c r="U123" s="500"/>
    </row>
    <row r="124" spans="2:24" s="496" customFormat="1" hidden="1" x14ac:dyDescent="0.25">
      <c r="B124" s="503"/>
      <c r="C124" s="989"/>
      <c r="D124" s="989" t="s">
        <v>16</v>
      </c>
      <c r="E124" s="990">
        <f t="shared" ref="E124:J124" si="90">SUM(E119:E122)</f>
        <v>0</v>
      </c>
      <c r="F124" s="990">
        <f t="shared" si="90"/>
        <v>0</v>
      </c>
      <c r="G124" s="990">
        <f t="shared" si="90"/>
        <v>0</v>
      </c>
      <c r="H124" s="990">
        <f t="shared" si="90"/>
        <v>0</v>
      </c>
      <c r="I124" s="990">
        <f t="shared" si="90"/>
        <v>0</v>
      </c>
      <c r="J124" s="990">
        <f t="shared" si="90"/>
        <v>0</v>
      </c>
      <c r="U124" s="500"/>
      <c r="X124" s="493"/>
    </row>
    <row r="125" spans="2:24" hidden="1" x14ac:dyDescent="0.25">
      <c r="B125" s="502"/>
      <c r="C125" s="499"/>
      <c r="D125" s="499"/>
      <c r="E125" s="499"/>
      <c r="F125" s="499"/>
      <c r="G125" s="499"/>
      <c r="H125" s="499"/>
      <c r="I125" s="499"/>
      <c r="J125" s="499"/>
      <c r="K125" s="501"/>
      <c r="L125" s="501"/>
      <c r="M125" s="501"/>
      <c r="N125" s="501"/>
      <c r="O125" s="501"/>
      <c r="P125" s="501"/>
      <c r="Q125" s="501"/>
      <c r="R125" s="501"/>
      <c r="S125" s="501"/>
      <c r="T125" s="501"/>
      <c r="U125" s="502"/>
    </row>
    <row r="126" spans="2:24" s="512" customFormat="1" ht="15.75" hidden="1" x14ac:dyDescent="0.25">
      <c r="B126" s="511"/>
      <c r="C126" s="513" t="s">
        <v>726</v>
      </c>
      <c r="D126" s="509" t="s">
        <v>194</v>
      </c>
      <c r="E126" s="511"/>
      <c r="F126" s="511"/>
      <c r="G126" s="511"/>
      <c r="H126" s="1088"/>
      <c r="I126" s="1088"/>
      <c r="J126" s="1088"/>
      <c r="K126" s="1088"/>
      <c r="L126" s="1088"/>
      <c r="M126" s="1088"/>
      <c r="N126" s="1088"/>
      <c r="O126" s="1088"/>
      <c r="P126" s="1088"/>
      <c r="Q126" s="1088"/>
      <c r="R126" s="1088"/>
      <c r="S126" s="1088"/>
      <c r="T126" s="1088"/>
      <c r="U126" s="510"/>
    </row>
    <row r="127" spans="2:24" hidden="1" x14ac:dyDescent="0.25">
      <c r="B127" s="499"/>
      <c r="C127" s="1554" t="s">
        <v>3373</v>
      </c>
      <c r="D127" s="1554" t="s">
        <v>4</v>
      </c>
      <c r="E127" s="971" t="str">
        <f>E$97</f>
        <v xml:space="preserve">2009 </v>
      </c>
      <c r="F127" s="971" t="str">
        <f t="shared" ref="F127:T127" si="91">F$97</f>
        <v>2010  (A)</v>
      </c>
      <c r="G127" s="971" t="str">
        <f t="shared" si="91"/>
        <v>2011  (A)</v>
      </c>
      <c r="H127" s="971" t="str">
        <f t="shared" si="91"/>
        <v>2012  (A)</v>
      </c>
      <c r="I127" s="971" t="str">
        <f t="shared" si="91"/>
        <v>2013  (RE)</v>
      </c>
      <c r="J127" s="971" t="str">
        <f t="shared" si="91"/>
        <v>2014 (BE)</v>
      </c>
      <c r="K127" s="972">
        <f t="shared" si="91"/>
        <v>2015</v>
      </c>
      <c r="L127" s="972">
        <f t="shared" si="91"/>
        <v>2016</v>
      </c>
      <c r="M127" s="972">
        <f t="shared" si="91"/>
        <v>2017</v>
      </c>
      <c r="N127" s="972">
        <f t="shared" si="91"/>
        <v>2018</v>
      </c>
      <c r="O127" s="972">
        <f t="shared" si="91"/>
        <v>2019</v>
      </c>
      <c r="P127" s="972">
        <f t="shared" si="91"/>
        <v>2020</v>
      </c>
      <c r="Q127" s="972">
        <f t="shared" si="91"/>
        <v>2021</v>
      </c>
      <c r="R127" s="972">
        <f t="shared" si="91"/>
        <v>2022</v>
      </c>
      <c r="S127" s="972">
        <f t="shared" si="91"/>
        <v>2023</v>
      </c>
      <c r="T127" s="972">
        <f t="shared" si="91"/>
        <v>2024</v>
      </c>
      <c r="U127" s="502"/>
    </row>
    <row r="128" spans="2:24" hidden="1" x14ac:dyDescent="0.25">
      <c r="B128" s="502"/>
      <c r="C128" s="58">
        <v>1</v>
      </c>
      <c r="D128" s="429" t="s">
        <v>58</v>
      </c>
      <c r="E128" s="898">
        <f>'Finance info'!E180</f>
        <v>0</v>
      </c>
      <c r="F128" s="898">
        <f>'Finance info'!F180</f>
        <v>0</v>
      </c>
      <c r="G128" s="898">
        <f>'Finance info'!G180</f>
        <v>0</v>
      </c>
      <c r="H128" s="898">
        <f>'Finance info'!H180</f>
        <v>0</v>
      </c>
      <c r="I128" s="898">
        <f>'Finance info'!I180</f>
        <v>0</v>
      </c>
      <c r="J128" s="974">
        <f>'Finance info'!J180</f>
        <v>0</v>
      </c>
      <c r="K128" s="3888"/>
      <c r="L128" s="3888"/>
      <c r="M128" s="3888"/>
      <c r="N128" s="3888"/>
      <c r="O128" s="3888"/>
      <c r="P128" s="3888"/>
      <c r="Q128" s="3888"/>
      <c r="R128" s="3888"/>
      <c r="S128" s="3888"/>
      <c r="T128" s="3888"/>
      <c r="U128" s="502"/>
    </row>
    <row r="129" spans="2:24" ht="30" hidden="1" x14ac:dyDescent="0.25">
      <c r="B129" s="502"/>
      <c r="C129" s="58">
        <v>2</v>
      </c>
      <c r="D129" s="1553" t="s">
        <v>1878</v>
      </c>
      <c r="E129" s="898">
        <f>'Finance info'!E181</f>
        <v>0</v>
      </c>
      <c r="F129" s="898">
        <f>'Finance info'!F181</f>
        <v>0</v>
      </c>
      <c r="G129" s="898">
        <f>'Finance info'!G181</f>
        <v>0</v>
      </c>
      <c r="H129" s="898">
        <f>'Finance info'!H181</f>
        <v>0</v>
      </c>
      <c r="I129" s="898">
        <f>'Finance info'!I181</f>
        <v>0</v>
      </c>
      <c r="J129" s="974">
        <f>'Finance info'!J181</f>
        <v>0</v>
      </c>
      <c r="K129" s="3888"/>
      <c r="L129" s="3888"/>
      <c r="M129" s="3888"/>
      <c r="N129" s="3888"/>
      <c r="O129" s="3888"/>
      <c r="P129" s="3888"/>
      <c r="Q129" s="3888"/>
      <c r="R129" s="3888"/>
      <c r="S129" s="3888"/>
      <c r="T129" s="3888"/>
      <c r="U129" s="502"/>
    </row>
    <row r="130" spans="2:24" hidden="1" x14ac:dyDescent="0.25">
      <c r="B130" s="502"/>
      <c r="C130" s="58">
        <v>3</v>
      </c>
      <c r="D130" s="429" t="s">
        <v>26</v>
      </c>
      <c r="E130" s="898">
        <f>'Finance info'!E182</f>
        <v>0</v>
      </c>
      <c r="F130" s="898">
        <f>'Finance info'!F182</f>
        <v>0</v>
      </c>
      <c r="G130" s="898">
        <f>'Finance info'!G182</f>
        <v>0</v>
      </c>
      <c r="H130" s="898">
        <f>'Finance info'!H182</f>
        <v>0</v>
      </c>
      <c r="I130" s="898">
        <f>'Finance info'!I182</f>
        <v>0</v>
      </c>
      <c r="J130" s="974">
        <f>'Finance info'!J182</f>
        <v>0</v>
      </c>
      <c r="K130" s="3888"/>
      <c r="L130" s="3888"/>
      <c r="M130" s="3888"/>
      <c r="N130" s="3888"/>
      <c r="O130" s="3888"/>
      <c r="P130" s="3888"/>
      <c r="Q130" s="3888"/>
      <c r="R130" s="3888"/>
      <c r="S130" s="3888"/>
      <c r="T130" s="3888"/>
      <c r="U130" s="502"/>
    </row>
    <row r="131" spans="2:24" hidden="1" x14ac:dyDescent="0.25">
      <c r="B131" s="502"/>
      <c r="C131" s="58">
        <v>4</v>
      </c>
      <c r="D131" s="306" t="s">
        <v>542</v>
      </c>
      <c r="E131" s="977"/>
      <c r="F131" s="978"/>
      <c r="G131" s="978"/>
      <c r="H131" s="978"/>
      <c r="I131" s="978"/>
      <c r="J131" s="978"/>
      <c r="K131" s="3888"/>
      <c r="L131" s="3888"/>
      <c r="M131" s="3888"/>
      <c r="N131" s="3888"/>
      <c r="O131" s="3888"/>
      <c r="P131" s="3888"/>
      <c r="Q131" s="3888"/>
      <c r="R131" s="3888"/>
      <c r="S131" s="3888"/>
      <c r="T131" s="3888"/>
      <c r="U131" s="502"/>
    </row>
    <row r="132" spans="2:24" ht="30" hidden="1" x14ac:dyDescent="0.25">
      <c r="B132" s="502"/>
      <c r="C132" s="58">
        <v>5</v>
      </c>
      <c r="D132" s="1581" t="s">
        <v>2073</v>
      </c>
      <c r="E132" s="979"/>
      <c r="F132" s="980"/>
      <c r="G132" s="980"/>
      <c r="H132" s="980"/>
      <c r="I132" s="980"/>
      <c r="J132" s="988"/>
      <c r="K132" s="3888"/>
      <c r="L132" s="3888"/>
      <c r="M132" s="3888"/>
      <c r="N132" s="3888"/>
      <c r="O132" s="3888"/>
      <c r="P132" s="3888"/>
      <c r="Q132" s="3888"/>
      <c r="R132" s="3888"/>
      <c r="S132" s="3888"/>
      <c r="T132" s="3888"/>
      <c r="U132" s="502"/>
    </row>
    <row r="133" spans="2:24" s="498" customFormat="1" hidden="1" x14ac:dyDescent="0.25">
      <c r="B133" s="500"/>
      <c r="C133" s="968">
        <v>6</v>
      </c>
      <c r="D133" s="967" t="s">
        <v>3093</v>
      </c>
      <c r="E133" s="983"/>
      <c r="F133" s="984"/>
      <c r="G133" s="984"/>
      <c r="H133" s="984"/>
      <c r="I133" s="984"/>
      <c r="J133" s="985"/>
      <c r="U133" s="500"/>
    </row>
    <row r="134" spans="2:24" s="496" customFormat="1" hidden="1" x14ac:dyDescent="0.25">
      <c r="B134" s="503"/>
      <c r="C134" s="989"/>
      <c r="D134" s="989" t="s">
        <v>16</v>
      </c>
      <c r="E134" s="990">
        <f t="shared" ref="E134:J134" si="92">SUM(E128:E133)</f>
        <v>0</v>
      </c>
      <c r="F134" s="990">
        <f t="shared" si="92"/>
        <v>0</v>
      </c>
      <c r="G134" s="990">
        <f t="shared" si="92"/>
        <v>0</v>
      </c>
      <c r="H134" s="990">
        <f t="shared" si="92"/>
        <v>0</v>
      </c>
      <c r="I134" s="990">
        <f t="shared" si="92"/>
        <v>0</v>
      </c>
      <c r="J134" s="990">
        <f t="shared" si="92"/>
        <v>0</v>
      </c>
      <c r="U134" s="500"/>
      <c r="X134" s="493"/>
    </row>
    <row r="135" spans="2:24" hidden="1" x14ac:dyDescent="0.25">
      <c r="B135" s="502"/>
      <c r="C135" s="499"/>
      <c r="D135" s="499"/>
      <c r="E135" s="499"/>
      <c r="F135" s="499"/>
      <c r="G135" s="499"/>
      <c r="H135" s="499"/>
      <c r="I135" s="499"/>
      <c r="J135" s="499"/>
      <c r="K135" s="501"/>
      <c r="L135" s="501"/>
      <c r="M135" s="501"/>
      <c r="N135" s="501"/>
      <c r="O135" s="501"/>
      <c r="P135" s="501"/>
      <c r="Q135" s="501"/>
      <c r="R135" s="501"/>
      <c r="S135" s="501"/>
      <c r="T135" s="501"/>
      <c r="U135" s="502"/>
    </row>
    <row r="136" spans="2:24" hidden="1" x14ac:dyDescent="0.25">
      <c r="B136" s="502"/>
      <c r="C136" s="499"/>
      <c r="D136" s="499"/>
      <c r="E136" s="499"/>
      <c r="F136" s="499"/>
      <c r="G136" s="499"/>
      <c r="H136" s="499"/>
      <c r="I136" s="499"/>
      <c r="J136" s="499"/>
      <c r="K136" s="501"/>
      <c r="L136" s="501"/>
      <c r="M136" s="501"/>
      <c r="N136" s="501"/>
      <c r="O136" s="501"/>
      <c r="P136" s="501"/>
      <c r="Q136" s="501"/>
      <c r="R136" s="501"/>
      <c r="S136" s="501"/>
      <c r="T136" s="501"/>
      <c r="U136" s="502"/>
    </row>
    <row r="137" spans="2:24" s="1026" customFormat="1" ht="28.5" hidden="1" x14ac:dyDescent="0.25">
      <c r="B137" s="1390"/>
      <c r="C137" s="1392" t="s">
        <v>1</v>
      </c>
      <c r="D137" s="5606" t="str">
        <f>'Finance info'!C186</f>
        <v>FSM and Wastewater revenue and expenditure</v>
      </c>
      <c r="E137" s="1391"/>
      <c r="F137" s="1391"/>
      <c r="G137" s="1391"/>
      <c r="H137" s="1391"/>
      <c r="I137" s="1391"/>
      <c r="J137" s="1391"/>
      <c r="K137" s="1391"/>
      <c r="L137" s="1391"/>
      <c r="M137" s="1391"/>
      <c r="N137" s="1391"/>
      <c r="O137" s="1391"/>
      <c r="P137" s="1391"/>
      <c r="Q137" s="1391"/>
      <c r="R137" s="1391"/>
      <c r="S137" s="1391"/>
      <c r="T137" s="5964" t="str">
        <f>CONCATENATE("All figures in ",'General info'!$E$43," ",'General info'!$G$43)</f>
        <v>All figures in INR Lakhs</v>
      </c>
      <c r="U137" s="5579"/>
      <c r="V137" s="1025"/>
    </row>
    <row r="138" spans="2:24" s="508" customFormat="1" ht="18.75" hidden="1" x14ac:dyDescent="0.25">
      <c r="B138" s="505"/>
      <c r="C138" s="505" t="s">
        <v>2</v>
      </c>
      <c r="D138" s="505" t="str">
        <f>'Finance info'!C187</f>
        <v>FSM and wastewater revenue account</v>
      </c>
      <c r="E138" s="506"/>
      <c r="F138" s="506"/>
      <c r="G138" s="506"/>
      <c r="H138" s="507"/>
      <c r="I138" s="506"/>
      <c r="J138" s="506"/>
      <c r="K138" s="506"/>
      <c r="L138" s="506"/>
      <c r="M138" s="506"/>
      <c r="N138" s="506"/>
      <c r="O138" s="506"/>
      <c r="P138" s="506"/>
      <c r="Q138" s="506"/>
      <c r="R138" s="506"/>
      <c r="S138" s="506"/>
      <c r="T138" s="506"/>
      <c r="U138" s="5580"/>
    </row>
    <row r="139" spans="2:24" s="512" customFormat="1" ht="15.75" hidden="1" x14ac:dyDescent="0.25">
      <c r="B139" s="511"/>
      <c r="C139" s="513" t="s">
        <v>725</v>
      </c>
      <c r="D139" s="509" t="str">
        <f>'Finance info'!C188</f>
        <v>FSM and wastewater revenue receipts</v>
      </c>
      <c r="E139" s="511"/>
      <c r="F139" s="510"/>
      <c r="G139" s="511"/>
      <c r="H139" s="511"/>
      <c r="I139" s="511"/>
      <c r="J139" s="511"/>
      <c r="K139" s="511"/>
      <c r="L139" s="511"/>
      <c r="M139" s="511"/>
      <c r="N139" s="511"/>
      <c r="O139" s="511"/>
      <c r="P139" s="511"/>
      <c r="Q139" s="511"/>
      <c r="R139" s="511"/>
      <c r="S139" s="511"/>
      <c r="T139" s="511"/>
      <c r="U139" s="510"/>
    </row>
    <row r="140" spans="2:24" hidden="1" x14ac:dyDescent="0.25">
      <c r="B140" s="499"/>
      <c r="C140" s="1554" t="s">
        <v>3373</v>
      </c>
      <c r="D140" s="1554" t="s">
        <v>4</v>
      </c>
      <c r="E140" s="971" t="str">
        <f>E$97</f>
        <v xml:space="preserve">2009 </v>
      </c>
      <c r="F140" s="971" t="str">
        <f t="shared" ref="F140:T140" si="93">F$97</f>
        <v>2010  (A)</v>
      </c>
      <c r="G140" s="971" t="str">
        <f t="shared" si="93"/>
        <v>2011  (A)</v>
      </c>
      <c r="H140" s="971" t="str">
        <f t="shared" si="93"/>
        <v>2012  (A)</v>
      </c>
      <c r="I140" s="971" t="str">
        <f t="shared" si="93"/>
        <v>2013  (RE)</v>
      </c>
      <c r="J140" s="971" t="str">
        <f t="shared" si="93"/>
        <v>2014 (BE)</v>
      </c>
      <c r="K140" s="972">
        <f t="shared" si="93"/>
        <v>2015</v>
      </c>
      <c r="L140" s="972">
        <f t="shared" si="93"/>
        <v>2016</v>
      </c>
      <c r="M140" s="972">
        <f t="shared" si="93"/>
        <v>2017</v>
      </c>
      <c r="N140" s="972">
        <f t="shared" si="93"/>
        <v>2018</v>
      </c>
      <c r="O140" s="972">
        <f t="shared" si="93"/>
        <v>2019</v>
      </c>
      <c r="P140" s="972">
        <f t="shared" si="93"/>
        <v>2020</v>
      </c>
      <c r="Q140" s="972">
        <f t="shared" si="93"/>
        <v>2021</v>
      </c>
      <c r="R140" s="972">
        <f t="shared" si="93"/>
        <v>2022</v>
      </c>
      <c r="S140" s="972">
        <f t="shared" si="93"/>
        <v>2023</v>
      </c>
      <c r="T140" s="972">
        <f t="shared" si="93"/>
        <v>2024</v>
      </c>
      <c r="U140" s="502"/>
    </row>
    <row r="141" spans="2:24" ht="30" hidden="1" x14ac:dyDescent="0.25">
      <c r="B141" s="499"/>
      <c r="C141" s="6806">
        <v>1</v>
      </c>
      <c r="D141" s="1126" t="s">
        <v>3393</v>
      </c>
      <c r="E141" s="6804">
        <f>'Finance info'!E190</f>
        <v>0</v>
      </c>
      <c r="F141" s="6804">
        <f>'Finance info'!F190</f>
        <v>0</v>
      </c>
      <c r="G141" s="6804">
        <f>'Finance info'!G190</f>
        <v>0</v>
      </c>
      <c r="H141" s="6804">
        <f>'Finance info'!H190</f>
        <v>0</v>
      </c>
      <c r="I141" s="6804">
        <f>'Finance info'!I190</f>
        <v>0</v>
      </c>
      <c r="J141" s="6804">
        <f>'Finance info'!J190</f>
        <v>0</v>
      </c>
      <c r="K141" s="493"/>
      <c r="L141" s="493"/>
      <c r="M141" s="493"/>
      <c r="N141" s="493"/>
      <c r="O141" s="493"/>
      <c r="P141" s="493"/>
      <c r="Q141" s="493"/>
      <c r="R141" s="493"/>
      <c r="S141" s="493"/>
      <c r="T141" s="493"/>
      <c r="U141" s="1630"/>
    </row>
    <row r="142" spans="2:24" ht="15.75" hidden="1" x14ac:dyDescent="0.25">
      <c r="B142" s="499"/>
      <c r="C142" s="6807"/>
      <c r="D142" s="1127" t="s">
        <v>1265</v>
      </c>
      <c r="E142" s="6805"/>
      <c r="F142" s="6805"/>
      <c r="G142" s="6805"/>
      <c r="H142" s="6805"/>
      <c r="I142" s="6805"/>
      <c r="J142" s="6805"/>
      <c r="K142" s="3887"/>
      <c r="L142" s="3887"/>
      <c r="M142" s="3887"/>
      <c r="N142" s="3887"/>
      <c r="O142" s="3887"/>
      <c r="P142" s="3887"/>
      <c r="Q142" s="3887"/>
      <c r="R142" s="3887"/>
      <c r="S142" s="3887"/>
      <c r="T142" s="3887"/>
      <c r="U142" s="510"/>
    </row>
    <row r="143" spans="2:24" ht="15.75" hidden="1" x14ac:dyDescent="0.25">
      <c r="B143" s="499"/>
      <c r="C143" s="1637">
        <v>2</v>
      </c>
      <c r="D143" s="1725" t="s">
        <v>3361</v>
      </c>
      <c r="E143" s="5571">
        <f>'Finance info'!E191</f>
        <v>0</v>
      </c>
      <c r="F143" s="5571">
        <f>'Finance info'!F191</f>
        <v>0</v>
      </c>
      <c r="G143" s="5571">
        <f>'Finance info'!G191</f>
        <v>0</v>
      </c>
      <c r="H143" s="5571">
        <f>'Finance info'!H191</f>
        <v>0</v>
      </c>
      <c r="I143" s="5571">
        <f>'Finance info'!I191</f>
        <v>0</v>
      </c>
      <c r="J143" s="5571">
        <f>'Finance info'!J191</f>
        <v>0</v>
      </c>
      <c r="K143" s="5627">
        <f>'WW calcu'!F1192</f>
        <v>0</v>
      </c>
      <c r="L143" s="5627">
        <f>'WW calcu'!G1192</f>
        <v>0</v>
      </c>
      <c r="M143" s="5627">
        <f>'WW calcu'!H1192</f>
        <v>0</v>
      </c>
      <c r="N143" s="5627">
        <f>'WW calcu'!I1192</f>
        <v>0</v>
      </c>
      <c r="O143" s="5627">
        <f>'WW calcu'!J1192</f>
        <v>0</v>
      </c>
      <c r="P143" s="5627">
        <f>'WW calcu'!K1192</f>
        <v>0</v>
      </c>
      <c r="Q143" s="5627">
        <f>'WW calcu'!L1192</f>
        <v>0</v>
      </c>
      <c r="R143" s="5627">
        <f>'WW calcu'!M1192</f>
        <v>0</v>
      </c>
      <c r="S143" s="5627">
        <f>'WW calcu'!N1192</f>
        <v>0</v>
      </c>
      <c r="T143" s="5627">
        <f>'WW calcu'!O1192</f>
        <v>0</v>
      </c>
      <c r="U143" s="510"/>
    </row>
    <row r="144" spans="2:24" ht="15.75" hidden="1" x14ac:dyDescent="0.25">
      <c r="B144" s="499"/>
      <c r="C144" s="1637">
        <v>3</v>
      </c>
      <c r="D144" s="1725" t="s">
        <v>3386</v>
      </c>
      <c r="E144" s="5571">
        <f>'Finance info'!E192</f>
        <v>0</v>
      </c>
      <c r="F144" s="5571">
        <f>'Finance info'!F192</f>
        <v>0</v>
      </c>
      <c r="G144" s="5571">
        <f>'Finance info'!G192</f>
        <v>0</v>
      </c>
      <c r="H144" s="5571">
        <f>'Finance info'!H192</f>
        <v>0</v>
      </c>
      <c r="I144" s="5571">
        <f>'Finance info'!I192</f>
        <v>0</v>
      </c>
      <c r="J144" s="5571">
        <f>'Finance info'!J192</f>
        <v>0</v>
      </c>
      <c r="K144" s="5627">
        <f>'WW calcu'!F856</f>
        <v>0</v>
      </c>
      <c r="L144" s="5627">
        <f>'WW calcu'!G856</f>
        <v>0</v>
      </c>
      <c r="M144" s="5627">
        <f>'WW calcu'!H856</f>
        <v>0</v>
      </c>
      <c r="N144" s="5627">
        <f>'WW calcu'!I856</f>
        <v>0</v>
      </c>
      <c r="O144" s="5627">
        <f>'WW calcu'!J856</f>
        <v>0</v>
      </c>
      <c r="P144" s="5627">
        <f>'WW calcu'!K856</f>
        <v>0</v>
      </c>
      <c r="Q144" s="5627">
        <f>'WW calcu'!L856</f>
        <v>0</v>
      </c>
      <c r="R144" s="5627">
        <f>'WW calcu'!M856</f>
        <v>0</v>
      </c>
      <c r="S144" s="5627">
        <f>'WW calcu'!N856</f>
        <v>0</v>
      </c>
      <c r="T144" s="5627">
        <f>'WW calcu'!O856</f>
        <v>0</v>
      </c>
      <c r="U144" s="510"/>
    </row>
    <row r="145" spans="2:24" ht="15.75" hidden="1" x14ac:dyDescent="0.25">
      <c r="B145" s="499"/>
      <c r="C145" s="1637">
        <v>4</v>
      </c>
      <c r="D145" s="1725" t="s">
        <v>49</v>
      </c>
      <c r="E145" s="975">
        <f>'Finance info'!E193</f>
        <v>0</v>
      </c>
      <c r="F145" s="975">
        <f>'Finance info'!F193</f>
        <v>0</v>
      </c>
      <c r="G145" s="975">
        <f>'Finance info'!G193</f>
        <v>0</v>
      </c>
      <c r="H145" s="975">
        <f>'Finance info'!H193</f>
        <v>0</v>
      </c>
      <c r="I145" s="975">
        <f>'Finance info'!I193</f>
        <v>0</v>
      </c>
      <c r="J145" s="976">
        <f>'Finance info'!J193</f>
        <v>0</v>
      </c>
      <c r="K145" s="5587"/>
      <c r="L145" s="3888"/>
      <c r="M145" s="3888"/>
      <c r="N145" s="3888"/>
      <c r="O145" s="3888"/>
      <c r="P145" s="3888"/>
      <c r="Q145" s="3888"/>
      <c r="R145" s="3888"/>
      <c r="S145" s="3888"/>
      <c r="T145" s="3888"/>
      <c r="U145" s="510"/>
    </row>
    <row r="146" spans="2:24" ht="15.75" hidden="1" x14ac:dyDescent="0.25">
      <c r="B146" s="499"/>
      <c r="C146" s="1637">
        <v>5</v>
      </c>
      <c r="D146" s="1751" t="s">
        <v>1262</v>
      </c>
      <c r="E146" s="975">
        <f>'Finance info'!E194</f>
        <v>0</v>
      </c>
      <c r="F146" s="975">
        <f>'Finance info'!F194</f>
        <v>0</v>
      </c>
      <c r="G146" s="975">
        <f>'Finance info'!G194</f>
        <v>0</v>
      </c>
      <c r="H146" s="975">
        <f>'Finance info'!H194</f>
        <v>0</v>
      </c>
      <c r="I146" s="975">
        <f>'Finance info'!I194</f>
        <v>0</v>
      </c>
      <c r="J146" s="976">
        <f>'Finance info'!J194</f>
        <v>0</v>
      </c>
      <c r="K146" s="3888">
        <v>1.2776944319999999</v>
      </c>
      <c r="L146" s="3888">
        <v>1.3032483206399998</v>
      </c>
      <c r="M146" s="3888">
        <v>1.3293132870527999</v>
      </c>
      <c r="N146" s="3888">
        <v>1.355899552793856</v>
      </c>
      <c r="O146" s="3888">
        <v>1.3830175438497332</v>
      </c>
      <c r="P146" s="3888">
        <v>1.4106778947267278</v>
      </c>
      <c r="Q146" s="3888">
        <v>1.4388914526212624</v>
      </c>
      <c r="R146" s="3888">
        <v>1.4676692816736876</v>
      </c>
      <c r="S146" s="3888">
        <v>1.4970226673071614</v>
      </c>
      <c r="T146" s="3888">
        <v>1.5269631206533045</v>
      </c>
      <c r="U146" s="510"/>
    </row>
    <row r="147" spans="2:24" s="498" customFormat="1" hidden="1" x14ac:dyDescent="0.25">
      <c r="B147" s="500"/>
      <c r="C147" s="968">
        <v>4</v>
      </c>
      <c r="D147" s="967" t="s">
        <v>3374</v>
      </c>
      <c r="E147" s="983"/>
      <c r="F147" s="984"/>
      <c r="G147" s="984"/>
      <c r="H147" s="984"/>
      <c r="I147" s="984"/>
      <c r="J147" s="985"/>
      <c r="U147" s="1630"/>
    </row>
    <row r="148" spans="2:24" s="496" customFormat="1" hidden="1" x14ac:dyDescent="0.25">
      <c r="B148" s="503"/>
      <c r="C148" s="989"/>
      <c r="D148" s="989" t="s">
        <v>16</v>
      </c>
      <c r="E148" s="990">
        <f t="shared" ref="E148:J148" si="94">SUM(E141:E147)</f>
        <v>0</v>
      </c>
      <c r="F148" s="990">
        <f t="shared" si="94"/>
        <v>0</v>
      </c>
      <c r="G148" s="990">
        <f t="shared" si="94"/>
        <v>0</v>
      </c>
      <c r="H148" s="990">
        <f t="shared" si="94"/>
        <v>0</v>
      </c>
      <c r="I148" s="990">
        <f t="shared" si="94"/>
        <v>0</v>
      </c>
      <c r="J148" s="990">
        <f t="shared" si="94"/>
        <v>0</v>
      </c>
      <c r="U148" s="500"/>
      <c r="X148" s="493"/>
    </row>
    <row r="149" spans="2:24" ht="15.75" hidden="1" x14ac:dyDescent="0.25">
      <c r="B149" s="499"/>
      <c r="C149" s="499"/>
      <c r="D149" s="499"/>
      <c r="E149" s="499"/>
      <c r="F149" s="499"/>
      <c r="G149" s="499"/>
      <c r="H149" s="499"/>
      <c r="I149" s="499"/>
      <c r="J149" s="499"/>
      <c r="K149" s="501"/>
      <c r="L149" s="501"/>
      <c r="M149" s="501"/>
      <c r="N149" s="501"/>
      <c r="O149" s="501"/>
      <c r="P149" s="501"/>
      <c r="Q149" s="501"/>
      <c r="R149" s="501"/>
      <c r="S149" s="501"/>
      <c r="T149" s="501"/>
      <c r="U149" s="510"/>
    </row>
    <row r="150" spans="2:24" s="512" customFormat="1" ht="15.75" hidden="1" x14ac:dyDescent="0.25">
      <c r="B150" s="511"/>
      <c r="C150" s="513" t="s">
        <v>726</v>
      </c>
      <c r="D150" s="509" t="str">
        <f>'Finance info'!C197</f>
        <v>FSM and wastewater revenue expenditure</v>
      </c>
      <c r="E150" s="511"/>
      <c r="F150" s="511"/>
      <c r="G150" s="1088"/>
      <c r="H150" s="1088"/>
      <c r="I150" s="1088"/>
      <c r="J150" s="1088"/>
      <c r="K150" s="1088"/>
      <c r="L150" s="1088"/>
      <c r="M150" s="1088"/>
      <c r="N150" s="1088"/>
      <c r="O150" s="1088"/>
      <c r="P150" s="1088"/>
      <c r="Q150" s="1088"/>
      <c r="R150" s="1088"/>
      <c r="S150" s="1088"/>
      <c r="T150" s="1088"/>
      <c r="U150" s="510"/>
    </row>
    <row r="151" spans="2:24" hidden="1" x14ac:dyDescent="0.25">
      <c r="B151" s="499"/>
      <c r="C151" s="1554" t="s">
        <v>3373</v>
      </c>
      <c r="D151" s="1554" t="s">
        <v>4</v>
      </c>
      <c r="E151" s="971" t="str">
        <f>E$97</f>
        <v xml:space="preserve">2009 </v>
      </c>
      <c r="F151" s="971" t="str">
        <f t="shared" ref="F151:T151" si="95">F$97</f>
        <v>2010  (A)</v>
      </c>
      <c r="G151" s="971" t="str">
        <f t="shared" si="95"/>
        <v>2011  (A)</v>
      </c>
      <c r="H151" s="971" t="str">
        <f t="shared" si="95"/>
        <v>2012  (A)</v>
      </c>
      <c r="I151" s="971" t="str">
        <f t="shared" si="95"/>
        <v>2013  (RE)</v>
      </c>
      <c r="J151" s="971" t="str">
        <f t="shared" si="95"/>
        <v>2014 (BE)</v>
      </c>
      <c r="K151" s="972">
        <f t="shared" si="95"/>
        <v>2015</v>
      </c>
      <c r="L151" s="972">
        <f t="shared" si="95"/>
        <v>2016</v>
      </c>
      <c r="M151" s="972">
        <f t="shared" si="95"/>
        <v>2017</v>
      </c>
      <c r="N151" s="972">
        <f t="shared" si="95"/>
        <v>2018</v>
      </c>
      <c r="O151" s="972">
        <f t="shared" si="95"/>
        <v>2019</v>
      </c>
      <c r="P151" s="972">
        <f t="shared" si="95"/>
        <v>2020</v>
      </c>
      <c r="Q151" s="972">
        <f t="shared" si="95"/>
        <v>2021</v>
      </c>
      <c r="R151" s="972">
        <f t="shared" si="95"/>
        <v>2022</v>
      </c>
      <c r="S151" s="972">
        <f t="shared" si="95"/>
        <v>2023</v>
      </c>
      <c r="T151" s="972">
        <f t="shared" si="95"/>
        <v>2024</v>
      </c>
      <c r="U151" s="502"/>
    </row>
    <row r="152" spans="2:24" ht="15.75" hidden="1" x14ac:dyDescent="0.25">
      <c r="B152" s="499"/>
      <c r="C152" s="1637">
        <v>1</v>
      </c>
      <c r="D152" s="1725" t="s">
        <v>1029</v>
      </c>
      <c r="E152" s="898">
        <f>'Finance info'!E199</f>
        <v>0</v>
      </c>
      <c r="F152" s="898">
        <f>'Finance info'!F199</f>
        <v>0</v>
      </c>
      <c r="G152" s="898">
        <f>'Finance info'!G199</f>
        <v>0</v>
      </c>
      <c r="H152" s="898">
        <f>'Finance info'!H199</f>
        <v>0</v>
      </c>
      <c r="I152" s="898">
        <f>'Finance info'!I199</f>
        <v>0</v>
      </c>
      <c r="J152" s="898">
        <f>'Finance info'!J199</f>
        <v>0</v>
      </c>
      <c r="K152" s="3888"/>
      <c r="L152" s="3888"/>
      <c r="M152" s="3888"/>
      <c r="N152" s="3888"/>
      <c r="O152" s="3888"/>
      <c r="P152" s="3888"/>
      <c r="Q152" s="3888"/>
      <c r="R152" s="3888"/>
      <c r="S152" s="3888"/>
      <c r="T152" s="3888"/>
      <c r="U152" s="510"/>
    </row>
    <row r="153" spans="2:24" ht="15.75" hidden="1" x14ac:dyDescent="0.25">
      <c r="B153" s="499"/>
      <c r="C153" s="1637">
        <v>2</v>
      </c>
      <c r="D153" s="1745" t="s">
        <v>52</v>
      </c>
      <c r="E153" s="898">
        <f>'Finance info'!E200+'Finance info'!E201</f>
        <v>0</v>
      </c>
      <c r="F153" s="898">
        <f>'Finance info'!F200+'Finance info'!F201</f>
        <v>0</v>
      </c>
      <c r="G153" s="898">
        <f>'Finance info'!G200+'Finance info'!G201</f>
        <v>0</v>
      </c>
      <c r="H153" s="898">
        <f>'Finance info'!H200+'Finance info'!H201</f>
        <v>0</v>
      </c>
      <c r="I153" s="898">
        <f>'Finance info'!I200+'Finance info'!I201</f>
        <v>0</v>
      </c>
      <c r="J153" s="898">
        <f>'Finance info'!J200+'Finance info'!J201</f>
        <v>0</v>
      </c>
      <c r="K153" s="3888"/>
      <c r="L153" s="3888"/>
      <c r="M153" s="3888"/>
      <c r="N153" s="3888"/>
      <c r="O153" s="3888"/>
      <c r="P153" s="3888"/>
      <c r="Q153" s="3888"/>
      <c r="R153" s="3888"/>
      <c r="S153" s="3888"/>
      <c r="T153" s="3888"/>
      <c r="U153" s="510"/>
    </row>
    <row r="154" spans="2:24" ht="15.75" hidden="1" x14ac:dyDescent="0.25">
      <c r="B154" s="499"/>
      <c r="C154" s="1637">
        <v>3</v>
      </c>
      <c r="D154" s="1745" t="s">
        <v>3362</v>
      </c>
      <c r="E154" s="898">
        <f>'Finance info'!E202</f>
        <v>0</v>
      </c>
      <c r="F154" s="898">
        <f>'Finance info'!F202</f>
        <v>0</v>
      </c>
      <c r="G154" s="898">
        <f>'Finance info'!G202</f>
        <v>0</v>
      </c>
      <c r="H154" s="898">
        <f>'Finance info'!H202</f>
        <v>0</v>
      </c>
      <c r="I154" s="898">
        <f>'Finance info'!I202</f>
        <v>0</v>
      </c>
      <c r="J154" s="898">
        <f>'Finance info'!J202</f>
        <v>0</v>
      </c>
      <c r="K154" s="3888">
        <v>8.31844802048</v>
      </c>
      <c r="L154" s="3888">
        <v>8.6511859412992003</v>
      </c>
      <c r="M154" s="3888">
        <v>8.9972333789511687</v>
      </c>
      <c r="N154" s="3888">
        <v>9.3571227141092166</v>
      </c>
      <c r="O154" s="3888">
        <v>9.7314076226735864</v>
      </c>
      <c r="P154" s="3888">
        <v>10.12066392758053</v>
      </c>
      <c r="Q154" s="3888">
        <v>10.525490484683752</v>
      </c>
      <c r="R154" s="3888">
        <v>10.946510104071102</v>
      </c>
      <c r="S154" s="3888">
        <v>11.384370508233946</v>
      </c>
      <c r="T154" s="3888">
        <v>11.839745328563305</v>
      </c>
      <c r="U154" s="510"/>
    </row>
    <row r="155" spans="2:24" ht="15.75" hidden="1" x14ac:dyDescent="0.25">
      <c r="B155" s="499"/>
      <c r="C155" s="1637">
        <v>4</v>
      </c>
      <c r="D155" s="1725" t="s">
        <v>53</v>
      </c>
      <c r="E155" s="898"/>
      <c r="F155" s="898"/>
      <c r="G155" s="898"/>
      <c r="H155" s="898"/>
      <c r="I155" s="898"/>
      <c r="J155" s="898"/>
      <c r="K155" s="3888"/>
      <c r="L155" s="3888"/>
      <c r="M155" s="3888"/>
      <c r="N155" s="3888"/>
      <c r="O155" s="3888"/>
      <c r="P155" s="3888"/>
      <c r="Q155" s="3888"/>
      <c r="R155" s="3888"/>
      <c r="S155" s="3888"/>
      <c r="T155" s="3888"/>
      <c r="U155" s="510"/>
    </row>
    <row r="156" spans="2:24" ht="15.75" hidden="1" x14ac:dyDescent="0.25">
      <c r="B156" s="499"/>
      <c r="C156" s="1637">
        <v>5</v>
      </c>
      <c r="D156" s="1725" t="s">
        <v>54</v>
      </c>
      <c r="E156" s="898">
        <f>'Finance info'!E203</f>
        <v>0</v>
      </c>
      <c r="F156" s="898">
        <f>'Finance info'!F203</f>
        <v>0</v>
      </c>
      <c r="G156" s="898">
        <f>'Finance info'!G203</f>
        <v>0</v>
      </c>
      <c r="H156" s="898">
        <f>'Finance info'!H203</f>
        <v>0</v>
      </c>
      <c r="I156" s="898">
        <f>'Finance info'!I203</f>
        <v>0</v>
      </c>
      <c r="J156" s="898">
        <f>'Finance info'!J203</f>
        <v>0</v>
      </c>
      <c r="K156" s="3888"/>
      <c r="L156" s="3888"/>
      <c r="M156" s="3888"/>
      <c r="N156" s="3888"/>
      <c r="O156" s="3888"/>
      <c r="P156" s="3888"/>
      <c r="Q156" s="3888"/>
      <c r="R156" s="3888"/>
      <c r="S156" s="3888"/>
      <c r="T156" s="3888"/>
      <c r="U156" s="510"/>
    </row>
    <row r="157" spans="2:24" s="498" customFormat="1" hidden="1" x14ac:dyDescent="0.25">
      <c r="B157" s="500"/>
      <c r="C157" s="968">
        <v>6</v>
      </c>
      <c r="D157" s="967" t="s">
        <v>3375</v>
      </c>
      <c r="E157" s="983"/>
      <c r="F157" s="984"/>
      <c r="G157" s="984"/>
      <c r="H157" s="984"/>
      <c r="I157" s="984"/>
      <c r="J157" s="985"/>
      <c r="U157" s="500"/>
    </row>
    <row r="158" spans="2:24" s="496" customFormat="1" hidden="1" x14ac:dyDescent="0.25">
      <c r="B158" s="503"/>
      <c r="C158" s="989"/>
      <c r="D158" s="989" t="s">
        <v>16</v>
      </c>
      <c r="E158" s="990">
        <f t="shared" ref="E158:J158" si="96">SUM(E152:E157)</f>
        <v>0</v>
      </c>
      <c r="F158" s="990">
        <f t="shared" si="96"/>
        <v>0</v>
      </c>
      <c r="G158" s="990">
        <f t="shared" si="96"/>
        <v>0</v>
      </c>
      <c r="H158" s="990">
        <f t="shared" si="96"/>
        <v>0</v>
      </c>
      <c r="I158" s="990">
        <f t="shared" si="96"/>
        <v>0</v>
      </c>
      <c r="J158" s="990">
        <f t="shared" si="96"/>
        <v>0</v>
      </c>
      <c r="U158" s="500"/>
      <c r="X158" s="493"/>
    </row>
    <row r="159" spans="2:24" ht="15.75" hidden="1" x14ac:dyDescent="0.25">
      <c r="B159" s="499"/>
      <c r="C159" s="499"/>
      <c r="D159" s="499"/>
      <c r="E159" s="499"/>
      <c r="F159" s="958"/>
      <c r="G159" s="958"/>
      <c r="H159" s="958"/>
      <c r="I159" s="958"/>
      <c r="J159" s="958"/>
      <c r="K159" s="1111"/>
      <c r="L159" s="1111"/>
      <c r="M159" s="1111"/>
      <c r="N159" s="1111"/>
      <c r="O159" s="1111"/>
      <c r="P159" s="1111"/>
      <c r="Q159" s="1111"/>
      <c r="R159" s="1111"/>
      <c r="S159" s="1111"/>
      <c r="T159" s="1111"/>
      <c r="U159" s="510"/>
    </row>
    <row r="160" spans="2:24" ht="15.75" hidden="1" x14ac:dyDescent="0.25">
      <c r="B160" s="499"/>
      <c r="C160" s="499"/>
      <c r="D160" s="499"/>
      <c r="E160" s="499"/>
      <c r="F160" s="499"/>
      <c r="G160" s="499"/>
      <c r="H160" s="499"/>
      <c r="I160" s="499"/>
      <c r="J160" s="499"/>
      <c r="K160" s="501"/>
      <c r="L160" s="501"/>
      <c r="M160" s="501"/>
      <c r="N160" s="501"/>
      <c r="O160" s="501"/>
      <c r="P160" s="501"/>
      <c r="Q160" s="501"/>
      <c r="R160" s="501"/>
      <c r="S160" s="501"/>
      <c r="T160" s="501"/>
      <c r="U160" s="510"/>
    </row>
    <row r="161" spans="2:24" s="508" customFormat="1" ht="18.75" hidden="1" x14ac:dyDescent="0.25">
      <c r="B161" s="505"/>
      <c r="C161" s="505" t="s">
        <v>8</v>
      </c>
      <c r="D161" s="505" t="str">
        <f>'Finance info'!C207</f>
        <v>FSM and wastewater capital account</v>
      </c>
      <c r="E161" s="506"/>
      <c r="F161" s="506"/>
      <c r="G161" s="506"/>
      <c r="H161" s="507"/>
      <c r="I161" s="506"/>
      <c r="J161" s="506"/>
      <c r="K161" s="506"/>
      <c r="L161" s="506"/>
      <c r="M161" s="506"/>
      <c r="N161" s="506"/>
      <c r="O161" s="506"/>
      <c r="P161" s="506"/>
      <c r="Q161" s="506"/>
      <c r="R161" s="506"/>
      <c r="S161" s="506"/>
      <c r="T161" s="506"/>
      <c r="U161" s="5580"/>
    </row>
    <row r="162" spans="2:24" s="512" customFormat="1" ht="15.75" hidden="1" x14ac:dyDescent="0.25">
      <c r="B162" s="511"/>
      <c r="C162" s="513" t="s">
        <v>725</v>
      </c>
      <c r="D162" s="509" t="str">
        <f>'Finance info'!C208</f>
        <v>FSM and wastewater capital receipts</v>
      </c>
      <c r="E162" s="511"/>
      <c r="F162" s="510"/>
      <c r="G162" s="511"/>
      <c r="H162" s="511"/>
      <c r="I162" s="511"/>
      <c r="J162" s="511"/>
      <c r="K162" s="511"/>
      <c r="L162" s="511"/>
      <c r="M162" s="511"/>
      <c r="N162" s="511"/>
      <c r="O162" s="511"/>
      <c r="P162" s="511"/>
      <c r="Q162" s="511"/>
      <c r="R162" s="511"/>
      <c r="S162" s="511"/>
      <c r="T162" s="511"/>
      <c r="U162" s="510"/>
    </row>
    <row r="163" spans="2:24" hidden="1" x14ac:dyDescent="0.25">
      <c r="B163" s="499"/>
      <c r="C163" s="1554" t="s">
        <v>3373</v>
      </c>
      <c r="D163" s="1554" t="s">
        <v>4</v>
      </c>
      <c r="E163" s="971" t="str">
        <f>E$97</f>
        <v xml:space="preserve">2009 </v>
      </c>
      <c r="F163" s="971" t="str">
        <f t="shared" ref="F163:T163" si="97">F$97</f>
        <v>2010  (A)</v>
      </c>
      <c r="G163" s="971" t="str">
        <f t="shared" si="97"/>
        <v>2011  (A)</v>
      </c>
      <c r="H163" s="971" t="str">
        <f t="shared" si="97"/>
        <v>2012  (A)</v>
      </c>
      <c r="I163" s="971" t="str">
        <f t="shared" si="97"/>
        <v>2013  (RE)</v>
      </c>
      <c r="J163" s="971" t="str">
        <f t="shared" si="97"/>
        <v>2014 (BE)</v>
      </c>
      <c r="K163" s="972">
        <f t="shared" si="97"/>
        <v>2015</v>
      </c>
      <c r="L163" s="972">
        <f t="shared" si="97"/>
        <v>2016</v>
      </c>
      <c r="M163" s="972">
        <f t="shared" si="97"/>
        <v>2017</v>
      </c>
      <c r="N163" s="972">
        <f t="shared" si="97"/>
        <v>2018</v>
      </c>
      <c r="O163" s="972">
        <f t="shared" si="97"/>
        <v>2019</v>
      </c>
      <c r="P163" s="972">
        <f t="shared" si="97"/>
        <v>2020</v>
      </c>
      <c r="Q163" s="972">
        <f t="shared" si="97"/>
        <v>2021</v>
      </c>
      <c r="R163" s="972">
        <f t="shared" si="97"/>
        <v>2022</v>
      </c>
      <c r="S163" s="972">
        <f t="shared" si="97"/>
        <v>2023</v>
      </c>
      <c r="T163" s="972">
        <f t="shared" si="97"/>
        <v>2024</v>
      </c>
      <c r="U163" s="502"/>
    </row>
    <row r="164" spans="2:24" s="497" customFormat="1" ht="17.25" hidden="1" customHeight="1" x14ac:dyDescent="0.25">
      <c r="B164" s="504"/>
      <c r="C164" s="333">
        <v>1</v>
      </c>
      <c r="D164" s="429" t="s">
        <v>2070</v>
      </c>
      <c r="E164" s="975">
        <f>'Finance info'!E210</f>
        <v>0</v>
      </c>
      <c r="F164" s="981">
        <f>'Finance info'!F210</f>
        <v>0</v>
      </c>
      <c r="G164" s="981">
        <f>'Finance info'!G210</f>
        <v>0</v>
      </c>
      <c r="H164" s="981">
        <f>'Finance info'!H210</f>
        <v>0</v>
      </c>
      <c r="I164" s="981">
        <f>'Finance info'!I210</f>
        <v>0</v>
      </c>
      <c r="J164" s="982">
        <f>'Finance info'!J210</f>
        <v>0</v>
      </c>
      <c r="K164" s="3851"/>
      <c r="L164" s="3851"/>
      <c r="M164" s="3851"/>
      <c r="N164" s="3851"/>
      <c r="O164" s="3851"/>
      <c r="P164" s="3851"/>
      <c r="Q164" s="3851"/>
      <c r="R164" s="3851"/>
      <c r="S164" s="3851"/>
      <c r="T164" s="3851"/>
      <c r="U164" s="510"/>
    </row>
    <row r="165" spans="2:24" s="497" customFormat="1" ht="17.25" hidden="1" customHeight="1" x14ac:dyDescent="0.25">
      <c r="B165" s="504"/>
      <c r="C165" s="333">
        <v>2</v>
      </c>
      <c r="D165" s="1582" t="s">
        <v>2071</v>
      </c>
      <c r="E165" s="975">
        <f>'Finance info'!E211</f>
        <v>0</v>
      </c>
      <c r="F165" s="981">
        <f>'Finance info'!F211</f>
        <v>0</v>
      </c>
      <c r="G165" s="981">
        <f>'Finance info'!G211</f>
        <v>0</v>
      </c>
      <c r="H165" s="981">
        <f>'Finance info'!H211</f>
        <v>0</v>
      </c>
      <c r="I165" s="981">
        <f>'Finance info'!I211</f>
        <v>0</v>
      </c>
      <c r="J165" s="982">
        <f>'Finance info'!J211</f>
        <v>0</v>
      </c>
      <c r="K165" s="3851"/>
      <c r="L165" s="3851"/>
      <c r="M165" s="3851"/>
      <c r="N165" s="3851"/>
      <c r="O165" s="3851"/>
      <c r="P165" s="3851"/>
      <c r="Q165" s="3851"/>
      <c r="R165" s="3851"/>
      <c r="S165" s="3851"/>
      <c r="T165" s="3851"/>
      <c r="U165" s="510"/>
    </row>
    <row r="166" spans="2:24" s="497" customFormat="1" ht="15.75" hidden="1" x14ac:dyDescent="0.25">
      <c r="B166" s="504"/>
      <c r="C166" s="333">
        <v>3</v>
      </c>
      <c r="D166" s="429" t="s">
        <v>2072</v>
      </c>
      <c r="E166" s="975">
        <f>'Finance info'!E212</f>
        <v>0</v>
      </c>
      <c r="F166" s="981">
        <f>'Finance info'!F212</f>
        <v>0</v>
      </c>
      <c r="G166" s="981">
        <f>'Finance info'!G212</f>
        <v>0</v>
      </c>
      <c r="H166" s="981">
        <f>'Finance info'!H212</f>
        <v>0</v>
      </c>
      <c r="I166" s="981">
        <f>'Finance info'!I212</f>
        <v>0</v>
      </c>
      <c r="J166" s="982">
        <f>'Finance info'!J212</f>
        <v>0</v>
      </c>
      <c r="K166" s="3851"/>
      <c r="L166" s="3851"/>
      <c r="M166" s="3851"/>
      <c r="N166" s="3851"/>
      <c r="O166" s="3851"/>
      <c r="P166" s="3851"/>
      <c r="Q166" s="3851"/>
      <c r="R166" s="3851"/>
      <c r="S166" s="3851"/>
      <c r="T166" s="3851"/>
      <c r="U166" s="510"/>
    </row>
    <row r="167" spans="2:24" s="497" customFormat="1" ht="15.75" hidden="1" x14ac:dyDescent="0.25">
      <c r="B167" s="504"/>
      <c r="C167" s="333">
        <v>4</v>
      </c>
      <c r="D167" s="429" t="s">
        <v>26</v>
      </c>
      <c r="E167" s="975">
        <f>'Finance info'!E213</f>
        <v>0</v>
      </c>
      <c r="F167" s="981">
        <f>'Finance info'!F213</f>
        <v>0</v>
      </c>
      <c r="G167" s="981">
        <f>'Finance info'!G213</f>
        <v>0</v>
      </c>
      <c r="H167" s="981">
        <f>'Finance info'!H213</f>
        <v>0</v>
      </c>
      <c r="I167" s="981">
        <f>'Finance info'!I213</f>
        <v>0</v>
      </c>
      <c r="J167" s="982">
        <f>'Finance info'!J213</f>
        <v>0</v>
      </c>
      <c r="K167" s="3851"/>
      <c r="L167" s="3851"/>
      <c r="M167" s="3851"/>
      <c r="N167" s="3851"/>
      <c r="O167" s="3851"/>
      <c r="P167" s="3851"/>
      <c r="Q167" s="3851"/>
      <c r="R167" s="3851"/>
      <c r="S167" s="3851"/>
      <c r="T167" s="3851"/>
      <c r="U167" s="510"/>
    </row>
    <row r="168" spans="2:24" s="498" customFormat="1" hidden="1" x14ac:dyDescent="0.25">
      <c r="B168" s="500"/>
      <c r="C168" s="968">
        <v>5</v>
      </c>
      <c r="D168" s="967" t="s">
        <v>3376</v>
      </c>
      <c r="E168" s="983"/>
      <c r="F168" s="984"/>
      <c r="G168" s="984"/>
      <c r="H168" s="984"/>
      <c r="I168" s="984"/>
      <c r="J168" s="985"/>
      <c r="U168" s="500"/>
    </row>
    <row r="169" spans="2:24" s="496" customFormat="1" hidden="1" x14ac:dyDescent="0.25">
      <c r="B169" s="503"/>
      <c r="C169" s="989"/>
      <c r="D169" s="989" t="s">
        <v>16</v>
      </c>
      <c r="E169" s="990">
        <f t="shared" ref="E169:J169" si="98">SUM(E164:E167)</f>
        <v>0</v>
      </c>
      <c r="F169" s="990">
        <f t="shared" si="98"/>
        <v>0</v>
      </c>
      <c r="G169" s="990">
        <f t="shared" si="98"/>
        <v>0</v>
      </c>
      <c r="H169" s="990">
        <f t="shared" si="98"/>
        <v>0</v>
      </c>
      <c r="I169" s="990">
        <f t="shared" si="98"/>
        <v>0</v>
      </c>
      <c r="J169" s="990">
        <f t="shared" si="98"/>
        <v>0</v>
      </c>
      <c r="U169" s="500"/>
      <c r="X169" s="493"/>
    </row>
    <row r="170" spans="2:24" ht="15.75" hidden="1" x14ac:dyDescent="0.25">
      <c r="B170" s="499"/>
      <c r="C170" s="499"/>
      <c r="D170" s="499"/>
      <c r="E170" s="499"/>
      <c r="F170" s="499"/>
      <c r="G170" s="499"/>
      <c r="H170" s="499"/>
      <c r="I170" s="499"/>
      <c r="J170" s="499"/>
      <c r="K170" s="501"/>
      <c r="L170" s="501"/>
      <c r="M170" s="501"/>
      <c r="N170" s="501"/>
      <c r="O170" s="501"/>
      <c r="P170" s="501"/>
      <c r="Q170" s="501"/>
      <c r="R170" s="501"/>
      <c r="S170" s="501"/>
      <c r="T170" s="501"/>
      <c r="U170" s="510"/>
    </row>
    <row r="171" spans="2:24" s="512" customFormat="1" ht="15.75" hidden="1" x14ac:dyDescent="0.25">
      <c r="B171" s="511"/>
      <c r="C171" s="513" t="s">
        <v>726</v>
      </c>
      <c r="D171" s="509" t="str">
        <f>'Finance info'!C216</f>
        <v>FSM and wastewater capital expenditure</v>
      </c>
      <c r="E171" s="1088"/>
      <c r="F171" s="1088"/>
      <c r="G171" s="1088"/>
      <c r="H171" s="1088"/>
      <c r="I171" s="1088"/>
      <c r="J171" s="1088"/>
      <c r="K171" s="1088"/>
      <c r="L171" s="1088"/>
      <c r="M171" s="1088"/>
      <c r="N171" s="1088"/>
      <c r="O171" s="1088"/>
      <c r="P171" s="1088"/>
      <c r="Q171" s="1088"/>
      <c r="R171" s="1088"/>
      <c r="S171" s="1088"/>
      <c r="T171" s="1088"/>
      <c r="U171" s="510"/>
    </row>
    <row r="172" spans="2:24" hidden="1" x14ac:dyDescent="0.25">
      <c r="B172" s="499"/>
      <c r="C172" s="1554" t="s">
        <v>3373</v>
      </c>
      <c r="D172" s="1554" t="s">
        <v>4</v>
      </c>
      <c r="E172" s="971" t="str">
        <f>E$97</f>
        <v xml:space="preserve">2009 </v>
      </c>
      <c r="F172" s="971" t="str">
        <f t="shared" ref="F172:T172" si="99">F$97</f>
        <v>2010  (A)</v>
      </c>
      <c r="G172" s="971" t="str">
        <f t="shared" si="99"/>
        <v>2011  (A)</v>
      </c>
      <c r="H172" s="971" t="str">
        <f t="shared" si="99"/>
        <v>2012  (A)</v>
      </c>
      <c r="I172" s="971" t="str">
        <f t="shared" si="99"/>
        <v>2013  (RE)</v>
      </c>
      <c r="J172" s="971" t="str">
        <f t="shared" si="99"/>
        <v>2014 (BE)</v>
      </c>
      <c r="K172" s="972">
        <f t="shared" si="99"/>
        <v>2015</v>
      </c>
      <c r="L172" s="972">
        <f t="shared" si="99"/>
        <v>2016</v>
      </c>
      <c r="M172" s="972">
        <f t="shared" si="99"/>
        <v>2017</v>
      </c>
      <c r="N172" s="972">
        <f t="shared" si="99"/>
        <v>2018</v>
      </c>
      <c r="O172" s="972">
        <f t="shared" si="99"/>
        <v>2019</v>
      </c>
      <c r="P172" s="972">
        <f t="shared" si="99"/>
        <v>2020</v>
      </c>
      <c r="Q172" s="972">
        <f t="shared" si="99"/>
        <v>2021</v>
      </c>
      <c r="R172" s="972">
        <f t="shared" si="99"/>
        <v>2022</v>
      </c>
      <c r="S172" s="972">
        <f t="shared" si="99"/>
        <v>2023</v>
      </c>
      <c r="T172" s="972">
        <f t="shared" si="99"/>
        <v>2024</v>
      </c>
      <c r="U172" s="502"/>
    </row>
    <row r="173" spans="2:24" ht="15.75" hidden="1" x14ac:dyDescent="0.25">
      <c r="B173" s="499"/>
      <c r="C173" s="58">
        <v>1</v>
      </c>
      <c r="D173" s="429" t="s">
        <v>58</v>
      </c>
      <c r="E173" s="898">
        <f>'Finance info'!E218</f>
        <v>0</v>
      </c>
      <c r="F173" s="898">
        <f>'Finance info'!F218</f>
        <v>0</v>
      </c>
      <c r="G173" s="898">
        <f>'Finance info'!G218</f>
        <v>0</v>
      </c>
      <c r="H173" s="898">
        <f>'Finance info'!H218</f>
        <v>0</v>
      </c>
      <c r="I173" s="898">
        <f>'Finance info'!I218</f>
        <v>0</v>
      </c>
      <c r="J173" s="974">
        <f>'Finance info'!J218</f>
        <v>0</v>
      </c>
      <c r="K173" s="3888"/>
      <c r="L173" s="3888"/>
      <c r="M173" s="3888"/>
      <c r="N173" s="3888"/>
      <c r="O173" s="3888"/>
      <c r="P173" s="3888"/>
      <c r="Q173" s="3888"/>
      <c r="R173" s="3888"/>
      <c r="S173" s="3888"/>
      <c r="T173" s="3888"/>
      <c r="U173" s="510"/>
    </row>
    <row r="174" spans="2:24" ht="30" hidden="1" x14ac:dyDescent="0.25">
      <c r="B174" s="499"/>
      <c r="C174" s="58">
        <v>2</v>
      </c>
      <c r="D174" s="1553" t="s">
        <v>1879</v>
      </c>
      <c r="E174" s="898">
        <f>'Finance info'!E219</f>
        <v>0</v>
      </c>
      <c r="F174" s="898">
        <f>'Finance info'!F219</f>
        <v>0</v>
      </c>
      <c r="G174" s="898">
        <f>'Finance info'!G219</f>
        <v>0</v>
      </c>
      <c r="H174" s="898">
        <f>'Finance info'!H219</f>
        <v>0</v>
      </c>
      <c r="I174" s="898">
        <f>'Finance info'!I219</f>
        <v>0</v>
      </c>
      <c r="J174" s="974">
        <f>'Finance info'!J219</f>
        <v>0</v>
      </c>
      <c r="K174" s="3888"/>
      <c r="L174" s="3888"/>
      <c r="M174" s="3888"/>
      <c r="N174" s="3888"/>
      <c r="O174" s="3888"/>
      <c r="P174" s="3888"/>
      <c r="Q174" s="3888"/>
      <c r="R174" s="3888"/>
      <c r="S174" s="3888"/>
      <c r="T174" s="3888"/>
      <c r="U174" s="510"/>
    </row>
    <row r="175" spans="2:24" ht="15.75" hidden="1" x14ac:dyDescent="0.25">
      <c r="B175" s="499"/>
      <c r="C175" s="58">
        <v>3</v>
      </c>
      <c r="D175" s="44" t="s">
        <v>26</v>
      </c>
      <c r="E175" s="898">
        <f>'Finance info'!E220</f>
        <v>0</v>
      </c>
      <c r="F175" s="898">
        <f>'Finance info'!F220</f>
        <v>0</v>
      </c>
      <c r="G175" s="898">
        <f>'Finance info'!G220</f>
        <v>0</v>
      </c>
      <c r="H175" s="898">
        <f>'Finance info'!H220</f>
        <v>0</v>
      </c>
      <c r="I175" s="898">
        <f>'Finance info'!I220</f>
        <v>0</v>
      </c>
      <c r="J175" s="974">
        <f>'Finance info'!J220</f>
        <v>0</v>
      </c>
      <c r="K175" s="3888"/>
      <c r="L175" s="3888"/>
      <c r="M175" s="3888"/>
      <c r="N175" s="3888"/>
      <c r="O175" s="3888"/>
      <c r="P175" s="3888"/>
      <c r="Q175" s="3888"/>
      <c r="R175" s="3888"/>
      <c r="S175" s="3888"/>
      <c r="T175" s="3888"/>
      <c r="U175" s="510"/>
    </row>
    <row r="176" spans="2:24" ht="15.75" hidden="1" x14ac:dyDescent="0.25">
      <c r="B176" s="499"/>
      <c r="C176" s="58">
        <v>4</v>
      </c>
      <c r="D176" s="306" t="s">
        <v>542</v>
      </c>
      <c r="E176" s="977"/>
      <c r="F176" s="978"/>
      <c r="G176" s="978"/>
      <c r="H176" s="978"/>
      <c r="I176" s="978"/>
      <c r="J176" s="978"/>
      <c r="K176" s="3888"/>
      <c r="L176" s="3888"/>
      <c r="M176" s="3888"/>
      <c r="N176" s="3888"/>
      <c r="O176" s="3888"/>
      <c r="P176" s="3888"/>
      <c r="Q176" s="3888"/>
      <c r="R176" s="3888"/>
      <c r="S176" s="3888"/>
      <c r="T176" s="3888"/>
      <c r="U176" s="510"/>
    </row>
    <row r="177" spans="2:24" ht="33" hidden="1" customHeight="1" x14ac:dyDescent="0.25">
      <c r="B177" s="499"/>
      <c r="C177" s="333">
        <v>5</v>
      </c>
      <c r="D177" s="1582" t="s">
        <v>2073</v>
      </c>
      <c r="E177" s="979"/>
      <c r="F177" s="980"/>
      <c r="G177" s="980"/>
      <c r="H177" s="980"/>
      <c r="I177" s="980"/>
      <c r="J177" s="980"/>
      <c r="K177" s="3888"/>
      <c r="L177" s="3888"/>
      <c r="M177" s="3888"/>
      <c r="N177" s="3888"/>
      <c r="O177" s="3888"/>
      <c r="P177" s="3888"/>
      <c r="Q177" s="3888"/>
      <c r="R177" s="3888"/>
      <c r="S177" s="3888"/>
      <c r="T177" s="3888"/>
      <c r="U177" s="510"/>
      <c r="V177" s="498"/>
    </row>
    <row r="178" spans="2:24" s="498" customFormat="1" hidden="1" x14ac:dyDescent="0.25">
      <c r="B178" s="500"/>
      <c r="C178" s="968">
        <v>6</v>
      </c>
      <c r="D178" s="967" t="s">
        <v>3377</v>
      </c>
      <c r="E178" s="983"/>
      <c r="F178" s="984"/>
      <c r="G178" s="984"/>
      <c r="H178" s="984"/>
      <c r="I178" s="984"/>
      <c r="J178" s="985"/>
      <c r="U178" s="500"/>
    </row>
    <row r="179" spans="2:24" s="496" customFormat="1" hidden="1" x14ac:dyDescent="0.25">
      <c r="B179" s="503"/>
      <c r="C179" s="989"/>
      <c r="D179" s="989" t="s">
        <v>16</v>
      </c>
      <c r="E179" s="990">
        <f t="shared" ref="E179:J179" si="100">SUM(E173:E178)</f>
        <v>0</v>
      </c>
      <c r="F179" s="990">
        <f t="shared" si="100"/>
        <v>0</v>
      </c>
      <c r="G179" s="990">
        <f t="shared" si="100"/>
        <v>0</v>
      </c>
      <c r="H179" s="990">
        <f t="shared" si="100"/>
        <v>0</v>
      </c>
      <c r="I179" s="990">
        <f t="shared" si="100"/>
        <v>0</v>
      </c>
      <c r="J179" s="990">
        <f t="shared" si="100"/>
        <v>0</v>
      </c>
      <c r="U179" s="500"/>
      <c r="X179" s="493"/>
    </row>
    <row r="180" spans="2:24" ht="15.75" hidden="1" x14ac:dyDescent="0.25">
      <c r="B180" s="499"/>
      <c r="C180" s="499"/>
      <c r="D180" s="499"/>
      <c r="E180" s="499"/>
      <c r="F180" s="499"/>
      <c r="G180" s="499"/>
      <c r="H180" s="499"/>
      <c r="I180" s="499"/>
      <c r="J180" s="499"/>
      <c r="K180" s="501"/>
      <c r="L180" s="501"/>
      <c r="M180" s="501"/>
      <c r="N180" s="501"/>
      <c r="O180" s="501"/>
      <c r="P180" s="501"/>
      <c r="Q180" s="501"/>
      <c r="R180" s="501"/>
      <c r="S180" s="501"/>
      <c r="T180" s="501"/>
      <c r="U180" s="510"/>
    </row>
    <row r="181" spans="2:24" ht="15.75" hidden="1" x14ac:dyDescent="0.25">
      <c r="B181" s="499"/>
      <c r="C181" s="499"/>
      <c r="D181" s="499"/>
      <c r="E181" s="499"/>
      <c r="F181" s="499"/>
      <c r="G181" s="499"/>
      <c r="H181" s="499"/>
      <c r="I181" s="499"/>
      <c r="J181" s="499"/>
      <c r="K181" s="501"/>
      <c r="L181" s="501"/>
      <c r="M181" s="501"/>
      <c r="N181" s="501"/>
      <c r="O181" s="501"/>
      <c r="P181" s="501"/>
      <c r="Q181" s="501"/>
      <c r="R181" s="501"/>
      <c r="S181" s="501"/>
      <c r="T181" s="501"/>
      <c r="U181" s="510"/>
    </row>
    <row r="182" spans="2:24" s="1026" customFormat="1" ht="28.5" hidden="1" x14ac:dyDescent="0.25">
      <c r="B182" s="1390"/>
      <c r="C182" s="1392" t="s">
        <v>36</v>
      </c>
      <c r="D182" s="1392" t="s">
        <v>1039</v>
      </c>
      <c r="E182" s="1391"/>
      <c r="F182" s="1391"/>
      <c r="G182" s="1391"/>
      <c r="H182" s="1391"/>
      <c r="I182" s="1391"/>
      <c r="J182" s="1391"/>
      <c r="K182" s="1391"/>
      <c r="L182" s="1391"/>
      <c r="M182" s="1391"/>
      <c r="N182" s="1391"/>
      <c r="O182" s="1391"/>
      <c r="P182" s="1391"/>
      <c r="Q182" s="1391"/>
      <c r="R182" s="1391"/>
      <c r="S182" s="1391"/>
      <c r="T182" s="5964" t="str">
        <f>CONCATENATE("All figures in ",'General info'!$E$43," ",'General info'!$G$43)</f>
        <v>All figures in INR Lakhs</v>
      </c>
      <c r="U182" s="5579"/>
      <c r="V182" s="1025"/>
    </row>
    <row r="183" spans="2:24" s="508" customFormat="1" ht="18.75" hidden="1" x14ac:dyDescent="0.25">
      <c r="B183" s="505"/>
      <c r="C183" s="505" t="s">
        <v>2</v>
      </c>
      <c r="D183" s="505" t="s">
        <v>200</v>
      </c>
      <c r="E183" s="506"/>
      <c r="F183" s="506"/>
      <c r="G183" s="506"/>
      <c r="H183" s="507"/>
      <c r="I183" s="506"/>
      <c r="J183" s="506"/>
      <c r="K183" s="506"/>
      <c r="L183" s="506"/>
      <c r="M183" s="506"/>
      <c r="N183" s="506"/>
      <c r="O183" s="506"/>
      <c r="P183" s="506"/>
      <c r="Q183" s="506"/>
      <c r="R183" s="506"/>
      <c r="S183" s="506"/>
      <c r="T183" s="506"/>
      <c r="U183" s="5580"/>
    </row>
    <row r="184" spans="2:24" s="512" customFormat="1" ht="15.75" hidden="1" x14ac:dyDescent="0.25">
      <c r="B184" s="511"/>
      <c r="C184" s="513" t="s">
        <v>725</v>
      </c>
      <c r="D184" s="509" t="s">
        <v>201</v>
      </c>
      <c r="E184" s="511"/>
      <c r="F184" s="510"/>
      <c r="G184" s="511"/>
      <c r="H184" s="511"/>
      <c r="I184" s="511"/>
      <c r="J184" s="511"/>
      <c r="K184" s="511"/>
      <c r="L184" s="511"/>
      <c r="M184" s="511"/>
      <c r="N184" s="511"/>
      <c r="O184" s="511"/>
      <c r="P184" s="511"/>
      <c r="Q184" s="511"/>
      <c r="R184" s="511"/>
      <c r="S184" s="511"/>
      <c r="T184" s="511"/>
      <c r="U184" s="510"/>
    </row>
    <row r="185" spans="2:24" hidden="1" x14ac:dyDescent="0.25">
      <c r="B185" s="499"/>
      <c r="C185" s="1554" t="s">
        <v>3373</v>
      </c>
      <c r="D185" s="1554" t="s">
        <v>4</v>
      </c>
      <c r="E185" s="971" t="str">
        <f>E$97</f>
        <v xml:space="preserve">2009 </v>
      </c>
      <c r="F185" s="971" t="str">
        <f t="shared" ref="F185:T185" si="101">F$97</f>
        <v>2010  (A)</v>
      </c>
      <c r="G185" s="971" t="str">
        <f t="shared" si="101"/>
        <v>2011  (A)</v>
      </c>
      <c r="H185" s="971" t="str">
        <f t="shared" si="101"/>
        <v>2012  (A)</v>
      </c>
      <c r="I185" s="971" t="str">
        <f t="shared" si="101"/>
        <v>2013  (RE)</v>
      </c>
      <c r="J185" s="971" t="str">
        <f t="shared" si="101"/>
        <v>2014 (BE)</v>
      </c>
      <c r="K185" s="972">
        <f t="shared" si="101"/>
        <v>2015</v>
      </c>
      <c r="L185" s="972">
        <f t="shared" si="101"/>
        <v>2016</v>
      </c>
      <c r="M185" s="972">
        <f t="shared" si="101"/>
        <v>2017</v>
      </c>
      <c r="N185" s="972">
        <f t="shared" si="101"/>
        <v>2018</v>
      </c>
      <c r="O185" s="972">
        <f t="shared" si="101"/>
        <v>2019</v>
      </c>
      <c r="P185" s="972">
        <f t="shared" si="101"/>
        <v>2020</v>
      </c>
      <c r="Q185" s="972">
        <f t="shared" si="101"/>
        <v>2021</v>
      </c>
      <c r="R185" s="972">
        <f t="shared" si="101"/>
        <v>2022</v>
      </c>
      <c r="S185" s="972">
        <f t="shared" si="101"/>
        <v>2023</v>
      </c>
      <c r="T185" s="972">
        <f t="shared" si="101"/>
        <v>2024</v>
      </c>
      <c r="U185" s="502"/>
    </row>
    <row r="186" spans="2:24" ht="30" hidden="1" x14ac:dyDescent="0.25">
      <c r="B186" s="499"/>
      <c r="C186" s="6806">
        <v>1</v>
      </c>
      <c r="D186" s="1126" t="s">
        <v>1264</v>
      </c>
      <c r="E186" s="6804">
        <f>'Finance info'!E228</f>
        <v>0</v>
      </c>
      <c r="F186" s="6804">
        <f>'Finance info'!F228</f>
        <v>0</v>
      </c>
      <c r="G186" s="6804">
        <f>'Finance info'!G228</f>
        <v>0</v>
      </c>
      <c r="H186" s="6804">
        <f>'Finance info'!H228</f>
        <v>0</v>
      </c>
      <c r="I186" s="6804">
        <f>'Finance info'!I228</f>
        <v>0</v>
      </c>
      <c r="J186" s="6804">
        <f>'Finance info'!J228</f>
        <v>0</v>
      </c>
      <c r="K186" s="493"/>
      <c r="L186" s="493"/>
      <c r="M186" s="493"/>
      <c r="N186" s="493"/>
      <c r="O186" s="493"/>
      <c r="P186" s="493"/>
      <c r="Q186" s="493"/>
      <c r="R186" s="493"/>
      <c r="S186" s="493"/>
      <c r="T186" s="493"/>
      <c r="U186" s="502"/>
    </row>
    <row r="187" spans="2:24" hidden="1" x14ac:dyDescent="0.25">
      <c r="B187" s="499"/>
      <c r="C187" s="6807"/>
      <c r="D187" s="1127" t="s">
        <v>1265</v>
      </c>
      <c r="E187" s="6805"/>
      <c r="F187" s="6805"/>
      <c r="G187" s="6805"/>
      <c r="H187" s="6805"/>
      <c r="I187" s="6805"/>
      <c r="J187" s="6805"/>
      <c r="K187" s="3887"/>
      <c r="L187" s="3887"/>
      <c r="M187" s="3887"/>
      <c r="N187" s="3887"/>
      <c r="O187" s="3887"/>
      <c r="P187" s="3887"/>
      <c r="Q187" s="3887"/>
      <c r="R187" s="3887"/>
      <c r="S187" s="3887"/>
      <c r="T187" s="3887"/>
      <c r="U187" s="502"/>
    </row>
    <row r="188" spans="2:24" hidden="1" x14ac:dyDescent="0.25">
      <c r="B188" s="499"/>
      <c r="C188" s="58">
        <v>2</v>
      </c>
      <c r="D188" s="299" t="s">
        <v>1028</v>
      </c>
      <c r="E188" s="975">
        <f>'Finance info'!E229</f>
        <v>0</v>
      </c>
      <c r="F188" s="975">
        <f>'Finance info'!F229</f>
        <v>0</v>
      </c>
      <c r="G188" s="975">
        <f>'Finance info'!G229</f>
        <v>0</v>
      </c>
      <c r="H188" s="975">
        <f>'Finance info'!H229</f>
        <v>0</v>
      </c>
      <c r="I188" s="975">
        <f>'Finance info'!I229</f>
        <v>0</v>
      </c>
      <c r="J188" s="976">
        <f>'Finance info'!J229</f>
        <v>0</v>
      </c>
      <c r="K188" s="3888"/>
      <c r="L188" s="3888"/>
      <c r="M188" s="3888"/>
      <c r="N188" s="3888"/>
      <c r="O188" s="3888"/>
      <c r="P188" s="3888"/>
      <c r="Q188" s="3888"/>
      <c r="R188" s="3888"/>
      <c r="S188" s="3888"/>
      <c r="T188" s="3888"/>
      <c r="U188" s="502"/>
    </row>
    <row r="189" spans="2:24" hidden="1" x14ac:dyDescent="0.25">
      <c r="B189" s="499"/>
      <c r="C189" s="58">
        <v>3</v>
      </c>
      <c r="D189" s="969" t="s">
        <v>1262</v>
      </c>
      <c r="E189" s="975">
        <f>'Finance info'!E230</f>
        <v>0</v>
      </c>
      <c r="F189" s="975">
        <f>'Finance info'!F230</f>
        <v>0</v>
      </c>
      <c r="G189" s="975">
        <f>'Finance info'!G230</f>
        <v>0</v>
      </c>
      <c r="H189" s="975">
        <f>'Finance info'!H230</f>
        <v>0</v>
      </c>
      <c r="I189" s="975">
        <f>'Finance info'!I230</f>
        <v>0</v>
      </c>
      <c r="J189" s="976">
        <f>'Finance info'!J230</f>
        <v>0</v>
      </c>
      <c r="K189" s="3888"/>
      <c r="L189" s="3888"/>
      <c r="M189" s="3888"/>
      <c r="N189" s="3888"/>
      <c r="O189" s="3888"/>
      <c r="P189" s="3888"/>
      <c r="Q189" s="3888"/>
      <c r="R189" s="3888"/>
      <c r="S189" s="3888"/>
      <c r="T189" s="3888"/>
      <c r="U189" s="502"/>
    </row>
    <row r="190" spans="2:24" s="498" customFormat="1" hidden="1" x14ac:dyDescent="0.25">
      <c r="B190" s="500"/>
      <c r="C190" s="968">
        <v>4</v>
      </c>
      <c r="D190" s="967" t="s">
        <v>3090</v>
      </c>
      <c r="E190" s="983"/>
      <c r="F190" s="984"/>
      <c r="G190" s="984"/>
      <c r="H190" s="984"/>
      <c r="I190" s="984"/>
      <c r="J190" s="985"/>
      <c r="U190" s="500"/>
    </row>
    <row r="191" spans="2:24" s="496" customFormat="1" hidden="1" x14ac:dyDescent="0.25">
      <c r="B191" s="503"/>
      <c r="C191" s="989"/>
      <c r="D191" s="989" t="s">
        <v>16</v>
      </c>
      <c r="E191" s="990">
        <f t="shared" ref="E191:J191" si="102">SUM(E186:E190)</f>
        <v>0</v>
      </c>
      <c r="F191" s="990">
        <f t="shared" si="102"/>
        <v>0</v>
      </c>
      <c r="G191" s="990">
        <f t="shared" si="102"/>
        <v>0</v>
      </c>
      <c r="H191" s="990">
        <f t="shared" si="102"/>
        <v>0</v>
      </c>
      <c r="I191" s="990">
        <f t="shared" si="102"/>
        <v>0</v>
      </c>
      <c r="J191" s="990">
        <f t="shared" si="102"/>
        <v>0</v>
      </c>
      <c r="U191" s="500"/>
      <c r="X191" s="493"/>
    </row>
    <row r="192" spans="2:24" hidden="1" x14ac:dyDescent="0.25">
      <c r="B192" s="499"/>
      <c r="C192" s="499"/>
      <c r="D192" s="499"/>
      <c r="E192" s="499"/>
      <c r="F192" s="499"/>
      <c r="G192" s="499"/>
      <c r="H192" s="499"/>
      <c r="I192" s="499"/>
      <c r="J192" s="499"/>
      <c r="K192" s="501"/>
      <c r="L192" s="501"/>
      <c r="M192" s="501"/>
      <c r="N192" s="501"/>
      <c r="O192" s="501"/>
      <c r="P192" s="501"/>
      <c r="Q192" s="501"/>
      <c r="R192" s="501"/>
      <c r="S192" s="501"/>
      <c r="T192" s="501"/>
      <c r="U192" s="502"/>
    </row>
    <row r="193" spans="2:24" s="512" customFormat="1" ht="15.75" hidden="1" x14ac:dyDescent="0.25">
      <c r="B193" s="511"/>
      <c r="C193" s="513" t="s">
        <v>726</v>
      </c>
      <c r="D193" s="509" t="s">
        <v>202</v>
      </c>
      <c r="E193" s="511"/>
      <c r="F193" s="1088"/>
      <c r="G193" s="1088"/>
      <c r="H193" s="1088"/>
      <c r="I193" s="1088"/>
      <c r="J193" s="1088"/>
      <c r="K193" s="1088"/>
      <c r="L193" s="1088"/>
      <c r="M193" s="1088"/>
      <c r="N193" s="1088"/>
      <c r="O193" s="1088"/>
      <c r="P193" s="1088"/>
      <c r="Q193" s="1088"/>
      <c r="R193" s="1088"/>
      <c r="S193" s="1088"/>
      <c r="T193" s="1088"/>
      <c r="U193" s="510"/>
    </row>
    <row r="194" spans="2:24" hidden="1" x14ac:dyDescent="0.25">
      <c r="B194" s="499"/>
      <c r="C194" s="1554" t="s">
        <v>3373</v>
      </c>
      <c r="D194" s="1554" t="s">
        <v>4</v>
      </c>
      <c r="E194" s="971" t="str">
        <f>E$97</f>
        <v xml:space="preserve">2009 </v>
      </c>
      <c r="F194" s="971" t="str">
        <f t="shared" ref="F194:T194" si="103">F$97</f>
        <v>2010  (A)</v>
      </c>
      <c r="G194" s="971" t="str">
        <f t="shared" si="103"/>
        <v>2011  (A)</v>
      </c>
      <c r="H194" s="971" t="str">
        <f t="shared" si="103"/>
        <v>2012  (A)</v>
      </c>
      <c r="I194" s="971" t="str">
        <f t="shared" si="103"/>
        <v>2013  (RE)</v>
      </c>
      <c r="J194" s="971" t="str">
        <f t="shared" si="103"/>
        <v>2014 (BE)</v>
      </c>
      <c r="K194" s="972">
        <f t="shared" si="103"/>
        <v>2015</v>
      </c>
      <c r="L194" s="972">
        <f t="shared" si="103"/>
        <v>2016</v>
      </c>
      <c r="M194" s="972">
        <f t="shared" si="103"/>
        <v>2017</v>
      </c>
      <c r="N194" s="972">
        <f t="shared" si="103"/>
        <v>2018</v>
      </c>
      <c r="O194" s="972">
        <f t="shared" si="103"/>
        <v>2019</v>
      </c>
      <c r="P194" s="972">
        <f t="shared" si="103"/>
        <v>2020</v>
      </c>
      <c r="Q194" s="972">
        <f t="shared" si="103"/>
        <v>2021</v>
      </c>
      <c r="R194" s="972">
        <f t="shared" si="103"/>
        <v>2022</v>
      </c>
      <c r="S194" s="972">
        <f t="shared" si="103"/>
        <v>2023</v>
      </c>
      <c r="T194" s="972">
        <f t="shared" si="103"/>
        <v>2024</v>
      </c>
      <c r="U194" s="502"/>
    </row>
    <row r="195" spans="2:24" hidden="1" x14ac:dyDescent="0.25">
      <c r="B195" s="499"/>
      <c r="C195" s="58">
        <v>1</v>
      </c>
      <c r="D195" s="1109" t="s">
        <v>50</v>
      </c>
      <c r="E195" s="898">
        <f>'Finance info'!E235</f>
        <v>0</v>
      </c>
      <c r="F195" s="898">
        <f>'Finance info'!F235</f>
        <v>0</v>
      </c>
      <c r="G195" s="898">
        <f>'Finance info'!G235</f>
        <v>0</v>
      </c>
      <c r="H195" s="898">
        <f>'Finance info'!H235</f>
        <v>0</v>
      </c>
      <c r="I195" s="898">
        <f>'Finance info'!I235</f>
        <v>0</v>
      </c>
      <c r="J195" s="974">
        <f>'Finance info'!J235</f>
        <v>0</v>
      </c>
      <c r="K195" s="3888"/>
      <c r="L195" s="3888"/>
      <c r="M195" s="3888"/>
      <c r="N195" s="3888"/>
      <c r="O195" s="3888"/>
      <c r="P195" s="3888"/>
      <c r="Q195" s="3888"/>
      <c r="R195" s="3888"/>
      <c r="S195" s="3888"/>
      <c r="T195" s="3888"/>
      <c r="U195" s="502"/>
    </row>
    <row r="196" spans="2:24" ht="40.5" hidden="1" x14ac:dyDescent="0.25">
      <c r="B196" s="499"/>
      <c r="C196" s="58">
        <v>2</v>
      </c>
      <c r="D196" s="427" t="s">
        <v>1880</v>
      </c>
      <c r="E196" s="898">
        <f>'Finance info'!E236+'Finance info'!E237</f>
        <v>0</v>
      </c>
      <c r="F196" s="898">
        <f>'Finance info'!F236+'Finance info'!F237</f>
        <v>0</v>
      </c>
      <c r="G196" s="898">
        <f>'Finance info'!G236+'Finance info'!G237</f>
        <v>0</v>
      </c>
      <c r="H196" s="898">
        <f>'Finance info'!H236+'Finance info'!H237</f>
        <v>0</v>
      </c>
      <c r="I196" s="898">
        <f>'Finance info'!I236+'Finance info'!I237</f>
        <v>0</v>
      </c>
      <c r="J196" s="974">
        <f>'Finance info'!J236+'Finance info'!J237</f>
        <v>0</v>
      </c>
      <c r="K196" s="3888"/>
      <c r="L196" s="3888"/>
      <c r="M196" s="3888"/>
      <c r="N196" s="3888"/>
      <c r="O196" s="3888"/>
      <c r="P196" s="3888"/>
      <c r="Q196" s="3888"/>
      <c r="R196" s="3888"/>
      <c r="S196" s="3888"/>
      <c r="T196" s="3888"/>
      <c r="U196" s="502"/>
    </row>
    <row r="197" spans="2:24" hidden="1" x14ac:dyDescent="0.25">
      <c r="B197" s="499"/>
      <c r="C197" s="58">
        <v>3</v>
      </c>
      <c r="D197" s="427" t="s">
        <v>55</v>
      </c>
      <c r="E197" s="898">
        <f>'Finance info'!E238</f>
        <v>0</v>
      </c>
      <c r="F197" s="898">
        <f>'Finance info'!F238</f>
        <v>0</v>
      </c>
      <c r="G197" s="898">
        <f>'Finance info'!G238</f>
        <v>0</v>
      </c>
      <c r="H197" s="898">
        <f>'Finance info'!H238</f>
        <v>0</v>
      </c>
      <c r="I197" s="898">
        <f>'Finance info'!I238</f>
        <v>0</v>
      </c>
      <c r="J197" s="974">
        <f>'Finance info'!J238</f>
        <v>0</v>
      </c>
      <c r="K197" s="3888"/>
      <c r="L197" s="3888"/>
      <c r="M197" s="3888"/>
      <c r="N197" s="3888"/>
      <c r="O197" s="3888"/>
      <c r="P197" s="3888"/>
      <c r="Q197" s="3888"/>
      <c r="R197" s="3888"/>
      <c r="S197" s="3888"/>
      <c r="T197" s="3888"/>
      <c r="U197" s="502"/>
    </row>
    <row r="198" spans="2:24" hidden="1" x14ac:dyDescent="0.25">
      <c r="B198" s="499"/>
      <c r="C198" s="58">
        <v>4</v>
      </c>
      <c r="D198" s="428" t="s">
        <v>54</v>
      </c>
      <c r="E198" s="898">
        <f>'Finance info'!E239</f>
        <v>0</v>
      </c>
      <c r="F198" s="898">
        <f>'Finance info'!F239</f>
        <v>0</v>
      </c>
      <c r="G198" s="898">
        <f>'Finance info'!G239</f>
        <v>0</v>
      </c>
      <c r="H198" s="898">
        <f>'Finance info'!H239</f>
        <v>0</v>
      </c>
      <c r="I198" s="898">
        <f>'Finance info'!I239</f>
        <v>0</v>
      </c>
      <c r="J198" s="974">
        <f>'Finance info'!J239</f>
        <v>0</v>
      </c>
      <c r="K198" s="3888"/>
      <c r="L198" s="3888"/>
      <c r="M198" s="3888"/>
      <c r="N198" s="3888"/>
      <c r="O198" s="3888"/>
      <c r="P198" s="3888"/>
      <c r="Q198" s="3888"/>
      <c r="R198" s="3888"/>
      <c r="S198" s="3888"/>
      <c r="T198" s="3888"/>
      <c r="U198" s="502"/>
    </row>
    <row r="199" spans="2:24" s="498" customFormat="1" hidden="1" x14ac:dyDescent="0.25">
      <c r="B199" s="500"/>
      <c r="C199" s="968">
        <v>5</v>
      </c>
      <c r="D199" s="967" t="s">
        <v>3091</v>
      </c>
      <c r="E199" s="983"/>
      <c r="F199" s="984"/>
      <c r="G199" s="984"/>
      <c r="H199" s="984"/>
      <c r="I199" s="984"/>
      <c r="J199" s="985"/>
      <c r="U199" s="500"/>
    </row>
    <row r="200" spans="2:24" s="496" customFormat="1" hidden="1" x14ac:dyDescent="0.25">
      <c r="B200" s="503"/>
      <c r="C200" s="989"/>
      <c r="D200" s="989" t="s">
        <v>16</v>
      </c>
      <c r="E200" s="990">
        <f t="shared" ref="E200:J200" si="104">SUM(E195:E199)</f>
        <v>0</v>
      </c>
      <c r="F200" s="990">
        <f t="shared" si="104"/>
        <v>0</v>
      </c>
      <c r="G200" s="990">
        <f t="shared" si="104"/>
        <v>0</v>
      </c>
      <c r="H200" s="990">
        <f t="shared" si="104"/>
        <v>0</v>
      </c>
      <c r="I200" s="990">
        <f t="shared" si="104"/>
        <v>0</v>
      </c>
      <c r="J200" s="990">
        <f t="shared" si="104"/>
        <v>0</v>
      </c>
      <c r="U200" s="500"/>
      <c r="X200" s="493"/>
    </row>
    <row r="201" spans="2:24" hidden="1" x14ac:dyDescent="0.25">
      <c r="B201" s="499"/>
      <c r="C201" s="499"/>
      <c r="D201" s="499"/>
      <c r="E201" s="499"/>
      <c r="F201" s="499"/>
      <c r="G201" s="499"/>
      <c r="H201" s="499"/>
      <c r="I201" s="499"/>
      <c r="J201" s="499"/>
      <c r="K201" s="1111"/>
      <c r="L201" s="1111"/>
      <c r="M201" s="1111"/>
      <c r="N201" s="1111"/>
      <c r="O201" s="1111"/>
      <c r="P201" s="1111"/>
      <c r="Q201" s="1111"/>
      <c r="R201" s="1111"/>
      <c r="S201" s="1111"/>
      <c r="T201" s="1111"/>
      <c r="U201" s="502"/>
    </row>
    <row r="202" spans="2:24" hidden="1" x14ac:dyDescent="0.25">
      <c r="B202" s="499"/>
      <c r="C202" s="499"/>
      <c r="D202" s="499"/>
      <c r="E202" s="499"/>
      <c r="F202" s="499"/>
      <c r="G202" s="499"/>
      <c r="H202" s="499"/>
      <c r="I202" s="499"/>
      <c r="J202" s="499"/>
      <c r="K202" s="501"/>
      <c r="L202" s="501"/>
      <c r="M202" s="501"/>
      <c r="N202" s="501"/>
      <c r="O202" s="501"/>
      <c r="P202" s="501"/>
      <c r="Q202" s="501"/>
      <c r="R202" s="501"/>
      <c r="S202" s="501"/>
      <c r="T202" s="501"/>
      <c r="U202" s="502"/>
    </row>
    <row r="203" spans="2:24" s="508" customFormat="1" ht="18.75" hidden="1" x14ac:dyDescent="0.25">
      <c r="B203" s="505"/>
      <c r="C203" s="505" t="s">
        <v>8</v>
      </c>
      <c r="D203" s="505" t="s">
        <v>203</v>
      </c>
      <c r="E203" s="506"/>
      <c r="F203" s="506"/>
      <c r="G203" s="506"/>
      <c r="H203" s="507"/>
      <c r="I203" s="506"/>
      <c r="J203" s="506"/>
      <c r="K203" s="506"/>
      <c r="L203" s="506"/>
      <c r="M203" s="506"/>
      <c r="N203" s="506"/>
      <c r="O203" s="506"/>
      <c r="P203" s="506"/>
      <c r="Q203" s="506"/>
      <c r="R203" s="506"/>
      <c r="S203" s="506"/>
      <c r="T203" s="506"/>
      <c r="U203" s="5580"/>
    </row>
    <row r="204" spans="2:24" s="512" customFormat="1" ht="15.75" hidden="1" x14ac:dyDescent="0.25">
      <c r="B204" s="511"/>
      <c r="C204" s="513" t="s">
        <v>725</v>
      </c>
      <c r="D204" s="509" t="s">
        <v>204</v>
      </c>
      <c r="E204" s="511"/>
      <c r="F204" s="956"/>
      <c r="G204" s="956"/>
      <c r="H204" s="956"/>
      <c r="I204" s="956"/>
      <c r="J204" s="956"/>
      <c r="K204" s="511"/>
      <c r="L204" s="511"/>
      <c r="M204" s="511"/>
      <c r="N204" s="511"/>
      <c r="O204" s="511"/>
      <c r="P204" s="511"/>
      <c r="Q204" s="511"/>
      <c r="R204" s="511"/>
      <c r="S204" s="511"/>
      <c r="T204" s="511"/>
      <c r="U204" s="510"/>
    </row>
    <row r="205" spans="2:24" hidden="1" x14ac:dyDescent="0.25">
      <c r="B205" s="499"/>
      <c r="C205" s="1554" t="s">
        <v>3373</v>
      </c>
      <c r="D205" s="1554" t="s">
        <v>4</v>
      </c>
      <c r="E205" s="971" t="str">
        <f>E$97</f>
        <v xml:space="preserve">2009 </v>
      </c>
      <c r="F205" s="971" t="str">
        <f t="shared" ref="F205:T205" si="105">F$97</f>
        <v>2010  (A)</v>
      </c>
      <c r="G205" s="971" t="str">
        <f t="shared" si="105"/>
        <v>2011  (A)</v>
      </c>
      <c r="H205" s="971" t="str">
        <f t="shared" si="105"/>
        <v>2012  (A)</v>
      </c>
      <c r="I205" s="971" t="str">
        <f t="shared" si="105"/>
        <v>2013  (RE)</v>
      </c>
      <c r="J205" s="971" t="str">
        <f t="shared" si="105"/>
        <v>2014 (BE)</v>
      </c>
      <c r="K205" s="972">
        <f t="shared" si="105"/>
        <v>2015</v>
      </c>
      <c r="L205" s="972">
        <f t="shared" si="105"/>
        <v>2016</v>
      </c>
      <c r="M205" s="972">
        <f t="shared" si="105"/>
        <v>2017</v>
      </c>
      <c r="N205" s="972">
        <f t="shared" si="105"/>
        <v>2018</v>
      </c>
      <c r="O205" s="972">
        <f t="shared" si="105"/>
        <v>2019</v>
      </c>
      <c r="P205" s="972">
        <f t="shared" si="105"/>
        <v>2020</v>
      </c>
      <c r="Q205" s="972">
        <f t="shared" si="105"/>
        <v>2021</v>
      </c>
      <c r="R205" s="972">
        <f t="shared" si="105"/>
        <v>2022</v>
      </c>
      <c r="S205" s="972">
        <f t="shared" si="105"/>
        <v>2023</v>
      </c>
      <c r="T205" s="972">
        <f t="shared" si="105"/>
        <v>2024</v>
      </c>
      <c r="U205" s="502"/>
    </row>
    <row r="206" spans="2:24" s="497" customFormat="1" ht="16.5" hidden="1" customHeight="1" x14ac:dyDescent="0.25">
      <c r="B206" s="504"/>
      <c r="C206" s="333">
        <v>1</v>
      </c>
      <c r="D206" s="429" t="s">
        <v>2070</v>
      </c>
      <c r="E206" s="975">
        <f>'Finance info'!E245</f>
        <v>0</v>
      </c>
      <c r="F206" s="981">
        <f>'Finance info'!F245</f>
        <v>0</v>
      </c>
      <c r="G206" s="981">
        <f>'Finance info'!G245</f>
        <v>0</v>
      </c>
      <c r="H206" s="981">
        <f>'Finance info'!H245</f>
        <v>0</v>
      </c>
      <c r="I206" s="981">
        <f>'Finance info'!I245</f>
        <v>0</v>
      </c>
      <c r="J206" s="982">
        <f>'Finance info'!J245</f>
        <v>0</v>
      </c>
      <c r="K206" s="3851"/>
      <c r="L206" s="3851"/>
      <c r="M206" s="3851"/>
      <c r="N206" s="3851"/>
      <c r="O206" s="3851"/>
      <c r="P206" s="3851"/>
      <c r="Q206" s="3851"/>
      <c r="R206" s="3851"/>
      <c r="S206" s="3851"/>
      <c r="T206" s="3851"/>
      <c r="U206" s="502"/>
    </row>
    <row r="207" spans="2:24" s="497" customFormat="1" ht="16.5" hidden="1" customHeight="1" x14ac:dyDescent="0.25">
      <c r="B207" s="504"/>
      <c r="C207" s="333">
        <v>2</v>
      </c>
      <c r="D207" s="1582" t="s">
        <v>2071</v>
      </c>
      <c r="E207" s="975">
        <f>'Finance info'!E246</f>
        <v>0</v>
      </c>
      <c r="F207" s="981">
        <f>'Finance info'!F246</f>
        <v>0</v>
      </c>
      <c r="G207" s="981">
        <f>'Finance info'!G246</f>
        <v>0</v>
      </c>
      <c r="H207" s="981">
        <f>'Finance info'!H246</f>
        <v>0</v>
      </c>
      <c r="I207" s="981">
        <f>'Finance info'!I246</f>
        <v>0</v>
      </c>
      <c r="J207" s="982">
        <f>'Finance info'!J246</f>
        <v>0</v>
      </c>
      <c r="K207" s="3851"/>
      <c r="L207" s="3851"/>
      <c r="M207" s="3851"/>
      <c r="N207" s="3851"/>
      <c r="O207" s="3851"/>
      <c r="P207" s="3851"/>
      <c r="Q207" s="3851"/>
      <c r="R207" s="3851"/>
      <c r="S207" s="3851"/>
      <c r="T207" s="3851"/>
      <c r="U207" s="502"/>
    </row>
    <row r="208" spans="2:24" s="497" customFormat="1" hidden="1" x14ac:dyDescent="0.25">
      <c r="B208" s="504"/>
      <c r="C208" s="333">
        <v>3</v>
      </c>
      <c r="D208" s="429" t="s">
        <v>2072</v>
      </c>
      <c r="E208" s="975">
        <f>'Finance info'!E247</f>
        <v>0</v>
      </c>
      <c r="F208" s="981">
        <f>'Finance info'!F247</f>
        <v>0</v>
      </c>
      <c r="G208" s="981">
        <f>'Finance info'!G247</f>
        <v>0</v>
      </c>
      <c r="H208" s="981">
        <f>'Finance info'!H247</f>
        <v>0</v>
      </c>
      <c r="I208" s="981">
        <f>'Finance info'!I247</f>
        <v>0</v>
      </c>
      <c r="J208" s="982">
        <f>'Finance info'!J247</f>
        <v>0</v>
      </c>
      <c r="K208" s="3851"/>
      <c r="L208" s="3851"/>
      <c r="M208" s="3851"/>
      <c r="N208" s="3851"/>
      <c r="O208" s="3851"/>
      <c r="P208" s="3851"/>
      <c r="Q208" s="3851"/>
      <c r="R208" s="3851"/>
      <c r="S208" s="3851"/>
      <c r="T208" s="3851"/>
      <c r="U208" s="502"/>
    </row>
    <row r="209" spans="2:24" s="497" customFormat="1" hidden="1" x14ac:dyDescent="0.25">
      <c r="B209" s="504"/>
      <c r="C209" s="333">
        <v>4</v>
      </c>
      <c r="D209" s="429" t="s">
        <v>26</v>
      </c>
      <c r="E209" s="975">
        <f>'Finance info'!E248</f>
        <v>0</v>
      </c>
      <c r="F209" s="981">
        <f>'Finance info'!F248</f>
        <v>0</v>
      </c>
      <c r="G209" s="981">
        <f>'Finance info'!G248</f>
        <v>0</v>
      </c>
      <c r="H209" s="981">
        <f>'Finance info'!H248</f>
        <v>0</v>
      </c>
      <c r="I209" s="981">
        <f>'Finance info'!I248</f>
        <v>0</v>
      </c>
      <c r="J209" s="982">
        <f>'Finance info'!J248</f>
        <v>0</v>
      </c>
      <c r="K209" s="3851"/>
      <c r="L209" s="3851"/>
      <c r="M209" s="3851"/>
      <c r="N209" s="3851"/>
      <c r="O209" s="3851"/>
      <c r="P209" s="3851"/>
      <c r="Q209" s="3851"/>
      <c r="R209" s="3851"/>
      <c r="S209" s="3851"/>
      <c r="T209" s="3851"/>
      <c r="U209" s="502"/>
    </row>
    <row r="210" spans="2:24" s="498" customFormat="1" hidden="1" x14ac:dyDescent="0.25">
      <c r="B210" s="500"/>
      <c r="C210" s="968">
        <v>5</v>
      </c>
      <c r="D210" s="967" t="s">
        <v>3092</v>
      </c>
      <c r="E210" s="983"/>
      <c r="F210" s="984"/>
      <c r="G210" s="984"/>
      <c r="H210" s="984"/>
      <c r="I210" s="984"/>
      <c r="J210" s="985"/>
      <c r="U210" s="500"/>
    </row>
    <row r="211" spans="2:24" s="496" customFormat="1" hidden="1" x14ac:dyDescent="0.25">
      <c r="B211" s="503"/>
      <c r="C211" s="989"/>
      <c r="D211" s="989" t="s">
        <v>16</v>
      </c>
      <c r="E211" s="990">
        <f t="shared" ref="E211:J211" si="106">SUM(E206:E209)</f>
        <v>0</v>
      </c>
      <c r="F211" s="990">
        <f t="shared" si="106"/>
        <v>0</v>
      </c>
      <c r="G211" s="990">
        <f t="shared" si="106"/>
        <v>0</v>
      </c>
      <c r="H211" s="990">
        <f t="shared" si="106"/>
        <v>0</v>
      </c>
      <c r="I211" s="990">
        <f t="shared" si="106"/>
        <v>0</v>
      </c>
      <c r="J211" s="990">
        <f t="shared" si="106"/>
        <v>0</v>
      </c>
      <c r="U211" s="500"/>
      <c r="X211" s="493"/>
    </row>
    <row r="212" spans="2:24" hidden="1" x14ac:dyDescent="0.25">
      <c r="B212" s="499"/>
      <c r="C212" s="499"/>
      <c r="D212" s="499"/>
      <c r="E212" s="499"/>
      <c r="F212" s="499"/>
      <c r="G212" s="499"/>
      <c r="H212" s="499"/>
      <c r="I212" s="499"/>
      <c r="J212" s="499"/>
      <c r="K212" s="501"/>
      <c r="L212" s="501"/>
      <c r="M212" s="501"/>
      <c r="N212" s="501"/>
      <c r="O212" s="501"/>
      <c r="P212" s="501"/>
      <c r="Q212" s="501"/>
      <c r="R212" s="501"/>
      <c r="S212" s="501"/>
      <c r="T212" s="501"/>
      <c r="U212" s="502"/>
    </row>
    <row r="213" spans="2:24" s="512" customFormat="1" ht="15.75" hidden="1" x14ac:dyDescent="0.25">
      <c r="B213" s="511"/>
      <c r="C213" s="513" t="s">
        <v>726</v>
      </c>
      <c r="D213" s="509" t="s">
        <v>205</v>
      </c>
      <c r="E213" s="511"/>
      <c r="F213" s="956"/>
      <c r="G213" s="956"/>
      <c r="H213" s="956"/>
      <c r="I213" s="956"/>
      <c r="J213" s="956"/>
      <c r="K213" s="511"/>
      <c r="L213" s="511"/>
      <c r="M213" s="511"/>
      <c r="N213" s="511"/>
      <c r="O213" s="511"/>
      <c r="P213" s="511"/>
      <c r="Q213" s="511"/>
      <c r="R213" s="511"/>
      <c r="S213" s="511"/>
      <c r="T213" s="511"/>
      <c r="U213" s="510"/>
    </row>
    <row r="214" spans="2:24" hidden="1" x14ac:dyDescent="0.25">
      <c r="B214" s="499"/>
      <c r="C214" s="1554" t="s">
        <v>3373</v>
      </c>
      <c r="D214" s="1554" t="s">
        <v>4</v>
      </c>
      <c r="E214" s="971" t="str">
        <f>E$97</f>
        <v xml:space="preserve">2009 </v>
      </c>
      <c r="F214" s="971" t="str">
        <f t="shared" ref="F214:T214" si="107">F$97</f>
        <v>2010  (A)</v>
      </c>
      <c r="G214" s="971" t="str">
        <f t="shared" si="107"/>
        <v>2011  (A)</v>
      </c>
      <c r="H214" s="971" t="str">
        <f t="shared" si="107"/>
        <v>2012  (A)</v>
      </c>
      <c r="I214" s="971" t="str">
        <f t="shared" si="107"/>
        <v>2013  (RE)</v>
      </c>
      <c r="J214" s="971" t="str">
        <f t="shared" si="107"/>
        <v>2014 (BE)</v>
      </c>
      <c r="K214" s="972">
        <f t="shared" si="107"/>
        <v>2015</v>
      </c>
      <c r="L214" s="972">
        <f t="shared" si="107"/>
        <v>2016</v>
      </c>
      <c r="M214" s="972">
        <f t="shared" si="107"/>
        <v>2017</v>
      </c>
      <c r="N214" s="972">
        <f t="shared" si="107"/>
        <v>2018</v>
      </c>
      <c r="O214" s="972">
        <f t="shared" si="107"/>
        <v>2019</v>
      </c>
      <c r="P214" s="972">
        <f t="shared" si="107"/>
        <v>2020</v>
      </c>
      <c r="Q214" s="972">
        <f t="shared" si="107"/>
        <v>2021</v>
      </c>
      <c r="R214" s="972">
        <f t="shared" si="107"/>
        <v>2022</v>
      </c>
      <c r="S214" s="972">
        <f t="shared" si="107"/>
        <v>2023</v>
      </c>
      <c r="T214" s="972">
        <f t="shared" si="107"/>
        <v>2024</v>
      </c>
      <c r="U214" s="502"/>
    </row>
    <row r="215" spans="2:24" hidden="1" x14ac:dyDescent="0.25">
      <c r="B215" s="499"/>
      <c r="C215" s="58">
        <v>1</v>
      </c>
      <c r="D215" s="44" t="s">
        <v>58</v>
      </c>
      <c r="E215" s="975">
        <f>'Finance info'!E253</f>
        <v>0</v>
      </c>
      <c r="F215" s="898">
        <f>'Finance info'!F253</f>
        <v>0</v>
      </c>
      <c r="G215" s="898">
        <f>'Finance info'!G253</f>
        <v>0</v>
      </c>
      <c r="H215" s="898">
        <f>'Finance info'!H253</f>
        <v>0</v>
      </c>
      <c r="I215" s="898">
        <f>'Finance info'!I253</f>
        <v>0</v>
      </c>
      <c r="J215" s="974">
        <f>'Finance info'!J253</f>
        <v>0</v>
      </c>
      <c r="K215" s="3851"/>
      <c r="L215" s="3851"/>
      <c r="M215" s="3851"/>
      <c r="N215" s="3851"/>
      <c r="O215" s="3851"/>
      <c r="P215" s="3851"/>
      <c r="Q215" s="3851"/>
      <c r="R215" s="3851"/>
      <c r="S215" s="3851"/>
      <c r="T215" s="3851"/>
      <c r="U215" s="502"/>
    </row>
    <row r="216" spans="2:24" ht="30" hidden="1" x14ac:dyDescent="0.25">
      <c r="B216" s="499"/>
      <c r="C216" s="58">
        <v>2</v>
      </c>
      <c r="D216" s="1553" t="s">
        <v>1878</v>
      </c>
      <c r="E216" s="898">
        <f>'Finance info'!E254</f>
        <v>0</v>
      </c>
      <c r="F216" s="898">
        <f>'Finance info'!F254</f>
        <v>0</v>
      </c>
      <c r="G216" s="898">
        <f>'Finance info'!G254</f>
        <v>0</v>
      </c>
      <c r="H216" s="898">
        <f>'Finance info'!H254</f>
        <v>0</v>
      </c>
      <c r="I216" s="898">
        <f>'Finance info'!I254</f>
        <v>0</v>
      </c>
      <c r="J216" s="974">
        <f>'Finance info'!J254</f>
        <v>0</v>
      </c>
      <c r="K216" s="3888"/>
      <c r="L216" s="3888"/>
      <c r="M216" s="3888"/>
      <c r="N216" s="3888"/>
      <c r="O216" s="3888"/>
      <c r="P216" s="3888"/>
      <c r="Q216" s="3888"/>
      <c r="R216" s="3888"/>
      <c r="S216" s="3888"/>
      <c r="T216" s="3888"/>
      <c r="U216" s="502"/>
    </row>
    <row r="217" spans="2:24" hidden="1" x14ac:dyDescent="0.25">
      <c r="B217" s="499"/>
      <c r="C217" s="58">
        <v>3</v>
      </c>
      <c r="D217" s="44" t="s">
        <v>26</v>
      </c>
      <c r="E217" s="898">
        <f>'Finance info'!E255</f>
        <v>0</v>
      </c>
      <c r="F217" s="898">
        <f>'Finance info'!F255</f>
        <v>0</v>
      </c>
      <c r="G217" s="898">
        <f>'Finance info'!G255</f>
        <v>0</v>
      </c>
      <c r="H217" s="898">
        <f>'Finance info'!H255</f>
        <v>0</v>
      </c>
      <c r="I217" s="898">
        <f>'Finance info'!I255</f>
        <v>0</v>
      </c>
      <c r="J217" s="974">
        <f>'Finance info'!J255</f>
        <v>0</v>
      </c>
      <c r="K217" s="3888"/>
      <c r="L217" s="3888"/>
      <c r="M217" s="3888"/>
      <c r="N217" s="3888"/>
      <c r="O217" s="3888"/>
      <c r="P217" s="3888"/>
      <c r="Q217" s="3888"/>
      <c r="R217" s="3888"/>
      <c r="S217" s="3888"/>
      <c r="T217" s="3888"/>
      <c r="U217" s="502"/>
    </row>
    <row r="218" spans="2:24" hidden="1" x14ac:dyDescent="0.25">
      <c r="B218" s="499"/>
      <c r="C218" s="58">
        <v>4</v>
      </c>
      <c r="D218" s="306" t="s">
        <v>542</v>
      </c>
      <c r="E218" s="977"/>
      <c r="F218" s="978"/>
      <c r="G218" s="978"/>
      <c r="H218" s="978"/>
      <c r="I218" s="978"/>
      <c r="J218" s="978"/>
      <c r="K218" s="3888"/>
      <c r="L218" s="3888"/>
      <c r="M218" s="3888"/>
      <c r="N218" s="3888"/>
      <c r="O218" s="3888"/>
      <c r="P218" s="3888"/>
      <c r="Q218" s="3888"/>
      <c r="R218" s="3888"/>
      <c r="S218" s="3888"/>
      <c r="T218" s="3888"/>
      <c r="U218" s="502"/>
    </row>
    <row r="219" spans="2:24" ht="32.25" hidden="1" customHeight="1" x14ac:dyDescent="0.25">
      <c r="B219" s="499"/>
      <c r="C219" s="58">
        <v>5</v>
      </c>
      <c r="D219" s="1581" t="s">
        <v>2074</v>
      </c>
      <c r="E219" s="979"/>
      <c r="F219" s="980"/>
      <c r="G219" s="980"/>
      <c r="H219" s="980"/>
      <c r="I219" s="980"/>
      <c r="J219" s="980"/>
      <c r="K219" s="3888"/>
      <c r="L219" s="3888"/>
      <c r="M219" s="3888"/>
      <c r="N219" s="3888"/>
      <c r="O219" s="3888"/>
      <c r="P219" s="3888"/>
      <c r="Q219" s="3888"/>
      <c r="R219" s="3888"/>
      <c r="S219" s="3888"/>
      <c r="T219" s="3888"/>
      <c r="U219" s="502"/>
    </row>
    <row r="220" spans="2:24" s="498" customFormat="1" hidden="1" x14ac:dyDescent="0.25">
      <c r="B220" s="500"/>
      <c r="C220" s="968">
        <v>6</v>
      </c>
      <c r="D220" s="967" t="s">
        <v>3093</v>
      </c>
      <c r="E220" s="983"/>
      <c r="F220" s="984"/>
      <c r="G220" s="984"/>
      <c r="H220" s="984"/>
      <c r="I220" s="984"/>
      <c r="J220" s="985"/>
      <c r="U220" s="500"/>
    </row>
    <row r="221" spans="2:24" s="496" customFormat="1" hidden="1" x14ac:dyDescent="0.25">
      <c r="B221" s="503"/>
      <c r="C221" s="989"/>
      <c r="D221" s="989" t="s">
        <v>16</v>
      </c>
      <c r="E221" s="990">
        <f t="shared" ref="E221:J221" si="108">SUM(E215:E220)</f>
        <v>0</v>
      </c>
      <c r="F221" s="990">
        <f t="shared" si="108"/>
        <v>0</v>
      </c>
      <c r="G221" s="990">
        <f t="shared" si="108"/>
        <v>0</v>
      </c>
      <c r="H221" s="990">
        <f t="shared" si="108"/>
        <v>0</v>
      </c>
      <c r="I221" s="990">
        <f t="shared" si="108"/>
        <v>0</v>
      </c>
      <c r="J221" s="990">
        <f t="shared" si="108"/>
        <v>0</v>
      </c>
      <c r="U221" s="500"/>
      <c r="X221" s="493"/>
    </row>
    <row r="222" spans="2:24" hidden="1" x14ac:dyDescent="0.25">
      <c r="B222" s="499"/>
      <c r="C222" s="499"/>
      <c r="D222" s="499"/>
      <c r="E222" s="499"/>
      <c r="F222" s="499"/>
      <c r="G222" s="499"/>
      <c r="H222" s="499"/>
      <c r="I222" s="499"/>
      <c r="J222" s="499"/>
      <c r="K222" s="501"/>
      <c r="L222" s="501"/>
      <c r="M222" s="501"/>
      <c r="N222" s="501"/>
      <c r="O222" s="501"/>
      <c r="P222" s="501"/>
      <c r="Q222" s="501"/>
      <c r="R222" s="501"/>
      <c r="S222" s="501"/>
      <c r="T222" s="501"/>
      <c r="U222" s="502"/>
    </row>
    <row r="223" spans="2:24" hidden="1" x14ac:dyDescent="0.25">
      <c r="B223" s="499"/>
      <c r="C223" s="499"/>
      <c r="D223" s="499"/>
      <c r="E223" s="499"/>
      <c r="F223" s="499"/>
      <c r="G223" s="499"/>
      <c r="H223" s="499"/>
      <c r="I223" s="499"/>
      <c r="J223" s="499"/>
      <c r="K223" s="501"/>
      <c r="L223" s="501"/>
      <c r="M223" s="501"/>
      <c r="N223" s="501"/>
      <c r="O223" s="501"/>
      <c r="P223" s="501"/>
      <c r="Q223" s="501"/>
      <c r="R223" s="501"/>
      <c r="S223" s="501"/>
      <c r="T223" s="501"/>
      <c r="U223" s="502"/>
    </row>
    <row r="224" spans="2:24" s="1026" customFormat="1" ht="28.5" hidden="1" x14ac:dyDescent="0.25">
      <c r="B224" s="1390"/>
      <c r="C224" s="5976" t="s">
        <v>14</v>
      </c>
      <c r="D224" s="5977" t="s">
        <v>3769</v>
      </c>
      <c r="E224" s="1391"/>
      <c r="F224" s="1391"/>
      <c r="G224" s="1391"/>
      <c r="H224" s="1391"/>
      <c r="I224" s="1391"/>
      <c r="J224" s="1391"/>
      <c r="K224" s="1391"/>
      <c r="L224" s="1391"/>
      <c r="M224" s="1391"/>
      <c r="N224" s="1391"/>
      <c r="O224" s="1391"/>
      <c r="P224" s="1391"/>
      <c r="Q224" s="1391"/>
      <c r="R224" s="1391"/>
      <c r="S224" s="1391"/>
      <c r="T224" s="5964" t="str">
        <f>CONCATENATE("All figures in ",'General info'!$E$43," ",'General info'!$G$43)</f>
        <v>All figures in INR Lakhs</v>
      </c>
      <c r="U224" s="5579"/>
      <c r="V224" s="498"/>
    </row>
    <row r="225" spans="2:24" s="508" customFormat="1" ht="18.75" hidden="1" x14ac:dyDescent="0.25">
      <c r="B225" s="505"/>
      <c r="C225" s="505" t="s">
        <v>2</v>
      </c>
      <c r="D225" s="505" t="s">
        <v>3596</v>
      </c>
      <c r="E225" s="506"/>
      <c r="F225" s="506"/>
      <c r="G225" s="506"/>
      <c r="H225" s="507"/>
      <c r="I225" s="506"/>
      <c r="J225" s="506"/>
      <c r="K225" s="506"/>
      <c r="L225" s="506"/>
      <c r="M225" s="506"/>
      <c r="N225" s="506"/>
      <c r="O225" s="506"/>
      <c r="P225" s="506"/>
      <c r="Q225" s="506"/>
      <c r="R225" s="506"/>
      <c r="S225" s="506"/>
      <c r="T225" s="506"/>
      <c r="U225" s="5580"/>
    </row>
    <row r="226" spans="2:24" s="512" customFormat="1" ht="15.75" hidden="1" x14ac:dyDescent="0.25">
      <c r="B226" s="511"/>
      <c r="C226" s="513" t="s">
        <v>725</v>
      </c>
      <c r="D226" s="509" t="s">
        <v>3597</v>
      </c>
      <c r="E226" s="511"/>
      <c r="F226" s="1088"/>
      <c r="G226" s="1088"/>
      <c r="H226" s="1088"/>
      <c r="I226" s="1088"/>
      <c r="J226" s="1088"/>
      <c r="K226" s="1088"/>
      <c r="L226" s="1088"/>
      <c r="M226" s="1088"/>
      <c r="N226" s="1088"/>
      <c r="O226" s="1088"/>
      <c r="P226" s="1088"/>
      <c r="Q226" s="1088"/>
      <c r="R226" s="1088"/>
      <c r="S226" s="1088"/>
      <c r="T226" s="1088"/>
      <c r="U226" s="510"/>
    </row>
    <row r="227" spans="2:24" hidden="1" x14ac:dyDescent="0.25">
      <c r="B227" s="499"/>
      <c r="C227" s="1554" t="s">
        <v>3373</v>
      </c>
      <c r="D227" s="1554" t="s">
        <v>4</v>
      </c>
      <c r="E227" s="971" t="str">
        <f>E$97</f>
        <v xml:space="preserve">2009 </v>
      </c>
      <c r="F227" s="971" t="str">
        <f t="shared" ref="F227:T227" si="109">F$97</f>
        <v>2010  (A)</v>
      </c>
      <c r="G227" s="971" t="str">
        <f t="shared" si="109"/>
        <v>2011  (A)</v>
      </c>
      <c r="H227" s="971" t="str">
        <f t="shared" si="109"/>
        <v>2012  (A)</v>
      </c>
      <c r="I227" s="971" t="str">
        <f t="shared" si="109"/>
        <v>2013  (RE)</v>
      </c>
      <c r="J227" s="971" t="str">
        <f t="shared" si="109"/>
        <v>2014 (BE)</v>
      </c>
      <c r="K227" s="972">
        <f t="shared" si="109"/>
        <v>2015</v>
      </c>
      <c r="L227" s="972">
        <f t="shared" si="109"/>
        <v>2016</v>
      </c>
      <c r="M227" s="972">
        <f t="shared" si="109"/>
        <v>2017</v>
      </c>
      <c r="N227" s="972">
        <f t="shared" si="109"/>
        <v>2018</v>
      </c>
      <c r="O227" s="972">
        <f t="shared" si="109"/>
        <v>2019</v>
      </c>
      <c r="P227" s="972">
        <f t="shared" si="109"/>
        <v>2020</v>
      </c>
      <c r="Q227" s="972">
        <f t="shared" si="109"/>
        <v>2021</v>
      </c>
      <c r="R227" s="972">
        <f t="shared" si="109"/>
        <v>2022</v>
      </c>
      <c r="S227" s="972">
        <f t="shared" si="109"/>
        <v>2023</v>
      </c>
      <c r="T227" s="972">
        <f t="shared" si="109"/>
        <v>2024</v>
      </c>
      <c r="U227" s="502"/>
    </row>
    <row r="228" spans="2:24" hidden="1" x14ac:dyDescent="0.25">
      <c r="B228" s="499"/>
      <c r="C228" s="58">
        <v>1</v>
      </c>
      <c r="D228" s="431" t="s">
        <v>1881</v>
      </c>
      <c r="E228" s="975">
        <f>('Finance info'!E101+'Finance info'!E102+'Finance info'!E103+'Finance info'!E104)-(E141+E143+E144)</f>
        <v>0</v>
      </c>
      <c r="F228" s="975">
        <f>('Finance info'!F101+'Finance info'!F102+'Finance info'!F103+'Finance info'!F104)-(F141+F143+F144)</f>
        <v>0</v>
      </c>
      <c r="G228" s="975">
        <f>('Finance info'!G101+'Finance info'!G102+'Finance info'!G103+'Finance info'!G104)-(G141+G143+G144)</f>
        <v>0</v>
      </c>
      <c r="H228" s="975">
        <f>('Finance info'!H101+'Finance info'!H102+'Finance info'!H103+'Finance info'!H104)-(H141+H143+H144)</f>
        <v>0</v>
      </c>
      <c r="I228" s="975">
        <f>('Finance info'!I101+'Finance info'!I102+'Finance info'!I103+'Finance info'!I104)-(I141+I143+I144)</f>
        <v>0</v>
      </c>
      <c r="J228" s="975">
        <f>('Finance info'!J101+'Finance info'!J102+'Finance info'!J103+'Finance info'!J104)-(J141+J143+J144)</f>
        <v>0</v>
      </c>
      <c r="K228" s="3888"/>
      <c r="L228" s="3888"/>
      <c r="M228" s="3888"/>
      <c r="N228" s="3888"/>
      <c r="O228" s="3888"/>
      <c r="P228" s="3888"/>
      <c r="Q228" s="3888"/>
      <c r="R228" s="3888"/>
      <c r="S228" s="3888"/>
      <c r="T228" s="3888"/>
      <c r="U228" s="502"/>
    </row>
    <row r="229" spans="2:24" hidden="1" x14ac:dyDescent="0.25">
      <c r="B229" s="499"/>
      <c r="C229" s="58">
        <v>2</v>
      </c>
      <c r="D229" s="969" t="s">
        <v>1028</v>
      </c>
      <c r="E229" s="975">
        <f>'Finance info'!E105-(E145)</f>
        <v>0</v>
      </c>
      <c r="F229" s="975">
        <f>'Finance info'!F105-(F145)</f>
        <v>0</v>
      </c>
      <c r="G229" s="975">
        <f>'Finance info'!G105-(G145)</f>
        <v>0</v>
      </c>
      <c r="H229" s="975">
        <f>'Finance info'!H105-(H145)</f>
        <v>0</v>
      </c>
      <c r="I229" s="975">
        <f>'Finance info'!I105-(I145)</f>
        <v>0</v>
      </c>
      <c r="J229" s="975">
        <f>'Finance info'!J105-(J145)</f>
        <v>0</v>
      </c>
      <c r="K229" s="3888"/>
      <c r="L229" s="3888"/>
      <c r="M229" s="3888"/>
      <c r="N229" s="3888"/>
      <c r="O229" s="3888"/>
      <c r="P229" s="3888"/>
      <c r="Q229" s="3888"/>
      <c r="R229" s="3888"/>
      <c r="S229" s="3888"/>
      <c r="T229" s="3888"/>
      <c r="U229" s="502"/>
    </row>
    <row r="230" spans="2:24" hidden="1" x14ac:dyDescent="0.25">
      <c r="B230" s="499"/>
      <c r="C230" s="58">
        <v>3</v>
      </c>
      <c r="D230" s="969" t="s">
        <v>1262</v>
      </c>
      <c r="E230" s="975">
        <f>'Finance info'!E106-(E146)</f>
        <v>0</v>
      </c>
      <c r="F230" s="975">
        <f>'Finance info'!F106-(F146)</f>
        <v>0</v>
      </c>
      <c r="G230" s="975">
        <f>'Finance info'!G106-(G146)</f>
        <v>0</v>
      </c>
      <c r="H230" s="975">
        <f>'Finance info'!H106-(H146)</f>
        <v>0</v>
      </c>
      <c r="I230" s="975">
        <f>'Finance info'!I106-(I146)</f>
        <v>0</v>
      </c>
      <c r="J230" s="975">
        <f>'Finance info'!J106-(J146)</f>
        <v>0</v>
      </c>
      <c r="K230" s="3888"/>
      <c r="L230" s="3888"/>
      <c r="M230" s="3888"/>
      <c r="N230" s="3888"/>
      <c r="O230" s="3888"/>
      <c r="P230" s="3888"/>
      <c r="Q230" s="3888"/>
      <c r="R230" s="3888"/>
      <c r="S230" s="3888"/>
      <c r="T230" s="3888"/>
      <c r="U230" s="502"/>
    </row>
    <row r="231" spans="2:24" s="498" customFormat="1" ht="30.75" hidden="1" customHeight="1" x14ac:dyDescent="0.25">
      <c r="B231" s="500"/>
      <c r="C231" s="968">
        <v>4</v>
      </c>
      <c r="D231" s="967" t="s">
        <v>752</v>
      </c>
      <c r="E231" s="983"/>
      <c r="F231" s="984"/>
      <c r="G231" s="984"/>
      <c r="H231" s="984"/>
      <c r="I231" s="984"/>
      <c r="J231" s="985"/>
      <c r="U231" s="500"/>
    </row>
    <row r="232" spans="2:24" s="496" customFormat="1" hidden="1" x14ac:dyDescent="0.25">
      <c r="B232" s="503"/>
      <c r="C232" s="970"/>
      <c r="D232" s="970" t="s">
        <v>16</v>
      </c>
      <c r="E232" s="973">
        <f t="shared" ref="E232:J232" si="110">SUM(E228:E231)</f>
        <v>0</v>
      </c>
      <c r="F232" s="973">
        <f t="shared" si="110"/>
        <v>0</v>
      </c>
      <c r="G232" s="973">
        <f t="shared" si="110"/>
        <v>0</v>
      </c>
      <c r="H232" s="973">
        <f t="shared" si="110"/>
        <v>0</v>
      </c>
      <c r="I232" s="973">
        <f t="shared" si="110"/>
        <v>0</v>
      </c>
      <c r="J232" s="973">
        <f t="shared" si="110"/>
        <v>0</v>
      </c>
      <c r="U232" s="500"/>
      <c r="X232" s="493"/>
    </row>
    <row r="233" spans="2:24" hidden="1" x14ac:dyDescent="0.25">
      <c r="B233" s="499"/>
      <c r="C233" s="499"/>
      <c r="D233" s="499"/>
      <c r="E233" s="499"/>
      <c r="F233" s="957"/>
      <c r="G233" s="957"/>
      <c r="H233" s="957"/>
      <c r="I233" s="957"/>
      <c r="J233" s="957"/>
      <c r="K233" s="960"/>
      <c r="L233" s="960"/>
      <c r="M233" s="960"/>
      <c r="N233" s="960"/>
      <c r="O233" s="960"/>
      <c r="P233" s="960"/>
      <c r="Q233" s="960"/>
      <c r="R233" s="960"/>
      <c r="S233" s="960"/>
      <c r="T233" s="960"/>
      <c r="U233" s="502"/>
    </row>
    <row r="234" spans="2:24" s="512" customFormat="1" ht="15.75" hidden="1" x14ac:dyDescent="0.25">
      <c r="B234" s="511"/>
      <c r="C234" s="513" t="s">
        <v>726</v>
      </c>
      <c r="D234" s="509" t="s">
        <v>3598</v>
      </c>
      <c r="E234" s="511"/>
      <c r="F234" s="510"/>
      <c r="G234" s="511"/>
      <c r="H234" s="511"/>
      <c r="I234" s="511"/>
      <c r="J234" s="511"/>
      <c r="K234" s="961"/>
      <c r="L234" s="961"/>
      <c r="M234" s="961"/>
      <c r="N234" s="961"/>
      <c r="O234" s="961"/>
      <c r="P234" s="961"/>
      <c r="Q234" s="961"/>
      <c r="R234" s="961"/>
      <c r="S234" s="961"/>
      <c r="T234" s="961"/>
      <c r="U234" s="510"/>
      <c r="V234" s="5586"/>
    </row>
    <row r="235" spans="2:24" hidden="1" x14ac:dyDescent="0.25">
      <c r="B235" s="499"/>
      <c r="C235" s="1554" t="s">
        <v>3373</v>
      </c>
      <c r="D235" s="1554" t="s">
        <v>4</v>
      </c>
      <c r="E235" s="971" t="str">
        <f>E$97</f>
        <v xml:space="preserve">2009 </v>
      </c>
      <c r="F235" s="971" t="str">
        <f t="shared" ref="F235:T235" si="111">F$97</f>
        <v>2010  (A)</v>
      </c>
      <c r="G235" s="971" t="str">
        <f t="shared" si="111"/>
        <v>2011  (A)</v>
      </c>
      <c r="H235" s="971" t="str">
        <f t="shared" si="111"/>
        <v>2012  (A)</v>
      </c>
      <c r="I235" s="971" t="str">
        <f t="shared" si="111"/>
        <v>2013  (RE)</v>
      </c>
      <c r="J235" s="971" t="str">
        <f t="shared" si="111"/>
        <v>2014 (BE)</v>
      </c>
      <c r="K235" s="972">
        <f t="shared" si="111"/>
        <v>2015</v>
      </c>
      <c r="L235" s="972">
        <f t="shared" si="111"/>
        <v>2016</v>
      </c>
      <c r="M235" s="972">
        <f t="shared" si="111"/>
        <v>2017</v>
      </c>
      <c r="N235" s="972">
        <f t="shared" si="111"/>
        <v>2018</v>
      </c>
      <c r="O235" s="972">
        <f t="shared" si="111"/>
        <v>2019</v>
      </c>
      <c r="P235" s="972">
        <f t="shared" si="111"/>
        <v>2020</v>
      </c>
      <c r="Q235" s="972">
        <f t="shared" si="111"/>
        <v>2021</v>
      </c>
      <c r="R235" s="972">
        <f t="shared" si="111"/>
        <v>2022</v>
      </c>
      <c r="S235" s="972">
        <f t="shared" si="111"/>
        <v>2023</v>
      </c>
      <c r="T235" s="972">
        <f t="shared" si="111"/>
        <v>2024</v>
      </c>
      <c r="U235" s="502"/>
    </row>
    <row r="236" spans="2:24" hidden="1" x14ac:dyDescent="0.25">
      <c r="B236" s="499"/>
      <c r="C236" s="58">
        <v>1</v>
      </c>
      <c r="D236" s="33" t="s">
        <v>42</v>
      </c>
      <c r="E236" s="898">
        <f>'Finance info'!E111</f>
        <v>0</v>
      </c>
      <c r="F236" s="898">
        <f>'Finance info'!F111</f>
        <v>0</v>
      </c>
      <c r="G236" s="898">
        <f>'Finance info'!G111</f>
        <v>0</v>
      </c>
      <c r="H236" s="898">
        <f>'Finance info'!H111</f>
        <v>0</v>
      </c>
      <c r="I236" s="898">
        <f>'Finance info'!I111</f>
        <v>0</v>
      </c>
      <c r="J236" s="898">
        <f>'Finance info'!J111</f>
        <v>0</v>
      </c>
      <c r="K236" s="3888"/>
      <c r="L236" s="3888"/>
      <c r="M236" s="3888"/>
      <c r="N236" s="3888"/>
      <c r="O236" s="3888"/>
      <c r="P236" s="3888"/>
      <c r="Q236" s="3888"/>
      <c r="R236" s="3888"/>
      <c r="S236" s="3888"/>
      <c r="T236" s="3888"/>
      <c r="U236" s="502"/>
    </row>
    <row r="237" spans="2:24" hidden="1" x14ac:dyDescent="0.25">
      <c r="B237" s="499"/>
      <c r="C237" s="58">
        <v>2</v>
      </c>
      <c r="D237" s="33" t="s">
        <v>43</v>
      </c>
      <c r="E237" s="898">
        <f>'Finance info'!E112</f>
        <v>0</v>
      </c>
      <c r="F237" s="898">
        <f>'Finance info'!F112</f>
        <v>0</v>
      </c>
      <c r="G237" s="898">
        <f>'Finance info'!G112</f>
        <v>0</v>
      </c>
      <c r="H237" s="898">
        <f>'Finance info'!H112</f>
        <v>0</v>
      </c>
      <c r="I237" s="898">
        <f>'Finance info'!I112</f>
        <v>0</v>
      </c>
      <c r="J237" s="898">
        <f>'Finance info'!J112</f>
        <v>0</v>
      </c>
      <c r="K237" s="3888"/>
      <c r="L237" s="3888"/>
      <c r="M237" s="3888"/>
      <c r="N237" s="3888"/>
      <c r="O237" s="3888"/>
      <c r="P237" s="3888"/>
      <c r="Q237" s="3888"/>
      <c r="R237" s="3888"/>
      <c r="S237" s="3888"/>
      <c r="T237" s="3888"/>
      <c r="U237" s="502"/>
    </row>
    <row r="238" spans="2:24" hidden="1" x14ac:dyDescent="0.25">
      <c r="B238" s="499"/>
      <c r="C238" s="58">
        <v>3</v>
      </c>
      <c r="D238" s="33" t="s">
        <v>44</v>
      </c>
      <c r="E238" s="898">
        <f>'Finance info'!E113-(E158)</f>
        <v>0</v>
      </c>
      <c r="F238" s="898">
        <f>'Finance info'!F113-(F158)</f>
        <v>0</v>
      </c>
      <c r="G238" s="898">
        <f>'Finance info'!G113-(G158)</f>
        <v>0</v>
      </c>
      <c r="H238" s="898">
        <f>'Finance info'!H113-(H158)</f>
        <v>0</v>
      </c>
      <c r="I238" s="898">
        <f>'Finance info'!I113-(I158)</f>
        <v>0</v>
      </c>
      <c r="J238" s="898">
        <f>'Finance info'!J113-(J158)</f>
        <v>0</v>
      </c>
      <c r="K238" s="3888"/>
      <c r="L238" s="3888"/>
      <c r="M238" s="3888"/>
      <c r="N238" s="3888"/>
      <c r="O238" s="3888"/>
      <c r="P238" s="3888"/>
      <c r="Q238" s="3888"/>
      <c r="R238" s="3888"/>
      <c r="S238" s="3888"/>
      <c r="T238" s="3888"/>
      <c r="U238" s="502"/>
    </row>
    <row r="239" spans="2:24" hidden="1" x14ac:dyDescent="0.25">
      <c r="B239" s="499"/>
      <c r="C239" s="58">
        <v>4</v>
      </c>
      <c r="D239" s="33" t="s">
        <v>45</v>
      </c>
      <c r="E239" s="898">
        <f>'Finance info'!E114</f>
        <v>0</v>
      </c>
      <c r="F239" s="898">
        <f>'Finance info'!F114</f>
        <v>0</v>
      </c>
      <c r="G239" s="898">
        <f>'Finance info'!G114</f>
        <v>0</v>
      </c>
      <c r="H239" s="898">
        <f>'Finance info'!H114</f>
        <v>0</v>
      </c>
      <c r="I239" s="898">
        <f>'Finance info'!I114</f>
        <v>0</v>
      </c>
      <c r="J239" s="898">
        <f>'Finance info'!J114</f>
        <v>0</v>
      </c>
      <c r="K239" s="3888"/>
      <c r="L239" s="3888"/>
      <c r="M239" s="3888"/>
      <c r="N239" s="3888"/>
      <c r="O239" s="3888"/>
      <c r="P239" s="3888"/>
      <c r="Q239" s="3888"/>
      <c r="R239" s="3888"/>
      <c r="S239" s="3888"/>
      <c r="T239" s="3888"/>
      <c r="U239" s="502"/>
    </row>
    <row r="240" spans="2:24" hidden="1" x14ac:dyDescent="0.25">
      <c r="B240" s="499"/>
      <c r="C240" s="300">
        <v>5</v>
      </c>
      <c r="D240" s="33" t="s">
        <v>46</v>
      </c>
      <c r="E240" s="898">
        <f>'Finance info'!E115</f>
        <v>0</v>
      </c>
      <c r="F240" s="898">
        <f>'Finance info'!F115</f>
        <v>0</v>
      </c>
      <c r="G240" s="898">
        <f>'Finance info'!G115</f>
        <v>0</v>
      </c>
      <c r="H240" s="898">
        <f>'Finance info'!H115</f>
        <v>0</v>
      </c>
      <c r="I240" s="898">
        <f>'Finance info'!I115</f>
        <v>0</v>
      </c>
      <c r="J240" s="898">
        <f>'Finance info'!J115</f>
        <v>0</v>
      </c>
      <c r="K240" s="3888"/>
      <c r="L240" s="3888"/>
      <c r="M240" s="3888"/>
      <c r="N240" s="3888"/>
      <c r="O240" s="3888"/>
      <c r="P240" s="3888"/>
      <c r="Q240" s="3888"/>
      <c r="R240" s="3888"/>
      <c r="S240" s="3888"/>
      <c r="T240" s="3888"/>
      <c r="U240" s="502"/>
    </row>
    <row r="241" spans="2:24" hidden="1" x14ac:dyDescent="0.25">
      <c r="B241" s="499"/>
      <c r="C241" s="300">
        <v>6</v>
      </c>
      <c r="D241" s="33" t="s">
        <v>47</v>
      </c>
      <c r="E241" s="898">
        <f>'Finance info'!E116</f>
        <v>0</v>
      </c>
      <c r="F241" s="898">
        <f>'Finance info'!F116</f>
        <v>0</v>
      </c>
      <c r="G241" s="898">
        <f>'Finance info'!G116</f>
        <v>0</v>
      </c>
      <c r="H241" s="898">
        <f>'Finance info'!H116</f>
        <v>0</v>
      </c>
      <c r="I241" s="898">
        <f>'Finance info'!I116</f>
        <v>0</v>
      </c>
      <c r="J241" s="898">
        <f>'Finance info'!J116</f>
        <v>0</v>
      </c>
      <c r="K241" s="3888"/>
      <c r="L241" s="3888"/>
      <c r="M241" s="3888"/>
      <c r="N241" s="3888"/>
      <c r="O241" s="3888"/>
      <c r="P241" s="3888"/>
      <c r="Q241" s="3888"/>
      <c r="R241" s="3888"/>
      <c r="S241" s="3888"/>
      <c r="T241" s="3888"/>
      <c r="U241" s="502"/>
    </row>
    <row r="242" spans="2:24" s="496" customFormat="1" hidden="1" x14ac:dyDescent="0.25">
      <c r="B242" s="503"/>
      <c r="C242" s="970"/>
      <c r="D242" s="970" t="s">
        <v>16</v>
      </c>
      <c r="E242" s="973">
        <f>SUM(E236:E241)</f>
        <v>0</v>
      </c>
      <c r="F242" s="973">
        <f t="shared" ref="F242:J242" si="112">SUM(F236:F241)</f>
        <v>0</v>
      </c>
      <c r="G242" s="973">
        <f t="shared" si="112"/>
        <v>0</v>
      </c>
      <c r="H242" s="973">
        <f t="shared" si="112"/>
        <v>0</v>
      </c>
      <c r="I242" s="973">
        <f t="shared" si="112"/>
        <v>0</v>
      </c>
      <c r="J242" s="973">
        <f t="shared" si="112"/>
        <v>0</v>
      </c>
      <c r="U242" s="500"/>
      <c r="X242" s="493"/>
    </row>
    <row r="243" spans="2:24" hidden="1" x14ac:dyDescent="0.25">
      <c r="B243" s="499"/>
      <c r="C243" s="499"/>
      <c r="D243" s="499"/>
      <c r="E243" s="959"/>
      <c r="F243" s="966"/>
      <c r="G243" s="966"/>
      <c r="H243" s="966"/>
      <c r="I243" s="966"/>
      <c r="J243" s="966"/>
      <c r="K243" s="1067"/>
      <c r="L243" s="1067"/>
      <c r="M243" s="1067"/>
      <c r="N243" s="1067"/>
      <c r="O243" s="1067"/>
      <c r="P243" s="1067"/>
      <c r="Q243" s="1067"/>
      <c r="R243" s="1067"/>
      <c r="S243" s="1067"/>
      <c r="T243" s="1067"/>
      <c r="U243" s="502"/>
    </row>
    <row r="244" spans="2:24" hidden="1" x14ac:dyDescent="0.25">
      <c r="B244" s="499"/>
      <c r="C244" s="499"/>
      <c r="D244" s="499"/>
      <c r="E244" s="499"/>
      <c r="F244" s="499"/>
      <c r="G244" s="499"/>
      <c r="H244" s="499"/>
      <c r="I244" s="499"/>
      <c r="J244" s="499"/>
      <c r="K244" s="501"/>
      <c r="L244" s="501"/>
      <c r="M244" s="501"/>
      <c r="N244" s="501"/>
      <c r="O244" s="501"/>
      <c r="P244" s="501"/>
      <c r="Q244" s="501"/>
      <c r="R244" s="501"/>
      <c r="S244" s="501"/>
      <c r="T244" s="501"/>
      <c r="U244" s="502"/>
    </row>
    <row r="245" spans="2:24" s="508" customFormat="1" ht="18.75" hidden="1" x14ac:dyDescent="0.25">
      <c r="B245" s="505"/>
      <c r="C245" s="505" t="s">
        <v>8</v>
      </c>
      <c r="D245" s="505" t="s">
        <v>3599</v>
      </c>
      <c r="E245" s="506"/>
      <c r="F245" s="506"/>
      <c r="G245" s="506"/>
      <c r="H245" s="507"/>
      <c r="I245" s="506"/>
      <c r="J245" s="506"/>
      <c r="K245" s="506"/>
      <c r="L245" s="506"/>
      <c r="M245" s="506"/>
      <c r="N245" s="506"/>
      <c r="O245" s="506"/>
      <c r="P245" s="506"/>
      <c r="Q245" s="506"/>
      <c r="R245" s="506"/>
      <c r="S245" s="506"/>
      <c r="T245" s="506"/>
      <c r="U245" s="5580"/>
    </row>
    <row r="246" spans="2:24" s="512" customFormat="1" ht="15.75" hidden="1" x14ac:dyDescent="0.25">
      <c r="B246" s="511"/>
      <c r="C246" s="513" t="s">
        <v>725</v>
      </c>
      <c r="D246" s="509" t="s">
        <v>3600</v>
      </c>
      <c r="E246" s="511"/>
      <c r="F246" s="1088"/>
      <c r="G246" s="1088"/>
      <c r="H246" s="1088"/>
      <c r="I246" s="1088"/>
      <c r="J246" s="1088"/>
      <c r="K246" s="1088"/>
      <c r="L246" s="1088"/>
      <c r="M246" s="1088"/>
      <c r="N246" s="1088"/>
      <c r="O246" s="1088"/>
      <c r="P246" s="1088"/>
      <c r="Q246" s="1088"/>
      <c r="R246" s="1088"/>
      <c r="S246" s="1088"/>
      <c r="T246" s="1088"/>
      <c r="U246" s="510"/>
    </row>
    <row r="247" spans="2:24" hidden="1" x14ac:dyDescent="0.25">
      <c r="B247" s="499"/>
      <c r="C247" s="1554" t="s">
        <v>3373</v>
      </c>
      <c r="D247" s="1554" t="s">
        <v>4</v>
      </c>
      <c r="E247" s="971" t="str">
        <f>E$97</f>
        <v xml:space="preserve">2009 </v>
      </c>
      <c r="F247" s="971" t="str">
        <f t="shared" ref="F247:T247" si="113">F$97</f>
        <v>2010  (A)</v>
      </c>
      <c r="G247" s="971" t="str">
        <f t="shared" si="113"/>
        <v>2011  (A)</v>
      </c>
      <c r="H247" s="971" t="str">
        <f t="shared" si="113"/>
        <v>2012  (A)</v>
      </c>
      <c r="I247" s="971" t="str">
        <f t="shared" si="113"/>
        <v>2013  (RE)</v>
      </c>
      <c r="J247" s="971" t="str">
        <f t="shared" si="113"/>
        <v>2014 (BE)</v>
      </c>
      <c r="K247" s="972">
        <f t="shared" si="113"/>
        <v>2015</v>
      </c>
      <c r="L247" s="972">
        <f t="shared" si="113"/>
        <v>2016</v>
      </c>
      <c r="M247" s="972">
        <f t="shared" si="113"/>
        <v>2017</v>
      </c>
      <c r="N247" s="972">
        <f t="shared" si="113"/>
        <v>2018</v>
      </c>
      <c r="O247" s="972">
        <f t="shared" si="113"/>
        <v>2019</v>
      </c>
      <c r="P247" s="972">
        <f t="shared" si="113"/>
        <v>2020</v>
      </c>
      <c r="Q247" s="972">
        <f t="shared" si="113"/>
        <v>2021</v>
      </c>
      <c r="R247" s="972">
        <f t="shared" si="113"/>
        <v>2022</v>
      </c>
      <c r="S247" s="972">
        <f t="shared" si="113"/>
        <v>2023</v>
      </c>
      <c r="T247" s="972">
        <f t="shared" si="113"/>
        <v>2024</v>
      </c>
      <c r="U247" s="502"/>
    </row>
    <row r="248" spans="2:24" s="497" customFormat="1" ht="17.25" hidden="1" customHeight="1" x14ac:dyDescent="0.25">
      <c r="B248" s="504"/>
      <c r="C248" s="333">
        <v>1</v>
      </c>
      <c r="D248" s="429" t="s">
        <v>2070</v>
      </c>
      <c r="E248" s="975">
        <f>'Finance info'!E122-(E164)</f>
        <v>0</v>
      </c>
      <c r="F248" s="975">
        <f>'Finance info'!F122-(F164)</f>
        <v>0</v>
      </c>
      <c r="G248" s="975">
        <f>'Finance info'!G122-(G164)</f>
        <v>0</v>
      </c>
      <c r="H248" s="975">
        <f>'Finance info'!H122-(H164)</f>
        <v>0</v>
      </c>
      <c r="I248" s="975">
        <f>'Finance info'!I122-(I164)</f>
        <v>0</v>
      </c>
      <c r="J248" s="975">
        <f>'Finance info'!J122-(J164)</f>
        <v>0</v>
      </c>
      <c r="K248" s="3851"/>
      <c r="L248" s="3851"/>
      <c r="M248" s="3851"/>
      <c r="N248" s="3851"/>
      <c r="O248" s="3851"/>
      <c r="P248" s="3851"/>
      <c r="Q248" s="3851"/>
      <c r="R248" s="3851"/>
      <c r="S248" s="3851"/>
      <c r="T248" s="3851"/>
      <c r="U248" s="502"/>
    </row>
    <row r="249" spans="2:24" s="497" customFormat="1" ht="17.25" hidden="1" customHeight="1" x14ac:dyDescent="0.25">
      <c r="B249" s="504"/>
      <c r="C249" s="333">
        <v>2</v>
      </c>
      <c r="D249" s="1582" t="s">
        <v>2071</v>
      </c>
      <c r="E249" s="975">
        <f>'Finance info'!E123-(E165)</f>
        <v>0</v>
      </c>
      <c r="F249" s="975">
        <f>'Finance info'!F123-(F165)</f>
        <v>0</v>
      </c>
      <c r="G249" s="975">
        <f>'Finance info'!G123-(G165)</f>
        <v>0</v>
      </c>
      <c r="H249" s="975">
        <f>'Finance info'!H123-(H165)</f>
        <v>0</v>
      </c>
      <c r="I249" s="975">
        <f>'Finance info'!I123-(I165)</f>
        <v>0</v>
      </c>
      <c r="J249" s="975">
        <f>'Finance info'!J123-(J165)</f>
        <v>0</v>
      </c>
      <c r="K249" s="3851"/>
      <c r="L249" s="3851"/>
      <c r="M249" s="3851"/>
      <c r="N249" s="3851"/>
      <c r="O249" s="3851"/>
      <c r="P249" s="3851"/>
      <c r="Q249" s="3851"/>
      <c r="R249" s="3851"/>
      <c r="S249" s="3851"/>
      <c r="T249" s="3851"/>
      <c r="U249" s="502"/>
    </row>
    <row r="250" spans="2:24" s="497" customFormat="1" hidden="1" x14ac:dyDescent="0.25">
      <c r="B250" s="504"/>
      <c r="C250" s="333">
        <v>3</v>
      </c>
      <c r="D250" s="429" t="s">
        <v>2072</v>
      </c>
      <c r="E250" s="975">
        <f>'Finance info'!E124-(E166)</f>
        <v>0</v>
      </c>
      <c r="F250" s="975">
        <f>'Finance info'!F124-(F166)</f>
        <v>0</v>
      </c>
      <c r="G250" s="975">
        <f>'Finance info'!G124-(G166)</f>
        <v>0</v>
      </c>
      <c r="H250" s="975">
        <f>'Finance info'!H124-(H166)</f>
        <v>0</v>
      </c>
      <c r="I250" s="975">
        <f>'Finance info'!I124-(I166)</f>
        <v>0</v>
      </c>
      <c r="J250" s="975">
        <f>'Finance info'!J124-(J166)</f>
        <v>0</v>
      </c>
      <c r="K250" s="3851"/>
      <c r="L250" s="3851"/>
      <c r="M250" s="3851"/>
      <c r="N250" s="3851"/>
      <c r="O250" s="3851"/>
      <c r="P250" s="3851"/>
      <c r="Q250" s="3851"/>
      <c r="R250" s="3851"/>
      <c r="S250" s="3851"/>
      <c r="T250" s="3851"/>
      <c r="U250" s="502"/>
    </row>
    <row r="251" spans="2:24" s="497" customFormat="1" hidden="1" x14ac:dyDescent="0.25">
      <c r="B251" s="504"/>
      <c r="C251" s="333">
        <v>4</v>
      </c>
      <c r="D251" s="429" t="s">
        <v>26</v>
      </c>
      <c r="E251" s="975">
        <f>'Finance info'!E125-(E167)</f>
        <v>0</v>
      </c>
      <c r="F251" s="975">
        <f>'Finance info'!F125-(F167)</f>
        <v>0</v>
      </c>
      <c r="G251" s="975">
        <f>'Finance info'!G125-(G167)</f>
        <v>0</v>
      </c>
      <c r="H251" s="975">
        <f>'Finance info'!H125-(H167)</f>
        <v>0</v>
      </c>
      <c r="I251" s="975">
        <f>'Finance info'!I125-(I167)</f>
        <v>0</v>
      </c>
      <c r="J251" s="975">
        <f>'Finance info'!J125-(J167)</f>
        <v>0</v>
      </c>
      <c r="K251" s="3851"/>
      <c r="L251" s="3851"/>
      <c r="M251" s="3851"/>
      <c r="N251" s="3851"/>
      <c r="O251" s="3851"/>
      <c r="P251" s="3851"/>
      <c r="Q251" s="3851"/>
      <c r="R251" s="3851"/>
      <c r="S251" s="3851"/>
      <c r="T251" s="3851"/>
      <c r="U251" s="502"/>
    </row>
    <row r="252" spans="2:24" s="496" customFormat="1" hidden="1" x14ac:dyDescent="0.25">
      <c r="B252" s="503"/>
      <c r="C252" s="970"/>
      <c r="D252" s="970" t="s">
        <v>16</v>
      </c>
      <c r="E252" s="973">
        <f t="shared" ref="E252:J252" si="114">SUM(E248:E251)</f>
        <v>0</v>
      </c>
      <c r="F252" s="973">
        <f t="shared" si="114"/>
        <v>0</v>
      </c>
      <c r="G252" s="973">
        <f t="shared" si="114"/>
        <v>0</v>
      </c>
      <c r="H252" s="973">
        <f t="shared" si="114"/>
        <v>0</v>
      </c>
      <c r="I252" s="973">
        <f t="shared" si="114"/>
        <v>0</v>
      </c>
      <c r="J252" s="973">
        <f t="shared" si="114"/>
        <v>0</v>
      </c>
      <c r="U252" s="500"/>
      <c r="X252" s="493"/>
    </row>
    <row r="253" spans="2:24" hidden="1" x14ac:dyDescent="0.25">
      <c r="B253" s="499"/>
      <c r="C253" s="499"/>
      <c r="D253" s="499"/>
      <c r="E253" s="958"/>
      <c r="F253" s="958"/>
      <c r="G253" s="958"/>
      <c r="H253" s="958"/>
      <c r="I253" s="958"/>
      <c r="J253" s="958"/>
      <c r="K253" s="501"/>
      <c r="L253" s="501"/>
      <c r="M253" s="501"/>
      <c r="N253" s="501"/>
      <c r="O253" s="501"/>
      <c r="P253" s="501"/>
      <c r="Q253" s="501"/>
      <c r="R253" s="501"/>
      <c r="S253" s="501"/>
      <c r="T253" s="501"/>
      <c r="U253" s="502"/>
    </row>
    <row r="254" spans="2:24" s="512" customFormat="1" ht="15.75" hidden="1" x14ac:dyDescent="0.25">
      <c r="B254" s="511"/>
      <c r="C254" s="513" t="s">
        <v>726</v>
      </c>
      <c r="D254" s="509" t="s">
        <v>3601</v>
      </c>
      <c r="E254" s="511"/>
      <c r="F254" s="1088"/>
      <c r="G254" s="1088"/>
      <c r="H254" s="1088"/>
      <c r="I254" s="1088"/>
      <c r="J254" s="1088"/>
      <c r="K254" s="1088"/>
      <c r="L254" s="1088"/>
      <c r="M254" s="1088"/>
      <c r="N254" s="1088"/>
      <c r="O254" s="1088"/>
      <c r="P254" s="1088"/>
      <c r="Q254" s="1088"/>
      <c r="R254" s="1088"/>
      <c r="S254" s="1088"/>
      <c r="T254" s="1088"/>
      <c r="U254" s="510"/>
    </row>
    <row r="255" spans="2:24" hidden="1" x14ac:dyDescent="0.25">
      <c r="B255" s="499"/>
      <c r="C255" s="1554" t="s">
        <v>3373</v>
      </c>
      <c r="D255" s="1554" t="s">
        <v>4</v>
      </c>
      <c r="E255" s="971" t="str">
        <f>E$97</f>
        <v xml:space="preserve">2009 </v>
      </c>
      <c r="F255" s="971" t="str">
        <f t="shared" ref="F255:T255" si="115">F$97</f>
        <v>2010  (A)</v>
      </c>
      <c r="G255" s="971" t="str">
        <f t="shared" si="115"/>
        <v>2011  (A)</v>
      </c>
      <c r="H255" s="971" t="str">
        <f t="shared" si="115"/>
        <v>2012  (A)</v>
      </c>
      <c r="I255" s="971" t="str">
        <f t="shared" si="115"/>
        <v>2013  (RE)</v>
      </c>
      <c r="J255" s="971" t="str">
        <f t="shared" si="115"/>
        <v>2014 (BE)</v>
      </c>
      <c r="K255" s="972">
        <f t="shared" si="115"/>
        <v>2015</v>
      </c>
      <c r="L255" s="972">
        <f t="shared" si="115"/>
        <v>2016</v>
      </c>
      <c r="M255" s="972">
        <f t="shared" si="115"/>
        <v>2017</v>
      </c>
      <c r="N255" s="972">
        <f t="shared" si="115"/>
        <v>2018</v>
      </c>
      <c r="O255" s="972">
        <f t="shared" si="115"/>
        <v>2019</v>
      </c>
      <c r="P255" s="972">
        <f t="shared" si="115"/>
        <v>2020</v>
      </c>
      <c r="Q255" s="972">
        <f t="shared" si="115"/>
        <v>2021</v>
      </c>
      <c r="R255" s="972">
        <f t="shared" si="115"/>
        <v>2022</v>
      </c>
      <c r="S255" s="972">
        <f t="shared" si="115"/>
        <v>2023</v>
      </c>
      <c r="T255" s="972">
        <f t="shared" si="115"/>
        <v>2024</v>
      </c>
      <c r="U255" s="502"/>
    </row>
    <row r="256" spans="2:24" hidden="1" x14ac:dyDescent="0.25">
      <c r="B256" s="499"/>
      <c r="C256" s="58">
        <v>1</v>
      </c>
      <c r="D256" s="44" t="s">
        <v>58</v>
      </c>
      <c r="E256" s="898">
        <f>'Finance info'!E130-(E173)</f>
        <v>0</v>
      </c>
      <c r="F256" s="898">
        <f>'Finance info'!F130-(F173)</f>
        <v>0</v>
      </c>
      <c r="G256" s="898">
        <f>'Finance info'!G130-(G173)</f>
        <v>0</v>
      </c>
      <c r="H256" s="898">
        <f>'Finance info'!H130-(H173)</f>
        <v>0</v>
      </c>
      <c r="I256" s="898">
        <f>'Finance info'!I130-(I173)</f>
        <v>0</v>
      </c>
      <c r="J256" s="898">
        <f>'Finance info'!J130-(J173)</f>
        <v>0</v>
      </c>
      <c r="K256" s="3888"/>
      <c r="L256" s="3888"/>
      <c r="M256" s="3888"/>
      <c r="N256" s="3888"/>
      <c r="O256" s="3888"/>
      <c r="P256" s="3888"/>
      <c r="Q256" s="3888"/>
      <c r="R256" s="3888"/>
      <c r="S256" s="3888"/>
      <c r="T256" s="3888"/>
      <c r="U256" s="502"/>
    </row>
    <row r="257" spans="2:24" ht="30" hidden="1" x14ac:dyDescent="0.25">
      <c r="B257" s="499"/>
      <c r="C257" s="58">
        <v>2</v>
      </c>
      <c r="D257" s="1553" t="s">
        <v>1878</v>
      </c>
      <c r="E257" s="898">
        <f>'Finance info'!E131-(E174)</f>
        <v>0</v>
      </c>
      <c r="F257" s="898">
        <f>'Finance info'!F131-(F174)</f>
        <v>0</v>
      </c>
      <c r="G257" s="898">
        <f>'Finance info'!G131-(G174)</f>
        <v>0</v>
      </c>
      <c r="H257" s="898">
        <f>'Finance info'!H131-(H174)</f>
        <v>0</v>
      </c>
      <c r="I257" s="898">
        <f>'Finance info'!I131-(I174)</f>
        <v>0</v>
      </c>
      <c r="J257" s="898">
        <f>'Finance info'!J131-(J174)</f>
        <v>0</v>
      </c>
      <c r="K257" s="3888"/>
      <c r="L257" s="3888"/>
      <c r="M257" s="3888"/>
      <c r="N257" s="3888"/>
      <c r="O257" s="3888"/>
      <c r="P257" s="3888"/>
      <c r="Q257" s="3888"/>
      <c r="R257" s="3888"/>
      <c r="S257" s="3888"/>
      <c r="T257" s="3888"/>
      <c r="U257" s="502"/>
    </row>
    <row r="258" spans="2:24" hidden="1" x14ac:dyDescent="0.25">
      <c r="B258" s="499"/>
      <c r="C258" s="58">
        <v>3</v>
      </c>
      <c r="D258" s="44" t="s">
        <v>26</v>
      </c>
      <c r="E258" s="898">
        <f>'Finance info'!E132-(E175)</f>
        <v>0</v>
      </c>
      <c r="F258" s="898">
        <f>'Finance info'!F132-(F175)</f>
        <v>0</v>
      </c>
      <c r="G258" s="898">
        <f>'Finance info'!G132-(G175)</f>
        <v>0</v>
      </c>
      <c r="H258" s="898">
        <f>'Finance info'!H132-(H175)</f>
        <v>0</v>
      </c>
      <c r="I258" s="898">
        <f>'Finance info'!I132-(I175)</f>
        <v>0</v>
      </c>
      <c r="J258" s="898">
        <f>'Finance info'!J132-(J175)</f>
        <v>0</v>
      </c>
      <c r="K258" s="3888"/>
      <c r="L258" s="3888"/>
      <c r="M258" s="3888"/>
      <c r="N258" s="3888"/>
      <c r="O258" s="3888"/>
      <c r="P258" s="3888"/>
      <c r="Q258" s="3888"/>
      <c r="R258" s="3888"/>
      <c r="S258" s="3888"/>
      <c r="T258" s="3888"/>
      <c r="U258" s="502"/>
    </row>
    <row r="259" spans="2:24" hidden="1" x14ac:dyDescent="0.25">
      <c r="B259" s="499"/>
      <c r="C259" s="58">
        <v>4</v>
      </c>
      <c r="D259" s="306" t="s">
        <v>542</v>
      </c>
      <c r="E259" s="977"/>
      <c r="F259" s="978"/>
      <c r="G259" s="978"/>
      <c r="H259" s="978"/>
      <c r="I259" s="978"/>
      <c r="J259" s="978"/>
      <c r="K259" s="3888"/>
      <c r="L259" s="3888"/>
      <c r="M259" s="3888"/>
      <c r="N259" s="3888"/>
      <c r="O259" s="3888"/>
      <c r="P259" s="3888"/>
      <c r="Q259" s="3888"/>
      <c r="R259" s="3888"/>
      <c r="S259" s="3888"/>
      <c r="T259" s="3888"/>
      <c r="U259" s="502"/>
    </row>
    <row r="260" spans="2:24" ht="28.5" hidden="1" customHeight="1" x14ac:dyDescent="0.25">
      <c r="B260" s="499"/>
      <c r="C260" s="58">
        <v>5</v>
      </c>
      <c r="D260" s="1581" t="s">
        <v>2073</v>
      </c>
      <c r="E260" s="979"/>
      <c r="F260" s="980"/>
      <c r="G260" s="980"/>
      <c r="H260" s="980"/>
      <c r="I260" s="980"/>
      <c r="J260" s="980"/>
      <c r="K260" s="3888"/>
      <c r="L260" s="3888"/>
      <c r="M260" s="3888"/>
      <c r="N260" s="3888"/>
      <c r="O260" s="3888"/>
      <c r="P260" s="3888"/>
      <c r="Q260" s="3888"/>
      <c r="R260" s="3888"/>
      <c r="S260" s="3888"/>
      <c r="T260" s="3888"/>
      <c r="U260" s="502"/>
    </row>
    <row r="261" spans="2:24" s="496" customFormat="1" hidden="1" x14ac:dyDescent="0.25">
      <c r="B261" s="503"/>
      <c r="C261" s="970"/>
      <c r="D261" s="970" t="s">
        <v>16</v>
      </c>
      <c r="E261" s="973">
        <f t="shared" ref="E261:I261" si="116">SUM(E256:E260)</f>
        <v>0</v>
      </c>
      <c r="F261" s="973">
        <f t="shared" si="116"/>
        <v>0</v>
      </c>
      <c r="G261" s="973">
        <f t="shared" si="116"/>
        <v>0</v>
      </c>
      <c r="H261" s="973">
        <f t="shared" si="116"/>
        <v>0</v>
      </c>
      <c r="I261" s="973">
        <f t="shared" si="116"/>
        <v>0</v>
      </c>
      <c r="J261" s="973">
        <f>SUM(J256:J260)</f>
        <v>0</v>
      </c>
      <c r="U261" s="500"/>
      <c r="X261" s="493"/>
    </row>
    <row r="262" spans="2:24" hidden="1" x14ac:dyDescent="0.25">
      <c r="B262" s="499"/>
      <c r="C262" s="499"/>
      <c r="D262" s="499"/>
      <c r="E262" s="958"/>
      <c r="F262" s="958"/>
      <c r="G262" s="958"/>
      <c r="H262" s="958"/>
      <c r="I262" s="958"/>
      <c r="J262" s="958"/>
      <c r="K262" s="958"/>
      <c r="L262" s="958"/>
      <c r="M262" s="958"/>
      <c r="N262" s="958"/>
      <c r="O262" s="958"/>
      <c r="P262" s="958"/>
      <c r="Q262" s="958"/>
      <c r="R262" s="958"/>
      <c r="S262" s="958"/>
      <c r="T262" s="958"/>
      <c r="U262" s="5581"/>
    </row>
    <row r="263" spans="2:24" s="508" customFormat="1" ht="18.75" hidden="1" x14ac:dyDescent="0.25">
      <c r="B263" s="505"/>
      <c r="C263" s="505" t="s">
        <v>10</v>
      </c>
      <c r="D263" s="505" t="s">
        <v>199</v>
      </c>
      <c r="E263" s="506"/>
      <c r="F263" s="506"/>
      <c r="G263" s="506"/>
      <c r="H263" s="507"/>
      <c r="I263" s="506"/>
      <c r="J263" s="506"/>
      <c r="K263" s="506"/>
      <c r="L263" s="506"/>
      <c r="M263" s="506"/>
      <c r="N263" s="506"/>
      <c r="O263" s="506"/>
      <c r="P263" s="506"/>
      <c r="Q263" s="506"/>
      <c r="R263" s="506"/>
      <c r="S263" s="506"/>
      <c r="T263" s="506"/>
      <c r="U263" s="5580"/>
    </row>
    <row r="264" spans="2:24" hidden="1" x14ac:dyDescent="0.25">
      <c r="B264" s="499"/>
      <c r="C264" s="1554" t="s">
        <v>3373</v>
      </c>
      <c r="D264" s="1554" t="s">
        <v>4</v>
      </c>
      <c r="E264" s="971" t="str">
        <f>E$97</f>
        <v xml:space="preserve">2009 </v>
      </c>
      <c r="F264" s="971" t="str">
        <f t="shared" ref="F264:T264" si="117">F$97</f>
        <v>2010  (A)</v>
      </c>
      <c r="G264" s="971" t="str">
        <f t="shared" si="117"/>
        <v>2011  (A)</v>
      </c>
      <c r="H264" s="971" t="str">
        <f t="shared" si="117"/>
        <v>2012  (A)</v>
      </c>
      <c r="I264" s="971" t="str">
        <f t="shared" si="117"/>
        <v>2013  (RE)</v>
      </c>
      <c r="J264" s="971" t="str">
        <f t="shared" si="117"/>
        <v>2014 (BE)</v>
      </c>
      <c r="K264" s="972">
        <f t="shared" si="117"/>
        <v>2015</v>
      </c>
      <c r="L264" s="972">
        <f t="shared" si="117"/>
        <v>2016</v>
      </c>
      <c r="M264" s="972">
        <f t="shared" si="117"/>
        <v>2017</v>
      </c>
      <c r="N264" s="972">
        <f t="shared" si="117"/>
        <v>2018</v>
      </c>
      <c r="O264" s="972">
        <f t="shared" si="117"/>
        <v>2019</v>
      </c>
      <c r="P264" s="972">
        <f t="shared" si="117"/>
        <v>2020</v>
      </c>
      <c r="Q264" s="972">
        <f t="shared" si="117"/>
        <v>2021</v>
      </c>
      <c r="R264" s="972">
        <f t="shared" si="117"/>
        <v>2022</v>
      </c>
      <c r="S264" s="972">
        <f t="shared" si="117"/>
        <v>2023</v>
      </c>
      <c r="T264" s="972">
        <f t="shared" si="117"/>
        <v>2024</v>
      </c>
      <c r="U264" s="502"/>
    </row>
    <row r="265" spans="2:24" hidden="1" x14ac:dyDescent="0.25">
      <c r="B265" s="499"/>
      <c r="C265" s="333">
        <v>1</v>
      </c>
      <c r="D265" s="210" t="s">
        <v>1111</v>
      </c>
      <c r="E265" s="975">
        <f>'Finance info'!E137</f>
        <v>0</v>
      </c>
      <c r="F265" s="975">
        <f>'Finance info'!F137</f>
        <v>0</v>
      </c>
      <c r="G265" s="975">
        <f>'Finance info'!G137</f>
        <v>0</v>
      </c>
      <c r="H265" s="975">
        <f>'Finance info'!H137</f>
        <v>0</v>
      </c>
      <c r="I265" s="975">
        <f>'Finance info'!I137</f>
        <v>0</v>
      </c>
      <c r="J265" s="975">
        <f>'Finance info'!J137</f>
        <v>0</v>
      </c>
      <c r="K265" s="3851"/>
      <c r="L265" s="3851"/>
      <c r="M265" s="3851"/>
      <c r="N265" s="3851"/>
      <c r="O265" s="3851"/>
      <c r="P265" s="3851"/>
      <c r="Q265" s="3851"/>
      <c r="R265" s="3851"/>
      <c r="S265" s="3851"/>
      <c r="T265" s="3851"/>
      <c r="U265" s="502"/>
    </row>
    <row r="266" spans="2:24" hidden="1" x14ac:dyDescent="0.25">
      <c r="B266" s="499"/>
      <c r="C266" s="333">
        <v>2</v>
      </c>
      <c r="D266" s="430" t="s">
        <v>1110</v>
      </c>
      <c r="E266" s="975">
        <f>'Finance info'!E138</f>
        <v>0</v>
      </c>
      <c r="F266" s="975">
        <f>'Finance info'!F138</f>
        <v>0</v>
      </c>
      <c r="G266" s="975">
        <f>'Finance info'!G138</f>
        <v>0</v>
      </c>
      <c r="H266" s="975">
        <f>'Finance info'!H138</f>
        <v>0</v>
      </c>
      <c r="I266" s="975">
        <f>'Finance info'!I138</f>
        <v>0</v>
      </c>
      <c r="J266" s="975">
        <f>'Finance info'!J138</f>
        <v>0</v>
      </c>
      <c r="K266" s="3851"/>
      <c r="L266" s="3851"/>
      <c r="M266" s="3851"/>
      <c r="N266" s="3851"/>
      <c r="O266" s="3851"/>
      <c r="P266" s="3851"/>
      <c r="Q266" s="3851"/>
      <c r="R266" s="3851"/>
      <c r="S266" s="3851"/>
      <c r="T266" s="3851"/>
      <c r="U266" s="502"/>
    </row>
    <row r="267" spans="2:24" hidden="1" x14ac:dyDescent="0.25">
      <c r="B267" s="499"/>
      <c r="C267" s="499"/>
      <c r="D267" s="499"/>
      <c r="E267" s="499"/>
      <c r="F267" s="966"/>
      <c r="G267" s="966"/>
      <c r="H267" s="966"/>
      <c r="I267" s="966"/>
      <c r="J267" s="966"/>
      <c r="K267" s="501"/>
      <c r="L267" s="501"/>
      <c r="M267" s="501"/>
      <c r="N267" s="501"/>
      <c r="O267" s="501"/>
      <c r="P267" s="501"/>
      <c r="Q267" s="501"/>
      <c r="R267" s="501"/>
      <c r="S267" s="501"/>
      <c r="T267" s="501"/>
      <c r="U267" s="502"/>
    </row>
    <row r="268" spans="2:24" hidden="1" x14ac:dyDescent="0.25">
      <c r="B268" s="499"/>
      <c r="C268" s="499"/>
      <c r="D268" s="499"/>
      <c r="E268" s="499"/>
      <c r="F268" s="499"/>
      <c r="G268" s="499"/>
      <c r="H268" s="499"/>
      <c r="I268" s="499"/>
      <c r="J268" s="499"/>
      <c r="K268" s="501"/>
      <c r="L268" s="501"/>
      <c r="M268" s="501"/>
      <c r="N268" s="501"/>
      <c r="O268" s="501"/>
      <c r="P268" s="501"/>
      <c r="Q268" s="501"/>
      <c r="R268" s="501"/>
      <c r="S268" s="501"/>
      <c r="T268" s="501"/>
      <c r="U268" s="502"/>
    </row>
    <row r="269" spans="2:24" s="5293" customFormat="1" ht="26.25" customHeight="1" x14ac:dyDescent="0.45">
      <c r="B269" s="5976" t="s">
        <v>36</v>
      </c>
      <c r="C269" s="1392" t="s">
        <v>991</v>
      </c>
      <c r="D269" s="1392"/>
      <c r="E269" s="5291"/>
      <c r="F269" s="5291"/>
      <c r="G269" s="5291"/>
      <c r="H269" s="5291"/>
      <c r="I269" s="5291"/>
      <c r="J269" s="5291"/>
      <c r="K269" s="5291"/>
      <c r="L269" s="5291"/>
      <c r="M269" s="5291"/>
      <c r="N269" s="5291"/>
      <c r="O269" s="5291"/>
      <c r="P269" s="5291"/>
      <c r="Q269" s="5291"/>
      <c r="R269" s="5291"/>
      <c r="S269" s="5291"/>
      <c r="T269" s="5964" t="str">
        <f>CONCATENATE("All figures in ",'General info'!$E$43," ",'General info'!$G$43)</f>
        <v>All figures in INR Lakhs</v>
      </c>
      <c r="U269" s="5582"/>
      <c r="V269" s="5292"/>
    </row>
    <row r="270" spans="2:24" ht="15.75" thickBot="1" x14ac:dyDescent="0.3">
      <c r="B270" s="499"/>
      <c r="C270" s="499"/>
      <c r="D270" s="502"/>
      <c r="E270" s="499"/>
      <c r="F270" s="499"/>
      <c r="G270" s="499"/>
      <c r="H270" s="499"/>
      <c r="I270" s="499"/>
      <c r="J270" s="499"/>
      <c r="K270" s="966"/>
      <c r="L270" s="966"/>
      <c r="M270" s="966"/>
      <c r="N270" s="966"/>
      <c r="O270" s="966"/>
      <c r="P270" s="966"/>
      <c r="Q270" s="966"/>
      <c r="R270" s="966"/>
      <c r="S270" s="966"/>
      <c r="T270" s="966"/>
      <c r="U270" s="502"/>
    </row>
    <row r="271" spans="2:24" x14ac:dyDescent="0.25">
      <c r="B271" s="499"/>
      <c r="C271" s="1560" t="s">
        <v>3373</v>
      </c>
      <c r="D271" s="1561" t="s">
        <v>4</v>
      </c>
      <c r="E271" s="1562" t="str">
        <f>E$97</f>
        <v xml:space="preserve">2009 </v>
      </c>
      <c r="F271" s="1562" t="str">
        <f t="shared" ref="F271:T271" si="118">F$97</f>
        <v>2010  (A)</v>
      </c>
      <c r="G271" s="1562" t="str">
        <f t="shared" si="118"/>
        <v>2011  (A)</v>
      </c>
      <c r="H271" s="1562" t="str">
        <f t="shared" si="118"/>
        <v>2012  (A)</v>
      </c>
      <c r="I271" s="1562" t="str">
        <f t="shared" si="118"/>
        <v>2013  (RE)</v>
      </c>
      <c r="J271" s="1562" t="str">
        <f t="shared" si="118"/>
        <v>2014 (BE)</v>
      </c>
      <c r="K271" s="1561">
        <f t="shared" si="118"/>
        <v>2015</v>
      </c>
      <c r="L271" s="1561">
        <f t="shared" si="118"/>
        <v>2016</v>
      </c>
      <c r="M271" s="1561">
        <f t="shared" si="118"/>
        <v>2017</v>
      </c>
      <c r="N271" s="1561">
        <f t="shared" si="118"/>
        <v>2018</v>
      </c>
      <c r="O271" s="1561">
        <f t="shared" si="118"/>
        <v>2019</v>
      </c>
      <c r="P271" s="1561">
        <f t="shared" si="118"/>
        <v>2020</v>
      </c>
      <c r="Q271" s="1561">
        <f t="shared" si="118"/>
        <v>2021</v>
      </c>
      <c r="R271" s="1561">
        <f t="shared" si="118"/>
        <v>2022</v>
      </c>
      <c r="S271" s="1561">
        <f t="shared" si="118"/>
        <v>2023</v>
      </c>
      <c r="T271" s="1563">
        <f t="shared" si="118"/>
        <v>2024</v>
      </c>
      <c r="U271" s="502"/>
    </row>
    <row r="272" spans="2:24" s="728" customFormat="1" x14ac:dyDescent="0.25">
      <c r="B272" s="1023"/>
      <c r="C272" s="1029"/>
      <c r="D272" s="1024" t="s">
        <v>145</v>
      </c>
      <c r="E272" s="5285">
        <f>'Finance info'!E142</f>
        <v>0</v>
      </c>
      <c r="F272" s="5285">
        <f>'Finance info'!F142</f>
        <v>0</v>
      </c>
      <c r="G272" s="5285">
        <f>'Finance info'!G142</f>
        <v>0</v>
      </c>
      <c r="H272" s="5285">
        <f>'Finance info'!H142</f>
        <v>0</v>
      </c>
      <c r="I272" s="5285">
        <f>'Finance info'!I142</f>
        <v>0</v>
      </c>
      <c r="J272" s="5285">
        <f>'Finance info'!J142</f>
        <v>0</v>
      </c>
      <c r="K272" s="5286">
        <f t="shared" ref="K272:T272" si="119">J298</f>
        <v>0</v>
      </c>
      <c r="L272" s="5286">
        <f t="shared" ca="1" si="119"/>
        <v>-71.087529068870936</v>
      </c>
      <c r="M272" s="5286">
        <f t="shared" ca="1" si="119"/>
        <v>-152.64098791008269</v>
      </c>
      <c r="N272" s="5286">
        <f t="shared" ca="1" si="119"/>
        <v>-193.77015077195324</v>
      </c>
      <c r="O272" s="5286">
        <f t="shared" ca="1" si="119"/>
        <v>-193.46160941369135</v>
      </c>
      <c r="P272" s="5286">
        <f t="shared" ca="1" si="119"/>
        <v>-188.15361206466014</v>
      </c>
      <c r="Q272" s="5286">
        <f t="shared" ca="1" si="119"/>
        <v>-362.86880881356592</v>
      </c>
      <c r="R272" s="5286">
        <f t="shared" ca="1" si="119"/>
        <v>-543.3668525272335</v>
      </c>
      <c r="S272" s="5286">
        <f t="shared" ca="1" si="119"/>
        <v>-730.19820033398878</v>
      </c>
      <c r="T272" s="5287">
        <f t="shared" ca="1" si="119"/>
        <v>-924.00361770324685</v>
      </c>
      <c r="U272" s="500"/>
    </row>
    <row r="273" spans="2:23" ht="15.75" x14ac:dyDescent="0.25">
      <c r="B273" s="499"/>
      <c r="C273" s="1027"/>
      <c r="D273" s="1420" t="s">
        <v>1083</v>
      </c>
      <c r="E273" s="1069"/>
      <c r="F273" s="1069"/>
      <c r="G273" s="1069"/>
      <c r="H273" s="1069"/>
      <c r="I273" s="1069"/>
      <c r="J273" s="1069"/>
      <c r="K273" s="914"/>
      <c r="L273" s="914"/>
      <c r="M273" s="914"/>
      <c r="N273" s="914"/>
      <c r="O273" s="914"/>
      <c r="P273" s="914"/>
      <c r="Q273" s="914"/>
      <c r="R273" s="914"/>
      <c r="S273" s="914"/>
      <c r="T273" s="1028"/>
      <c r="U273" s="502"/>
    </row>
    <row r="274" spans="2:23" x14ac:dyDescent="0.25">
      <c r="B274" s="499"/>
      <c r="C274" s="5294"/>
      <c r="D274" s="5262" t="s">
        <v>3863</v>
      </c>
      <c r="E274" s="1070"/>
      <c r="F274" s="1070"/>
      <c r="G274" s="1070"/>
      <c r="H274" s="1070"/>
      <c r="I274" s="1070"/>
      <c r="J274" s="1070"/>
      <c r="K274" s="5295"/>
      <c r="L274" s="5295"/>
      <c r="M274" s="5295"/>
      <c r="N274" s="5295"/>
      <c r="O274" s="5295"/>
      <c r="P274" s="5295"/>
      <c r="Q274" s="5295"/>
      <c r="R274" s="5295"/>
      <c r="S274" s="5295"/>
      <c r="T274" s="5296"/>
      <c r="U274" s="502"/>
    </row>
    <row r="275" spans="2:23" x14ac:dyDescent="0.25">
      <c r="B275" s="499"/>
      <c r="C275" s="1061">
        <v>1</v>
      </c>
      <c r="D275" s="5261" t="s">
        <v>191</v>
      </c>
      <c r="E275" s="1416">
        <f t="shared" ref="E275:I275" si="120">E44</f>
        <v>0</v>
      </c>
      <c r="F275" s="1416">
        <f t="shared" si="120"/>
        <v>0</v>
      </c>
      <c r="G275" s="1416">
        <f t="shared" si="120"/>
        <v>0</v>
      </c>
      <c r="H275" s="1416">
        <f t="shared" si="120"/>
        <v>0</v>
      </c>
      <c r="I275" s="1416">
        <f t="shared" si="120"/>
        <v>0</v>
      </c>
      <c r="J275" s="1416">
        <f>J44</f>
        <v>0</v>
      </c>
      <c r="K275" s="5608">
        <f t="shared" ref="K275:T275" si="121">K44</f>
        <v>1.4133333333333336</v>
      </c>
      <c r="L275" s="5608">
        <f t="shared" si="121"/>
        <v>1.4345333333333334</v>
      </c>
      <c r="M275" s="5608">
        <f t="shared" si="121"/>
        <v>1.4563693333333336</v>
      </c>
      <c r="N275" s="5608">
        <f t="shared" si="121"/>
        <v>18.845451697666668</v>
      </c>
      <c r="O275" s="5608">
        <f t="shared" si="121"/>
        <v>19.114907248596666</v>
      </c>
      <c r="P275" s="5608">
        <f t="shared" si="121"/>
        <v>0</v>
      </c>
      <c r="Q275" s="5608">
        <f t="shared" si="121"/>
        <v>0</v>
      </c>
      <c r="R275" s="5608">
        <f t="shared" si="121"/>
        <v>0</v>
      </c>
      <c r="S275" s="5608">
        <f t="shared" si="121"/>
        <v>0</v>
      </c>
      <c r="T275" s="1063">
        <f t="shared" si="121"/>
        <v>0</v>
      </c>
      <c r="U275" s="502"/>
      <c r="V275" s="1068"/>
      <c r="W275" s="1068"/>
    </row>
    <row r="276" spans="2:23" x14ac:dyDescent="0.25">
      <c r="B276" s="499"/>
      <c r="C276" s="1064">
        <v>2</v>
      </c>
      <c r="D276" s="5264" t="s">
        <v>190</v>
      </c>
      <c r="E276" s="1417">
        <f t="shared" ref="E276:I276" si="122">E48</f>
        <v>55.488790000000002</v>
      </c>
      <c r="F276" s="1417">
        <f t="shared" si="122"/>
        <v>68.531319999999994</v>
      </c>
      <c r="G276" s="1417">
        <f t="shared" si="122"/>
        <v>84.86090999999999</v>
      </c>
      <c r="H276" s="1417">
        <f t="shared" si="122"/>
        <v>111.61520000000002</v>
      </c>
      <c r="I276" s="1417">
        <f t="shared" si="122"/>
        <v>121.2</v>
      </c>
      <c r="J276" s="1417">
        <f>J48</f>
        <v>108</v>
      </c>
      <c r="K276" s="5609">
        <f t="shared" ref="K276:T276" si="123">K48</f>
        <v>131.72021256666667</v>
      </c>
      <c r="L276" s="5609">
        <f t="shared" si="123"/>
        <v>152.56697319500003</v>
      </c>
      <c r="M276" s="5609">
        <f t="shared" si="123"/>
        <v>166.61095310475005</v>
      </c>
      <c r="N276" s="5609">
        <f t="shared" si="123"/>
        <v>174.94150075998755</v>
      </c>
      <c r="O276" s="5609">
        <f t="shared" si="123"/>
        <v>183.68857579798697</v>
      </c>
      <c r="P276" s="5609">
        <f t="shared" si="123"/>
        <v>192.8730045878863</v>
      </c>
      <c r="Q276" s="5609">
        <f t="shared" si="123"/>
        <v>202.51665481728062</v>
      </c>
      <c r="R276" s="5609">
        <f t="shared" si="123"/>
        <v>212.64248755814467</v>
      </c>
      <c r="S276" s="5609">
        <f t="shared" si="123"/>
        <v>223.27461193605191</v>
      </c>
      <c r="T276" s="1066">
        <f t="shared" si="123"/>
        <v>234.43834253285451</v>
      </c>
      <c r="U276" s="502"/>
    </row>
    <row r="277" spans="2:23" s="1060" customFormat="1" x14ac:dyDescent="0.25">
      <c r="B277" s="1059"/>
      <c r="C277" s="5297"/>
      <c r="D277" s="5263" t="s">
        <v>2075</v>
      </c>
      <c r="E277" s="1418">
        <f t="shared" ref="E277:I277" si="124">E275-E276</f>
        <v>-55.488790000000002</v>
      </c>
      <c r="F277" s="1418">
        <f t="shared" si="124"/>
        <v>-68.531319999999994</v>
      </c>
      <c r="G277" s="1418">
        <f t="shared" si="124"/>
        <v>-84.86090999999999</v>
      </c>
      <c r="H277" s="1418">
        <f t="shared" si="124"/>
        <v>-111.61520000000002</v>
      </c>
      <c r="I277" s="1418">
        <f t="shared" si="124"/>
        <v>-121.2</v>
      </c>
      <c r="J277" s="1418">
        <f t="shared" ref="J277:T277" si="125">J275-J276</f>
        <v>-108</v>
      </c>
      <c r="K277" s="5610">
        <f t="shared" si="125"/>
        <v>-130.30687923333335</v>
      </c>
      <c r="L277" s="5610">
        <f t="shared" si="125"/>
        <v>-151.13243986166671</v>
      </c>
      <c r="M277" s="5610">
        <f t="shared" si="125"/>
        <v>-165.15458377141672</v>
      </c>
      <c r="N277" s="5610">
        <f t="shared" si="125"/>
        <v>-156.09604906232087</v>
      </c>
      <c r="O277" s="5610">
        <f t="shared" si="125"/>
        <v>-164.57366854939031</v>
      </c>
      <c r="P277" s="5610">
        <f t="shared" si="125"/>
        <v>-192.8730045878863</v>
      </c>
      <c r="Q277" s="5610">
        <f t="shared" si="125"/>
        <v>-202.51665481728062</v>
      </c>
      <c r="R277" s="5610">
        <f t="shared" si="125"/>
        <v>-212.64248755814467</v>
      </c>
      <c r="S277" s="5610">
        <f t="shared" si="125"/>
        <v>-223.27461193605191</v>
      </c>
      <c r="T277" s="5299">
        <f t="shared" si="125"/>
        <v>-234.43834253285451</v>
      </c>
      <c r="U277" s="5583"/>
    </row>
    <row r="278" spans="2:23" x14ac:dyDescent="0.25">
      <c r="B278" s="499"/>
      <c r="C278" s="5294"/>
      <c r="D278" s="5262" t="s">
        <v>3602</v>
      </c>
      <c r="E278" s="1070"/>
      <c r="F278" s="1070"/>
      <c r="G278" s="1070"/>
      <c r="H278" s="1070"/>
      <c r="I278" s="1070"/>
      <c r="J278" s="1070"/>
      <c r="K278" s="5295"/>
      <c r="L278" s="5295"/>
      <c r="M278" s="5295"/>
      <c r="N278" s="5295"/>
      <c r="O278" s="5295"/>
      <c r="P278" s="5295"/>
      <c r="Q278" s="5295"/>
      <c r="R278" s="5295"/>
      <c r="S278" s="5295"/>
      <c r="T278" s="5296"/>
      <c r="U278" s="502"/>
    </row>
    <row r="279" spans="2:23" x14ac:dyDescent="0.25">
      <c r="B279" s="499"/>
      <c r="C279" s="1061">
        <v>3</v>
      </c>
      <c r="D279" s="5261" t="s">
        <v>191</v>
      </c>
      <c r="E279" s="1416">
        <f t="shared" ref="E279:I279" si="126">E84</f>
        <v>0</v>
      </c>
      <c r="F279" s="1416">
        <f t="shared" si="126"/>
        <v>759.99063500000011</v>
      </c>
      <c r="G279" s="1416">
        <f t="shared" si="126"/>
        <v>807.48027500000012</v>
      </c>
      <c r="H279" s="1416">
        <f t="shared" si="126"/>
        <v>1001.9959299999999</v>
      </c>
      <c r="I279" s="1416">
        <f t="shared" si="126"/>
        <v>1388.9668499999998</v>
      </c>
      <c r="J279" s="1416">
        <f>J84</f>
        <v>1403.942</v>
      </c>
      <c r="K279" s="1062">
        <f t="shared" ref="K279:T279" si="127">K84</f>
        <v>951.08998933549185</v>
      </c>
      <c r="L279" s="1062">
        <f t="shared" si="127"/>
        <v>972.55890127004636</v>
      </c>
      <c r="M279" s="1062">
        <f t="shared" si="127"/>
        <v>1012.3960302356001</v>
      </c>
      <c r="N279" s="1062">
        <f t="shared" si="127"/>
        <v>1058.5206296844885</v>
      </c>
      <c r="O279" s="1062">
        <f t="shared" si="127"/>
        <v>1108.1938654978005</v>
      </c>
      <c r="P279" s="1062">
        <f t="shared" si="127"/>
        <v>1160.4893023576205</v>
      </c>
      <c r="Q279" s="1062">
        <f t="shared" si="127"/>
        <v>1215.1513120803172</v>
      </c>
      <c r="R279" s="1062">
        <f t="shared" si="127"/>
        <v>1272.1227155401864</v>
      </c>
      <c r="S279" s="1062">
        <f t="shared" si="127"/>
        <v>1331.451789312104</v>
      </c>
      <c r="T279" s="1063">
        <f t="shared" si="127"/>
        <v>1393.2228083875889</v>
      </c>
      <c r="U279" s="502"/>
      <c r="V279" s="1068"/>
      <c r="W279" s="1068"/>
    </row>
    <row r="280" spans="2:23" x14ac:dyDescent="0.25">
      <c r="B280" s="499"/>
      <c r="C280" s="1064">
        <v>4</v>
      </c>
      <c r="D280" s="5264" t="s">
        <v>190</v>
      </c>
      <c r="E280" s="1417">
        <f t="shared" ref="E280:I280" si="128">E86</f>
        <v>-55.488790000000002</v>
      </c>
      <c r="F280" s="1417">
        <f t="shared" si="128"/>
        <v>733.59835999999996</v>
      </c>
      <c r="G280" s="1417">
        <f t="shared" si="128"/>
        <v>639.84931999999992</v>
      </c>
      <c r="H280" s="1417">
        <f t="shared" si="128"/>
        <v>806.71525999999994</v>
      </c>
      <c r="I280" s="1417">
        <f t="shared" si="128"/>
        <v>1048.1414</v>
      </c>
      <c r="J280" s="1417">
        <f>J86</f>
        <v>1212.70433</v>
      </c>
      <c r="K280" s="1065">
        <f t="shared" ref="K280:T280" si="129">K86</f>
        <v>920.3439725043628</v>
      </c>
      <c r="L280" s="1065">
        <f t="shared" si="129"/>
        <v>960.795586916258</v>
      </c>
      <c r="M280" s="1065">
        <f t="shared" si="129"/>
        <v>1003.1277526593872</v>
      </c>
      <c r="N280" s="1065">
        <f t="shared" si="129"/>
        <v>1047.4306399239058</v>
      </c>
      <c r="O280" s="1065">
        <f t="shared" si="129"/>
        <v>1093.7988223055791</v>
      </c>
      <c r="P280" s="1065">
        <f t="shared" si="129"/>
        <v>1142.3314945186401</v>
      </c>
      <c r="Q280" s="1065">
        <f t="shared" si="129"/>
        <v>1193.1327009767042</v>
      </c>
      <c r="R280" s="1065">
        <f t="shared" si="129"/>
        <v>1246.311575788797</v>
      </c>
      <c r="S280" s="1065">
        <f t="shared" si="129"/>
        <v>1301.9825947453101</v>
      </c>
      <c r="T280" s="1066">
        <f t="shared" si="129"/>
        <v>1360.2658398978642</v>
      </c>
      <c r="U280" s="502"/>
    </row>
    <row r="281" spans="2:23" s="1060" customFormat="1" x14ac:dyDescent="0.25">
      <c r="B281" s="1059"/>
      <c r="C281" s="5297"/>
      <c r="D281" s="5263" t="s">
        <v>2075</v>
      </c>
      <c r="E281" s="1418">
        <f t="shared" ref="E281:I281" si="130">E279-E280</f>
        <v>55.488790000000002</v>
      </c>
      <c r="F281" s="1418">
        <f t="shared" si="130"/>
        <v>26.392275000000154</v>
      </c>
      <c r="G281" s="1418">
        <f t="shared" si="130"/>
        <v>167.6309550000002</v>
      </c>
      <c r="H281" s="1418">
        <f t="shared" si="130"/>
        <v>195.28066999999999</v>
      </c>
      <c r="I281" s="1418">
        <f t="shared" si="130"/>
        <v>340.82544999999982</v>
      </c>
      <c r="J281" s="1418">
        <f t="shared" ref="J281:T281" si="131">J279-J280</f>
        <v>191.23766999999998</v>
      </c>
      <c r="K281" s="5298">
        <f t="shared" si="131"/>
        <v>30.746016831129054</v>
      </c>
      <c r="L281" s="5298">
        <f t="shared" si="131"/>
        <v>11.76331435378836</v>
      </c>
      <c r="M281" s="5298">
        <f t="shared" si="131"/>
        <v>9.2682775762128813</v>
      </c>
      <c r="N281" s="5298">
        <f t="shared" si="131"/>
        <v>11.089989760582739</v>
      </c>
      <c r="O281" s="5298">
        <f t="shared" si="131"/>
        <v>14.395043192221465</v>
      </c>
      <c r="P281" s="5298">
        <f t="shared" si="131"/>
        <v>18.157807838980489</v>
      </c>
      <c r="Q281" s="5298">
        <f t="shared" si="131"/>
        <v>22.018611103613011</v>
      </c>
      <c r="R281" s="5298">
        <f t="shared" si="131"/>
        <v>25.811139751389419</v>
      </c>
      <c r="S281" s="5298">
        <f t="shared" si="131"/>
        <v>29.469194566793931</v>
      </c>
      <c r="T281" s="5299">
        <f t="shared" si="131"/>
        <v>32.956968489724659</v>
      </c>
      <c r="U281" s="5583"/>
    </row>
    <row r="282" spans="2:23" ht="15.75" x14ac:dyDescent="0.25">
      <c r="B282" s="499"/>
      <c r="C282" s="1027"/>
      <c r="D282" s="1420" t="s">
        <v>1084</v>
      </c>
      <c r="E282" s="3174"/>
      <c r="F282" s="3174"/>
      <c r="G282" s="3174"/>
      <c r="H282" s="3174"/>
      <c r="I282" s="3174"/>
      <c r="J282" s="3174"/>
      <c r="K282" s="3174"/>
      <c r="L282" s="3174"/>
      <c r="M282" s="3174"/>
      <c r="N282" s="3174"/>
      <c r="O282" s="3174"/>
      <c r="P282" s="3174"/>
      <c r="Q282" s="3174"/>
      <c r="R282" s="3174"/>
      <c r="S282" s="3174"/>
      <c r="T282" s="1028"/>
      <c r="U282" s="502"/>
    </row>
    <row r="283" spans="2:23" x14ac:dyDescent="0.25">
      <c r="B283" s="499"/>
      <c r="C283" s="5294"/>
      <c r="D283" s="5262" t="str">
        <f>D274</f>
        <v>WSS</v>
      </c>
      <c r="E283" s="1070"/>
      <c r="F283" s="1070"/>
      <c r="G283" s="1070"/>
      <c r="H283" s="1070"/>
      <c r="I283" s="1070"/>
      <c r="J283" s="1070"/>
      <c r="K283" s="5295"/>
      <c r="L283" s="5295"/>
      <c r="M283" s="5295"/>
      <c r="N283" s="5295"/>
      <c r="O283" s="5295"/>
      <c r="P283" s="5295"/>
      <c r="Q283" s="5295"/>
      <c r="R283" s="5295"/>
      <c r="S283" s="5295"/>
      <c r="T283" s="5296"/>
      <c r="U283" s="502"/>
    </row>
    <row r="284" spans="2:23" s="514" customFormat="1" x14ac:dyDescent="0.25">
      <c r="B284" s="501"/>
      <c r="C284" s="1061">
        <v>1</v>
      </c>
      <c r="D284" s="5261" t="s">
        <v>192</v>
      </c>
      <c r="E284" s="1416">
        <f t="shared" ref="E284:I284" si="132">E52</f>
        <v>0</v>
      </c>
      <c r="F284" s="1416">
        <f t="shared" si="132"/>
        <v>0</v>
      </c>
      <c r="G284" s="1416">
        <f t="shared" si="132"/>
        <v>0</v>
      </c>
      <c r="H284" s="1416">
        <f t="shared" si="132"/>
        <v>0</v>
      </c>
      <c r="I284" s="1416">
        <f t="shared" si="132"/>
        <v>0</v>
      </c>
      <c r="J284" s="1416">
        <f>J52</f>
        <v>0</v>
      </c>
      <c r="K284" s="1062">
        <f t="shared" ref="K284:T284" ca="1" si="133">K52</f>
        <v>373.74</v>
      </c>
      <c r="L284" s="1062">
        <f t="shared" ca="1" si="133"/>
        <v>358.87799999999999</v>
      </c>
      <c r="M284" s="1062">
        <f t="shared" ca="1" si="133"/>
        <v>371.63453999999996</v>
      </c>
      <c r="N284" s="1062">
        <f t="shared" ca="1" si="133"/>
        <v>387.50560175999999</v>
      </c>
      <c r="O284" s="1062">
        <f t="shared" ca="1" si="133"/>
        <v>414.63099388320006</v>
      </c>
      <c r="P284" s="1062">
        <f t="shared" ca="1" si="133"/>
        <v>0</v>
      </c>
      <c r="Q284" s="1062">
        <f t="shared" ca="1" si="133"/>
        <v>0</v>
      </c>
      <c r="R284" s="1062">
        <f t="shared" ca="1" si="133"/>
        <v>0</v>
      </c>
      <c r="S284" s="1062">
        <f t="shared" ca="1" si="133"/>
        <v>0</v>
      </c>
      <c r="T284" s="1063">
        <f t="shared" ca="1" si="133"/>
        <v>0</v>
      </c>
      <c r="U284" s="502"/>
      <c r="V284" s="1068"/>
      <c r="W284" s="1068"/>
    </row>
    <row r="285" spans="2:23" s="514" customFormat="1" x14ac:dyDescent="0.25">
      <c r="B285" s="501"/>
      <c r="C285" s="1064">
        <v>2</v>
      </c>
      <c r="D285" s="5264" t="s">
        <v>146</v>
      </c>
      <c r="E285" s="1417">
        <f t="shared" ref="E285:I285" si="134">E56</f>
        <v>0</v>
      </c>
      <c r="F285" s="1417">
        <f t="shared" si="134"/>
        <v>0</v>
      </c>
      <c r="G285" s="1417">
        <f t="shared" si="134"/>
        <v>0</v>
      </c>
      <c r="H285" s="1417">
        <f t="shared" si="134"/>
        <v>0</v>
      </c>
      <c r="I285" s="1417">
        <f t="shared" si="134"/>
        <v>0</v>
      </c>
      <c r="J285" s="1417">
        <f>J56</f>
        <v>0</v>
      </c>
      <c r="K285" s="1065">
        <f t="shared" ref="K285:T285" si="135">K56</f>
        <v>345.26666666666671</v>
      </c>
      <c r="L285" s="1065">
        <f t="shared" si="135"/>
        <v>301.06233333333336</v>
      </c>
      <c r="M285" s="1065">
        <f t="shared" si="135"/>
        <v>256.87739666666664</v>
      </c>
      <c r="N285" s="1065">
        <f t="shared" si="135"/>
        <v>242.19100109999999</v>
      </c>
      <c r="O285" s="1065">
        <f t="shared" si="135"/>
        <v>259.14437117700004</v>
      </c>
      <c r="P285" s="1065">
        <f t="shared" si="135"/>
        <v>0</v>
      </c>
      <c r="Q285" s="1065">
        <f t="shared" si="135"/>
        <v>0</v>
      </c>
      <c r="R285" s="1065">
        <f t="shared" si="135"/>
        <v>0</v>
      </c>
      <c r="S285" s="1065">
        <f t="shared" si="135"/>
        <v>0</v>
      </c>
      <c r="T285" s="1066">
        <f t="shared" si="135"/>
        <v>0</v>
      </c>
      <c r="U285" s="502"/>
    </row>
    <row r="286" spans="2:23" s="1060" customFormat="1" x14ac:dyDescent="0.25">
      <c r="B286" s="1059"/>
      <c r="C286" s="5297"/>
      <c r="D286" s="5263" t="s">
        <v>2075</v>
      </c>
      <c r="E286" s="1418">
        <f t="shared" ref="E286:I286" si="136">E284-E285</f>
        <v>0</v>
      </c>
      <c r="F286" s="1418">
        <f t="shared" si="136"/>
        <v>0</v>
      </c>
      <c r="G286" s="1418">
        <f t="shared" si="136"/>
        <v>0</v>
      </c>
      <c r="H286" s="1418">
        <f t="shared" si="136"/>
        <v>0</v>
      </c>
      <c r="I286" s="1418">
        <f t="shared" si="136"/>
        <v>0</v>
      </c>
      <c r="J286" s="1418">
        <f t="shared" ref="J286" si="137">J284-J285</f>
        <v>0</v>
      </c>
      <c r="K286" s="5298">
        <f ca="1">K284-K285</f>
        <v>28.473333333333301</v>
      </c>
      <c r="L286" s="5298">
        <f t="shared" ref="L286:T286" ca="1" si="138">L284-L285</f>
        <v>57.81566666666663</v>
      </c>
      <c r="M286" s="5298">
        <f t="shared" ca="1" si="138"/>
        <v>114.75714333333332</v>
      </c>
      <c r="N286" s="5298">
        <f t="shared" ca="1" si="138"/>
        <v>145.31460066</v>
      </c>
      <c r="O286" s="5298">
        <f t="shared" ca="1" si="138"/>
        <v>155.48662270620002</v>
      </c>
      <c r="P286" s="5298">
        <f t="shared" ca="1" si="138"/>
        <v>0</v>
      </c>
      <c r="Q286" s="5298">
        <f t="shared" ca="1" si="138"/>
        <v>0</v>
      </c>
      <c r="R286" s="5298">
        <f t="shared" ca="1" si="138"/>
        <v>0</v>
      </c>
      <c r="S286" s="5298">
        <f t="shared" ca="1" si="138"/>
        <v>0</v>
      </c>
      <c r="T286" s="5299">
        <f t="shared" ca="1" si="138"/>
        <v>0</v>
      </c>
      <c r="U286" s="5583"/>
    </row>
    <row r="287" spans="2:23" x14ac:dyDescent="0.25">
      <c r="B287" s="499"/>
      <c r="C287" s="5294"/>
      <c r="D287" s="5262" t="str">
        <f>D278</f>
        <v>Non-WSS</v>
      </c>
      <c r="E287" s="1070"/>
      <c r="F287" s="1070"/>
      <c r="G287" s="1070"/>
      <c r="H287" s="1070"/>
      <c r="I287" s="1070"/>
      <c r="J287" s="1070"/>
      <c r="K287" s="5295"/>
      <c r="L287" s="5295"/>
      <c r="M287" s="5295"/>
      <c r="N287" s="5295"/>
      <c r="O287" s="5295"/>
      <c r="P287" s="5295"/>
      <c r="Q287" s="5295"/>
      <c r="R287" s="5295"/>
      <c r="S287" s="5295"/>
      <c r="T287" s="5296"/>
      <c r="U287" s="502"/>
    </row>
    <row r="288" spans="2:23" s="514" customFormat="1" x14ac:dyDescent="0.25">
      <c r="B288" s="501"/>
      <c r="C288" s="1061">
        <v>3</v>
      </c>
      <c r="D288" s="5261" t="s">
        <v>192</v>
      </c>
      <c r="E288" s="1416">
        <f t="shared" ref="E288:I288" si="139">E88</f>
        <v>0</v>
      </c>
      <c r="F288" s="1416">
        <f t="shared" si="139"/>
        <v>196.53337499999998</v>
      </c>
      <c r="G288" s="1416">
        <f t="shared" si="139"/>
        <v>644.02077500000007</v>
      </c>
      <c r="H288" s="1416">
        <f t="shared" si="139"/>
        <v>128.93708999999998</v>
      </c>
      <c r="I288" s="1416">
        <f t="shared" si="139"/>
        <v>962.6</v>
      </c>
      <c r="J288" s="1416">
        <f>J88</f>
        <v>688.2</v>
      </c>
      <c r="K288" s="1062">
        <f t="shared" ref="K288:T288" si="140">K88</f>
        <v>0</v>
      </c>
      <c r="L288" s="1062">
        <f t="shared" si="140"/>
        <v>0</v>
      </c>
      <c r="M288" s="1062">
        <f t="shared" si="140"/>
        <v>0</v>
      </c>
      <c r="N288" s="1062">
        <f t="shared" si="140"/>
        <v>0</v>
      </c>
      <c r="O288" s="1062">
        <f t="shared" si="140"/>
        <v>0</v>
      </c>
      <c r="P288" s="1062">
        <f t="shared" si="140"/>
        <v>0</v>
      </c>
      <c r="Q288" s="1062">
        <f t="shared" si="140"/>
        <v>0</v>
      </c>
      <c r="R288" s="1062">
        <f t="shared" si="140"/>
        <v>0</v>
      </c>
      <c r="S288" s="1062">
        <f t="shared" si="140"/>
        <v>0</v>
      </c>
      <c r="T288" s="1063">
        <f t="shared" si="140"/>
        <v>0</v>
      </c>
      <c r="U288" s="502"/>
      <c r="V288" s="1068"/>
      <c r="W288" s="1068"/>
    </row>
    <row r="289" spans="2:23" s="514" customFormat="1" x14ac:dyDescent="0.25">
      <c r="B289" s="501"/>
      <c r="C289" s="1064">
        <v>4</v>
      </c>
      <c r="D289" s="5264" t="s">
        <v>146</v>
      </c>
      <c r="E289" s="1417">
        <f t="shared" ref="E289:I289" si="141">E89</f>
        <v>0</v>
      </c>
      <c r="F289" s="1417">
        <f t="shared" si="141"/>
        <v>188.28072999999998</v>
      </c>
      <c r="G289" s="1417">
        <f t="shared" si="141"/>
        <v>958.62439000000006</v>
      </c>
      <c r="H289" s="1417">
        <f t="shared" si="141"/>
        <v>215.00096000000002</v>
      </c>
      <c r="I289" s="1417">
        <f t="shared" si="141"/>
        <v>939.1</v>
      </c>
      <c r="J289" s="1417">
        <f>J89</f>
        <v>471.2</v>
      </c>
      <c r="K289" s="1065">
        <f t="shared" ref="K289:T289" si="142">K89</f>
        <v>0</v>
      </c>
      <c r="L289" s="1065">
        <f t="shared" si="142"/>
        <v>0</v>
      </c>
      <c r="M289" s="1065">
        <f t="shared" si="142"/>
        <v>0</v>
      </c>
      <c r="N289" s="1065">
        <f t="shared" si="142"/>
        <v>0</v>
      </c>
      <c r="O289" s="1065">
        <f t="shared" si="142"/>
        <v>0</v>
      </c>
      <c r="P289" s="1065">
        <f t="shared" si="142"/>
        <v>0</v>
      </c>
      <c r="Q289" s="1065">
        <f t="shared" si="142"/>
        <v>0</v>
      </c>
      <c r="R289" s="1065">
        <f t="shared" si="142"/>
        <v>0</v>
      </c>
      <c r="S289" s="1065">
        <f t="shared" si="142"/>
        <v>0</v>
      </c>
      <c r="T289" s="1066">
        <f t="shared" si="142"/>
        <v>0</v>
      </c>
      <c r="U289" s="502"/>
    </row>
    <row r="290" spans="2:23" s="1060" customFormat="1" x14ac:dyDescent="0.25">
      <c r="B290" s="1059"/>
      <c r="C290" s="5297"/>
      <c r="D290" s="5263" t="s">
        <v>2075</v>
      </c>
      <c r="E290" s="1418">
        <f t="shared" ref="E290:I290" si="143">E288-E289</f>
        <v>0</v>
      </c>
      <c r="F290" s="1418">
        <f t="shared" si="143"/>
        <v>8.2526450000000011</v>
      </c>
      <c r="G290" s="1418">
        <f t="shared" si="143"/>
        <v>-314.60361499999999</v>
      </c>
      <c r="H290" s="1418">
        <f t="shared" si="143"/>
        <v>-86.063870000000037</v>
      </c>
      <c r="I290" s="1418">
        <f t="shared" si="143"/>
        <v>23.5</v>
      </c>
      <c r="J290" s="1418">
        <f t="shared" ref="J290:T290" si="144">J288-J289</f>
        <v>217.00000000000006</v>
      </c>
      <c r="K290" s="5298">
        <f t="shared" si="144"/>
        <v>0</v>
      </c>
      <c r="L290" s="5298">
        <f t="shared" si="144"/>
        <v>0</v>
      </c>
      <c r="M290" s="5298">
        <f t="shared" si="144"/>
        <v>0</v>
      </c>
      <c r="N290" s="5298">
        <f t="shared" si="144"/>
        <v>0</v>
      </c>
      <c r="O290" s="5298">
        <f t="shared" si="144"/>
        <v>0</v>
      </c>
      <c r="P290" s="5298">
        <f t="shared" si="144"/>
        <v>0</v>
      </c>
      <c r="Q290" s="5298">
        <f t="shared" si="144"/>
        <v>0</v>
      </c>
      <c r="R290" s="5298">
        <f t="shared" si="144"/>
        <v>0</v>
      </c>
      <c r="S290" s="5298">
        <f t="shared" si="144"/>
        <v>0</v>
      </c>
      <c r="T290" s="5299">
        <f t="shared" si="144"/>
        <v>0</v>
      </c>
      <c r="U290" s="5583"/>
    </row>
    <row r="291" spans="2:23" ht="15.75" hidden="1" x14ac:dyDescent="0.25">
      <c r="B291" s="499"/>
      <c r="C291" s="1027"/>
      <c r="D291" s="1420" t="s">
        <v>199</v>
      </c>
      <c r="E291" s="1069"/>
      <c r="F291" s="1069"/>
      <c r="G291" s="1069"/>
      <c r="H291" s="1069"/>
      <c r="I291" s="1069"/>
      <c r="J291" s="1069"/>
      <c r="K291" s="914"/>
      <c r="L291" s="914"/>
      <c r="M291" s="914"/>
      <c r="N291" s="914"/>
      <c r="O291" s="914"/>
      <c r="P291" s="914"/>
      <c r="Q291" s="914"/>
      <c r="R291" s="914"/>
      <c r="S291" s="914"/>
      <c r="T291" s="1028"/>
      <c r="U291" s="502"/>
    </row>
    <row r="292" spans="2:23" s="514" customFormat="1" hidden="1" x14ac:dyDescent="0.25">
      <c r="B292" s="501"/>
      <c r="C292" s="1061">
        <v>1</v>
      </c>
      <c r="D292" s="5261" t="s">
        <v>1170</v>
      </c>
      <c r="E292" s="1416">
        <f t="shared" ref="E292:I292" si="145">E265</f>
        <v>0</v>
      </c>
      <c r="F292" s="1416">
        <f t="shared" si="145"/>
        <v>0</v>
      </c>
      <c r="G292" s="1416">
        <f t="shared" si="145"/>
        <v>0</v>
      </c>
      <c r="H292" s="1416">
        <f t="shared" si="145"/>
        <v>0</v>
      </c>
      <c r="I292" s="1416">
        <f t="shared" si="145"/>
        <v>0</v>
      </c>
      <c r="J292" s="1416">
        <f t="shared" ref="J292:T292" si="146">J265</f>
        <v>0</v>
      </c>
      <c r="K292" s="1062">
        <f t="shared" si="146"/>
        <v>0</v>
      </c>
      <c r="L292" s="1062">
        <f t="shared" si="146"/>
        <v>0</v>
      </c>
      <c r="M292" s="1062">
        <f t="shared" si="146"/>
        <v>0</v>
      </c>
      <c r="N292" s="1062">
        <f t="shared" si="146"/>
        <v>0</v>
      </c>
      <c r="O292" s="1062">
        <f t="shared" si="146"/>
        <v>0</v>
      </c>
      <c r="P292" s="1062">
        <f t="shared" si="146"/>
        <v>0</v>
      </c>
      <c r="Q292" s="1062">
        <f t="shared" si="146"/>
        <v>0</v>
      </c>
      <c r="R292" s="1062">
        <f t="shared" si="146"/>
        <v>0</v>
      </c>
      <c r="S292" s="1062">
        <f t="shared" si="146"/>
        <v>0</v>
      </c>
      <c r="T292" s="1063">
        <f t="shared" si="146"/>
        <v>0</v>
      </c>
      <c r="U292" s="502"/>
      <c r="V292" s="1068"/>
      <c r="W292" s="1068"/>
    </row>
    <row r="293" spans="2:23" s="514" customFormat="1" hidden="1" x14ac:dyDescent="0.25">
      <c r="B293" s="501"/>
      <c r="C293" s="1064">
        <v>2</v>
      </c>
      <c r="D293" s="5264" t="s">
        <v>1171</v>
      </c>
      <c r="E293" s="1417">
        <f t="shared" ref="E293:I293" si="147">E266</f>
        <v>0</v>
      </c>
      <c r="F293" s="1417">
        <f t="shared" si="147"/>
        <v>0</v>
      </c>
      <c r="G293" s="1417">
        <f t="shared" si="147"/>
        <v>0</v>
      </c>
      <c r="H293" s="1417">
        <f t="shared" si="147"/>
        <v>0</v>
      </c>
      <c r="I293" s="1417">
        <f t="shared" si="147"/>
        <v>0</v>
      </c>
      <c r="J293" s="1417">
        <f t="shared" ref="J293:T293" si="148">J266</f>
        <v>0</v>
      </c>
      <c r="K293" s="1065">
        <f t="shared" si="148"/>
        <v>0</v>
      </c>
      <c r="L293" s="1065">
        <f t="shared" si="148"/>
        <v>0</v>
      </c>
      <c r="M293" s="1065">
        <f t="shared" si="148"/>
        <v>0</v>
      </c>
      <c r="N293" s="1065">
        <f t="shared" si="148"/>
        <v>0</v>
      </c>
      <c r="O293" s="1065">
        <f t="shared" si="148"/>
        <v>0</v>
      </c>
      <c r="P293" s="1065">
        <f t="shared" si="148"/>
        <v>0</v>
      </c>
      <c r="Q293" s="1065">
        <f t="shared" si="148"/>
        <v>0</v>
      </c>
      <c r="R293" s="1065">
        <f t="shared" si="148"/>
        <v>0</v>
      </c>
      <c r="S293" s="1065">
        <f t="shared" si="148"/>
        <v>0</v>
      </c>
      <c r="T293" s="1066">
        <f t="shared" si="148"/>
        <v>0</v>
      </c>
      <c r="U293" s="502"/>
    </row>
    <row r="294" spans="2:23" s="1060" customFormat="1" hidden="1" x14ac:dyDescent="0.25">
      <c r="B294" s="1059"/>
      <c r="C294" s="5297"/>
      <c r="D294" s="5263" t="s">
        <v>2075</v>
      </c>
      <c r="E294" s="1418">
        <f t="shared" ref="E294:I294" si="149">E292-E293</f>
        <v>0</v>
      </c>
      <c r="F294" s="1418">
        <f t="shared" si="149"/>
        <v>0</v>
      </c>
      <c r="G294" s="1418">
        <f t="shared" si="149"/>
        <v>0</v>
      </c>
      <c r="H294" s="1418">
        <f t="shared" si="149"/>
        <v>0</v>
      </c>
      <c r="I294" s="1418">
        <f t="shared" si="149"/>
        <v>0</v>
      </c>
      <c r="J294" s="1418">
        <f t="shared" ref="J294:T294" si="150">J292-J293</f>
        <v>0</v>
      </c>
      <c r="K294" s="5298">
        <f t="shared" si="150"/>
        <v>0</v>
      </c>
      <c r="L294" s="5298">
        <f t="shared" si="150"/>
        <v>0</v>
      </c>
      <c r="M294" s="5298">
        <f t="shared" si="150"/>
        <v>0</v>
      </c>
      <c r="N294" s="5298">
        <f t="shared" si="150"/>
        <v>0</v>
      </c>
      <c r="O294" s="5298">
        <f t="shared" si="150"/>
        <v>0</v>
      </c>
      <c r="P294" s="5298">
        <f t="shared" si="150"/>
        <v>0</v>
      </c>
      <c r="Q294" s="5298">
        <f t="shared" si="150"/>
        <v>0</v>
      </c>
      <c r="R294" s="5298">
        <f t="shared" si="150"/>
        <v>0</v>
      </c>
      <c r="S294" s="5298">
        <f t="shared" si="150"/>
        <v>0</v>
      </c>
      <c r="T294" s="5299">
        <f t="shared" si="150"/>
        <v>0</v>
      </c>
      <c r="U294" s="5583"/>
    </row>
    <row r="295" spans="2:23" ht="15.75" x14ac:dyDescent="0.25">
      <c r="B295" s="499"/>
      <c r="C295" s="1027"/>
      <c r="D295" s="1420" t="s">
        <v>1882</v>
      </c>
      <c r="E295" s="1069"/>
      <c r="F295" s="1069"/>
      <c r="G295" s="1069"/>
      <c r="H295" s="1069"/>
      <c r="I295" s="1069"/>
      <c r="J295" s="1069"/>
      <c r="K295" s="914"/>
      <c r="L295" s="914"/>
      <c r="M295" s="914"/>
      <c r="N295" s="914"/>
      <c r="O295" s="914"/>
      <c r="P295" s="914"/>
      <c r="Q295" s="914"/>
      <c r="R295" s="914"/>
      <c r="S295" s="914"/>
      <c r="T295" s="1028"/>
      <c r="U295" s="502"/>
    </row>
    <row r="296" spans="2:23" x14ac:dyDescent="0.25">
      <c r="B296" s="499"/>
      <c r="C296" s="1061">
        <v>1</v>
      </c>
      <c r="D296" s="5261" t="s">
        <v>1169</v>
      </c>
      <c r="E296" s="1416">
        <f t="shared" ref="E296:I296" si="151">E275+E279+E284+E288+E292</f>
        <v>0</v>
      </c>
      <c r="F296" s="1416">
        <f t="shared" si="151"/>
        <v>956.52401000000009</v>
      </c>
      <c r="G296" s="1416">
        <f t="shared" si="151"/>
        <v>1451.5010500000003</v>
      </c>
      <c r="H296" s="1416">
        <f t="shared" si="151"/>
        <v>1130.9330199999999</v>
      </c>
      <c r="I296" s="1416">
        <f t="shared" si="151"/>
        <v>2351.5668499999997</v>
      </c>
      <c r="J296" s="1416">
        <f t="shared" ref="J296:T296" si="152">J275+J279+J284+J288+J292</f>
        <v>2092.1419999999998</v>
      </c>
      <c r="K296" s="5300">
        <f t="shared" ca="1" si="152"/>
        <v>1326.2433226688252</v>
      </c>
      <c r="L296" s="5300">
        <f t="shared" ca="1" si="152"/>
        <v>1332.8714346033796</v>
      </c>
      <c r="M296" s="5300">
        <f t="shared" ca="1" si="152"/>
        <v>1385.4869395689334</v>
      </c>
      <c r="N296" s="5300">
        <f t="shared" ca="1" si="152"/>
        <v>1464.8716831421552</v>
      </c>
      <c r="O296" s="5300">
        <f t="shared" ca="1" si="152"/>
        <v>1541.9397666295972</v>
      </c>
      <c r="P296" s="5300">
        <f t="shared" ca="1" si="152"/>
        <v>1160.4893023576205</v>
      </c>
      <c r="Q296" s="5300">
        <f t="shared" ca="1" si="152"/>
        <v>1215.1513120803172</v>
      </c>
      <c r="R296" s="5300">
        <f t="shared" ca="1" si="152"/>
        <v>1272.1227155401864</v>
      </c>
      <c r="S296" s="5300">
        <f t="shared" ca="1" si="152"/>
        <v>1331.451789312104</v>
      </c>
      <c r="T296" s="5301">
        <f t="shared" ca="1" si="152"/>
        <v>1393.2228083875889</v>
      </c>
      <c r="U296" s="502"/>
    </row>
    <row r="297" spans="2:23" x14ac:dyDescent="0.25">
      <c r="B297" s="499"/>
      <c r="C297" s="5302">
        <v>2</v>
      </c>
      <c r="D297" s="5263" t="s">
        <v>147</v>
      </c>
      <c r="E297" s="1418">
        <f t="shared" ref="E297:I297" si="153">E276+E280+E285+E289+E293</f>
        <v>0</v>
      </c>
      <c r="F297" s="1418">
        <f t="shared" si="153"/>
        <v>990.41040999999996</v>
      </c>
      <c r="G297" s="1418">
        <f t="shared" si="153"/>
        <v>1683.3346200000001</v>
      </c>
      <c r="H297" s="1418">
        <f t="shared" si="153"/>
        <v>1133.33142</v>
      </c>
      <c r="I297" s="1418">
        <f t="shared" si="153"/>
        <v>2108.4414000000002</v>
      </c>
      <c r="J297" s="1418">
        <f t="shared" ref="J297:T297" si="154">J276+J280+J285+J289+J293</f>
        <v>1791.9043300000001</v>
      </c>
      <c r="K297" s="5303">
        <f t="shared" si="154"/>
        <v>1397.3308517376961</v>
      </c>
      <c r="L297" s="5303">
        <f t="shared" si="154"/>
        <v>1414.4248934445914</v>
      </c>
      <c r="M297" s="5303">
        <f t="shared" si="154"/>
        <v>1426.6161024308039</v>
      </c>
      <c r="N297" s="5303">
        <f t="shared" si="154"/>
        <v>1464.5631417838933</v>
      </c>
      <c r="O297" s="5303">
        <f t="shared" si="154"/>
        <v>1536.631769280566</v>
      </c>
      <c r="P297" s="5303">
        <f t="shared" si="154"/>
        <v>1335.2044991065263</v>
      </c>
      <c r="Q297" s="5303">
        <f t="shared" si="154"/>
        <v>1395.6493557939848</v>
      </c>
      <c r="R297" s="5303">
        <f t="shared" si="154"/>
        <v>1458.9540633469417</v>
      </c>
      <c r="S297" s="5303">
        <f t="shared" si="154"/>
        <v>1525.257206681362</v>
      </c>
      <c r="T297" s="5304">
        <f t="shared" si="154"/>
        <v>1594.7041824307187</v>
      </c>
      <c r="U297" s="502"/>
    </row>
    <row r="298" spans="2:23" s="728" customFormat="1" ht="15.75" thickBot="1" x14ac:dyDescent="0.3">
      <c r="B298" s="1023"/>
      <c r="C298" s="1030"/>
      <c r="D298" s="1031" t="s">
        <v>480</v>
      </c>
      <c r="E298" s="5288">
        <f t="shared" ref="E298:T298" si="155">E272+E296-E297</f>
        <v>0</v>
      </c>
      <c r="F298" s="5288">
        <f t="shared" si="155"/>
        <v>-33.886399999999867</v>
      </c>
      <c r="G298" s="5288">
        <f t="shared" si="155"/>
        <v>-231.83356999999978</v>
      </c>
      <c r="H298" s="5288">
        <f t="shared" si="155"/>
        <v>-2.3984000000000378</v>
      </c>
      <c r="I298" s="5288">
        <f t="shared" si="155"/>
        <v>243.12544999999955</v>
      </c>
      <c r="J298" s="6145"/>
      <c r="K298" s="5289">
        <f t="shared" ca="1" si="155"/>
        <v>-71.087529068870936</v>
      </c>
      <c r="L298" s="5289">
        <f t="shared" ca="1" si="155"/>
        <v>-152.64098791008269</v>
      </c>
      <c r="M298" s="5289">
        <f t="shared" ca="1" si="155"/>
        <v>-193.77015077195324</v>
      </c>
      <c r="N298" s="5289">
        <f t="shared" ca="1" si="155"/>
        <v>-193.46160941369135</v>
      </c>
      <c r="O298" s="5289">
        <f t="shared" ca="1" si="155"/>
        <v>-188.15361206466014</v>
      </c>
      <c r="P298" s="5289">
        <f t="shared" ca="1" si="155"/>
        <v>-362.86880881356592</v>
      </c>
      <c r="Q298" s="5289">
        <f t="shared" ca="1" si="155"/>
        <v>-543.3668525272335</v>
      </c>
      <c r="R298" s="5289">
        <f t="shared" ca="1" si="155"/>
        <v>-730.19820033398878</v>
      </c>
      <c r="S298" s="5289">
        <f t="shared" ca="1" si="155"/>
        <v>-924.00361770324685</v>
      </c>
      <c r="T298" s="5290">
        <f t="shared" ca="1" si="155"/>
        <v>-1125.4849917463766</v>
      </c>
      <c r="U298" s="500"/>
    </row>
    <row r="299" spans="2:23" x14ac:dyDescent="0.25">
      <c r="B299" s="499"/>
      <c r="C299" s="499"/>
      <c r="D299" s="499"/>
      <c r="E299" s="1067"/>
      <c r="F299" s="1067"/>
      <c r="G299" s="1067"/>
      <c r="H299" s="1067"/>
      <c r="I299" s="1067"/>
      <c r="J299" s="1067"/>
      <c r="K299" s="1067"/>
      <c r="L299" s="1067"/>
      <c r="M299" s="1067"/>
      <c r="N299" s="1067"/>
      <c r="O299" s="1067"/>
      <c r="P299" s="1067"/>
      <c r="Q299" s="1067"/>
      <c r="R299" s="1067"/>
      <c r="S299" s="1067"/>
      <c r="T299" s="1067"/>
      <c r="U299" s="502"/>
    </row>
    <row r="300" spans="2:23" s="474" customFormat="1" hidden="1" x14ac:dyDescent="0.25">
      <c r="B300" s="303"/>
      <c r="C300" s="303"/>
      <c r="D300" s="303"/>
      <c r="E300" s="812"/>
      <c r="F300" s="812"/>
      <c r="G300" s="812"/>
      <c r="H300" s="812"/>
      <c r="I300" s="812"/>
      <c r="J300" s="812"/>
      <c r="K300" s="812"/>
      <c r="L300" s="812"/>
      <c r="M300" s="812"/>
      <c r="N300" s="812"/>
      <c r="O300" s="812"/>
      <c r="P300" s="812"/>
      <c r="Q300" s="812"/>
      <c r="R300" s="812"/>
      <c r="S300" s="303"/>
      <c r="T300" s="303"/>
      <c r="U300" s="422"/>
    </row>
    <row r="301" spans="2:23" s="1410" customFormat="1" hidden="1" x14ac:dyDescent="0.25">
      <c r="B301" s="1407"/>
      <c r="C301" s="1408"/>
      <c r="D301" s="1408"/>
      <c r="E301" s="1409"/>
      <c r="F301" s="1409"/>
      <c r="G301" s="1409"/>
      <c r="H301" s="1409"/>
      <c r="I301" s="1409"/>
      <c r="J301" s="1409"/>
      <c r="K301" s="1409"/>
      <c r="L301" s="1409"/>
      <c r="M301" s="1409"/>
      <c r="N301" s="1409"/>
      <c r="O301" s="1409"/>
      <c r="P301" s="1409"/>
      <c r="Q301" s="1409"/>
      <c r="R301" s="1409"/>
      <c r="S301" s="1408"/>
      <c r="T301" s="1408"/>
      <c r="U301" s="5584"/>
    </row>
    <row r="302" spans="2:23" s="1410" customFormat="1" hidden="1" x14ac:dyDescent="0.25">
      <c r="B302" s="1407"/>
      <c r="C302" s="1408"/>
      <c r="D302" s="1413"/>
      <c r="E302" s="1414"/>
      <c r="F302" s="1414"/>
      <c r="G302" s="1414"/>
      <c r="H302" s="1414"/>
      <c r="I302" s="1414"/>
      <c r="J302" s="1414"/>
      <c r="K302" s="1414"/>
      <c r="L302" s="1414"/>
      <c r="M302" s="1414"/>
      <c r="N302" s="1414"/>
      <c r="O302" s="1414"/>
      <c r="P302" s="1414"/>
      <c r="Q302" s="1414"/>
      <c r="R302" s="1414"/>
      <c r="S302" s="1414"/>
      <c r="T302" s="1414"/>
      <c r="U302" s="5585"/>
    </row>
    <row r="303" spans="2:23" s="1410" customFormat="1" hidden="1" x14ac:dyDescent="0.25">
      <c r="B303" s="1407"/>
      <c r="C303" s="1408"/>
      <c r="D303" s="1413"/>
      <c r="E303" s="1415"/>
      <c r="F303" s="1415"/>
      <c r="G303" s="1415"/>
      <c r="H303" s="1415"/>
      <c r="I303" s="1415"/>
      <c r="J303" s="1415"/>
      <c r="K303" s="1415"/>
      <c r="L303" s="1415"/>
      <c r="M303" s="1415"/>
      <c r="N303" s="1415"/>
      <c r="O303" s="1415"/>
      <c r="P303" s="1415"/>
      <c r="Q303" s="1415"/>
      <c r="R303" s="1415"/>
      <c r="S303" s="1415"/>
      <c r="T303" s="1415"/>
      <c r="U303" s="5585"/>
    </row>
    <row r="304" spans="2:23" s="1410" customFormat="1" hidden="1" x14ac:dyDescent="0.25">
      <c r="B304" s="1407"/>
      <c r="C304" s="1408"/>
      <c r="D304" s="1413"/>
      <c r="E304" s="1414"/>
      <c r="F304" s="1414"/>
      <c r="G304" s="1414"/>
      <c r="H304" s="1414"/>
      <c r="I304" s="1414"/>
      <c r="J304" s="1414"/>
      <c r="K304" s="1414"/>
      <c r="L304" s="1414"/>
      <c r="M304" s="1414"/>
      <c r="N304" s="1414"/>
      <c r="O304" s="1414"/>
      <c r="P304" s="1414"/>
      <c r="Q304" s="1414"/>
      <c r="R304" s="1414"/>
      <c r="S304" s="1414"/>
      <c r="T304" s="1414"/>
      <c r="U304" s="5585"/>
    </row>
    <row r="305" spans="2:22" s="1410" customFormat="1" hidden="1" x14ac:dyDescent="0.25">
      <c r="B305" s="1407"/>
      <c r="C305" s="1408"/>
      <c r="D305" s="1413"/>
      <c r="E305" s="1415"/>
      <c r="F305" s="1415"/>
      <c r="G305" s="1415"/>
      <c r="H305" s="1415"/>
      <c r="I305" s="1415"/>
      <c r="J305" s="1415"/>
      <c r="K305" s="1415"/>
      <c r="L305" s="1415"/>
      <c r="M305" s="1415"/>
      <c r="N305" s="1415"/>
      <c r="O305" s="1415"/>
      <c r="P305" s="1415"/>
      <c r="Q305" s="1415"/>
      <c r="R305" s="1415"/>
      <c r="S305" s="1415"/>
      <c r="T305" s="1415"/>
      <c r="U305" s="5585"/>
    </row>
    <row r="306" spans="2:22" s="1410" customFormat="1" hidden="1" x14ac:dyDescent="0.25">
      <c r="B306" s="1407"/>
      <c r="C306" s="1408"/>
      <c r="D306" s="1413"/>
      <c r="E306" s="1415"/>
      <c r="F306" s="1415"/>
      <c r="G306" s="1415"/>
      <c r="H306" s="1415"/>
      <c r="I306" s="1415"/>
      <c r="J306" s="1415"/>
      <c r="K306" s="1415"/>
      <c r="L306" s="1415"/>
      <c r="M306" s="1415"/>
      <c r="N306" s="1415"/>
      <c r="O306" s="1415"/>
      <c r="P306" s="1415"/>
      <c r="Q306" s="1415"/>
      <c r="R306" s="1415"/>
      <c r="S306" s="1415"/>
      <c r="T306" s="1415"/>
      <c r="U306" s="5585"/>
    </row>
    <row r="307" spans="2:22" s="1410" customFormat="1" hidden="1" x14ac:dyDescent="0.25">
      <c r="B307" s="1407"/>
      <c r="C307" s="1408"/>
      <c r="D307" s="1413"/>
      <c r="E307" s="1415"/>
      <c r="F307" s="1415"/>
      <c r="G307" s="1415"/>
      <c r="H307" s="1415"/>
      <c r="I307" s="1415"/>
      <c r="J307" s="1415"/>
      <c r="K307" s="1415"/>
      <c r="L307" s="1415"/>
      <c r="M307" s="1415"/>
      <c r="N307" s="1415"/>
      <c r="O307" s="1415"/>
      <c r="P307" s="1415"/>
      <c r="Q307" s="1415"/>
      <c r="R307" s="1415"/>
      <c r="S307" s="1415"/>
      <c r="T307" s="1415"/>
      <c r="U307" s="5585"/>
    </row>
    <row r="308" spans="2:22" s="1410" customFormat="1" hidden="1" x14ac:dyDescent="0.25">
      <c r="B308" s="1407"/>
      <c r="C308" s="1408"/>
      <c r="D308" s="1413"/>
      <c r="E308" s="1415"/>
      <c r="F308" s="1415"/>
      <c r="G308" s="1415"/>
      <c r="H308" s="1415"/>
      <c r="I308" s="1415"/>
      <c r="J308" s="1415"/>
      <c r="K308" s="1415"/>
      <c r="L308" s="1415"/>
      <c r="M308" s="1415"/>
      <c r="N308" s="1415"/>
      <c r="O308" s="1415"/>
      <c r="P308" s="1415"/>
      <c r="Q308" s="1415"/>
      <c r="R308" s="1415"/>
      <c r="S308" s="1415"/>
      <c r="T308" s="1415"/>
      <c r="U308" s="5585"/>
    </row>
    <row r="309" spans="2:22" s="1410" customFormat="1" hidden="1" x14ac:dyDescent="0.25">
      <c r="B309" s="1407"/>
      <c r="C309" s="1408"/>
      <c r="D309" s="1413"/>
      <c r="E309" s="1415"/>
      <c r="F309" s="1415"/>
      <c r="G309" s="1415"/>
      <c r="H309" s="1415"/>
      <c r="I309" s="1415"/>
      <c r="J309" s="1415"/>
      <c r="K309" s="1415"/>
      <c r="L309" s="1415"/>
      <c r="M309" s="1415"/>
      <c r="N309" s="1415"/>
      <c r="O309" s="1415"/>
      <c r="P309" s="1415"/>
      <c r="Q309" s="1415"/>
      <c r="R309" s="1415"/>
      <c r="S309" s="1415"/>
      <c r="T309" s="1415"/>
      <c r="U309" s="5585"/>
    </row>
    <row r="310" spans="2:22" s="1410" customFormat="1" hidden="1" x14ac:dyDescent="0.25">
      <c r="B310" s="1407"/>
      <c r="C310" s="1408"/>
      <c r="D310" s="1413"/>
      <c r="E310" s="1415"/>
      <c r="F310" s="1415"/>
      <c r="G310" s="1415"/>
      <c r="H310" s="1415"/>
      <c r="I310" s="1415"/>
      <c r="J310" s="1415"/>
      <c r="K310" s="1415"/>
      <c r="L310" s="1415"/>
      <c r="M310" s="1415"/>
      <c r="N310" s="1415"/>
      <c r="O310" s="1415"/>
      <c r="P310" s="1415"/>
      <c r="Q310" s="1415"/>
      <c r="R310" s="1415"/>
      <c r="S310" s="1415"/>
      <c r="T310" s="1415"/>
      <c r="U310" s="5585"/>
    </row>
    <row r="311" spans="2:22" s="1410" customFormat="1" hidden="1" x14ac:dyDescent="0.25">
      <c r="B311" s="1407"/>
      <c r="C311" s="1408"/>
      <c r="D311" s="1413"/>
      <c r="E311" s="1415"/>
      <c r="F311" s="1415"/>
      <c r="G311" s="1415"/>
      <c r="H311" s="1415"/>
      <c r="I311" s="1415"/>
      <c r="J311" s="1415"/>
      <c r="K311" s="1415"/>
      <c r="L311" s="1415"/>
      <c r="M311" s="1415"/>
      <c r="N311" s="1415"/>
      <c r="O311" s="1415"/>
      <c r="P311" s="1415"/>
      <c r="Q311" s="1415"/>
      <c r="R311" s="1415"/>
      <c r="S311" s="1415"/>
      <c r="T311" s="1415"/>
      <c r="U311" s="5585"/>
    </row>
    <row r="312" spans="2:22" s="1410" customFormat="1" hidden="1" x14ac:dyDescent="0.25">
      <c r="B312" s="1407"/>
      <c r="C312" s="1408"/>
      <c r="D312" s="1413"/>
      <c r="E312" s="1415"/>
      <c r="F312" s="1415"/>
      <c r="G312" s="1415"/>
      <c r="H312" s="1415"/>
      <c r="I312" s="1415"/>
      <c r="J312" s="1415"/>
      <c r="K312" s="1415"/>
      <c r="L312" s="1415"/>
      <c r="M312" s="1415"/>
      <c r="N312" s="1415"/>
      <c r="O312" s="1415"/>
      <c r="P312" s="1415"/>
      <c r="Q312" s="1415"/>
      <c r="R312" s="1415"/>
      <c r="S312" s="1415"/>
      <c r="T312" s="1415"/>
      <c r="U312" s="5585"/>
    </row>
    <row r="313" spans="2:22" s="1410" customFormat="1" hidden="1" x14ac:dyDescent="0.25">
      <c r="B313" s="1407"/>
      <c r="C313" s="1408"/>
      <c r="D313" s="1413"/>
      <c r="E313" s="1415"/>
      <c r="F313" s="1415"/>
      <c r="G313" s="1415"/>
      <c r="H313" s="1415"/>
      <c r="I313" s="1415"/>
      <c r="J313" s="1415"/>
      <c r="K313" s="1415"/>
      <c r="L313" s="1415"/>
      <c r="M313" s="1415"/>
      <c r="N313" s="1415"/>
      <c r="O313" s="1415"/>
      <c r="P313" s="1415"/>
      <c r="Q313" s="1415"/>
      <c r="R313" s="1415"/>
      <c r="S313" s="1415"/>
      <c r="T313" s="1415"/>
      <c r="U313" s="5585"/>
    </row>
    <row r="314" spans="2:22" s="1410" customFormat="1" hidden="1" x14ac:dyDescent="0.25">
      <c r="B314" s="1407"/>
      <c r="C314" s="1408"/>
      <c r="D314" s="1411"/>
      <c r="E314" s="1412"/>
      <c r="F314" s="1412"/>
      <c r="G314" s="1412"/>
      <c r="H314" s="1412"/>
      <c r="I314" s="1412"/>
      <c r="J314" s="1412"/>
      <c r="K314" s="1412"/>
      <c r="L314" s="1412"/>
      <c r="M314" s="1412"/>
      <c r="N314" s="1412"/>
      <c r="O314" s="1412"/>
      <c r="P314" s="1412"/>
      <c r="Q314" s="1412"/>
      <c r="R314" s="1412"/>
      <c r="S314" s="1412"/>
      <c r="T314" s="1412"/>
      <c r="U314" s="5585"/>
    </row>
    <row r="315" spans="2:22" s="1410" customFormat="1" hidden="1" x14ac:dyDescent="0.25">
      <c r="B315" s="1407"/>
      <c r="C315" s="1408"/>
      <c r="D315" s="1411"/>
      <c r="E315" s="1412"/>
      <c r="F315" s="1412"/>
      <c r="G315" s="1412"/>
      <c r="H315" s="1412"/>
      <c r="I315" s="1412"/>
      <c r="J315" s="1412"/>
      <c r="K315" s="1412"/>
      <c r="L315" s="1412"/>
      <c r="M315" s="1412"/>
      <c r="N315" s="1412"/>
      <c r="O315" s="1412"/>
      <c r="P315" s="1412"/>
      <c r="Q315" s="1412"/>
      <c r="R315" s="1412"/>
      <c r="S315" s="1412"/>
      <c r="T315" s="1412"/>
      <c r="U315" s="5585"/>
    </row>
    <row r="316" spans="2:22" s="1410" customFormat="1" hidden="1" x14ac:dyDescent="0.25">
      <c r="B316" s="1407"/>
      <c r="C316" s="1408"/>
      <c r="D316" s="1411"/>
      <c r="E316" s="1412"/>
      <c r="F316" s="1412"/>
      <c r="G316" s="1412"/>
      <c r="H316" s="1412"/>
      <c r="I316" s="1412"/>
      <c r="J316" s="1412"/>
      <c r="K316" s="1412"/>
      <c r="L316" s="1412"/>
      <c r="M316" s="1412"/>
      <c r="N316" s="1412"/>
      <c r="O316" s="1412"/>
      <c r="P316" s="1412"/>
      <c r="Q316" s="1412"/>
      <c r="R316" s="1412"/>
      <c r="S316" s="1412"/>
      <c r="T316" s="1412"/>
      <c r="U316" s="5585"/>
    </row>
    <row r="317" spans="2:22" hidden="1" x14ac:dyDescent="0.25">
      <c r="B317" s="499"/>
      <c r="C317" s="303"/>
      <c r="D317" s="303"/>
      <c r="E317" s="812"/>
      <c r="F317" s="812"/>
      <c r="G317" s="812"/>
      <c r="H317" s="812"/>
      <c r="I317" s="812"/>
      <c r="J317" s="812"/>
      <c r="K317" s="812"/>
      <c r="L317" s="812"/>
      <c r="M317" s="812"/>
      <c r="N317" s="812"/>
      <c r="O317" s="812"/>
      <c r="P317" s="812"/>
      <c r="Q317" s="812"/>
      <c r="R317" s="812"/>
      <c r="S317" s="303"/>
      <c r="T317" s="303"/>
      <c r="U317" s="502"/>
    </row>
    <row r="318" spans="2:22" s="1026" customFormat="1" ht="28.5" hidden="1" x14ac:dyDescent="0.25">
      <c r="B318" s="1390"/>
      <c r="C318" s="1392" t="s">
        <v>150</v>
      </c>
      <c r="D318" s="1392" t="s">
        <v>1006</v>
      </c>
      <c r="E318" s="1391"/>
      <c r="F318" s="1391"/>
      <c r="G318" s="1391"/>
      <c r="H318" s="1391"/>
      <c r="I318" s="1391"/>
      <c r="J318" s="1391"/>
      <c r="K318" s="1391"/>
      <c r="L318" s="1391"/>
      <c r="M318" s="1391"/>
      <c r="N318" s="1391"/>
      <c r="O318" s="1391"/>
      <c r="P318" s="1391"/>
      <c r="Q318" s="1391"/>
      <c r="R318" s="1391"/>
      <c r="S318" s="1391"/>
      <c r="T318" s="1391"/>
      <c r="U318" s="5579"/>
      <c r="V318" s="1025"/>
    </row>
    <row r="319" spans="2:22" hidden="1" x14ac:dyDescent="0.25">
      <c r="B319" s="499"/>
      <c r="C319" s="499"/>
      <c r="D319" s="499"/>
      <c r="E319" s="499"/>
      <c r="F319" s="499"/>
      <c r="G319" s="499"/>
      <c r="H319" s="499"/>
      <c r="I319" s="499"/>
      <c r="J319" s="499"/>
      <c r="K319" s="499"/>
      <c r="L319" s="499"/>
      <c r="M319" s="499"/>
      <c r="N319" s="499"/>
      <c r="O319" s="499"/>
      <c r="P319" s="499"/>
      <c r="Q319" s="499"/>
      <c r="R319" s="499"/>
      <c r="S319" s="499"/>
      <c r="T319" s="499"/>
      <c r="U319" s="502"/>
      <c r="V319" s="1025"/>
    </row>
    <row r="320" spans="2:22" hidden="1" x14ac:dyDescent="0.25">
      <c r="B320" s="499"/>
      <c r="C320" s="1421" t="s">
        <v>3373</v>
      </c>
      <c r="D320" s="1422" t="s">
        <v>4</v>
      </c>
      <c r="E320" s="1423" t="str">
        <f>E$97</f>
        <v xml:space="preserve">2009 </v>
      </c>
      <c r="F320" s="1423" t="str">
        <f t="shared" ref="F320:T320" si="156">F$97</f>
        <v>2010  (A)</v>
      </c>
      <c r="G320" s="1423" t="str">
        <f t="shared" si="156"/>
        <v>2011  (A)</v>
      </c>
      <c r="H320" s="1423" t="str">
        <f t="shared" si="156"/>
        <v>2012  (A)</v>
      </c>
      <c r="I320" s="1423" t="str">
        <f t="shared" si="156"/>
        <v>2013  (RE)</v>
      </c>
      <c r="J320" s="1423" t="str">
        <f t="shared" si="156"/>
        <v>2014 (BE)</v>
      </c>
      <c r="K320" s="337">
        <f t="shared" si="156"/>
        <v>2015</v>
      </c>
      <c r="L320" s="337">
        <f t="shared" si="156"/>
        <v>2016</v>
      </c>
      <c r="M320" s="337">
        <f t="shared" si="156"/>
        <v>2017</v>
      </c>
      <c r="N320" s="337">
        <f t="shared" si="156"/>
        <v>2018</v>
      </c>
      <c r="O320" s="337">
        <f t="shared" si="156"/>
        <v>2019</v>
      </c>
      <c r="P320" s="337">
        <f t="shared" si="156"/>
        <v>2020</v>
      </c>
      <c r="Q320" s="337">
        <f t="shared" si="156"/>
        <v>2021</v>
      </c>
      <c r="R320" s="337">
        <f t="shared" si="156"/>
        <v>2022</v>
      </c>
      <c r="S320" s="337">
        <f t="shared" si="156"/>
        <v>2023</v>
      </c>
      <c r="T320" s="1424">
        <f t="shared" si="156"/>
        <v>2024</v>
      </c>
      <c r="U320" s="502"/>
      <c r="V320" s="1025"/>
    </row>
    <row r="321" spans="2:22" ht="18" hidden="1" customHeight="1" x14ac:dyDescent="0.25">
      <c r="B321" s="499"/>
      <c r="C321" s="916" t="s">
        <v>1</v>
      </c>
      <c r="D321" s="1420" t="s">
        <v>992</v>
      </c>
      <c r="E321" s="1069"/>
      <c r="F321" s="1069"/>
      <c r="G321" s="1069"/>
      <c r="H321" s="1069"/>
      <c r="I321" s="1069"/>
      <c r="J321" s="1069"/>
      <c r="K321" s="914"/>
      <c r="L321" s="914"/>
      <c r="M321" s="914"/>
      <c r="N321" s="914"/>
      <c r="O321" s="914"/>
      <c r="P321" s="914"/>
      <c r="Q321" s="914"/>
      <c r="R321" s="914"/>
      <c r="S321" s="914"/>
      <c r="T321" s="915"/>
      <c r="U321" s="502"/>
      <c r="V321" s="1025"/>
    </row>
    <row r="322" spans="2:22" ht="31.5" hidden="1" customHeight="1" x14ac:dyDescent="0.25">
      <c r="B322" s="499"/>
      <c r="C322" s="965">
        <v>1</v>
      </c>
      <c r="D322" s="1555" t="s">
        <v>1885</v>
      </c>
      <c r="E322" s="1566">
        <f>IFERROR((E276+E280)/(E275+E279),0)</f>
        <v>0</v>
      </c>
      <c r="F322" s="1566">
        <f t="shared" ref="F322:T322" si="157">IFERROR((F276+F280)/(F275+F279),0)</f>
        <v>1.0554467950779418</v>
      </c>
      <c r="G322" s="1566">
        <f t="shared" si="157"/>
        <v>0.89749589239192229</v>
      </c>
      <c r="H322" s="1566">
        <f t="shared" si="157"/>
        <v>0.9165011877842657</v>
      </c>
      <c r="I322" s="1566">
        <f t="shared" si="157"/>
        <v>0.84187855167313763</v>
      </c>
      <c r="J322" s="1566">
        <f t="shared" si="157"/>
        <v>0.94071146101477132</v>
      </c>
      <c r="K322" s="1567">
        <f t="shared" si="157"/>
        <v>1.1045254751692037</v>
      </c>
      <c r="L322" s="1567">
        <f t="shared" si="157"/>
        <v>1.1430904157630497</v>
      </c>
      <c r="M322" s="1567">
        <f t="shared" si="157"/>
        <v>1.1537564109543785</v>
      </c>
      <c r="N322" s="1567">
        <f t="shared" si="157"/>
        <v>1.1345931172398795</v>
      </c>
      <c r="O322" s="1567">
        <f t="shared" si="157"/>
        <v>1.1332187143290806</v>
      </c>
      <c r="P322" s="1567">
        <f t="shared" si="157"/>
        <v>1.1505530437841682</v>
      </c>
      <c r="Q322" s="1567">
        <f t="shared" si="157"/>
        <v>1.1485395620440537</v>
      </c>
      <c r="R322" s="1567">
        <f t="shared" si="157"/>
        <v>1.1468658216101584</v>
      </c>
      <c r="S322" s="1567">
        <f t="shared" si="157"/>
        <v>1.145559470440449</v>
      </c>
      <c r="T322" s="1567">
        <f t="shared" si="157"/>
        <v>1.1446153284529623</v>
      </c>
      <c r="U322" s="502"/>
      <c r="V322" s="1025"/>
    </row>
    <row r="323" spans="2:22" ht="31.5" hidden="1" customHeight="1" x14ac:dyDescent="0.25">
      <c r="B323" s="499"/>
      <c r="C323" s="965">
        <v>2</v>
      </c>
      <c r="D323" s="1555" t="s">
        <v>1886</v>
      </c>
      <c r="E323" s="1566">
        <f>IFERROR(E276/E275,0)</f>
        <v>0</v>
      </c>
      <c r="F323" s="1566">
        <f t="shared" ref="F323:T323" si="158">IFERROR(F276/F275,0)</f>
        <v>0</v>
      </c>
      <c r="G323" s="1566">
        <f t="shared" si="158"/>
        <v>0</v>
      </c>
      <c r="H323" s="1566">
        <f t="shared" si="158"/>
        <v>0</v>
      </c>
      <c r="I323" s="1566">
        <f t="shared" si="158"/>
        <v>0</v>
      </c>
      <c r="J323" s="1566">
        <f t="shared" si="158"/>
        <v>0</v>
      </c>
      <c r="K323" s="1567">
        <f t="shared" si="158"/>
        <v>93.198263608490564</v>
      </c>
      <c r="L323" s="1567">
        <f t="shared" si="158"/>
        <v>106.35303457221862</v>
      </c>
      <c r="M323" s="1567">
        <f t="shared" si="158"/>
        <v>114.40158021139557</v>
      </c>
      <c r="N323" s="1567">
        <f t="shared" si="158"/>
        <v>9.2829560981893451</v>
      </c>
      <c r="O323" s="1567">
        <f t="shared" si="158"/>
        <v>9.6097027000469808</v>
      </c>
      <c r="P323" s="1567">
        <f t="shared" si="158"/>
        <v>0</v>
      </c>
      <c r="Q323" s="1567">
        <f t="shared" si="158"/>
        <v>0</v>
      </c>
      <c r="R323" s="1567">
        <f t="shared" si="158"/>
        <v>0</v>
      </c>
      <c r="S323" s="1567">
        <f t="shared" si="158"/>
        <v>0</v>
      </c>
      <c r="T323" s="1567">
        <f t="shared" si="158"/>
        <v>0</v>
      </c>
      <c r="U323" s="502"/>
      <c r="V323" s="1025"/>
    </row>
    <row r="324" spans="2:22" ht="31.5" hidden="1" customHeight="1" x14ac:dyDescent="0.25">
      <c r="B324" s="499"/>
      <c r="C324" s="965">
        <v>3</v>
      </c>
      <c r="D324" s="1419" t="s">
        <v>1887</v>
      </c>
      <c r="E324" s="1564">
        <f>IFERROR((E285+E289)/(E284+E288),0)</f>
        <v>0</v>
      </c>
      <c r="F324" s="1564">
        <f t="shared" ref="F324:T324" si="159">IFERROR((F285+F289)/(F284+F288),0)</f>
        <v>0.95800893868535053</v>
      </c>
      <c r="G324" s="1564">
        <f t="shared" si="159"/>
        <v>1.4884991714747089</v>
      </c>
      <c r="H324" s="1564">
        <f t="shared" si="159"/>
        <v>1.6674872994264105</v>
      </c>
      <c r="I324" s="1564">
        <f t="shared" si="159"/>
        <v>0.97558695200498646</v>
      </c>
      <c r="J324" s="1564">
        <f t="shared" si="159"/>
        <v>0.68468468468468457</v>
      </c>
      <c r="K324" s="1565">
        <f t="shared" ca="1" si="159"/>
        <v>0.92381512994773562</v>
      </c>
      <c r="L324" s="1565">
        <f t="shared" ca="1" si="159"/>
        <v>0.83889882727092036</v>
      </c>
      <c r="M324" s="1565">
        <f t="shared" ca="1" si="159"/>
        <v>0.69120969398233723</v>
      </c>
      <c r="N324" s="1565">
        <f t="shared" ca="1" si="159"/>
        <v>0.625</v>
      </c>
      <c r="O324" s="1565">
        <f t="shared" ca="1" si="159"/>
        <v>0.625</v>
      </c>
      <c r="P324" s="1565">
        <f t="shared" ca="1" si="159"/>
        <v>0</v>
      </c>
      <c r="Q324" s="1565">
        <f t="shared" ca="1" si="159"/>
        <v>0</v>
      </c>
      <c r="R324" s="1565">
        <f t="shared" ca="1" si="159"/>
        <v>0</v>
      </c>
      <c r="S324" s="1565">
        <f t="shared" ca="1" si="159"/>
        <v>0</v>
      </c>
      <c r="T324" s="1565">
        <f t="shared" ca="1" si="159"/>
        <v>0</v>
      </c>
      <c r="U324" s="502"/>
      <c r="V324" s="1025"/>
    </row>
    <row r="325" spans="2:22" ht="31.5" hidden="1" customHeight="1" x14ac:dyDescent="0.25">
      <c r="B325" s="499"/>
      <c r="C325" s="965">
        <v>4</v>
      </c>
      <c r="D325" s="1419" t="s">
        <v>1888</v>
      </c>
      <c r="E325" s="1564">
        <f>IFERROR(E285/E284,0)</f>
        <v>0</v>
      </c>
      <c r="F325" s="1564">
        <f t="shared" ref="F325:T325" si="160">IFERROR(F285/F284,0)</f>
        <v>0</v>
      </c>
      <c r="G325" s="1564">
        <f t="shared" si="160"/>
        <v>0</v>
      </c>
      <c r="H325" s="1564">
        <f t="shared" si="160"/>
        <v>0</v>
      </c>
      <c r="I325" s="1564">
        <f t="shared" si="160"/>
        <v>0</v>
      </c>
      <c r="J325" s="1564">
        <f t="shared" si="160"/>
        <v>0</v>
      </c>
      <c r="K325" s="1565">
        <f t="shared" ca="1" si="160"/>
        <v>0.92381512994773562</v>
      </c>
      <c r="L325" s="1565">
        <f t="shared" ca="1" si="160"/>
        <v>0.83889882727092036</v>
      </c>
      <c r="M325" s="1565">
        <f t="shared" ca="1" si="160"/>
        <v>0.69120969398233723</v>
      </c>
      <c r="N325" s="1565">
        <f t="shared" ca="1" si="160"/>
        <v>0.625</v>
      </c>
      <c r="O325" s="1565">
        <f t="shared" ca="1" si="160"/>
        <v>0.625</v>
      </c>
      <c r="P325" s="1565">
        <f t="shared" ca="1" si="160"/>
        <v>0</v>
      </c>
      <c r="Q325" s="1565">
        <f t="shared" ca="1" si="160"/>
        <v>0</v>
      </c>
      <c r="R325" s="1565">
        <f t="shared" ca="1" si="160"/>
        <v>0</v>
      </c>
      <c r="S325" s="1565">
        <f t="shared" ca="1" si="160"/>
        <v>0</v>
      </c>
      <c r="T325" s="1565">
        <f t="shared" ca="1" si="160"/>
        <v>0</v>
      </c>
      <c r="U325" s="502"/>
      <c r="V325" s="1025"/>
    </row>
    <row r="326" spans="2:22" ht="18" hidden="1" customHeight="1" x14ac:dyDescent="0.25">
      <c r="B326" s="499"/>
      <c r="C326" s="916" t="s">
        <v>14</v>
      </c>
      <c r="D326" s="1420" t="s">
        <v>1883</v>
      </c>
      <c r="E326" s="1069"/>
      <c r="F326" s="1069"/>
      <c r="G326" s="1069"/>
      <c r="H326" s="1069"/>
      <c r="I326" s="1069"/>
      <c r="J326" s="1069"/>
      <c r="K326" s="914"/>
      <c r="L326" s="914"/>
      <c r="M326" s="914"/>
      <c r="N326" s="914"/>
      <c r="O326" s="914"/>
      <c r="P326" s="914"/>
      <c r="Q326" s="914"/>
      <c r="R326" s="914"/>
      <c r="S326" s="914"/>
      <c r="T326" s="915"/>
      <c r="U326" s="502"/>
      <c r="V326" s="1025"/>
    </row>
    <row r="327" spans="2:22" ht="31.5" hidden="1" customHeight="1" x14ac:dyDescent="0.25">
      <c r="B327" s="499"/>
      <c r="C327" s="965">
        <v>1</v>
      </c>
      <c r="D327" s="1555" t="s">
        <v>1889</v>
      </c>
      <c r="E327" s="1564">
        <f>IFERROR((E275+E279)/E296,0)</f>
        <v>0</v>
      </c>
      <c r="F327" s="1564">
        <f t="shared" ref="F327:T327" si="161">IFERROR((F275+F279)/F296,0)</f>
        <v>0.79453377756821808</v>
      </c>
      <c r="G327" s="1564">
        <f t="shared" si="161"/>
        <v>0.55630705537553693</v>
      </c>
      <c r="H327" s="1564">
        <f t="shared" si="161"/>
        <v>0.88599051604311629</v>
      </c>
      <c r="I327" s="1564">
        <f t="shared" si="161"/>
        <v>0.59065590672023638</v>
      </c>
      <c r="J327" s="1564">
        <f t="shared" si="161"/>
        <v>0.67105483279815625</v>
      </c>
      <c r="K327" s="1565">
        <f t="shared" ca="1" si="161"/>
        <v>0.71819650767559318</v>
      </c>
      <c r="L327" s="1565">
        <f t="shared" ca="1" si="161"/>
        <v>0.73074822471021694</v>
      </c>
      <c r="M327" s="1565">
        <f t="shared" ca="1" si="161"/>
        <v>0.73176611818829074</v>
      </c>
      <c r="N327" s="1565">
        <f t="shared" ca="1" si="161"/>
        <v>0.7354678869013298</v>
      </c>
      <c r="O327" s="1565">
        <f t="shared" ca="1" si="161"/>
        <v>0.73109780105774902</v>
      </c>
      <c r="P327" s="1565">
        <f t="shared" ca="1" si="161"/>
        <v>1</v>
      </c>
      <c r="Q327" s="1565">
        <f t="shared" ca="1" si="161"/>
        <v>1</v>
      </c>
      <c r="R327" s="1565">
        <f t="shared" ca="1" si="161"/>
        <v>1</v>
      </c>
      <c r="S327" s="1565">
        <f t="shared" ca="1" si="161"/>
        <v>1</v>
      </c>
      <c r="T327" s="1565">
        <f t="shared" ca="1" si="161"/>
        <v>1</v>
      </c>
      <c r="U327" s="957"/>
      <c r="V327" s="1025"/>
    </row>
    <row r="328" spans="2:22" ht="31.5" hidden="1" customHeight="1" x14ac:dyDescent="0.25">
      <c r="B328" s="499"/>
      <c r="C328" s="965">
        <v>2</v>
      </c>
      <c r="D328" s="1555" t="s">
        <v>1890</v>
      </c>
      <c r="E328" s="1564">
        <f t="shared" ref="E328:J328" si="162">IFERROR((E228+E186+E141+E98)/(E275+E279),0)</f>
        <v>0</v>
      </c>
      <c r="F328" s="1564">
        <f t="shared" si="162"/>
        <v>0</v>
      </c>
      <c r="G328" s="1564">
        <f t="shared" si="162"/>
        <v>0</v>
      </c>
      <c r="H328" s="1564">
        <f t="shared" si="162"/>
        <v>0</v>
      </c>
      <c r="I328" s="1564">
        <f t="shared" si="162"/>
        <v>0</v>
      </c>
      <c r="J328" s="1564">
        <f t="shared" si="162"/>
        <v>0</v>
      </c>
      <c r="K328" s="1565">
        <f t="shared" ref="K328:T328" si="163">IFERROR((K228+K60+K41+K22)/(K275+K279),0)</f>
        <v>0</v>
      </c>
      <c r="L328" s="1565">
        <f t="shared" si="163"/>
        <v>0</v>
      </c>
      <c r="M328" s="1565">
        <f t="shared" si="163"/>
        <v>0</v>
      </c>
      <c r="N328" s="1565">
        <f t="shared" si="163"/>
        <v>0</v>
      </c>
      <c r="O328" s="1565">
        <f t="shared" si="163"/>
        <v>0</v>
      </c>
      <c r="P328" s="1565">
        <f t="shared" si="163"/>
        <v>0</v>
      </c>
      <c r="Q328" s="1565">
        <f t="shared" si="163"/>
        <v>0</v>
      </c>
      <c r="R328" s="1565">
        <f t="shared" si="163"/>
        <v>0</v>
      </c>
      <c r="S328" s="1565">
        <f t="shared" si="163"/>
        <v>0</v>
      </c>
      <c r="T328" s="1565">
        <f t="shared" si="163"/>
        <v>0</v>
      </c>
      <c r="U328" s="957"/>
      <c r="V328" s="1025"/>
    </row>
    <row r="329" spans="2:22" ht="31.5" hidden="1" customHeight="1" x14ac:dyDescent="0.25">
      <c r="B329" s="499"/>
      <c r="C329" s="965">
        <v>3</v>
      </c>
      <c r="D329" s="1555" t="s">
        <v>1891</v>
      </c>
      <c r="E329" s="1564">
        <f t="shared" ref="E329:T329" si="164">IFERROR((E100+E145+E188+E229)/(E275+E279),0)</f>
        <v>0</v>
      </c>
      <c r="F329" s="1564">
        <f t="shared" si="164"/>
        <v>0</v>
      </c>
      <c r="G329" s="1564">
        <f t="shared" si="164"/>
        <v>0</v>
      </c>
      <c r="H329" s="1564">
        <f t="shared" si="164"/>
        <v>0</v>
      </c>
      <c r="I329" s="1564">
        <f t="shared" si="164"/>
        <v>0</v>
      </c>
      <c r="J329" s="1564">
        <f t="shared" si="164"/>
        <v>0</v>
      </c>
      <c r="K329" s="1565">
        <f t="shared" si="164"/>
        <v>0</v>
      </c>
      <c r="L329" s="1565">
        <f t="shared" si="164"/>
        <v>0</v>
      </c>
      <c r="M329" s="1565">
        <f t="shared" si="164"/>
        <v>0</v>
      </c>
      <c r="N329" s="1565">
        <f t="shared" si="164"/>
        <v>0</v>
      </c>
      <c r="O329" s="1565">
        <f t="shared" si="164"/>
        <v>0</v>
      </c>
      <c r="P329" s="1565">
        <f t="shared" si="164"/>
        <v>0</v>
      </c>
      <c r="Q329" s="1565">
        <f t="shared" si="164"/>
        <v>0</v>
      </c>
      <c r="R329" s="1565">
        <f t="shared" si="164"/>
        <v>0</v>
      </c>
      <c r="S329" s="1565">
        <f t="shared" si="164"/>
        <v>0</v>
      </c>
      <c r="T329" s="1565">
        <f t="shared" si="164"/>
        <v>0</v>
      </c>
      <c r="U329" s="957"/>
      <c r="V329" s="1025"/>
    </row>
    <row r="330" spans="2:22" ht="31.5" hidden="1" customHeight="1" x14ac:dyDescent="0.25">
      <c r="B330" s="499"/>
      <c r="C330" s="965">
        <v>4</v>
      </c>
      <c r="D330" s="1555" t="s">
        <v>1892</v>
      </c>
      <c r="E330" s="1564">
        <f t="shared" ref="E330:J330" si="165">IFERROR((E191+E148+E103)/(E275+E279),0)</f>
        <v>0</v>
      </c>
      <c r="F330" s="1564">
        <f t="shared" si="165"/>
        <v>0</v>
      </c>
      <c r="G330" s="1564">
        <f t="shared" si="165"/>
        <v>0</v>
      </c>
      <c r="H330" s="1564">
        <f t="shared" si="165"/>
        <v>0</v>
      </c>
      <c r="I330" s="1564">
        <f t="shared" si="165"/>
        <v>0</v>
      </c>
      <c r="J330" s="1564">
        <f t="shared" si="165"/>
        <v>0</v>
      </c>
      <c r="K330" s="1565">
        <f t="shared" ref="K330:T330" si="166">IFERROR((K63+K44+K25)/(K275+K279),0)</f>
        <v>1.4838093471141978E-3</v>
      </c>
      <c r="L330" s="1565">
        <f t="shared" si="166"/>
        <v>1.4728367588201356E-3</v>
      </c>
      <c r="M330" s="1565">
        <f t="shared" si="166"/>
        <v>1.4364707663093248E-3</v>
      </c>
      <c r="N330" s="1565">
        <f t="shared" si="166"/>
        <v>1.749215241071057E-2</v>
      </c>
      <c r="O330" s="1565">
        <f t="shared" si="166"/>
        <v>1.6956230369810858E-2</v>
      </c>
      <c r="P330" s="1565">
        <f t="shared" si="166"/>
        <v>0</v>
      </c>
      <c r="Q330" s="1565">
        <f t="shared" si="166"/>
        <v>0</v>
      </c>
      <c r="R330" s="1565">
        <f t="shared" si="166"/>
        <v>0</v>
      </c>
      <c r="S330" s="1565">
        <f t="shared" si="166"/>
        <v>0</v>
      </c>
      <c r="T330" s="1565">
        <f t="shared" si="166"/>
        <v>0</v>
      </c>
      <c r="U330" s="957"/>
      <c r="V330" s="1025"/>
    </row>
    <row r="331" spans="2:22" ht="31.5" hidden="1" customHeight="1" x14ac:dyDescent="0.25">
      <c r="B331" s="499"/>
      <c r="C331" s="965">
        <v>5</v>
      </c>
      <c r="D331" s="1555" t="s">
        <v>1893</v>
      </c>
      <c r="E331" s="1564">
        <f t="shared" ref="E331:J331" si="167">IFERROR((E124+E169+E211)/(E284+E288),0)</f>
        <v>0</v>
      </c>
      <c r="F331" s="1564">
        <f t="shared" si="167"/>
        <v>0</v>
      </c>
      <c r="G331" s="1564">
        <f t="shared" si="167"/>
        <v>0</v>
      </c>
      <c r="H331" s="1564">
        <f t="shared" si="167"/>
        <v>0</v>
      </c>
      <c r="I331" s="1564">
        <f t="shared" si="167"/>
        <v>0</v>
      </c>
      <c r="J331" s="1564">
        <f t="shared" si="167"/>
        <v>0</v>
      </c>
      <c r="K331" s="1565">
        <f t="shared" ref="K331:T331" ca="1" si="168">IFERROR((K33+K52+K71)/(K284+K288),0)</f>
        <v>1</v>
      </c>
      <c r="L331" s="1565">
        <f t="shared" ca="1" si="168"/>
        <v>1</v>
      </c>
      <c r="M331" s="1565">
        <f t="shared" ca="1" si="168"/>
        <v>1</v>
      </c>
      <c r="N331" s="1565">
        <f t="shared" ca="1" si="168"/>
        <v>1</v>
      </c>
      <c r="O331" s="1565">
        <f t="shared" ca="1" si="168"/>
        <v>1</v>
      </c>
      <c r="P331" s="1565">
        <f t="shared" ca="1" si="168"/>
        <v>0</v>
      </c>
      <c r="Q331" s="1565">
        <f t="shared" ca="1" si="168"/>
        <v>0</v>
      </c>
      <c r="R331" s="1565">
        <f t="shared" ca="1" si="168"/>
        <v>0</v>
      </c>
      <c r="S331" s="1565">
        <f t="shared" ca="1" si="168"/>
        <v>0</v>
      </c>
      <c r="T331" s="1565">
        <f t="shared" ca="1" si="168"/>
        <v>0</v>
      </c>
      <c r="U331" s="502"/>
      <c r="V331" s="1025"/>
    </row>
    <row r="332" spans="2:22" ht="18" hidden="1" customHeight="1" x14ac:dyDescent="0.25">
      <c r="B332" s="499"/>
      <c r="C332" s="916" t="s">
        <v>36</v>
      </c>
      <c r="D332" s="1420" t="s">
        <v>1884</v>
      </c>
      <c r="E332" s="1069"/>
      <c r="F332" s="1069"/>
      <c r="G332" s="1069"/>
      <c r="H332" s="1069"/>
      <c r="I332" s="1069"/>
      <c r="J332" s="1069"/>
      <c r="K332" s="914"/>
      <c r="L332" s="914"/>
      <c r="M332" s="914"/>
      <c r="N332" s="914"/>
      <c r="O332" s="914"/>
      <c r="P332" s="914"/>
      <c r="Q332" s="914"/>
      <c r="R332" s="914"/>
      <c r="S332" s="914"/>
      <c r="T332" s="915"/>
      <c r="U332" s="502"/>
      <c r="V332" s="1025"/>
    </row>
    <row r="333" spans="2:22" ht="31.5" hidden="1" customHeight="1" x14ac:dyDescent="0.25">
      <c r="B333" s="499"/>
      <c r="C333" s="965">
        <v>1</v>
      </c>
      <c r="D333" s="1555" t="s">
        <v>1894</v>
      </c>
      <c r="E333" s="1564">
        <f>IFERROR((E276+E280)/E297,0)</f>
        <v>0</v>
      </c>
      <c r="F333" s="1564">
        <f t="shared" ref="F333:T333" si="169">IFERROR((F276+F280)/F297,0)</f>
        <v>0.80989625300889156</v>
      </c>
      <c r="G333" s="1564">
        <f t="shared" si="169"/>
        <v>0.43052059964168021</v>
      </c>
      <c r="H333" s="1564">
        <f t="shared" si="169"/>
        <v>0.81029295031809845</v>
      </c>
      <c r="I333" s="1564">
        <f t="shared" si="169"/>
        <v>0.55459990493451705</v>
      </c>
      <c r="J333" s="1564">
        <f t="shared" si="169"/>
        <v>0.73703953268531919</v>
      </c>
      <c r="K333" s="1565">
        <f t="shared" si="169"/>
        <v>0.75290986652352299</v>
      </c>
      <c r="L333" s="1565">
        <f t="shared" si="169"/>
        <v>0.78714858969984103</v>
      </c>
      <c r="M333" s="1565">
        <f t="shared" si="169"/>
        <v>0.81993936825122427</v>
      </c>
      <c r="N333" s="1565">
        <f t="shared" si="169"/>
        <v>0.83463259849281601</v>
      </c>
      <c r="O333" s="1565">
        <f t="shared" si="169"/>
        <v>0.8313555815012672</v>
      </c>
      <c r="P333" s="1565">
        <f t="shared" si="169"/>
        <v>1</v>
      </c>
      <c r="Q333" s="1565">
        <f t="shared" si="169"/>
        <v>1</v>
      </c>
      <c r="R333" s="1565">
        <f t="shared" si="169"/>
        <v>1</v>
      </c>
      <c r="S333" s="1565">
        <f t="shared" si="169"/>
        <v>1</v>
      </c>
      <c r="T333" s="1565">
        <f t="shared" si="169"/>
        <v>1</v>
      </c>
      <c r="U333" s="957"/>
      <c r="V333" s="1025"/>
    </row>
    <row r="334" spans="2:22" ht="31.5" hidden="1" customHeight="1" x14ac:dyDescent="0.25">
      <c r="B334" s="499"/>
      <c r="C334" s="965">
        <v>2</v>
      </c>
      <c r="D334" s="1419" t="s">
        <v>2076</v>
      </c>
      <c r="E334" s="1564">
        <f t="shared" ref="E334:T334" si="170">IFERROR((E236+E195+E152+E107)/(E280+E276),0)</f>
        <v>0</v>
      </c>
      <c r="F334" s="1564">
        <f t="shared" si="170"/>
        <v>0</v>
      </c>
      <c r="G334" s="1564">
        <f t="shared" si="170"/>
        <v>0</v>
      </c>
      <c r="H334" s="1564">
        <f t="shared" si="170"/>
        <v>0</v>
      </c>
      <c r="I334" s="1564">
        <f t="shared" si="170"/>
        <v>0</v>
      </c>
      <c r="J334" s="1564">
        <f t="shared" si="170"/>
        <v>0</v>
      </c>
      <c r="K334" s="1565">
        <f t="shared" si="170"/>
        <v>0</v>
      </c>
      <c r="L334" s="1565">
        <f t="shared" si="170"/>
        <v>0</v>
      </c>
      <c r="M334" s="1565">
        <f t="shared" si="170"/>
        <v>0</v>
      </c>
      <c r="N334" s="1565">
        <f t="shared" si="170"/>
        <v>0</v>
      </c>
      <c r="O334" s="1565">
        <f t="shared" si="170"/>
        <v>0</v>
      </c>
      <c r="P334" s="1565">
        <f t="shared" si="170"/>
        <v>0</v>
      </c>
      <c r="Q334" s="1565">
        <f t="shared" si="170"/>
        <v>0</v>
      </c>
      <c r="R334" s="1565">
        <f t="shared" si="170"/>
        <v>0</v>
      </c>
      <c r="S334" s="1565">
        <f t="shared" si="170"/>
        <v>0</v>
      </c>
      <c r="T334" s="1565">
        <f t="shared" si="170"/>
        <v>0</v>
      </c>
      <c r="U334" s="502"/>
      <c r="V334" s="1025"/>
    </row>
    <row r="335" spans="2:22" ht="31.5" hidden="1" customHeight="1" x14ac:dyDescent="0.25">
      <c r="B335" s="499"/>
      <c r="C335" s="965">
        <v>3</v>
      </c>
      <c r="D335" s="1555" t="s">
        <v>1895</v>
      </c>
      <c r="E335" s="1564">
        <f t="shared" ref="E335:J335" si="171">IFERROR((E114+E158+E200)/(E280+E276),0)</f>
        <v>0</v>
      </c>
      <c r="F335" s="1564">
        <f t="shared" si="171"/>
        <v>0</v>
      </c>
      <c r="G335" s="1564">
        <f t="shared" si="171"/>
        <v>0</v>
      </c>
      <c r="H335" s="1564">
        <f t="shared" si="171"/>
        <v>0</v>
      </c>
      <c r="I335" s="1564">
        <f t="shared" si="171"/>
        <v>0</v>
      </c>
      <c r="J335" s="1564">
        <f t="shared" si="171"/>
        <v>0</v>
      </c>
      <c r="K335" s="1565">
        <f t="shared" ref="K335:T335" si="172">IFERROR((K29+K48+K67)/(K280+K276),0)</f>
        <v>0.12520168867622242</v>
      </c>
      <c r="L335" s="1565">
        <f t="shared" si="172"/>
        <v>0.13703260614381899</v>
      </c>
      <c r="M335" s="1565">
        <f t="shared" si="172"/>
        <v>0.14243433365395111</v>
      </c>
      <c r="N335" s="1565">
        <f t="shared" si="172"/>
        <v>0.14311640042950521</v>
      </c>
      <c r="O335" s="1565">
        <f t="shared" si="172"/>
        <v>0.1437889532770916</v>
      </c>
      <c r="P335" s="1565">
        <f t="shared" si="172"/>
        <v>0.14445203316566893</v>
      </c>
      <c r="Q335" s="1565">
        <f t="shared" si="172"/>
        <v>0.14510568430139023</v>
      </c>
      <c r="R335" s="1565">
        <f t="shared" si="172"/>
        <v>0.14574995395696563</v>
      </c>
      <c r="S335" s="1565">
        <f t="shared" si="172"/>
        <v>0.14638489230406612</v>
      </c>
      <c r="T335" s="1565">
        <f t="shared" si="172"/>
        <v>0.14701055224895265</v>
      </c>
      <c r="U335" s="502"/>
      <c r="V335" s="1025"/>
    </row>
    <row r="336" spans="2:22" ht="31.5" hidden="1" customHeight="1" x14ac:dyDescent="0.25">
      <c r="B336" s="499"/>
      <c r="C336" s="965">
        <v>4</v>
      </c>
      <c r="D336" s="1555" t="s">
        <v>1896</v>
      </c>
      <c r="E336" s="1564">
        <f t="shared" ref="E336:J336" si="173">IFERROR((E134+E179+E221)/(E285+E289),0)</f>
        <v>0</v>
      </c>
      <c r="F336" s="1564">
        <f t="shared" si="173"/>
        <v>0</v>
      </c>
      <c r="G336" s="1564">
        <f t="shared" si="173"/>
        <v>0</v>
      </c>
      <c r="H336" s="1564">
        <f t="shared" si="173"/>
        <v>0</v>
      </c>
      <c r="I336" s="1564">
        <f t="shared" si="173"/>
        <v>0</v>
      </c>
      <c r="J336" s="1564">
        <f t="shared" si="173"/>
        <v>0</v>
      </c>
      <c r="K336" s="1565">
        <f t="shared" ref="K336:T336" si="174">IFERROR((K37+K56+K75)/(K285+K289),0)</f>
        <v>1</v>
      </c>
      <c r="L336" s="1565">
        <f t="shared" si="174"/>
        <v>1</v>
      </c>
      <c r="M336" s="1565">
        <f t="shared" si="174"/>
        <v>1</v>
      </c>
      <c r="N336" s="1565">
        <f t="shared" si="174"/>
        <v>1</v>
      </c>
      <c r="O336" s="1565">
        <f t="shared" si="174"/>
        <v>1</v>
      </c>
      <c r="P336" s="1565">
        <f t="shared" si="174"/>
        <v>0</v>
      </c>
      <c r="Q336" s="1565">
        <f t="shared" si="174"/>
        <v>0</v>
      </c>
      <c r="R336" s="1565">
        <f t="shared" si="174"/>
        <v>0</v>
      </c>
      <c r="S336" s="1565">
        <f t="shared" si="174"/>
        <v>0</v>
      </c>
      <c r="T336" s="1565">
        <f t="shared" si="174"/>
        <v>0</v>
      </c>
      <c r="U336" s="502"/>
      <c r="V336" s="1025"/>
    </row>
    <row r="337" spans="2:22" hidden="1" x14ac:dyDescent="0.25">
      <c r="B337" s="499"/>
      <c r="C337" s="499"/>
      <c r="D337" s="499"/>
      <c r="E337" s="499"/>
      <c r="F337" s="499"/>
      <c r="G337" s="499"/>
      <c r="H337" s="499"/>
      <c r="I337" s="499"/>
      <c r="J337" s="499"/>
      <c r="K337" s="501"/>
      <c r="L337" s="501"/>
      <c r="M337" s="501"/>
      <c r="N337" s="501"/>
      <c r="O337" s="501"/>
      <c r="P337" s="501"/>
      <c r="Q337" s="501"/>
      <c r="R337" s="501"/>
      <c r="S337" s="501"/>
      <c r="T337" s="501"/>
      <c r="U337" s="502"/>
      <c r="V337" s="1025"/>
    </row>
    <row r="338" spans="2:22" hidden="1" x14ac:dyDescent="0.25">
      <c r="B338" s="499"/>
      <c r="C338" s="499"/>
      <c r="D338" s="499"/>
      <c r="E338" s="499"/>
      <c r="F338" s="499"/>
      <c r="G338" s="499"/>
      <c r="H338" s="499"/>
      <c r="I338" s="499"/>
      <c r="J338" s="499"/>
      <c r="K338" s="501"/>
      <c r="L338" s="501"/>
      <c r="M338" s="501"/>
      <c r="N338" s="501"/>
      <c r="O338" s="501"/>
      <c r="P338" s="501"/>
      <c r="Q338" s="501"/>
      <c r="R338" s="501"/>
      <c r="S338" s="501"/>
      <c r="T338" s="501"/>
      <c r="U338" s="502"/>
      <c r="V338" s="1025"/>
    </row>
    <row r="339" spans="2:22" hidden="1" x14ac:dyDescent="0.25">
      <c r="B339" s="499"/>
      <c r="C339" s="499"/>
      <c r="D339" s="499"/>
      <c r="E339" s="499"/>
      <c r="F339" s="499"/>
      <c r="G339" s="499"/>
      <c r="H339" s="499"/>
      <c r="I339" s="499"/>
      <c r="J339" s="499"/>
      <c r="K339" s="501"/>
      <c r="L339" s="501"/>
      <c r="M339" s="501"/>
      <c r="N339" s="501"/>
      <c r="O339" s="501"/>
      <c r="P339" s="501"/>
      <c r="Q339" s="501"/>
      <c r="R339" s="501"/>
      <c r="S339" s="501"/>
      <c r="T339" s="501"/>
      <c r="U339" s="502"/>
    </row>
    <row r="340" spans="2:22" hidden="1" x14ac:dyDescent="0.25">
      <c r="B340" s="499"/>
      <c r="C340" s="499"/>
      <c r="D340" s="499"/>
      <c r="E340" s="499"/>
      <c r="F340" s="499"/>
      <c r="G340" s="499"/>
      <c r="H340" s="499"/>
      <c r="I340" s="499"/>
      <c r="J340" s="499"/>
      <c r="K340" s="501"/>
      <c r="L340" s="501"/>
      <c r="M340" s="501"/>
      <c r="N340" s="501"/>
      <c r="O340" s="501"/>
      <c r="P340" s="501"/>
      <c r="Q340" s="501"/>
      <c r="R340" s="501"/>
      <c r="S340" s="501"/>
      <c r="T340" s="501"/>
      <c r="U340" s="502"/>
    </row>
    <row r="341" spans="2:22" hidden="1" x14ac:dyDescent="0.25">
      <c r="B341" s="499"/>
      <c r="C341" s="499"/>
      <c r="D341" s="499"/>
      <c r="E341" s="499"/>
      <c r="F341" s="499"/>
      <c r="G341" s="499"/>
      <c r="H341" s="499"/>
      <c r="I341" s="499"/>
      <c r="J341" s="499"/>
      <c r="K341" s="501"/>
      <c r="L341" s="501"/>
      <c r="M341" s="501"/>
      <c r="N341" s="501"/>
      <c r="O341" s="501"/>
      <c r="P341" s="501"/>
      <c r="Q341" s="501"/>
      <c r="R341" s="501"/>
      <c r="S341" s="501"/>
      <c r="T341" s="501"/>
      <c r="U341" s="502"/>
    </row>
    <row r="342" spans="2:22" hidden="1" x14ac:dyDescent="0.25">
      <c r="B342" s="499"/>
      <c r="C342" s="499"/>
      <c r="D342" s="499"/>
      <c r="E342" s="499"/>
      <c r="F342" s="499"/>
      <c r="G342" s="499"/>
      <c r="H342" s="499"/>
      <c r="I342" s="499"/>
      <c r="J342" s="499"/>
      <c r="K342" s="501"/>
      <c r="L342" s="501"/>
      <c r="M342" s="501"/>
      <c r="N342" s="501"/>
      <c r="O342" s="501"/>
      <c r="P342" s="501"/>
      <c r="Q342" s="501"/>
      <c r="R342" s="501"/>
      <c r="S342" s="501"/>
      <c r="T342" s="501"/>
      <c r="U342" s="502"/>
    </row>
    <row r="343" spans="2:22" hidden="1" x14ac:dyDescent="0.25">
      <c r="B343" s="499"/>
      <c r="C343" s="499"/>
      <c r="D343" s="499"/>
      <c r="E343" s="499"/>
      <c r="F343" s="499"/>
      <c r="G343" s="499"/>
      <c r="H343" s="499"/>
      <c r="I343" s="499"/>
      <c r="J343" s="499"/>
      <c r="K343" s="501"/>
      <c r="L343" s="501"/>
      <c r="M343" s="501"/>
      <c r="N343" s="501"/>
      <c r="O343" s="501"/>
      <c r="P343" s="501"/>
      <c r="Q343" s="501"/>
      <c r="R343" s="501"/>
      <c r="S343" s="501"/>
      <c r="T343" s="501"/>
      <c r="U343" s="502"/>
    </row>
    <row r="344" spans="2:22" hidden="1" x14ac:dyDescent="0.25">
      <c r="B344" s="499"/>
      <c r="C344" s="499"/>
      <c r="D344" s="499"/>
      <c r="E344" s="499"/>
      <c r="F344" s="499"/>
      <c r="G344" s="499"/>
      <c r="H344" s="499"/>
      <c r="I344" s="499"/>
      <c r="J344" s="499"/>
      <c r="K344" s="501"/>
      <c r="L344" s="501"/>
      <c r="M344" s="501"/>
      <c r="N344" s="501"/>
      <c r="O344" s="501"/>
      <c r="P344" s="501"/>
      <c r="Q344" s="501"/>
      <c r="R344" s="501"/>
      <c r="S344" s="501"/>
      <c r="T344" s="501"/>
      <c r="U344" s="502"/>
    </row>
    <row r="345" spans="2:22" hidden="1" x14ac:dyDescent="0.25">
      <c r="B345" s="499"/>
      <c r="C345" s="499"/>
      <c r="D345" s="499"/>
      <c r="E345" s="499"/>
      <c r="F345" s="499"/>
      <c r="G345" s="499"/>
      <c r="H345" s="499"/>
      <c r="I345" s="499"/>
      <c r="J345" s="499"/>
      <c r="K345" s="501"/>
      <c r="L345" s="501"/>
      <c r="M345" s="501"/>
      <c r="N345" s="501"/>
      <c r="O345" s="501"/>
      <c r="P345" s="501"/>
      <c r="Q345" s="501"/>
      <c r="R345" s="501"/>
      <c r="S345" s="501"/>
      <c r="T345" s="501"/>
      <c r="U345" s="502"/>
    </row>
    <row r="346" spans="2:22" hidden="1" x14ac:dyDescent="0.25">
      <c r="B346" s="499"/>
      <c r="C346" s="499"/>
      <c r="D346" s="499"/>
      <c r="E346" s="499"/>
      <c r="F346" s="499"/>
      <c r="G346" s="499"/>
      <c r="H346" s="499"/>
      <c r="I346" s="499"/>
      <c r="J346" s="499"/>
      <c r="K346" s="501"/>
      <c r="L346" s="501"/>
      <c r="M346" s="501"/>
      <c r="N346" s="501"/>
      <c r="O346" s="501"/>
      <c r="P346" s="501"/>
      <c r="Q346" s="501"/>
      <c r="R346" s="501"/>
      <c r="S346" s="501"/>
      <c r="T346" s="501"/>
      <c r="U346" s="502"/>
    </row>
    <row r="347" spans="2:22" hidden="1" x14ac:dyDescent="0.25">
      <c r="B347" s="499"/>
      <c r="C347" s="499"/>
      <c r="D347" s="499"/>
      <c r="E347" s="499"/>
      <c r="F347" s="499"/>
      <c r="G347" s="499"/>
      <c r="H347" s="499"/>
      <c r="I347" s="499"/>
      <c r="J347" s="499"/>
      <c r="K347" s="501"/>
      <c r="L347" s="501"/>
      <c r="M347" s="501"/>
      <c r="N347" s="501"/>
      <c r="O347" s="501"/>
      <c r="P347" s="501"/>
      <c r="Q347" s="501"/>
      <c r="R347" s="501"/>
      <c r="S347" s="501"/>
      <c r="T347" s="501"/>
      <c r="U347" s="502"/>
    </row>
    <row r="348" spans="2:22" hidden="1" x14ac:dyDescent="0.25">
      <c r="B348" s="499"/>
      <c r="C348" s="499"/>
      <c r="D348" s="499"/>
      <c r="E348" s="499"/>
      <c r="F348" s="499"/>
      <c r="G348" s="499"/>
      <c r="H348" s="499"/>
      <c r="I348" s="499"/>
      <c r="J348" s="499"/>
      <c r="K348" s="501"/>
      <c r="L348" s="501"/>
      <c r="M348" s="501"/>
      <c r="N348" s="501"/>
      <c r="O348" s="501"/>
      <c r="P348" s="501"/>
      <c r="Q348" s="501"/>
      <c r="R348" s="501"/>
      <c r="S348" s="501"/>
      <c r="T348" s="501"/>
      <c r="U348" s="502"/>
    </row>
    <row r="349" spans="2:22" hidden="1" x14ac:dyDescent="0.25">
      <c r="B349" s="499"/>
      <c r="C349" s="499"/>
      <c r="D349" s="499"/>
      <c r="E349" s="499"/>
      <c r="F349" s="499"/>
      <c r="G349" s="499"/>
      <c r="H349" s="499"/>
      <c r="I349" s="499"/>
      <c r="J349" s="499"/>
      <c r="K349" s="501"/>
      <c r="L349" s="501"/>
      <c r="M349" s="501"/>
      <c r="N349" s="501"/>
      <c r="O349" s="501"/>
      <c r="P349" s="501"/>
      <c r="Q349" s="501"/>
      <c r="R349" s="501"/>
      <c r="S349" s="501"/>
      <c r="T349" s="501"/>
      <c r="U349" s="502"/>
    </row>
    <row r="350" spans="2:22" hidden="1" x14ac:dyDescent="0.25">
      <c r="B350" s="499"/>
      <c r="C350" s="499"/>
      <c r="D350" s="499"/>
      <c r="E350" s="499"/>
      <c r="F350" s="499"/>
      <c r="G350" s="499"/>
      <c r="H350" s="499"/>
      <c r="I350" s="499"/>
      <c r="J350" s="499"/>
      <c r="K350" s="501"/>
      <c r="L350" s="501"/>
      <c r="M350" s="501"/>
      <c r="N350" s="501"/>
      <c r="O350" s="501"/>
      <c r="P350" s="501"/>
      <c r="Q350" s="501"/>
      <c r="R350" s="501"/>
      <c r="S350" s="501"/>
      <c r="T350" s="501"/>
      <c r="U350" s="502"/>
    </row>
    <row r="351" spans="2:22" hidden="1" x14ac:dyDescent="0.25">
      <c r="B351" s="499"/>
      <c r="C351" s="499"/>
      <c r="D351" s="499"/>
      <c r="E351" s="499"/>
      <c r="F351" s="499"/>
      <c r="G351" s="499"/>
      <c r="H351" s="499"/>
      <c r="I351" s="499"/>
      <c r="J351" s="499"/>
      <c r="K351" s="501"/>
      <c r="L351" s="501"/>
      <c r="M351" s="501"/>
      <c r="N351" s="501"/>
      <c r="O351" s="501"/>
      <c r="P351" s="501"/>
      <c r="Q351" s="501"/>
      <c r="R351" s="501"/>
      <c r="S351" s="501"/>
      <c r="T351" s="501"/>
      <c r="U351" s="502"/>
    </row>
    <row r="352" spans="2:22" hidden="1" x14ac:dyDescent="0.25">
      <c r="B352" s="499"/>
      <c r="C352" s="499"/>
      <c r="D352" s="499"/>
      <c r="E352" s="499"/>
      <c r="F352" s="499"/>
      <c r="G352" s="499"/>
      <c r="H352" s="499"/>
      <c r="I352" s="499"/>
      <c r="J352" s="499"/>
      <c r="K352" s="501"/>
      <c r="L352" s="501"/>
      <c r="M352" s="501"/>
      <c r="N352" s="501"/>
      <c r="O352" s="501"/>
      <c r="P352" s="501"/>
      <c r="Q352" s="501"/>
      <c r="R352" s="501"/>
      <c r="S352" s="501"/>
      <c r="T352" s="501"/>
      <c r="U352" s="502"/>
    </row>
    <row r="353" spans="2:21" hidden="1" x14ac:dyDescent="0.25">
      <c r="B353" s="499"/>
      <c r="C353" s="499"/>
      <c r="D353" s="499"/>
      <c r="E353" s="499"/>
      <c r="F353" s="499"/>
      <c r="G353" s="499"/>
      <c r="H353" s="499"/>
      <c r="I353" s="499"/>
      <c r="J353" s="499"/>
      <c r="K353" s="501"/>
      <c r="L353" s="501"/>
      <c r="M353" s="501"/>
      <c r="N353" s="501"/>
      <c r="O353" s="501"/>
      <c r="P353" s="501"/>
      <c r="Q353" s="501"/>
      <c r="R353" s="501"/>
      <c r="S353" s="501"/>
      <c r="T353" s="501"/>
      <c r="U353" s="502"/>
    </row>
    <row r="354" spans="2:21" hidden="1" x14ac:dyDescent="0.25">
      <c r="B354" s="499"/>
      <c r="C354" s="499"/>
      <c r="D354" s="499"/>
      <c r="E354" s="499"/>
      <c r="F354" s="499"/>
      <c r="G354" s="499"/>
      <c r="H354" s="499"/>
      <c r="I354" s="499"/>
      <c r="J354" s="499"/>
      <c r="K354" s="501"/>
      <c r="L354" s="501"/>
      <c r="M354" s="501"/>
      <c r="N354" s="501"/>
      <c r="O354" s="501"/>
      <c r="P354" s="501"/>
      <c r="Q354" s="501"/>
      <c r="R354" s="501"/>
      <c r="S354" s="501"/>
      <c r="T354" s="501"/>
      <c r="U354" s="502"/>
    </row>
    <row r="355" spans="2:21" hidden="1" x14ac:dyDescent="0.25">
      <c r="B355" s="499"/>
      <c r="C355" s="499"/>
      <c r="D355" s="499"/>
      <c r="E355" s="499"/>
      <c r="F355" s="499"/>
      <c r="G355" s="499"/>
      <c r="H355" s="499"/>
      <c r="I355" s="499"/>
      <c r="J355" s="499"/>
      <c r="K355" s="501"/>
      <c r="L355" s="501"/>
      <c r="M355" s="501"/>
      <c r="N355" s="501"/>
      <c r="O355" s="501"/>
      <c r="P355" s="501"/>
      <c r="Q355" s="501"/>
      <c r="R355" s="501"/>
      <c r="S355" s="501"/>
      <c r="T355" s="501"/>
      <c r="U355" s="502"/>
    </row>
    <row r="356" spans="2:21" x14ac:dyDescent="0.25">
      <c r="B356" s="499"/>
      <c r="C356" s="499"/>
      <c r="D356" s="499"/>
      <c r="E356" s="499"/>
      <c r="F356" s="499"/>
      <c r="G356" s="499"/>
      <c r="H356" s="499"/>
      <c r="I356" s="499"/>
      <c r="J356" s="499"/>
      <c r="K356" s="501"/>
      <c r="L356" s="501"/>
      <c r="M356" s="501"/>
      <c r="N356" s="501"/>
      <c r="O356" s="501"/>
      <c r="P356" s="501"/>
      <c r="Q356" s="501"/>
      <c r="R356" s="501"/>
      <c r="S356" s="501"/>
      <c r="T356" s="501"/>
      <c r="U356" s="502"/>
    </row>
    <row r="357" spans="2:21" x14ac:dyDescent="0.25">
      <c r="B357" s="499"/>
      <c r="C357" s="499"/>
      <c r="D357" s="499"/>
      <c r="E357" s="499"/>
      <c r="F357" s="499"/>
      <c r="G357" s="499"/>
      <c r="H357" s="499"/>
      <c r="I357" s="499"/>
      <c r="J357" s="499"/>
      <c r="K357" s="501"/>
      <c r="L357" s="501"/>
      <c r="M357" s="501"/>
      <c r="N357" s="501"/>
      <c r="O357" s="501"/>
      <c r="P357" s="501"/>
      <c r="Q357" s="501"/>
      <c r="R357" s="501"/>
      <c r="S357" s="501"/>
      <c r="T357" s="501"/>
      <c r="U357" s="502"/>
    </row>
    <row r="358" spans="2:21" x14ac:dyDescent="0.25">
      <c r="K358" s="493"/>
      <c r="L358" s="493"/>
      <c r="M358" s="493"/>
      <c r="N358" s="493"/>
      <c r="O358" s="493"/>
      <c r="P358" s="493"/>
      <c r="Q358" s="493"/>
      <c r="R358" s="493"/>
      <c r="S358" s="493"/>
      <c r="T358" s="493"/>
    </row>
    <row r="359" spans="2:21" x14ac:dyDescent="0.25">
      <c r="K359" s="493"/>
      <c r="L359" s="493"/>
      <c r="M359" s="493"/>
      <c r="N359" s="493"/>
      <c r="O359" s="493"/>
      <c r="P359" s="493"/>
      <c r="Q359" s="493"/>
      <c r="R359" s="493"/>
      <c r="S359" s="493"/>
      <c r="T359" s="493"/>
    </row>
    <row r="360" spans="2:21" x14ac:dyDescent="0.25">
      <c r="K360" s="493"/>
      <c r="L360" s="493"/>
      <c r="M360" s="493"/>
      <c r="N360" s="493"/>
      <c r="O360" s="493"/>
      <c r="P360" s="493"/>
      <c r="Q360" s="493"/>
      <c r="R360" s="493"/>
      <c r="S360" s="493"/>
      <c r="T360" s="493"/>
    </row>
  </sheetData>
  <sheetProtection password="DBDC" sheet="1" objects="1" scenarios="1" selectLockedCells="1"/>
  <mergeCells count="32">
    <mergeCell ref="G14:J17"/>
    <mergeCell ref="C2:Q2"/>
    <mergeCell ref="B9:C9"/>
    <mergeCell ref="C4:Q4"/>
    <mergeCell ref="C8:R8"/>
    <mergeCell ref="B6:R6"/>
    <mergeCell ref="O9:R9"/>
    <mergeCell ref="J9:N9"/>
    <mergeCell ref="C10:D10"/>
    <mergeCell ref="C11:T11"/>
    <mergeCell ref="E9:H9"/>
    <mergeCell ref="I98:I99"/>
    <mergeCell ref="J98:J99"/>
    <mergeCell ref="C141:C142"/>
    <mergeCell ref="E141:E142"/>
    <mergeCell ref="C98:C99"/>
    <mergeCell ref="E98:E99"/>
    <mergeCell ref="F98:F99"/>
    <mergeCell ref="G98:G99"/>
    <mergeCell ref="H98:H99"/>
    <mergeCell ref="F141:F142"/>
    <mergeCell ref="G141:G142"/>
    <mergeCell ref="H141:H142"/>
    <mergeCell ref="I141:I142"/>
    <mergeCell ref="J141:J142"/>
    <mergeCell ref="I186:I187"/>
    <mergeCell ref="J186:J187"/>
    <mergeCell ref="C186:C187"/>
    <mergeCell ref="E186:E187"/>
    <mergeCell ref="F186:F187"/>
    <mergeCell ref="G186:G187"/>
    <mergeCell ref="H186:H187"/>
  </mergeCells>
  <hyperlinks>
    <hyperlink ref="O9:R9" location="'Financial Projections'!B270" display="Summary"/>
    <hyperlink ref="E9:I9" location="'Municipal Finance'!C62" display="Wastewater finance"/>
    <hyperlink ref="E9:H9" location="'Financial Projections'!B39" display="WSS"/>
    <hyperlink ref="J9:N9" location="'Financial Projections'!B78" display="Non-WSS"/>
  </hyperlinks>
  <printOptions horizontalCentered="1"/>
  <pageMargins left="0.19685039370078741" right="0.11811023622047245" top="0.11811023622047245" bottom="0.11811023622047245" header="0.11811023622047245" footer="0.11811023622047245"/>
  <pageSetup paperSize="9" scale="58" fitToHeight="0" orientation="landscape" r:id="rId1"/>
  <rowBreaks count="4" manualBreakCount="4">
    <brk id="134" min="1" max="20" man="1"/>
    <brk id="192" min="1" max="20" man="1"/>
    <brk id="252" min="1" max="20" man="1"/>
    <brk id="315" min="1" max="20" man="1"/>
  </rowBreaks>
  <ignoredErrors>
    <ignoredError sqref="E50:J5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Button 1">
              <controlPr defaultSize="0" print="0" autoFill="0" autoPict="0" macro="[0]!Print_Sheet" altText="Print this page">
                <anchor moveWithCells="1" sizeWithCells="1">
                  <from>
                    <xdr:col>18</xdr:col>
                    <xdr:colOff>495300</xdr:colOff>
                    <xdr:row>5</xdr:row>
                    <xdr:rowOff>0</xdr:rowOff>
                  </from>
                  <to>
                    <xdr:col>20</xdr:col>
                    <xdr:colOff>0</xdr:colOff>
                    <xdr:row>5</xdr:row>
                    <xdr:rowOff>276225</xdr:rowOff>
                  </to>
                </anchor>
              </controlPr>
            </control>
          </mc:Choice>
        </mc:AlternateContent>
        <mc:AlternateContent xmlns:mc="http://schemas.openxmlformats.org/markup-compatibility/2006">
          <mc:Choice Requires="x14">
            <control shapeId="184322" r:id="rId5" name="Button 2">
              <controlPr defaultSize="0" print="0" autoFill="0" autoPict="0" macro="[0]!ResetInputCells" altText="Print this page">
                <anchor moveWithCells="1" sizeWithCells="1">
                  <from>
                    <xdr:col>17</xdr:col>
                    <xdr:colOff>66675</xdr:colOff>
                    <xdr:row>5</xdr:row>
                    <xdr:rowOff>0</xdr:rowOff>
                  </from>
                  <to>
                    <xdr:col>18</xdr:col>
                    <xdr:colOff>361950</xdr:colOff>
                    <xdr:row>5</xdr:row>
                    <xdr:rowOff>285750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7" id="{D62BC386-2344-4344-AA39-CCDF3E8DC67D}">
            <xm:f>'Finance info'!E$14=FALSE</xm:f>
            <x14:dxf>
              <fill>
                <patternFill>
                  <bgColor theme="0" tint="-0.14996795556505021"/>
                </patternFill>
              </fill>
            </x14:dxf>
          </x14:cfRule>
          <xm:sqref>E22:J23 E27:J27 E31:J31 E35:J35 E41:J42 E46:J46 E60:J61 E65:J65 E69:J69 E73:J73 E80:J82 E88:J89 E86:J86 E50:J50 E54:J54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5"/>
    <pageSetUpPr fitToPage="1"/>
  </sheetPr>
  <dimension ref="A1:AK172"/>
  <sheetViews>
    <sheetView zoomScale="50" zoomScaleNormal="50" zoomScaleSheetLayoutView="40" workbookViewId="0">
      <selection activeCell="D14" sqref="D14:I14"/>
    </sheetView>
  </sheetViews>
  <sheetFormatPr defaultRowHeight="15" x14ac:dyDescent="0.25"/>
  <cols>
    <col min="1" max="1" width="11" style="1316" customWidth="1"/>
    <col min="2" max="2" width="5" style="1316" customWidth="1"/>
    <col min="3" max="3" width="23.7109375" style="1316" customWidth="1"/>
    <col min="4" max="8" width="8.7109375" style="1316" customWidth="1"/>
    <col min="9" max="10" width="9.85546875" style="1316" customWidth="1"/>
    <col min="11" max="20" width="9.7109375" style="1316" customWidth="1"/>
    <col min="21" max="25" width="10.7109375" style="1316" customWidth="1"/>
    <col min="26" max="26" width="12" style="1316" customWidth="1"/>
    <col min="27" max="28" width="10.7109375" style="1316" customWidth="1"/>
    <col min="29" max="29" width="4.5703125" style="1316" customWidth="1"/>
    <col min="30" max="30" width="10.28515625" style="1316" customWidth="1"/>
    <col min="31" max="31" width="3.5703125" style="1316" customWidth="1"/>
    <col min="32" max="33" width="9.7109375" style="1316" customWidth="1"/>
    <col min="34" max="34" width="12" style="1317" hidden="1" customWidth="1"/>
    <col min="35" max="36" width="10.42578125" style="1343" hidden="1" customWidth="1"/>
    <col min="37" max="37" width="9.7109375" style="1316" customWidth="1"/>
    <col min="38" max="16384" width="9.140625" style="1316"/>
  </cols>
  <sheetData>
    <row r="1" spans="1:37" s="1311" customFormat="1" ht="6" customHeight="1" x14ac:dyDescent="0.25">
      <c r="K1" s="1312"/>
    </row>
    <row r="2" spans="1:37" s="1311" customFormat="1" ht="59.25" customHeight="1" x14ac:dyDescent="0.8">
      <c r="B2" s="1313"/>
      <c r="C2" s="6831" t="s">
        <v>2088</v>
      </c>
      <c r="D2" s="6831"/>
      <c r="E2" s="6831"/>
      <c r="F2" s="6831"/>
      <c r="G2" s="6831"/>
      <c r="H2" s="6831"/>
      <c r="I2" s="6831"/>
      <c r="J2" s="6831"/>
      <c r="K2" s="6831"/>
      <c r="L2" s="6831"/>
      <c r="M2" s="6831"/>
      <c r="N2" s="6831"/>
      <c r="O2" s="6831"/>
      <c r="P2" s="6831"/>
      <c r="Q2" s="6831"/>
      <c r="R2" s="6831"/>
      <c r="S2" s="6831"/>
      <c r="T2" s="6831"/>
      <c r="U2" s="6831"/>
      <c r="V2" s="6831"/>
      <c r="W2" s="6831"/>
      <c r="X2" s="6831"/>
      <c r="Y2" s="6831"/>
      <c r="Z2" s="1314"/>
      <c r="AA2" s="1314"/>
      <c r="AB2" s="1314"/>
      <c r="AC2" s="1315"/>
      <c r="AD2" s="1316"/>
      <c r="AF2" s="1316"/>
      <c r="AG2" s="1316"/>
      <c r="AH2" s="1317"/>
      <c r="AI2" s="1317"/>
      <c r="AJ2" s="1317"/>
      <c r="AK2" s="1316"/>
    </row>
    <row r="3" spans="1:37" s="1311" customFormat="1" ht="4.5" customHeight="1" x14ac:dyDescent="0.5">
      <c r="B3" s="1318"/>
      <c r="C3" s="1319"/>
      <c r="D3" s="1319"/>
      <c r="E3" s="1319"/>
      <c r="F3" s="1319"/>
      <c r="G3" s="1319"/>
      <c r="H3" s="1319"/>
      <c r="I3" s="1319"/>
      <c r="J3" s="1319"/>
      <c r="K3" s="1319"/>
      <c r="L3" s="1319"/>
      <c r="M3" s="1319"/>
      <c r="N3" s="1319"/>
      <c r="O3" s="1319"/>
      <c r="P3" s="1319"/>
      <c r="Q3" s="1319"/>
      <c r="R3" s="1319"/>
      <c r="S3" s="1319"/>
      <c r="T3" s="1319"/>
      <c r="U3" s="1319"/>
      <c r="V3" s="1319"/>
      <c r="W3" s="1319"/>
      <c r="X3" s="1319"/>
      <c r="Y3" s="1320"/>
      <c r="Z3" s="1320"/>
      <c r="AA3" s="1320"/>
      <c r="AB3" s="1320"/>
      <c r="AC3" s="1321"/>
      <c r="AD3" s="1316"/>
      <c r="AF3" s="1316"/>
      <c r="AG3" s="1316"/>
      <c r="AH3" s="1317"/>
      <c r="AI3" s="1317"/>
      <c r="AJ3" s="1317"/>
      <c r="AK3" s="1316"/>
    </row>
    <row r="4" spans="1:37" s="1311" customFormat="1" ht="31.5" x14ac:dyDescent="0.25">
      <c r="B4" s="1318"/>
      <c r="C4" s="6852" t="s">
        <v>3738</v>
      </c>
      <c r="D4" s="6852"/>
      <c r="E4" s="6852"/>
      <c r="F4" s="6852"/>
      <c r="G4" s="6852"/>
      <c r="H4" s="6852"/>
      <c r="I4" s="6852"/>
      <c r="J4" s="6852"/>
      <c r="K4" s="6852"/>
      <c r="L4" s="6852"/>
      <c r="M4" s="6852"/>
      <c r="N4" s="6852"/>
      <c r="O4" s="6852"/>
      <c r="P4" s="6852"/>
      <c r="Q4" s="6852"/>
      <c r="R4" s="6852"/>
      <c r="S4" s="6852"/>
      <c r="T4" s="6852"/>
      <c r="U4" s="6852"/>
      <c r="V4" s="6852"/>
      <c r="W4" s="6852"/>
      <c r="X4" s="6852"/>
      <c r="Y4" s="3388"/>
      <c r="Z4" s="3388"/>
      <c r="AA4" s="3388"/>
      <c r="AB4" s="3388"/>
      <c r="AC4" s="1321"/>
      <c r="AD4" s="1316"/>
      <c r="AF4" s="1316"/>
      <c r="AG4" s="1316"/>
      <c r="AH4" s="1317"/>
      <c r="AI4" s="1317"/>
      <c r="AJ4" s="1317"/>
      <c r="AK4" s="1316"/>
    </row>
    <row r="5" spans="1:37" s="1311" customFormat="1" ht="8.25" customHeight="1" x14ac:dyDescent="0.25">
      <c r="B5" s="1318"/>
      <c r="C5" s="1322"/>
      <c r="D5" s="1322"/>
      <c r="E5" s="1322"/>
      <c r="F5" s="1322"/>
      <c r="G5" s="1322"/>
      <c r="H5" s="1322"/>
      <c r="I5" s="1322"/>
      <c r="J5" s="1322"/>
      <c r="K5" s="1322"/>
      <c r="L5" s="1322"/>
      <c r="M5" s="1322"/>
      <c r="N5" s="1320"/>
      <c r="O5" s="1320"/>
      <c r="P5" s="1320"/>
      <c r="Q5" s="1320"/>
      <c r="R5" s="1320"/>
      <c r="S5" s="1320"/>
      <c r="T5" s="1320"/>
      <c r="U5" s="1320"/>
      <c r="V5" s="1320"/>
      <c r="W5" s="1320"/>
      <c r="X5" s="1320"/>
      <c r="Y5" s="1320"/>
      <c r="Z5" s="1320"/>
      <c r="AA5" s="1320"/>
      <c r="AB5" s="1320"/>
      <c r="AC5" s="1321"/>
      <c r="AD5" s="1316"/>
      <c r="AF5" s="1316"/>
      <c r="AG5" s="1316"/>
      <c r="AH5" s="1323"/>
      <c r="AI5" s="1317"/>
      <c r="AJ5" s="1317"/>
      <c r="AK5" s="1316"/>
    </row>
    <row r="6" spans="1:37" s="1324" customFormat="1" ht="26.25" x14ac:dyDescent="0.25">
      <c r="B6" s="802"/>
      <c r="C6" s="6349" t="s">
        <v>2068</v>
      </c>
      <c r="D6" s="6349"/>
      <c r="E6" s="6349"/>
      <c r="F6" s="6349"/>
      <c r="G6" s="6349"/>
      <c r="H6" s="6349"/>
      <c r="I6" s="6349"/>
      <c r="J6" s="6349"/>
      <c r="K6" s="6349"/>
      <c r="L6" s="6349"/>
      <c r="M6" s="6349"/>
      <c r="N6" s="6349"/>
      <c r="O6" s="6349"/>
      <c r="P6" s="6349"/>
      <c r="Q6" s="6349"/>
      <c r="R6" s="6349"/>
      <c r="S6" s="6349"/>
      <c r="T6" s="6349"/>
      <c r="U6" s="6349"/>
      <c r="V6" s="6349"/>
      <c r="W6" s="6349"/>
      <c r="X6" s="6349"/>
      <c r="Y6" s="3389"/>
      <c r="Z6" s="3389"/>
      <c r="AA6" s="3389"/>
      <c r="AB6" s="3389"/>
      <c r="AC6" s="803"/>
      <c r="AD6" s="1316"/>
      <c r="AF6" s="1316"/>
      <c r="AG6" s="1316"/>
      <c r="AH6" s="880"/>
      <c r="AI6" s="882"/>
      <c r="AJ6" s="882"/>
      <c r="AK6" s="1316"/>
    </row>
    <row r="7" spans="1:37" s="1324" customFormat="1" ht="5.25" customHeight="1" x14ac:dyDescent="0.25">
      <c r="B7" s="3396"/>
      <c r="C7" s="3387"/>
      <c r="D7" s="3387"/>
      <c r="E7" s="3387"/>
      <c r="F7" s="3387"/>
      <c r="G7" s="3387"/>
      <c r="H7" s="3387"/>
      <c r="I7" s="3387"/>
      <c r="J7" s="3387"/>
      <c r="K7" s="3387"/>
      <c r="L7" s="3387"/>
      <c r="M7" s="3387"/>
      <c r="N7" s="1325"/>
      <c r="O7" s="1325"/>
      <c r="P7" s="1325"/>
      <c r="Q7" s="1325"/>
      <c r="R7" s="1325"/>
      <c r="S7" s="1325"/>
      <c r="T7" s="1325"/>
      <c r="U7" s="1325"/>
      <c r="V7" s="1325"/>
      <c r="W7" s="1325"/>
      <c r="X7" s="1325"/>
      <c r="Y7" s="1325"/>
      <c r="Z7" s="1325"/>
      <c r="AA7" s="1325"/>
      <c r="AB7" s="1325"/>
      <c r="AC7" s="1326"/>
      <c r="AD7" s="1316"/>
      <c r="AF7" s="1316"/>
      <c r="AG7" s="1316"/>
      <c r="AH7" s="881"/>
      <c r="AI7" s="1327"/>
      <c r="AJ7" s="1327"/>
      <c r="AK7" s="1316"/>
    </row>
    <row r="8" spans="1:37" s="1328" customFormat="1" ht="26.25" x14ac:dyDescent="0.25">
      <c r="B8" s="1329"/>
      <c r="C8" s="6350" t="s">
        <v>3741</v>
      </c>
      <c r="D8" s="6350"/>
      <c r="E8" s="6350"/>
      <c r="F8" s="6350"/>
      <c r="G8" s="6350"/>
      <c r="H8" s="6350"/>
      <c r="I8" s="6350"/>
      <c r="J8" s="6350"/>
      <c r="K8" s="6350"/>
      <c r="L8" s="6350"/>
      <c r="M8" s="6350"/>
      <c r="N8" s="6350"/>
      <c r="O8" s="6350"/>
      <c r="P8" s="6350"/>
      <c r="Q8" s="6350"/>
      <c r="R8" s="6350"/>
      <c r="S8" s="6350"/>
      <c r="T8" s="6350"/>
      <c r="U8" s="6350"/>
      <c r="V8" s="6350"/>
      <c r="W8" s="6350"/>
      <c r="X8" s="6350"/>
      <c r="Y8" s="1330"/>
      <c r="Z8" s="1330"/>
      <c r="AA8" s="1330"/>
      <c r="AB8" s="1330"/>
      <c r="AC8" s="1331"/>
      <c r="AD8" s="1316"/>
      <c r="AF8" s="1316"/>
      <c r="AG8" s="1316"/>
      <c r="AI8" s="1332"/>
      <c r="AJ8" s="1332"/>
      <c r="AK8" s="1316"/>
    </row>
    <row r="9" spans="1:37" s="1328" customFormat="1" ht="26.25" x14ac:dyDescent="0.25">
      <c r="A9" s="5468" t="s">
        <v>184</v>
      </c>
      <c r="B9" s="1334"/>
      <c r="C9" s="1335"/>
      <c r="D9" s="6813" t="s">
        <v>789</v>
      </c>
      <c r="E9" s="6813"/>
      <c r="F9" s="6813"/>
      <c r="G9" s="6813"/>
      <c r="H9" s="6813"/>
      <c r="I9" s="6813"/>
      <c r="J9" s="6813"/>
      <c r="K9" s="6813"/>
      <c r="L9" s="6813"/>
      <c r="M9" s="6813"/>
      <c r="N9" s="5283"/>
      <c r="O9" s="5283"/>
      <c r="P9" s="6813" t="s">
        <v>813</v>
      </c>
      <c r="Q9" s="6813"/>
      <c r="R9" s="6813"/>
      <c r="S9" s="6813"/>
      <c r="T9" s="6813"/>
      <c r="U9" s="6813"/>
      <c r="V9" s="6813"/>
      <c r="W9" s="6813"/>
      <c r="X9" s="1336"/>
      <c r="Z9" s="1337"/>
      <c r="AA9" s="1336"/>
      <c r="AB9" s="1336"/>
      <c r="AC9" s="1338"/>
      <c r="AD9" s="1316"/>
    </row>
    <row r="10" spans="1:37" s="1328" customFormat="1" ht="211.5" customHeight="1" x14ac:dyDescent="0.25">
      <c r="A10" s="1333"/>
      <c r="B10" s="1339"/>
      <c r="C10" s="5707" t="s">
        <v>3480</v>
      </c>
      <c r="D10" s="5708"/>
      <c r="E10" s="5708"/>
      <c r="F10" s="5708"/>
      <c r="G10" s="5708"/>
      <c r="H10" s="5708"/>
      <c r="I10" s="5708"/>
      <c r="J10" s="5708"/>
      <c r="K10" s="5708"/>
      <c r="L10" s="5708"/>
      <c r="M10" s="5708"/>
      <c r="N10" s="5708"/>
      <c r="O10" s="5708"/>
      <c r="P10" s="6297" t="s">
        <v>3837</v>
      </c>
      <c r="Q10" s="6297"/>
      <c r="R10" s="6297"/>
      <c r="S10" s="6297"/>
      <c r="T10" s="6297"/>
      <c r="U10" s="6297"/>
      <c r="V10" s="6297"/>
      <c r="W10" s="6297"/>
      <c r="X10" s="6297"/>
      <c r="Y10" s="6297"/>
      <c r="Z10" s="6297"/>
      <c r="AA10" s="6297"/>
      <c r="AB10" s="6297"/>
      <c r="AC10" s="1340"/>
      <c r="AD10" s="1316"/>
    </row>
    <row r="11" spans="1:37" ht="26.25" customHeight="1" x14ac:dyDescent="0.25">
      <c r="B11" s="1341"/>
      <c r="C11" s="1341"/>
      <c r="D11" s="1341"/>
      <c r="E11" s="1341"/>
      <c r="F11" s="1341"/>
      <c r="G11" s="1341"/>
      <c r="H11" s="1341"/>
      <c r="I11" s="1341"/>
      <c r="J11" s="1341"/>
      <c r="K11" s="1341"/>
      <c r="L11" s="1341"/>
      <c r="M11" s="1341"/>
      <c r="N11" s="1341"/>
      <c r="O11" s="1341"/>
      <c r="P11" s="1341"/>
      <c r="Q11" s="1341"/>
      <c r="R11" s="1341"/>
      <c r="S11" s="1341"/>
      <c r="T11" s="1341"/>
      <c r="U11" s="1341"/>
      <c r="V11" s="1341"/>
      <c r="W11" s="1341"/>
      <c r="X11" s="1341"/>
      <c r="Y11" s="1342"/>
      <c r="Z11" s="1342"/>
      <c r="AA11" s="1341"/>
      <c r="AB11" s="1341"/>
      <c r="AC11" s="1341"/>
    </row>
    <row r="12" spans="1:37" s="1344" customFormat="1" ht="34.5" customHeight="1" x14ac:dyDescent="0.4">
      <c r="B12" s="1387" t="s">
        <v>1</v>
      </c>
      <c r="C12" s="1388" t="s">
        <v>791</v>
      </c>
      <c r="D12" s="1388"/>
      <c r="E12" s="1388"/>
      <c r="F12" s="1388"/>
      <c r="G12" s="1388"/>
      <c r="H12" s="1388"/>
      <c r="I12" s="1387"/>
      <c r="J12" s="1387"/>
      <c r="K12" s="1389"/>
      <c r="L12" s="1389"/>
      <c r="M12" s="1389"/>
      <c r="N12" s="1389"/>
      <c r="O12" s="1389"/>
      <c r="P12" s="1389"/>
      <c r="Q12" s="1389"/>
      <c r="R12" s="1389"/>
      <c r="S12" s="1389"/>
      <c r="T12" s="1389"/>
      <c r="U12" s="1389"/>
      <c r="V12" s="1389"/>
      <c r="W12" s="1389"/>
      <c r="X12" s="1389"/>
      <c r="Y12" s="1389"/>
      <c r="Z12" s="1389"/>
      <c r="AA12" s="5964"/>
      <c r="AB12" s="5964"/>
      <c r="AC12" s="1389"/>
      <c r="AH12" s="1345"/>
      <c r="AI12" s="1346"/>
      <c r="AJ12" s="1346"/>
    </row>
    <row r="13" spans="1:37" ht="15.75" thickBot="1" x14ac:dyDescent="0.3">
      <c r="B13" s="1341"/>
      <c r="C13" s="1341"/>
      <c r="D13" s="1341"/>
      <c r="E13" s="1341"/>
      <c r="F13" s="1341"/>
      <c r="G13" s="1341"/>
      <c r="H13" s="1341"/>
      <c r="I13" s="1341"/>
      <c r="J13" s="1341"/>
      <c r="K13" s="1341"/>
      <c r="L13" s="1347"/>
      <c r="M13" s="1347"/>
      <c r="N13" s="1347"/>
      <c r="O13" s="1347"/>
      <c r="P13" s="1347"/>
      <c r="Q13" s="1347"/>
      <c r="R13" s="1347"/>
      <c r="S13" s="1347"/>
      <c r="T13" s="1347"/>
      <c r="U13" s="1347"/>
      <c r="V13" s="1347"/>
      <c r="W13" s="1347"/>
      <c r="X13" s="1347"/>
      <c r="Y13" s="1347"/>
      <c r="Z13" s="1347"/>
      <c r="AA13" s="1347"/>
      <c r="AB13" s="1347"/>
      <c r="AC13" s="1341"/>
    </row>
    <row r="14" spans="1:37" ht="27" customHeight="1" thickBot="1" x14ac:dyDescent="0.3">
      <c r="B14" s="1341"/>
      <c r="C14" s="1348" t="s">
        <v>899</v>
      </c>
      <c r="D14" s="6820" t="s">
        <v>3925</v>
      </c>
      <c r="E14" s="6821"/>
      <c r="F14" s="6821"/>
      <c r="G14" s="6821"/>
      <c r="H14" s="6821"/>
      <c r="I14" s="6822"/>
      <c r="J14" s="1341"/>
      <c r="K14" s="1341"/>
      <c r="L14" s="1347"/>
      <c r="M14" s="1347"/>
      <c r="N14" s="1347"/>
      <c r="O14" s="1347"/>
      <c r="P14" s="1347"/>
      <c r="Q14" s="1347"/>
      <c r="R14" s="1347"/>
      <c r="S14" s="1347"/>
      <c r="T14" s="1347"/>
      <c r="U14" s="1347"/>
      <c r="V14" s="1347"/>
      <c r="W14" s="1347"/>
      <c r="X14" s="1347"/>
      <c r="Y14" s="1347"/>
      <c r="Z14" s="1347"/>
      <c r="AA14" s="1347"/>
      <c r="AB14" s="1347"/>
      <c r="AC14" s="1341"/>
    </row>
    <row r="15" spans="1:37" x14ac:dyDescent="0.25">
      <c r="B15" s="1341"/>
      <c r="C15" s="1341"/>
      <c r="D15" s="1341"/>
      <c r="E15" s="1341"/>
      <c r="F15" s="1341"/>
      <c r="G15" s="1341"/>
      <c r="H15" s="1341"/>
      <c r="I15" s="1341"/>
      <c r="J15" s="1341"/>
      <c r="K15" s="1341"/>
      <c r="L15" s="1347"/>
      <c r="M15" s="1347"/>
      <c r="N15" s="5963" t="str">
        <f>CONCATENATE("All figures in ",'General info'!$E$43," ",'General info'!$G$43)</f>
        <v>All figures in INR Lakhs</v>
      </c>
      <c r="O15" s="1347"/>
      <c r="P15" s="1349"/>
      <c r="Q15" s="1347"/>
      <c r="R15" s="1347"/>
      <c r="S15" s="1347"/>
      <c r="T15" s="1347"/>
      <c r="U15" s="1347"/>
      <c r="V15" s="1347"/>
      <c r="W15" s="1347"/>
      <c r="X15" s="1347"/>
      <c r="Y15" s="1347"/>
      <c r="Z15" s="1347"/>
      <c r="AA15" s="1347"/>
      <c r="AB15" s="5963" t="str">
        <f>CONCATENATE("All figures in ",'General info'!$E$43," ",'General info'!$G$43)</f>
        <v>All figures in INR Lakhs</v>
      </c>
      <c r="AC15" s="1341"/>
    </row>
    <row r="16" spans="1:37" ht="34.5" customHeight="1" x14ac:dyDescent="0.25">
      <c r="B16" s="1341"/>
      <c r="C16" s="1350" t="s">
        <v>789</v>
      </c>
      <c r="D16" s="1350">
        <f>'Financial Projections'!K97</f>
        <v>2015</v>
      </c>
      <c r="E16" s="1350">
        <f>'Financial Projections'!L97</f>
        <v>2016</v>
      </c>
      <c r="F16" s="1350">
        <f>'Financial Projections'!M97</f>
        <v>2017</v>
      </c>
      <c r="G16" s="1350">
        <f>'Financial Projections'!N97</f>
        <v>2018</v>
      </c>
      <c r="H16" s="1350">
        <f>'Financial Projections'!O97</f>
        <v>2019</v>
      </c>
      <c r="I16" s="1350">
        <f>'Financial Projections'!P97</f>
        <v>2020</v>
      </c>
      <c r="J16" s="1350">
        <f>'Financial Projections'!Q97</f>
        <v>2021</v>
      </c>
      <c r="K16" s="1350">
        <f>'Financial Projections'!R97</f>
        <v>2022</v>
      </c>
      <c r="L16" s="1350">
        <f>'Financial Projections'!S97</f>
        <v>2023</v>
      </c>
      <c r="M16" s="1350">
        <f>'Financial Projections'!T97</f>
        <v>2024</v>
      </c>
      <c r="N16" s="1350" t="s">
        <v>16</v>
      </c>
      <c r="O16" s="1351"/>
      <c r="P16" s="6840" t="s">
        <v>1282</v>
      </c>
      <c r="Q16" s="6841"/>
      <c r="R16" s="1350">
        <f t="shared" ref="R16:AB16" si="0">D16</f>
        <v>2015</v>
      </c>
      <c r="S16" s="1350">
        <f t="shared" si="0"/>
        <v>2016</v>
      </c>
      <c r="T16" s="1350">
        <f t="shared" si="0"/>
        <v>2017</v>
      </c>
      <c r="U16" s="1350">
        <f t="shared" si="0"/>
        <v>2018</v>
      </c>
      <c r="V16" s="1350">
        <f t="shared" si="0"/>
        <v>2019</v>
      </c>
      <c r="W16" s="1350">
        <f t="shared" si="0"/>
        <v>2020</v>
      </c>
      <c r="X16" s="1350">
        <f t="shared" si="0"/>
        <v>2021</v>
      </c>
      <c r="Y16" s="1350">
        <f t="shared" si="0"/>
        <v>2022</v>
      </c>
      <c r="Z16" s="1350">
        <f t="shared" si="0"/>
        <v>2023</v>
      </c>
      <c r="AA16" s="1350">
        <f t="shared" si="0"/>
        <v>2024</v>
      </c>
      <c r="AB16" s="1350" t="str">
        <f t="shared" si="0"/>
        <v>Total</v>
      </c>
      <c r="AC16" s="1341"/>
    </row>
    <row r="17" spans="2:34" s="1343" customFormat="1" x14ac:dyDescent="0.25">
      <c r="B17" s="1352"/>
      <c r="C17" s="6837" t="s">
        <v>146</v>
      </c>
      <c r="D17" s="6814">
        <f>'PIP finance'!Q593</f>
        <v>345.26666666666671</v>
      </c>
      <c r="E17" s="6814">
        <f>'PIP finance'!R593</f>
        <v>301.06233333333336</v>
      </c>
      <c r="F17" s="6814">
        <f>'PIP finance'!S593</f>
        <v>256.87739666666664</v>
      </c>
      <c r="G17" s="6814">
        <f>'PIP finance'!T593</f>
        <v>242.19100109999999</v>
      </c>
      <c r="H17" s="6814">
        <f>'PIP finance'!U593</f>
        <v>259.14437117700004</v>
      </c>
      <c r="I17" s="6814">
        <f>'PIP finance'!V593</f>
        <v>0</v>
      </c>
      <c r="J17" s="6814">
        <f>'PIP finance'!W593</f>
        <v>0</v>
      </c>
      <c r="K17" s="6814">
        <f>'PIP finance'!X593</f>
        <v>0</v>
      </c>
      <c r="L17" s="6814">
        <f>'PIP finance'!Y593</f>
        <v>0</v>
      </c>
      <c r="M17" s="6814">
        <f>'PIP finance'!Z593</f>
        <v>0</v>
      </c>
      <c r="N17" s="6815">
        <f>SUM(D17:M17)</f>
        <v>1404.5417689436667</v>
      </c>
      <c r="O17" s="1347"/>
      <c r="P17" s="6825" t="s">
        <v>1374</v>
      </c>
      <c r="Q17" s="6826"/>
      <c r="R17" s="1353">
        <f ca="1">'PIP finance'!Q617</f>
        <v>10.600000000000001</v>
      </c>
      <c r="S17" s="1353">
        <f ca="1">'PIP finance'!R617</f>
        <v>11.342000000000001</v>
      </c>
      <c r="T17" s="1353">
        <f ca="1">'PIP finance'!S617</f>
        <v>5.26654</v>
      </c>
      <c r="U17" s="1353">
        <f ca="1">'PIP finance'!T617</f>
        <v>0</v>
      </c>
      <c r="V17" s="1353">
        <f ca="1">'PIP finance'!U617</f>
        <v>0</v>
      </c>
      <c r="W17" s="1353">
        <f ca="1">'PIP finance'!V617</f>
        <v>0</v>
      </c>
      <c r="X17" s="1353">
        <f ca="1">'PIP finance'!W617</f>
        <v>0</v>
      </c>
      <c r="Y17" s="1353">
        <f ca="1">'PIP finance'!X617</f>
        <v>0</v>
      </c>
      <c r="Z17" s="1353">
        <f ca="1">'PIP finance'!Y617</f>
        <v>0</v>
      </c>
      <c r="AA17" s="1353">
        <f ca="1">'PIP finance'!Z617</f>
        <v>0</v>
      </c>
      <c r="AB17" s="1354">
        <f t="shared" ref="AB17:AB22" ca="1" si="1">SUM(R17:AA17)</f>
        <v>27.208539999999999</v>
      </c>
      <c r="AC17" s="1352"/>
      <c r="AH17" s="1317"/>
    </row>
    <row r="18" spans="2:34" s="1343" customFormat="1" x14ac:dyDescent="0.25">
      <c r="B18" s="1352"/>
      <c r="C18" s="6837"/>
      <c r="D18" s="6814"/>
      <c r="E18" s="6814"/>
      <c r="F18" s="6814"/>
      <c r="G18" s="6814"/>
      <c r="H18" s="6814"/>
      <c r="I18" s="6814"/>
      <c r="J18" s="6814"/>
      <c r="K18" s="6814"/>
      <c r="L18" s="6814"/>
      <c r="M18" s="6814"/>
      <c r="N18" s="6815"/>
      <c r="O18" s="1347"/>
      <c r="P18" s="6816" t="s">
        <v>1375</v>
      </c>
      <c r="Q18" s="6817"/>
      <c r="R18" s="1355">
        <f ca="1">'PIP finance'!Q618</f>
        <v>8.48</v>
      </c>
      <c r="S18" s="1355">
        <f ca="1">'PIP finance'!R618</f>
        <v>9.0736000000000008</v>
      </c>
      <c r="T18" s="1355">
        <f ca="1">'PIP finance'!S618</f>
        <v>4.2132319999999996</v>
      </c>
      <c r="U18" s="1355">
        <f ca="1">'PIP finance'!T618</f>
        <v>0</v>
      </c>
      <c r="V18" s="1355">
        <f ca="1">'PIP finance'!U618</f>
        <v>0</v>
      </c>
      <c r="W18" s="1355">
        <f ca="1">'PIP finance'!V618</f>
        <v>0</v>
      </c>
      <c r="X18" s="1355">
        <f ca="1">'PIP finance'!W618</f>
        <v>0</v>
      </c>
      <c r="Y18" s="1355">
        <f ca="1">'PIP finance'!X618</f>
        <v>0</v>
      </c>
      <c r="Z18" s="1355">
        <f ca="1">'PIP finance'!Y618</f>
        <v>0</v>
      </c>
      <c r="AA18" s="1355">
        <f ca="1">'PIP finance'!Z618</f>
        <v>0</v>
      </c>
      <c r="AB18" s="1356">
        <f t="shared" ca="1" si="1"/>
        <v>21.766832000000001</v>
      </c>
      <c r="AC18" s="1352"/>
      <c r="AF18" s="1357"/>
      <c r="AH18" s="1317"/>
    </row>
    <row r="19" spans="2:34" s="1343" customFormat="1" x14ac:dyDescent="0.25">
      <c r="B19" s="1352"/>
      <c r="C19" s="6838" t="s">
        <v>1284</v>
      </c>
      <c r="D19" s="6814">
        <f>'PIP finance'!Q594</f>
        <v>2.5116666666666667</v>
      </c>
      <c r="E19" s="6814">
        <f>'PIP finance'!R594</f>
        <v>16.898</v>
      </c>
      <c r="F19" s="6814">
        <f>'PIP finance'!S594</f>
        <v>24.158531249999999</v>
      </c>
      <c r="G19" s="6814">
        <f>'PIP finance'!T594</f>
        <v>25.366457812500002</v>
      </c>
      <c r="H19" s="6814">
        <f>'PIP finance'!U594</f>
        <v>26.634780703125006</v>
      </c>
      <c r="I19" s="6814">
        <f>'PIP finance'!V594</f>
        <v>27.96651973828126</v>
      </c>
      <c r="J19" s="6814">
        <f>'PIP finance'!W594</f>
        <v>29.364845725195323</v>
      </c>
      <c r="K19" s="6814">
        <f>'PIP finance'!X594</f>
        <v>30.833088011455089</v>
      </c>
      <c r="L19" s="6814">
        <f>'PIP finance'!Y594</f>
        <v>32.374742412027842</v>
      </c>
      <c r="M19" s="6814">
        <f>'PIP finance'!Z594</f>
        <v>33.993479532629237</v>
      </c>
      <c r="N19" s="6815">
        <f>SUM(D19:M19)</f>
        <v>250.10211185188044</v>
      </c>
      <c r="O19" s="1347"/>
      <c r="P19" s="6823" t="s">
        <v>1514</v>
      </c>
      <c r="Q19" s="6824"/>
      <c r="R19" s="1358">
        <f ca="1">'PIP finance'!Q619</f>
        <v>0</v>
      </c>
      <c r="S19" s="1358">
        <f ca="1">'PIP finance'!R619</f>
        <v>0</v>
      </c>
      <c r="T19" s="1358">
        <f ca="1">'PIP finance'!S619</f>
        <v>0</v>
      </c>
      <c r="U19" s="1358">
        <f ca="1">'PIP finance'!T619</f>
        <v>0</v>
      </c>
      <c r="V19" s="1358">
        <f ca="1">'PIP finance'!U619</f>
        <v>0</v>
      </c>
      <c r="W19" s="1358">
        <f ca="1">'PIP finance'!V619</f>
        <v>0</v>
      </c>
      <c r="X19" s="1358">
        <f ca="1">'PIP finance'!W619</f>
        <v>0</v>
      </c>
      <c r="Y19" s="1358">
        <f ca="1">'PIP finance'!X619</f>
        <v>0</v>
      </c>
      <c r="Z19" s="1358">
        <f ca="1">'PIP finance'!Y619</f>
        <v>0</v>
      </c>
      <c r="AA19" s="1358">
        <f ca="1">'PIP finance'!Z619</f>
        <v>0</v>
      </c>
      <c r="AB19" s="1359">
        <f t="shared" ca="1" si="1"/>
        <v>0</v>
      </c>
      <c r="AC19" s="1352"/>
      <c r="AH19" s="1317"/>
    </row>
    <row r="20" spans="2:34" x14ac:dyDescent="0.25">
      <c r="B20" s="1341"/>
      <c r="C20" s="6838"/>
      <c r="D20" s="6814"/>
      <c r="E20" s="6814"/>
      <c r="F20" s="6814"/>
      <c r="G20" s="6814"/>
      <c r="H20" s="6814"/>
      <c r="I20" s="6814"/>
      <c r="J20" s="6814"/>
      <c r="K20" s="6814"/>
      <c r="L20" s="6814"/>
      <c r="M20" s="6814"/>
      <c r="N20" s="6815"/>
      <c r="O20" s="1347"/>
      <c r="P20" s="6818" t="s">
        <v>1505</v>
      </c>
      <c r="Q20" s="6819"/>
      <c r="R20" s="1353">
        <f ca="1">'PIP finance'!Q620</f>
        <v>197.7</v>
      </c>
      <c r="S20" s="1353">
        <f ca="1">'PIP finance'!R620</f>
        <v>211.53899999999999</v>
      </c>
      <c r="T20" s="1353">
        <f ca="1">'PIP finance'!S620</f>
        <v>226.34672999999998</v>
      </c>
      <c r="U20" s="1353">
        <f ca="1">'PIP finance'!T620</f>
        <v>242.19100109999999</v>
      </c>
      <c r="V20" s="1353">
        <f ca="1">'PIP finance'!U620</f>
        <v>259.14437117700004</v>
      </c>
      <c r="W20" s="1353">
        <f ca="1">'PIP finance'!V620</f>
        <v>0</v>
      </c>
      <c r="X20" s="1353">
        <f ca="1">'PIP finance'!W620</f>
        <v>0</v>
      </c>
      <c r="Y20" s="1353">
        <f ca="1">'PIP finance'!X620</f>
        <v>0</v>
      </c>
      <c r="Z20" s="1353">
        <f ca="1">'PIP finance'!Y620</f>
        <v>0</v>
      </c>
      <c r="AA20" s="1353">
        <f ca="1">'PIP finance'!Z620</f>
        <v>0</v>
      </c>
      <c r="AB20" s="1354">
        <f t="shared" ca="1" si="1"/>
        <v>1136.921102277</v>
      </c>
      <c r="AC20" s="1341"/>
    </row>
    <row r="21" spans="2:34" x14ac:dyDescent="0.25">
      <c r="B21" s="1341"/>
      <c r="C21" s="6839" t="s">
        <v>1281</v>
      </c>
      <c r="D21" s="6814">
        <f>'PIP finance'!Q595</f>
        <v>1.4133333333333336</v>
      </c>
      <c r="E21" s="6814">
        <f>'PIP finance'!R595</f>
        <v>1.4345333333333334</v>
      </c>
      <c r="F21" s="6814">
        <f>'PIP finance'!S595</f>
        <v>1.4563693333333336</v>
      </c>
      <c r="G21" s="6814">
        <f>'PIP finance'!T595</f>
        <v>17.201518364333332</v>
      </c>
      <c r="H21" s="6814">
        <f>'PIP finance'!U595</f>
        <v>17.470973915263336</v>
      </c>
      <c r="I21" s="6814">
        <f>'PIP finance'!V595</f>
        <v>0</v>
      </c>
      <c r="J21" s="6814">
        <f>'PIP finance'!W595</f>
        <v>0</v>
      </c>
      <c r="K21" s="6814">
        <f>'PIP finance'!X595</f>
        <v>0</v>
      </c>
      <c r="L21" s="6814">
        <f>'PIP finance'!Y595</f>
        <v>0</v>
      </c>
      <c r="M21" s="6814">
        <f>'PIP finance'!Z595</f>
        <v>0</v>
      </c>
      <c r="N21" s="6815">
        <f>SUM(D21:M21)</f>
        <v>38.976728279596671</v>
      </c>
      <c r="O21" s="1347"/>
      <c r="P21" s="6867" t="s">
        <v>1259</v>
      </c>
      <c r="Q21" s="6868"/>
      <c r="R21" s="1355">
        <f>'PIP finance'!Q621</f>
        <v>156.95999999999998</v>
      </c>
      <c r="S21" s="1355">
        <f>'PIP finance'!R621</f>
        <v>126.92339999999999</v>
      </c>
      <c r="T21" s="1355">
        <f>'PIP finance'!S621</f>
        <v>135.80803799999998</v>
      </c>
      <c r="U21" s="1355">
        <f>'PIP finance'!T621</f>
        <v>145.31460066</v>
      </c>
      <c r="V21" s="1355">
        <f>'PIP finance'!U621</f>
        <v>155.48662270620002</v>
      </c>
      <c r="W21" s="1355">
        <f>'PIP finance'!V621</f>
        <v>0</v>
      </c>
      <c r="X21" s="1355">
        <f>'PIP finance'!W621</f>
        <v>0</v>
      </c>
      <c r="Y21" s="1355">
        <f>'PIP finance'!X621</f>
        <v>0</v>
      </c>
      <c r="Z21" s="1355">
        <f>'PIP finance'!Y621</f>
        <v>0</v>
      </c>
      <c r="AA21" s="1355">
        <f>'PIP finance'!Z621</f>
        <v>0</v>
      </c>
      <c r="AB21" s="1356">
        <f t="shared" si="1"/>
        <v>720.49266136619997</v>
      </c>
      <c r="AC21" s="1341"/>
    </row>
    <row r="22" spans="2:34" x14ac:dyDescent="0.25">
      <c r="B22" s="1341"/>
      <c r="C22" s="6839"/>
      <c r="D22" s="6814"/>
      <c r="E22" s="6814"/>
      <c r="F22" s="6814"/>
      <c r="G22" s="6814"/>
      <c r="H22" s="6814"/>
      <c r="I22" s="6814"/>
      <c r="J22" s="6814"/>
      <c r="K22" s="6814"/>
      <c r="L22" s="6814"/>
      <c r="M22" s="6814"/>
      <c r="N22" s="6815"/>
      <c r="O22" s="1347"/>
      <c r="P22" s="6842" t="s">
        <v>3746</v>
      </c>
      <c r="Q22" s="6843"/>
      <c r="R22" s="1552">
        <f ca="1">'PIP finance'!Q616</f>
        <v>-28.473333333333329</v>
      </c>
      <c r="S22" s="1552">
        <f ca="1">'PIP finance'!R616</f>
        <v>-57.815666666666679</v>
      </c>
      <c r="T22" s="1552">
        <f ca="1">'PIP finance'!S616</f>
        <v>-114.75714333333335</v>
      </c>
      <c r="U22" s="1552">
        <f ca="1">'PIP finance'!T616</f>
        <v>-145.31460066000002</v>
      </c>
      <c r="V22" s="1552">
        <f ca="1">'PIP finance'!U616</f>
        <v>-155.48662270620005</v>
      </c>
      <c r="W22" s="1552">
        <f ca="1">'PIP finance'!V616</f>
        <v>0</v>
      </c>
      <c r="X22" s="1552">
        <f ca="1">'PIP finance'!W616</f>
        <v>0</v>
      </c>
      <c r="Y22" s="1552">
        <f ca="1">'PIP finance'!X616</f>
        <v>0</v>
      </c>
      <c r="Z22" s="1552">
        <f ca="1">'PIP finance'!Y616</f>
        <v>0</v>
      </c>
      <c r="AA22" s="1552">
        <f ca="1">'PIP finance'!Z616</f>
        <v>0</v>
      </c>
      <c r="AB22" s="1359">
        <f t="shared" ca="1" si="1"/>
        <v>-501.84736669953338</v>
      </c>
      <c r="AC22" s="1341"/>
    </row>
    <row r="23" spans="2:34" x14ac:dyDescent="0.25">
      <c r="B23" s="1341"/>
      <c r="C23" s="1341"/>
      <c r="D23" s="1341"/>
      <c r="E23" s="1341"/>
      <c r="F23" s="1341"/>
      <c r="G23" s="1341"/>
      <c r="H23" s="1341"/>
      <c r="I23" s="1341"/>
      <c r="J23" s="1341"/>
      <c r="K23" s="1341"/>
      <c r="L23" s="1347"/>
      <c r="M23" s="1347"/>
      <c r="N23" s="1347"/>
      <c r="O23" s="1347"/>
      <c r="P23" s="1347"/>
      <c r="Q23" s="1347"/>
      <c r="R23" s="1347"/>
      <c r="S23" s="1347"/>
      <c r="T23" s="1347"/>
      <c r="U23" s="1347"/>
      <c r="V23" s="1347"/>
      <c r="W23" s="1347"/>
      <c r="X23" s="1347"/>
      <c r="Y23" s="1347"/>
      <c r="Z23" s="1347"/>
      <c r="AA23" s="1347"/>
      <c r="AB23" s="1347"/>
      <c r="AC23" s="1341"/>
    </row>
    <row r="24" spans="2:34" x14ac:dyDescent="0.25">
      <c r="B24" s="1341"/>
      <c r="C24" s="1341"/>
      <c r="D24" s="1341"/>
      <c r="E24" s="1341"/>
      <c r="F24" s="1341"/>
      <c r="G24" s="1341"/>
      <c r="H24" s="1341"/>
      <c r="I24" s="1341"/>
      <c r="J24" s="1341"/>
      <c r="K24" s="1341"/>
      <c r="L24" s="1347"/>
      <c r="M24" s="1347"/>
      <c r="N24" s="1347"/>
      <c r="O24" s="1347"/>
      <c r="P24" s="1347"/>
      <c r="Q24" s="1347"/>
      <c r="R24" s="1347"/>
      <c r="S24" s="1347"/>
      <c r="T24" s="1347"/>
      <c r="U24" s="1347"/>
      <c r="V24" s="1347"/>
      <c r="W24" s="1347"/>
      <c r="X24" s="1347"/>
      <c r="Y24" s="1347"/>
      <c r="Z24" s="1347"/>
      <c r="AA24" s="1347"/>
      <c r="AB24" s="1347"/>
      <c r="AC24" s="1341"/>
    </row>
    <row r="25" spans="2:34" x14ac:dyDescent="0.25">
      <c r="B25" s="1341"/>
      <c r="C25" s="1341"/>
      <c r="D25" s="1341"/>
      <c r="E25" s="1341"/>
      <c r="F25" s="1341"/>
      <c r="G25" s="1341"/>
      <c r="H25" s="1341"/>
      <c r="I25" s="1341"/>
      <c r="J25" s="1341"/>
      <c r="K25" s="1341"/>
      <c r="L25" s="1347"/>
      <c r="M25" s="1347"/>
      <c r="N25" s="1347"/>
      <c r="O25" s="1347"/>
      <c r="P25" s="1347"/>
      <c r="Q25" s="1347"/>
      <c r="R25" s="1347"/>
      <c r="S25" s="1347"/>
      <c r="T25" s="1347"/>
      <c r="U25" s="1347"/>
      <c r="V25" s="1347"/>
      <c r="W25" s="1347"/>
      <c r="X25" s="1347"/>
      <c r="Y25" s="1347"/>
      <c r="Z25" s="1347"/>
      <c r="AA25" s="1347"/>
      <c r="AB25" s="1347"/>
      <c r="AC25" s="1341"/>
      <c r="AE25" s="1468"/>
    </row>
    <row r="26" spans="2:34" x14ac:dyDescent="0.25">
      <c r="B26" s="1341"/>
      <c r="C26" s="1341"/>
      <c r="D26" s="1341"/>
      <c r="E26" s="1341"/>
      <c r="F26" s="1341"/>
      <c r="G26" s="1341"/>
      <c r="H26" s="1341"/>
      <c r="I26" s="1341"/>
      <c r="J26" s="1341"/>
      <c r="K26" s="1341"/>
      <c r="L26" s="1347"/>
      <c r="M26" s="1347"/>
      <c r="N26" s="1347"/>
      <c r="O26" s="1347"/>
      <c r="P26" s="1347"/>
      <c r="Q26" s="1347"/>
      <c r="R26" s="1347"/>
      <c r="S26" s="1347"/>
      <c r="T26" s="1347"/>
      <c r="U26" s="1347"/>
      <c r="V26" s="1347"/>
      <c r="W26" s="1347"/>
      <c r="X26" s="1347"/>
      <c r="Y26" s="1347"/>
      <c r="Z26" s="1347"/>
      <c r="AA26" s="1347"/>
      <c r="AB26" s="1347"/>
      <c r="AC26" s="1341"/>
    </row>
    <row r="27" spans="2:34" x14ac:dyDescent="0.25">
      <c r="B27" s="1341"/>
      <c r="C27" s="1341"/>
      <c r="D27" s="1341"/>
      <c r="E27" s="1341"/>
      <c r="F27" s="1341"/>
      <c r="G27" s="1341"/>
      <c r="H27" s="1341"/>
      <c r="I27" s="1341"/>
      <c r="J27" s="1341"/>
      <c r="K27" s="1341"/>
      <c r="L27" s="1347"/>
      <c r="M27" s="1347"/>
      <c r="N27" s="1347"/>
      <c r="O27" s="1347"/>
      <c r="P27" s="1347"/>
      <c r="Q27" s="1347"/>
      <c r="R27" s="1347"/>
      <c r="S27" s="1347"/>
      <c r="T27" s="1347"/>
      <c r="U27" s="1347"/>
      <c r="V27" s="1347"/>
      <c r="W27" s="1347"/>
      <c r="X27" s="1347"/>
      <c r="Y27" s="1347"/>
      <c r="Z27" s="1347"/>
      <c r="AA27" s="1347"/>
      <c r="AB27" s="1347"/>
      <c r="AC27" s="1341"/>
    </row>
    <row r="28" spans="2:34" x14ac:dyDescent="0.25">
      <c r="B28" s="1341"/>
      <c r="C28" s="1341"/>
      <c r="D28" s="1341"/>
      <c r="E28" s="1341"/>
      <c r="F28" s="1341"/>
      <c r="G28" s="1341"/>
      <c r="H28" s="1341"/>
      <c r="I28" s="1341"/>
      <c r="J28" s="1341"/>
      <c r="K28" s="1341"/>
      <c r="L28" s="1341"/>
      <c r="M28" s="1341"/>
      <c r="N28" s="1341"/>
      <c r="O28" s="1347"/>
      <c r="P28" s="1341"/>
      <c r="Q28" s="1341"/>
      <c r="R28" s="1341"/>
      <c r="S28" s="1341"/>
      <c r="T28" s="1341"/>
      <c r="U28" s="1341"/>
      <c r="V28" s="1341"/>
      <c r="W28" s="1341"/>
      <c r="X28" s="1341"/>
      <c r="Y28" s="1341"/>
      <c r="Z28" s="1341"/>
      <c r="AA28" s="1341"/>
      <c r="AB28" s="1341"/>
      <c r="AC28" s="1341"/>
    </row>
    <row r="29" spans="2:34" x14ac:dyDescent="0.25">
      <c r="B29" s="1341"/>
      <c r="C29" s="1341"/>
      <c r="D29" s="1341"/>
      <c r="E29" s="1341"/>
      <c r="F29" s="1341"/>
      <c r="G29" s="1341"/>
      <c r="H29" s="1341"/>
      <c r="I29" s="1341"/>
      <c r="J29" s="1341"/>
      <c r="K29" s="1341"/>
      <c r="L29" s="1341"/>
      <c r="M29" s="1341"/>
      <c r="N29" s="1341"/>
      <c r="O29" s="1341"/>
      <c r="P29" s="1341"/>
      <c r="Q29" s="1341"/>
      <c r="R29" s="1360"/>
      <c r="S29" s="1361"/>
      <c r="T29" s="1361"/>
      <c r="U29" s="1361"/>
      <c r="V29" s="1361"/>
      <c r="W29" s="1361"/>
      <c r="X29" s="1361"/>
      <c r="Y29" s="1361"/>
      <c r="Z29" s="1361"/>
      <c r="AA29" s="1361"/>
      <c r="AB29" s="1361"/>
      <c r="AC29" s="1341"/>
    </row>
    <row r="30" spans="2:34" x14ac:dyDescent="0.25">
      <c r="B30" s="1341"/>
      <c r="C30" s="1341"/>
      <c r="D30" s="1341"/>
      <c r="E30" s="1341"/>
      <c r="F30" s="1341"/>
      <c r="G30" s="1341"/>
      <c r="H30" s="1341"/>
      <c r="I30" s="1341"/>
      <c r="J30" s="1341"/>
      <c r="K30" s="1341"/>
      <c r="L30" s="1341"/>
      <c r="M30" s="1341"/>
      <c r="N30" s="1341"/>
      <c r="O30" s="1341"/>
      <c r="P30" s="1341"/>
      <c r="Q30" s="1362"/>
      <c r="R30" s="1363"/>
      <c r="S30" s="1363"/>
      <c r="T30" s="1363"/>
      <c r="U30" s="1363"/>
      <c r="V30" s="1363"/>
      <c r="W30" s="1363"/>
      <c r="X30" s="1363"/>
      <c r="Y30" s="1363"/>
      <c r="Z30" s="1363"/>
      <c r="AA30" s="1363"/>
      <c r="AB30" s="1361"/>
      <c r="AC30" s="1341"/>
    </row>
    <row r="31" spans="2:34" x14ac:dyDescent="0.25">
      <c r="B31" s="1341"/>
      <c r="C31" s="1341"/>
      <c r="D31" s="1341"/>
      <c r="E31" s="1341"/>
      <c r="F31" s="1341"/>
      <c r="G31" s="1341"/>
      <c r="H31" s="1341"/>
      <c r="I31" s="1341"/>
      <c r="J31" s="1341"/>
      <c r="K31" s="1341"/>
      <c r="L31" s="1341"/>
      <c r="M31" s="1341"/>
      <c r="N31" s="1341"/>
      <c r="O31" s="1341"/>
      <c r="P31" s="1341"/>
      <c r="Q31" s="1362"/>
      <c r="R31" s="1363"/>
      <c r="S31" s="1363"/>
      <c r="T31" s="1363"/>
      <c r="U31" s="1363"/>
      <c r="V31" s="1363"/>
      <c r="W31" s="1363"/>
      <c r="X31" s="1363"/>
      <c r="Y31" s="1363"/>
      <c r="Z31" s="1363"/>
      <c r="AA31" s="1363"/>
      <c r="AB31" s="1361"/>
      <c r="AC31" s="1341"/>
    </row>
    <row r="32" spans="2:34" x14ac:dyDescent="0.25">
      <c r="B32" s="1341"/>
      <c r="C32" s="1341"/>
      <c r="D32" s="1341"/>
      <c r="E32" s="1341"/>
      <c r="F32" s="1341"/>
      <c r="G32" s="1341"/>
      <c r="H32" s="1341"/>
      <c r="I32" s="1341"/>
      <c r="J32" s="1341"/>
      <c r="K32" s="1341"/>
      <c r="L32" s="1341"/>
      <c r="M32" s="1341"/>
      <c r="N32" s="1341"/>
      <c r="O32" s="1341"/>
      <c r="P32" s="1341"/>
      <c r="Q32" s="1362"/>
      <c r="R32" s="1363"/>
      <c r="S32" s="1363"/>
      <c r="T32" s="1363"/>
      <c r="U32" s="1363"/>
      <c r="V32" s="1363"/>
      <c r="W32" s="1363"/>
      <c r="X32" s="1363"/>
      <c r="Y32" s="1363"/>
      <c r="Z32" s="1363"/>
      <c r="AA32" s="1363"/>
      <c r="AB32" s="1361"/>
      <c r="AC32" s="1341"/>
    </row>
    <row r="33" spans="2:32" x14ac:dyDescent="0.25">
      <c r="B33" s="1341"/>
      <c r="C33" s="1341"/>
      <c r="D33" s="1341"/>
      <c r="E33" s="1341"/>
      <c r="F33" s="1341"/>
      <c r="G33" s="1341"/>
      <c r="H33" s="1341"/>
      <c r="I33" s="1341"/>
      <c r="J33" s="1341"/>
      <c r="K33" s="1341"/>
      <c r="L33" s="1341"/>
      <c r="M33" s="1341"/>
      <c r="N33" s="1341"/>
      <c r="O33" s="1341"/>
      <c r="P33" s="1341"/>
      <c r="Q33" s="1362"/>
      <c r="R33" s="1363"/>
      <c r="S33" s="1363"/>
      <c r="T33" s="1363"/>
      <c r="U33" s="1363"/>
      <c r="V33" s="1363"/>
      <c r="W33" s="1363"/>
      <c r="X33" s="1363"/>
      <c r="Y33" s="1363"/>
      <c r="Z33" s="1363"/>
      <c r="AA33" s="1363"/>
      <c r="AB33" s="1361"/>
      <c r="AC33" s="1341"/>
    </row>
    <row r="34" spans="2:32" x14ac:dyDescent="0.25">
      <c r="B34" s="1341"/>
      <c r="C34" s="1341"/>
      <c r="D34" s="1341"/>
      <c r="E34" s="1341"/>
      <c r="F34" s="1341"/>
      <c r="G34" s="1341"/>
      <c r="H34" s="1341"/>
      <c r="I34" s="1341"/>
      <c r="J34" s="1341"/>
      <c r="K34" s="1341"/>
      <c r="L34" s="1341"/>
      <c r="M34" s="1341"/>
      <c r="N34" s="1341"/>
      <c r="O34" s="1341"/>
      <c r="P34" s="1341"/>
      <c r="Q34" s="1362"/>
      <c r="R34" s="1363"/>
      <c r="S34" s="1363"/>
      <c r="T34" s="1363"/>
      <c r="U34" s="1363"/>
      <c r="V34" s="1363"/>
      <c r="W34" s="1363"/>
      <c r="X34" s="1363"/>
      <c r="Y34" s="1363"/>
      <c r="Z34" s="1363"/>
      <c r="AA34" s="1363"/>
      <c r="AB34" s="1361"/>
      <c r="AC34" s="1341"/>
    </row>
    <row r="35" spans="2:32" x14ac:dyDescent="0.25">
      <c r="B35" s="1341"/>
      <c r="C35" s="1341"/>
      <c r="D35" s="1341"/>
      <c r="E35" s="1341"/>
      <c r="F35" s="1341"/>
      <c r="G35" s="1341"/>
      <c r="H35" s="1341"/>
      <c r="I35" s="1341"/>
      <c r="J35" s="1341"/>
      <c r="K35" s="1341"/>
      <c r="L35" s="1341"/>
      <c r="M35" s="1341"/>
      <c r="N35" s="1341"/>
      <c r="O35" s="1341"/>
      <c r="P35" s="1341"/>
      <c r="Q35" s="1362"/>
      <c r="R35" s="1363"/>
      <c r="S35" s="1363"/>
      <c r="T35" s="1363"/>
      <c r="U35" s="1363"/>
      <c r="V35" s="1363"/>
      <c r="W35" s="1363"/>
      <c r="X35" s="1363"/>
      <c r="Y35" s="1363"/>
      <c r="Z35" s="1363"/>
      <c r="AA35" s="1363"/>
      <c r="AB35" s="1364"/>
      <c r="AC35" s="1341"/>
    </row>
    <row r="36" spans="2:32" x14ac:dyDescent="0.25">
      <c r="B36" s="1341"/>
      <c r="C36" s="1341"/>
      <c r="D36" s="1341"/>
      <c r="E36" s="1341"/>
      <c r="F36" s="1341"/>
      <c r="G36" s="1341"/>
      <c r="H36" s="1341"/>
      <c r="I36" s="1341"/>
      <c r="J36" s="1341"/>
      <c r="K36" s="1341"/>
      <c r="L36" s="1341"/>
      <c r="M36" s="1341"/>
      <c r="N36" s="1341"/>
      <c r="O36" s="1341"/>
      <c r="P36" s="1341"/>
      <c r="Q36" s="1341"/>
      <c r="R36" s="1362"/>
      <c r="S36" s="1363"/>
      <c r="T36" s="1363"/>
      <c r="U36" s="1363"/>
      <c r="V36" s="1363"/>
      <c r="W36" s="1363"/>
      <c r="X36" s="1363"/>
      <c r="Y36" s="1363"/>
      <c r="Z36" s="1363"/>
      <c r="AA36" s="1363"/>
      <c r="AB36" s="1363"/>
      <c r="AC36" s="1341"/>
    </row>
    <row r="37" spans="2:32" x14ac:dyDescent="0.25">
      <c r="B37" s="1341"/>
      <c r="C37" s="1341"/>
      <c r="D37" s="1341"/>
      <c r="E37" s="1341"/>
      <c r="F37" s="1341"/>
      <c r="G37" s="1341"/>
      <c r="H37" s="1341"/>
      <c r="I37" s="1341"/>
      <c r="J37" s="1341"/>
      <c r="K37" s="1341"/>
      <c r="L37" s="1341"/>
      <c r="M37" s="1341"/>
      <c r="N37" s="1341"/>
      <c r="O37" s="1341"/>
      <c r="P37" s="1341"/>
      <c r="Q37" s="1341"/>
      <c r="R37" s="1360"/>
      <c r="S37" s="1361"/>
      <c r="T37" s="1361"/>
      <c r="U37" s="1361"/>
      <c r="V37" s="1361"/>
      <c r="W37" s="1361"/>
      <c r="X37" s="1361"/>
      <c r="Y37" s="1361"/>
      <c r="Z37" s="1361"/>
      <c r="AA37" s="1361"/>
      <c r="AB37" s="1361"/>
      <c r="AC37" s="1341"/>
      <c r="AF37" s="1365"/>
    </row>
    <row r="38" spans="2:32" x14ac:dyDescent="0.25">
      <c r="B38" s="1341"/>
      <c r="C38" s="1341"/>
      <c r="D38" s="1341"/>
      <c r="E38" s="1341"/>
      <c r="F38" s="1341"/>
      <c r="G38" s="1341"/>
      <c r="H38" s="1341"/>
      <c r="I38" s="1341"/>
      <c r="J38" s="1341"/>
      <c r="K38" s="1341"/>
      <c r="L38" s="1341"/>
      <c r="M38" s="1341"/>
      <c r="N38" s="1341"/>
      <c r="O38" s="1341"/>
      <c r="P38" s="1341"/>
      <c r="Q38" s="1341"/>
      <c r="R38" s="1360"/>
      <c r="S38" s="1361"/>
      <c r="T38" s="1361"/>
      <c r="U38" s="1361"/>
      <c r="V38" s="1361"/>
      <c r="W38" s="1361"/>
      <c r="X38" s="1361"/>
      <c r="Y38" s="1361"/>
      <c r="Z38" s="1361"/>
      <c r="AA38" s="1361"/>
      <c r="AB38" s="1361"/>
      <c r="AC38" s="1341"/>
    </row>
    <row r="39" spans="2:32" x14ac:dyDescent="0.25">
      <c r="B39" s="1341"/>
      <c r="C39" s="1341"/>
      <c r="D39" s="1341"/>
      <c r="E39" s="1341"/>
      <c r="F39" s="1341"/>
      <c r="G39" s="1341"/>
      <c r="H39" s="1341"/>
      <c r="I39" s="1341"/>
      <c r="J39" s="1341"/>
      <c r="K39" s="1341"/>
      <c r="L39" s="1341"/>
      <c r="M39" s="1341"/>
      <c r="N39" s="1341"/>
      <c r="O39" s="1341"/>
      <c r="P39" s="1341"/>
      <c r="Q39" s="1341"/>
      <c r="R39" s="1360"/>
      <c r="S39" s="1361"/>
      <c r="T39" s="1361"/>
      <c r="U39" s="1361"/>
      <c r="V39" s="1361"/>
      <c r="W39" s="1361"/>
      <c r="X39" s="1361"/>
      <c r="Y39" s="1361"/>
      <c r="Z39" s="1361"/>
      <c r="AA39" s="1361"/>
      <c r="AB39" s="1361"/>
      <c r="AC39" s="1341"/>
    </row>
    <row r="40" spans="2:32" x14ac:dyDescent="0.25">
      <c r="B40" s="1341"/>
      <c r="C40" s="1341"/>
      <c r="D40" s="1341"/>
      <c r="E40" s="1341"/>
      <c r="F40" s="1341"/>
      <c r="G40" s="1341"/>
      <c r="H40" s="1341"/>
      <c r="I40" s="1341"/>
      <c r="J40" s="1341"/>
      <c r="K40" s="1341"/>
      <c r="L40" s="1341"/>
      <c r="M40" s="1341"/>
      <c r="N40" s="1341"/>
      <c r="O40" s="1341"/>
      <c r="P40" s="1341"/>
      <c r="Q40" s="1341"/>
      <c r="R40" s="1360"/>
      <c r="S40" s="1361"/>
      <c r="T40" s="1361"/>
      <c r="U40" s="1361"/>
      <c r="V40" s="1361"/>
      <c r="W40" s="1361"/>
      <c r="X40" s="1361"/>
      <c r="Y40" s="1361"/>
      <c r="Z40" s="1361"/>
      <c r="AA40" s="1361"/>
      <c r="AB40" s="1361"/>
      <c r="AC40" s="1341"/>
    </row>
    <row r="41" spans="2:32" x14ac:dyDescent="0.25">
      <c r="B41" s="1341"/>
      <c r="C41" s="1341"/>
      <c r="D41" s="1341"/>
      <c r="E41" s="1341"/>
      <c r="F41" s="1341"/>
      <c r="G41" s="1341"/>
      <c r="H41" s="1341"/>
      <c r="I41" s="1341"/>
      <c r="J41" s="1341"/>
      <c r="K41" s="1341"/>
      <c r="L41" s="1341"/>
      <c r="M41" s="1341"/>
      <c r="N41" s="1341"/>
      <c r="O41" s="1341"/>
      <c r="P41" s="1341"/>
      <c r="Q41" s="1341"/>
      <c r="R41" s="1360"/>
      <c r="S41" s="1361"/>
      <c r="T41" s="1361"/>
      <c r="U41" s="1361"/>
      <c r="V41" s="1361"/>
      <c r="W41" s="1361"/>
      <c r="X41" s="1361"/>
      <c r="Y41" s="1361"/>
      <c r="Z41" s="1361"/>
      <c r="AA41" s="1361"/>
      <c r="AB41" s="1361"/>
      <c r="AC41" s="1341"/>
    </row>
    <row r="42" spans="2:32" x14ac:dyDescent="0.25">
      <c r="B42" s="1341"/>
      <c r="C42" s="1341"/>
      <c r="D42" s="1341"/>
      <c r="E42" s="1341"/>
      <c r="F42" s="1341"/>
      <c r="G42" s="1341"/>
      <c r="H42" s="1341"/>
      <c r="I42" s="1341"/>
      <c r="J42" s="1341"/>
      <c r="K42" s="1341"/>
      <c r="L42" s="1341"/>
      <c r="M42" s="1341"/>
      <c r="N42" s="1341"/>
      <c r="O42" s="1341"/>
      <c r="P42" s="1341"/>
      <c r="Q42" s="1341"/>
      <c r="R42" s="1360"/>
      <c r="S42" s="1361"/>
      <c r="T42" s="1361"/>
      <c r="U42" s="1361"/>
      <c r="V42" s="1361"/>
      <c r="W42" s="1361"/>
      <c r="X42" s="1361"/>
      <c r="Y42" s="1361"/>
      <c r="Z42" s="1361"/>
      <c r="AA42" s="1361"/>
      <c r="AB42" s="1361"/>
      <c r="AC42" s="1341"/>
    </row>
    <row r="43" spans="2:32" x14ac:dyDescent="0.25">
      <c r="B43" s="1341"/>
      <c r="C43" s="1341"/>
      <c r="D43" s="1341"/>
      <c r="E43" s="1341"/>
      <c r="F43" s="1341"/>
      <c r="G43" s="1341"/>
      <c r="H43" s="1341"/>
      <c r="I43" s="1341"/>
      <c r="J43" s="1341"/>
      <c r="K43" s="1341"/>
      <c r="L43" s="1341"/>
      <c r="M43" s="1341"/>
      <c r="N43" s="1341"/>
      <c r="O43" s="1341"/>
      <c r="P43" s="1341"/>
      <c r="Q43" s="1341"/>
      <c r="R43" s="1360"/>
      <c r="S43" s="1361"/>
      <c r="T43" s="1361"/>
      <c r="U43" s="1361"/>
      <c r="V43" s="1361"/>
      <c r="W43" s="1361"/>
      <c r="X43" s="1361"/>
      <c r="Y43" s="1361"/>
      <c r="Z43" s="1361"/>
      <c r="AA43" s="1361"/>
      <c r="AB43" s="1361"/>
      <c r="AC43" s="1341"/>
    </row>
    <row r="44" spans="2:32" x14ac:dyDescent="0.25">
      <c r="B44" s="1341"/>
      <c r="C44" s="1341"/>
      <c r="D44" s="1341"/>
      <c r="E44" s="1341"/>
      <c r="F44" s="1341"/>
      <c r="G44" s="1341"/>
      <c r="H44" s="1341"/>
      <c r="I44" s="1341"/>
      <c r="J44" s="1341"/>
      <c r="K44" s="1341"/>
      <c r="L44" s="1341"/>
      <c r="M44" s="1341"/>
      <c r="N44" s="1341"/>
      <c r="O44" s="1341"/>
      <c r="P44" s="1341"/>
      <c r="Q44" s="1341"/>
      <c r="R44" s="1341"/>
      <c r="S44" s="1341"/>
      <c r="T44" s="1341"/>
      <c r="U44" s="1341"/>
      <c r="V44" s="1341"/>
      <c r="W44" s="1341"/>
      <c r="X44" s="1341"/>
      <c r="Y44" s="1341"/>
      <c r="Z44" s="1341"/>
      <c r="AA44" s="1341"/>
      <c r="AB44" s="1341"/>
      <c r="AC44" s="1341"/>
    </row>
    <row r="45" spans="2:32" x14ac:dyDescent="0.25">
      <c r="B45" s="1341"/>
      <c r="C45" s="1341"/>
      <c r="D45" s="1341"/>
      <c r="E45" s="1341"/>
      <c r="F45" s="1341"/>
      <c r="G45" s="1341"/>
      <c r="H45" s="1341"/>
      <c r="I45" s="1341"/>
      <c r="J45" s="1341"/>
      <c r="K45" s="1341"/>
      <c r="L45" s="1341"/>
      <c r="M45" s="1341"/>
      <c r="N45" s="1341"/>
      <c r="O45" s="1341"/>
      <c r="P45" s="1341"/>
      <c r="Q45" s="1341"/>
      <c r="R45" s="1341"/>
      <c r="S45" s="1341"/>
      <c r="T45" s="1341"/>
      <c r="U45" s="1341"/>
      <c r="V45" s="1341"/>
      <c r="W45" s="1341"/>
      <c r="X45" s="1341"/>
      <c r="Y45" s="1341"/>
      <c r="Z45" s="1341"/>
      <c r="AA45" s="1341"/>
      <c r="AB45" s="1341"/>
      <c r="AC45" s="1341"/>
    </row>
    <row r="46" spans="2:32" x14ac:dyDescent="0.25">
      <c r="B46" s="1341"/>
      <c r="C46" s="1341"/>
      <c r="D46" s="1341"/>
      <c r="E46" s="1341"/>
      <c r="F46" s="1341"/>
      <c r="G46" s="1341"/>
      <c r="H46" s="1341"/>
      <c r="I46" s="1341"/>
      <c r="J46" s="1341"/>
      <c r="K46" s="1341"/>
      <c r="L46" s="1341"/>
      <c r="M46" s="1341"/>
      <c r="N46" s="1341"/>
      <c r="O46" s="1341"/>
      <c r="P46" s="1341"/>
      <c r="Q46" s="1341"/>
      <c r="R46" s="1341"/>
      <c r="S46" s="1341"/>
      <c r="T46" s="1341"/>
      <c r="U46" s="1341"/>
      <c r="V46" s="1341"/>
      <c r="W46" s="1341"/>
      <c r="X46" s="1341"/>
      <c r="Y46" s="1341"/>
      <c r="Z46" s="1341"/>
      <c r="AA46" s="1341"/>
      <c r="AB46" s="1341"/>
      <c r="AC46" s="1341"/>
    </row>
    <row r="47" spans="2:32" x14ac:dyDescent="0.25">
      <c r="B47" s="1341"/>
      <c r="C47" s="1341"/>
      <c r="D47" s="1341"/>
      <c r="E47" s="1341"/>
      <c r="F47" s="1341"/>
      <c r="G47" s="1341"/>
      <c r="H47" s="1341"/>
      <c r="I47" s="1341"/>
      <c r="J47" s="1341"/>
      <c r="K47" s="1341"/>
      <c r="L47" s="1341"/>
      <c r="M47" s="1341"/>
      <c r="N47" s="1341"/>
      <c r="O47" s="1341"/>
      <c r="P47" s="1341"/>
      <c r="Q47" s="1341"/>
      <c r="R47" s="1341"/>
      <c r="S47" s="1341"/>
      <c r="T47" s="1341"/>
      <c r="U47" s="1341"/>
      <c r="V47" s="1341"/>
      <c r="W47" s="1341"/>
      <c r="X47" s="1341"/>
      <c r="Y47" s="1341"/>
      <c r="Z47" s="1341"/>
      <c r="AA47" s="1341"/>
      <c r="AB47" s="1341"/>
      <c r="AC47" s="1341"/>
    </row>
    <row r="48" spans="2:32" x14ac:dyDescent="0.25">
      <c r="B48" s="1341"/>
      <c r="C48" s="1341"/>
      <c r="D48" s="1341"/>
      <c r="E48" s="1341"/>
      <c r="F48" s="1341"/>
      <c r="G48" s="1341"/>
      <c r="H48" s="1341"/>
      <c r="I48" s="1341"/>
      <c r="J48" s="1341"/>
      <c r="K48" s="1341"/>
      <c r="L48" s="1341"/>
      <c r="M48" s="1341"/>
      <c r="N48" s="1341"/>
      <c r="O48" s="1341"/>
      <c r="P48" s="1341"/>
      <c r="Q48" s="1341"/>
      <c r="R48" s="1341"/>
      <c r="S48" s="1341"/>
      <c r="T48" s="1341"/>
      <c r="U48" s="1341"/>
      <c r="V48" s="1341"/>
      <c r="W48" s="1341"/>
      <c r="X48" s="1341"/>
      <c r="Y48" s="1341"/>
      <c r="Z48" s="1341"/>
      <c r="AA48" s="1341"/>
      <c r="AB48" s="1341"/>
      <c r="AC48" s="1341"/>
    </row>
    <row r="49" spans="2:36" s="1344" customFormat="1" ht="34.5" customHeight="1" x14ac:dyDescent="0.4">
      <c r="B49" s="1387" t="s">
        <v>14</v>
      </c>
      <c r="C49" s="1388" t="s">
        <v>790</v>
      </c>
      <c r="D49" s="1388"/>
      <c r="E49" s="1388"/>
      <c r="F49" s="1388"/>
      <c r="G49" s="1388"/>
      <c r="H49" s="1388"/>
      <c r="I49" s="1387"/>
      <c r="J49" s="1387"/>
      <c r="K49" s="1389"/>
      <c r="L49" s="1389"/>
      <c r="M49" s="1389"/>
      <c r="N49" s="1389"/>
      <c r="O49" s="1389"/>
      <c r="P49" s="1389"/>
      <c r="Q49" s="1389"/>
      <c r="R49" s="1389"/>
      <c r="S49" s="1389"/>
      <c r="T49" s="1389"/>
      <c r="U49" s="1389"/>
      <c r="V49" s="1389"/>
      <c r="W49" s="1389"/>
      <c r="X49" s="1389"/>
      <c r="Y49" s="1389"/>
      <c r="Z49" s="1389"/>
      <c r="AA49" s="1389"/>
      <c r="AB49" s="5964" t="str">
        <f>CONCATENATE("All figures in ",'General info'!$E$43," ",'General info'!$G$43)</f>
        <v>All figures in INR Lakhs</v>
      </c>
      <c r="AC49" s="1389"/>
      <c r="AH49" s="1345"/>
      <c r="AI49" s="1346"/>
      <c r="AJ49" s="1346"/>
    </row>
    <row r="50" spans="2:36" ht="27" customHeight="1" thickBot="1" x14ac:dyDescent="0.3">
      <c r="B50" s="1341"/>
      <c r="C50" s="1366"/>
      <c r="D50" s="1341"/>
      <c r="E50" s="1341"/>
      <c r="F50" s="1341"/>
      <c r="G50" s="1341"/>
      <c r="H50" s="1341"/>
      <c r="I50" s="1341"/>
      <c r="J50" s="1341"/>
      <c r="K50" s="1341"/>
      <c r="L50" s="1341"/>
      <c r="M50" s="1341"/>
      <c r="N50" s="1341"/>
      <c r="O50" s="1341"/>
      <c r="P50" s="1341"/>
      <c r="Q50" s="1341"/>
      <c r="R50" s="1341"/>
      <c r="S50" s="1341"/>
      <c r="T50" s="1341"/>
      <c r="U50" s="1367"/>
      <c r="V50" s="1341"/>
      <c r="W50" s="1341"/>
      <c r="X50" s="1341"/>
      <c r="Y50" s="1341"/>
      <c r="Z50" s="1368"/>
      <c r="AA50" s="1341"/>
      <c r="AB50" s="1341"/>
      <c r="AC50" s="1341"/>
    </row>
    <row r="51" spans="2:36" ht="33.75" customHeight="1" thickTop="1" x14ac:dyDescent="0.25">
      <c r="B51" s="1341"/>
      <c r="C51" s="6872" t="s">
        <v>1852</v>
      </c>
      <c r="D51" s="6873"/>
      <c r="E51" s="6873"/>
      <c r="F51" s="6873"/>
      <c r="G51" s="6873"/>
      <c r="H51" s="6873"/>
      <c r="I51" s="6873"/>
      <c r="J51" s="6874"/>
      <c r="K51" s="6844" t="str">
        <f>IF($AH$52=1,"SUMMARY OF CAPITAL EXPENDITURE",IF($AH$52=2,"SUMMARY OF O&amp;M EXPENDITURE","PHASING OF PIP ACTIONS"))</f>
        <v>SUMMARY OF CAPITAL EXPENDITURE</v>
      </c>
      <c r="L51" s="6845"/>
      <c r="M51" s="6845"/>
      <c r="N51" s="6845"/>
      <c r="O51" s="6845"/>
      <c r="P51" s="6845"/>
      <c r="Q51" s="6845"/>
      <c r="R51" s="6845"/>
      <c r="S51" s="6845"/>
      <c r="T51" s="6846"/>
      <c r="U51" s="6844" t="s">
        <v>1279</v>
      </c>
      <c r="V51" s="6845"/>
      <c r="W51" s="6845"/>
      <c r="X51" s="6845"/>
      <c r="Y51" s="6845"/>
      <c r="Z51" s="6845"/>
      <c r="AA51" s="6845"/>
      <c r="AB51" s="6846"/>
      <c r="AC51" s="1341"/>
    </row>
    <row r="52" spans="2:36" ht="19.5" customHeight="1" x14ac:dyDescent="0.25">
      <c r="B52" s="1341"/>
      <c r="C52" s="1369"/>
      <c r="D52" s="1370"/>
      <c r="E52" s="1370"/>
      <c r="F52" s="1370"/>
      <c r="G52" s="1370"/>
      <c r="H52" s="1370"/>
      <c r="I52" s="1370"/>
      <c r="J52" s="1371"/>
      <c r="K52" s="1403"/>
      <c r="L52" s="1372"/>
      <c r="M52" s="1372"/>
      <c r="N52" s="1372"/>
      <c r="O52" s="1372"/>
      <c r="P52" s="1372"/>
      <c r="Q52" s="1372"/>
      <c r="R52" s="1372"/>
      <c r="S52" s="1372"/>
      <c r="T52" s="1404"/>
      <c r="U52" s="6855" t="s">
        <v>1875</v>
      </c>
      <c r="V52" s="6856"/>
      <c r="W52" s="6856"/>
      <c r="X52" s="6856"/>
      <c r="Y52" s="6856"/>
      <c r="Z52" s="6856"/>
      <c r="AA52" s="6856"/>
      <c r="AB52" s="6857"/>
      <c r="AC52" s="1341"/>
      <c r="AH52" s="1803">
        <v>1</v>
      </c>
    </row>
    <row r="53" spans="2:36" ht="19.5" customHeight="1" x14ac:dyDescent="0.25">
      <c r="B53" s="1341"/>
      <c r="C53" s="1551" t="s">
        <v>1283</v>
      </c>
      <c r="D53" s="6875" t="s">
        <v>181</v>
      </c>
      <c r="E53" s="6875"/>
      <c r="F53" s="6876" t="s">
        <v>1009</v>
      </c>
      <c r="G53" s="6876"/>
      <c r="H53" s="6877" t="s">
        <v>183</v>
      </c>
      <c r="I53" s="6877"/>
      <c r="J53" s="1371"/>
      <c r="K53" s="6850" t="s">
        <v>1280</v>
      </c>
      <c r="L53" s="6851"/>
      <c r="M53" s="6869" t="s">
        <v>1458</v>
      </c>
      <c r="N53" s="6869"/>
      <c r="O53" s="1137"/>
      <c r="P53" s="1137"/>
      <c r="Q53" s="1137"/>
      <c r="R53" s="1137"/>
      <c r="S53" s="1137"/>
      <c r="T53" s="1404"/>
      <c r="U53" s="6855"/>
      <c r="V53" s="6856"/>
      <c r="W53" s="6856"/>
      <c r="X53" s="6856"/>
      <c r="Y53" s="6856"/>
      <c r="Z53" s="6856"/>
      <c r="AA53" s="6856"/>
      <c r="AB53" s="6857"/>
      <c r="AC53" s="1341"/>
      <c r="AH53" s="1374" t="str">
        <f>IF($AH$52=1,"CAPEX",IF($AH$52=2,"O&amp;M","PHASING"))</f>
        <v>CAPEX</v>
      </c>
    </row>
    <row r="54" spans="2:36" ht="32.25" customHeight="1" thickBot="1" x14ac:dyDescent="0.3">
      <c r="B54" s="1341"/>
      <c r="C54" s="1369"/>
      <c r="D54" s="1370"/>
      <c r="E54" s="1370"/>
      <c r="F54" s="1370"/>
      <c r="G54" s="1370"/>
      <c r="H54" s="1370"/>
      <c r="I54" s="1370"/>
      <c r="J54" s="1371"/>
      <c r="K54" s="1403"/>
      <c r="L54" s="1372"/>
      <c r="M54" s="1372"/>
      <c r="N54" s="1372"/>
      <c r="O54" s="1372"/>
      <c r="P54" s="1372"/>
      <c r="Q54" s="1372"/>
      <c r="R54" s="1372"/>
      <c r="S54" s="1372"/>
      <c r="T54" s="1404"/>
      <c r="U54" s="6858" t="s">
        <v>2069</v>
      </c>
      <c r="V54" s="6859"/>
      <c r="W54" s="6859"/>
      <c r="X54" s="6859"/>
      <c r="Y54" s="6859"/>
      <c r="Z54" s="6859"/>
      <c r="AA54" s="6859"/>
      <c r="AB54" s="6860"/>
      <c r="AC54" s="1341"/>
      <c r="AH54" s="1374"/>
    </row>
    <row r="55" spans="2:36" ht="39.75" customHeight="1" thickTop="1" thickBot="1" x14ac:dyDescent="0.3">
      <c r="B55" s="1341"/>
      <c r="C55" s="6864" t="s">
        <v>822</v>
      </c>
      <c r="D55" s="6865"/>
      <c r="E55" s="6865"/>
      <c r="F55" s="6865"/>
      <c r="G55" s="6865"/>
      <c r="H55" s="6866"/>
      <c r="I55" s="6870" t="s">
        <v>15</v>
      </c>
      <c r="J55" s="6871"/>
      <c r="K55" s="1405">
        <f t="shared" ref="K55:T55" si="2">D16</f>
        <v>2015</v>
      </c>
      <c r="L55" s="1375">
        <f t="shared" si="2"/>
        <v>2016</v>
      </c>
      <c r="M55" s="1375">
        <f t="shared" si="2"/>
        <v>2017</v>
      </c>
      <c r="N55" s="1375">
        <f t="shared" si="2"/>
        <v>2018</v>
      </c>
      <c r="O55" s="1375">
        <f t="shared" si="2"/>
        <v>2019</v>
      </c>
      <c r="P55" s="1375">
        <f t="shared" si="2"/>
        <v>2020</v>
      </c>
      <c r="Q55" s="1375">
        <f t="shared" si="2"/>
        <v>2021</v>
      </c>
      <c r="R55" s="1375">
        <f t="shared" si="2"/>
        <v>2022</v>
      </c>
      <c r="S55" s="1375">
        <f t="shared" si="2"/>
        <v>2023</v>
      </c>
      <c r="T55" s="1406">
        <f t="shared" si="2"/>
        <v>2024</v>
      </c>
      <c r="U55" s="1912" t="s">
        <v>3023</v>
      </c>
      <c r="V55" s="3885" t="s">
        <v>1374</v>
      </c>
      <c r="W55" s="3886" t="s">
        <v>1375</v>
      </c>
      <c r="X55" s="3886" t="s">
        <v>1240</v>
      </c>
      <c r="Y55" s="3886" t="s">
        <v>1505</v>
      </c>
      <c r="Z55" s="3390" t="s">
        <v>1277</v>
      </c>
      <c r="AA55" s="6853" t="s">
        <v>3745</v>
      </c>
      <c r="AB55" s="6854"/>
      <c r="AC55" s="1364"/>
      <c r="AH55" s="1373" t="s">
        <v>161</v>
      </c>
      <c r="AI55" s="1376"/>
      <c r="AJ55" s="1376"/>
    </row>
    <row r="56" spans="2:36" ht="15.75" x14ac:dyDescent="0.25">
      <c r="B56" s="1341"/>
      <c r="C56" s="6847" t="str">
        <f ca="1">IFERROR('Activation list'!W3,"")</f>
        <v>Household survey to assess wastewater services</v>
      </c>
      <c r="D56" s="6848"/>
      <c r="E56" s="6848"/>
      <c r="F56" s="6848"/>
      <c r="G56" s="6848"/>
      <c r="H56" s="6849"/>
      <c r="I56" s="6835" t="str">
        <f ca="1">IFERROR(VLOOKUP($C56,'PIP finance'!$C$448:$N$582,2,FALSE),"")</f>
        <v>Data system</v>
      </c>
      <c r="J56" s="6836"/>
      <c r="K56" s="3712">
        <f ca="1">IFERROR(VLOOKUP($C56,'PIP finance'!$C$448:$N$582,3,FALSE),"")</f>
        <v>0</v>
      </c>
      <c r="L56" s="3713">
        <f ca="1">IFERROR(VLOOKUP($C56,'PIP finance'!$C$448:$N$582,4,FALSE),"")</f>
        <v>0</v>
      </c>
      <c r="M56" s="3713">
        <f ca="1">IFERROR(VLOOKUP($C56,'PIP finance'!$C$448:$N$582,5,FALSE),"")</f>
        <v>0</v>
      </c>
      <c r="N56" s="3713">
        <f ca="1">IFERROR(VLOOKUP($C56,'PIP finance'!$C$448:$N$582,6,FALSE),"")</f>
        <v>0</v>
      </c>
      <c r="O56" s="3713">
        <f ca="1">IFERROR(VLOOKUP($C56,'PIP finance'!$C$448:$N$582,7,FALSE),"")</f>
        <v>0</v>
      </c>
      <c r="P56" s="3713">
        <f ca="1">IFERROR(VLOOKUP($C56,'PIP finance'!$C$448:$N$582,8,FALSE),"")</f>
        <v>0</v>
      </c>
      <c r="Q56" s="3713">
        <f ca="1">IFERROR(VLOOKUP($C56,'PIP finance'!$C$448:$N$582,9,FALSE),"")</f>
        <v>0</v>
      </c>
      <c r="R56" s="3713">
        <f ca="1">IFERROR(VLOOKUP($C56,'PIP finance'!$C$448:$N$582,10,FALSE),"")</f>
        <v>0</v>
      </c>
      <c r="S56" s="3713">
        <f ca="1">IFERROR(VLOOKUP($C56,'PIP finance'!$C$448:$N$582,11,FALSE),"")</f>
        <v>0</v>
      </c>
      <c r="T56" s="3714">
        <f ca="1">IFERROR(VLOOKUP($C56,'PIP finance'!$C$448:$N$582,12,FALSE),"")</f>
        <v>0</v>
      </c>
      <c r="U56" s="3697">
        <f ca="1">IFERROR(VLOOKUP($C56,'PIP finance'!$C$448:$S$582,17,FALSE),"")</f>
        <v>0</v>
      </c>
      <c r="V56" s="3704"/>
      <c r="W56" s="3706"/>
      <c r="X56" s="3706"/>
      <c r="Y56" s="3698"/>
      <c r="Z56" s="3699">
        <f ca="1">IFERROR(VLOOKUP($C56,'PIP finance'!$C$448:$T$582,18,FALSE),"")</f>
        <v>0</v>
      </c>
      <c r="AA56" s="3708">
        <f t="shared" ref="AA56:AA87" ca="1" si="3">IF(C56&lt;&gt;"",1-SUM(V56:Z56),"")</f>
        <v>1</v>
      </c>
      <c r="AB56" s="3710">
        <f ca="1">IFERROR(AA56*U56,0)</f>
        <v>0</v>
      </c>
      <c r="AC56" s="1364"/>
      <c r="AH56" s="1377" t="str">
        <f ca="1">IFERROR('Activation list'!X3,"")</f>
        <v>WW</v>
      </c>
      <c r="AI56" s="1377">
        <f ca="1">IFERROR(VLOOKUP($C56,'PIP finance'!$C$448:$R$582,14,FALSE),"")</f>
        <v>0</v>
      </c>
      <c r="AJ56" s="1377">
        <f ca="1">IFERROR(VLOOKUP($C56,'PIP finance'!$C$448:$R$582,15,FALSE),"")</f>
        <v>0</v>
      </c>
    </row>
    <row r="57" spans="2:36" ht="15.75" x14ac:dyDescent="0.25">
      <c r="B57" s="1341"/>
      <c r="C57" s="6832" t="str">
        <f ca="1">IFERROR('Activation list'!W4,"")</f>
        <v>Policy for providing sanitation services in slums</v>
      </c>
      <c r="D57" s="6833"/>
      <c r="E57" s="6833"/>
      <c r="F57" s="6833"/>
      <c r="G57" s="6833"/>
      <c r="H57" s="6834"/>
      <c r="I57" s="6827" t="str">
        <f ca="1">IFERROR(VLOOKUP($C57,'PIP finance'!$C$448:$N$582,2,FALSE),"")</f>
        <v>Process/ Policy</v>
      </c>
      <c r="J57" s="6828"/>
      <c r="K57" s="3715">
        <f ca="1">IFERROR(VLOOKUP($C57,'PIP finance'!$C$448:$N$582,3,FALSE),"")</f>
        <v>0</v>
      </c>
      <c r="L57" s="3716">
        <f ca="1">IFERROR(VLOOKUP($C57,'PIP finance'!$C$448:$N$582,4,FALSE),"")</f>
        <v>0</v>
      </c>
      <c r="M57" s="3716">
        <f ca="1">IFERROR(VLOOKUP($C57,'PIP finance'!$C$448:$N$582,5,FALSE),"")</f>
        <v>0</v>
      </c>
      <c r="N57" s="3716">
        <f ca="1">IFERROR(VLOOKUP($C57,'PIP finance'!$C$448:$N$582,6,FALSE),"")</f>
        <v>0</v>
      </c>
      <c r="O57" s="3716">
        <f ca="1">IFERROR(VLOOKUP($C57,'PIP finance'!$C$448:$N$582,7,FALSE),"")</f>
        <v>0</v>
      </c>
      <c r="P57" s="3716">
        <f ca="1">IFERROR(VLOOKUP($C57,'PIP finance'!$C$448:$N$582,8,FALSE),"")</f>
        <v>0</v>
      </c>
      <c r="Q57" s="3716">
        <f ca="1">IFERROR(VLOOKUP($C57,'PIP finance'!$C$448:$N$582,9,FALSE),"")</f>
        <v>0</v>
      </c>
      <c r="R57" s="3716">
        <f ca="1">IFERROR(VLOOKUP($C57,'PIP finance'!$C$448:$N$582,10,FALSE),"")</f>
        <v>0</v>
      </c>
      <c r="S57" s="3716">
        <f ca="1">IFERROR(VLOOKUP($C57,'PIP finance'!$C$448:$N$582,11,FALSE),"")</f>
        <v>0</v>
      </c>
      <c r="T57" s="3717">
        <f ca="1">IFERROR(VLOOKUP($C57,'PIP finance'!$C$448:$N$582,11,FALSE),"")</f>
        <v>0</v>
      </c>
      <c r="U57" s="3700">
        <f ca="1">IFERROR(VLOOKUP($C57,'PIP finance'!$C$448:$S$582,17,FALSE),"")</f>
        <v>0</v>
      </c>
      <c r="V57" s="3705"/>
      <c r="W57" s="3707"/>
      <c r="X57" s="3707"/>
      <c r="Y57" s="3701"/>
      <c r="Z57" s="3702">
        <f ca="1">IFERROR(VLOOKUP($C57,'PIP finance'!$C$448:$T$582,18,FALSE),"")</f>
        <v>0</v>
      </c>
      <c r="AA57" s="3709">
        <f t="shared" ca="1" si="3"/>
        <v>1</v>
      </c>
      <c r="AB57" s="3711">
        <f t="shared" ref="AB57:AB120" ca="1" si="4">IFERROR(AA57*U57,0)</f>
        <v>0</v>
      </c>
      <c r="AC57" s="1364"/>
      <c r="AH57" s="1377" t="str">
        <f ca="1">IFERROR('Activation list'!X4,"")</f>
        <v>WW</v>
      </c>
      <c r="AI57" s="1377">
        <f ca="1">IFERROR(VLOOKUP($C57,'PIP finance'!$C$448:$R$582,14,FALSE),"")</f>
        <v>2015</v>
      </c>
      <c r="AJ57" s="1377">
        <f ca="1">IFERROR(VLOOKUP($C57,'PIP finance'!$C$448:$R$582,15,FALSE),"")</f>
        <v>2015</v>
      </c>
    </row>
    <row r="58" spans="2:36" ht="15.75" x14ac:dyDescent="0.25">
      <c r="B58" s="1341"/>
      <c r="C58" s="6832" t="str">
        <f ca="1">IFERROR('Activation list'!W5,"")</f>
        <v>Improve condition of existing individual toilets by providing safe sanitation disposal system</v>
      </c>
      <c r="D58" s="6833"/>
      <c r="E58" s="6833"/>
      <c r="F58" s="6833"/>
      <c r="G58" s="6833"/>
      <c r="H58" s="6834"/>
      <c r="I58" s="6827" t="str">
        <f ca="1">IFERROR(VLOOKUP($C58,'PIP finance'!$C$448:$N$582,2,FALSE),"")</f>
        <v>Exisiting system</v>
      </c>
      <c r="J58" s="6828"/>
      <c r="K58" s="3715">
        <f ca="1">IFERROR(VLOOKUP($C58,'PIP finance'!$C$448:$N$582,3,FALSE),"")</f>
        <v>63.9</v>
      </c>
      <c r="L58" s="3716">
        <f ca="1">IFERROR(VLOOKUP($C58,'PIP finance'!$C$448:$N$582,4,FALSE),"")</f>
        <v>0</v>
      </c>
      <c r="M58" s="3716">
        <f ca="1">IFERROR(VLOOKUP($C58,'PIP finance'!$C$448:$N$582,5,FALSE),"")</f>
        <v>0</v>
      </c>
      <c r="N58" s="3716">
        <f ca="1">IFERROR(VLOOKUP($C58,'PIP finance'!$C$448:$N$582,6,FALSE),"")</f>
        <v>0</v>
      </c>
      <c r="O58" s="3716">
        <f ca="1">IFERROR(VLOOKUP($C58,'PIP finance'!$C$448:$N$582,7,FALSE),"")</f>
        <v>0</v>
      </c>
      <c r="P58" s="3716">
        <f ca="1">IFERROR(VLOOKUP($C58,'PIP finance'!$C$448:$N$582,8,FALSE),"")</f>
        <v>0</v>
      </c>
      <c r="Q58" s="3716">
        <f ca="1">IFERROR(VLOOKUP($C58,'PIP finance'!$C$448:$N$582,9,FALSE),"")</f>
        <v>0</v>
      </c>
      <c r="R58" s="3716">
        <f ca="1">IFERROR(VLOOKUP($C58,'PIP finance'!$C$448:$N$582,10,FALSE),"")</f>
        <v>0</v>
      </c>
      <c r="S58" s="3716">
        <f ca="1">IFERROR(VLOOKUP($C58,'PIP finance'!$C$448:$N$582,11,FALSE),"")</f>
        <v>0</v>
      </c>
      <c r="T58" s="3717">
        <f ca="1">IFERROR(VLOOKUP($C58,'PIP finance'!$C$448:$N$582,11,FALSE),"")</f>
        <v>0</v>
      </c>
      <c r="U58" s="3700">
        <f ca="1">IFERROR(VLOOKUP($C58,'PIP finance'!$C$448:$S$582,17,FALSE),"")</f>
        <v>63.9</v>
      </c>
      <c r="V58" s="3705"/>
      <c r="W58" s="3707"/>
      <c r="X58" s="3707"/>
      <c r="Y58" s="3701"/>
      <c r="Z58" s="3702">
        <f ca="1">IFERROR(VLOOKUP($C58,'PIP finance'!$C$448:$T$582,18,FALSE),"")</f>
        <v>0.60000000000000009</v>
      </c>
      <c r="AA58" s="3709">
        <f t="shared" ca="1" si="3"/>
        <v>0.39999999999999991</v>
      </c>
      <c r="AB58" s="3711">
        <f t="shared" ca="1" si="4"/>
        <v>25.559999999999995</v>
      </c>
      <c r="AC58" s="1341"/>
      <c r="AH58" s="1377" t="str">
        <f ca="1">IFERROR('Activation list'!X5,"")</f>
        <v>WW</v>
      </c>
      <c r="AI58" s="1377">
        <f ca="1">IFERROR(VLOOKUP($C58,'PIP finance'!$C$448:$R$582,14,FALSE),"")</f>
        <v>2015</v>
      </c>
      <c r="AJ58" s="1377">
        <f ca="1">IFERROR(VLOOKUP($C58,'PIP finance'!$C$448:$R$582,15,FALSE),"")</f>
        <v>2019</v>
      </c>
    </row>
    <row r="59" spans="2:36" ht="15.75" x14ac:dyDescent="0.25">
      <c r="B59" s="1341"/>
      <c r="C59" s="6832" t="str">
        <f ca="1">IFERROR('Activation list'!W6,"")</f>
        <v>Improve condition of existing Community toilets</v>
      </c>
      <c r="D59" s="6833"/>
      <c r="E59" s="6833"/>
      <c r="F59" s="6833"/>
      <c r="G59" s="6833"/>
      <c r="H59" s="6834"/>
      <c r="I59" s="6827" t="str">
        <f ca="1">IFERROR(VLOOKUP($C59,'PIP finance'!$C$448:$N$582,2,FALSE),"")</f>
        <v>Exisiting system</v>
      </c>
      <c r="J59" s="6828"/>
      <c r="K59" s="3715">
        <f ca="1">IFERROR(VLOOKUP($C59,'PIP finance'!$C$448:$N$582,3,FALSE),"")</f>
        <v>23</v>
      </c>
      <c r="L59" s="3716">
        <f ca="1">IFERROR(VLOOKUP($C59,'PIP finance'!$C$448:$N$582,4,FALSE),"")</f>
        <v>24.610000000000003</v>
      </c>
      <c r="M59" s="3716">
        <f ca="1">IFERROR(VLOOKUP($C59,'PIP finance'!$C$448:$N$582,5,FALSE),"")</f>
        <v>26.332699999999999</v>
      </c>
      <c r="N59" s="3716">
        <f ca="1">IFERROR(VLOOKUP($C59,'PIP finance'!$C$448:$N$582,6,FALSE),"")</f>
        <v>0</v>
      </c>
      <c r="O59" s="3716">
        <f ca="1">IFERROR(VLOOKUP($C59,'PIP finance'!$C$448:$N$582,7,FALSE),"")</f>
        <v>0</v>
      </c>
      <c r="P59" s="3716">
        <f ca="1">IFERROR(VLOOKUP($C59,'PIP finance'!$C$448:$N$582,8,FALSE),"")</f>
        <v>0</v>
      </c>
      <c r="Q59" s="3716">
        <f ca="1">IFERROR(VLOOKUP($C59,'PIP finance'!$C$448:$N$582,9,FALSE),"")</f>
        <v>0</v>
      </c>
      <c r="R59" s="3716">
        <f ca="1">IFERROR(VLOOKUP($C59,'PIP finance'!$C$448:$N$582,10,FALSE),"")</f>
        <v>0</v>
      </c>
      <c r="S59" s="3716">
        <f ca="1">IFERROR(VLOOKUP($C59,'PIP finance'!$C$448:$N$582,11,FALSE),"")</f>
        <v>0</v>
      </c>
      <c r="T59" s="3717">
        <f ca="1">IFERROR(VLOOKUP($C59,'PIP finance'!$C$448:$N$582,11,FALSE),"")</f>
        <v>0</v>
      </c>
      <c r="U59" s="3700">
        <f ca="1">IFERROR(VLOOKUP($C59,'PIP finance'!$C$448:$S$582,17,FALSE),"")</f>
        <v>73.942700000000002</v>
      </c>
      <c r="V59" s="3705">
        <v>0.2</v>
      </c>
      <c r="W59" s="3707">
        <v>0.16</v>
      </c>
      <c r="X59" s="3707"/>
      <c r="Y59" s="3701"/>
      <c r="Z59" s="3702">
        <f ca="1">IFERROR(VLOOKUP($C59,'PIP finance'!$C$448:$T$582,18,FALSE),"")</f>
        <v>0</v>
      </c>
      <c r="AA59" s="3709">
        <f t="shared" ca="1" si="3"/>
        <v>0.64</v>
      </c>
      <c r="AB59" s="3711">
        <f t="shared" ca="1" si="4"/>
        <v>47.323328000000004</v>
      </c>
      <c r="AC59" s="1341"/>
      <c r="AH59" s="1377" t="str">
        <f ca="1">IFERROR('Activation list'!X6,"")</f>
        <v>WW</v>
      </c>
      <c r="AI59" s="1377">
        <f ca="1">IFERROR(VLOOKUP($C59,'PIP finance'!$C$448:$R$582,14,FALSE),"")</f>
        <v>2015</v>
      </c>
      <c r="AJ59" s="1377">
        <f ca="1">IFERROR(VLOOKUP($C59,'PIP finance'!$C$448:$R$582,15,FALSE),"")</f>
        <v>2017</v>
      </c>
    </row>
    <row r="60" spans="2:36" ht="15.75" x14ac:dyDescent="0.25">
      <c r="B60" s="1341"/>
      <c r="C60" s="6832" t="str">
        <f ca="1">IFERROR('Activation list'!W7,"")</f>
        <v>Construct new individual toilets</v>
      </c>
      <c r="D60" s="6833"/>
      <c r="E60" s="6833"/>
      <c r="F60" s="6833"/>
      <c r="G60" s="6833"/>
      <c r="H60" s="6834"/>
      <c r="I60" s="6827" t="str">
        <f ca="1">IFERROR(VLOOKUP($C60,'PIP finance'!$C$448:$N$582,2,FALSE),"")</f>
        <v>New infrastructure</v>
      </c>
      <c r="J60" s="6828"/>
      <c r="K60" s="3715">
        <f ca="1">IFERROR(VLOOKUP($C60,'PIP finance'!$C$448:$N$582,3,FALSE),"")</f>
        <v>197.7</v>
      </c>
      <c r="L60" s="3716">
        <f ca="1">IFERROR(VLOOKUP($C60,'PIP finance'!$C$448:$N$582,4,FALSE),"")</f>
        <v>211.53899999999999</v>
      </c>
      <c r="M60" s="3716">
        <f ca="1">IFERROR(VLOOKUP($C60,'PIP finance'!$C$448:$N$582,5,FALSE),"")</f>
        <v>226.34672999999998</v>
      </c>
      <c r="N60" s="3716">
        <f ca="1">IFERROR(VLOOKUP($C60,'PIP finance'!$C$448:$N$582,6,FALSE),"")</f>
        <v>242.19100109999999</v>
      </c>
      <c r="O60" s="3716">
        <f ca="1">IFERROR(VLOOKUP($C60,'PIP finance'!$C$448:$N$582,7,FALSE),"")</f>
        <v>259.14437117700004</v>
      </c>
      <c r="P60" s="3716">
        <f ca="1">IFERROR(VLOOKUP($C60,'PIP finance'!$C$448:$N$582,8,FALSE),"")</f>
        <v>0</v>
      </c>
      <c r="Q60" s="3716">
        <f ca="1">IFERROR(VLOOKUP($C60,'PIP finance'!$C$448:$N$582,9,FALSE),"")</f>
        <v>0</v>
      </c>
      <c r="R60" s="3716">
        <f ca="1">IFERROR(VLOOKUP($C60,'PIP finance'!$C$448:$N$582,10,FALSE),"")</f>
        <v>0</v>
      </c>
      <c r="S60" s="3716">
        <f ca="1">IFERROR(VLOOKUP($C60,'PIP finance'!$C$448:$N$582,11,FALSE),"")</f>
        <v>0</v>
      </c>
      <c r="T60" s="3717">
        <f ca="1">IFERROR(VLOOKUP($C60,'PIP finance'!$C$448:$N$582,12,FALSE),"")</f>
        <v>0</v>
      </c>
      <c r="U60" s="3700">
        <f ca="1">IFERROR(VLOOKUP($C60,'PIP finance'!$C$448:$S$582,17,FALSE),"")</f>
        <v>1136.921102277</v>
      </c>
      <c r="V60" s="3705"/>
      <c r="W60" s="3707"/>
      <c r="X60" s="3707"/>
      <c r="Y60" s="3701">
        <v>1</v>
      </c>
      <c r="Z60" s="3702">
        <f ca="1">IFERROR(VLOOKUP($C60,'PIP finance'!$C$448:$T$582,18,FALSE),"")</f>
        <v>0.6</v>
      </c>
      <c r="AA60" s="3709">
        <f t="shared" ca="1" si="3"/>
        <v>-0.60000000000000009</v>
      </c>
      <c r="AB60" s="3711">
        <f t="shared" ca="1" si="4"/>
        <v>-682.15266136620016</v>
      </c>
      <c r="AC60" s="1341"/>
      <c r="AH60" s="1377" t="str">
        <f ca="1">IFERROR('Activation list'!X7,"")</f>
        <v>WW</v>
      </c>
      <c r="AI60" s="1377">
        <f ca="1">IFERROR(VLOOKUP($C60,'PIP finance'!$C$448:$R$582,14,FALSE),"")</f>
        <v>2015</v>
      </c>
      <c r="AJ60" s="1377">
        <f ca="1">IFERROR(VLOOKUP($C60,'PIP finance'!$C$448:$R$582,15,FALSE),"")</f>
        <v>2019</v>
      </c>
    </row>
    <row r="61" spans="2:36" ht="15.75" x14ac:dyDescent="0.25">
      <c r="B61" s="1341"/>
      <c r="C61" s="6832" t="str">
        <f ca="1">IFERROR('Activation list'!W8,"")</f>
        <v>Construct new public toilet blocks</v>
      </c>
      <c r="D61" s="6833"/>
      <c r="E61" s="6833"/>
      <c r="F61" s="6833"/>
      <c r="G61" s="6833"/>
      <c r="H61" s="6834"/>
      <c r="I61" s="6827" t="str">
        <f ca="1">IFERROR(VLOOKUP($C61,'PIP finance'!$C$448:$N$582,2,FALSE),"")</f>
        <v>New infrastructure</v>
      </c>
      <c r="J61" s="6828"/>
      <c r="K61" s="3715">
        <f ca="1">IFERROR(VLOOKUP($C61,'PIP finance'!$C$448:$N$582,3,FALSE),"")</f>
        <v>3.6666666666666661</v>
      </c>
      <c r="L61" s="3716">
        <f ca="1">IFERROR(VLOOKUP($C61,'PIP finance'!$C$448:$N$582,4,FALSE),"")</f>
        <v>3.9233333333333329</v>
      </c>
      <c r="M61" s="3716">
        <f ca="1">IFERROR(VLOOKUP($C61,'PIP finance'!$C$448:$N$582,5,FALSE),"")</f>
        <v>4.197966666666666</v>
      </c>
      <c r="N61" s="3716">
        <f ca="1">IFERROR(VLOOKUP($C61,'PIP finance'!$C$448:$N$582,6,FALSE),"")</f>
        <v>0</v>
      </c>
      <c r="O61" s="3716">
        <f ca="1">IFERROR(VLOOKUP($C61,'PIP finance'!$C$448:$N$582,7,FALSE),"")</f>
        <v>0</v>
      </c>
      <c r="P61" s="3716">
        <f ca="1">IFERROR(VLOOKUP($C61,'PIP finance'!$C$448:$N$582,8,FALSE),"")</f>
        <v>0</v>
      </c>
      <c r="Q61" s="3716">
        <f ca="1">IFERROR(VLOOKUP($C61,'PIP finance'!$C$448:$N$582,9,FALSE),"")</f>
        <v>0</v>
      </c>
      <c r="R61" s="3716">
        <f ca="1">IFERROR(VLOOKUP($C61,'PIP finance'!$C$448:$N$582,10,FALSE),"")</f>
        <v>0</v>
      </c>
      <c r="S61" s="3716">
        <f ca="1">IFERROR(VLOOKUP($C61,'PIP finance'!$C$448:$N$582,11,FALSE),"")</f>
        <v>0</v>
      </c>
      <c r="T61" s="3717">
        <f ca="1">IFERROR(VLOOKUP($C61,'PIP finance'!$C$448:$N$582,12,FALSE),"")</f>
        <v>0</v>
      </c>
      <c r="U61" s="3700">
        <f ca="1">IFERROR(VLOOKUP($C61,'PIP finance'!$C$448:$S$582,17,FALSE),"")</f>
        <v>11.787966666666666</v>
      </c>
      <c r="V61" s="3705"/>
      <c r="W61" s="3707"/>
      <c r="X61" s="3707"/>
      <c r="Y61" s="3701"/>
      <c r="Z61" s="3702">
        <f ca="1">IFERROR(VLOOKUP($C61,'PIP finance'!$C$448:$T$582,18,FALSE),"")</f>
        <v>0</v>
      </c>
      <c r="AA61" s="3709">
        <f t="shared" ca="1" si="3"/>
        <v>1</v>
      </c>
      <c r="AB61" s="3711">
        <f t="shared" ca="1" si="4"/>
        <v>11.787966666666666</v>
      </c>
      <c r="AC61" s="1341"/>
      <c r="AH61" s="1377" t="str">
        <f ca="1">IFERROR('Activation list'!X8,"")</f>
        <v>WW</v>
      </c>
      <c r="AI61" s="1377">
        <f ca="1">IFERROR(VLOOKUP($C61,'PIP finance'!$C$448:$R$582,14,FALSE),"")</f>
        <v>2015</v>
      </c>
      <c r="AJ61" s="1377">
        <f ca="1">IFERROR(VLOOKUP($C61,'PIP finance'!$C$448:$R$582,15,FALSE),"")</f>
        <v>2017</v>
      </c>
    </row>
    <row r="62" spans="2:36" ht="15.75" x14ac:dyDescent="0.25">
      <c r="B62" s="1341"/>
      <c r="C62" s="6861" t="str">
        <f ca="1">IFERROR('Activation list'!W9,"")</f>
        <v>Increase septage collection with existing suction emptier trucks</v>
      </c>
      <c r="D62" s="6862"/>
      <c r="E62" s="6862"/>
      <c r="F62" s="6862"/>
      <c r="G62" s="6862"/>
      <c r="H62" s="6863"/>
      <c r="I62" s="6829" t="str">
        <f ca="1">IFERROR(VLOOKUP($C62,'PIP finance'!$C$448:$N$582,2,FALSE),"")</f>
        <v>Exisiting system</v>
      </c>
      <c r="J62" s="6830"/>
      <c r="K62" s="3715">
        <f ca="1">IFERROR(VLOOKUP($C62,'PIP finance'!$C$448:$N$582,3,FALSE),"")</f>
        <v>0</v>
      </c>
      <c r="L62" s="3716">
        <f ca="1">IFERROR(VLOOKUP($C62,'PIP finance'!$C$448:$N$582,4,FALSE),"")</f>
        <v>0</v>
      </c>
      <c r="M62" s="3716">
        <f ca="1">IFERROR(VLOOKUP($C62,'PIP finance'!$C$448:$N$582,5,FALSE),"")</f>
        <v>0</v>
      </c>
      <c r="N62" s="3716">
        <f ca="1">IFERROR(VLOOKUP($C62,'PIP finance'!$C$448:$N$582,6,FALSE),"")</f>
        <v>0</v>
      </c>
      <c r="O62" s="3716">
        <f ca="1">IFERROR(VLOOKUP($C62,'PIP finance'!$C$448:$N$582,7,FALSE),"")</f>
        <v>0</v>
      </c>
      <c r="P62" s="3716">
        <f ca="1">IFERROR(VLOOKUP($C62,'PIP finance'!$C$448:$N$582,8,FALSE),"")</f>
        <v>0</v>
      </c>
      <c r="Q62" s="3716">
        <f ca="1">IFERROR(VLOOKUP($C62,'PIP finance'!$C$448:$N$582,9,FALSE),"")</f>
        <v>0</v>
      </c>
      <c r="R62" s="3716">
        <f ca="1">IFERROR(VLOOKUP($C62,'PIP finance'!$C$448:$N$582,10,FALSE),"")</f>
        <v>0</v>
      </c>
      <c r="S62" s="3716">
        <f ca="1">IFERROR(VLOOKUP($C62,'PIP finance'!$C$448:$N$582,11,FALSE),"")</f>
        <v>0</v>
      </c>
      <c r="T62" s="3717">
        <f ca="1">IFERROR(VLOOKUP($C62,'PIP finance'!$C$448:$N$582,12,FALSE),"")</f>
        <v>0</v>
      </c>
      <c r="U62" s="3700">
        <f ca="1">IFERROR(VLOOKUP($C62,'PIP finance'!$C$448:$S$582,17,FALSE),"")</f>
        <v>0</v>
      </c>
      <c r="V62" s="3705"/>
      <c r="W62" s="3707"/>
      <c r="X62" s="3707"/>
      <c r="Y62" s="3701">
        <v>1</v>
      </c>
      <c r="Z62" s="3702">
        <f ca="1">IFERROR(VLOOKUP($C62,'PIP finance'!$C$448:$T$582,18,FALSE),"")</f>
        <v>0</v>
      </c>
      <c r="AA62" s="3709">
        <f t="shared" ca="1" si="3"/>
        <v>0</v>
      </c>
      <c r="AB62" s="3711">
        <f t="shared" ca="1" si="4"/>
        <v>0</v>
      </c>
      <c r="AC62" s="1341"/>
      <c r="AH62" s="1377" t="str">
        <f ca="1">IFERROR('Activation list'!X9,"")</f>
        <v>WW</v>
      </c>
      <c r="AI62" s="1377">
        <f ca="1">IFERROR(VLOOKUP($C62,'PIP finance'!$C$448:$R$582,14,FALSE),"")</f>
        <v>2015</v>
      </c>
      <c r="AJ62" s="1377">
        <f ca="1">IFERROR(VLOOKUP($C62,'PIP finance'!$C$448:$R$582,15,FALSE),"")</f>
        <v>2015</v>
      </c>
    </row>
    <row r="63" spans="2:36" ht="15.75" x14ac:dyDescent="0.25">
      <c r="B63" s="1341"/>
      <c r="C63" s="6832" t="str">
        <f ca="1">IFERROR('Activation list'!W10,"")</f>
        <v>Procure new suction emptier trucks</v>
      </c>
      <c r="D63" s="6833"/>
      <c r="E63" s="6833"/>
      <c r="F63" s="6833"/>
      <c r="G63" s="6833"/>
      <c r="H63" s="6834"/>
      <c r="I63" s="6827" t="str">
        <f ca="1">IFERROR(VLOOKUP($C63,'PIP finance'!$C$448:$N$582,2,FALSE),"")</f>
        <v>New infrastructure</v>
      </c>
      <c r="J63" s="6828"/>
      <c r="K63" s="3715">
        <f ca="1">IFERROR(VLOOKUP($C63,'PIP finance'!$C$448:$N$582,3,FALSE),"")</f>
        <v>12</v>
      </c>
      <c r="L63" s="3716">
        <f ca="1">IFERROR(VLOOKUP($C63,'PIP finance'!$C$448:$N$582,4,FALSE),"")</f>
        <v>12.84</v>
      </c>
      <c r="M63" s="3716">
        <f ca="1">IFERROR(VLOOKUP($C63,'PIP finance'!$C$448:$N$582,5,FALSE),"")</f>
        <v>0</v>
      </c>
      <c r="N63" s="3716">
        <f ca="1">IFERROR(VLOOKUP($C63,'PIP finance'!$C$448:$N$582,6,FALSE),"")</f>
        <v>0</v>
      </c>
      <c r="O63" s="3716">
        <f ca="1">IFERROR(VLOOKUP($C63,'PIP finance'!$C$448:$N$582,7,FALSE),"")</f>
        <v>0</v>
      </c>
      <c r="P63" s="3716">
        <f ca="1">IFERROR(VLOOKUP($C63,'PIP finance'!$C$448:$N$582,8,FALSE),"")</f>
        <v>0</v>
      </c>
      <c r="Q63" s="3716">
        <f ca="1">IFERROR(VLOOKUP($C63,'PIP finance'!$C$448:$N$582,9,FALSE),"")</f>
        <v>0</v>
      </c>
      <c r="R63" s="3716">
        <f ca="1">IFERROR(VLOOKUP($C63,'PIP finance'!$C$448:$N$582,10,FALSE),"")</f>
        <v>0</v>
      </c>
      <c r="S63" s="3716">
        <f ca="1">IFERROR(VLOOKUP($C63,'PIP finance'!$C$448:$N$582,11,FALSE),"")</f>
        <v>0</v>
      </c>
      <c r="T63" s="3717">
        <f ca="1">IFERROR(VLOOKUP($C63,'PIP finance'!$C$448:$N$582,12,FALSE),"")</f>
        <v>0</v>
      </c>
      <c r="U63" s="3700">
        <f ca="1">IFERROR(VLOOKUP($C63,'PIP finance'!$C$448:$S$582,17,FALSE),"")</f>
        <v>24.84</v>
      </c>
      <c r="V63" s="3705">
        <v>0.5</v>
      </c>
      <c r="W63" s="3707">
        <v>0.4</v>
      </c>
      <c r="X63" s="3707"/>
      <c r="Y63" s="3701"/>
      <c r="Z63" s="3702">
        <f ca="1">IFERROR(VLOOKUP($C63,'PIP finance'!$C$448:$T$582,18,FALSE),"")</f>
        <v>0</v>
      </c>
      <c r="AA63" s="3709">
        <f t="shared" ca="1" si="3"/>
        <v>9.9999999999999978E-2</v>
      </c>
      <c r="AB63" s="3711">
        <f t="shared" ca="1" si="4"/>
        <v>2.4839999999999995</v>
      </c>
      <c r="AC63" s="1341"/>
      <c r="AH63" s="1377" t="str">
        <f ca="1">IFERROR('Activation list'!X10,"")</f>
        <v>WW</v>
      </c>
      <c r="AI63" s="1377">
        <f ca="1">IFERROR(VLOOKUP($C63,'PIP finance'!$C$448:$R$582,14,FALSE),"")</f>
        <v>2015</v>
      </c>
      <c r="AJ63" s="1377">
        <f ca="1">IFERROR(VLOOKUP($C63,'PIP finance'!$C$448:$R$582,15,FALSE),"")</f>
        <v>2016</v>
      </c>
    </row>
    <row r="64" spans="2:36" ht="15.75" x14ac:dyDescent="0.25">
      <c r="B64" s="1341"/>
      <c r="C64" s="6832" t="str">
        <f ca="1">IFERROR('Activation list'!W11,"")</f>
        <v>Construct/augment fecal sludge treatment plant</v>
      </c>
      <c r="D64" s="6833"/>
      <c r="E64" s="6833"/>
      <c r="F64" s="6833"/>
      <c r="G64" s="6833"/>
      <c r="H64" s="6834"/>
      <c r="I64" s="6827" t="str">
        <f ca="1">IFERROR(VLOOKUP($C64,'PIP finance'!$C$448:$N$582,2,FALSE),"")</f>
        <v>New infrastructure</v>
      </c>
      <c r="J64" s="6828"/>
      <c r="K64" s="3715">
        <f ca="1">IFERROR(VLOOKUP($C64,'PIP finance'!$C$448:$N$582,3,FALSE),"")</f>
        <v>45</v>
      </c>
      <c r="L64" s="3716">
        <f ca="1">IFERROR(VLOOKUP($C64,'PIP finance'!$C$448:$N$582,4,FALSE),"")</f>
        <v>48.15</v>
      </c>
      <c r="M64" s="3716">
        <f ca="1">IFERROR(VLOOKUP($C64,'PIP finance'!$C$448:$N$582,5,FALSE),"")</f>
        <v>0</v>
      </c>
      <c r="N64" s="3716">
        <f ca="1">IFERROR(VLOOKUP($C64,'PIP finance'!$C$448:$N$582,6,FALSE),"")</f>
        <v>0</v>
      </c>
      <c r="O64" s="3716">
        <f ca="1">IFERROR(VLOOKUP($C64,'PIP finance'!$C$448:$N$582,7,FALSE),"")</f>
        <v>0</v>
      </c>
      <c r="P64" s="3716">
        <f ca="1">IFERROR(VLOOKUP($C64,'PIP finance'!$C$448:$N$582,8,FALSE),"")</f>
        <v>0</v>
      </c>
      <c r="Q64" s="3716">
        <f ca="1">IFERROR(VLOOKUP($C64,'PIP finance'!$C$448:$N$582,9,FALSE),"")</f>
        <v>0</v>
      </c>
      <c r="R64" s="3716">
        <f ca="1">IFERROR(VLOOKUP($C64,'PIP finance'!$C$448:$N$582,10,FALSE),"")</f>
        <v>0</v>
      </c>
      <c r="S64" s="3716">
        <f ca="1">IFERROR(VLOOKUP($C64,'PIP finance'!$C$448:$N$582,11,FALSE),"")</f>
        <v>0</v>
      </c>
      <c r="T64" s="3717">
        <f ca="1">IFERROR(VLOOKUP($C64,'PIP finance'!$C$448:$N$582,12,FALSE),"")</f>
        <v>0</v>
      </c>
      <c r="U64" s="3700">
        <f ca="1">IFERROR(VLOOKUP($C64,'PIP finance'!$C$448:$S$582,17,FALSE),"")</f>
        <v>93.15</v>
      </c>
      <c r="V64" s="3705"/>
      <c r="W64" s="3707"/>
      <c r="X64" s="3707"/>
      <c r="Y64" s="3701"/>
      <c r="Z64" s="3702">
        <f ca="1">IFERROR(VLOOKUP($C64,'PIP finance'!$C$448:$T$582,18,FALSE),"")</f>
        <v>0</v>
      </c>
      <c r="AA64" s="3709">
        <f t="shared" ca="1" si="3"/>
        <v>1</v>
      </c>
      <c r="AB64" s="3711">
        <f t="shared" ca="1" si="4"/>
        <v>93.15</v>
      </c>
      <c r="AC64" s="1341"/>
      <c r="AH64" s="1377" t="str">
        <f ca="1">IFERROR('Activation list'!X11,"")</f>
        <v>WW</v>
      </c>
      <c r="AI64" s="1377">
        <f ca="1">IFERROR(VLOOKUP($C64,'PIP finance'!$C$448:$R$582,14,FALSE),"")</f>
        <v>2015</v>
      </c>
      <c r="AJ64" s="1377">
        <f ca="1">IFERROR(VLOOKUP($C64,'PIP finance'!$C$448:$R$582,15,FALSE),"")</f>
        <v>2016</v>
      </c>
    </row>
    <row r="65" spans="2:36" ht="15.75" x14ac:dyDescent="0.25">
      <c r="B65" s="1341"/>
      <c r="C65" s="6832" t="str">
        <f ca="1">IFERROR('Activation list'!W12,"")</f>
        <v/>
      </c>
      <c r="D65" s="6833"/>
      <c r="E65" s="6833"/>
      <c r="F65" s="6833"/>
      <c r="G65" s="6833"/>
      <c r="H65" s="6834"/>
      <c r="I65" s="6829" t="str">
        <f ca="1">IFERROR(VLOOKUP($C65,'PIP finance'!$C$448:$N$582,2,FALSE),"")</f>
        <v/>
      </c>
      <c r="J65" s="6830"/>
      <c r="K65" s="3715" t="str">
        <f ca="1">IFERROR(VLOOKUP($C65,'PIP finance'!$C$448:$N$582,3,FALSE),"")</f>
        <v/>
      </c>
      <c r="L65" s="3716" t="str">
        <f ca="1">IFERROR(VLOOKUP($C65,'PIP finance'!$C$448:$N$582,4,FALSE),"")</f>
        <v/>
      </c>
      <c r="M65" s="3716" t="str">
        <f ca="1">IFERROR(VLOOKUP($C65,'PIP finance'!$C$448:$N$582,5,FALSE),"")</f>
        <v/>
      </c>
      <c r="N65" s="3716" t="str">
        <f ca="1">IFERROR(VLOOKUP($C65,'PIP finance'!$C$448:$N$582,6,FALSE),"")</f>
        <v/>
      </c>
      <c r="O65" s="3716" t="str">
        <f ca="1">IFERROR(VLOOKUP($C65,'PIP finance'!$C$448:$N$582,7,FALSE),"")</f>
        <v/>
      </c>
      <c r="P65" s="3716" t="str">
        <f ca="1">IFERROR(VLOOKUP($C65,'PIP finance'!$C$448:$N$582,8,FALSE),"")</f>
        <v/>
      </c>
      <c r="Q65" s="3716" t="str">
        <f ca="1">IFERROR(VLOOKUP($C65,'PIP finance'!$C$448:$N$582,9,FALSE),"")</f>
        <v/>
      </c>
      <c r="R65" s="3716" t="str">
        <f ca="1">IFERROR(VLOOKUP($C65,'PIP finance'!$C$448:$N$582,10,FALSE),"")</f>
        <v/>
      </c>
      <c r="S65" s="3716" t="str">
        <f ca="1">IFERROR(VLOOKUP($C65,'PIP finance'!$C$448:$N$582,11,FALSE),"")</f>
        <v/>
      </c>
      <c r="T65" s="3717" t="str">
        <f ca="1">IFERROR(VLOOKUP($C65,'PIP finance'!$C$448:$N$582,12,FALSE),"")</f>
        <v/>
      </c>
      <c r="U65" s="3700" t="str">
        <f ca="1">IFERROR(VLOOKUP($C65,'PIP finance'!$C$448:$S$582,17,FALSE),"")</f>
        <v/>
      </c>
      <c r="V65" s="3705"/>
      <c r="W65" s="3707"/>
      <c r="X65" s="3707"/>
      <c r="Y65" s="3701"/>
      <c r="Z65" s="3702" t="str">
        <f ca="1">IFERROR(VLOOKUP($C65,'PIP finance'!$C$448:$T$582,18,FALSE),"")</f>
        <v/>
      </c>
      <c r="AA65" s="3709" t="str">
        <f t="shared" ca="1" si="3"/>
        <v/>
      </c>
      <c r="AB65" s="3711">
        <f t="shared" ca="1" si="4"/>
        <v>0</v>
      </c>
      <c r="AC65" s="1341"/>
      <c r="AH65" s="1377" t="str">
        <f ca="1">IFERROR('Activation list'!X12,"")</f>
        <v/>
      </c>
      <c r="AI65" s="1377" t="str">
        <f ca="1">IFERROR(VLOOKUP($C65,'PIP finance'!$C$448:$R$582,14,FALSE),"")</f>
        <v/>
      </c>
      <c r="AJ65" s="1377" t="str">
        <f ca="1">IFERROR(VLOOKUP($C65,'PIP finance'!$C$448:$R$582,15,FALSE),"")</f>
        <v/>
      </c>
    </row>
    <row r="66" spans="2:36" ht="15.75" x14ac:dyDescent="0.25">
      <c r="B66" s="1341"/>
      <c r="C66" s="6832" t="str">
        <f ca="1">IFERROR('Activation list'!W13,"")</f>
        <v/>
      </c>
      <c r="D66" s="6833"/>
      <c r="E66" s="6833"/>
      <c r="F66" s="6833"/>
      <c r="G66" s="6833"/>
      <c r="H66" s="6834"/>
      <c r="I66" s="6827" t="str">
        <f ca="1">IFERROR(VLOOKUP($C66,'PIP finance'!$C$448:$N$582,2,FALSE),"")</f>
        <v/>
      </c>
      <c r="J66" s="6828"/>
      <c r="K66" s="3715" t="str">
        <f ca="1">IFERROR(VLOOKUP($C66,'PIP finance'!$C$448:$N$582,3,FALSE),"")</f>
        <v/>
      </c>
      <c r="L66" s="3716" t="str">
        <f ca="1">IFERROR(VLOOKUP($C66,'PIP finance'!$C$448:$N$582,4,FALSE),"")</f>
        <v/>
      </c>
      <c r="M66" s="3716" t="str">
        <f ca="1">IFERROR(VLOOKUP($C66,'PIP finance'!$C$448:$N$582,5,FALSE),"")</f>
        <v/>
      </c>
      <c r="N66" s="3716" t="str">
        <f ca="1">IFERROR(VLOOKUP($C66,'PIP finance'!$C$448:$N$582,6,FALSE),"")</f>
        <v/>
      </c>
      <c r="O66" s="3716" t="str">
        <f ca="1">IFERROR(VLOOKUP($C66,'PIP finance'!$C$448:$N$582,7,FALSE),"")</f>
        <v/>
      </c>
      <c r="P66" s="3716" t="str">
        <f ca="1">IFERROR(VLOOKUP($C66,'PIP finance'!$C$448:$N$582,8,FALSE),"")</f>
        <v/>
      </c>
      <c r="Q66" s="3716" t="str">
        <f ca="1">IFERROR(VLOOKUP($C66,'PIP finance'!$C$448:$N$582,9,FALSE),"")</f>
        <v/>
      </c>
      <c r="R66" s="3716" t="str">
        <f ca="1">IFERROR(VLOOKUP($C66,'PIP finance'!$C$448:$N$582,10,FALSE),"")</f>
        <v/>
      </c>
      <c r="S66" s="3716" t="str">
        <f ca="1">IFERROR(VLOOKUP($C66,'PIP finance'!$C$448:$N$582,11,FALSE),"")</f>
        <v/>
      </c>
      <c r="T66" s="3717" t="str">
        <f ca="1">IFERROR(VLOOKUP($C66,'PIP finance'!$C$448:$N$582,12,FALSE),"")</f>
        <v/>
      </c>
      <c r="U66" s="3700" t="str">
        <f ca="1">IFERROR(VLOOKUP($C66,'PIP finance'!$C$448:$S$582,17,FALSE),"")</f>
        <v/>
      </c>
      <c r="V66" s="3705"/>
      <c r="W66" s="3707"/>
      <c r="X66" s="3707"/>
      <c r="Y66" s="3701"/>
      <c r="Z66" s="3702" t="str">
        <f ca="1">IFERROR(VLOOKUP($C66,'PIP finance'!$C$448:$T$582,18,FALSE),"")</f>
        <v/>
      </c>
      <c r="AA66" s="3709" t="str">
        <f t="shared" ca="1" si="3"/>
        <v/>
      </c>
      <c r="AB66" s="3711">
        <f t="shared" ca="1" si="4"/>
        <v>0</v>
      </c>
      <c r="AC66" s="1341"/>
      <c r="AH66" s="1377" t="str">
        <f ca="1">IFERROR('Activation list'!X13,"")</f>
        <v/>
      </c>
      <c r="AI66" s="1377" t="str">
        <f ca="1">IFERROR(VLOOKUP($C66,'PIP finance'!$C$448:$R$582,14,FALSE),"")</f>
        <v/>
      </c>
      <c r="AJ66" s="1377" t="str">
        <f ca="1">IFERROR(VLOOKUP($C66,'PIP finance'!$C$448:$R$582,15,FALSE),"")</f>
        <v/>
      </c>
    </row>
    <row r="67" spans="2:36" ht="15.75" x14ac:dyDescent="0.25">
      <c r="B67" s="1341"/>
      <c r="C67" s="6832" t="str">
        <f ca="1">IFERROR('Activation list'!W14,"")</f>
        <v/>
      </c>
      <c r="D67" s="6833"/>
      <c r="E67" s="6833"/>
      <c r="F67" s="6833"/>
      <c r="G67" s="6833"/>
      <c r="H67" s="6834"/>
      <c r="I67" s="6827" t="str">
        <f ca="1">IFERROR(VLOOKUP($C67,'PIP finance'!$C$448:$N$582,2,FALSE),"")</f>
        <v/>
      </c>
      <c r="J67" s="6828"/>
      <c r="K67" s="3715" t="str">
        <f ca="1">IFERROR(VLOOKUP($C67,'PIP finance'!$C$448:$N$582,3,FALSE),"")</f>
        <v/>
      </c>
      <c r="L67" s="3716" t="str">
        <f ca="1">IFERROR(VLOOKUP($C67,'PIP finance'!$C$448:$N$582,4,FALSE),"")</f>
        <v/>
      </c>
      <c r="M67" s="3716" t="str">
        <f ca="1">IFERROR(VLOOKUP($C67,'PIP finance'!$C$448:$N$582,5,FALSE),"")</f>
        <v/>
      </c>
      <c r="N67" s="3716" t="str">
        <f ca="1">IFERROR(VLOOKUP($C67,'PIP finance'!$C$448:$N$582,6,FALSE),"")</f>
        <v/>
      </c>
      <c r="O67" s="3716" t="str">
        <f ca="1">IFERROR(VLOOKUP($C67,'PIP finance'!$C$448:$N$582,7,FALSE),"")</f>
        <v/>
      </c>
      <c r="P67" s="3716" t="str">
        <f ca="1">IFERROR(VLOOKUP($C67,'PIP finance'!$C$448:$N$582,8,FALSE),"")</f>
        <v/>
      </c>
      <c r="Q67" s="3716" t="str">
        <f ca="1">IFERROR(VLOOKUP($C67,'PIP finance'!$C$448:$N$582,9,FALSE),"")</f>
        <v/>
      </c>
      <c r="R67" s="3716" t="str">
        <f ca="1">IFERROR(VLOOKUP($C67,'PIP finance'!$C$448:$N$582,10,FALSE),"")</f>
        <v/>
      </c>
      <c r="S67" s="3716" t="str">
        <f ca="1">IFERROR(VLOOKUP($C67,'PIP finance'!$C$448:$N$582,11,FALSE),"")</f>
        <v/>
      </c>
      <c r="T67" s="3717" t="str">
        <f ca="1">IFERROR(VLOOKUP($C67,'PIP finance'!$C$448:$N$582,12,FALSE),"")</f>
        <v/>
      </c>
      <c r="U67" s="3700" t="str">
        <f ca="1">IFERROR(VLOOKUP($C67,'PIP finance'!$C$448:$S$582,17,FALSE),"")</f>
        <v/>
      </c>
      <c r="V67" s="3705"/>
      <c r="W67" s="3707"/>
      <c r="X67" s="3707"/>
      <c r="Y67" s="3701"/>
      <c r="Z67" s="3702" t="str">
        <f ca="1">IFERROR(VLOOKUP($C67,'PIP finance'!$C$448:$T$582,18,FALSE),"")</f>
        <v/>
      </c>
      <c r="AA67" s="3709" t="str">
        <f t="shared" ca="1" si="3"/>
        <v/>
      </c>
      <c r="AB67" s="3711">
        <f t="shared" ca="1" si="4"/>
        <v>0</v>
      </c>
      <c r="AC67" s="1341"/>
      <c r="AH67" s="1377" t="str">
        <f ca="1">IFERROR('Activation list'!X14,"")</f>
        <v/>
      </c>
      <c r="AI67" s="1377" t="str">
        <f ca="1">IFERROR(VLOOKUP($C67,'PIP finance'!$C$448:$R$582,14,FALSE),"")</f>
        <v/>
      </c>
      <c r="AJ67" s="1377" t="str">
        <f ca="1">IFERROR(VLOOKUP($C67,'PIP finance'!$C$448:$R$582,15,FALSE),"")</f>
        <v/>
      </c>
    </row>
    <row r="68" spans="2:36" ht="15.75" x14ac:dyDescent="0.25">
      <c r="B68" s="1341"/>
      <c r="C68" s="6832" t="str">
        <f ca="1">IFERROR('Activation list'!W15,"")</f>
        <v/>
      </c>
      <c r="D68" s="6833"/>
      <c r="E68" s="6833"/>
      <c r="F68" s="6833"/>
      <c r="G68" s="6833"/>
      <c r="H68" s="6834"/>
      <c r="I68" s="6827" t="str">
        <f ca="1">IFERROR(VLOOKUP($C68,'PIP finance'!$C$448:$N$582,2,FALSE),"")</f>
        <v/>
      </c>
      <c r="J68" s="6828"/>
      <c r="K68" s="3715" t="str">
        <f ca="1">IFERROR(VLOOKUP($C68,'PIP finance'!$C$448:$N$582,3,FALSE),"")</f>
        <v/>
      </c>
      <c r="L68" s="3716" t="str">
        <f ca="1">IFERROR(VLOOKUP($C68,'PIP finance'!$C$448:$N$582,4,FALSE),"")</f>
        <v/>
      </c>
      <c r="M68" s="3716" t="str">
        <f ca="1">IFERROR(VLOOKUP($C68,'PIP finance'!$C$448:$N$582,5,FALSE),"")</f>
        <v/>
      </c>
      <c r="N68" s="3716" t="str">
        <f ca="1">IFERROR(VLOOKUP($C68,'PIP finance'!$C$448:$N$582,6,FALSE),"")</f>
        <v/>
      </c>
      <c r="O68" s="3716" t="str">
        <f ca="1">IFERROR(VLOOKUP($C68,'PIP finance'!$C$448:$N$582,7,FALSE),"")</f>
        <v/>
      </c>
      <c r="P68" s="3716" t="str">
        <f ca="1">IFERROR(VLOOKUP($C68,'PIP finance'!$C$448:$N$582,8,FALSE),"")</f>
        <v/>
      </c>
      <c r="Q68" s="3716" t="str">
        <f ca="1">IFERROR(VLOOKUP($C68,'PIP finance'!$C$448:$N$582,9,FALSE),"")</f>
        <v/>
      </c>
      <c r="R68" s="3716" t="str">
        <f ca="1">IFERROR(VLOOKUP($C68,'PIP finance'!$C$448:$N$582,10,FALSE),"")</f>
        <v/>
      </c>
      <c r="S68" s="3716" t="str">
        <f ca="1">IFERROR(VLOOKUP($C68,'PIP finance'!$C$448:$N$582,11,FALSE),"")</f>
        <v/>
      </c>
      <c r="T68" s="3717" t="str">
        <f ca="1">IFERROR(VLOOKUP($C68,'PIP finance'!$C$448:$N$582,12,FALSE),"")</f>
        <v/>
      </c>
      <c r="U68" s="3703" t="str">
        <f ca="1">IFERROR(VLOOKUP($C68,'PIP finance'!$C$448:$S$582,17,FALSE),"")</f>
        <v/>
      </c>
      <c r="V68" s="3705"/>
      <c r="W68" s="3707"/>
      <c r="X68" s="3707"/>
      <c r="Y68" s="3701"/>
      <c r="Z68" s="3702" t="str">
        <f ca="1">IFERROR(VLOOKUP($C68,'PIP finance'!$C$448:$T$582,18,FALSE),"")</f>
        <v/>
      </c>
      <c r="AA68" s="3709" t="str">
        <f t="shared" ca="1" si="3"/>
        <v/>
      </c>
      <c r="AB68" s="3711">
        <f t="shared" ca="1" si="4"/>
        <v>0</v>
      </c>
      <c r="AC68" s="1341"/>
      <c r="AH68" s="1377" t="str">
        <f ca="1">IFERROR('Activation list'!X15,"")</f>
        <v/>
      </c>
      <c r="AI68" s="1377" t="str">
        <f ca="1">IFERROR(VLOOKUP($C68,'PIP finance'!$C$448:$R$582,14,FALSE),"")</f>
        <v/>
      </c>
      <c r="AJ68" s="1377" t="str">
        <f ca="1">IFERROR(VLOOKUP($C68,'PIP finance'!$C$448:$R$582,15,FALSE),"")</f>
        <v/>
      </c>
    </row>
    <row r="69" spans="2:36" ht="15.75" x14ac:dyDescent="0.25">
      <c r="B69" s="1341"/>
      <c r="C69" s="6832" t="str">
        <f ca="1">IFERROR('Activation list'!W16,"")</f>
        <v/>
      </c>
      <c r="D69" s="6833"/>
      <c r="E69" s="6833"/>
      <c r="F69" s="6833"/>
      <c r="G69" s="6833"/>
      <c r="H69" s="6834"/>
      <c r="I69" s="6827" t="str">
        <f ca="1">IFERROR(VLOOKUP($C69,'PIP finance'!$C$448:$N$582,2,FALSE),"")</f>
        <v/>
      </c>
      <c r="J69" s="6828"/>
      <c r="K69" s="3715" t="str">
        <f ca="1">IFERROR(VLOOKUP($C69,'PIP finance'!$C$448:$N$582,3,FALSE),"")</f>
        <v/>
      </c>
      <c r="L69" s="3716" t="str">
        <f ca="1">IFERROR(VLOOKUP($C69,'PIP finance'!$C$448:$N$582,4,FALSE),"")</f>
        <v/>
      </c>
      <c r="M69" s="3716" t="str">
        <f ca="1">IFERROR(VLOOKUP($C69,'PIP finance'!$C$448:$N$582,5,FALSE),"")</f>
        <v/>
      </c>
      <c r="N69" s="3716" t="str">
        <f ca="1">IFERROR(VLOOKUP($C69,'PIP finance'!$C$448:$N$582,6,FALSE),"")</f>
        <v/>
      </c>
      <c r="O69" s="3716" t="str">
        <f ca="1">IFERROR(VLOOKUP($C69,'PIP finance'!$C$448:$N$582,7,FALSE),"")</f>
        <v/>
      </c>
      <c r="P69" s="3716" t="str">
        <f ca="1">IFERROR(VLOOKUP($C69,'PIP finance'!$C$448:$N$582,8,FALSE),"")</f>
        <v/>
      </c>
      <c r="Q69" s="3716" t="str">
        <f ca="1">IFERROR(VLOOKUP($C69,'PIP finance'!$C$448:$N$582,9,FALSE),"")</f>
        <v/>
      </c>
      <c r="R69" s="3716" t="str">
        <f ca="1">IFERROR(VLOOKUP($C69,'PIP finance'!$C$448:$N$582,10,FALSE),"")</f>
        <v/>
      </c>
      <c r="S69" s="3716" t="str">
        <f ca="1">IFERROR(VLOOKUP($C69,'PIP finance'!$C$448:$N$582,11,FALSE),"")</f>
        <v/>
      </c>
      <c r="T69" s="3717" t="str">
        <f ca="1">IFERROR(VLOOKUP($C69,'PIP finance'!$C$448:$N$582,12,FALSE),"")</f>
        <v/>
      </c>
      <c r="U69" s="3703" t="str">
        <f ca="1">IFERROR(VLOOKUP($C69,'PIP finance'!$C$448:$S$582,17,FALSE),"")</f>
        <v/>
      </c>
      <c r="V69" s="3705"/>
      <c r="W69" s="3707"/>
      <c r="X69" s="3707"/>
      <c r="Y69" s="3701"/>
      <c r="Z69" s="3702" t="str">
        <f ca="1">IFERROR(VLOOKUP($C69,'PIP finance'!$C$448:$T$582,18,FALSE),"")</f>
        <v/>
      </c>
      <c r="AA69" s="3709" t="str">
        <f t="shared" ca="1" si="3"/>
        <v/>
      </c>
      <c r="AB69" s="3711">
        <f t="shared" ca="1" si="4"/>
        <v>0</v>
      </c>
      <c r="AC69" s="1341"/>
      <c r="AH69" s="1377" t="str">
        <f ca="1">IFERROR('Activation list'!X16,"")</f>
        <v/>
      </c>
      <c r="AI69" s="1377" t="str">
        <f ca="1">IFERROR(VLOOKUP($C69,'PIP finance'!$C$448:$R$582,14,FALSE),"")</f>
        <v/>
      </c>
      <c r="AJ69" s="1377" t="str">
        <f ca="1">IFERROR(VLOOKUP($C69,'PIP finance'!$C$448:$R$582,15,FALSE),"")</f>
        <v/>
      </c>
    </row>
    <row r="70" spans="2:36" ht="15.75" x14ac:dyDescent="0.25">
      <c r="B70" s="1341"/>
      <c r="C70" s="6832" t="str">
        <f ca="1">IFERROR('Activation list'!W17,"")</f>
        <v/>
      </c>
      <c r="D70" s="6833"/>
      <c r="E70" s="6833"/>
      <c r="F70" s="6833"/>
      <c r="G70" s="6833"/>
      <c r="H70" s="6834"/>
      <c r="I70" s="6827" t="str">
        <f ca="1">IFERROR(VLOOKUP($C70,'PIP finance'!$C$448:$N$582,2,FALSE),"")</f>
        <v/>
      </c>
      <c r="J70" s="6828"/>
      <c r="K70" s="3715" t="str">
        <f ca="1">IFERROR(VLOOKUP($C70,'PIP finance'!$C$448:$N$582,3,FALSE),"")</f>
        <v/>
      </c>
      <c r="L70" s="3716" t="str">
        <f ca="1">IFERROR(VLOOKUP($C70,'PIP finance'!$C$448:$N$582,4,FALSE),"")</f>
        <v/>
      </c>
      <c r="M70" s="3716" t="str">
        <f ca="1">IFERROR(VLOOKUP($C70,'PIP finance'!$C$448:$N$582,5,FALSE),"")</f>
        <v/>
      </c>
      <c r="N70" s="3716" t="str">
        <f ca="1">IFERROR(VLOOKUP($C70,'PIP finance'!$C$448:$N$582,6,FALSE),"")</f>
        <v/>
      </c>
      <c r="O70" s="3716" t="str">
        <f ca="1">IFERROR(VLOOKUP($C70,'PIP finance'!$C$448:$N$582,7,FALSE),"")</f>
        <v/>
      </c>
      <c r="P70" s="3716" t="str">
        <f ca="1">IFERROR(VLOOKUP($C70,'PIP finance'!$C$448:$N$582,8,FALSE),"")</f>
        <v/>
      </c>
      <c r="Q70" s="3716" t="str">
        <f ca="1">IFERROR(VLOOKUP($C70,'PIP finance'!$C$448:$N$582,9,FALSE),"")</f>
        <v/>
      </c>
      <c r="R70" s="3716" t="str">
        <f ca="1">IFERROR(VLOOKUP($C70,'PIP finance'!$C$448:$N$582,10,FALSE),"")</f>
        <v/>
      </c>
      <c r="S70" s="3716" t="str">
        <f ca="1">IFERROR(VLOOKUP($C70,'PIP finance'!$C$448:$N$582,11,FALSE),"")</f>
        <v/>
      </c>
      <c r="T70" s="3717" t="str">
        <f ca="1">IFERROR(VLOOKUP($C70,'PIP finance'!$C$448:$N$582,12,FALSE),"")</f>
        <v/>
      </c>
      <c r="U70" s="3703" t="str">
        <f ca="1">IFERROR(VLOOKUP($C70,'PIP finance'!$C$448:$S$582,17,FALSE),"")</f>
        <v/>
      </c>
      <c r="V70" s="3705"/>
      <c r="W70" s="3707"/>
      <c r="X70" s="3707"/>
      <c r="Y70" s="3701"/>
      <c r="Z70" s="3702" t="str">
        <f ca="1">IFERROR(VLOOKUP($C70,'PIP finance'!$C$448:$T$582,18,FALSE),"")</f>
        <v/>
      </c>
      <c r="AA70" s="3709" t="str">
        <f t="shared" ca="1" si="3"/>
        <v/>
      </c>
      <c r="AB70" s="3711">
        <f t="shared" ca="1" si="4"/>
        <v>0</v>
      </c>
      <c r="AC70" s="1341"/>
      <c r="AD70" s="1378"/>
      <c r="AE70" s="1378"/>
      <c r="AF70" s="1378"/>
      <c r="AH70" s="1377" t="str">
        <f ca="1">IFERROR('Activation list'!X17,"")</f>
        <v/>
      </c>
      <c r="AI70" s="1377" t="str">
        <f ca="1">IFERROR(VLOOKUP($C70,'PIP finance'!$C$448:$R$582,14,FALSE),"")</f>
        <v/>
      </c>
      <c r="AJ70" s="1377" t="str">
        <f ca="1">IFERROR(VLOOKUP($C70,'PIP finance'!$C$448:$R$582,15,FALSE),"")</f>
        <v/>
      </c>
    </row>
    <row r="71" spans="2:36" ht="15.75" x14ac:dyDescent="0.25">
      <c r="B71" s="1341"/>
      <c r="C71" s="6832" t="str">
        <f ca="1">IFERROR('Activation list'!W18,"")</f>
        <v/>
      </c>
      <c r="D71" s="6833"/>
      <c r="E71" s="6833"/>
      <c r="F71" s="6833"/>
      <c r="G71" s="6833"/>
      <c r="H71" s="6834"/>
      <c r="I71" s="6827" t="str">
        <f ca="1">IFERROR(VLOOKUP($C71,'PIP finance'!$C$448:$N$582,2,FALSE),"")</f>
        <v/>
      </c>
      <c r="J71" s="6828"/>
      <c r="K71" s="3715" t="str">
        <f ca="1">IFERROR(VLOOKUP($C71,'PIP finance'!$C$448:$N$582,3,FALSE),"")</f>
        <v/>
      </c>
      <c r="L71" s="3716" t="str">
        <f ca="1">IFERROR(VLOOKUP($C71,'PIP finance'!$C$448:$N$582,4,FALSE),"")</f>
        <v/>
      </c>
      <c r="M71" s="3716" t="str">
        <f ca="1">IFERROR(VLOOKUP($C71,'PIP finance'!$C$448:$N$582,5,FALSE),"")</f>
        <v/>
      </c>
      <c r="N71" s="3716" t="str">
        <f ca="1">IFERROR(VLOOKUP($C71,'PIP finance'!$C$448:$N$582,6,FALSE),"")</f>
        <v/>
      </c>
      <c r="O71" s="3716" t="str">
        <f ca="1">IFERROR(VLOOKUP($C71,'PIP finance'!$C$448:$N$582,7,FALSE),"")</f>
        <v/>
      </c>
      <c r="P71" s="3716" t="str">
        <f ca="1">IFERROR(VLOOKUP($C71,'PIP finance'!$C$448:$N$582,8,FALSE),"")</f>
        <v/>
      </c>
      <c r="Q71" s="3716" t="str">
        <f ca="1">IFERROR(VLOOKUP($C71,'PIP finance'!$C$448:$N$582,9,FALSE),"")</f>
        <v/>
      </c>
      <c r="R71" s="3716" t="str">
        <f ca="1">IFERROR(VLOOKUP($C71,'PIP finance'!$C$448:$N$582,10,FALSE),"")</f>
        <v/>
      </c>
      <c r="S71" s="3716" t="str">
        <f ca="1">IFERROR(VLOOKUP($C71,'PIP finance'!$C$448:$N$582,11,FALSE),"")</f>
        <v/>
      </c>
      <c r="T71" s="3717" t="str">
        <f ca="1">IFERROR(VLOOKUP($C71,'PIP finance'!$C$448:$N$582,12,FALSE),"")</f>
        <v/>
      </c>
      <c r="U71" s="3703" t="str">
        <f ca="1">IFERROR(VLOOKUP($C71,'PIP finance'!$C$448:$S$582,17,FALSE),"")</f>
        <v/>
      </c>
      <c r="V71" s="3705"/>
      <c r="W71" s="3707"/>
      <c r="X71" s="3707"/>
      <c r="Y71" s="3701"/>
      <c r="Z71" s="3702" t="str">
        <f ca="1">IFERROR(VLOOKUP($C71,'PIP finance'!$C$448:$T$582,18,FALSE),"")</f>
        <v/>
      </c>
      <c r="AA71" s="3709" t="str">
        <f t="shared" ca="1" si="3"/>
        <v/>
      </c>
      <c r="AB71" s="3711">
        <f t="shared" ca="1" si="4"/>
        <v>0</v>
      </c>
      <c r="AC71" s="1341"/>
      <c r="AH71" s="1377" t="str">
        <f ca="1">IFERROR('Activation list'!X18,"")</f>
        <v/>
      </c>
      <c r="AI71" s="1377" t="str">
        <f ca="1">IFERROR(VLOOKUP($C71,'PIP finance'!$C$448:$R$582,14,FALSE),"")</f>
        <v/>
      </c>
      <c r="AJ71" s="1377" t="str">
        <f ca="1">IFERROR(VLOOKUP($C71,'PIP finance'!$C$448:$R$582,15,FALSE),"")</f>
        <v/>
      </c>
    </row>
    <row r="72" spans="2:36" ht="15.75" x14ac:dyDescent="0.25">
      <c r="B72" s="1341"/>
      <c r="C72" s="6832" t="str">
        <f ca="1">IFERROR('Activation list'!W19,"")</f>
        <v/>
      </c>
      <c r="D72" s="6833"/>
      <c r="E72" s="6833"/>
      <c r="F72" s="6833"/>
      <c r="G72" s="6833"/>
      <c r="H72" s="6834"/>
      <c r="I72" s="6827" t="str">
        <f ca="1">IFERROR(VLOOKUP($C72,'PIP finance'!$C$448:$N$582,2,FALSE),"")</f>
        <v/>
      </c>
      <c r="J72" s="6828"/>
      <c r="K72" s="3715" t="str">
        <f ca="1">IFERROR(VLOOKUP($C72,'PIP finance'!$C$448:$N$582,3,FALSE),"")</f>
        <v/>
      </c>
      <c r="L72" s="3716" t="str">
        <f ca="1">IFERROR(VLOOKUP($C72,'PIP finance'!$C$448:$N$582,4,FALSE),"")</f>
        <v/>
      </c>
      <c r="M72" s="3716" t="str">
        <f ca="1">IFERROR(VLOOKUP($C72,'PIP finance'!$C$448:$N$582,5,FALSE),"")</f>
        <v/>
      </c>
      <c r="N72" s="3716" t="str">
        <f ca="1">IFERROR(VLOOKUP($C72,'PIP finance'!$C$448:$N$582,6,FALSE),"")</f>
        <v/>
      </c>
      <c r="O72" s="3716" t="str">
        <f ca="1">IFERROR(VLOOKUP($C72,'PIP finance'!$C$448:$N$582,7,FALSE),"")</f>
        <v/>
      </c>
      <c r="P72" s="3716" t="str">
        <f ca="1">IFERROR(VLOOKUP($C72,'PIP finance'!$C$448:$N$582,8,FALSE),"")</f>
        <v/>
      </c>
      <c r="Q72" s="3716" t="str">
        <f ca="1">IFERROR(VLOOKUP($C72,'PIP finance'!$C$448:$N$582,9,FALSE),"")</f>
        <v/>
      </c>
      <c r="R72" s="3716" t="str">
        <f ca="1">IFERROR(VLOOKUP($C72,'PIP finance'!$C$448:$N$582,10,FALSE),"")</f>
        <v/>
      </c>
      <c r="S72" s="3716" t="str">
        <f ca="1">IFERROR(VLOOKUP($C72,'PIP finance'!$C$448:$N$582,11,FALSE),"")</f>
        <v/>
      </c>
      <c r="T72" s="3717" t="str">
        <f ca="1">IFERROR(VLOOKUP($C72,'PIP finance'!$C$448:$N$582,12,FALSE),"")</f>
        <v/>
      </c>
      <c r="U72" s="3703" t="str">
        <f ca="1">IFERROR(VLOOKUP($C72,'PIP finance'!$C$448:$S$582,17,FALSE),"")</f>
        <v/>
      </c>
      <c r="V72" s="3705"/>
      <c r="W72" s="3707"/>
      <c r="X72" s="3707"/>
      <c r="Y72" s="3701"/>
      <c r="Z72" s="3702" t="str">
        <f ca="1">IFERROR(VLOOKUP($C72,'PIP finance'!$C$448:$T$582,18,FALSE),"")</f>
        <v/>
      </c>
      <c r="AA72" s="3709" t="str">
        <f t="shared" ca="1" si="3"/>
        <v/>
      </c>
      <c r="AB72" s="3711">
        <f t="shared" ca="1" si="4"/>
        <v>0</v>
      </c>
      <c r="AC72" s="1341"/>
      <c r="AH72" s="1377" t="str">
        <f ca="1">IFERROR('Activation list'!X19,"")</f>
        <v/>
      </c>
      <c r="AI72" s="1377" t="str">
        <f ca="1">IFERROR(VLOOKUP($C72,'PIP finance'!$C$448:$R$582,14,FALSE),"")</f>
        <v/>
      </c>
      <c r="AJ72" s="1377" t="str">
        <f ca="1">IFERROR(VLOOKUP($C72,'PIP finance'!$C$448:$R$582,15,FALSE),"")</f>
        <v/>
      </c>
    </row>
    <row r="73" spans="2:36" ht="15.75" x14ac:dyDescent="0.25">
      <c r="B73" s="1341"/>
      <c r="C73" s="6832" t="str">
        <f ca="1">IFERROR('Activation list'!W20,"")</f>
        <v/>
      </c>
      <c r="D73" s="6833"/>
      <c r="E73" s="6833"/>
      <c r="F73" s="6833"/>
      <c r="G73" s="6833"/>
      <c r="H73" s="6834"/>
      <c r="I73" s="6827" t="str">
        <f ca="1">IFERROR(VLOOKUP($C73,'PIP finance'!$C$448:$N$582,2,FALSE),"")</f>
        <v/>
      </c>
      <c r="J73" s="6828"/>
      <c r="K73" s="3715" t="str">
        <f ca="1">IFERROR(VLOOKUP($C73,'PIP finance'!$C$448:$N$582,3,FALSE),"")</f>
        <v/>
      </c>
      <c r="L73" s="3716" t="str">
        <f ca="1">IFERROR(VLOOKUP($C73,'PIP finance'!$C$448:$N$582,4,FALSE),"")</f>
        <v/>
      </c>
      <c r="M73" s="3716" t="str">
        <f ca="1">IFERROR(VLOOKUP($C73,'PIP finance'!$C$448:$N$582,5,FALSE),"")</f>
        <v/>
      </c>
      <c r="N73" s="3716" t="str">
        <f ca="1">IFERROR(VLOOKUP($C73,'PIP finance'!$C$448:$N$582,6,FALSE),"")</f>
        <v/>
      </c>
      <c r="O73" s="3716" t="str">
        <f ca="1">IFERROR(VLOOKUP($C73,'PIP finance'!$C$448:$N$582,7,FALSE),"")</f>
        <v/>
      </c>
      <c r="P73" s="3716" t="str">
        <f ca="1">IFERROR(VLOOKUP($C73,'PIP finance'!$C$448:$N$582,8,FALSE),"")</f>
        <v/>
      </c>
      <c r="Q73" s="3716" t="str">
        <f ca="1">IFERROR(VLOOKUP($C73,'PIP finance'!$C$448:$N$582,9,FALSE),"")</f>
        <v/>
      </c>
      <c r="R73" s="3716" t="str">
        <f ca="1">IFERROR(VLOOKUP($C73,'PIP finance'!$C$448:$N$582,10,FALSE),"")</f>
        <v/>
      </c>
      <c r="S73" s="3716" t="str">
        <f ca="1">IFERROR(VLOOKUP($C73,'PIP finance'!$C$448:$N$582,11,FALSE),"")</f>
        <v/>
      </c>
      <c r="T73" s="3717" t="str">
        <f ca="1">IFERROR(VLOOKUP($C73,'PIP finance'!$C$448:$N$582,12,FALSE),"")</f>
        <v/>
      </c>
      <c r="U73" s="3703" t="str">
        <f ca="1">IFERROR(VLOOKUP($C73,'PIP finance'!$C$448:$S$582,17,FALSE),"")</f>
        <v/>
      </c>
      <c r="V73" s="3705"/>
      <c r="W73" s="3707"/>
      <c r="X73" s="3707"/>
      <c r="Y73" s="3701"/>
      <c r="Z73" s="3702" t="str">
        <f ca="1">IFERROR(VLOOKUP($C73,'PIP finance'!$C$448:$T$582,18,FALSE),"")</f>
        <v/>
      </c>
      <c r="AA73" s="3709" t="str">
        <f t="shared" ca="1" si="3"/>
        <v/>
      </c>
      <c r="AB73" s="3711">
        <f t="shared" ca="1" si="4"/>
        <v>0</v>
      </c>
      <c r="AC73" s="1341"/>
      <c r="AH73" s="1377" t="str">
        <f ca="1">IFERROR('Activation list'!X20,"")</f>
        <v/>
      </c>
      <c r="AI73" s="1377" t="str">
        <f ca="1">IFERROR(VLOOKUP($C73,'PIP finance'!$C$448:$R$582,14,FALSE),"")</f>
        <v/>
      </c>
      <c r="AJ73" s="1377" t="str">
        <f ca="1">IFERROR(VLOOKUP($C73,'PIP finance'!$C$448:$R$582,15,FALSE),"")</f>
        <v/>
      </c>
    </row>
    <row r="74" spans="2:36" ht="15.75" x14ac:dyDescent="0.25">
      <c r="B74" s="1341"/>
      <c r="C74" s="6832" t="str">
        <f ca="1">IFERROR('Activation list'!W21,"")</f>
        <v/>
      </c>
      <c r="D74" s="6833"/>
      <c r="E74" s="6833"/>
      <c r="F74" s="6833"/>
      <c r="G74" s="6833"/>
      <c r="H74" s="6834"/>
      <c r="I74" s="6827" t="str">
        <f ca="1">IFERROR(VLOOKUP($C74,'PIP finance'!$C$448:$N$582,2,FALSE),"")</f>
        <v/>
      </c>
      <c r="J74" s="6828"/>
      <c r="K74" s="3715" t="str">
        <f ca="1">IFERROR(VLOOKUP($C74,'PIP finance'!$C$448:$N$582,3,FALSE),"")</f>
        <v/>
      </c>
      <c r="L74" s="3716" t="str">
        <f ca="1">IFERROR(VLOOKUP($C74,'PIP finance'!$C$448:$N$582,4,FALSE),"")</f>
        <v/>
      </c>
      <c r="M74" s="3716" t="str">
        <f ca="1">IFERROR(VLOOKUP($C74,'PIP finance'!$C$448:$N$582,5,FALSE),"")</f>
        <v/>
      </c>
      <c r="N74" s="3716" t="str">
        <f ca="1">IFERROR(VLOOKUP($C74,'PIP finance'!$C$448:$N$582,6,FALSE),"")</f>
        <v/>
      </c>
      <c r="O74" s="3716" t="str">
        <f ca="1">IFERROR(VLOOKUP($C74,'PIP finance'!$C$448:$N$582,7,FALSE),"")</f>
        <v/>
      </c>
      <c r="P74" s="3716" t="str">
        <f ca="1">IFERROR(VLOOKUP($C74,'PIP finance'!$C$448:$N$582,8,FALSE),"")</f>
        <v/>
      </c>
      <c r="Q74" s="3716" t="str">
        <f ca="1">IFERROR(VLOOKUP($C74,'PIP finance'!$C$448:$N$582,9,FALSE),"")</f>
        <v/>
      </c>
      <c r="R74" s="3716" t="str">
        <f ca="1">IFERROR(VLOOKUP($C74,'PIP finance'!$C$448:$N$582,10,FALSE),"")</f>
        <v/>
      </c>
      <c r="S74" s="3716" t="str">
        <f ca="1">IFERROR(VLOOKUP($C74,'PIP finance'!$C$448:$N$582,11,FALSE),"")</f>
        <v/>
      </c>
      <c r="T74" s="3717" t="str">
        <f ca="1">IFERROR(VLOOKUP($C74,'PIP finance'!$C$448:$N$582,12,FALSE),"")</f>
        <v/>
      </c>
      <c r="U74" s="3703" t="str">
        <f ca="1">IFERROR(VLOOKUP($C74,'PIP finance'!$C$448:$S$582,17,FALSE),"")</f>
        <v/>
      </c>
      <c r="V74" s="3705"/>
      <c r="W74" s="3707"/>
      <c r="X74" s="3707"/>
      <c r="Y74" s="3701"/>
      <c r="Z74" s="3702" t="str">
        <f ca="1">IFERROR(VLOOKUP($C74,'PIP finance'!$C$448:$T$582,18,FALSE),"")</f>
        <v/>
      </c>
      <c r="AA74" s="3709" t="str">
        <f t="shared" ca="1" si="3"/>
        <v/>
      </c>
      <c r="AB74" s="3711">
        <f t="shared" ca="1" si="4"/>
        <v>0</v>
      </c>
      <c r="AC74" s="1341"/>
      <c r="AH74" s="1377" t="str">
        <f ca="1">IFERROR('Activation list'!X21,"")</f>
        <v/>
      </c>
      <c r="AI74" s="1377" t="str">
        <f ca="1">IFERROR(VLOOKUP($C74,'PIP finance'!$C$448:$R$582,14,FALSE),"")</f>
        <v/>
      </c>
      <c r="AJ74" s="1377" t="str">
        <f ca="1">IFERROR(VLOOKUP($C74,'PIP finance'!$C$448:$R$582,15,FALSE),"")</f>
        <v/>
      </c>
    </row>
    <row r="75" spans="2:36" ht="15.75" x14ac:dyDescent="0.25">
      <c r="B75" s="1341"/>
      <c r="C75" s="6832" t="str">
        <f ca="1">IFERROR('Activation list'!W22,"")</f>
        <v/>
      </c>
      <c r="D75" s="6833"/>
      <c r="E75" s="6833"/>
      <c r="F75" s="6833"/>
      <c r="G75" s="6833"/>
      <c r="H75" s="6834"/>
      <c r="I75" s="6827" t="str">
        <f ca="1">IFERROR(VLOOKUP($C75,'PIP finance'!$C$448:$N$582,2,FALSE),"")</f>
        <v/>
      </c>
      <c r="J75" s="6828"/>
      <c r="K75" s="3715" t="str">
        <f ca="1">IFERROR(VLOOKUP($C75,'PIP finance'!$C$448:$N$582,3,FALSE),"")</f>
        <v/>
      </c>
      <c r="L75" s="3716" t="str">
        <f ca="1">IFERROR(VLOOKUP($C75,'PIP finance'!$C$448:$N$582,4,FALSE),"")</f>
        <v/>
      </c>
      <c r="M75" s="3716" t="str">
        <f ca="1">IFERROR(VLOOKUP($C75,'PIP finance'!$C$448:$N$582,5,FALSE),"")</f>
        <v/>
      </c>
      <c r="N75" s="3716" t="str">
        <f ca="1">IFERROR(VLOOKUP($C75,'PIP finance'!$C$448:$N$582,6,FALSE),"")</f>
        <v/>
      </c>
      <c r="O75" s="3716" t="str">
        <f ca="1">IFERROR(VLOOKUP($C75,'PIP finance'!$C$448:$N$582,7,FALSE),"")</f>
        <v/>
      </c>
      <c r="P75" s="3716" t="str">
        <f ca="1">IFERROR(VLOOKUP($C75,'PIP finance'!$C$448:$N$582,8,FALSE),"")</f>
        <v/>
      </c>
      <c r="Q75" s="3716" t="str">
        <f ca="1">IFERROR(VLOOKUP($C75,'PIP finance'!$C$448:$N$582,9,FALSE),"")</f>
        <v/>
      </c>
      <c r="R75" s="3716" t="str">
        <f ca="1">IFERROR(VLOOKUP($C75,'PIP finance'!$C$448:$N$582,10,FALSE),"")</f>
        <v/>
      </c>
      <c r="S75" s="3716" t="str">
        <f ca="1">IFERROR(VLOOKUP($C75,'PIP finance'!$C$448:$N$582,11,FALSE),"")</f>
        <v/>
      </c>
      <c r="T75" s="3717" t="str">
        <f ca="1">IFERROR(VLOOKUP($C75,'PIP finance'!$C$448:$N$582,12,FALSE),"")</f>
        <v/>
      </c>
      <c r="U75" s="3703" t="str">
        <f ca="1">IFERROR(VLOOKUP($C75,'PIP finance'!$C$448:$S$582,17,FALSE),"")</f>
        <v/>
      </c>
      <c r="V75" s="3705"/>
      <c r="W75" s="3707"/>
      <c r="X75" s="3707"/>
      <c r="Y75" s="3701"/>
      <c r="Z75" s="3702" t="str">
        <f ca="1">IFERROR(VLOOKUP($C75,'PIP finance'!$C$448:$T$582,18,FALSE),"")</f>
        <v/>
      </c>
      <c r="AA75" s="3709" t="str">
        <f t="shared" ca="1" si="3"/>
        <v/>
      </c>
      <c r="AB75" s="3711">
        <f t="shared" ca="1" si="4"/>
        <v>0</v>
      </c>
      <c r="AC75" s="1341"/>
      <c r="AH75" s="1377" t="str">
        <f ca="1">IFERROR('Activation list'!X22,"")</f>
        <v/>
      </c>
      <c r="AI75" s="1377" t="str">
        <f ca="1">IFERROR(VLOOKUP($C75,'PIP finance'!$C$448:$R$582,14,FALSE),"")</f>
        <v/>
      </c>
      <c r="AJ75" s="1377" t="str">
        <f ca="1">IFERROR(VLOOKUP($C75,'PIP finance'!$C$448:$R$582,15,FALSE),"")</f>
        <v/>
      </c>
    </row>
    <row r="76" spans="2:36" ht="15.75" x14ac:dyDescent="0.25">
      <c r="B76" s="1341"/>
      <c r="C76" s="6832" t="str">
        <f ca="1">IFERROR('Activation list'!W23,"")</f>
        <v/>
      </c>
      <c r="D76" s="6833"/>
      <c r="E76" s="6833"/>
      <c r="F76" s="6833"/>
      <c r="G76" s="6833"/>
      <c r="H76" s="6834"/>
      <c r="I76" s="6827" t="str">
        <f ca="1">IFERROR(VLOOKUP($C76,'PIP finance'!$C$448:$N$582,2,FALSE),"")</f>
        <v/>
      </c>
      <c r="J76" s="6828"/>
      <c r="K76" s="3715" t="str">
        <f ca="1">IFERROR(VLOOKUP($C76,'PIP finance'!$C$448:$N$582,3,FALSE),"")</f>
        <v/>
      </c>
      <c r="L76" s="3716" t="str">
        <f ca="1">IFERROR(VLOOKUP($C76,'PIP finance'!$C$448:$N$582,4,FALSE),"")</f>
        <v/>
      </c>
      <c r="M76" s="3716" t="str">
        <f ca="1">IFERROR(VLOOKUP($C76,'PIP finance'!$C$448:$N$582,5,FALSE),"")</f>
        <v/>
      </c>
      <c r="N76" s="3716" t="str">
        <f ca="1">IFERROR(VLOOKUP($C76,'PIP finance'!$C$448:$N$582,6,FALSE),"")</f>
        <v/>
      </c>
      <c r="O76" s="3716" t="str">
        <f ca="1">IFERROR(VLOOKUP($C76,'PIP finance'!$C$448:$N$582,7,FALSE),"")</f>
        <v/>
      </c>
      <c r="P76" s="3716" t="str">
        <f ca="1">IFERROR(VLOOKUP($C76,'PIP finance'!$C$448:$N$582,8,FALSE),"")</f>
        <v/>
      </c>
      <c r="Q76" s="3716" t="str">
        <f ca="1">IFERROR(VLOOKUP($C76,'PIP finance'!$C$448:$N$582,9,FALSE),"")</f>
        <v/>
      </c>
      <c r="R76" s="3716" t="str">
        <f ca="1">IFERROR(VLOOKUP($C76,'PIP finance'!$C$448:$N$582,10,FALSE),"")</f>
        <v/>
      </c>
      <c r="S76" s="3716" t="str">
        <f ca="1">IFERROR(VLOOKUP($C76,'PIP finance'!$C$448:$N$582,11,FALSE),"")</f>
        <v/>
      </c>
      <c r="T76" s="3717" t="str">
        <f ca="1">IFERROR(VLOOKUP($C76,'PIP finance'!$C$448:$N$582,12,FALSE),"")</f>
        <v/>
      </c>
      <c r="U76" s="3703" t="str">
        <f ca="1">IFERROR(VLOOKUP($C76,'PIP finance'!$C$448:$S$582,17,FALSE),"")</f>
        <v/>
      </c>
      <c r="V76" s="3705"/>
      <c r="W76" s="3707"/>
      <c r="X76" s="3707"/>
      <c r="Y76" s="3701"/>
      <c r="Z76" s="3702" t="str">
        <f ca="1">IFERROR(VLOOKUP($C76,'PIP finance'!$C$448:$T$582,18,FALSE),"")</f>
        <v/>
      </c>
      <c r="AA76" s="3709" t="str">
        <f t="shared" ca="1" si="3"/>
        <v/>
      </c>
      <c r="AB76" s="3711">
        <f t="shared" ca="1" si="4"/>
        <v>0</v>
      </c>
      <c r="AC76" s="1341"/>
      <c r="AH76" s="1377" t="str">
        <f ca="1">IFERROR('Activation list'!X23,"")</f>
        <v/>
      </c>
      <c r="AI76" s="1377" t="str">
        <f ca="1">IFERROR(VLOOKUP($C76,'PIP finance'!$C$448:$R$582,14,FALSE),"")</f>
        <v/>
      </c>
      <c r="AJ76" s="1377" t="str">
        <f ca="1">IFERROR(VLOOKUP($C76,'PIP finance'!$C$448:$R$582,15,FALSE),"")</f>
        <v/>
      </c>
    </row>
    <row r="77" spans="2:36" ht="15.75" x14ac:dyDescent="0.25">
      <c r="B77" s="1341"/>
      <c r="C77" s="6832" t="str">
        <f ca="1">IFERROR('Activation list'!W24,"")</f>
        <v/>
      </c>
      <c r="D77" s="6833"/>
      <c r="E77" s="6833"/>
      <c r="F77" s="6833"/>
      <c r="G77" s="6833"/>
      <c r="H77" s="6834"/>
      <c r="I77" s="6827" t="str">
        <f ca="1">IFERROR(VLOOKUP($C77,'PIP finance'!$C$448:$N$582,2,FALSE),"")</f>
        <v/>
      </c>
      <c r="J77" s="6828"/>
      <c r="K77" s="3715" t="str">
        <f ca="1">IFERROR(VLOOKUP($C77,'PIP finance'!$C$448:$N$582,3,FALSE),"")</f>
        <v/>
      </c>
      <c r="L77" s="3716" t="str">
        <f ca="1">IFERROR(VLOOKUP($C77,'PIP finance'!$C$448:$N$582,4,FALSE),"")</f>
        <v/>
      </c>
      <c r="M77" s="3716" t="str">
        <f ca="1">IFERROR(VLOOKUP($C77,'PIP finance'!$C$448:$N$582,5,FALSE),"")</f>
        <v/>
      </c>
      <c r="N77" s="3716" t="str">
        <f ca="1">IFERROR(VLOOKUP($C77,'PIP finance'!$C$448:$N$582,6,FALSE),"")</f>
        <v/>
      </c>
      <c r="O77" s="3716" t="str">
        <f ca="1">IFERROR(VLOOKUP($C77,'PIP finance'!$C$448:$N$582,7,FALSE),"")</f>
        <v/>
      </c>
      <c r="P77" s="3716" t="str">
        <f ca="1">IFERROR(VLOOKUP($C77,'PIP finance'!$C$448:$N$582,8,FALSE),"")</f>
        <v/>
      </c>
      <c r="Q77" s="3716" t="str">
        <f ca="1">IFERROR(VLOOKUP($C77,'PIP finance'!$C$448:$N$582,9,FALSE),"")</f>
        <v/>
      </c>
      <c r="R77" s="3716" t="str">
        <f ca="1">IFERROR(VLOOKUP($C77,'PIP finance'!$C$448:$N$582,10,FALSE),"")</f>
        <v/>
      </c>
      <c r="S77" s="3716" t="str">
        <f ca="1">IFERROR(VLOOKUP($C77,'PIP finance'!$C$448:$N$582,11,FALSE),"")</f>
        <v/>
      </c>
      <c r="T77" s="3717" t="str">
        <f ca="1">IFERROR(VLOOKUP($C77,'PIP finance'!$C$448:$N$582,12,FALSE),"")</f>
        <v/>
      </c>
      <c r="U77" s="3703" t="str">
        <f ca="1">IFERROR(VLOOKUP($C77,'PIP finance'!$C$448:$S$582,17,FALSE),"")</f>
        <v/>
      </c>
      <c r="V77" s="3705"/>
      <c r="W77" s="3707"/>
      <c r="X77" s="3707"/>
      <c r="Y77" s="3701"/>
      <c r="Z77" s="3702" t="str">
        <f ca="1">IFERROR(VLOOKUP($C77,'PIP finance'!$C$448:$T$582,18,FALSE),"")</f>
        <v/>
      </c>
      <c r="AA77" s="3709" t="str">
        <f t="shared" ca="1" si="3"/>
        <v/>
      </c>
      <c r="AB77" s="3711">
        <f t="shared" ca="1" si="4"/>
        <v>0</v>
      </c>
      <c r="AC77" s="1341"/>
      <c r="AH77" s="1377" t="str">
        <f ca="1">IFERROR('Activation list'!X24,"")</f>
        <v/>
      </c>
      <c r="AI77" s="1377" t="str">
        <f ca="1">IFERROR(VLOOKUP($C77,'PIP finance'!$C$448:$R$582,14,FALSE),"")</f>
        <v/>
      </c>
      <c r="AJ77" s="1377" t="str">
        <f ca="1">IFERROR(VLOOKUP($C77,'PIP finance'!$C$448:$R$582,15,FALSE),"")</f>
        <v/>
      </c>
    </row>
    <row r="78" spans="2:36" ht="15.75" x14ac:dyDescent="0.25">
      <c r="B78" s="1341"/>
      <c r="C78" s="6832" t="str">
        <f ca="1">IFERROR('Activation list'!W25,"")</f>
        <v/>
      </c>
      <c r="D78" s="6833"/>
      <c r="E78" s="6833"/>
      <c r="F78" s="6833"/>
      <c r="G78" s="6833"/>
      <c r="H78" s="6834"/>
      <c r="I78" s="6827" t="str">
        <f ca="1">IFERROR(VLOOKUP($C78,'PIP finance'!$C$448:$N$582,2,FALSE),"")</f>
        <v/>
      </c>
      <c r="J78" s="6828"/>
      <c r="K78" s="3715" t="str">
        <f ca="1">IFERROR(VLOOKUP($C78,'PIP finance'!$C$448:$N$582,3,FALSE),"")</f>
        <v/>
      </c>
      <c r="L78" s="3716" t="str">
        <f ca="1">IFERROR(VLOOKUP($C78,'PIP finance'!$C$448:$N$582,4,FALSE),"")</f>
        <v/>
      </c>
      <c r="M78" s="3716" t="str">
        <f ca="1">IFERROR(VLOOKUP($C78,'PIP finance'!$C$448:$N$582,5,FALSE),"")</f>
        <v/>
      </c>
      <c r="N78" s="3716" t="str">
        <f ca="1">IFERROR(VLOOKUP($C78,'PIP finance'!$C$448:$N$582,6,FALSE),"")</f>
        <v/>
      </c>
      <c r="O78" s="3716" t="str">
        <f ca="1">IFERROR(VLOOKUP($C78,'PIP finance'!$C$448:$N$582,7,FALSE),"")</f>
        <v/>
      </c>
      <c r="P78" s="3716" t="str">
        <f ca="1">IFERROR(VLOOKUP($C78,'PIP finance'!$C$448:$N$582,8,FALSE),"")</f>
        <v/>
      </c>
      <c r="Q78" s="3716" t="str">
        <f ca="1">IFERROR(VLOOKUP($C78,'PIP finance'!$C$448:$N$582,9,FALSE),"")</f>
        <v/>
      </c>
      <c r="R78" s="3716" t="str">
        <f ca="1">IFERROR(VLOOKUP($C78,'PIP finance'!$C$448:$N$582,10,FALSE),"")</f>
        <v/>
      </c>
      <c r="S78" s="3716" t="str">
        <f ca="1">IFERROR(VLOOKUP($C78,'PIP finance'!$C$448:$N$582,11,FALSE),"")</f>
        <v/>
      </c>
      <c r="T78" s="3717" t="str">
        <f ca="1">IFERROR(VLOOKUP($C78,'PIP finance'!$C$448:$N$582,12,FALSE),"")</f>
        <v/>
      </c>
      <c r="U78" s="3703" t="str">
        <f ca="1">IFERROR(VLOOKUP($C78,'PIP finance'!$C$448:$S$582,17,FALSE),"")</f>
        <v/>
      </c>
      <c r="V78" s="3705"/>
      <c r="W78" s="3707"/>
      <c r="X78" s="3707"/>
      <c r="Y78" s="3701"/>
      <c r="Z78" s="3702" t="str">
        <f ca="1">IFERROR(VLOOKUP($C78,'PIP finance'!$C$448:$T$582,18,FALSE),"")</f>
        <v/>
      </c>
      <c r="AA78" s="3709" t="str">
        <f t="shared" ca="1" si="3"/>
        <v/>
      </c>
      <c r="AB78" s="3711">
        <f t="shared" ca="1" si="4"/>
        <v>0</v>
      </c>
      <c r="AC78" s="1341"/>
      <c r="AH78" s="1377" t="str">
        <f ca="1">IFERROR('Activation list'!X25,"")</f>
        <v/>
      </c>
      <c r="AI78" s="1377" t="str">
        <f ca="1">IFERROR(VLOOKUP($C78,'PIP finance'!$C$448:$R$582,14,FALSE),"")</f>
        <v/>
      </c>
      <c r="AJ78" s="1377" t="str">
        <f ca="1">IFERROR(VLOOKUP($C78,'PIP finance'!$C$448:$R$582,15,FALSE),"")</f>
        <v/>
      </c>
    </row>
    <row r="79" spans="2:36" ht="15.75" x14ac:dyDescent="0.25">
      <c r="B79" s="1341"/>
      <c r="C79" s="6832" t="str">
        <f ca="1">IFERROR('Activation list'!W26,"")</f>
        <v/>
      </c>
      <c r="D79" s="6833"/>
      <c r="E79" s="6833"/>
      <c r="F79" s="6833"/>
      <c r="G79" s="6833"/>
      <c r="H79" s="6834"/>
      <c r="I79" s="6827" t="str">
        <f ca="1">IFERROR(VLOOKUP($C79,'PIP finance'!$C$448:$N$582,2,FALSE),"")</f>
        <v/>
      </c>
      <c r="J79" s="6828"/>
      <c r="K79" s="3715" t="str">
        <f ca="1">IFERROR(VLOOKUP($C79,'PIP finance'!$C$448:$N$582,3,FALSE),"")</f>
        <v/>
      </c>
      <c r="L79" s="3716" t="str">
        <f ca="1">IFERROR(VLOOKUP($C79,'PIP finance'!$C$448:$N$582,4,FALSE),"")</f>
        <v/>
      </c>
      <c r="M79" s="3716" t="str">
        <f ca="1">IFERROR(VLOOKUP($C79,'PIP finance'!$C$448:$N$582,5,FALSE),"")</f>
        <v/>
      </c>
      <c r="N79" s="3716" t="str">
        <f ca="1">IFERROR(VLOOKUP($C79,'PIP finance'!$C$448:$N$582,6,FALSE),"")</f>
        <v/>
      </c>
      <c r="O79" s="3716" t="str">
        <f ca="1">IFERROR(VLOOKUP($C79,'PIP finance'!$C$448:$N$582,7,FALSE),"")</f>
        <v/>
      </c>
      <c r="P79" s="3716" t="str">
        <f ca="1">IFERROR(VLOOKUP($C79,'PIP finance'!$C$448:$N$582,8,FALSE),"")</f>
        <v/>
      </c>
      <c r="Q79" s="3716" t="str">
        <f ca="1">IFERROR(VLOOKUP($C79,'PIP finance'!$C$448:$N$582,9,FALSE),"")</f>
        <v/>
      </c>
      <c r="R79" s="3716" t="str">
        <f ca="1">IFERROR(VLOOKUP($C79,'PIP finance'!$C$448:$N$582,10,FALSE),"")</f>
        <v/>
      </c>
      <c r="S79" s="3716" t="str">
        <f ca="1">IFERROR(VLOOKUP($C79,'PIP finance'!$C$448:$N$582,11,FALSE),"")</f>
        <v/>
      </c>
      <c r="T79" s="3717" t="str">
        <f ca="1">IFERROR(VLOOKUP($C79,'PIP finance'!$C$448:$N$582,12,FALSE),"")</f>
        <v/>
      </c>
      <c r="U79" s="3703" t="str">
        <f ca="1">IFERROR(VLOOKUP($C79,'PIP finance'!$C$448:$S$582,17,FALSE),"")</f>
        <v/>
      </c>
      <c r="V79" s="3705"/>
      <c r="W79" s="3707"/>
      <c r="X79" s="3707"/>
      <c r="Y79" s="3701"/>
      <c r="Z79" s="3702" t="str">
        <f ca="1">IFERROR(VLOOKUP($C79,'PIP finance'!$C$448:$T$582,18,FALSE),"")</f>
        <v/>
      </c>
      <c r="AA79" s="3709" t="str">
        <f t="shared" ca="1" si="3"/>
        <v/>
      </c>
      <c r="AB79" s="3711">
        <f t="shared" ca="1" si="4"/>
        <v>0</v>
      </c>
      <c r="AC79" s="1341"/>
      <c r="AH79" s="1377" t="str">
        <f ca="1">IFERROR('Activation list'!X26,"")</f>
        <v/>
      </c>
      <c r="AI79" s="1377" t="str">
        <f ca="1">IFERROR(VLOOKUP($C79,'PIP finance'!$C$448:$R$582,14,FALSE),"")</f>
        <v/>
      </c>
      <c r="AJ79" s="1377" t="str">
        <f ca="1">IFERROR(VLOOKUP($C79,'PIP finance'!$C$448:$R$582,15,FALSE),"")</f>
        <v/>
      </c>
    </row>
    <row r="80" spans="2:36" ht="15.75" x14ac:dyDescent="0.25">
      <c r="B80" s="1341"/>
      <c r="C80" s="6832" t="str">
        <f ca="1">IFERROR('Activation list'!W27,"")</f>
        <v/>
      </c>
      <c r="D80" s="6833"/>
      <c r="E80" s="6833"/>
      <c r="F80" s="6833"/>
      <c r="G80" s="6833"/>
      <c r="H80" s="6834"/>
      <c r="I80" s="6827" t="str">
        <f ca="1">IFERROR(VLOOKUP($C80,'PIP finance'!$C$448:$N$582,2,FALSE),"")</f>
        <v/>
      </c>
      <c r="J80" s="6828"/>
      <c r="K80" s="3715" t="str">
        <f ca="1">IFERROR(VLOOKUP($C80,'PIP finance'!$C$448:$N$582,3,FALSE),"")</f>
        <v/>
      </c>
      <c r="L80" s="3716" t="str">
        <f ca="1">IFERROR(VLOOKUP($C80,'PIP finance'!$C$448:$N$582,4,FALSE),"")</f>
        <v/>
      </c>
      <c r="M80" s="3716" t="str">
        <f ca="1">IFERROR(VLOOKUP($C80,'PIP finance'!$C$448:$N$582,5,FALSE),"")</f>
        <v/>
      </c>
      <c r="N80" s="3716" t="str">
        <f ca="1">IFERROR(VLOOKUP($C80,'PIP finance'!$C$448:$N$582,6,FALSE),"")</f>
        <v/>
      </c>
      <c r="O80" s="3716" t="str">
        <f ca="1">IFERROR(VLOOKUP($C80,'PIP finance'!$C$448:$N$582,7,FALSE),"")</f>
        <v/>
      </c>
      <c r="P80" s="3716" t="str">
        <f ca="1">IFERROR(VLOOKUP($C80,'PIP finance'!$C$448:$N$582,8,FALSE),"")</f>
        <v/>
      </c>
      <c r="Q80" s="3716" t="str">
        <f ca="1">IFERROR(VLOOKUP($C80,'PIP finance'!$C$448:$N$582,9,FALSE),"")</f>
        <v/>
      </c>
      <c r="R80" s="3716" t="str">
        <f ca="1">IFERROR(VLOOKUP($C80,'PIP finance'!$C$448:$N$582,10,FALSE),"")</f>
        <v/>
      </c>
      <c r="S80" s="3716" t="str">
        <f ca="1">IFERROR(VLOOKUP($C80,'PIP finance'!$C$448:$N$582,11,FALSE),"")</f>
        <v/>
      </c>
      <c r="T80" s="3717" t="str">
        <f ca="1">IFERROR(VLOOKUP($C80,'PIP finance'!$C$448:$N$582,12,FALSE),"")</f>
        <v/>
      </c>
      <c r="U80" s="3703" t="str">
        <f ca="1">IFERROR(VLOOKUP($C80,'PIP finance'!$C$448:$S$582,17,FALSE),"")</f>
        <v/>
      </c>
      <c r="V80" s="3705"/>
      <c r="W80" s="3707"/>
      <c r="X80" s="3707"/>
      <c r="Y80" s="3701"/>
      <c r="Z80" s="3702" t="str">
        <f ca="1">IFERROR(VLOOKUP($C80,'PIP finance'!$C$448:$T$582,18,FALSE),"")</f>
        <v/>
      </c>
      <c r="AA80" s="3709" t="str">
        <f t="shared" ca="1" si="3"/>
        <v/>
      </c>
      <c r="AB80" s="3711">
        <f t="shared" ca="1" si="4"/>
        <v>0</v>
      </c>
      <c r="AC80" s="1341"/>
      <c r="AH80" s="1377" t="str">
        <f ca="1">IFERROR('Activation list'!X27,"")</f>
        <v/>
      </c>
      <c r="AI80" s="1377" t="str">
        <f ca="1">IFERROR(VLOOKUP($C80,'PIP finance'!$C$448:$R$582,14,FALSE),"")</f>
        <v/>
      </c>
      <c r="AJ80" s="1377" t="str">
        <f ca="1">IFERROR(VLOOKUP($C80,'PIP finance'!$C$448:$R$582,15,FALSE),"")</f>
        <v/>
      </c>
    </row>
    <row r="81" spans="2:36" ht="15.75" x14ac:dyDescent="0.25">
      <c r="B81" s="1341"/>
      <c r="C81" s="6832" t="str">
        <f ca="1">IFERROR('Activation list'!W28,"")</f>
        <v/>
      </c>
      <c r="D81" s="6833"/>
      <c r="E81" s="6833"/>
      <c r="F81" s="6833"/>
      <c r="G81" s="6833"/>
      <c r="H81" s="6834"/>
      <c r="I81" s="6827" t="str">
        <f ca="1">IFERROR(VLOOKUP($C81,'PIP finance'!$C$448:$N$582,2,FALSE),"")</f>
        <v/>
      </c>
      <c r="J81" s="6828"/>
      <c r="K81" s="3715" t="str">
        <f ca="1">IFERROR(VLOOKUP($C81,'PIP finance'!$C$448:$N$582,3,FALSE),"")</f>
        <v/>
      </c>
      <c r="L81" s="3716" t="str">
        <f ca="1">IFERROR(VLOOKUP($C81,'PIP finance'!$C$448:$N$582,4,FALSE),"")</f>
        <v/>
      </c>
      <c r="M81" s="3716" t="str">
        <f ca="1">IFERROR(VLOOKUP($C81,'PIP finance'!$C$448:$N$582,5,FALSE),"")</f>
        <v/>
      </c>
      <c r="N81" s="3716" t="str">
        <f ca="1">IFERROR(VLOOKUP($C81,'PIP finance'!$C$448:$N$582,6,FALSE),"")</f>
        <v/>
      </c>
      <c r="O81" s="3716" t="str">
        <f ca="1">IFERROR(VLOOKUP($C81,'PIP finance'!$C$448:$N$582,7,FALSE),"")</f>
        <v/>
      </c>
      <c r="P81" s="3716" t="str">
        <f ca="1">IFERROR(VLOOKUP($C81,'PIP finance'!$C$448:$N$582,8,FALSE),"")</f>
        <v/>
      </c>
      <c r="Q81" s="3716" t="str">
        <f ca="1">IFERROR(VLOOKUP($C81,'PIP finance'!$C$448:$N$582,9,FALSE),"")</f>
        <v/>
      </c>
      <c r="R81" s="3716" t="str">
        <f ca="1">IFERROR(VLOOKUP($C81,'PIP finance'!$C$448:$N$582,10,FALSE),"")</f>
        <v/>
      </c>
      <c r="S81" s="3716" t="str">
        <f ca="1">IFERROR(VLOOKUP($C81,'PIP finance'!$C$448:$N$582,11,FALSE),"")</f>
        <v/>
      </c>
      <c r="T81" s="3717" t="str">
        <f ca="1">IFERROR(VLOOKUP($C81,'PIP finance'!$C$448:$N$582,12,FALSE),"")</f>
        <v/>
      </c>
      <c r="U81" s="3703" t="str">
        <f ca="1">IFERROR(VLOOKUP($C81,'PIP finance'!$C$448:$S$582,17,FALSE),"")</f>
        <v/>
      </c>
      <c r="V81" s="3705"/>
      <c r="W81" s="3707"/>
      <c r="X81" s="3707"/>
      <c r="Y81" s="3701"/>
      <c r="Z81" s="3702" t="str">
        <f ca="1">IFERROR(VLOOKUP($C81,'PIP finance'!$C$448:$T$582,18,FALSE),"")</f>
        <v/>
      </c>
      <c r="AA81" s="3709" t="str">
        <f t="shared" ca="1" si="3"/>
        <v/>
      </c>
      <c r="AB81" s="3711">
        <f t="shared" ca="1" si="4"/>
        <v>0</v>
      </c>
      <c r="AC81" s="1341"/>
      <c r="AD81" s="1379"/>
      <c r="AH81" s="1377" t="str">
        <f ca="1">IFERROR('Activation list'!X28,"")</f>
        <v/>
      </c>
      <c r="AI81" s="1377" t="str">
        <f ca="1">IFERROR(VLOOKUP($C81,'PIP finance'!$C$448:$R$582,14,FALSE),"")</f>
        <v/>
      </c>
      <c r="AJ81" s="1377" t="str">
        <f ca="1">IFERROR(VLOOKUP($C81,'PIP finance'!$C$448:$R$582,15,FALSE),"")</f>
        <v/>
      </c>
    </row>
    <row r="82" spans="2:36" ht="15.75" x14ac:dyDescent="0.25">
      <c r="B82" s="1341"/>
      <c r="C82" s="6832" t="str">
        <f ca="1">IFERROR('Activation list'!W29,"")</f>
        <v/>
      </c>
      <c r="D82" s="6833"/>
      <c r="E82" s="6833"/>
      <c r="F82" s="6833"/>
      <c r="G82" s="6833"/>
      <c r="H82" s="6834"/>
      <c r="I82" s="6829" t="str">
        <f ca="1">IFERROR(VLOOKUP($C82,'PIP finance'!$C$448:$N$582,2,FALSE),"")</f>
        <v/>
      </c>
      <c r="J82" s="6830"/>
      <c r="K82" s="3715" t="str">
        <f ca="1">IFERROR(VLOOKUP($C82,'PIP finance'!$C$448:$N$582,3,FALSE),"")</f>
        <v/>
      </c>
      <c r="L82" s="3716" t="str">
        <f ca="1">IFERROR(VLOOKUP($C82,'PIP finance'!$C$448:$N$582,4,FALSE),"")</f>
        <v/>
      </c>
      <c r="M82" s="3716" t="str">
        <f ca="1">IFERROR(VLOOKUP($C82,'PIP finance'!$C$448:$N$582,5,FALSE),"")</f>
        <v/>
      </c>
      <c r="N82" s="3716" t="str">
        <f ca="1">IFERROR(VLOOKUP($C82,'PIP finance'!$C$448:$N$582,6,FALSE),"")</f>
        <v/>
      </c>
      <c r="O82" s="3716" t="str">
        <f ca="1">IFERROR(VLOOKUP($C82,'PIP finance'!$C$448:$N$582,7,FALSE),"")</f>
        <v/>
      </c>
      <c r="P82" s="3716" t="str">
        <f ca="1">IFERROR(VLOOKUP($C82,'PIP finance'!$C$448:$N$582,8,FALSE),"")</f>
        <v/>
      </c>
      <c r="Q82" s="3716" t="str">
        <f ca="1">IFERROR(VLOOKUP($C82,'PIP finance'!$C$448:$N$582,9,FALSE),"")</f>
        <v/>
      </c>
      <c r="R82" s="3716" t="str">
        <f ca="1">IFERROR(VLOOKUP($C82,'PIP finance'!$C$448:$N$582,10,FALSE),"")</f>
        <v/>
      </c>
      <c r="S82" s="3716" t="str">
        <f ca="1">IFERROR(VLOOKUP($C82,'PIP finance'!$C$448:$N$582,11,FALSE),"")</f>
        <v/>
      </c>
      <c r="T82" s="3717" t="str">
        <f ca="1">IFERROR(VLOOKUP($C82,'PIP finance'!$C$448:$N$582,12,FALSE),"")</f>
        <v/>
      </c>
      <c r="U82" s="3703" t="str">
        <f ca="1">IFERROR(VLOOKUP($C82,'PIP finance'!$C$448:$S$582,17,FALSE),"")</f>
        <v/>
      </c>
      <c r="V82" s="3705"/>
      <c r="W82" s="3707"/>
      <c r="X82" s="3707"/>
      <c r="Y82" s="3701"/>
      <c r="Z82" s="3702" t="str">
        <f ca="1">IFERROR(VLOOKUP($C82,'PIP finance'!$C$448:$T$582,18,FALSE),"")</f>
        <v/>
      </c>
      <c r="AA82" s="3709" t="str">
        <f t="shared" ca="1" si="3"/>
        <v/>
      </c>
      <c r="AB82" s="3711">
        <f t="shared" ca="1" si="4"/>
        <v>0</v>
      </c>
      <c r="AC82" s="1341"/>
      <c r="AH82" s="1377" t="str">
        <f ca="1">IFERROR('Activation list'!X29,"")</f>
        <v/>
      </c>
      <c r="AI82" s="1377" t="str">
        <f ca="1">IFERROR(VLOOKUP($C82,'PIP finance'!$C$448:$R$582,14,FALSE),"")</f>
        <v/>
      </c>
      <c r="AJ82" s="1377" t="str">
        <f ca="1">IFERROR(VLOOKUP($C82,'PIP finance'!$C$448:$R$582,15,FALSE),"")</f>
        <v/>
      </c>
    </row>
    <row r="83" spans="2:36" ht="15.75" x14ac:dyDescent="0.25">
      <c r="B83" s="1341"/>
      <c r="C83" s="6861" t="str">
        <f ca="1">IFERROR('Activation list'!W30,"")</f>
        <v/>
      </c>
      <c r="D83" s="6880"/>
      <c r="E83" s="6880"/>
      <c r="F83" s="6880"/>
      <c r="G83" s="6880"/>
      <c r="H83" s="6881"/>
      <c r="I83" s="6829" t="str">
        <f ca="1">IFERROR(VLOOKUP($C83,'PIP finance'!$C$448:$N$582,2,FALSE),"")</f>
        <v/>
      </c>
      <c r="J83" s="6830"/>
      <c r="K83" s="3715" t="str">
        <f ca="1">IFERROR(VLOOKUP($C83,'PIP finance'!$C$448:$N$582,3,FALSE),"")</f>
        <v/>
      </c>
      <c r="L83" s="3716" t="str">
        <f ca="1">IFERROR(VLOOKUP($C83,'PIP finance'!$C$448:$N$582,4,FALSE),"")</f>
        <v/>
      </c>
      <c r="M83" s="3716" t="str">
        <f ca="1">IFERROR(VLOOKUP($C83,'PIP finance'!$C$448:$N$582,5,FALSE),"")</f>
        <v/>
      </c>
      <c r="N83" s="3716" t="str">
        <f ca="1">IFERROR(VLOOKUP($C83,'PIP finance'!$C$448:$N$582,6,FALSE),"")</f>
        <v/>
      </c>
      <c r="O83" s="3716" t="str">
        <f ca="1">IFERROR(VLOOKUP($C83,'PIP finance'!$C$448:$N$582,7,FALSE),"")</f>
        <v/>
      </c>
      <c r="P83" s="3716" t="str">
        <f ca="1">IFERROR(VLOOKUP($C83,'PIP finance'!$C$448:$N$582,8,FALSE),"")</f>
        <v/>
      </c>
      <c r="Q83" s="3716" t="str">
        <f ca="1">IFERROR(VLOOKUP($C83,'PIP finance'!$C$448:$N$582,9,FALSE),"")</f>
        <v/>
      </c>
      <c r="R83" s="3716" t="str">
        <f ca="1">IFERROR(VLOOKUP($C83,'PIP finance'!$C$448:$N$582,10,FALSE),"")</f>
        <v/>
      </c>
      <c r="S83" s="3716" t="str">
        <f ca="1">IFERROR(VLOOKUP($C83,'PIP finance'!$C$448:$N$582,11,FALSE),"")</f>
        <v/>
      </c>
      <c r="T83" s="3717" t="str">
        <f ca="1">IFERROR(VLOOKUP($C83,'PIP finance'!$C$448:$N$582,12,FALSE),"")</f>
        <v/>
      </c>
      <c r="U83" s="3703" t="str">
        <f ca="1">IFERROR(VLOOKUP($C83,'PIP finance'!$C$448:$S$582,17,FALSE),"")</f>
        <v/>
      </c>
      <c r="V83" s="3705"/>
      <c r="W83" s="3707"/>
      <c r="X83" s="3707"/>
      <c r="Y83" s="3701"/>
      <c r="Z83" s="3702" t="str">
        <f ca="1">IFERROR(VLOOKUP($C83,'PIP finance'!$C$448:$T$582,18,FALSE),"")</f>
        <v/>
      </c>
      <c r="AA83" s="3709" t="str">
        <f t="shared" ca="1" si="3"/>
        <v/>
      </c>
      <c r="AB83" s="3711">
        <f t="shared" ca="1" si="4"/>
        <v>0</v>
      </c>
      <c r="AC83" s="1341"/>
      <c r="AH83" s="1377" t="str">
        <f ca="1">IFERROR('Activation list'!X30,"")</f>
        <v/>
      </c>
      <c r="AI83" s="1377" t="str">
        <f ca="1">IFERROR(VLOOKUP($C83,'PIP finance'!$C$448:$R$582,14,FALSE),"")</f>
        <v/>
      </c>
      <c r="AJ83" s="1377" t="str">
        <f ca="1">IFERROR(VLOOKUP($C83,'PIP finance'!$C$448:$R$582,15,FALSE),"")</f>
        <v/>
      </c>
    </row>
    <row r="84" spans="2:36" ht="15.75" x14ac:dyDescent="0.25">
      <c r="B84" s="1341"/>
      <c r="C84" s="6832" t="str">
        <f ca="1">IFERROR('Activation list'!W31,"")</f>
        <v/>
      </c>
      <c r="D84" s="6833"/>
      <c r="E84" s="6833"/>
      <c r="F84" s="6833"/>
      <c r="G84" s="6833"/>
      <c r="H84" s="6834"/>
      <c r="I84" s="6829" t="str">
        <f ca="1">IFERROR(VLOOKUP($C84,'PIP finance'!$C$448:$N$582,2,FALSE),"")</f>
        <v/>
      </c>
      <c r="J84" s="6830"/>
      <c r="K84" s="3715" t="str">
        <f ca="1">IFERROR(VLOOKUP($C84,'PIP finance'!$C$448:$N$582,3,FALSE),"")</f>
        <v/>
      </c>
      <c r="L84" s="3716" t="str">
        <f ca="1">IFERROR(VLOOKUP($C84,'PIP finance'!$C$448:$N$582,4,FALSE),"")</f>
        <v/>
      </c>
      <c r="M84" s="3716" t="str">
        <f ca="1">IFERROR(VLOOKUP($C84,'PIP finance'!$C$448:$N$582,5,FALSE),"")</f>
        <v/>
      </c>
      <c r="N84" s="3716" t="str">
        <f ca="1">IFERROR(VLOOKUP($C84,'PIP finance'!$C$448:$N$582,6,FALSE),"")</f>
        <v/>
      </c>
      <c r="O84" s="3716" t="str">
        <f ca="1">IFERROR(VLOOKUP($C84,'PIP finance'!$C$448:$N$582,7,FALSE),"")</f>
        <v/>
      </c>
      <c r="P84" s="3716" t="str">
        <f ca="1">IFERROR(VLOOKUP($C84,'PIP finance'!$C$448:$N$582,8,FALSE),"")</f>
        <v/>
      </c>
      <c r="Q84" s="3716" t="str">
        <f ca="1">IFERROR(VLOOKUP($C84,'PIP finance'!$C$448:$N$582,9,FALSE),"")</f>
        <v/>
      </c>
      <c r="R84" s="3716" t="str">
        <f ca="1">IFERROR(VLOOKUP($C84,'PIP finance'!$C$448:$N$582,10,FALSE),"")</f>
        <v/>
      </c>
      <c r="S84" s="3716" t="str">
        <f ca="1">IFERROR(VLOOKUP($C84,'PIP finance'!$C$448:$N$582,11,FALSE),"")</f>
        <v/>
      </c>
      <c r="T84" s="3717" t="str">
        <f ca="1">IFERROR(VLOOKUP($C84,'PIP finance'!$C$448:$N$582,12,FALSE),"")</f>
        <v/>
      </c>
      <c r="U84" s="3703" t="str">
        <f ca="1">IFERROR(VLOOKUP($C84,'PIP finance'!$C$448:$S$582,17,FALSE),"")</f>
        <v/>
      </c>
      <c r="V84" s="3705"/>
      <c r="W84" s="3707"/>
      <c r="X84" s="3707"/>
      <c r="Y84" s="3701"/>
      <c r="Z84" s="3702" t="str">
        <f ca="1">IFERROR(VLOOKUP($C84,'PIP finance'!$C$448:$T$582,18,FALSE),"")</f>
        <v/>
      </c>
      <c r="AA84" s="3709" t="str">
        <f t="shared" ca="1" si="3"/>
        <v/>
      </c>
      <c r="AB84" s="3711">
        <f t="shared" ca="1" si="4"/>
        <v>0</v>
      </c>
      <c r="AC84" s="1341"/>
      <c r="AH84" s="1377" t="str">
        <f ca="1">IFERROR('Activation list'!X31,"")</f>
        <v/>
      </c>
      <c r="AI84" s="1377" t="str">
        <f ca="1">IFERROR(VLOOKUP($C84,'PIP finance'!$C$448:$R$582,14,FALSE),"")</f>
        <v/>
      </c>
      <c r="AJ84" s="1377" t="str">
        <f ca="1">IFERROR(VLOOKUP($C84,'PIP finance'!$C$448:$R$582,15,FALSE),"")</f>
        <v/>
      </c>
    </row>
    <row r="85" spans="2:36" ht="15.75" x14ac:dyDescent="0.25">
      <c r="B85" s="1341"/>
      <c r="C85" s="6832" t="str">
        <f ca="1">IFERROR('Activation list'!W32,"")</f>
        <v/>
      </c>
      <c r="D85" s="6833"/>
      <c r="E85" s="6833"/>
      <c r="F85" s="6833"/>
      <c r="G85" s="6833"/>
      <c r="H85" s="6834"/>
      <c r="I85" s="6829" t="str">
        <f ca="1">IFERROR(VLOOKUP($C85,'PIP finance'!$C$448:$N$582,2,FALSE),"")</f>
        <v/>
      </c>
      <c r="J85" s="6830"/>
      <c r="K85" s="3715" t="str">
        <f ca="1">IFERROR(VLOOKUP($C85,'PIP finance'!$C$448:$N$582,3,FALSE),"")</f>
        <v/>
      </c>
      <c r="L85" s="3716" t="str">
        <f ca="1">IFERROR(VLOOKUP($C85,'PIP finance'!$C$448:$N$582,4,FALSE),"")</f>
        <v/>
      </c>
      <c r="M85" s="3716" t="str">
        <f ca="1">IFERROR(VLOOKUP($C85,'PIP finance'!$C$448:$N$582,5,FALSE),"")</f>
        <v/>
      </c>
      <c r="N85" s="3716" t="str">
        <f ca="1">IFERROR(VLOOKUP($C85,'PIP finance'!$C$448:$N$582,6,FALSE),"")</f>
        <v/>
      </c>
      <c r="O85" s="3716" t="str">
        <f ca="1">IFERROR(VLOOKUP($C85,'PIP finance'!$C$448:$N$582,7,FALSE),"")</f>
        <v/>
      </c>
      <c r="P85" s="3716" t="str">
        <f ca="1">IFERROR(VLOOKUP($C85,'PIP finance'!$C$448:$N$582,8,FALSE),"")</f>
        <v/>
      </c>
      <c r="Q85" s="3716" t="str">
        <f ca="1">IFERROR(VLOOKUP($C85,'PIP finance'!$C$448:$N$582,9,FALSE),"")</f>
        <v/>
      </c>
      <c r="R85" s="3716" t="str">
        <f ca="1">IFERROR(VLOOKUP($C85,'PIP finance'!$C$448:$N$582,10,FALSE),"")</f>
        <v/>
      </c>
      <c r="S85" s="3716" t="str">
        <f ca="1">IFERROR(VLOOKUP($C85,'PIP finance'!$C$448:$N$582,11,FALSE),"")</f>
        <v/>
      </c>
      <c r="T85" s="3717" t="str">
        <f ca="1">IFERROR(VLOOKUP($C85,'PIP finance'!$C$448:$N$582,12,FALSE),"")</f>
        <v/>
      </c>
      <c r="U85" s="3703" t="str">
        <f ca="1">IFERROR(VLOOKUP($C85,'PIP finance'!$C$448:$S$582,17,FALSE),"")</f>
        <v/>
      </c>
      <c r="V85" s="3705"/>
      <c r="W85" s="3707"/>
      <c r="X85" s="3707"/>
      <c r="Y85" s="3701"/>
      <c r="Z85" s="3702" t="str">
        <f ca="1">IFERROR(VLOOKUP($C85,'PIP finance'!$C$448:$T$582,18,FALSE),"")</f>
        <v/>
      </c>
      <c r="AA85" s="3709" t="str">
        <f t="shared" ca="1" si="3"/>
        <v/>
      </c>
      <c r="AB85" s="3711">
        <f t="shared" ca="1" si="4"/>
        <v>0</v>
      </c>
      <c r="AC85" s="1341"/>
      <c r="AH85" s="1377" t="str">
        <f ca="1">IFERROR('Activation list'!X32,"")</f>
        <v/>
      </c>
      <c r="AI85" s="1377" t="str">
        <f ca="1">IFERROR(VLOOKUP($C85,'PIP finance'!$C$448:$R$582,14,FALSE),"")</f>
        <v/>
      </c>
      <c r="AJ85" s="1377" t="str">
        <f ca="1">IFERROR(VLOOKUP($C85,'PIP finance'!$C$448:$R$582,15,FALSE),"")</f>
        <v/>
      </c>
    </row>
    <row r="86" spans="2:36" ht="15.75" x14ac:dyDescent="0.25">
      <c r="B86" s="1341"/>
      <c r="C86" s="6832" t="str">
        <f ca="1">IFERROR('Activation list'!W33,"")</f>
        <v/>
      </c>
      <c r="D86" s="6833"/>
      <c r="E86" s="6833"/>
      <c r="F86" s="6833"/>
      <c r="G86" s="6833"/>
      <c r="H86" s="6834"/>
      <c r="I86" s="6829" t="str">
        <f ca="1">IFERROR(VLOOKUP($C86,'PIP finance'!$C$448:$N$582,2,FALSE),"")</f>
        <v/>
      </c>
      <c r="J86" s="6830"/>
      <c r="K86" s="3715" t="str">
        <f ca="1">IFERROR(VLOOKUP($C86,'PIP finance'!$C$448:$N$582,3,FALSE),"")</f>
        <v/>
      </c>
      <c r="L86" s="3716" t="str">
        <f ca="1">IFERROR(VLOOKUP($C86,'PIP finance'!$C$448:$N$582,4,FALSE),"")</f>
        <v/>
      </c>
      <c r="M86" s="3716" t="str">
        <f ca="1">IFERROR(VLOOKUP($C86,'PIP finance'!$C$448:$N$582,5,FALSE),"")</f>
        <v/>
      </c>
      <c r="N86" s="3716" t="str">
        <f ca="1">IFERROR(VLOOKUP($C86,'PIP finance'!$C$448:$N$582,6,FALSE),"")</f>
        <v/>
      </c>
      <c r="O86" s="3716" t="str">
        <f ca="1">IFERROR(VLOOKUP($C86,'PIP finance'!$C$448:$N$582,7,FALSE),"")</f>
        <v/>
      </c>
      <c r="P86" s="3716" t="str">
        <f ca="1">IFERROR(VLOOKUP($C86,'PIP finance'!$C$448:$N$582,8,FALSE),"")</f>
        <v/>
      </c>
      <c r="Q86" s="3716" t="str">
        <f ca="1">IFERROR(VLOOKUP($C86,'PIP finance'!$C$448:$N$582,9,FALSE),"")</f>
        <v/>
      </c>
      <c r="R86" s="3716" t="str">
        <f ca="1">IFERROR(VLOOKUP($C86,'PIP finance'!$C$448:$N$582,10,FALSE),"")</f>
        <v/>
      </c>
      <c r="S86" s="3716" t="str">
        <f ca="1">IFERROR(VLOOKUP($C86,'PIP finance'!$C$448:$N$582,11,FALSE),"")</f>
        <v/>
      </c>
      <c r="T86" s="3717" t="str">
        <f ca="1">IFERROR(VLOOKUP($C86,'PIP finance'!$C$448:$N$582,12,FALSE),"")</f>
        <v/>
      </c>
      <c r="U86" s="3703" t="str">
        <f ca="1">IFERROR(VLOOKUP($C86,'PIP finance'!$C$448:$S$582,17,FALSE),"")</f>
        <v/>
      </c>
      <c r="V86" s="3705"/>
      <c r="W86" s="3707"/>
      <c r="X86" s="3707"/>
      <c r="Y86" s="3701"/>
      <c r="Z86" s="3702" t="str">
        <f ca="1">IFERROR(VLOOKUP($C86,'PIP finance'!$C$448:$T$582,18,FALSE),"")</f>
        <v/>
      </c>
      <c r="AA86" s="3709" t="str">
        <f t="shared" ca="1" si="3"/>
        <v/>
      </c>
      <c r="AB86" s="3711">
        <f t="shared" ca="1" si="4"/>
        <v>0</v>
      </c>
      <c r="AC86" s="1341"/>
      <c r="AH86" s="1377" t="str">
        <f ca="1">IFERROR('Activation list'!X33,"")</f>
        <v/>
      </c>
      <c r="AI86" s="1377" t="str">
        <f ca="1">IFERROR(VLOOKUP($C86,'PIP finance'!$C$448:$R$582,14,FALSE),"")</f>
        <v/>
      </c>
      <c r="AJ86" s="1377" t="str">
        <f ca="1">IFERROR(VLOOKUP($C86,'PIP finance'!$C$448:$R$582,15,FALSE),"")</f>
        <v/>
      </c>
    </row>
    <row r="87" spans="2:36" ht="15.75" x14ac:dyDescent="0.25">
      <c r="B87" s="1341"/>
      <c r="C87" s="6832" t="str">
        <f ca="1">IFERROR('Activation list'!W34,"")</f>
        <v/>
      </c>
      <c r="D87" s="6833"/>
      <c r="E87" s="6833"/>
      <c r="F87" s="6833"/>
      <c r="G87" s="6833"/>
      <c r="H87" s="6834"/>
      <c r="I87" s="6829" t="str">
        <f ca="1">IFERROR(VLOOKUP($C87,'PIP finance'!$C$448:$N$582,2,FALSE),"")</f>
        <v/>
      </c>
      <c r="J87" s="6830"/>
      <c r="K87" s="3715" t="str">
        <f ca="1">IFERROR(VLOOKUP($C87,'PIP finance'!$C$448:$N$582,3,FALSE),"")</f>
        <v/>
      </c>
      <c r="L87" s="3716" t="str">
        <f ca="1">IFERROR(VLOOKUP($C87,'PIP finance'!$C$448:$N$582,4,FALSE),"")</f>
        <v/>
      </c>
      <c r="M87" s="3716" t="str">
        <f ca="1">IFERROR(VLOOKUP($C87,'PIP finance'!$C$448:$N$582,5,FALSE),"")</f>
        <v/>
      </c>
      <c r="N87" s="3716" t="str">
        <f ca="1">IFERROR(VLOOKUP($C87,'PIP finance'!$C$448:$N$582,6,FALSE),"")</f>
        <v/>
      </c>
      <c r="O87" s="3716" t="str">
        <f ca="1">IFERROR(VLOOKUP($C87,'PIP finance'!$C$448:$N$582,7,FALSE),"")</f>
        <v/>
      </c>
      <c r="P87" s="3716" t="str">
        <f ca="1">IFERROR(VLOOKUP($C87,'PIP finance'!$C$448:$N$582,8,FALSE),"")</f>
        <v/>
      </c>
      <c r="Q87" s="3716" t="str">
        <f ca="1">IFERROR(VLOOKUP($C87,'PIP finance'!$C$448:$N$582,9,FALSE),"")</f>
        <v/>
      </c>
      <c r="R87" s="3716" t="str">
        <f ca="1">IFERROR(VLOOKUP($C87,'PIP finance'!$C$448:$N$582,10,FALSE),"")</f>
        <v/>
      </c>
      <c r="S87" s="3716" t="str">
        <f ca="1">IFERROR(VLOOKUP($C87,'PIP finance'!$C$448:$N$582,11,FALSE),"")</f>
        <v/>
      </c>
      <c r="T87" s="3717" t="str">
        <f ca="1">IFERROR(VLOOKUP($C87,'PIP finance'!$C$448:$N$582,12,FALSE),"")</f>
        <v/>
      </c>
      <c r="U87" s="3703" t="str">
        <f ca="1">IFERROR(VLOOKUP($C87,'PIP finance'!$C$448:$S$582,17,FALSE),"")</f>
        <v/>
      </c>
      <c r="V87" s="3705"/>
      <c r="W87" s="3707"/>
      <c r="X87" s="3707"/>
      <c r="Y87" s="3701"/>
      <c r="Z87" s="3702" t="str">
        <f ca="1">IFERROR(VLOOKUP($C87,'PIP finance'!$C$448:$T$582,18,FALSE),"")</f>
        <v/>
      </c>
      <c r="AA87" s="3709" t="str">
        <f t="shared" ca="1" si="3"/>
        <v/>
      </c>
      <c r="AB87" s="3711">
        <f t="shared" ca="1" si="4"/>
        <v>0</v>
      </c>
      <c r="AC87" s="1341"/>
      <c r="AH87" s="1377" t="str">
        <f ca="1">IFERROR('Activation list'!X34,"")</f>
        <v/>
      </c>
      <c r="AI87" s="1377" t="str">
        <f ca="1">IFERROR(VLOOKUP($C87,'PIP finance'!$C$448:$R$582,14,FALSE),"")</f>
        <v/>
      </c>
      <c r="AJ87" s="1377" t="str">
        <f ca="1">IFERROR(VLOOKUP($C87,'PIP finance'!$C$448:$R$582,15,FALSE),"")</f>
        <v/>
      </c>
    </row>
    <row r="88" spans="2:36" ht="15.75" x14ac:dyDescent="0.25">
      <c r="B88" s="1341"/>
      <c r="C88" s="6832" t="str">
        <f ca="1">IFERROR('Activation list'!W35,"")</f>
        <v/>
      </c>
      <c r="D88" s="6833"/>
      <c r="E88" s="6833"/>
      <c r="F88" s="6833"/>
      <c r="G88" s="6833"/>
      <c r="H88" s="6834"/>
      <c r="I88" s="6829" t="str">
        <f ca="1">IFERROR(VLOOKUP($C88,'PIP finance'!$C$448:$N$582,2,FALSE),"")</f>
        <v/>
      </c>
      <c r="J88" s="6830"/>
      <c r="K88" s="3715" t="str">
        <f ca="1">IFERROR(VLOOKUP($C88,'PIP finance'!$C$448:$N$582,3,FALSE),"")</f>
        <v/>
      </c>
      <c r="L88" s="3716" t="str">
        <f ca="1">IFERROR(VLOOKUP($C88,'PIP finance'!$C$448:$N$582,4,FALSE),"")</f>
        <v/>
      </c>
      <c r="M88" s="3716" t="str">
        <f ca="1">IFERROR(VLOOKUP($C88,'PIP finance'!$C$448:$N$582,5,FALSE),"")</f>
        <v/>
      </c>
      <c r="N88" s="3716" t="str">
        <f ca="1">IFERROR(VLOOKUP($C88,'PIP finance'!$C$448:$N$582,6,FALSE),"")</f>
        <v/>
      </c>
      <c r="O88" s="3716" t="str">
        <f ca="1">IFERROR(VLOOKUP($C88,'PIP finance'!$C$448:$N$582,7,FALSE),"")</f>
        <v/>
      </c>
      <c r="P88" s="3716" t="str">
        <f ca="1">IFERROR(VLOOKUP($C88,'PIP finance'!$C$448:$N$582,8,FALSE),"")</f>
        <v/>
      </c>
      <c r="Q88" s="3716" t="str">
        <f ca="1">IFERROR(VLOOKUP($C88,'PIP finance'!$C$448:$N$582,9,FALSE),"")</f>
        <v/>
      </c>
      <c r="R88" s="3716" t="str">
        <f ca="1">IFERROR(VLOOKUP($C88,'PIP finance'!$C$448:$N$582,10,FALSE),"")</f>
        <v/>
      </c>
      <c r="S88" s="3716" t="str">
        <f ca="1">IFERROR(VLOOKUP($C88,'PIP finance'!$C$448:$N$582,11,FALSE),"")</f>
        <v/>
      </c>
      <c r="T88" s="3717" t="str">
        <f ca="1">IFERROR(VLOOKUP($C88,'PIP finance'!$C$448:$N$582,12,FALSE),"")</f>
        <v/>
      </c>
      <c r="U88" s="3703" t="str">
        <f ca="1">IFERROR(VLOOKUP($C88,'PIP finance'!$C$448:$S$582,17,FALSE),"")</f>
        <v/>
      </c>
      <c r="V88" s="3705"/>
      <c r="W88" s="3707"/>
      <c r="X88" s="3707"/>
      <c r="Y88" s="3701"/>
      <c r="Z88" s="3702" t="str">
        <f ca="1">IFERROR(VLOOKUP($C88,'PIP finance'!$C$448:$T$582,18,FALSE),"")</f>
        <v/>
      </c>
      <c r="AA88" s="3709" t="str">
        <f t="shared" ref="AA88:AA119" ca="1" si="5">IF(C88&lt;&gt;"",1-SUM(V88:Z88),"")</f>
        <v/>
      </c>
      <c r="AB88" s="3711">
        <f t="shared" ca="1" si="4"/>
        <v>0</v>
      </c>
      <c r="AC88" s="1341"/>
      <c r="AH88" s="1377" t="str">
        <f ca="1">IFERROR('Activation list'!X35,"")</f>
        <v/>
      </c>
      <c r="AI88" s="1377" t="str">
        <f ca="1">IFERROR(VLOOKUP($C88,'PIP finance'!$C$448:$R$582,14,FALSE),"")</f>
        <v/>
      </c>
      <c r="AJ88" s="1377" t="str">
        <f ca="1">IFERROR(VLOOKUP($C88,'PIP finance'!$C$448:$R$582,15,FALSE),"")</f>
        <v/>
      </c>
    </row>
    <row r="89" spans="2:36" ht="15.75" x14ac:dyDescent="0.25">
      <c r="B89" s="1341"/>
      <c r="C89" s="6832" t="str">
        <f ca="1">IFERROR('Activation list'!W36,"")</f>
        <v/>
      </c>
      <c r="D89" s="6833"/>
      <c r="E89" s="6833"/>
      <c r="F89" s="6833"/>
      <c r="G89" s="6833"/>
      <c r="H89" s="6834"/>
      <c r="I89" s="6829" t="str">
        <f ca="1">IFERROR(VLOOKUP($C89,'PIP finance'!$C$448:$N$582,2,FALSE),"")</f>
        <v/>
      </c>
      <c r="J89" s="6830"/>
      <c r="K89" s="3715" t="str">
        <f ca="1">IFERROR(VLOOKUP($C89,'PIP finance'!$C$448:$N$582,3,FALSE),"")</f>
        <v/>
      </c>
      <c r="L89" s="3716" t="str">
        <f ca="1">IFERROR(VLOOKUP($C89,'PIP finance'!$C$448:$N$582,4,FALSE),"")</f>
        <v/>
      </c>
      <c r="M89" s="3716" t="str">
        <f ca="1">IFERROR(VLOOKUP($C89,'PIP finance'!$C$448:$N$582,5,FALSE),"")</f>
        <v/>
      </c>
      <c r="N89" s="3716" t="str">
        <f ca="1">IFERROR(VLOOKUP($C89,'PIP finance'!$C$448:$N$582,6,FALSE),"")</f>
        <v/>
      </c>
      <c r="O89" s="3716" t="str">
        <f ca="1">IFERROR(VLOOKUP($C89,'PIP finance'!$C$448:$N$582,7,FALSE),"")</f>
        <v/>
      </c>
      <c r="P89" s="3716" t="str">
        <f ca="1">IFERROR(VLOOKUP($C89,'PIP finance'!$C$448:$N$582,8,FALSE),"")</f>
        <v/>
      </c>
      <c r="Q89" s="3716" t="str">
        <f ca="1">IFERROR(VLOOKUP($C89,'PIP finance'!$C$448:$N$582,9,FALSE),"")</f>
        <v/>
      </c>
      <c r="R89" s="3716" t="str">
        <f ca="1">IFERROR(VLOOKUP($C89,'PIP finance'!$C$448:$N$582,10,FALSE),"")</f>
        <v/>
      </c>
      <c r="S89" s="3716" t="str">
        <f ca="1">IFERROR(VLOOKUP($C89,'PIP finance'!$C$448:$N$582,11,FALSE),"")</f>
        <v/>
      </c>
      <c r="T89" s="3717" t="str">
        <f ca="1">IFERROR(VLOOKUP($C89,'PIP finance'!$C$448:$N$582,12,FALSE),"")</f>
        <v/>
      </c>
      <c r="U89" s="3703" t="str">
        <f ca="1">IFERROR(VLOOKUP($C89,'PIP finance'!$C$448:$S$582,17,FALSE),"")</f>
        <v/>
      </c>
      <c r="V89" s="3705"/>
      <c r="W89" s="3707"/>
      <c r="X89" s="3707"/>
      <c r="Y89" s="3701"/>
      <c r="Z89" s="3702" t="str">
        <f ca="1">IFERROR(VLOOKUP($C89,'PIP finance'!$C$448:$T$582,18,FALSE),"")</f>
        <v/>
      </c>
      <c r="AA89" s="3709" t="str">
        <f t="shared" ca="1" si="5"/>
        <v/>
      </c>
      <c r="AB89" s="3711">
        <f t="shared" ca="1" si="4"/>
        <v>0</v>
      </c>
      <c r="AC89" s="1341"/>
      <c r="AH89" s="1377" t="str">
        <f ca="1">IFERROR('Activation list'!X36,"")</f>
        <v/>
      </c>
      <c r="AI89" s="1377" t="str">
        <f ca="1">IFERROR(VLOOKUP($C89,'PIP finance'!$C$448:$R$582,14,FALSE),"")</f>
        <v/>
      </c>
      <c r="AJ89" s="1377" t="str">
        <f ca="1">IFERROR(VLOOKUP($C89,'PIP finance'!$C$448:$R$582,15,FALSE),"")</f>
        <v/>
      </c>
    </row>
    <row r="90" spans="2:36" ht="15.75" x14ac:dyDescent="0.25">
      <c r="B90" s="1341"/>
      <c r="C90" s="6832" t="str">
        <f ca="1">IFERROR('Activation list'!W37,"")</f>
        <v/>
      </c>
      <c r="D90" s="6833"/>
      <c r="E90" s="6833"/>
      <c r="F90" s="6833"/>
      <c r="G90" s="6833"/>
      <c r="H90" s="6834"/>
      <c r="I90" s="6829" t="str">
        <f ca="1">IFERROR(VLOOKUP($C90,'PIP finance'!$C$448:$N$582,2,FALSE),"")</f>
        <v/>
      </c>
      <c r="J90" s="6830"/>
      <c r="K90" s="3715" t="str">
        <f ca="1">IFERROR(VLOOKUP($C90,'PIP finance'!$C$448:$N$582,3,FALSE),"")</f>
        <v/>
      </c>
      <c r="L90" s="3716" t="str">
        <f ca="1">IFERROR(VLOOKUP($C90,'PIP finance'!$C$448:$N$582,4,FALSE),"")</f>
        <v/>
      </c>
      <c r="M90" s="3716" t="str">
        <f ca="1">IFERROR(VLOOKUP($C90,'PIP finance'!$C$448:$N$582,5,FALSE),"")</f>
        <v/>
      </c>
      <c r="N90" s="3716" t="str">
        <f ca="1">IFERROR(VLOOKUP($C90,'PIP finance'!$C$448:$N$582,6,FALSE),"")</f>
        <v/>
      </c>
      <c r="O90" s="3716" t="str">
        <f ca="1">IFERROR(VLOOKUP($C90,'PIP finance'!$C$448:$N$582,7,FALSE),"")</f>
        <v/>
      </c>
      <c r="P90" s="3716" t="str">
        <f ca="1">IFERROR(VLOOKUP($C90,'PIP finance'!$C$448:$N$582,8,FALSE),"")</f>
        <v/>
      </c>
      <c r="Q90" s="3716" t="str">
        <f ca="1">IFERROR(VLOOKUP($C90,'PIP finance'!$C$448:$N$582,9,FALSE),"")</f>
        <v/>
      </c>
      <c r="R90" s="3716" t="str">
        <f ca="1">IFERROR(VLOOKUP($C90,'PIP finance'!$C$448:$N$582,10,FALSE),"")</f>
        <v/>
      </c>
      <c r="S90" s="3716" t="str">
        <f ca="1">IFERROR(VLOOKUP($C90,'PIP finance'!$C$448:$N$582,11,FALSE),"")</f>
        <v/>
      </c>
      <c r="T90" s="3717" t="str">
        <f ca="1">IFERROR(VLOOKUP($C90,'PIP finance'!$C$448:$N$582,12,FALSE),"")</f>
        <v/>
      </c>
      <c r="U90" s="3703" t="str">
        <f ca="1">IFERROR(VLOOKUP($C90,'PIP finance'!$C$448:$S$582,17,FALSE),"")</f>
        <v/>
      </c>
      <c r="V90" s="3705"/>
      <c r="W90" s="3707"/>
      <c r="X90" s="3707"/>
      <c r="Y90" s="3701"/>
      <c r="Z90" s="3702" t="str">
        <f ca="1">IFERROR(VLOOKUP($C90,'PIP finance'!$C$448:$T$582,18,FALSE),"")</f>
        <v/>
      </c>
      <c r="AA90" s="3709" t="str">
        <f t="shared" ca="1" si="5"/>
        <v/>
      </c>
      <c r="AB90" s="3711">
        <f t="shared" ca="1" si="4"/>
        <v>0</v>
      </c>
      <c r="AC90" s="1341"/>
      <c r="AH90" s="1377" t="str">
        <f ca="1">IFERROR('Activation list'!X37,"")</f>
        <v/>
      </c>
      <c r="AI90" s="1377" t="str">
        <f ca="1">IFERROR(VLOOKUP($C90,'PIP finance'!$C$448:$R$582,14,FALSE),"")</f>
        <v/>
      </c>
      <c r="AJ90" s="1377" t="str">
        <f ca="1">IFERROR(VLOOKUP($C90,'PIP finance'!$C$448:$R$582,15,FALSE),"")</f>
        <v/>
      </c>
    </row>
    <row r="91" spans="2:36" ht="15.75" x14ac:dyDescent="0.25">
      <c r="B91" s="1341"/>
      <c r="C91" s="6832" t="str">
        <f ca="1">IFERROR('Activation list'!W38,"")</f>
        <v/>
      </c>
      <c r="D91" s="6878"/>
      <c r="E91" s="6878"/>
      <c r="F91" s="6878"/>
      <c r="G91" s="6878"/>
      <c r="H91" s="6879"/>
      <c r="I91" s="6829" t="str">
        <f ca="1">IFERROR(VLOOKUP($C91,'PIP finance'!$C$448:$N$582,2,FALSE),"")</f>
        <v/>
      </c>
      <c r="J91" s="6830"/>
      <c r="K91" s="3715" t="str">
        <f ca="1">IFERROR(VLOOKUP($C91,'PIP finance'!$C$448:$N$582,3,FALSE),"")</f>
        <v/>
      </c>
      <c r="L91" s="3716" t="str">
        <f ca="1">IFERROR(VLOOKUP($C91,'PIP finance'!$C$448:$N$582,4,FALSE),"")</f>
        <v/>
      </c>
      <c r="M91" s="3716" t="str">
        <f ca="1">IFERROR(VLOOKUP($C91,'PIP finance'!$C$448:$N$582,5,FALSE),"")</f>
        <v/>
      </c>
      <c r="N91" s="3716" t="str">
        <f ca="1">IFERROR(VLOOKUP($C91,'PIP finance'!$C$448:$N$582,6,FALSE),"")</f>
        <v/>
      </c>
      <c r="O91" s="3716" t="str">
        <f ca="1">IFERROR(VLOOKUP($C91,'PIP finance'!$C$448:$N$582,7,FALSE),"")</f>
        <v/>
      </c>
      <c r="P91" s="3716" t="str">
        <f ca="1">IFERROR(VLOOKUP($C91,'PIP finance'!$C$448:$N$582,8,FALSE),"")</f>
        <v/>
      </c>
      <c r="Q91" s="3716" t="str">
        <f ca="1">IFERROR(VLOOKUP($C91,'PIP finance'!$C$448:$N$582,9,FALSE),"")</f>
        <v/>
      </c>
      <c r="R91" s="3716" t="str">
        <f ca="1">IFERROR(VLOOKUP($C91,'PIP finance'!$C$448:$N$582,10,FALSE),"")</f>
        <v/>
      </c>
      <c r="S91" s="3716" t="str">
        <f ca="1">IFERROR(VLOOKUP($C91,'PIP finance'!$C$448:$N$582,11,FALSE),"")</f>
        <v/>
      </c>
      <c r="T91" s="3717" t="str">
        <f ca="1">IFERROR(VLOOKUP($C91,'PIP finance'!$C$448:$N$582,12,FALSE),"")</f>
        <v/>
      </c>
      <c r="U91" s="3703" t="str">
        <f ca="1">IFERROR(VLOOKUP($C91,'PIP finance'!$C$448:$S$582,17,FALSE),"")</f>
        <v/>
      </c>
      <c r="V91" s="3705"/>
      <c r="W91" s="3707"/>
      <c r="X91" s="3707"/>
      <c r="Y91" s="3701"/>
      <c r="Z91" s="3702" t="str">
        <f ca="1">IFERROR(VLOOKUP($C91,'PIP finance'!$C$448:$T$582,18,FALSE),"")</f>
        <v/>
      </c>
      <c r="AA91" s="3709" t="str">
        <f t="shared" ca="1" si="5"/>
        <v/>
      </c>
      <c r="AB91" s="3711">
        <f t="shared" ca="1" si="4"/>
        <v>0</v>
      </c>
      <c r="AC91" s="1341"/>
      <c r="AH91" s="1377" t="str">
        <f ca="1">IFERROR('Activation list'!X38,"")</f>
        <v/>
      </c>
      <c r="AI91" s="1377" t="str">
        <f ca="1">IFERROR(VLOOKUP($C91,'PIP finance'!$C$448:$R$582,14,FALSE),"")</f>
        <v/>
      </c>
      <c r="AJ91" s="1377" t="str">
        <f ca="1">IFERROR(VLOOKUP($C91,'PIP finance'!$C$448:$R$582,15,FALSE),"")</f>
        <v/>
      </c>
    </row>
    <row r="92" spans="2:36" ht="15.75" x14ac:dyDescent="0.25">
      <c r="B92" s="1341"/>
      <c r="C92" s="6832" t="str">
        <f ca="1">IFERROR('Activation list'!W39,"")</f>
        <v/>
      </c>
      <c r="D92" s="6878"/>
      <c r="E92" s="6878"/>
      <c r="F92" s="6878"/>
      <c r="G92" s="6878"/>
      <c r="H92" s="6879"/>
      <c r="I92" s="6829" t="str">
        <f ca="1">IFERROR(VLOOKUP($C92,'PIP finance'!$C$448:$N$582,2,FALSE),"")</f>
        <v/>
      </c>
      <c r="J92" s="6830"/>
      <c r="K92" s="3715" t="str">
        <f ca="1">IFERROR(VLOOKUP($C92,'PIP finance'!$C$448:$N$582,3,FALSE),"")</f>
        <v/>
      </c>
      <c r="L92" s="3716" t="str">
        <f ca="1">IFERROR(VLOOKUP($C92,'PIP finance'!$C$448:$N$582,4,FALSE),"")</f>
        <v/>
      </c>
      <c r="M92" s="3716" t="str">
        <f ca="1">IFERROR(VLOOKUP($C92,'PIP finance'!$C$448:$N$582,5,FALSE),"")</f>
        <v/>
      </c>
      <c r="N92" s="3716" t="str">
        <f ca="1">IFERROR(VLOOKUP($C92,'PIP finance'!$C$448:$N$582,6,FALSE),"")</f>
        <v/>
      </c>
      <c r="O92" s="3716" t="str">
        <f ca="1">IFERROR(VLOOKUP($C92,'PIP finance'!$C$448:$N$582,7,FALSE),"")</f>
        <v/>
      </c>
      <c r="P92" s="3716" t="str">
        <f ca="1">IFERROR(VLOOKUP($C92,'PIP finance'!$C$448:$N$582,8,FALSE),"")</f>
        <v/>
      </c>
      <c r="Q92" s="3716" t="str">
        <f ca="1">IFERROR(VLOOKUP($C92,'PIP finance'!$C$448:$N$582,9,FALSE),"")</f>
        <v/>
      </c>
      <c r="R92" s="3716" t="str">
        <f ca="1">IFERROR(VLOOKUP($C92,'PIP finance'!$C$448:$N$582,10,FALSE),"")</f>
        <v/>
      </c>
      <c r="S92" s="3716" t="str">
        <f ca="1">IFERROR(VLOOKUP($C92,'PIP finance'!$C$448:$N$582,11,FALSE),"")</f>
        <v/>
      </c>
      <c r="T92" s="3717" t="str">
        <f ca="1">IFERROR(VLOOKUP($C92,'PIP finance'!$C$448:$N$582,12,FALSE),"")</f>
        <v/>
      </c>
      <c r="U92" s="3703" t="str">
        <f ca="1">IFERROR(VLOOKUP($C92,'PIP finance'!$C$448:$S$582,17,FALSE),"")</f>
        <v/>
      </c>
      <c r="V92" s="3705"/>
      <c r="W92" s="3707"/>
      <c r="X92" s="3707"/>
      <c r="Y92" s="3701"/>
      <c r="Z92" s="3702" t="str">
        <f ca="1">IFERROR(VLOOKUP($C92,'PIP finance'!$C$448:$T$582,18,FALSE),"")</f>
        <v/>
      </c>
      <c r="AA92" s="3709" t="str">
        <f t="shared" ca="1" si="5"/>
        <v/>
      </c>
      <c r="AB92" s="3711">
        <f t="shared" ca="1" si="4"/>
        <v>0</v>
      </c>
      <c r="AC92" s="1341"/>
      <c r="AH92" s="1377" t="str">
        <f ca="1">IFERROR('Activation list'!X39,"")</f>
        <v/>
      </c>
      <c r="AI92" s="1377" t="str">
        <f ca="1">IFERROR(VLOOKUP($C92,'PIP finance'!$C$448:$R$582,14,FALSE),"")</f>
        <v/>
      </c>
      <c r="AJ92" s="1377" t="str">
        <f ca="1">IFERROR(VLOOKUP($C92,'PIP finance'!$C$448:$R$582,15,FALSE),"")</f>
        <v/>
      </c>
    </row>
    <row r="93" spans="2:36" ht="15.75" x14ac:dyDescent="0.25">
      <c r="B93" s="1341"/>
      <c r="C93" s="6832" t="str">
        <f ca="1">IFERROR('Activation list'!W40,"")</f>
        <v/>
      </c>
      <c r="D93" s="6878"/>
      <c r="E93" s="6878"/>
      <c r="F93" s="6878"/>
      <c r="G93" s="6878"/>
      <c r="H93" s="6879"/>
      <c r="I93" s="6829" t="str">
        <f ca="1">IFERROR(VLOOKUP($C93,'PIP finance'!$C$448:$N$582,2,FALSE),"")</f>
        <v/>
      </c>
      <c r="J93" s="6830"/>
      <c r="K93" s="3715" t="str">
        <f ca="1">IFERROR(VLOOKUP($C93,'PIP finance'!$C$448:$N$582,3,FALSE),"")</f>
        <v/>
      </c>
      <c r="L93" s="3716" t="str">
        <f ca="1">IFERROR(VLOOKUP($C93,'PIP finance'!$C$448:$N$582,4,FALSE),"")</f>
        <v/>
      </c>
      <c r="M93" s="3716" t="str">
        <f ca="1">IFERROR(VLOOKUP($C93,'PIP finance'!$C$448:$N$582,5,FALSE),"")</f>
        <v/>
      </c>
      <c r="N93" s="3716" t="str">
        <f ca="1">IFERROR(VLOOKUP($C93,'PIP finance'!$C$448:$N$582,6,FALSE),"")</f>
        <v/>
      </c>
      <c r="O93" s="3716" t="str">
        <f ca="1">IFERROR(VLOOKUP($C93,'PIP finance'!$C$448:$N$582,7,FALSE),"")</f>
        <v/>
      </c>
      <c r="P93" s="3716" t="str">
        <f ca="1">IFERROR(VLOOKUP($C93,'PIP finance'!$C$448:$N$582,8,FALSE),"")</f>
        <v/>
      </c>
      <c r="Q93" s="3716" t="str">
        <f ca="1">IFERROR(VLOOKUP($C93,'PIP finance'!$C$448:$N$582,9,FALSE),"")</f>
        <v/>
      </c>
      <c r="R93" s="3716" t="str">
        <f ca="1">IFERROR(VLOOKUP($C93,'PIP finance'!$C$448:$N$582,10,FALSE),"")</f>
        <v/>
      </c>
      <c r="S93" s="3716" t="str">
        <f ca="1">IFERROR(VLOOKUP($C93,'PIP finance'!$C$448:$N$582,11,FALSE),"")</f>
        <v/>
      </c>
      <c r="T93" s="3717" t="str">
        <f ca="1">IFERROR(VLOOKUP($C93,'PIP finance'!$C$448:$N$582,12,FALSE),"")</f>
        <v/>
      </c>
      <c r="U93" s="3703" t="str">
        <f ca="1">IFERROR(VLOOKUP($C93,'PIP finance'!$C$448:$S$582,17,FALSE),"")</f>
        <v/>
      </c>
      <c r="V93" s="3705"/>
      <c r="W93" s="3707"/>
      <c r="X93" s="3707"/>
      <c r="Y93" s="3701"/>
      <c r="Z93" s="3702" t="str">
        <f ca="1">IFERROR(VLOOKUP($C93,'PIP finance'!$C$448:$T$582,18,FALSE),"")</f>
        <v/>
      </c>
      <c r="AA93" s="3709" t="str">
        <f t="shared" ca="1" si="5"/>
        <v/>
      </c>
      <c r="AB93" s="3711">
        <f t="shared" ca="1" si="4"/>
        <v>0</v>
      </c>
      <c r="AC93" s="1341"/>
      <c r="AH93" s="1377" t="str">
        <f ca="1">IFERROR('Activation list'!X40,"")</f>
        <v/>
      </c>
      <c r="AI93" s="1377" t="str">
        <f ca="1">IFERROR(VLOOKUP($C93,'PIP finance'!$C$448:$R$582,14,FALSE),"")</f>
        <v/>
      </c>
      <c r="AJ93" s="1377" t="str">
        <f ca="1">IFERROR(VLOOKUP($C93,'PIP finance'!$C$448:$R$582,15,FALSE),"")</f>
        <v/>
      </c>
    </row>
    <row r="94" spans="2:36" ht="15.75" x14ac:dyDescent="0.25">
      <c r="B94" s="1341"/>
      <c r="C94" s="6832" t="str">
        <f ca="1">IFERROR('Activation list'!W41,"")</f>
        <v/>
      </c>
      <c r="D94" s="6878"/>
      <c r="E94" s="6878"/>
      <c r="F94" s="6878"/>
      <c r="G94" s="6878"/>
      <c r="H94" s="6879"/>
      <c r="I94" s="6829" t="str">
        <f ca="1">IFERROR(VLOOKUP($C94,'PIP finance'!$C$448:$N$582,2,FALSE),"")</f>
        <v/>
      </c>
      <c r="J94" s="6830"/>
      <c r="K94" s="3715" t="str">
        <f ca="1">IFERROR(VLOOKUP($C94,'PIP finance'!$C$448:$N$582,3,FALSE),"")</f>
        <v/>
      </c>
      <c r="L94" s="3716" t="str">
        <f ca="1">IFERROR(VLOOKUP($C94,'PIP finance'!$C$448:$N$582,4,FALSE),"")</f>
        <v/>
      </c>
      <c r="M94" s="3716" t="str">
        <f ca="1">IFERROR(VLOOKUP($C94,'PIP finance'!$C$448:$N$582,5,FALSE),"")</f>
        <v/>
      </c>
      <c r="N94" s="3716" t="str">
        <f ca="1">IFERROR(VLOOKUP($C94,'PIP finance'!$C$448:$N$582,6,FALSE),"")</f>
        <v/>
      </c>
      <c r="O94" s="3716" t="str">
        <f ca="1">IFERROR(VLOOKUP($C94,'PIP finance'!$C$448:$N$582,7,FALSE),"")</f>
        <v/>
      </c>
      <c r="P94" s="3716" t="str">
        <f ca="1">IFERROR(VLOOKUP($C94,'PIP finance'!$C$448:$N$582,8,FALSE),"")</f>
        <v/>
      </c>
      <c r="Q94" s="3716" t="str">
        <f ca="1">IFERROR(VLOOKUP($C94,'PIP finance'!$C$448:$N$582,9,FALSE),"")</f>
        <v/>
      </c>
      <c r="R94" s="3716" t="str">
        <f ca="1">IFERROR(VLOOKUP($C94,'PIP finance'!$C$448:$N$582,10,FALSE),"")</f>
        <v/>
      </c>
      <c r="S94" s="3716" t="str">
        <f ca="1">IFERROR(VLOOKUP($C94,'PIP finance'!$C$448:$N$582,11,FALSE),"")</f>
        <v/>
      </c>
      <c r="T94" s="3717" t="str">
        <f ca="1">IFERROR(VLOOKUP($C94,'PIP finance'!$C$448:$N$582,12,FALSE),"")</f>
        <v/>
      </c>
      <c r="U94" s="3703" t="str">
        <f ca="1">IFERROR(VLOOKUP($C94,'PIP finance'!$C$448:$S$582,17,FALSE),"")</f>
        <v/>
      </c>
      <c r="V94" s="3705"/>
      <c r="W94" s="3707"/>
      <c r="X94" s="3707"/>
      <c r="Y94" s="3701"/>
      <c r="Z94" s="3702" t="str">
        <f ca="1">IFERROR(VLOOKUP($C94,'PIP finance'!$C$448:$T$582,18,FALSE),"")</f>
        <v/>
      </c>
      <c r="AA94" s="3709" t="str">
        <f t="shared" ca="1" si="5"/>
        <v/>
      </c>
      <c r="AB94" s="3711">
        <f t="shared" ca="1" si="4"/>
        <v>0</v>
      </c>
      <c r="AC94" s="1341"/>
      <c r="AH94" s="1377" t="str">
        <f ca="1">IFERROR('Activation list'!X41,"")</f>
        <v/>
      </c>
      <c r="AI94" s="1377" t="str">
        <f ca="1">IFERROR(VLOOKUP($C94,'PIP finance'!$C$448:$R$582,14,FALSE),"")</f>
        <v/>
      </c>
      <c r="AJ94" s="1377" t="str">
        <f ca="1">IFERROR(VLOOKUP($C94,'PIP finance'!$C$448:$R$582,15,FALSE),"")</f>
        <v/>
      </c>
    </row>
    <row r="95" spans="2:36" ht="15.75" x14ac:dyDescent="0.25">
      <c r="B95" s="1341"/>
      <c r="C95" s="6832" t="str">
        <f ca="1">IFERROR('Activation list'!W42,"")</f>
        <v/>
      </c>
      <c r="D95" s="6878"/>
      <c r="E95" s="6878"/>
      <c r="F95" s="6878"/>
      <c r="G95" s="6878"/>
      <c r="H95" s="6879"/>
      <c r="I95" s="6829" t="str">
        <f ca="1">IFERROR(VLOOKUP($C95,'PIP finance'!$C$448:$N$582,2,FALSE),"")</f>
        <v/>
      </c>
      <c r="J95" s="6830"/>
      <c r="K95" s="3715" t="str">
        <f ca="1">IFERROR(VLOOKUP($C95,'PIP finance'!$C$448:$N$582,3,FALSE),"")</f>
        <v/>
      </c>
      <c r="L95" s="3716" t="str">
        <f ca="1">IFERROR(VLOOKUP($C95,'PIP finance'!$C$448:$N$582,4,FALSE),"")</f>
        <v/>
      </c>
      <c r="M95" s="3716" t="str">
        <f ca="1">IFERROR(VLOOKUP($C95,'PIP finance'!$C$448:$N$582,5,FALSE),"")</f>
        <v/>
      </c>
      <c r="N95" s="3716" t="str">
        <f ca="1">IFERROR(VLOOKUP($C95,'PIP finance'!$C$448:$N$582,6,FALSE),"")</f>
        <v/>
      </c>
      <c r="O95" s="3716" t="str">
        <f ca="1">IFERROR(VLOOKUP($C95,'PIP finance'!$C$448:$N$582,7,FALSE),"")</f>
        <v/>
      </c>
      <c r="P95" s="3716" t="str">
        <f ca="1">IFERROR(VLOOKUP($C95,'PIP finance'!$C$448:$N$582,8,FALSE),"")</f>
        <v/>
      </c>
      <c r="Q95" s="3716" t="str">
        <f ca="1">IFERROR(VLOOKUP($C95,'PIP finance'!$C$448:$N$582,9,FALSE),"")</f>
        <v/>
      </c>
      <c r="R95" s="3716" t="str">
        <f ca="1">IFERROR(VLOOKUP($C95,'PIP finance'!$C$448:$N$582,10,FALSE),"")</f>
        <v/>
      </c>
      <c r="S95" s="3716" t="str">
        <f ca="1">IFERROR(VLOOKUP($C95,'PIP finance'!$C$448:$N$582,11,FALSE),"")</f>
        <v/>
      </c>
      <c r="T95" s="3717" t="str">
        <f ca="1">IFERROR(VLOOKUP($C95,'PIP finance'!$C$448:$N$582,12,FALSE),"")</f>
        <v/>
      </c>
      <c r="U95" s="3703" t="str">
        <f ca="1">IFERROR(VLOOKUP($C95,'PIP finance'!$C$448:$S$582,17,FALSE),"")</f>
        <v/>
      </c>
      <c r="V95" s="3705"/>
      <c r="W95" s="3707"/>
      <c r="X95" s="3707"/>
      <c r="Y95" s="3701"/>
      <c r="Z95" s="3702" t="str">
        <f ca="1">IFERROR(VLOOKUP($C95,'PIP finance'!$C$448:$T$582,18,FALSE),"")</f>
        <v/>
      </c>
      <c r="AA95" s="3709" t="str">
        <f t="shared" ca="1" si="5"/>
        <v/>
      </c>
      <c r="AB95" s="3711">
        <f t="shared" ca="1" si="4"/>
        <v>0</v>
      </c>
      <c r="AC95" s="1341"/>
      <c r="AH95" s="1377" t="str">
        <f ca="1">IFERROR('Activation list'!X42,"")</f>
        <v/>
      </c>
      <c r="AI95" s="1377" t="str">
        <f ca="1">IFERROR(VLOOKUP($C95,'PIP finance'!$C$448:$R$582,14,FALSE),"")</f>
        <v/>
      </c>
      <c r="AJ95" s="1377" t="str">
        <f ca="1">IFERROR(VLOOKUP($C95,'PIP finance'!$C$448:$R$582,15,FALSE),"")</f>
        <v/>
      </c>
    </row>
    <row r="96" spans="2:36" ht="15.75" x14ac:dyDescent="0.25">
      <c r="B96" s="1341"/>
      <c r="C96" s="6832" t="str">
        <f ca="1">IFERROR('Activation list'!W43,"")</f>
        <v/>
      </c>
      <c r="D96" s="6878"/>
      <c r="E96" s="6878"/>
      <c r="F96" s="6878"/>
      <c r="G96" s="6878"/>
      <c r="H96" s="6879"/>
      <c r="I96" s="6829" t="str">
        <f ca="1">IFERROR(VLOOKUP($C96,'PIP finance'!$C$448:$N$582,2,FALSE),"")</f>
        <v/>
      </c>
      <c r="J96" s="6830"/>
      <c r="K96" s="3715" t="str">
        <f ca="1">IFERROR(VLOOKUP($C96,'PIP finance'!$C$448:$N$582,3,FALSE),"")</f>
        <v/>
      </c>
      <c r="L96" s="3716" t="str">
        <f ca="1">IFERROR(VLOOKUP($C96,'PIP finance'!$C$448:$N$582,4,FALSE),"")</f>
        <v/>
      </c>
      <c r="M96" s="3716" t="str">
        <f ca="1">IFERROR(VLOOKUP($C96,'PIP finance'!$C$448:$N$582,5,FALSE),"")</f>
        <v/>
      </c>
      <c r="N96" s="3716" t="str">
        <f ca="1">IFERROR(VLOOKUP($C96,'PIP finance'!$C$448:$N$582,6,FALSE),"")</f>
        <v/>
      </c>
      <c r="O96" s="3716" t="str">
        <f ca="1">IFERROR(VLOOKUP($C96,'PIP finance'!$C$448:$N$582,7,FALSE),"")</f>
        <v/>
      </c>
      <c r="P96" s="3716" t="str">
        <f ca="1">IFERROR(VLOOKUP($C96,'PIP finance'!$C$448:$N$582,8,FALSE),"")</f>
        <v/>
      </c>
      <c r="Q96" s="3716" t="str">
        <f ca="1">IFERROR(VLOOKUP($C96,'PIP finance'!$C$448:$N$582,9,FALSE),"")</f>
        <v/>
      </c>
      <c r="R96" s="3716" t="str">
        <f ca="1">IFERROR(VLOOKUP($C96,'PIP finance'!$C$448:$N$582,10,FALSE),"")</f>
        <v/>
      </c>
      <c r="S96" s="3716" t="str">
        <f ca="1">IFERROR(VLOOKUP($C96,'PIP finance'!$C$448:$N$582,11,FALSE),"")</f>
        <v/>
      </c>
      <c r="T96" s="3717" t="str">
        <f ca="1">IFERROR(VLOOKUP($C96,'PIP finance'!$C$448:$N$582,12,FALSE),"")</f>
        <v/>
      </c>
      <c r="U96" s="3703" t="str">
        <f ca="1">IFERROR(VLOOKUP($C96,'PIP finance'!$C$448:$S$582,17,FALSE),"")</f>
        <v/>
      </c>
      <c r="V96" s="3705"/>
      <c r="W96" s="3707"/>
      <c r="X96" s="3707"/>
      <c r="Y96" s="3701"/>
      <c r="Z96" s="3702" t="str">
        <f ca="1">IFERROR(VLOOKUP($C96,'PIP finance'!$C$448:$T$582,18,FALSE),"")</f>
        <v/>
      </c>
      <c r="AA96" s="3709" t="str">
        <f t="shared" ca="1" si="5"/>
        <v/>
      </c>
      <c r="AB96" s="3711">
        <f t="shared" ca="1" si="4"/>
        <v>0</v>
      </c>
      <c r="AC96" s="1341"/>
      <c r="AH96" s="1377" t="str">
        <f ca="1">IFERROR('Activation list'!X43,"")</f>
        <v/>
      </c>
      <c r="AI96" s="1377" t="str">
        <f ca="1">IFERROR(VLOOKUP($C96,'PIP finance'!$C$448:$R$582,14,FALSE),"")</f>
        <v/>
      </c>
      <c r="AJ96" s="1377" t="str">
        <f ca="1">IFERROR(VLOOKUP($C96,'PIP finance'!$C$448:$R$582,15,FALSE),"")</f>
        <v/>
      </c>
    </row>
    <row r="97" spans="2:36" ht="15.75" x14ac:dyDescent="0.25">
      <c r="B97" s="1341"/>
      <c r="C97" s="6832" t="str">
        <f ca="1">IFERROR('Activation list'!W44,"")</f>
        <v/>
      </c>
      <c r="D97" s="6878"/>
      <c r="E97" s="6878"/>
      <c r="F97" s="6878"/>
      <c r="G97" s="6878"/>
      <c r="H97" s="6879"/>
      <c r="I97" s="6829" t="str">
        <f ca="1">IFERROR(VLOOKUP($C97,'PIP finance'!$C$448:$N$582,2,FALSE),"")</f>
        <v/>
      </c>
      <c r="J97" s="6830"/>
      <c r="K97" s="3715" t="str">
        <f ca="1">IFERROR(VLOOKUP($C97,'PIP finance'!$C$448:$N$582,3,FALSE),"")</f>
        <v/>
      </c>
      <c r="L97" s="3716" t="str">
        <f ca="1">IFERROR(VLOOKUP($C97,'PIP finance'!$C$448:$N$582,4,FALSE),"")</f>
        <v/>
      </c>
      <c r="M97" s="3716" t="str">
        <f ca="1">IFERROR(VLOOKUP($C97,'PIP finance'!$C$448:$N$582,5,FALSE),"")</f>
        <v/>
      </c>
      <c r="N97" s="3716" t="str">
        <f ca="1">IFERROR(VLOOKUP($C97,'PIP finance'!$C$448:$N$582,6,FALSE),"")</f>
        <v/>
      </c>
      <c r="O97" s="3716" t="str">
        <f ca="1">IFERROR(VLOOKUP($C97,'PIP finance'!$C$448:$N$582,7,FALSE),"")</f>
        <v/>
      </c>
      <c r="P97" s="3716" t="str">
        <f ca="1">IFERROR(VLOOKUP($C97,'PIP finance'!$C$448:$N$582,8,FALSE),"")</f>
        <v/>
      </c>
      <c r="Q97" s="3716" t="str">
        <f ca="1">IFERROR(VLOOKUP($C97,'PIP finance'!$C$448:$N$582,9,FALSE),"")</f>
        <v/>
      </c>
      <c r="R97" s="3716" t="str">
        <f ca="1">IFERROR(VLOOKUP($C97,'PIP finance'!$C$448:$N$582,10,FALSE),"")</f>
        <v/>
      </c>
      <c r="S97" s="3716" t="str">
        <f ca="1">IFERROR(VLOOKUP($C97,'PIP finance'!$C$448:$N$582,11,FALSE),"")</f>
        <v/>
      </c>
      <c r="T97" s="3717" t="str">
        <f ca="1">IFERROR(VLOOKUP($C97,'PIP finance'!$C$448:$N$582,12,FALSE),"")</f>
        <v/>
      </c>
      <c r="U97" s="3703" t="str">
        <f ca="1">IFERROR(VLOOKUP($C97,'PIP finance'!$C$448:$S$582,17,FALSE),"")</f>
        <v/>
      </c>
      <c r="V97" s="3705"/>
      <c r="W97" s="3707"/>
      <c r="X97" s="3707"/>
      <c r="Y97" s="3701"/>
      <c r="Z97" s="3702" t="str">
        <f ca="1">IFERROR(VLOOKUP($C97,'PIP finance'!$C$448:$T$582,18,FALSE),"")</f>
        <v/>
      </c>
      <c r="AA97" s="3709" t="str">
        <f t="shared" ca="1" si="5"/>
        <v/>
      </c>
      <c r="AB97" s="3711">
        <f t="shared" ca="1" si="4"/>
        <v>0</v>
      </c>
      <c r="AC97" s="1341"/>
      <c r="AH97" s="1377" t="str">
        <f ca="1">IFERROR('Activation list'!X44,"")</f>
        <v/>
      </c>
      <c r="AI97" s="1377" t="str">
        <f ca="1">IFERROR(VLOOKUP($C97,'PIP finance'!$C$448:$R$582,14,FALSE),"")</f>
        <v/>
      </c>
      <c r="AJ97" s="1377" t="str">
        <f ca="1">IFERROR(VLOOKUP($C97,'PIP finance'!$C$448:$R$582,15,FALSE),"")</f>
        <v/>
      </c>
    </row>
    <row r="98" spans="2:36" ht="15.75" x14ac:dyDescent="0.25">
      <c r="B98" s="1341"/>
      <c r="C98" s="6832" t="str">
        <f ca="1">IFERROR('Activation list'!W45,"")</f>
        <v/>
      </c>
      <c r="D98" s="6878"/>
      <c r="E98" s="6878"/>
      <c r="F98" s="6878"/>
      <c r="G98" s="6878"/>
      <c r="H98" s="6879"/>
      <c r="I98" s="6829" t="str">
        <f ca="1">IFERROR(VLOOKUP($C98,'PIP finance'!$C$448:$N$582,2,FALSE),"")</f>
        <v/>
      </c>
      <c r="J98" s="6830"/>
      <c r="K98" s="3715" t="str">
        <f ca="1">IFERROR(VLOOKUP($C98,'PIP finance'!$C$448:$N$582,3,FALSE),"")</f>
        <v/>
      </c>
      <c r="L98" s="3716" t="str">
        <f ca="1">IFERROR(VLOOKUP($C98,'PIP finance'!$C$448:$N$582,4,FALSE),"")</f>
        <v/>
      </c>
      <c r="M98" s="3716" t="str">
        <f ca="1">IFERROR(VLOOKUP($C98,'PIP finance'!$C$448:$N$582,5,FALSE),"")</f>
        <v/>
      </c>
      <c r="N98" s="3716" t="str">
        <f ca="1">IFERROR(VLOOKUP($C98,'PIP finance'!$C$448:$N$582,6,FALSE),"")</f>
        <v/>
      </c>
      <c r="O98" s="3716" t="str">
        <f ca="1">IFERROR(VLOOKUP($C98,'PIP finance'!$C$448:$N$582,7,FALSE),"")</f>
        <v/>
      </c>
      <c r="P98" s="3716" t="str">
        <f ca="1">IFERROR(VLOOKUP($C98,'PIP finance'!$C$448:$N$582,8,FALSE),"")</f>
        <v/>
      </c>
      <c r="Q98" s="3716" t="str">
        <f ca="1">IFERROR(VLOOKUP($C98,'PIP finance'!$C$448:$N$582,9,FALSE),"")</f>
        <v/>
      </c>
      <c r="R98" s="3716" t="str">
        <f ca="1">IFERROR(VLOOKUP($C98,'PIP finance'!$C$448:$N$582,10,FALSE),"")</f>
        <v/>
      </c>
      <c r="S98" s="3716" t="str">
        <f ca="1">IFERROR(VLOOKUP($C98,'PIP finance'!$C$448:$N$582,11,FALSE),"")</f>
        <v/>
      </c>
      <c r="T98" s="3717" t="str">
        <f ca="1">IFERROR(VLOOKUP($C98,'PIP finance'!$C$448:$N$582,12,FALSE),"")</f>
        <v/>
      </c>
      <c r="U98" s="3703" t="str">
        <f ca="1">IFERROR(VLOOKUP($C98,'PIP finance'!$C$448:$S$582,17,FALSE),"")</f>
        <v/>
      </c>
      <c r="V98" s="3705"/>
      <c r="W98" s="3707"/>
      <c r="X98" s="3707"/>
      <c r="Y98" s="3701"/>
      <c r="Z98" s="3702" t="str">
        <f ca="1">IFERROR(VLOOKUP($C98,'PIP finance'!$C$448:$T$582,18,FALSE),"")</f>
        <v/>
      </c>
      <c r="AA98" s="3709" t="str">
        <f t="shared" ca="1" si="5"/>
        <v/>
      </c>
      <c r="AB98" s="3711">
        <f t="shared" ca="1" si="4"/>
        <v>0</v>
      </c>
      <c r="AC98" s="1341"/>
      <c r="AH98" s="1377" t="str">
        <f ca="1">IFERROR('Activation list'!X45,"")</f>
        <v/>
      </c>
      <c r="AI98" s="1377" t="str">
        <f ca="1">IFERROR(VLOOKUP($C98,'PIP finance'!$C$448:$R$582,14,FALSE),"")</f>
        <v/>
      </c>
      <c r="AJ98" s="1377" t="str">
        <f ca="1">IFERROR(VLOOKUP($C98,'PIP finance'!$C$448:$R$582,15,FALSE),"")</f>
        <v/>
      </c>
    </row>
    <row r="99" spans="2:36" ht="15.75" x14ac:dyDescent="0.25">
      <c r="B99" s="1341"/>
      <c r="C99" s="6832" t="str">
        <f ca="1">IFERROR('Activation list'!W46,"")</f>
        <v/>
      </c>
      <c r="D99" s="6878"/>
      <c r="E99" s="6878"/>
      <c r="F99" s="6878"/>
      <c r="G99" s="6878"/>
      <c r="H99" s="6879"/>
      <c r="I99" s="6829" t="str">
        <f ca="1">IFERROR(VLOOKUP($C99,'PIP finance'!$C$448:$N$582,2,FALSE),"")</f>
        <v/>
      </c>
      <c r="J99" s="6830"/>
      <c r="K99" s="3715" t="str">
        <f ca="1">IFERROR(VLOOKUP($C99,'PIP finance'!$C$448:$N$582,3,FALSE),"")</f>
        <v/>
      </c>
      <c r="L99" s="3716" t="str">
        <f ca="1">IFERROR(VLOOKUP($C99,'PIP finance'!$C$448:$N$582,4,FALSE),"")</f>
        <v/>
      </c>
      <c r="M99" s="3716" t="str">
        <f ca="1">IFERROR(VLOOKUP($C99,'PIP finance'!$C$448:$N$582,5,FALSE),"")</f>
        <v/>
      </c>
      <c r="N99" s="3716" t="str">
        <f ca="1">IFERROR(VLOOKUP($C99,'PIP finance'!$C$448:$N$582,6,FALSE),"")</f>
        <v/>
      </c>
      <c r="O99" s="3716" t="str">
        <f ca="1">IFERROR(VLOOKUP($C99,'PIP finance'!$C$448:$N$582,7,FALSE),"")</f>
        <v/>
      </c>
      <c r="P99" s="3716" t="str">
        <f ca="1">IFERROR(VLOOKUP($C99,'PIP finance'!$C$448:$N$582,8,FALSE),"")</f>
        <v/>
      </c>
      <c r="Q99" s="3716" t="str">
        <f ca="1">IFERROR(VLOOKUP($C99,'PIP finance'!$C$448:$N$582,9,FALSE),"")</f>
        <v/>
      </c>
      <c r="R99" s="3716" t="str">
        <f ca="1">IFERROR(VLOOKUP($C99,'PIP finance'!$C$448:$N$582,10,FALSE),"")</f>
        <v/>
      </c>
      <c r="S99" s="3716" t="str">
        <f ca="1">IFERROR(VLOOKUP($C99,'PIP finance'!$C$448:$N$582,11,FALSE),"")</f>
        <v/>
      </c>
      <c r="T99" s="3717" t="str">
        <f ca="1">IFERROR(VLOOKUP($C99,'PIP finance'!$C$448:$N$582,12,FALSE),"")</f>
        <v/>
      </c>
      <c r="U99" s="3703" t="str">
        <f ca="1">IFERROR(VLOOKUP($C99,'PIP finance'!$C$448:$S$582,17,FALSE),"")</f>
        <v/>
      </c>
      <c r="V99" s="3705"/>
      <c r="W99" s="3707"/>
      <c r="X99" s="3707"/>
      <c r="Y99" s="3701"/>
      <c r="Z99" s="3702" t="str">
        <f ca="1">IFERROR(VLOOKUP($C99,'PIP finance'!$C$448:$T$582,18,FALSE),"")</f>
        <v/>
      </c>
      <c r="AA99" s="3709" t="str">
        <f t="shared" ca="1" si="5"/>
        <v/>
      </c>
      <c r="AB99" s="3711">
        <f t="shared" ca="1" si="4"/>
        <v>0</v>
      </c>
      <c r="AC99" s="1341"/>
      <c r="AH99" s="1377" t="str">
        <f ca="1">IFERROR('Activation list'!X46,"")</f>
        <v/>
      </c>
      <c r="AI99" s="1377" t="str">
        <f ca="1">IFERROR(VLOOKUP($C99,'PIP finance'!$C$448:$R$582,14,FALSE),"")</f>
        <v/>
      </c>
      <c r="AJ99" s="1377" t="str">
        <f ca="1">IFERROR(VLOOKUP($C99,'PIP finance'!$C$448:$R$582,15,FALSE),"")</f>
        <v/>
      </c>
    </row>
    <row r="100" spans="2:36" ht="15.75" x14ac:dyDescent="0.25">
      <c r="B100" s="1341"/>
      <c r="C100" s="6832" t="str">
        <f ca="1">IFERROR('Activation list'!W47,"")</f>
        <v/>
      </c>
      <c r="D100" s="6878"/>
      <c r="E100" s="6878"/>
      <c r="F100" s="6878"/>
      <c r="G100" s="6878"/>
      <c r="H100" s="6879"/>
      <c r="I100" s="6829" t="str">
        <f ca="1">IFERROR(VLOOKUP($C100,'PIP finance'!$C$448:$N$582,2,FALSE),"")</f>
        <v/>
      </c>
      <c r="J100" s="6830"/>
      <c r="K100" s="3715" t="str">
        <f ca="1">IFERROR(VLOOKUP($C100,'PIP finance'!$C$448:$N$582,3,FALSE),"")</f>
        <v/>
      </c>
      <c r="L100" s="3716" t="str">
        <f ca="1">IFERROR(VLOOKUP($C100,'PIP finance'!$C$448:$N$582,4,FALSE),"")</f>
        <v/>
      </c>
      <c r="M100" s="3716" t="str">
        <f ca="1">IFERROR(VLOOKUP($C100,'PIP finance'!$C$448:$N$582,5,FALSE),"")</f>
        <v/>
      </c>
      <c r="N100" s="3716" t="str">
        <f ca="1">IFERROR(VLOOKUP($C100,'PIP finance'!$C$448:$N$582,6,FALSE),"")</f>
        <v/>
      </c>
      <c r="O100" s="3716" t="str">
        <f ca="1">IFERROR(VLOOKUP($C100,'PIP finance'!$C$448:$N$582,7,FALSE),"")</f>
        <v/>
      </c>
      <c r="P100" s="3716" t="str">
        <f ca="1">IFERROR(VLOOKUP($C100,'PIP finance'!$C$448:$N$582,8,FALSE),"")</f>
        <v/>
      </c>
      <c r="Q100" s="3716" t="str">
        <f ca="1">IFERROR(VLOOKUP($C100,'PIP finance'!$C$448:$N$582,9,FALSE),"")</f>
        <v/>
      </c>
      <c r="R100" s="3716" t="str">
        <f ca="1">IFERROR(VLOOKUP($C100,'PIP finance'!$C$448:$N$582,10,FALSE),"")</f>
        <v/>
      </c>
      <c r="S100" s="3716" t="str">
        <f ca="1">IFERROR(VLOOKUP($C100,'PIP finance'!$C$448:$N$582,11,FALSE),"")</f>
        <v/>
      </c>
      <c r="T100" s="3717" t="str">
        <f ca="1">IFERROR(VLOOKUP($C100,'PIP finance'!$C$448:$N$582,12,FALSE),"")</f>
        <v/>
      </c>
      <c r="U100" s="3703" t="str">
        <f ca="1">IFERROR(VLOOKUP($C100,'PIP finance'!$C$448:$S$582,17,FALSE),"")</f>
        <v/>
      </c>
      <c r="V100" s="3705"/>
      <c r="W100" s="3707"/>
      <c r="X100" s="3707"/>
      <c r="Y100" s="3701"/>
      <c r="Z100" s="3702" t="str">
        <f ca="1">IFERROR(VLOOKUP($C100,'PIP finance'!$C$448:$T$582,18,FALSE),"")</f>
        <v/>
      </c>
      <c r="AA100" s="3709" t="str">
        <f t="shared" ca="1" si="5"/>
        <v/>
      </c>
      <c r="AB100" s="3711">
        <f t="shared" ca="1" si="4"/>
        <v>0</v>
      </c>
      <c r="AC100" s="1341"/>
      <c r="AH100" s="1377" t="str">
        <f ca="1">IFERROR('Activation list'!X47,"")</f>
        <v/>
      </c>
      <c r="AI100" s="1377" t="str">
        <f ca="1">IFERROR(VLOOKUP($C100,'PIP finance'!$C$448:$R$582,14,FALSE),"")</f>
        <v/>
      </c>
      <c r="AJ100" s="1377" t="str">
        <f ca="1">IFERROR(VLOOKUP($C100,'PIP finance'!$C$448:$R$582,15,FALSE),"")</f>
        <v/>
      </c>
    </row>
    <row r="101" spans="2:36" ht="15.75" x14ac:dyDescent="0.25">
      <c r="B101" s="1341"/>
      <c r="C101" s="6832" t="str">
        <f ca="1">IFERROR('Activation list'!W48,"")</f>
        <v/>
      </c>
      <c r="D101" s="6878"/>
      <c r="E101" s="6878"/>
      <c r="F101" s="6878"/>
      <c r="G101" s="6878"/>
      <c r="H101" s="6879"/>
      <c r="I101" s="6829" t="str">
        <f ca="1">IFERROR(VLOOKUP($C101,'PIP finance'!$C$448:$N$582,2,FALSE),"")</f>
        <v/>
      </c>
      <c r="J101" s="6830"/>
      <c r="K101" s="3715" t="str">
        <f ca="1">IFERROR(VLOOKUP($C101,'PIP finance'!$C$448:$N$582,3,FALSE),"")</f>
        <v/>
      </c>
      <c r="L101" s="3716" t="str">
        <f ca="1">IFERROR(VLOOKUP($C101,'PIP finance'!$C$448:$N$582,4,FALSE),"")</f>
        <v/>
      </c>
      <c r="M101" s="3716" t="str">
        <f ca="1">IFERROR(VLOOKUP($C101,'PIP finance'!$C$448:$N$582,5,FALSE),"")</f>
        <v/>
      </c>
      <c r="N101" s="3716" t="str">
        <f ca="1">IFERROR(VLOOKUP($C101,'PIP finance'!$C$448:$N$582,6,FALSE),"")</f>
        <v/>
      </c>
      <c r="O101" s="3716" t="str">
        <f ca="1">IFERROR(VLOOKUP($C101,'PIP finance'!$C$448:$N$582,7,FALSE),"")</f>
        <v/>
      </c>
      <c r="P101" s="3716" t="str">
        <f ca="1">IFERROR(VLOOKUP($C101,'PIP finance'!$C$448:$N$582,8,FALSE),"")</f>
        <v/>
      </c>
      <c r="Q101" s="3716" t="str">
        <f ca="1">IFERROR(VLOOKUP($C101,'PIP finance'!$C$448:$N$582,9,FALSE),"")</f>
        <v/>
      </c>
      <c r="R101" s="3716" t="str">
        <f ca="1">IFERROR(VLOOKUP($C101,'PIP finance'!$C$448:$N$582,10,FALSE),"")</f>
        <v/>
      </c>
      <c r="S101" s="3716" t="str">
        <f ca="1">IFERROR(VLOOKUP($C101,'PIP finance'!$C$448:$N$582,11,FALSE),"")</f>
        <v/>
      </c>
      <c r="T101" s="3717" t="str">
        <f ca="1">IFERROR(VLOOKUP($C101,'PIP finance'!$C$448:$N$582,12,FALSE),"")</f>
        <v/>
      </c>
      <c r="U101" s="3703" t="str">
        <f ca="1">IFERROR(VLOOKUP($C101,'PIP finance'!$C$448:$S$582,17,FALSE),"")</f>
        <v/>
      </c>
      <c r="V101" s="3705"/>
      <c r="W101" s="3707"/>
      <c r="X101" s="3707"/>
      <c r="Y101" s="3701"/>
      <c r="Z101" s="3702" t="str">
        <f ca="1">IFERROR(VLOOKUP($C101,'PIP finance'!$C$448:$T$582,18,FALSE),"")</f>
        <v/>
      </c>
      <c r="AA101" s="3709" t="str">
        <f t="shared" ca="1" si="5"/>
        <v/>
      </c>
      <c r="AB101" s="3711">
        <f t="shared" ca="1" si="4"/>
        <v>0</v>
      </c>
      <c r="AC101" s="1341"/>
      <c r="AH101" s="1377" t="str">
        <f ca="1">IFERROR('Activation list'!X48,"")</f>
        <v/>
      </c>
      <c r="AI101" s="1377" t="str">
        <f ca="1">IFERROR(VLOOKUP($C101,'PIP finance'!$C$448:$R$582,14,FALSE),"")</f>
        <v/>
      </c>
      <c r="AJ101" s="1377" t="str">
        <f ca="1">IFERROR(VLOOKUP($C101,'PIP finance'!$C$448:$R$582,15,FALSE),"")</f>
        <v/>
      </c>
    </row>
    <row r="102" spans="2:36" ht="15.75" x14ac:dyDescent="0.25">
      <c r="B102" s="1341"/>
      <c r="C102" s="6832" t="str">
        <f ca="1">IFERROR('Activation list'!W49,"")</f>
        <v/>
      </c>
      <c r="D102" s="6878"/>
      <c r="E102" s="6878"/>
      <c r="F102" s="6878"/>
      <c r="G102" s="6878"/>
      <c r="H102" s="6879"/>
      <c r="I102" s="6829" t="str">
        <f ca="1">IFERROR(VLOOKUP($C102,'PIP finance'!$C$448:$N$582,2,FALSE),"")</f>
        <v/>
      </c>
      <c r="J102" s="6830"/>
      <c r="K102" s="3715" t="str">
        <f ca="1">IFERROR(VLOOKUP($C102,'PIP finance'!$C$448:$N$582,3,FALSE),"")</f>
        <v/>
      </c>
      <c r="L102" s="3716" t="str">
        <f ca="1">IFERROR(VLOOKUP($C102,'PIP finance'!$C$448:$N$582,4,FALSE),"")</f>
        <v/>
      </c>
      <c r="M102" s="3716" t="str">
        <f ca="1">IFERROR(VLOOKUP($C102,'PIP finance'!$C$448:$N$582,5,FALSE),"")</f>
        <v/>
      </c>
      <c r="N102" s="3716" t="str">
        <f ca="1">IFERROR(VLOOKUP($C102,'PIP finance'!$C$448:$N$582,6,FALSE),"")</f>
        <v/>
      </c>
      <c r="O102" s="3716" t="str">
        <f ca="1">IFERROR(VLOOKUP($C102,'PIP finance'!$C$448:$N$582,7,FALSE),"")</f>
        <v/>
      </c>
      <c r="P102" s="3716" t="str">
        <f ca="1">IFERROR(VLOOKUP($C102,'PIP finance'!$C$448:$N$582,8,FALSE),"")</f>
        <v/>
      </c>
      <c r="Q102" s="3716" t="str">
        <f ca="1">IFERROR(VLOOKUP($C102,'PIP finance'!$C$448:$N$582,9,FALSE),"")</f>
        <v/>
      </c>
      <c r="R102" s="3716" t="str">
        <f ca="1">IFERROR(VLOOKUP($C102,'PIP finance'!$C$448:$N$582,10,FALSE),"")</f>
        <v/>
      </c>
      <c r="S102" s="3716" t="str">
        <f ca="1">IFERROR(VLOOKUP($C102,'PIP finance'!$C$448:$N$582,11,FALSE),"")</f>
        <v/>
      </c>
      <c r="T102" s="3717" t="str">
        <f ca="1">IFERROR(VLOOKUP($C102,'PIP finance'!$C$448:$N$582,12,FALSE),"")</f>
        <v/>
      </c>
      <c r="U102" s="3703" t="str">
        <f ca="1">IFERROR(VLOOKUP($C102,'PIP finance'!$C$448:$S$582,17,FALSE),"")</f>
        <v/>
      </c>
      <c r="V102" s="3705"/>
      <c r="W102" s="3707"/>
      <c r="X102" s="3707"/>
      <c r="Y102" s="3701"/>
      <c r="Z102" s="3702" t="str">
        <f ca="1">IFERROR(VLOOKUP($C102,'PIP finance'!$C$448:$T$582,18,FALSE),"")</f>
        <v/>
      </c>
      <c r="AA102" s="3709" t="str">
        <f t="shared" ca="1" si="5"/>
        <v/>
      </c>
      <c r="AB102" s="3711">
        <f t="shared" ca="1" si="4"/>
        <v>0</v>
      </c>
      <c r="AC102" s="1341"/>
      <c r="AH102" s="1377" t="str">
        <f ca="1">IFERROR('Activation list'!X49,"")</f>
        <v/>
      </c>
      <c r="AI102" s="1377" t="str">
        <f ca="1">IFERROR(VLOOKUP($C102,'PIP finance'!$C$448:$R$582,14,FALSE),"")</f>
        <v/>
      </c>
      <c r="AJ102" s="1377" t="str">
        <f ca="1">IFERROR(VLOOKUP($C102,'PIP finance'!$C$448:$R$582,15,FALSE),"")</f>
        <v/>
      </c>
    </row>
    <row r="103" spans="2:36" ht="15.75" x14ac:dyDescent="0.25">
      <c r="B103" s="1341"/>
      <c r="C103" s="6832" t="str">
        <f ca="1">IFERROR('Activation list'!W50,"")</f>
        <v/>
      </c>
      <c r="D103" s="6878"/>
      <c r="E103" s="6878"/>
      <c r="F103" s="6878"/>
      <c r="G103" s="6878"/>
      <c r="H103" s="6879"/>
      <c r="I103" s="6829" t="str">
        <f ca="1">IFERROR(VLOOKUP($C103,'PIP finance'!$C$448:$N$582,2,FALSE),"")</f>
        <v/>
      </c>
      <c r="J103" s="6830"/>
      <c r="K103" s="3715" t="str">
        <f ca="1">IFERROR(VLOOKUP($C103,'PIP finance'!$C$448:$N$582,3,FALSE),"")</f>
        <v/>
      </c>
      <c r="L103" s="3716" t="str">
        <f ca="1">IFERROR(VLOOKUP($C103,'PIP finance'!$C$448:$N$582,4,FALSE),"")</f>
        <v/>
      </c>
      <c r="M103" s="3716" t="str">
        <f ca="1">IFERROR(VLOOKUP($C103,'PIP finance'!$C$448:$N$582,5,FALSE),"")</f>
        <v/>
      </c>
      <c r="N103" s="3716" t="str">
        <f ca="1">IFERROR(VLOOKUP($C103,'PIP finance'!$C$448:$N$582,6,FALSE),"")</f>
        <v/>
      </c>
      <c r="O103" s="3716" t="str">
        <f ca="1">IFERROR(VLOOKUP($C103,'PIP finance'!$C$448:$N$582,7,FALSE),"")</f>
        <v/>
      </c>
      <c r="P103" s="3716" t="str">
        <f ca="1">IFERROR(VLOOKUP($C103,'PIP finance'!$C$448:$N$582,8,FALSE),"")</f>
        <v/>
      </c>
      <c r="Q103" s="3716" t="str">
        <f ca="1">IFERROR(VLOOKUP($C103,'PIP finance'!$C$448:$N$582,9,FALSE),"")</f>
        <v/>
      </c>
      <c r="R103" s="3716" t="str">
        <f ca="1">IFERROR(VLOOKUP($C103,'PIP finance'!$C$448:$N$582,10,FALSE),"")</f>
        <v/>
      </c>
      <c r="S103" s="3716" t="str">
        <f ca="1">IFERROR(VLOOKUP($C103,'PIP finance'!$C$448:$N$582,11,FALSE),"")</f>
        <v/>
      </c>
      <c r="T103" s="3717" t="str">
        <f ca="1">IFERROR(VLOOKUP($C103,'PIP finance'!$C$448:$N$582,12,FALSE),"")</f>
        <v/>
      </c>
      <c r="U103" s="3703" t="str">
        <f ca="1">IFERROR(VLOOKUP($C103,'PIP finance'!$C$448:$S$582,17,FALSE),"")</f>
        <v/>
      </c>
      <c r="V103" s="3705"/>
      <c r="W103" s="3707"/>
      <c r="X103" s="3707"/>
      <c r="Y103" s="3701"/>
      <c r="Z103" s="3702" t="str">
        <f ca="1">IFERROR(VLOOKUP($C103,'PIP finance'!$C$448:$T$582,18,FALSE),"")</f>
        <v/>
      </c>
      <c r="AA103" s="3709" t="str">
        <f t="shared" ca="1" si="5"/>
        <v/>
      </c>
      <c r="AB103" s="3711">
        <f t="shared" ca="1" si="4"/>
        <v>0</v>
      </c>
      <c r="AC103" s="1341"/>
      <c r="AH103" s="1377" t="str">
        <f ca="1">IFERROR('Activation list'!X50,"")</f>
        <v/>
      </c>
      <c r="AI103" s="1377" t="str">
        <f ca="1">IFERROR(VLOOKUP($C103,'PIP finance'!$C$448:$R$582,14,FALSE),"")</f>
        <v/>
      </c>
      <c r="AJ103" s="1377" t="str">
        <f ca="1">IFERROR(VLOOKUP($C103,'PIP finance'!$C$448:$R$582,15,FALSE),"")</f>
        <v/>
      </c>
    </row>
    <row r="104" spans="2:36" ht="15.75" x14ac:dyDescent="0.25">
      <c r="B104" s="1341"/>
      <c r="C104" s="6832" t="str">
        <f ca="1">IFERROR('Activation list'!W51,"")</f>
        <v/>
      </c>
      <c r="D104" s="6878"/>
      <c r="E104" s="6878"/>
      <c r="F104" s="6878"/>
      <c r="G104" s="6878"/>
      <c r="H104" s="6879"/>
      <c r="I104" s="6827" t="str">
        <f ca="1">IFERROR(VLOOKUP($C104,'PIP finance'!$C$448:$N$582,2,FALSE),"")</f>
        <v/>
      </c>
      <c r="J104" s="6828"/>
      <c r="K104" s="3715" t="str">
        <f ca="1">IFERROR(VLOOKUP($C104,'PIP finance'!$C$448:$N$582,3,FALSE),"")</f>
        <v/>
      </c>
      <c r="L104" s="3716" t="str">
        <f ca="1">IFERROR(VLOOKUP($C104,'PIP finance'!$C$448:$N$582,4,FALSE),"")</f>
        <v/>
      </c>
      <c r="M104" s="3716" t="str">
        <f ca="1">IFERROR(VLOOKUP($C104,'PIP finance'!$C$448:$N$582,5,FALSE),"")</f>
        <v/>
      </c>
      <c r="N104" s="3716" t="str">
        <f ca="1">IFERROR(VLOOKUP($C104,'PIP finance'!$C$448:$N$582,6,FALSE),"")</f>
        <v/>
      </c>
      <c r="O104" s="3716" t="str">
        <f ca="1">IFERROR(VLOOKUP($C104,'PIP finance'!$C$448:$N$582,7,FALSE),"")</f>
        <v/>
      </c>
      <c r="P104" s="3716" t="str">
        <f ca="1">IFERROR(VLOOKUP($C104,'PIP finance'!$C$448:$N$582,8,FALSE),"")</f>
        <v/>
      </c>
      <c r="Q104" s="3716" t="str">
        <f ca="1">IFERROR(VLOOKUP($C104,'PIP finance'!$C$448:$N$582,9,FALSE),"")</f>
        <v/>
      </c>
      <c r="R104" s="3716" t="str">
        <f ca="1">IFERROR(VLOOKUP($C104,'PIP finance'!$C$448:$N$582,10,FALSE),"")</f>
        <v/>
      </c>
      <c r="S104" s="3716" t="str">
        <f ca="1">IFERROR(VLOOKUP($C104,'PIP finance'!$C$448:$N$582,11,FALSE),"")</f>
        <v/>
      </c>
      <c r="T104" s="3717" t="str">
        <f ca="1">IFERROR(VLOOKUP($C104,'PIP finance'!$C$448:$N$582,12,FALSE),"")</f>
        <v/>
      </c>
      <c r="U104" s="3703" t="str">
        <f ca="1">IFERROR(VLOOKUP($C104,'PIP finance'!$C$448:$S$582,17,FALSE),"")</f>
        <v/>
      </c>
      <c r="V104" s="3705"/>
      <c r="W104" s="3707"/>
      <c r="X104" s="3707"/>
      <c r="Y104" s="3701"/>
      <c r="Z104" s="3702" t="str">
        <f ca="1">IFERROR(VLOOKUP($C104,'PIP finance'!$C$448:$T$582,18,FALSE),"")</f>
        <v/>
      </c>
      <c r="AA104" s="3709" t="str">
        <f t="shared" ca="1" si="5"/>
        <v/>
      </c>
      <c r="AB104" s="3711">
        <f t="shared" ca="1" si="4"/>
        <v>0</v>
      </c>
      <c r="AC104" s="1341"/>
      <c r="AH104" s="1377" t="str">
        <f ca="1">IFERROR('Activation list'!X51,"")</f>
        <v/>
      </c>
      <c r="AI104" s="1377" t="str">
        <f ca="1">IFERROR(VLOOKUP($C104,'PIP finance'!$C$448:$R$582,14,FALSE),"")</f>
        <v/>
      </c>
      <c r="AJ104" s="1377" t="str">
        <f ca="1">IFERROR(VLOOKUP($C104,'PIP finance'!$C$448:$R$582,15,FALSE),"")</f>
        <v/>
      </c>
    </row>
    <row r="105" spans="2:36" ht="15.75" x14ac:dyDescent="0.25">
      <c r="B105" s="1341"/>
      <c r="C105" s="6832" t="str">
        <f ca="1">IFERROR('Activation list'!W52,"")</f>
        <v/>
      </c>
      <c r="D105" s="6878"/>
      <c r="E105" s="6878"/>
      <c r="F105" s="6878"/>
      <c r="G105" s="6878"/>
      <c r="H105" s="6879"/>
      <c r="I105" s="6827" t="str">
        <f ca="1">IFERROR(VLOOKUP($C105,'PIP finance'!$C$448:$N$582,2,FALSE),"")</f>
        <v/>
      </c>
      <c r="J105" s="6828"/>
      <c r="K105" s="3715" t="str">
        <f ca="1">IFERROR(VLOOKUP($C105,'PIP finance'!$C$448:$N$582,3,FALSE),"")</f>
        <v/>
      </c>
      <c r="L105" s="3716" t="str">
        <f ca="1">IFERROR(VLOOKUP($C105,'PIP finance'!$C$448:$N$582,4,FALSE),"")</f>
        <v/>
      </c>
      <c r="M105" s="3716" t="str">
        <f ca="1">IFERROR(VLOOKUP($C105,'PIP finance'!$C$448:$N$582,5,FALSE),"")</f>
        <v/>
      </c>
      <c r="N105" s="3716" t="str">
        <f ca="1">IFERROR(VLOOKUP($C105,'PIP finance'!$C$448:$N$582,6,FALSE),"")</f>
        <v/>
      </c>
      <c r="O105" s="3716" t="str">
        <f ca="1">IFERROR(VLOOKUP($C105,'PIP finance'!$C$448:$N$582,7,FALSE),"")</f>
        <v/>
      </c>
      <c r="P105" s="3716" t="str">
        <f ca="1">IFERROR(VLOOKUP($C105,'PIP finance'!$C$448:$N$582,8,FALSE),"")</f>
        <v/>
      </c>
      <c r="Q105" s="3716" t="str">
        <f ca="1">IFERROR(VLOOKUP($C105,'PIP finance'!$C$448:$N$582,9,FALSE),"")</f>
        <v/>
      </c>
      <c r="R105" s="3716" t="str">
        <f ca="1">IFERROR(VLOOKUP($C105,'PIP finance'!$C$448:$N$582,10,FALSE),"")</f>
        <v/>
      </c>
      <c r="S105" s="3716" t="str">
        <f ca="1">IFERROR(VLOOKUP($C105,'PIP finance'!$C$448:$N$582,11,FALSE),"")</f>
        <v/>
      </c>
      <c r="T105" s="3717" t="str">
        <f ca="1">IFERROR(VLOOKUP($C105,'PIP finance'!$C$448:$N$582,12,FALSE),"")</f>
        <v/>
      </c>
      <c r="U105" s="3703" t="str">
        <f ca="1">IFERROR(VLOOKUP($C105,'PIP finance'!$C$448:$S$582,17,FALSE),"")</f>
        <v/>
      </c>
      <c r="V105" s="3705"/>
      <c r="W105" s="3707"/>
      <c r="X105" s="3707"/>
      <c r="Y105" s="3701"/>
      <c r="Z105" s="3702" t="str">
        <f ca="1">IFERROR(VLOOKUP($C105,'PIP finance'!$C$448:$T$582,18,FALSE),"")</f>
        <v/>
      </c>
      <c r="AA105" s="3709" t="str">
        <f t="shared" ca="1" si="5"/>
        <v/>
      </c>
      <c r="AB105" s="3711">
        <f t="shared" ca="1" si="4"/>
        <v>0</v>
      </c>
      <c r="AC105" s="1341"/>
      <c r="AH105" s="1377" t="str">
        <f ca="1">IFERROR('Activation list'!X52,"")</f>
        <v/>
      </c>
      <c r="AI105" s="1377" t="str">
        <f ca="1">IFERROR(VLOOKUP($C105,'PIP finance'!$C$448:$R$582,14,FALSE),"")</f>
        <v/>
      </c>
      <c r="AJ105" s="1377" t="str">
        <f ca="1">IFERROR(VLOOKUP($C105,'PIP finance'!$C$448:$R$582,15,FALSE),"")</f>
        <v/>
      </c>
    </row>
    <row r="106" spans="2:36" ht="15.75" x14ac:dyDescent="0.25">
      <c r="B106" s="1341"/>
      <c r="C106" s="6832" t="str">
        <f ca="1">IFERROR('Activation list'!W53,"")</f>
        <v/>
      </c>
      <c r="D106" s="6878"/>
      <c r="E106" s="6878"/>
      <c r="F106" s="6878"/>
      <c r="G106" s="6878"/>
      <c r="H106" s="6879"/>
      <c r="I106" s="6827" t="str">
        <f ca="1">IFERROR(VLOOKUP($C106,'PIP finance'!$C$448:$N$582,2,FALSE),"")</f>
        <v/>
      </c>
      <c r="J106" s="6828"/>
      <c r="K106" s="3715" t="str">
        <f ca="1">IFERROR(VLOOKUP($C106,'PIP finance'!$C$448:$N$582,3,FALSE),"")</f>
        <v/>
      </c>
      <c r="L106" s="3716" t="str">
        <f ca="1">IFERROR(VLOOKUP($C106,'PIP finance'!$C$448:$N$582,4,FALSE),"")</f>
        <v/>
      </c>
      <c r="M106" s="3716" t="str">
        <f ca="1">IFERROR(VLOOKUP($C106,'PIP finance'!$C$448:$N$582,5,FALSE),"")</f>
        <v/>
      </c>
      <c r="N106" s="3716" t="str">
        <f ca="1">IFERROR(VLOOKUP($C106,'PIP finance'!$C$448:$N$582,6,FALSE),"")</f>
        <v/>
      </c>
      <c r="O106" s="3716" t="str">
        <f ca="1">IFERROR(VLOOKUP($C106,'PIP finance'!$C$448:$N$582,7,FALSE),"")</f>
        <v/>
      </c>
      <c r="P106" s="3716" t="str">
        <f ca="1">IFERROR(VLOOKUP($C106,'PIP finance'!$C$448:$N$582,8,FALSE),"")</f>
        <v/>
      </c>
      <c r="Q106" s="3716" t="str">
        <f ca="1">IFERROR(VLOOKUP($C106,'PIP finance'!$C$448:$N$582,9,FALSE),"")</f>
        <v/>
      </c>
      <c r="R106" s="3716" t="str">
        <f ca="1">IFERROR(VLOOKUP($C106,'PIP finance'!$C$448:$N$582,10,FALSE),"")</f>
        <v/>
      </c>
      <c r="S106" s="3716" t="str">
        <f ca="1">IFERROR(VLOOKUP($C106,'PIP finance'!$C$448:$N$582,11,FALSE),"")</f>
        <v/>
      </c>
      <c r="T106" s="3717" t="str">
        <f ca="1">IFERROR(VLOOKUP($C106,'PIP finance'!$C$448:$N$582,12,FALSE),"")</f>
        <v/>
      </c>
      <c r="U106" s="3703" t="str">
        <f ca="1">IFERROR(VLOOKUP($C106,'PIP finance'!$C$448:$S$582,17,FALSE),"")</f>
        <v/>
      </c>
      <c r="V106" s="3705"/>
      <c r="W106" s="3707"/>
      <c r="X106" s="3707"/>
      <c r="Y106" s="3701"/>
      <c r="Z106" s="3702" t="str">
        <f ca="1">IFERROR(VLOOKUP($C106,'PIP finance'!$C$448:$T$582,18,FALSE),"")</f>
        <v/>
      </c>
      <c r="AA106" s="3709" t="str">
        <f t="shared" ca="1" si="5"/>
        <v/>
      </c>
      <c r="AB106" s="3711">
        <f t="shared" ca="1" si="4"/>
        <v>0</v>
      </c>
      <c r="AC106" s="1341"/>
      <c r="AH106" s="1377" t="str">
        <f ca="1">IFERROR('Activation list'!X53,"")</f>
        <v/>
      </c>
      <c r="AI106" s="1377" t="str">
        <f ca="1">IFERROR(VLOOKUP($C106,'PIP finance'!$C$448:$R$582,14,FALSE),"")</f>
        <v/>
      </c>
      <c r="AJ106" s="1377" t="str">
        <f ca="1">IFERROR(VLOOKUP($C106,'PIP finance'!$C$448:$R$582,15,FALSE),"")</f>
        <v/>
      </c>
    </row>
    <row r="107" spans="2:36" ht="15.75" x14ac:dyDescent="0.25">
      <c r="B107" s="1341"/>
      <c r="C107" s="6832" t="str">
        <f ca="1">IFERROR('Activation list'!W54,"")</f>
        <v/>
      </c>
      <c r="D107" s="6878"/>
      <c r="E107" s="6878"/>
      <c r="F107" s="6878"/>
      <c r="G107" s="6878"/>
      <c r="H107" s="6879"/>
      <c r="I107" s="6827" t="str">
        <f ca="1">IFERROR(VLOOKUP($C107,'PIP finance'!$C$448:$N$582,2,FALSE),"")</f>
        <v/>
      </c>
      <c r="J107" s="6828"/>
      <c r="K107" s="3715" t="str">
        <f ca="1">IFERROR(VLOOKUP($C107,'PIP finance'!$C$448:$N$582,3,FALSE),"")</f>
        <v/>
      </c>
      <c r="L107" s="3716" t="str">
        <f ca="1">IFERROR(VLOOKUP($C107,'PIP finance'!$C$448:$N$582,4,FALSE),"")</f>
        <v/>
      </c>
      <c r="M107" s="3716" t="str">
        <f ca="1">IFERROR(VLOOKUP($C107,'PIP finance'!$C$448:$N$582,5,FALSE),"")</f>
        <v/>
      </c>
      <c r="N107" s="3716" t="str">
        <f ca="1">IFERROR(VLOOKUP($C107,'PIP finance'!$C$448:$N$582,6,FALSE),"")</f>
        <v/>
      </c>
      <c r="O107" s="3716" t="str">
        <f ca="1">IFERROR(VLOOKUP($C107,'PIP finance'!$C$448:$N$582,7,FALSE),"")</f>
        <v/>
      </c>
      <c r="P107" s="3716" t="str">
        <f ca="1">IFERROR(VLOOKUP($C107,'PIP finance'!$C$448:$N$582,8,FALSE),"")</f>
        <v/>
      </c>
      <c r="Q107" s="3716" t="str">
        <f ca="1">IFERROR(VLOOKUP($C107,'PIP finance'!$C$448:$N$582,9,FALSE),"")</f>
        <v/>
      </c>
      <c r="R107" s="3716" t="str">
        <f ca="1">IFERROR(VLOOKUP($C107,'PIP finance'!$C$448:$N$582,10,FALSE),"")</f>
        <v/>
      </c>
      <c r="S107" s="3716" t="str">
        <f ca="1">IFERROR(VLOOKUP($C107,'PIP finance'!$C$448:$N$582,11,FALSE),"")</f>
        <v/>
      </c>
      <c r="T107" s="3717" t="str">
        <f ca="1">IFERROR(VLOOKUP($C107,'PIP finance'!$C$448:$N$582,12,FALSE),"")</f>
        <v/>
      </c>
      <c r="U107" s="3703" t="str">
        <f ca="1">IFERROR(VLOOKUP($C107,'PIP finance'!$C$448:$S$582,17,FALSE),"")</f>
        <v/>
      </c>
      <c r="V107" s="3705"/>
      <c r="W107" s="3707"/>
      <c r="X107" s="3707"/>
      <c r="Y107" s="3701"/>
      <c r="Z107" s="3702" t="str">
        <f ca="1">IFERROR(VLOOKUP($C107,'PIP finance'!$C$448:$T$582,18,FALSE),"")</f>
        <v/>
      </c>
      <c r="AA107" s="3709" t="str">
        <f t="shared" ca="1" si="5"/>
        <v/>
      </c>
      <c r="AB107" s="3711">
        <f t="shared" ca="1" si="4"/>
        <v>0</v>
      </c>
      <c r="AC107" s="1341"/>
      <c r="AH107" s="1377" t="str">
        <f ca="1">IFERROR('Activation list'!X54,"")</f>
        <v/>
      </c>
      <c r="AI107" s="1377" t="str">
        <f ca="1">IFERROR(VLOOKUP($C107,'PIP finance'!$C$448:$R$582,14,FALSE),"")</f>
        <v/>
      </c>
      <c r="AJ107" s="1377" t="str">
        <f ca="1">IFERROR(VLOOKUP($C107,'PIP finance'!$C$448:$R$582,15,FALSE),"")</f>
        <v/>
      </c>
    </row>
    <row r="108" spans="2:36" ht="15.75" x14ac:dyDescent="0.25">
      <c r="B108" s="1341"/>
      <c r="C108" s="6832" t="str">
        <f ca="1">IFERROR('Activation list'!W55,"")</f>
        <v/>
      </c>
      <c r="D108" s="6878"/>
      <c r="E108" s="6878"/>
      <c r="F108" s="6878"/>
      <c r="G108" s="6878"/>
      <c r="H108" s="6879"/>
      <c r="I108" s="6827" t="str">
        <f ca="1">IFERROR(VLOOKUP($C108,'PIP finance'!$C$448:$N$582,2,FALSE),"")</f>
        <v/>
      </c>
      <c r="J108" s="6828"/>
      <c r="K108" s="3715" t="str">
        <f ca="1">IFERROR(VLOOKUP($C108,'PIP finance'!$C$448:$N$582,3,FALSE),"")</f>
        <v/>
      </c>
      <c r="L108" s="3716" t="str">
        <f ca="1">IFERROR(VLOOKUP($C108,'PIP finance'!$C$448:$N$582,4,FALSE),"")</f>
        <v/>
      </c>
      <c r="M108" s="3716" t="str">
        <f ca="1">IFERROR(VLOOKUP($C108,'PIP finance'!$C$448:$N$582,5,FALSE),"")</f>
        <v/>
      </c>
      <c r="N108" s="3716" t="str">
        <f ca="1">IFERROR(VLOOKUP($C108,'PIP finance'!$C$448:$N$582,6,FALSE),"")</f>
        <v/>
      </c>
      <c r="O108" s="3716" t="str">
        <f ca="1">IFERROR(VLOOKUP($C108,'PIP finance'!$C$448:$N$582,7,FALSE),"")</f>
        <v/>
      </c>
      <c r="P108" s="3716" t="str">
        <f ca="1">IFERROR(VLOOKUP($C108,'PIP finance'!$C$448:$N$582,8,FALSE),"")</f>
        <v/>
      </c>
      <c r="Q108" s="3716" t="str">
        <f ca="1">IFERROR(VLOOKUP($C108,'PIP finance'!$C$448:$N$582,9,FALSE),"")</f>
        <v/>
      </c>
      <c r="R108" s="3716" t="str">
        <f ca="1">IFERROR(VLOOKUP($C108,'PIP finance'!$C$448:$N$582,10,FALSE),"")</f>
        <v/>
      </c>
      <c r="S108" s="3716" t="str">
        <f ca="1">IFERROR(VLOOKUP($C108,'PIP finance'!$C$448:$N$582,11,FALSE),"")</f>
        <v/>
      </c>
      <c r="T108" s="3717" t="str">
        <f ca="1">IFERROR(VLOOKUP($C108,'PIP finance'!$C$448:$N$582,12,FALSE),"")</f>
        <v/>
      </c>
      <c r="U108" s="3703" t="str">
        <f ca="1">IFERROR(VLOOKUP($C108,'PIP finance'!$C$448:$S$582,17,FALSE),"")</f>
        <v/>
      </c>
      <c r="V108" s="3705"/>
      <c r="W108" s="3707"/>
      <c r="X108" s="3707"/>
      <c r="Y108" s="3701"/>
      <c r="Z108" s="3702" t="str">
        <f ca="1">IFERROR(VLOOKUP($C108,'PIP finance'!$C$448:$T$582,18,FALSE),"")</f>
        <v/>
      </c>
      <c r="AA108" s="3709" t="str">
        <f t="shared" ca="1" si="5"/>
        <v/>
      </c>
      <c r="AB108" s="3711">
        <f t="shared" ca="1" si="4"/>
        <v>0</v>
      </c>
      <c r="AC108" s="1341"/>
      <c r="AH108" s="1377" t="str">
        <f ca="1">IFERROR('Activation list'!X55,"")</f>
        <v/>
      </c>
      <c r="AI108" s="1377" t="str">
        <f ca="1">IFERROR(VLOOKUP($C108,'PIP finance'!$C$448:$R$582,14,FALSE),"")</f>
        <v/>
      </c>
      <c r="AJ108" s="1377" t="str">
        <f ca="1">IFERROR(VLOOKUP($C108,'PIP finance'!$C$448:$R$582,15,FALSE),"")</f>
        <v/>
      </c>
    </row>
    <row r="109" spans="2:36" ht="15.75" x14ac:dyDescent="0.25">
      <c r="B109" s="1341"/>
      <c r="C109" s="6832" t="str">
        <f ca="1">IFERROR('Activation list'!W56,"")</f>
        <v/>
      </c>
      <c r="D109" s="6878"/>
      <c r="E109" s="6878"/>
      <c r="F109" s="6878"/>
      <c r="G109" s="6878"/>
      <c r="H109" s="6879"/>
      <c r="I109" s="6827" t="str">
        <f ca="1">IFERROR(VLOOKUP($C109,'PIP finance'!$C$448:$N$582,2,FALSE),"")</f>
        <v/>
      </c>
      <c r="J109" s="6828"/>
      <c r="K109" s="3715" t="str">
        <f ca="1">IFERROR(VLOOKUP($C109,'PIP finance'!$C$448:$N$582,3,FALSE),"")</f>
        <v/>
      </c>
      <c r="L109" s="3716" t="str">
        <f ca="1">IFERROR(VLOOKUP($C109,'PIP finance'!$C$448:$N$582,4,FALSE),"")</f>
        <v/>
      </c>
      <c r="M109" s="3716" t="str">
        <f ca="1">IFERROR(VLOOKUP($C109,'PIP finance'!$C$448:$N$582,5,FALSE),"")</f>
        <v/>
      </c>
      <c r="N109" s="3716" t="str">
        <f ca="1">IFERROR(VLOOKUP($C109,'PIP finance'!$C$448:$N$582,6,FALSE),"")</f>
        <v/>
      </c>
      <c r="O109" s="3716" t="str">
        <f ca="1">IFERROR(VLOOKUP($C109,'PIP finance'!$C$448:$N$582,7,FALSE),"")</f>
        <v/>
      </c>
      <c r="P109" s="3716" t="str">
        <f ca="1">IFERROR(VLOOKUP($C109,'PIP finance'!$C$448:$N$582,8,FALSE),"")</f>
        <v/>
      </c>
      <c r="Q109" s="3716" t="str">
        <f ca="1">IFERROR(VLOOKUP($C109,'PIP finance'!$C$448:$N$582,9,FALSE),"")</f>
        <v/>
      </c>
      <c r="R109" s="3716" t="str">
        <f ca="1">IFERROR(VLOOKUP($C109,'PIP finance'!$C$448:$N$582,10,FALSE),"")</f>
        <v/>
      </c>
      <c r="S109" s="3716" t="str">
        <f ca="1">IFERROR(VLOOKUP($C109,'PIP finance'!$C$448:$N$582,11,FALSE),"")</f>
        <v/>
      </c>
      <c r="T109" s="3717" t="str">
        <f ca="1">IFERROR(VLOOKUP($C109,'PIP finance'!$C$448:$N$582,12,FALSE),"")</f>
        <v/>
      </c>
      <c r="U109" s="3703" t="str">
        <f ca="1">IFERROR(VLOOKUP($C109,'PIP finance'!$C$448:$S$582,17,FALSE),"")</f>
        <v/>
      </c>
      <c r="V109" s="3705"/>
      <c r="W109" s="3707"/>
      <c r="X109" s="3707"/>
      <c r="Y109" s="3701"/>
      <c r="Z109" s="3702" t="str">
        <f ca="1">IFERROR(VLOOKUP($C109,'PIP finance'!$C$448:$T$582,18,FALSE),"")</f>
        <v/>
      </c>
      <c r="AA109" s="3709" t="str">
        <f t="shared" ca="1" si="5"/>
        <v/>
      </c>
      <c r="AB109" s="3711">
        <f t="shared" ca="1" si="4"/>
        <v>0</v>
      </c>
      <c r="AC109" s="1341"/>
      <c r="AH109" s="1377" t="str">
        <f ca="1">IFERROR('Activation list'!X56,"")</f>
        <v/>
      </c>
      <c r="AI109" s="1377" t="str">
        <f ca="1">IFERROR(VLOOKUP($C109,'PIP finance'!$C$448:$R$582,14,FALSE),"")</f>
        <v/>
      </c>
      <c r="AJ109" s="1377" t="str">
        <f ca="1">IFERROR(VLOOKUP($C109,'PIP finance'!$C$448:$R$582,15,FALSE),"")</f>
        <v/>
      </c>
    </row>
    <row r="110" spans="2:36" ht="15.75" x14ac:dyDescent="0.25">
      <c r="B110" s="1341"/>
      <c r="C110" s="6832" t="str">
        <f ca="1">IFERROR('Activation list'!W57,"")</f>
        <v/>
      </c>
      <c r="D110" s="6878"/>
      <c r="E110" s="6878"/>
      <c r="F110" s="6878"/>
      <c r="G110" s="6878"/>
      <c r="H110" s="6879"/>
      <c r="I110" s="6827" t="str">
        <f ca="1">IFERROR(VLOOKUP($C110,'PIP finance'!$C$448:$N$582,2,FALSE),"")</f>
        <v/>
      </c>
      <c r="J110" s="6828"/>
      <c r="K110" s="3715" t="str">
        <f ca="1">IFERROR(VLOOKUP($C110,'PIP finance'!$C$448:$N$582,3,FALSE),"")</f>
        <v/>
      </c>
      <c r="L110" s="3716" t="str">
        <f ca="1">IFERROR(VLOOKUP($C110,'PIP finance'!$C$448:$N$582,4,FALSE),"")</f>
        <v/>
      </c>
      <c r="M110" s="3716" t="str">
        <f ca="1">IFERROR(VLOOKUP($C110,'PIP finance'!$C$448:$N$582,5,FALSE),"")</f>
        <v/>
      </c>
      <c r="N110" s="3716" t="str">
        <f ca="1">IFERROR(VLOOKUP($C110,'PIP finance'!$C$448:$N$582,6,FALSE),"")</f>
        <v/>
      </c>
      <c r="O110" s="3716" t="str">
        <f ca="1">IFERROR(VLOOKUP($C110,'PIP finance'!$C$448:$N$582,7,FALSE),"")</f>
        <v/>
      </c>
      <c r="P110" s="3716" t="str">
        <f ca="1">IFERROR(VLOOKUP($C110,'PIP finance'!$C$448:$N$582,8,FALSE),"")</f>
        <v/>
      </c>
      <c r="Q110" s="3716" t="str">
        <f ca="1">IFERROR(VLOOKUP($C110,'PIP finance'!$C$448:$N$582,9,FALSE),"")</f>
        <v/>
      </c>
      <c r="R110" s="3716" t="str">
        <f ca="1">IFERROR(VLOOKUP($C110,'PIP finance'!$C$448:$N$582,10,FALSE),"")</f>
        <v/>
      </c>
      <c r="S110" s="3716" t="str">
        <f ca="1">IFERROR(VLOOKUP($C110,'PIP finance'!$C$448:$N$582,11,FALSE),"")</f>
        <v/>
      </c>
      <c r="T110" s="3717" t="str">
        <f ca="1">IFERROR(VLOOKUP($C110,'PIP finance'!$C$448:$N$582,12,FALSE),"")</f>
        <v/>
      </c>
      <c r="U110" s="3703" t="str">
        <f ca="1">IFERROR(VLOOKUP($C110,'PIP finance'!$C$448:$S$582,17,FALSE),"")</f>
        <v/>
      </c>
      <c r="V110" s="3705"/>
      <c r="W110" s="3707"/>
      <c r="X110" s="3707"/>
      <c r="Y110" s="3701"/>
      <c r="Z110" s="3702" t="str">
        <f ca="1">IFERROR(VLOOKUP($C110,'PIP finance'!$C$448:$T$582,18,FALSE),"")</f>
        <v/>
      </c>
      <c r="AA110" s="3709" t="str">
        <f t="shared" ca="1" si="5"/>
        <v/>
      </c>
      <c r="AB110" s="3711">
        <f t="shared" ca="1" si="4"/>
        <v>0</v>
      </c>
      <c r="AC110" s="1341"/>
      <c r="AH110" s="1377" t="str">
        <f ca="1">IFERROR('Activation list'!X57,"")</f>
        <v/>
      </c>
      <c r="AI110" s="1377" t="str">
        <f ca="1">IFERROR(VLOOKUP($C110,'PIP finance'!$C$448:$R$582,14,FALSE),"")</f>
        <v/>
      </c>
      <c r="AJ110" s="1377" t="str">
        <f ca="1">IFERROR(VLOOKUP($C110,'PIP finance'!$C$448:$R$582,15,FALSE),"")</f>
        <v/>
      </c>
    </row>
    <row r="111" spans="2:36" ht="15.75" x14ac:dyDescent="0.25">
      <c r="B111" s="1341"/>
      <c r="C111" s="6832" t="str">
        <f ca="1">IFERROR('Activation list'!W58,"")</f>
        <v/>
      </c>
      <c r="D111" s="6878"/>
      <c r="E111" s="6878"/>
      <c r="F111" s="6878"/>
      <c r="G111" s="6878"/>
      <c r="H111" s="6879"/>
      <c r="I111" s="6827" t="str">
        <f ca="1">IFERROR(VLOOKUP($C111,'PIP finance'!$C$448:$N$582,2,FALSE),"")</f>
        <v/>
      </c>
      <c r="J111" s="6828"/>
      <c r="K111" s="3715" t="str">
        <f ca="1">IFERROR(VLOOKUP($C111,'PIP finance'!$C$448:$N$582,3,FALSE),"")</f>
        <v/>
      </c>
      <c r="L111" s="3716" t="str">
        <f ca="1">IFERROR(VLOOKUP($C111,'PIP finance'!$C$448:$N$582,4,FALSE),"")</f>
        <v/>
      </c>
      <c r="M111" s="3716" t="str">
        <f ca="1">IFERROR(VLOOKUP($C111,'PIP finance'!$C$448:$N$582,5,FALSE),"")</f>
        <v/>
      </c>
      <c r="N111" s="3716" t="str">
        <f ca="1">IFERROR(VLOOKUP($C111,'PIP finance'!$C$448:$N$582,6,FALSE),"")</f>
        <v/>
      </c>
      <c r="O111" s="3716" t="str">
        <f ca="1">IFERROR(VLOOKUP($C111,'PIP finance'!$C$448:$N$582,7,FALSE),"")</f>
        <v/>
      </c>
      <c r="P111" s="3716" t="str">
        <f ca="1">IFERROR(VLOOKUP($C111,'PIP finance'!$C$448:$N$582,8,FALSE),"")</f>
        <v/>
      </c>
      <c r="Q111" s="3716" t="str">
        <f ca="1">IFERROR(VLOOKUP($C111,'PIP finance'!$C$448:$N$582,9,FALSE),"")</f>
        <v/>
      </c>
      <c r="R111" s="3716" t="str">
        <f ca="1">IFERROR(VLOOKUP($C111,'PIP finance'!$C$448:$N$582,10,FALSE),"")</f>
        <v/>
      </c>
      <c r="S111" s="3716" t="str">
        <f ca="1">IFERROR(VLOOKUP($C111,'PIP finance'!$C$448:$N$582,11,FALSE),"")</f>
        <v/>
      </c>
      <c r="T111" s="3717" t="str">
        <f ca="1">IFERROR(VLOOKUP($C111,'PIP finance'!$C$448:$N$582,12,FALSE),"")</f>
        <v/>
      </c>
      <c r="U111" s="3703" t="str">
        <f ca="1">IFERROR(VLOOKUP($C111,'PIP finance'!$C$448:$S$582,17,FALSE),"")</f>
        <v/>
      </c>
      <c r="V111" s="3705"/>
      <c r="W111" s="3707"/>
      <c r="X111" s="3707"/>
      <c r="Y111" s="3701"/>
      <c r="Z111" s="3702" t="str">
        <f ca="1">IFERROR(VLOOKUP($C111,'PIP finance'!$C$448:$T$582,18,FALSE),"")</f>
        <v/>
      </c>
      <c r="AA111" s="3709" t="str">
        <f t="shared" ca="1" si="5"/>
        <v/>
      </c>
      <c r="AB111" s="3711">
        <f t="shared" ca="1" si="4"/>
        <v>0</v>
      </c>
      <c r="AC111" s="1341"/>
      <c r="AH111" s="1377" t="str">
        <f ca="1">IFERROR('Activation list'!X58,"")</f>
        <v/>
      </c>
      <c r="AI111" s="1377" t="str">
        <f ca="1">IFERROR(VLOOKUP($C111,'PIP finance'!$C$448:$R$582,14,FALSE),"")</f>
        <v/>
      </c>
      <c r="AJ111" s="1377" t="str">
        <f ca="1">IFERROR(VLOOKUP($C111,'PIP finance'!$C$448:$R$582,15,FALSE),"")</f>
        <v/>
      </c>
    </row>
    <row r="112" spans="2:36" ht="15.75" x14ac:dyDescent="0.25">
      <c r="B112" s="1341"/>
      <c r="C112" s="6832" t="str">
        <f ca="1">IFERROR('Activation list'!W59,"")</f>
        <v/>
      </c>
      <c r="D112" s="6878"/>
      <c r="E112" s="6878"/>
      <c r="F112" s="6878"/>
      <c r="G112" s="6878"/>
      <c r="H112" s="6879"/>
      <c r="I112" s="6827" t="str">
        <f ca="1">IFERROR(VLOOKUP($C112,'PIP finance'!$C$448:$N$582,2,FALSE),"")</f>
        <v/>
      </c>
      <c r="J112" s="6828"/>
      <c r="K112" s="3715" t="str">
        <f ca="1">IFERROR(VLOOKUP($C112,'PIP finance'!$C$448:$N$582,3,FALSE),"")</f>
        <v/>
      </c>
      <c r="L112" s="3716" t="str">
        <f ca="1">IFERROR(VLOOKUP($C112,'PIP finance'!$C$448:$N$582,4,FALSE),"")</f>
        <v/>
      </c>
      <c r="M112" s="3716" t="str">
        <f ca="1">IFERROR(VLOOKUP($C112,'PIP finance'!$C$448:$N$582,5,FALSE),"")</f>
        <v/>
      </c>
      <c r="N112" s="3716" t="str">
        <f ca="1">IFERROR(VLOOKUP($C112,'PIP finance'!$C$448:$N$582,6,FALSE),"")</f>
        <v/>
      </c>
      <c r="O112" s="3716" t="str">
        <f ca="1">IFERROR(VLOOKUP($C112,'PIP finance'!$C$448:$N$582,7,FALSE),"")</f>
        <v/>
      </c>
      <c r="P112" s="3716" t="str">
        <f ca="1">IFERROR(VLOOKUP($C112,'PIP finance'!$C$448:$N$582,8,FALSE),"")</f>
        <v/>
      </c>
      <c r="Q112" s="3716" t="str">
        <f ca="1">IFERROR(VLOOKUP($C112,'PIP finance'!$C$448:$N$582,9,FALSE),"")</f>
        <v/>
      </c>
      <c r="R112" s="3716" t="str">
        <f ca="1">IFERROR(VLOOKUP($C112,'PIP finance'!$C$448:$N$582,10,FALSE),"")</f>
        <v/>
      </c>
      <c r="S112" s="3716" t="str">
        <f ca="1">IFERROR(VLOOKUP($C112,'PIP finance'!$C$448:$N$582,11,FALSE),"")</f>
        <v/>
      </c>
      <c r="T112" s="3717" t="str">
        <f ca="1">IFERROR(VLOOKUP($C112,'PIP finance'!$C$448:$N$582,12,FALSE),"")</f>
        <v/>
      </c>
      <c r="U112" s="3703" t="str">
        <f ca="1">IFERROR(VLOOKUP($C112,'PIP finance'!$C$448:$S$582,17,FALSE),"")</f>
        <v/>
      </c>
      <c r="V112" s="3705"/>
      <c r="W112" s="3707"/>
      <c r="X112" s="3707"/>
      <c r="Y112" s="3701"/>
      <c r="Z112" s="3702" t="str">
        <f ca="1">IFERROR(VLOOKUP($C112,'PIP finance'!$C$448:$T$582,18,FALSE),"")</f>
        <v/>
      </c>
      <c r="AA112" s="3709" t="str">
        <f t="shared" ca="1" si="5"/>
        <v/>
      </c>
      <c r="AB112" s="3711">
        <f t="shared" ca="1" si="4"/>
        <v>0</v>
      </c>
      <c r="AC112" s="1341"/>
      <c r="AH112" s="1377" t="str">
        <f ca="1">IFERROR('Activation list'!X59,"")</f>
        <v/>
      </c>
      <c r="AI112" s="1377" t="str">
        <f ca="1">IFERROR(VLOOKUP($C112,'PIP finance'!$C$448:$R$582,14,FALSE),"")</f>
        <v/>
      </c>
      <c r="AJ112" s="1377" t="str">
        <f ca="1">IFERROR(VLOOKUP($C112,'PIP finance'!$C$448:$R$582,15,FALSE),"")</f>
        <v/>
      </c>
    </row>
    <row r="113" spans="2:36" ht="15.75" x14ac:dyDescent="0.25">
      <c r="B113" s="1341"/>
      <c r="C113" s="6832" t="str">
        <f ca="1">IFERROR('Activation list'!W60,"")</f>
        <v/>
      </c>
      <c r="D113" s="6878"/>
      <c r="E113" s="6878"/>
      <c r="F113" s="6878"/>
      <c r="G113" s="6878"/>
      <c r="H113" s="6879"/>
      <c r="I113" s="6827" t="str">
        <f ca="1">IFERROR(VLOOKUP($C113,'PIP finance'!$C$448:$N$582,2,FALSE),"")</f>
        <v/>
      </c>
      <c r="J113" s="6828"/>
      <c r="K113" s="3715" t="str">
        <f ca="1">IFERROR(VLOOKUP($C113,'PIP finance'!$C$448:$N$582,3,FALSE),"")</f>
        <v/>
      </c>
      <c r="L113" s="3716" t="str">
        <f ca="1">IFERROR(VLOOKUP($C113,'PIP finance'!$C$448:$N$582,4,FALSE),"")</f>
        <v/>
      </c>
      <c r="M113" s="3716" t="str">
        <f ca="1">IFERROR(VLOOKUP($C113,'PIP finance'!$C$448:$N$582,5,FALSE),"")</f>
        <v/>
      </c>
      <c r="N113" s="3716" t="str">
        <f ca="1">IFERROR(VLOOKUP($C113,'PIP finance'!$C$448:$N$582,6,FALSE),"")</f>
        <v/>
      </c>
      <c r="O113" s="3716" t="str">
        <f ca="1">IFERROR(VLOOKUP($C113,'PIP finance'!$C$448:$N$582,7,FALSE),"")</f>
        <v/>
      </c>
      <c r="P113" s="3716" t="str">
        <f ca="1">IFERROR(VLOOKUP($C113,'PIP finance'!$C$448:$N$582,8,FALSE),"")</f>
        <v/>
      </c>
      <c r="Q113" s="3716" t="str">
        <f ca="1">IFERROR(VLOOKUP($C113,'PIP finance'!$C$448:$N$582,9,FALSE),"")</f>
        <v/>
      </c>
      <c r="R113" s="3716" t="str">
        <f ca="1">IFERROR(VLOOKUP($C113,'PIP finance'!$C$448:$N$582,10,FALSE),"")</f>
        <v/>
      </c>
      <c r="S113" s="3716" t="str">
        <f ca="1">IFERROR(VLOOKUP($C113,'PIP finance'!$C$448:$N$582,11,FALSE),"")</f>
        <v/>
      </c>
      <c r="T113" s="3717" t="str">
        <f ca="1">IFERROR(VLOOKUP($C113,'PIP finance'!$C$448:$N$582,12,FALSE),"")</f>
        <v/>
      </c>
      <c r="U113" s="3703" t="str">
        <f ca="1">IFERROR(VLOOKUP($C113,'PIP finance'!$C$448:$S$582,17,FALSE),"")</f>
        <v/>
      </c>
      <c r="V113" s="3705"/>
      <c r="W113" s="3707"/>
      <c r="X113" s="3707"/>
      <c r="Y113" s="3701"/>
      <c r="Z113" s="3702" t="str">
        <f ca="1">IFERROR(VLOOKUP($C113,'PIP finance'!$C$448:$T$582,18,FALSE),"")</f>
        <v/>
      </c>
      <c r="AA113" s="3709" t="str">
        <f t="shared" ca="1" si="5"/>
        <v/>
      </c>
      <c r="AB113" s="3711">
        <f t="shared" ca="1" si="4"/>
        <v>0</v>
      </c>
      <c r="AC113" s="1341"/>
      <c r="AH113" s="1377" t="str">
        <f ca="1">IFERROR('Activation list'!X60,"")</f>
        <v/>
      </c>
      <c r="AI113" s="1377" t="str">
        <f ca="1">IFERROR(VLOOKUP($C113,'PIP finance'!$C$448:$R$582,14,FALSE),"")</f>
        <v/>
      </c>
      <c r="AJ113" s="1377" t="str">
        <f ca="1">IFERROR(VLOOKUP($C113,'PIP finance'!$C$448:$R$582,15,FALSE),"")</f>
        <v/>
      </c>
    </row>
    <row r="114" spans="2:36" ht="15.75" x14ac:dyDescent="0.25">
      <c r="B114" s="1341"/>
      <c r="C114" s="6832" t="str">
        <f ca="1">IFERROR('Activation list'!W61,"")</f>
        <v/>
      </c>
      <c r="D114" s="6878"/>
      <c r="E114" s="6878"/>
      <c r="F114" s="6878"/>
      <c r="G114" s="6878"/>
      <c r="H114" s="6879"/>
      <c r="I114" s="6827" t="str">
        <f ca="1">IFERROR(VLOOKUP($C114,'PIP finance'!$C$448:$N$582,2,FALSE),"")</f>
        <v/>
      </c>
      <c r="J114" s="6828"/>
      <c r="K114" s="3715" t="str">
        <f ca="1">IFERROR(VLOOKUP($C114,'PIP finance'!$C$448:$N$582,3,FALSE),"")</f>
        <v/>
      </c>
      <c r="L114" s="3716" t="str">
        <f ca="1">IFERROR(VLOOKUP($C114,'PIP finance'!$C$448:$N$582,4,FALSE),"")</f>
        <v/>
      </c>
      <c r="M114" s="3716" t="str">
        <f ca="1">IFERROR(VLOOKUP($C114,'PIP finance'!$C$448:$N$582,5,FALSE),"")</f>
        <v/>
      </c>
      <c r="N114" s="3716" t="str">
        <f ca="1">IFERROR(VLOOKUP($C114,'PIP finance'!$C$448:$N$582,6,FALSE),"")</f>
        <v/>
      </c>
      <c r="O114" s="3716" t="str">
        <f ca="1">IFERROR(VLOOKUP($C114,'PIP finance'!$C$448:$N$582,7,FALSE),"")</f>
        <v/>
      </c>
      <c r="P114" s="3716" t="str">
        <f ca="1">IFERROR(VLOOKUP($C114,'PIP finance'!$C$448:$N$582,8,FALSE),"")</f>
        <v/>
      </c>
      <c r="Q114" s="3716" t="str">
        <f ca="1">IFERROR(VLOOKUP($C114,'PIP finance'!$C$448:$N$582,9,FALSE),"")</f>
        <v/>
      </c>
      <c r="R114" s="3716" t="str">
        <f ca="1">IFERROR(VLOOKUP($C114,'PIP finance'!$C$448:$N$582,10,FALSE),"")</f>
        <v/>
      </c>
      <c r="S114" s="3716" t="str">
        <f ca="1">IFERROR(VLOOKUP($C114,'PIP finance'!$C$448:$N$582,11,FALSE),"")</f>
        <v/>
      </c>
      <c r="T114" s="3717" t="str">
        <f ca="1">IFERROR(VLOOKUP($C114,'PIP finance'!$C$448:$N$582,12,FALSE),"")</f>
        <v/>
      </c>
      <c r="U114" s="3703" t="str">
        <f ca="1">IFERROR(VLOOKUP($C114,'PIP finance'!$C$448:$S$582,17,FALSE),"")</f>
        <v/>
      </c>
      <c r="V114" s="3705"/>
      <c r="W114" s="3707"/>
      <c r="X114" s="3707"/>
      <c r="Y114" s="3701"/>
      <c r="Z114" s="3702" t="str">
        <f ca="1">IFERROR(VLOOKUP($C114,'PIP finance'!$C$448:$T$582,18,FALSE),"")</f>
        <v/>
      </c>
      <c r="AA114" s="3709" t="str">
        <f t="shared" ca="1" si="5"/>
        <v/>
      </c>
      <c r="AB114" s="3711">
        <f t="shared" ca="1" si="4"/>
        <v>0</v>
      </c>
      <c r="AC114" s="1341"/>
      <c r="AH114" s="1377" t="str">
        <f ca="1">IFERROR('Activation list'!X61,"")</f>
        <v/>
      </c>
      <c r="AI114" s="1377" t="str">
        <f ca="1">IFERROR(VLOOKUP($C114,'PIP finance'!$C$448:$R$582,14,FALSE),"")</f>
        <v/>
      </c>
      <c r="AJ114" s="1377" t="str">
        <f ca="1">IFERROR(VLOOKUP($C114,'PIP finance'!$C$448:$R$582,15,FALSE),"")</f>
        <v/>
      </c>
    </row>
    <row r="115" spans="2:36" ht="15.75" x14ac:dyDescent="0.25">
      <c r="B115" s="1341"/>
      <c r="C115" s="6832" t="str">
        <f ca="1">IFERROR('Activation list'!W62,"")</f>
        <v/>
      </c>
      <c r="D115" s="6878"/>
      <c r="E115" s="6878"/>
      <c r="F115" s="6878"/>
      <c r="G115" s="6878"/>
      <c r="H115" s="6879"/>
      <c r="I115" s="6827" t="str">
        <f ca="1">IFERROR(VLOOKUP($C115,'PIP finance'!$C$448:$N$582,2,FALSE),"")</f>
        <v/>
      </c>
      <c r="J115" s="6828"/>
      <c r="K115" s="3715" t="str">
        <f ca="1">IFERROR(VLOOKUP($C115,'PIP finance'!$C$448:$N$582,3,FALSE),"")</f>
        <v/>
      </c>
      <c r="L115" s="3716" t="str">
        <f ca="1">IFERROR(VLOOKUP($C115,'PIP finance'!$C$448:$N$582,4,FALSE),"")</f>
        <v/>
      </c>
      <c r="M115" s="3716" t="str">
        <f ca="1">IFERROR(VLOOKUP($C115,'PIP finance'!$C$448:$N$582,5,FALSE),"")</f>
        <v/>
      </c>
      <c r="N115" s="3716" t="str">
        <f ca="1">IFERROR(VLOOKUP($C115,'PIP finance'!$C$448:$N$582,6,FALSE),"")</f>
        <v/>
      </c>
      <c r="O115" s="3716" t="str">
        <f ca="1">IFERROR(VLOOKUP($C115,'PIP finance'!$C$448:$N$582,7,FALSE),"")</f>
        <v/>
      </c>
      <c r="P115" s="3716" t="str">
        <f ca="1">IFERROR(VLOOKUP($C115,'PIP finance'!$C$448:$N$582,8,FALSE),"")</f>
        <v/>
      </c>
      <c r="Q115" s="3716" t="str">
        <f ca="1">IFERROR(VLOOKUP($C115,'PIP finance'!$C$448:$N$582,9,FALSE),"")</f>
        <v/>
      </c>
      <c r="R115" s="3716" t="str">
        <f ca="1">IFERROR(VLOOKUP($C115,'PIP finance'!$C$448:$N$582,10,FALSE),"")</f>
        <v/>
      </c>
      <c r="S115" s="3716" t="str">
        <f ca="1">IFERROR(VLOOKUP($C115,'PIP finance'!$C$448:$N$582,11,FALSE),"")</f>
        <v/>
      </c>
      <c r="T115" s="3717" t="str">
        <f ca="1">IFERROR(VLOOKUP($C115,'PIP finance'!$C$448:$N$582,12,FALSE),"")</f>
        <v/>
      </c>
      <c r="U115" s="3703" t="str">
        <f ca="1">IFERROR(VLOOKUP($C115,'PIP finance'!$C$448:$S$582,17,FALSE),"")</f>
        <v/>
      </c>
      <c r="V115" s="3705"/>
      <c r="W115" s="3707"/>
      <c r="X115" s="3707"/>
      <c r="Y115" s="3701"/>
      <c r="Z115" s="3702" t="str">
        <f ca="1">IFERROR(VLOOKUP($C115,'PIP finance'!$C$448:$T$582,18,FALSE),"")</f>
        <v/>
      </c>
      <c r="AA115" s="3709" t="str">
        <f t="shared" ca="1" si="5"/>
        <v/>
      </c>
      <c r="AB115" s="3711">
        <f t="shared" ca="1" si="4"/>
        <v>0</v>
      </c>
      <c r="AC115" s="1341"/>
      <c r="AH115" s="1377" t="str">
        <f ca="1">IFERROR('Activation list'!X62,"")</f>
        <v/>
      </c>
      <c r="AI115" s="1377" t="str">
        <f ca="1">IFERROR(VLOOKUP($C115,'PIP finance'!$C$448:$R$582,14,FALSE),"")</f>
        <v/>
      </c>
      <c r="AJ115" s="1377" t="str">
        <f ca="1">IFERROR(VLOOKUP($C115,'PIP finance'!$C$448:$R$582,15,FALSE),"")</f>
        <v/>
      </c>
    </row>
    <row r="116" spans="2:36" ht="15.75" x14ac:dyDescent="0.25">
      <c r="B116" s="1341"/>
      <c r="C116" s="6832" t="str">
        <f ca="1">IFERROR('Activation list'!W63,"")</f>
        <v/>
      </c>
      <c r="D116" s="6878"/>
      <c r="E116" s="6878"/>
      <c r="F116" s="6878"/>
      <c r="G116" s="6878"/>
      <c r="H116" s="6879"/>
      <c r="I116" s="6827" t="str">
        <f ca="1">IFERROR(VLOOKUP($C116,'PIP finance'!$C$448:$N$582,2,FALSE),"")</f>
        <v/>
      </c>
      <c r="J116" s="6828"/>
      <c r="K116" s="3715" t="str">
        <f ca="1">IFERROR(VLOOKUP($C116,'PIP finance'!$C$448:$N$582,3,FALSE),"")</f>
        <v/>
      </c>
      <c r="L116" s="3716" t="str">
        <f ca="1">IFERROR(VLOOKUP($C116,'PIP finance'!$C$448:$N$582,4,FALSE),"")</f>
        <v/>
      </c>
      <c r="M116" s="3716" t="str">
        <f ca="1">IFERROR(VLOOKUP($C116,'PIP finance'!$C$448:$N$582,5,FALSE),"")</f>
        <v/>
      </c>
      <c r="N116" s="3716" t="str">
        <f ca="1">IFERROR(VLOOKUP($C116,'PIP finance'!$C$448:$N$582,6,FALSE),"")</f>
        <v/>
      </c>
      <c r="O116" s="3716" t="str">
        <f ca="1">IFERROR(VLOOKUP($C116,'PIP finance'!$C$448:$N$582,7,FALSE),"")</f>
        <v/>
      </c>
      <c r="P116" s="3716" t="str">
        <f ca="1">IFERROR(VLOOKUP($C116,'PIP finance'!$C$448:$N$582,8,FALSE),"")</f>
        <v/>
      </c>
      <c r="Q116" s="3716" t="str">
        <f ca="1">IFERROR(VLOOKUP($C116,'PIP finance'!$C$448:$N$582,9,FALSE),"")</f>
        <v/>
      </c>
      <c r="R116" s="3716" t="str">
        <f ca="1">IFERROR(VLOOKUP($C116,'PIP finance'!$C$448:$N$582,10,FALSE),"")</f>
        <v/>
      </c>
      <c r="S116" s="3716" t="str">
        <f ca="1">IFERROR(VLOOKUP($C116,'PIP finance'!$C$448:$N$582,11,FALSE),"")</f>
        <v/>
      </c>
      <c r="T116" s="3717" t="str">
        <f ca="1">IFERROR(VLOOKUP($C116,'PIP finance'!$C$448:$N$582,12,FALSE),"")</f>
        <v/>
      </c>
      <c r="U116" s="3703" t="str">
        <f ca="1">IFERROR(VLOOKUP($C116,'PIP finance'!$C$448:$S$582,17,FALSE),"")</f>
        <v/>
      </c>
      <c r="V116" s="3705"/>
      <c r="W116" s="3707"/>
      <c r="X116" s="3707"/>
      <c r="Y116" s="3701"/>
      <c r="Z116" s="3702" t="str">
        <f ca="1">IFERROR(VLOOKUP($C116,'PIP finance'!$C$448:$T$582,18,FALSE),"")</f>
        <v/>
      </c>
      <c r="AA116" s="3709" t="str">
        <f t="shared" ca="1" si="5"/>
        <v/>
      </c>
      <c r="AB116" s="3711">
        <f t="shared" ca="1" si="4"/>
        <v>0</v>
      </c>
      <c r="AC116" s="1341"/>
      <c r="AH116" s="1377" t="str">
        <f ca="1">IFERROR('Activation list'!X63,"")</f>
        <v/>
      </c>
      <c r="AI116" s="1377" t="str">
        <f ca="1">IFERROR(VLOOKUP($C116,'PIP finance'!$C$448:$R$582,14,FALSE),"")</f>
        <v/>
      </c>
      <c r="AJ116" s="1377" t="str">
        <f ca="1">IFERROR(VLOOKUP($C116,'PIP finance'!$C$448:$R$582,15,FALSE),"")</f>
        <v/>
      </c>
    </row>
    <row r="117" spans="2:36" ht="15.75" x14ac:dyDescent="0.25">
      <c r="B117" s="1341"/>
      <c r="C117" s="6832" t="str">
        <f ca="1">IFERROR('Activation list'!W64,"")</f>
        <v/>
      </c>
      <c r="D117" s="6878"/>
      <c r="E117" s="6878"/>
      <c r="F117" s="6878"/>
      <c r="G117" s="6878"/>
      <c r="H117" s="6879"/>
      <c r="I117" s="6827" t="str">
        <f ca="1">IFERROR(VLOOKUP($C117,'PIP finance'!$C$448:$N$582,2,FALSE),"")</f>
        <v/>
      </c>
      <c r="J117" s="6828"/>
      <c r="K117" s="3715" t="str">
        <f ca="1">IFERROR(VLOOKUP($C117,'PIP finance'!$C$448:$N$582,3,FALSE),"")</f>
        <v/>
      </c>
      <c r="L117" s="3716" t="str">
        <f ca="1">IFERROR(VLOOKUP($C117,'PIP finance'!$C$448:$N$582,4,FALSE),"")</f>
        <v/>
      </c>
      <c r="M117" s="3716" t="str">
        <f ca="1">IFERROR(VLOOKUP($C117,'PIP finance'!$C$448:$N$582,5,FALSE),"")</f>
        <v/>
      </c>
      <c r="N117" s="3716" t="str">
        <f ca="1">IFERROR(VLOOKUP($C117,'PIP finance'!$C$448:$N$582,6,FALSE),"")</f>
        <v/>
      </c>
      <c r="O117" s="3716" t="str">
        <f ca="1">IFERROR(VLOOKUP($C117,'PIP finance'!$C$448:$N$582,7,FALSE),"")</f>
        <v/>
      </c>
      <c r="P117" s="3716" t="str">
        <f ca="1">IFERROR(VLOOKUP($C117,'PIP finance'!$C$448:$N$582,8,FALSE),"")</f>
        <v/>
      </c>
      <c r="Q117" s="3716" t="str">
        <f ca="1">IFERROR(VLOOKUP($C117,'PIP finance'!$C$448:$N$582,9,FALSE),"")</f>
        <v/>
      </c>
      <c r="R117" s="3716" t="str">
        <f ca="1">IFERROR(VLOOKUP($C117,'PIP finance'!$C$448:$N$582,10,FALSE),"")</f>
        <v/>
      </c>
      <c r="S117" s="3716" t="str">
        <f ca="1">IFERROR(VLOOKUP($C117,'PIP finance'!$C$448:$N$582,11,FALSE),"")</f>
        <v/>
      </c>
      <c r="T117" s="3717" t="str">
        <f ca="1">IFERROR(VLOOKUP($C117,'PIP finance'!$C$448:$N$582,12,FALSE),"")</f>
        <v/>
      </c>
      <c r="U117" s="3703" t="str">
        <f ca="1">IFERROR(VLOOKUP($C117,'PIP finance'!$C$448:$S$582,17,FALSE),"")</f>
        <v/>
      </c>
      <c r="V117" s="3705"/>
      <c r="W117" s="3707"/>
      <c r="X117" s="3707"/>
      <c r="Y117" s="3701"/>
      <c r="Z117" s="3702" t="str">
        <f ca="1">IFERROR(VLOOKUP($C117,'PIP finance'!$C$448:$T$582,18,FALSE),"")</f>
        <v/>
      </c>
      <c r="AA117" s="3709" t="str">
        <f t="shared" ca="1" si="5"/>
        <v/>
      </c>
      <c r="AB117" s="3711">
        <f t="shared" ca="1" si="4"/>
        <v>0</v>
      </c>
      <c r="AC117" s="1341"/>
      <c r="AH117" s="1377" t="str">
        <f ca="1">IFERROR('Activation list'!X64,"")</f>
        <v/>
      </c>
      <c r="AI117" s="1377" t="str">
        <f ca="1">IFERROR(VLOOKUP($C117,'PIP finance'!$C$448:$R$582,14,FALSE),"")</f>
        <v/>
      </c>
      <c r="AJ117" s="1377" t="str">
        <f ca="1">IFERROR(VLOOKUP($C117,'PIP finance'!$C$448:$R$582,15,FALSE),"")</f>
        <v/>
      </c>
    </row>
    <row r="118" spans="2:36" ht="15.75" x14ac:dyDescent="0.25">
      <c r="B118" s="1341"/>
      <c r="C118" s="6832" t="str">
        <f ca="1">IFERROR('Activation list'!W65,"")</f>
        <v/>
      </c>
      <c r="D118" s="6878"/>
      <c r="E118" s="6878"/>
      <c r="F118" s="6878"/>
      <c r="G118" s="6878"/>
      <c r="H118" s="6879"/>
      <c r="I118" s="6827" t="str">
        <f ca="1">IFERROR(VLOOKUP($C118,'PIP finance'!$C$448:$N$582,2,FALSE),"")</f>
        <v/>
      </c>
      <c r="J118" s="6828"/>
      <c r="K118" s="3715" t="str">
        <f ca="1">IFERROR(VLOOKUP($C118,'PIP finance'!$C$448:$N$582,3,FALSE),"")</f>
        <v/>
      </c>
      <c r="L118" s="3716" t="str">
        <f ca="1">IFERROR(VLOOKUP($C118,'PIP finance'!$C$448:$N$582,4,FALSE),"")</f>
        <v/>
      </c>
      <c r="M118" s="3716" t="str">
        <f ca="1">IFERROR(VLOOKUP($C118,'PIP finance'!$C$448:$N$582,5,FALSE),"")</f>
        <v/>
      </c>
      <c r="N118" s="3716" t="str">
        <f ca="1">IFERROR(VLOOKUP($C118,'PIP finance'!$C$448:$N$582,6,FALSE),"")</f>
        <v/>
      </c>
      <c r="O118" s="3716" t="str">
        <f ca="1">IFERROR(VLOOKUP($C118,'PIP finance'!$C$448:$N$582,7,FALSE),"")</f>
        <v/>
      </c>
      <c r="P118" s="3716" t="str">
        <f ca="1">IFERROR(VLOOKUP($C118,'PIP finance'!$C$448:$N$582,8,FALSE),"")</f>
        <v/>
      </c>
      <c r="Q118" s="3716" t="str">
        <f ca="1">IFERROR(VLOOKUP($C118,'PIP finance'!$C$448:$N$582,9,FALSE),"")</f>
        <v/>
      </c>
      <c r="R118" s="3716" t="str">
        <f ca="1">IFERROR(VLOOKUP($C118,'PIP finance'!$C$448:$N$582,10,FALSE),"")</f>
        <v/>
      </c>
      <c r="S118" s="3716" t="str">
        <f ca="1">IFERROR(VLOOKUP($C118,'PIP finance'!$C$448:$N$582,11,FALSE),"")</f>
        <v/>
      </c>
      <c r="T118" s="3717" t="str">
        <f ca="1">IFERROR(VLOOKUP($C118,'PIP finance'!$C$448:$N$582,12,FALSE),"")</f>
        <v/>
      </c>
      <c r="U118" s="3703" t="str">
        <f ca="1">IFERROR(VLOOKUP($C118,'PIP finance'!$C$448:$S$582,17,FALSE),"")</f>
        <v/>
      </c>
      <c r="V118" s="3705"/>
      <c r="W118" s="3707"/>
      <c r="X118" s="3707"/>
      <c r="Y118" s="3701"/>
      <c r="Z118" s="3702" t="str">
        <f ca="1">IFERROR(VLOOKUP($C118,'PIP finance'!$C$448:$T$582,18,FALSE),"")</f>
        <v/>
      </c>
      <c r="AA118" s="3709" t="str">
        <f t="shared" ca="1" si="5"/>
        <v/>
      </c>
      <c r="AB118" s="3711">
        <f t="shared" ca="1" si="4"/>
        <v>0</v>
      </c>
      <c r="AC118" s="1341"/>
      <c r="AH118" s="1377" t="str">
        <f ca="1">IFERROR('Activation list'!X65,"")</f>
        <v/>
      </c>
      <c r="AI118" s="1377" t="str">
        <f ca="1">IFERROR(VLOOKUP($C118,'PIP finance'!$C$448:$R$582,14,FALSE),"")</f>
        <v/>
      </c>
      <c r="AJ118" s="1377" t="str">
        <f ca="1">IFERROR(VLOOKUP($C118,'PIP finance'!$C$448:$R$582,15,FALSE),"")</f>
        <v/>
      </c>
    </row>
    <row r="119" spans="2:36" ht="15.75" x14ac:dyDescent="0.25">
      <c r="B119" s="1341"/>
      <c r="C119" s="6832" t="str">
        <f ca="1">IFERROR('Activation list'!W66,"")</f>
        <v/>
      </c>
      <c r="D119" s="6878"/>
      <c r="E119" s="6878"/>
      <c r="F119" s="6878"/>
      <c r="G119" s="6878"/>
      <c r="H119" s="6879"/>
      <c r="I119" s="6827" t="str">
        <f ca="1">IFERROR(VLOOKUP($C119,'PIP finance'!$C$448:$N$582,2,FALSE),"")</f>
        <v/>
      </c>
      <c r="J119" s="6828"/>
      <c r="K119" s="3715" t="str">
        <f ca="1">IFERROR(VLOOKUP($C119,'PIP finance'!$C$448:$N$582,3,FALSE),"")</f>
        <v/>
      </c>
      <c r="L119" s="3716" t="str">
        <f ca="1">IFERROR(VLOOKUP($C119,'PIP finance'!$C$448:$N$582,4,FALSE),"")</f>
        <v/>
      </c>
      <c r="M119" s="3716" t="str">
        <f ca="1">IFERROR(VLOOKUP($C119,'PIP finance'!$C$448:$N$582,5,FALSE),"")</f>
        <v/>
      </c>
      <c r="N119" s="3716" t="str">
        <f ca="1">IFERROR(VLOOKUP($C119,'PIP finance'!$C$448:$N$582,6,FALSE),"")</f>
        <v/>
      </c>
      <c r="O119" s="3716" t="str">
        <f ca="1">IFERROR(VLOOKUP($C119,'PIP finance'!$C$448:$N$582,7,FALSE),"")</f>
        <v/>
      </c>
      <c r="P119" s="3716" t="str">
        <f ca="1">IFERROR(VLOOKUP($C119,'PIP finance'!$C$448:$N$582,8,FALSE),"")</f>
        <v/>
      </c>
      <c r="Q119" s="3716" t="str">
        <f ca="1">IFERROR(VLOOKUP($C119,'PIP finance'!$C$448:$N$582,9,FALSE),"")</f>
        <v/>
      </c>
      <c r="R119" s="3716" t="str">
        <f ca="1">IFERROR(VLOOKUP($C119,'PIP finance'!$C$448:$N$582,10,FALSE),"")</f>
        <v/>
      </c>
      <c r="S119" s="3716" t="str">
        <f ca="1">IFERROR(VLOOKUP($C119,'PIP finance'!$C$448:$N$582,11,FALSE),"")</f>
        <v/>
      </c>
      <c r="T119" s="3717" t="str">
        <f ca="1">IFERROR(VLOOKUP($C119,'PIP finance'!$C$448:$N$582,12,FALSE),"")</f>
        <v/>
      </c>
      <c r="U119" s="3703" t="str">
        <f ca="1">IFERROR(VLOOKUP($C119,'PIP finance'!$C$448:$S$582,17,FALSE),"")</f>
        <v/>
      </c>
      <c r="V119" s="3705"/>
      <c r="W119" s="3707"/>
      <c r="X119" s="3707"/>
      <c r="Y119" s="3701"/>
      <c r="Z119" s="3702" t="str">
        <f ca="1">IFERROR(VLOOKUP($C119,'PIP finance'!$C$448:$T$582,18,FALSE),"")</f>
        <v/>
      </c>
      <c r="AA119" s="3709" t="str">
        <f t="shared" ca="1" si="5"/>
        <v/>
      </c>
      <c r="AB119" s="3711">
        <f t="shared" ca="1" si="4"/>
        <v>0</v>
      </c>
      <c r="AC119" s="1341"/>
      <c r="AH119" s="1377" t="str">
        <f ca="1">IFERROR('Activation list'!X66,"")</f>
        <v/>
      </c>
      <c r="AI119" s="1377" t="str">
        <f ca="1">IFERROR(VLOOKUP($C119,'PIP finance'!$C$448:$R$582,14,FALSE),"")</f>
        <v/>
      </c>
      <c r="AJ119" s="1377" t="str">
        <f ca="1">IFERROR(VLOOKUP($C119,'PIP finance'!$C$448:$R$582,15,FALSE),"")</f>
        <v/>
      </c>
    </row>
    <row r="120" spans="2:36" ht="15.75" x14ac:dyDescent="0.25">
      <c r="B120" s="1341"/>
      <c r="C120" s="6832" t="str">
        <f ca="1">IFERROR('Activation list'!W67,"")</f>
        <v/>
      </c>
      <c r="D120" s="6878"/>
      <c r="E120" s="6878"/>
      <c r="F120" s="6878"/>
      <c r="G120" s="6878"/>
      <c r="H120" s="6879"/>
      <c r="I120" s="6827" t="str">
        <f ca="1">IFERROR(VLOOKUP($C120,'PIP finance'!$C$448:$N$582,2,FALSE),"")</f>
        <v/>
      </c>
      <c r="J120" s="6828"/>
      <c r="K120" s="3715" t="str">
        <f ca="1">IFERROR(VLOOKUP($C120,'PIP finance'!$C$448:$N$582,3,FALSE),"")</f>
        <v/>
      </c>
      <c r="L120" s="3716" t="str">
        <f ca="1">IFERROR(VLOOKUP($C120,'PIP finance'!$C$448:$N$582,4,FALSE),"")</f>
        <v/>
      </c>
      <c r="M120" s="3716" t="str">
        <f ca="1">IFERROR(VLOOKUP($C120,'PIP finance'!$C$448:$N$582,5,FALSE),"")</f>
        <v/>
      </c>
      <c r="N120" s="3716" t="str">
        <f ca="1">IFERROR(VLOOKUP($C120,'PIP finance'!$C$448:$N$582,6,FALSE),"")</f>
        <v/>
      </c>
      <c r="O120" s="3716" t="str">
        <f ca="1">IFERROR(VLOOKUP($C120,'PIP finance'!$C$448:$N$582,7,FALSE),"")</f>
        <v/>
      </c>
      <c r="P120" s="3716" t="str">
        <f ca="1">IFERROR(VLOOKUP($C120,'PIP finance'!$C$448:$N$582,8,FALSE),"")</f>
        <v/>
      </c>
      <c r="Q120" s="3716" t="str">
        <f ca="1">IFERROR(VLOOKUP($C120,'PIP finance'!$C$448:$N$582,9,FALSE),"")</f>
        <v/>
      </c>
      <c r="R120" s="3716" t="str">
        <f ca="1">IFERROR(VLOOKUP($C120,'PIP finance'!$C$448:$N$582,10,FALSE),"")</f>
        <v/>
      </c>
      <c r="S120" s="3716" t="str">
        <f ca="1">IFERROR(VLOOKUP($C120,'PIP finance'!$C$448:$N$582,11,FALSE),"")</f>
        <v/>
      </c>
      <c r="T120" s="3717" t="str">
        <f ca="1">IFERROR(VLOOKUP($C120,'PIP finance'!$C$448:$N$582,12,FALSE),"")</f>
        <v/>
      </c>
      <c r="U120" s="3703" t="str">
        <f ca="1">IFERROR(VLOOKUP($C120,'PIP finance'!$C$448:$S$582,17,FALSE),"")</f>
        <v/>
      </c>
      <c r="V120" s="3705"/>
      <c r="W120" s="3707"/>
      <c r="X120" s="3707"/>
      <c r="Y120" s="3701"/>
      <c r="Z120" s="3702" t="str">
        <f ca="1">IFERROR(VLOOKUP($C120,'PIP finance'!$C$448:$T$582,18,FALSE),"")</f>
        <v/>
      </c>
      <c r="AA120" s="3709" t="str">
        <f t="shared" ref="AA120:AA151" ca="1" si="6">IF(C120&lt;&gt;"",1-SUM(V120:Z120),"")</f>
        <v/>
      </c>
      <c r="AB120" s="3711">
        <f t="shared" ca="1" si="4"/>
        <v>0</v>
      </c>
      <c r="AC120" s="1341"/>
      <c r="AH120" s="1377" t="str">
        <f ca="1">IFERROR('Activation list'!X67,"")</f>
        <v/>
      </c>
      <c r="AI120" s="1377" t="str">
        <f ca="1">IFERROR(VLOOKUP($C120,'PIP finance'!$C$448:$R$582,14,FALSE),"")</f>
        <v/>
      </c>
      <c r="AJ120" s="1377" t="str">
        <f ca="1">IFERROR(VLOOKUP($C120,'PIP finance'!$C$448:$R$582,15,FALSE),"")</f>
        <v/>
      </c>
    </row>
    <row r="121" spans="2:36" ht="15.75" x14ac:dyDescent="0.25">
      <c r="B121" s="1341"/>
      <c r="C121" s="6832" t="str">
        <f ca="1">IFERROR('Activation list'!W68,"")</f>
        <v/>
      </c>
      <c r="D121" s="6878"/>
      <c r="E121" s="6878"/>
      <c r="F121" s="6878"/>
      <c r="G121" s="6878"/>
      <c r="H121" s="6879"/>
      <c r="I121" s="6827" t="str">
        <f ca="1">IFERROR(VLOOKUP($C121,'PIP finance'!$C$448:$N$582,2,FALSE),"")</f>
        <v/>
      </c>
      <c r="J121" s="6828"/>
      <c r="K121" s="3715" t="str">
        <f ca="1">IFERROR(VLOOKUP($C121,'PIP finance'!$C$448:$N$582,3,FALSE),"")</f>
        <v/>
      </c>
      <c r="L121" s="3716" t="str">
        <f ca="1">IFERROR(VLOOKUP($C121,'PIP finance'!$C$448:$N$582,4,FALSE),"")</f>
        <v/>
      </c>
      <c r="M121" s="3716" t="str">
        <f ca="1">IFERROR(VLOOKUP($C121,'PIP finance'!$C$448:$N$582,5,FALSE),"")</f>
        <v/>
      </c>
      <c r="N121" s="3716" t="str">
        <f ca="1">IFERROR(VLOOKUP($C121,'PIP finance'!$C$448:$N$582,6,FALSE),"")</f>
        <v/>
      </c>
      <c r="O121" s="3716" t="str">
        <f ca="1">IFERROR(VLOOKUP($C121,'PIP finance'!$C$448:$N$582,7,FALSE),"")</f>
        <v/>
      </c>
      <c r="P121" s="3716" t="str">
        <f ca="1">IFERROR(VLOOKUP($C121,'PIP finance'!$C$448:$N$582,8,FALSE),"")</f>
        <v/>
      </c>
      <c r="Q121" s="3716" t="str">
        <f ca="1">IFERROR(VLOOKUP($C121,'PIP finance'!$C$448:$N$582,9,FALSE),"")</f>
        <v/>
      </c>
      <c r="R121" s="3716" t="str">
        <f ca="1">IFERROR(VLOOKUP($C121,'PIP finance'!$C$448:$N$582,10,FALSE),"")</f>
        <v/>
      </c>
      <c r="S121" s="3716" t="str">
        <f ca="1">IFERROR(VLOOKUP($C121,'PIP finance'!$C$448:$N$582,11,FALSE),"")</f>
        <v/>
      </c>
      <c r="T121" s="3717" t="str">
        <f ca="1">IFERROR(VLOOKUP($C121,'PIP finance'!$C$448:$N$582,12,FALSE),"")</f>
        <v/>
      </c>
      <c r="U121" s="3703" t="str">
        <f ca="1">IFERROR(VLOOKUP($C121,'PIP finance'!$C$448:$S$582,17,FALSE),"")</f>
        <v/>
      </c>
      <c r="V121" s="3705"/>
      <c r="W121" s="3707"/>
      <c r="X121" s="3707"/>
      <c r="Y121" s="3701"/>
      <c r="Z121" s="3702" t="str">
        <f ca="1">IFERROR(VLOOKUP($C121,'PIP finance'!$C$448:$T$582,18,FALSE),"")</f>
        <v/>
      </c>
      <c r="AA121" s="3709" t="str">
        <f t="shared" ca="1" si="6"/>
        <v/>
      </c>
      <c r="AB121" s="3711">
        <f t="shared" ref="AB121:AB171" ca="1" si="7">IFERROR(AA121*U121,0)</f>
        <v>0</v>
      </c>
      <c r="AC121" s="1341"/>
      <c r="AH121" s="1377" t="str">
        <f ca="1">IFERROR('Activation list'!X68,"")</f>
        <v/>
      </c>
      <c r="AI121" s="1377" t="str">
        <f ca="1">IFERROR(VLOOKUP($C121,'PIP finance'!$C$448:$R$582,14,FALSE),"")</f>
        <v/>
      </c>
      <c r="AJ121" s="1377" t="str">
        <f ca="1">IFERROR(VLOOKUP($C121,'PIP finance'!$C$448:$R$582,15,FALSE),"")</f>
        <v/>
      </c>
    </row>
    <row r="122" spans="2:36" ht="15.75" x14ac:dyDescent="0.25">
      <c r="B122" s="1341"/>
      <c r="C122" s="6832" t="str">
        <f ca="1">IFERROR('Activation list'!W69,"")</f>
        <v/>
      </c>
      <c r="D122" s="6878"/>
      <c r="E122" s="6878"/>
      <c r="F122" s="6878"/>
      <c r="G122" s="6878"/>
      <c r="H122" s="6879"/>
      <c r="I122" s="6827" t="str">
        <f ca="1">IFERROR(VLOOKUP($C122,'PIP finance'!$C$448:$N$582,2,FALSE),"")</f>
        <v/>
      </c>
      <c r="J122" s="6828"/>
      <c r="K122" s="3715" t="str">
        <f ca="1">IFERROR(VLOOKUP($C122,'PIP finance'!$C$448:$N$582,3,FALSE),"")</f>
        <v/>
      </c>
      <c r="L122" s="3716" t="str">
        <f ca="1">IFERROR(VLOOKUP($C122,'PIP finance'!$C$448:$N$582,4,FALSE),"")</f>
        <v/>
      </c>
      <c r="M122" s="3716" t="str">
        <f ca="1">IFERROR(VLOOKUP($C122,'PIP finance'!$C$448:$N$582,5,FALSE),"")</f>
        <v/>
      </c>
      <c r="N122" s="3716" t="str">
        <f ca="1">IFERROR(VLOOKUP($C122,'PIP finance'!$C$448:$N$582,6,FALSE),"")</f>
        <v/>
      </c>
      <c r="O122" s="3716" t="str">
        <f ca="1">IFERROR(VLOOKUP($C122,'PIP finance'!$C$448:$N$582,7,FALSE),"")</f>
        <v/>
      </c>
      <c r="P122" s="3716" t="str">
        <f ca="1">IFERROR(VLOOKUP($C122,'PIP finance'!$C$448:$N$582,8,FALSE),"")</f>
        <v/>
      </c>
      <c r="Q122" s="3716" t="str">
        <f ca="1">IFERROR(VLOOKUP($C122,'PIP finance'!$C$448:$N$582,9,FALSE),"")</f>
        <v/>
      </c>
      <c r="R122" s="3716" t="str">
        <f ca="1">IFERROR(VLOOKUP($C122,'PIP finance'!$C$448:$N$582,10,FALSE),"")</f>
        <v/>
      </c>
      <c r="S122" s="3716" t="str">
        <f ca="1">IFERROR(VLOOKUP($C122,'PIP finance'!$C$448:$N$582,11,FALSE),"")</f>
        <v/>
      </c>
      <c r="T122" s="3717" t="str">
        <f ca="1">IFERROR(VLOOKUP($C122,'PIP finance'!$C$448:$N$582,11,FALSE),"")</f>
        <v/>
      </c>
      <c r="U122" s="3703" t="str">
        <f ca="1">IFERROR(VLOOKUP($C122,'PIP finance'!$C$448:$S$582,17,FALSE),"")</f>
        <v/>
      </c>
      <c r="V122" s="3705"/>
      <c r="W122" s="3707"/>
      <c r="X122" s="3707"/>
      <c r="Y122" s="3701"/>
      <c r="Z122" s="3702" t="str">
        <f ca="1">IFERROR(VLOOKUP($C122,'PIP finance'!$C$448:$T$582,18,FALSE),"")</f>
        <v/>
      </c>
      <c r="AA122" s="3709" t="str">
        <f t="shared" ca="1" si="6"/>
        <v/>
      </c>
      <c r="AB122" s="3711">
        <f t="shared" ca="1" si="7"/>
        <v>0</v>
      </c>
      <c r="AC122" s="1341"/>
      <c r="AH122" s="1377" t="str">
        <f ca="1">IFERROR('Activation list'!X69,"")</f>
        <v/>
      </c>
      <c r="AI122" s="1377" t="str">
        <f ca="1">IFERROR(VLOOKUP($C122,'PIP finance'!$C$448:$R$582,14,FALSE),"")</f>
        <v/>
      </c>
      <c r="AJ122" s="1377" t="str">
        <f ca="1">IFERROR(VLOOKUP($C122,'PIP finance'!$C$448:$R$582,15,FALSE),"")</f>
        <v/>
      </c>
    </row>
    <row r="123" spans="2:36" ht="15.75" x14ac:dyDescent="0.25">
      <c r="B123" s="1341"/>
      <c r="C123" s="6832" t="str">
        <f ca="1">IFERROR('Activation list'!W70,"")</f>
        <v/>
      </c>
      <c r="D123" s="6878"/>
      <c r="E123" s="6878"/>
      <c r="F123" s="6878"/>
      <c r="G123" s="6878"/>
      <c r="H123" s="6879"/>
      <c r="I123" s="6827" t="str">
        <f ca="1">IFERROR(VLOOKUP($C123,'PIP finance'!$C$448:$N$582,2,FALSE),"")</f>
        <v/>
      </c>
      <c r="J123" s="6828"/>
      <c r="K123" s="3715" t="str">
        <f ca="1">IFERROR(VLOOKUP($C123,'PIP finance'!$C$448:$N$582,3,FALSE),"")</f>
        <v/>
      </c>
      <c r="L123" s="3716" t="str">
        <f ca="1">IFERROR(VLOOKUP($C123,'PIP finance'!$C$448:$N$582,4,FALSE),"")</f>
        <v/>
      </c>
      <c r="M123" s="3716" t="str">
        <f ca="1">IFERROR(VLOOKUP($C123,'PIP finance'!$C$448:$N$582,5,FALSE),"")</f>
        <v/>
      </c>
      <c r="N123" s="3716" t="str">
        <f ca="1">IFERROR(VLOOKUP($C123,'PIP finance'!$C$448:$N$582,6,FALSE),"")</f>
        <v/>
      </c>
      <c r="O123" s="3716" t="str">
        <f ca="1">IFERROR(VLOOKUP($C123,'PIP finance'!$C$448:$N$582,7,FALSE),"")</f>
        <v/>
      </c>
      <c r="P123" s="3716" t="str">
        <f ca="1">IFERROR(VLOOKUP($C123,'PIP finance'!$C$448:$N$582,8,FALSE),"")</f>
        <v/>
      </c>
      <c r="Q123" s="3716" t="str">
        <f ca="1">IFERROR(VLOOKUP($C123,'PIP finance'!$C$448:$N$582,9,FALSE),"")</f>
        <v/>
      </c>
      <c r="R123" s="3716" t="str">
        <f ca="1">IFERROR(VLOOKUP($C123,'PIP finance'!$C$448:$N$582,10,FALSE),"")</f>
        <v/>
      </c>
      <c r="S123" s="3716" t="str">
        <f ca="1">IFERROR(VLOOKUP($C123,'PIP finance'!$C$448:$N$582,11,FALSE),"")</f>
        <v/>
      </c>
      <c r="T123" s="3717" t="str">
        <f ca="1">IFERROR(VLOOKUP($C123,'PIP finance'!$C$448:$N$582,11,FALSE),"")</f>
        <v/>
      </c>
      <c r="U123" s="3703" t="str">
        <f ca="1">IFERROR(VLOOKUP($C123,'PIP finance'!$C$448:$S$582,17,FALSE),"")</f>
        <v/>
      </c>
      <c r="V123" s="3705"/>
      <c r="W123" s="3707"/>
      <c r="X123" s="3707"/>
      <c r="Y123" s="3701"/>
      <c r="Z123" s="3702" t="str">
        <f ca="1">IFERROR(VLOOKUP($C123,'PIP finance'!$C$448:$T$582,18,FALSE),"")</f>
        <v/>
      </c>
      <c r="AA123" s="3709" t="str">
        <f t="shared" ca="1" si="6"/>
        <v/>
      </c>
      <c r="AB123" s="3711">
        <f t="shared" ca="1" si="7"/>
        <v>0</v>
      </c>
      <c r="AC123" s="1341"/>
      <c r="AH123" s="1377" t="str">
        <f ca="1">IFERROR('Activation list'!X70,"")</f>
        <v/>
      </c>
      <c r="AI123" s="1377" t="str">
        <f ca="1">IFERROR(VLOOKUP($C123,'PIP finance'!$C$448:$R$582,14,FALSE),"")</f>
        <v/>
      </c>
      <c r="AJ123" s="1377" t="str">
        <f ca="1">IFERROR(VLOOKUP($C123,'PIP finance'!$C$448:$R$582,15,FALSE),"")</f>
        <v/>
      </c>
    </row>
    <row r="124" spans="2:36" ht="15.75" x14ac:dyDescent="0.25">
      <c r="B124" s="1341"/>
      <c r="C124" s="6832" t="str">
        <f ca="1">IFERROR('Activation list'!W71,"")</f>
        <v/>
      </c>
      <c r="D124" s="6878"/>
      <c r="E124" s="6878"/>
      <c r="F124" s="6878"/>
      <c r="G124" s="6878"/>
      <c r="H124" s="6879"/>
      <c r="I124" s="6827" t="str">
        <f ca="1">IFERROR(VLOOKUP($C124,'PIP finance'!$C$448:$N$582,2,FALSE),"")</f>
        <v/>
      </c>
      <c r="J124" s="6828"/>
      <c r="K124" s="3715" t="str">
        <f ca="1">IFERROR(VLOOKUP($C124,'PIP finance'!$C$448:$N$582,3,FALSE),"")</f>
        <v/>
      </c>
      <c r="L124" s="3716" t="str">
        <f ca="1">IFERROR(VLOOKUP($C124,'PIP finance'!$C$448:$N$582,4,FALSE),"")</f>
        <v/>
      </c>
      <c r="M124" s="3716" t="str">
        <f ca="1">IFERROR(VLOOKUP($C124,'PIP finance'!$C$448:$N$582,5,FALSE),"")</f>
        <v/>
      </c>
      <c r="N124" s="3716" t="str">
        <f ca="1">IFERROR(VLOOKUP($C124,'PIP finance'!$C$448:$N$582,6,FALSE),"")</f>
        <v/>
      </c>
      <c r="O124" s="3716" t="str">
        <f ca="1">IFERROR(VLOOKUP($C124,'PIP finance'!$C$448:$N$582,7,FALSE),"")</f>
        <v/>
      </c>
      <c r="P124" s="3716" t="str">
        <f ca="1">IFERROR(VLOOKUP($C124,'PIP finance'!$C$448:$N$582,8,FALSE),"")</f>
        <v/>
      </c>
      <c r="Q124" s="3716" t="str">
        <f ca="1">IFERROR(VLOOKUP($C124,'PIP finance'!$C$448:$N$582,9,FALSE),"")</f>
        <v/>
      </c>
      <c r="R124" s="3716" t="str">
        <f ca="1">IFERROR(VLOOKUP($C124,'PIP finance'!$C$448:$N$582,10,FALSE),"")</f>
        <v/>
      </c>
      <c r="S124" s="3716" t="str">
        <f ca="1">IFERROR(VLOOKUP($C124,'PIP finance'!$C$448:$N$582,11,FALSE),"")</f>
        <v/>
      </c>
      <c r="T124" s="3717" t="str">
        <f ca="1">IFERROR(VLOOKUP($C124,'PIP finance'!$C$448:$N$582,11,FALSE),"")</f>
        <v/>
      </c>
      <c r="U124" s="3703" t="str">
        <f ca="1">IFERROR(VLOOKUP($C124,'PIP finance'!$C$448:$S$582,17,FALSE),"")</f>
        <v/>
      </c>
      <c r="V124" s="3705"/>
      <c r="W124" s="3707"/>
      <c r="X124" s="3707"/>
      <c r="Y124" s="3701"/>
      <c r="Z124" s="3702" t="str">
        <f ca="1">IFERROR(VLOOKUP($C124,'PIP finance'!$C$448:$T$582,18,FALSE),"")</f>
        <v/>
      </c>
      <c r="AA124" s="3709" t="str">
        <f t="shared" ca="1" si="6"/>
        <v/>
      </c>
      <c r="AB124" s="3711">
        <f t="shared" ca="1" si="7"/>
        <v>0</v>
      </c>
      <c r="AC124" s="1341"/>
      <c r="AH124" s="1377" t="str">
        <f ca="1">IFERROR('Activation list'!X71,"")</f>
        <v/>
      </c>
      <c r="AI124" s="1377" t="str">
        <f ca="1">IFERROR(VLOOKUP($C124,'PIP finance'!$C$448:$R$582,14,FALSE),"")</f>
        <v/>
      </c>
      <c r="AJ124" s="1377" t="str">
        <f ca="1">IFERROR(VLOOKUP($C124,'PIP finance'!$C$448:$R$582,15,FALSE),"")</f>
        <v/>
      </c>
    </row>
    <row r="125" spans="2:36" ht="15.75" x14ac:dyDescent="0.25">
      <c r="B125" s="1341"/>
      <c r="C125" s="6832" t="str">
        <f ca="1">IFERROR('Activation list'!W72,"")</f>
        <v/>
      </c>
      <c r="D125" s="6878"/>
      <c r="E125" s="6878"/>
      <c r="F125" s="6878"/>
      <c r="G125" s="6878"/>
      <c r="H125" s="6879"/>
      <c r="I125" s="6827" t="str">
        <f ca="1">IFERROR(VLOOKUP($C125,'PIP finance'!$C$448:$N$582,2,FALSE),"")</f>
        <v/>
      </c>
      <c r="J125" s="6828"/>
      <c r="K125" s="3715" t="str">
        <f ca="1">IFERROR(VLOOKUP($C125,'PIP finance'!$C$448:$N$582,3,FALSE),"")</f>
        <v/>
      </c>
      <c r="L125" s="3716" t="str">
        <f ca="1">IFERROR(VLOOKUP($C125,'PIP finance'!$C$448:$N$582,4,FALSE),"")</f>
        <v/>
      </c>
      <c r="M125" s="3716" t="str">
        <f ca="1">IFERROR(VLOOKUP($C125,'PIP finance'!$C$448:$N$582,5,FALSE),"")</f>
        <v/>
      </c>
      <c r="N125" s="3716" t="str">
        <f ca="1">IFERROR(VLOOKUP($C125,'PIP finance'!$C$448:$N$582,6,FALSE),"")</f>
        <v/>
      </c>
      <c r="O125" s="3716" t="str">
        <f ca="1">IFERROR(VLOOKUP($C125,'PIP finance'!$C$448:$N$582,7,FALSE),"")</f>
        <v/>
      </c>
      <c r="P125" s="3716" t="str">
        <f ca="1">IFERROR(VLOOKUP($C125,'PIP finance'!$C$448:$N$582,8,FALSE),"")</f>
        <v/>
      </c>
      <c r="Q125" s="3716" t="str">
        <f ca="1">IFERROR(VLOOKUP($C125,'PIP finance'!$C$448:$N$582,9,FALSE),"")</f>
        <v/>
      </c>
      <c r="R125" s="3716" t="str">
        <f ca="1">IFERROR(VLOOKUP($C125,'PIP finance'!$C$448:$N$582,10,FALSE),"")</f>
        <v/>
      </c>
      <c r="S125" s="3716" t="str">
        <f ca="1">IFERROR(VLOOKUP($C125,'PIP finance'!$C$448:$N$582,11,FALSE),"")</f>
        <v/>
      </c>
      <c r="T125" s="3717" t="str">
        <f ca="1">IFERROR(VLOOKUP($C125,'PIP finance'!$C$448:$N$582,11,FALSE),"")</f>
        <v/>
      </c>
      <c r="U125" s="3703" t="str">
        <f ca="1">IFERROR(VLOOKUP($C125,'PIP finance'!$C$448:$S$582,17,FALSE),"")</f>
        <v/>
      </c>
      <c r="V125" s="3705"/>
      <c r="W125" s="3707"/>
      <c r="X125" s="3707"/>
      <c r="Y125" s="3701"/>
      <c r="Z125" s="3702" t="str">
        <f ca="1">IFERROR(VLOOKUP($C125,'PIP finance'!$C$448:$T$582,18,FALSE),"")</f>
        <v/>
      </c>
      <c r="AA125" s="3709" t="str">
        <f t="shared" ca="1" si="6"/>
        <v/>
      </c>
      <c r="AB125" s="3711">
        <f t="shared" ca="1" si="7"/>
        <v>0</v>
      </c>
      <c r="AC125" s="1341"/>
      <c r="AH125" s="1377" t="str">
        <f ca="1">IFERROR('Activation list'!X72,"")</f>
        <v/>
      </c>
      <c r="AI125" s="1377" t="str">
        <f ca="1">IFERROR(VLOOKUP($C125,'PIP finance'!$C$448:$R$582,14,FALSE),"")</f>
        <v/>
      </c>
      <c r="AJ125" s="1377" t="str">
        <f ca="1">IFERROR(VLOOKUP($C125,'PIP finance'!$C$448:$R$582,15,FALSE),"")</f>
        <v/>
      </c>
    </row>
    <row r="126" spans="2:36" ht="15.75" x14ac:dyDescent="0.25">
      <c r="B126" s="1341"/>
      <c r="C126" s="6832" t="str">
        <f ca="1">IFERROR('Activation list'!W73,"")</f>
        <v/>
      </c>
      <c r="D126" s="6878"/>
      <c r="E126" s="6878"/>
      <c r="F126" s="6878"/>
      <c r="G126" s="6878"/>
      <c r="H126" s="6879"/>
      <c r="I126" s="6827" t="str">
        <f ca="1">IFERROR(VLOOKUP($C126,'PIP finance'!$C$448:$N$582,2,FALSE),"")</f>
        <v/>
      </c>
      <c r="J126" s="6828"/>
      <c r="K126" s="3715" t="str">
        <f ca="1">IFERROR(VLOOKUP($C126,'PIP finance'!$C$448:$N$582,3,FALSE),"")</f>
        <v/>
      </c>
      <c r="L126" s="3716" t="str">
        <f ca="1">IFERROR(VLOOKUP($C126,'PIP finance'!$C$448:$N$582,4,FALSE),"")</f>
        <v/>
      </c>
      <c r="M126" s="3716" t="str">
        <f ca="1">IFERROR(VLOOKUP($C126,'PIP finance'!$C$448:$N$582,5,FALSE),"")</f>
        <v/>
      </c>
      <c r="N126" s="3716" t="str">
        <f ca="1">IFERROR(VLOOKUP($C126,'PIP finance'!$C$448:$N$582,6,FALSE),"")</f>
        <v/>
      </c>
      <c r="O126" s="3716" t="str">
        <f ca="1">IFERROR(VLOOKUP($C126,'PIP finance'!$C$448:$N$582,7,FALSE),"")</f>
        <v/>
      </c>
      <c r="P126" s="3716" t="str">
        <f ca="1">IFERROR(VLOOKUP($C126,'PIP finance'!$C$448:$N$582,8,FALSE),"")</f>
        <v/>
      </c>
      <c r="Q126" s="3716" t="str">
        <f ca="1">IFERROR(VLOOKUP($C126,'PIP finance'!$C$448:$N$582,9,FALSE),"")</f>
        <v/>
      </c>
      <c r="R126" s="3716" t="str">
        <f ca="1">IFERROR(VLOOKUP($C126,'PIP finance'!$C$448:$N$582,10,FALSE),"")</f>
        <v/>
      </c>
      <c r="S126" s="3716" t="str">
        <f ca="1">IFERROR(VLOOKUP($C126,'PIP finance'!$C$448:$N$582,11,FALSE),"")</f>
        <v/>
      </c>
      <c r="T126" s="3717" t="str">
        <f ca="1">IFERROR(VLOOKUP($C126,'PIP finance'!$C$448:$N$582,11,FALSE),"")</f>
        <v/>
      </c>
      <c r="U126" s="3703" t="str">
        <f ca="1">IFERROR(VLOOKUP($C126,'PIP finance'!$C$448:$S$582,17,FALSE),"")</f>
        <v/>
      </c>
      <c r="V126" s="3705"/>
      <c r="W126" s="3707"/>
      <c r="X126" s="3707"/>
      <c r="Y126" s="3701"/>
      <c r="Z126" s="3702" t="str">
        <f ca="1">IFERROR(VLOOKUP($C126,'PIP finance'!$C$448:$T$582,18,FALSE),"")</f>
        <v/>
      </c>
      <c r="AA126" s="3709" t="str">
        <f t="shared" ca="1" si="6"/>
        <v/>
      </c>
      <c r="AB126" s="3711">
        <f t="shared" ca="1" si="7"/>
        <v>0</v>
      </c>
      <c r="AC126" s="1341"/>
      <c r="AH126" s="1377" t="str">
        <f ca="1">IFERROR('Activation list'!X73,"")</f>
        <v/>
      </c>
      <c r="AI126" s="1377" t="str">
        <f ca="1">IFERROR(VLOOKUP($C126,'PIP finance'!$C$448:$R$582,14,FALSE),"")</f>
        <v/>
      </c>
      <c r="AJ126" s="1377" t="str">
        <f ca="1">IFERROR(VLOOKUP($C126,'PIP finance'!$C$448:$R$582,15,FALSE),"")</f>
        <v/>
      </c>
    </row>
    <row r="127" spans="2:36" ht="15.75" x14ac:dyDescent="0.25">
      <c r="B127" s="1341"/>
      <c r="C127" s="6832" t="str">
        <f ca="1">IFERROR('Activation list'!W74,"")</f>
        <v/>
      </c>
      <c r="D127" s="6878"/>
      <c r="E127" s="6878"/>
      <c r="F127" s="6878"/>
      <c r="G127" s="6878"/>
      <c r="H127" s="6879"/>
      <c r="I127" s="6827" t="str">
        <f ca="1">IFERROR(VLOOKUP($C127,'PIP finance'!$C$448:$N$582,2,FALSE),"")</f>
        <v/>
      </c>
      <c r="J127" s="6828"/>
      <c r="K127" s="3715" t="str">
        <f ca="1">IFERROR(VLOOKUP($C127,'PIP finance'!$C$448:$N$582,3,FALSE),"")</f>
        <v/>
      </c>
      <c r="L127" s="3716" t="str">
        <f ca="1">IFERROR(VLOOKUP($C127,'PIP finance'!$C$448:$N$582,4,FALSE),"")</f>
        <v/>
      </c>
      <c r="M127" s="3716" t="str">
        <f ca="1">IFERROR(VLOOKUP($C127,'PIP finance'!$C$448:$N$582,5,FALSE),"")</f>
        <v/>
      </c>
      <c r="N127" s="3716" t="str">
        <f ca="1">IFERROR(VLOOKUP($C127,'PIP finance'!$C$448:$N$582,6,FALSE),"")</f>
        <v/>
      </c>
      <c r="O127" s="3716" t="str">
        <f ca="1">IFERROR(VLOOKUP($C127,'PIP finance'!$C$448:$N$582,7,FALSE),"")</f>
        <v/>
      </c>
      <c r="P127" s="3716" t="str">
        <f ca="1">IFERROR(VLOOKUP($C127,'PIP finance'!$C$448:$N$582,8,FALSE),"")</f>
        <v/>
      </c>
      <c r="Q127" s="3716" t="str">
        <f ca="1">IFERROR(VLOOKUP($C127,'PIP finance'!$C$448:$N$582,9,FALSE),"")</f>
        <v/>
      </c>
      <c r="R127" s="3716" t="str">
        <f ca="1">IFERROR(VLOOKUP($C127,'PIP finance'!$C$448:$N$582,10,FALSE),"")</f>
        <v/>
      </c>
      <c r="S127" s="3716" t="str">
        <f ca="1">IFERROR(VLOOKUP($C127,'PIP finance'!$C$448:$N$582,11,FALSE),"")</f>
        <v/>
      </c>
      <c r="T127" s="3717" t="str">
        <f ca="1">IFERROR(VLOOKUP($C127,'PIP finance'!$C$448:$N$582,11,FALSE),"")</f>
        <v/>
      </c>
      <c r="U127" s="3703" t="str">
        <f ca="1">IFERROR(VLOOKUP($C127,'PIP finance'!$C$448:$S$582,17,FALSE),"")</f>
        <v/>
      </c>
      <c r="V127" s="3705"/>
      <c r="W127" s="3707"/>
      <c r="X127" s="3707"/>
      <c r="Y127" s="3701"/>
      <c r="Z127" s="3702" t="str">
        <f ca="1">IFERROR(VLOOKUP($C127,'PIP finance'!$C$448:$T$582,18,FALSE),"")</f>
        <v/>
      </c>
      <c r="AA127" s="3709" t="str">
        <f t="shared" ca="1" si="6"/>
        <v/>
      </c>
      <c r="AB127" s="3711">
        <f t="shared" ca="1" si="7"/>
        <v>0</v>
      </c>
      <c r="AC127" s="1341"/>
      <c r="AH127" s="1377" t="str">
        <f ca="1">IFERROR('Activation list'!X74,"")</f>
        <v/>
      </c>
      <c r="AI127" s="1377" t="str">
        <f ca="1">IFERROR(VLOOKUP($C127,'PIP finance'!$C$448:$R$582,14,FALSE),"")</f>
        <v/>
      </c>
      <c r="AJ127" s="1377" t="str">
        <f ca="1">IFERROR(VLOOKUP($C127,'PIP finance'!$C$448:$R$582,15,FALSE),"")</f>
        <v/>
      </c>
    </row>
    <row r="128" spans="2:36" ht="15.75" x14ac:dyDescent="0.25">
      <c r="B128" s="1341"/>
      <c r="C128" s="6832" t="str">
        <f ca="1">IFERROR('Activation list'!W75,"")</f>
        <v/>
      </c>
      <c r="D128" s="6878"/>
      <c r="E128" s="6878"/>
      <c r="F128" s="6878"/>
      <c r="G128" s="6878"/>
      <c r="H128" s="6879"/>
      <c r="I128" s="6827" t="str">
        <f ca="1">IFERROR(VLOOKUP($C128,'PIP finance'!$C$448:$N$582,2,FALSE),"")</f>
        <v/>
      </c>
      <c r="J128" s="6828"/>
      <c r="K128" s="3715" t="str">
        <f ca="1">IFERROR(VLOOKUP($C128,'PIP finance'!$C$448:$N$582,3,FALSE),"")</f>
        <v/>
      </c>
      <c r="L128" s="3716" t="str">
        <f ca="1">IFERROR(VLOOKUP($C128,'PIP finance'!$C$448:$N$582,4,FALSE),"")</f>
        <v/>
      </c>
      <c r="M128" s="3716" t="str">
        <f ca="1">IFERROR(VLOOKUP($C128,'PIP finance'!$C$448:$N$582,5,FALSE),"")</f>
        <v/>
      </c>
      <c r="N128" s="3716" t="str">
        <f ca="1">IFERROR(VLOOKUP($C128,'PIP finance'!$C$448:$N$582,6,FALSE),"")</f>
        <v/>
      </c>
      <c r="O128" s="3716" t="str">
        <f ca="1">IFERROR(VLOOKUP($C128,'PIP finance'!$C$448:$N$582,7,FALSE),"")</f>
        <v/>
      </c>
      <c r="P128" s="3716" t="str">
        <f ca="1">IFERROR(VLOOKUP($C128,'PIP finance'!$C$448:$N$582,8,FALSE),"")</f>
        <v/>
      </c>
      <c r="Q128" s="3716" t="str">
        <f ca="1">IFERROR(VLOOKUP($C128,'PIP finance'!$C$448:$N$582,9,FALSE),"")</f>
        <v/>
      </c>
      <c r="R128" s="3716" t="str">
        <f ca="1">IFERROR(VLOOKUP($C128,'PIP finance'!$C$448:$N$582,10,FALSE),"")</f>
        <v/>
      </c>
      <c r="S128" s="3716" t="str">
        <f ca="1">IFERROR(VLOOKUP($C128,'PIP finance'!$C$448:$N$582,11,FALSE),"")</f>
        <v/>
      </c>
      <c r="T128" s="3717" t="str">
        <f ca="1">IFERROR(VLOOKUP($C128,'PIP finance'!$C$448:$N$582,11,FALSE),"")</f>
        <v/>
      </c>
      <c r="U128" s="3703" t="str">
        <f ca="1">IFERROR(VLOOKUP($C128,'PIP finance'!$C$448:$S$582,17,FALSE),"")</f>
        <v/>
      </c>
      <c r="V128" s="3705"/>
      <c r="W128" s="3707"/>
      <c r="X128" s="3707"/>
      <c r="Y128" s="3701"/>
      <c r="Z128" s="3702" t="str">
        <f ca="1">IFERROR(VLOOKUP($C128,'PIP finance'!$C$448:$T$582,18,FALSE),"")</f>
        <v/>
      </c>
      <c r="AA128" s="3709" t="str">
        <f t="shared" ca="1" si="6"/>
        <v/>
      </c>
      <c r="AB128" s="3711">
        <f t="shared" ca="1" si="7"/>
        <v>0</v>
      </c>
      <c r="AC128" s="1341"/>
      <c r="AH128" s="1377" t="str">
        <f ca="1">IFERROR('Activation list'!X75,"")</f>
        <v/>
      </c>
      <c r="AI128" s="1377" t="str">
        <f ca="1">IFERROR(VLOOKUP($C128,'PIP finance'!$C$448:$R$582,14,FALSE),"")</f>
        <v/>
      </c>
      <c r="AJ128" s="1377" t="str">
        <f ca="1">IFERROR(VLOOKUP($C128,'PIP finance'!$C$448:$R$582,15,FALSE),"")</f>
        <v/>
      </c>
    </row>
    <row r="129" spans="2:36" ht="15.75" x14ac:dyDescent="0.25">
      <c r="B129" s="1341"/>
      <c r="C129" s="6832" t="str">
        <f ca="1">IFERROR('Activation list'!W76,"")</f>
        <v/>
      </c>
      <c r="D129" s="6878"/>
      <c r="E129" s="6878"/>
      <c r="F129" s="6878"/>
      <c r="G129" s="6878"/>
      <c r="H129" s="6879"/>
      <c r="I129" s="6827" t="str">
        <f ca="1">IFERROR(VLOOKUP($C129,'PIP finance'!$C$448:$N$582,2,FALSE),"")</f>
        <v/>
      </c>
      <c r="J129" s="6828"/>
      <c r="K129" s="3715" t="str">
        <f ca="1">IFERROR(VLOOKUP($C129,'PIP finance'!$C$448:$N$582,3,FALSE),"")</f>
        <v/>
      </c>
      <c r="L129" s="3716" t="str">
        <f ca="1">IFERROR(VLOOKUP($C129,'PIP finance'!$C$448:$N$582,4,FALSE),"")</f>
        <v/>
      </c>
      <c r="M129" s="3716" t="str">
        <f ca="1">IFERROR(VLOOKUP($C129,'PIP finance'!$C$448:$N$582,5,FALSE),"")</f>
        <v/>
      </c>
      <c r="N129" s="3716" t="str">
        <f ca="1">IFERROR(VLOOKUP($C129,'PIP finance'!$C$448:$N$582,6,FALSE),"")</f>
        <v/>
      </c>
      <c r="O129" s="3716" t="str">
        <f ca="1">IFERROR(VLOOKUP($C129,'PIP finance'!$C$448:$N$582,7,FALSE),"")</f>
        <v/>
      </c>
      <c r="P129" s="3716" t="str">
        <f ca="1">IFERROR(VLOOKUP($C129,'PIP finance'!$C$448:$N$582,8,FALSE),"")</f>
        <v/>
      </c>
      <c r="Q129" s="3716" t="str">
        <f ca="1">IFERROR(VLOOKUP($C129,'PIP finance'!$C$448:$N$582,9,FALSE),"")</f>
        <v/>
      </c>
      <c r="R129" s="3716" t="str">
        <f ca="1">IFERROR(VLOOKUP($C129,'PIP finance'!$C$448:$N$582,10,FALSE),"")</f>
        <v/>
      </c>
      <c r="S129" s="3716" t="str">
        <f ca="1">IFERROR(VLOOKUP($C129,'PIP finance'!$C$448:$N$582,11,FALSE),"")</f>
        <v/>
      </c>
      <c r="T129" s="3717" t="str">
        <f ca="1">IFERROR(VLOOKUP($C129,'PIP finance'!$C$448:$N$582,11,FALSE),"")</f>
        <v/>
      </c>
      <c r="U129" s="3703" t="str">
        <f ca="1">IFERROR(VLOOKUP($C129,'PIP finance'!$C$448:$S$582,17,FALSE),"")</f>
        <v/>
      </c>
      <c r="V129" s="3705"/>
      <c r="W129" s="3707"/>
      <c r="X129" s="3707"/>
      <c r="Y129" s="3701"/>
      <c r="Z129" s="3702" t="str">
        <f ca="1">IFERROR(VLOOKUP($C129,'PIP finance'!$C$448:$T$582,18,FALSE),"")</f>
        <v/>
      </c>
      <c r="AA129" s="3709" t="str">
        <f t="shared" ca="1" si="6"/>
        <v/>
      </c>
      <c r="AB129" s="3711">
        <f t="shared" ca="1" si="7"/>
        <v>0</v>
      </c>
      <c r="AC129" s="1341"/>
      <c r="AH129" s="1377" t="str">
        <f ca="1">IFERROR('Activation list'!X76,"")</f>
        <v/>
      </c>
      <c r="AI129" s="1377" t="str">
        <f ca="1">IFERROR(VLOOKUP($C129,'PIP finance'!$C$448:$R$582,14,FALSE),"")</f>
        <v/>
      </c>
      <c r="AJ129" s="1377" t="str">
        <f ca="1">IFERROR(VLOOKUP($C129,'PIP finance'!$C$448:$R$582,15,FALSE),"")</f>
        <v/>
      </c>
    </row>
    <row r="130" spans="2:36" ht="15.75" x14ac:dyDescent="0.25">
      <c r="B130" s="1341"/>
      <c r="C130" s="6832" t="str">
        <f ca="1">IFERROR('Activation list'!W77,"")</f>
        <v/>
      </c>
      <c r="D130" s="6878"/>
      <c r="E130" s="6878"/>
      <c r="F130" s="6878"/>
      <c r="G130" s="6878"/>
      <c r="H130" s="6879"/>
      <c r="I130" s="6827" t="str">
        <f ca="1">IFERROR(VLOOKUP($C130,'PIP finance'!$C$448:$N$582,2,FALSE),"")</f>
        <v/>
      </c>
      <c r="J130" s="6828"/>
      <c r="K130" s="3715" t="str">
        <f ca="1">IFERROR(VLOOKUP($C130,'PIP finance'!$C$448:$N$582,3,FALSE),"")</f>
        <v/>
      </c>
      <c r="L130" s="3716" t="str">
        <f ca="1">IFERROR(VLOOKUP($C130,'PIP finance'!$C$448:$N$582,4,FALSE),"")</f>
        <v/>
      </c>
      <c r="M130" s="3716" t="str">
        <f ca="1">IFERROR(VLOOKUP($C130,'PIP finance'!$C$448:$N$582,5,FALSE),"")</f>
        <v/>
      </c>
      <c r="N130" s="3716" t="str">
        <f ca="1">IFERROR(VLOOKUP($C130,'PIP finance'!$C$448:$N$582,6,FALSE),"")</f>
        <v/>
      </c>
      <c r="O130" s="3716" t="str">
        <f ca="1">IFERROR(VLOOKUP($C130,'PIP finance'!$C$448:$N$582,7,FALSE),"")</f>
        <v/>
      </c>
      <c r="P130" s="3716" t="str">
        <f ca="1">IFERROR(VLOOKUP($C130,'PIP finance'!$C$448:$N$582,8,FALSE),"")</f>
        <v/>
      </c>
      <c r="Q130" s="3716" t="str">
        <f ca="1">IFERROR(VLOOKUP($C130,'PIP finance'!$C$448:$N$582,9,FALSE),"")</f>
        <v/>
      </c>
      <c r="R130" s="3716" t="str">
        <f ca="1">IFERROR(VLOOKUP($C130,'PIP finance'!$C$448:$N$582,10,FALSE),"")</f>
        <v/>
      </c>
      <c r="S130" s="3716" t="str">
        <f ca="1">IFERROR(VLOOKUP($C130,'PIP finance'!$C$448:$N$582,11,FALSE),"")</f>
        <v/>
      </c>
      <c r="T130" s="3717" t="str">
        <f ca="1">IFERROR(VLOOKUP($C130,'PIP finance'!$C$448:$N$582,11,FALSE),"")</f>
        <v/>
      </c>
      <c r="U130" s="3703" t="str">
        <f ca="1">IFERROR(VLOOKUP($C130,'PIP finance'!$C$448:$S$582,17,FALSE),"")</f>
        <v/>
      </c>
      <c r="V130" s="3705"/>
      <c r="W130" s="3707"/>
      <c r="X130" s="3707"/>
      <c r="Y130" s="3701"/>
      <c r="Z130" s="3702" t="str">
        <f ca="1">IFERROR(VLOOKUP($C130,'PIP finance'!$C$448:$T$582,18,FALSE),"")</f>
        <v/>
      </c>
      <c r="AA130" s="3709" t="str">
        <f t="shared" ca="1" si="6"/>
        <v/>
      </c>
      <c r="AB130" s="3711">
        <f t="shared" ca="1" si="7"/>
        <v>0</v>
      </c>
      <c r="AC130" s="1341"/>
      <c r="AH130" s="1377" t="str">
        <f ca="1">IFERROR('Activation list'!X77,"")</f>
        <v/>
      </c>
      <c r="AI130" s="1377" t="str">
        <f ca="1">IFERROR(VLOOKUP($C130,'PIP finance'!$C$448:$R$582,14,FALSE),"")</f>
        <v/>
      </c>
      <c r="AJ130" s="1377" t="str">
        <f ca="1">IFERROR(VLOOKUP($C130,'PIP finance'!$C$448:$R$582,15,FALSE),"")</f>
        <v/>
      </c>
    </row>
    <row r="131" spans="2:36" ht="15.75" x14ac:dyDescent="0.25">
      <c r="B131" s="1341"/>
      <c r="C131" s="6832" t="str">
        <f ca="1">IFERROR('Activation list'!W78,"")</f>
        <v/>
      </c>
      <c r="D131" s="6878"/>
      <c r="E131" s="6878"/>
      <c r="F131" s="6878"/>
      <c r="G131" s="6878"/>
      <c r="H131" s="6879"/>
      <c r="I131" s="6827" t="str">
        <f ca="1">IFERROR(VLOOKUP($C131,'PIP finance'!$C$448:$N$582,2,FALSE),"")</f>
        <v/>
      </c>
      <c r="J131" s="6828"/>
      <c r="K131" s="3715" t="str">
        <f ca="1">IFERROR(VLOOKUP($C131,'PIP finance'!$C$448:$N$582,3,FALSE),"")</f>
        <v/>
      </c>
      <c r="L131" s="3716" t="str">
        <f ca="1">IFERROR(VLOOKUP($C131,'PIP finance'!$C$448:$N$582,4,FALSE),"")</f>
        <v/>
      </c>
      <c r="M131" s="3716" t="str">
        <f ca="1">IFERROR(VLOOKUP($C131,'PIP finance'!$C$448:$N$582,5,FALSE),"")</f>
        <v/>
      </c>
      <c r="N131" s="3716" t="str">
        <f ca="1">IFERROR(VLOOKUP($C131,'PIP finance'!$C$448:$N$582,6,FALSE),"")</f>
        <v/>
      </c>
      <c r="O131" s="3716" t="str">
        <f ca="1">IFERROR(VLOOKUP($C131,'PIP finance'!$C$448:$N$582,7,FALSE),"")</f>
        <v/>
      </c>
      <c r="P131" s="3716" t="str">
        <f ca="1">IFERROR(VLOOKUP($C131,'PIP finance'!$C$448:$N$582,8,FALSE),"")</f>
        <v/>
      </c>
      <c r="Q131" s="3716" t="str">
        <f ca="1">IFERROR(VLOOKUP($C131,'PIP finance'!$C$448:$N$582,9,FALSE),"")</f>
        <v/>
      </c>
      <c r="R131" s="3716" t="str">
        <f ca="1">IFERROR(VLOOKUP($C131,'PIP finance'!$C$448:$N$582,10,FALSE),"")</f>
        <v/>
      </c>
      <c r="S131" s="3716" t="str">
        <f ca="1">IFERROR(VLOOKUP($C131,'PIP finance'!$C$448:$N$582,11,FALSE),"")</f>
        <v/>
      </c>
      <c r="T131" s="3717" t="str">
        <f ca="1">IFERROR(VLOOKUP($C131,'PIP finance'!$C$448:$N$582,11,FALSE),"")</f>
        <v/>
      </c>
      <c r="U131" s="3703" t="str">
        <f ca="1">IFERROR(VLOOKUP($C131,'PIP finance'!$C$448:$S$582,17,FALSE),"")</f>
        <v/>
      </c>
      <c r="V131" s="3705"/>
      <c r="W131" s="3707"/>
      <c r="X131" s="3707"/>
      <c r="Y131" s="3701"/>
      <c r="Z131" s="3702" t="str">
        <f ca="1">IFERROR(VLOOKUP($C131,'PIP finance'!$C$448:$T$582,18,FALSE),"")</f>
        <v/>
      </c>
      <c r="AA131" s="3709" t="str">
        <f t="shared" ca="1" si="6"/>
        <v/>
      </c>
      <c r="AB131" s="3711">
        <f t="shared" ca="1" si="7"/>
        <v>0</v>
      </c>
      <c r="AC131" s="1341"/>
      <c r="AH131" s="1377" t="str">
        <f ca="1">IFERROR('Activation list'!X78,"")</f>
        <v/>
      </c>
      <c r="AI131" s="1377" t="str">
        <f ca="1">IFERROR(VLOOKUP($C131,'PIP finance'!$C$448:$R$582,14,FALSE),"")</f>
        <v/>
      </c>
      <c r="AJ131" s="1377" t="str">
        <f ca="1">IFERROR(VLOOKUP($C131,'PIP finance'!$C$448:$R$582,15,FALSE),"")</f>
        <v/>
      </c>
    </row>
    <row r="132" spans="2:36" ht="15.75" x14ac:dyDescent="0.25">
      <c r="B132" s="1341"/>
      <c r="C132" s="6832" t="str">
        <f ca="1">IFERROR('Activation list'!W79,"")</f>
        <v/>
      </c>
      <c r="D132" s="6878"/>
      <c r="E132" s="6878"/>
      <c r="F132" s="6878"/>
      <c r="G132" s="6878"/>
      <c r="H132" s="6879"/>
      <c r="I132" s="6827" t="str">
        <f ca="1">IFERROR(VLOOKUP($C132,'PIP finance'!$C$448:$N$582,2,FALSE),"")</f>
        <v/>
      </c>
      <c r="J132" s="6828"/>
      <c r="K132" s="3715" t="str">
        <f ca="1">IFERROR(VLOOKUP($C132,'PIP finance'!$C$448:$N$582,3,FALSE),"")</f>
        <v/>
      </c>
      <c r="L132" s="3716" t="str">
        <f ca="1">IFERROR(VLOOKUP($C132,'PIP finance'!$C$448:$N$582,4,FALSE),"")</f>
        <v/>
      </c>
      <c r="M132" s="3716" t="str">
        <f ca="1">IFERROR(VLOOKUP($C132,'PIP finance'!$C$448:$N$582,5,FALSE),"")</f>
        <v/>
      </c>
      <c r="N132" s="3716" t="str">
        <f ca="1">IFERROR(VLOOKUP($C132,'PIP finance'!$C$448:$N$582,6,FALSE),"")</f>
        <v/>
      </c>
      <c r="O132" s="3716" t="str">
        <f ca="1">IFERROR(VLOOKUP($C132,'PIP finance'!$C$448:$N$582,7,FALSE),"")</f>
        <v/>
      </c>
      <c r="P132" s="3716" t="str">
        <f ca="1">IFERROR(VLOOKUP($C132,'PIP finance'!$C$448:$N$582,8,FALSE),"")</f>
        <v/>
      </c>
      <c r="Q132" s="3716" t="str">
        <f ca="1">IFERROR(VLOOKUP($C132,'PIP finance'!$C$448:$N$582,9,FALSE),"")</f>
        <v/>
      </c>
      <c r="R132" s="3716" t="str">
        <f ca="1">IFERROR(VLOOKUP($C132,'PIP finance'!$C$448:$N$582,10,FALSE),"")</f>
        <v/>
      </c>
      <c r="S132" s="3716" t="str">
        <f ca="1">IFERROR(VLOOKUP($C132,'PIP finance'!$C$448:$N$582,11,FALSE),"")</f>
        <v/>
      </c>
      <c r="T132" s="3717" t="str">
        <f ca="1">IFERROR(VLOOKUP($C132,'PIP finance'!$C$448:$N$582,11,FALSE),"")</f>
        <v/>
      </c>
      <c r="U132" s="3703" t="str">
        <f ca="1">IFERROR(VLOOKUP($C132,'PIP finance'!$C$448:$S$582,17,FALSE),"")</f>
        <v/>
      </c>
      <c r="V132" s="3705"/>
      <c r="W132" s="3707"/>
      <c r="X132" s="3707"/>
      <c r="Y132" s="3701"/>
      <c r="Z132" s="3702" t="str">
        <f ca="1">IFERROR(VLOOKUP($C132,'PIP finance'!$C$448:$T$582,18,FALSE),"")</f>
        <v/>
      </c>
      <c r="AA132" s="3709" t="str">
        <f t="shared" ca="1" si="6"/>
        <v/>
      </c>
      <c r="AB132" s="3711">
        <f t="shared" ca="1" si="7"/>
        <v>0</v>
      </c>
      <c r="AC132" s="1341"/>
      <c r="AH132" s="1377" t="str">
        <f ca="1">IFERROR('Activation list'!X79,"")</f>
        <v/>
      </c>
      <c r="AI132" s="1377" t="str">
        <f ca="1">IFERROR(VLOOKUP($C132,'PIP finance'!$C$448:$R$582,14,FALSE),"")</f>
        <v/>
      </c>
      <c r="AJ132" s="1377" t="str">
        <f ca="1">IFERROR(VLOOKUP($C132,'PIP finance'!$C$448:$R$582,15,FALSE),"")</f>
        <v/>
      </c>
    </row>
    <row r="133" spans="2:36" ht="15.75" x14ac:dyDescent="0.25">
      <c r="B133" s="1341"/>
      <c r="C133" s="6832" t="str">
        <f ca="1">IFERROR('Activation list'!W80,"")</f>
        <v/>
      </c>
      <c r="D133" s="6878"/>
      <c r="E133" s="6878"/>
      <c r="F133" s="6878"/>
      <c r="G133" s="6878"/>
      <c r="H133" s="6879"/>
      <c r="I133" s="6827" t="str">
        <f ca="1">IFERROR(VLOOKUP($C133,'PIP finance'!$C$448:$N$582,2,FALSE),"")</f>
        <v/>
      </c>
      <c r="J133" s="6828"/>
      <c r="K133" s="3715" t="str">
        <f ca="1">IFERROR(VLOOKUP($C133,'PIP finance'!$C$448:$N$582,3,FALSE),"")</f>
        <v/>
      </c>
      <c r="L133" s="3716" t="str">
        <f ca="1">IFERROR(VLOOKUP($C133,'PIP finance'!$C$448:$N$582,4,FALSE),"")</f>
        <v/>
      </c>
      <c r="M133" s="3716" t="str">
        <f ca="1">IFERROR(VLOOKUP($C133,'PIP finance'!$C$448:$N$582,5,FALSE),"")</f>
        <v/>
      </c>
      <c r="N133" s="3716" t="str">
        <f ca="1">IFERROR(VLOOKUP($C133,'PIP finance'!$C$448:$N$582,6,FALSE),"")</f>
        <v/>
      </c>
      <c r="O133" s="3716" t="str">
        <f ca="1">IFERROR(VLOOKUP($C133,'PIP finance'!$C$448:$N$582,7,FALSE),"")</f>
        <v/>
      </c>
      <c r="P133" s="3716" t="str">
        <f ca="1">IFERROR(VLOOKUP($C133,'PIP finance'!$C$448:$N$582,8,FALSE),"")</f>
        <v/>
      </c>
      <c r="Q133" s="3716" t="str">
        <f ca="1">IFERROR(VLOOKUP($C133,'PIP finance'!$C$448:$N$582,9,FALSE),"")</f>
        <v/>
      </c>
      <c r="R133" s="3716" t="str">
        <f ca="1">IFERROR(VLOOKUP($C133,'PIP finance'!$C$448:$N$582,10,FALSE),"")</f>
        <v/>
      </c>
      <c r="S133" s="3716" t="str">
        <f ca="1">IFERROR(VLOOKUP($C133,'PIP finance'!$C$448:$N$582,11,FALSE),"")</f>
        <v/>
      </c>
      <c r="T133" s="3717" t="str">
        <f ca="1">IFERROR(VLOOKUP($C133,'PIP finance'!$C$448:$N$582,11,FALSE),"")</f>
        <v/>
      </c>
      <c r="U133" s="3703" t="str">
        <f ca="1">IFERROR(VLOOKUP($C133,'PIP finance'!$C$448:$S$582,17,FALSE),"")</f>
        <v/>
      </c>
      <c r="V133" s="3705"/>
      <c r="W133" s="3707"/>
      <c r="X133" s="3707"/>
      <c r="Y133" s="3701"/>
      <c r="Z133" s="3702" t="str">
        <f ca="1">IFERROR(VLOOKUP($C133,'PIP finance'!$C$448:$T$582,18,FALSE),"")</f>
        <v/>
      </c>
      <c r="AA133" s="3709" t="str">
        <f t="shared" ca="1" si="6"/>
        <v/>
      </c>
      <c r="AB133" s="3711">
        <f t="shared" ca="1" si="7"/>
        <v>0</v>
      </c>
      <c r="AC133" s="1341"/>
      <c r="AH133" s="1377" t="str">
        <f ca="1">IFERROR('Activation list'!X80,"")</f>
        <v/>
      </c>
      <c r="AI133" s="1377" t="str">
        <f ca="1">IFERROR(VLOOKUP($C133,'PIP finance'!$C$448:$R$582,14,FALSE),"")</f>
        <v/>
      </c>
      <c r="AJ133" s="1377" t="str">
        <f ca="1">IFERROR(VLOOKUP($C133,'PIP finance'!$C$448:$R$582,15,FALSE),"")</f>
        <v/>
      </c>
    </row>
    <row r="134" spans="2:36" ht="15.75" x14ac:dyDescent="0.25">
      <c r="B134" s="1341"/>
      <c r="C134" s="6832" t="str">
        <f ca="1">IFERROR('Activation list'!W81,"")</f>
        <v/>
      </c>
      <c r="D134" s="6878"/>
      <c r="E134" s="6878"/>
      <c r="F134" s="6878"/>
      <c r="G134" s="6878"/>
      <c r="H134" s="6879"/>
      <c r="I134" s="6827" t="str">
        <f ca="1">IFERROR(VLOOKUP($C134,'PIP finance'!$C$448:$N$582,2,FALSE),"")</f>
        <v/>
      </c>
      <c r="J134" s="6828"/>
      <c r="K134" s="3715" t="str">
        <f ca="1">IFERROR(VLOOKUP($C134,'PIP finance'!$C$448:$N$582,3,FALSE),"")</f>
        <v/>
      </c>
      <c r="L134" s="3716" t="str">
        <f ca="1">IFERROR(VLOOKUP($C134,'PIP finance'!$C$448:$N$582,4,FALSE),"")</f>
        <v/>
      </c>
      <c r="M134" s="3716" t="str">
        <f ca="1">IFERROR(VLOOKUP($C134,'PIP finance'!$C$448:$N$582,5,FALSE),"")</f>
        <v/>
      </c>
      <c r="N134" s="3716" t="str">
        <f ca="1">IFERROR(VLOOKUP($C134,'PIP finance'!$C$448:$N$582,6,FALSE),"")</f>
        <v/>
      </c>
      <c r="O134" s="3716" t="str">
        <f ca="1">IFERROR(VLOOKUP($C134,'PIP finance'!$C$448:$N$582,7,FALSE),"")</f>
        <v/>
      </c>
      <c r="P134" s="3716" t="str">
        <f ca="1">IFERROR(VLOOKUP($C134,'PIP finance'!$C$448:$N$582,8,FALSE),"")</f>
        <v/>
      </c>
      <c r="Q134" s="3716" t="str">
        <f ca="1">IFERROR(VLOOKUP($C134,'PIP finance'!$C$448:$N$582,9,FALSE),"")</f>
        <v/>
      </c>
      <c r="R134" s="3716" t="str">
        <f ca="1">IFERROR(VLOOKUP($C134,'PIP finance'!$C$448:$N$582,10,FALSE),"")</f>
        <v/>
      </c>
      <c r="S134" s="3716" t="str">
        <f ca="1">IFERROR(VLOOKUP($C134,'PIP finance'!$C$448:$N$582,11,FALSE),"")</f>
        <v/>
      </c>
      <c r="T134" s="3717" t="str">
        <f ca="1">IFERROR(VLOOKUP($C134,'PIP finance'!$C$448:$N$582,11,FALSE),"")</f>
        <v/>
      </c>
      <c r="U134" s="3703" t="str">
        <f ca="1">IFERROR(VLOOKUP($C134,'PIP finance'!$C$448:$S$582,17,FALSE),"")</f>
        <v/>
      </c>
      <c r="V134" s="3705"/>
      <c r="W134" s="3707"/>
      <c r="X134" s="3707"/>
      <c r="Y134" s="3701"/>
      <c r="Z134" s="3702" t="str">
        <f ca="1">IFERROR(VLOOKUP($C134,'PIP finance'!$C$448:$T$582,18,FALSE),"")</f>
        <v/>
      </c>
      <c r="AA134" s="3709" t="str">
        <f t="shared" ca="1" si="6"/>
        <v/>
      </c>
      <c r="AB134" s="3711">
        <f t="shared" ca="1" si="7"/>
        <v>0</v>
      </c>
      <c r="AC134" s="1341"/>
      <c r="AH134" s="1377" t="str">
        <f ca="1">IFERROR('Activation list'!X81,"")</f>
        <v/>
      </c>
      <c r="AI134" s="1377" t="str">
        <f ca="1">IFERROR(VLOOKUP($C134,'PIP finance'!$C$448:$R$582,14,FALSE),"")</f>
        <v/>
      </c>
      <c r="AJ134" s="1377" t="str">
        <f ca="1">IFERROR(VLOOKUP($C134,'PIP finance'!$C$448:$R$582,15,FALSE),"")</f>
        <v/>
      </c>
    </row>
    <row r="135" spans="2:36" ht="15.75" x14ac:dyDescent="0.25">
      <c r="B135" s="1341"/>
      <c r="C135" s="6832" t="str">
        <f ca="1">IFERROR('Activation list'!W82,"")</f>
        <v/>
      </c>
      <c r="D135" s="6878"/>
      <c r="E135" s="6878"/>
      <c r="F135" s="6878"/>
      <c r="G135" s="6878"/>
      <c r="H135" s="6879"/>
      <c r="I135" s="6827" t="str">
        <f ca="1">IFERROR(VLOOKUP($C135,'PIP finance'!$C$448:$N$582,2,FALSE),"")</f>
        <v/>
      </c>
      <c r="J135" s="6828"/>
      <c r="K135" s="3715" t="str">
        <f ca="1">IFERROR(VLOOKUP($C135,'PIP finance'!$C$448:$N$582,3,FALSE),"")</f>
        <v/>
      </c>
      <c r="L135" s="3716" t="str">
        <f ca="1">IFERROR(VLOOKUP($C135,'PIP finance'!$C$448:$N$582,4,FALSE),"")</f>
        <v/>
      </c>
      <c r="M135" s="3716" t="str">
        <f ca="1">IFERROR(VLOOKUP($C135,'PIP finance'!$C$448:$N$582,5,FALSE),"")</f>
        <v/>
      </c>
      <c r="N135" s="3716" t="str">
        <f ca="1">IFERROR(VLOOKUP($C135,'PIP finance'!$C$448:$N$582,6,FALSE),"")</f>
        <v/>
      </c>
      <c r="O135" s="3716" t="str">
        <f ca="1">IFERROR(VLOOKUP($C135,'PIP finance'!$C$448:$N$582,7,FALSE),"")</f>
        <v/>
      </c>
      <c r="P135" s="3716" t="str">
        <f ca="1">IFERROR(VLOOKUP($C135,'PIP finance'!$C$448:$N$582,8,FALSE),"")</f>
        <v/>
      </c>
      <c r="Q135" s="3716" t="str">
        <f ca="1">IFERROR(VLOOKUP($C135,'PIP finance'!$C$448:$N$582,9,FALSE),"")</f>
        <v/>
      </c>
      <c r="R135" s="3716" t="str">
        <f ca="1">IFERROR(VLOOKUP($C135,'PIP finance'!$C$448:$N$582,10,FALSE),"")</f>
        <v/>
      </c>
      <c r="S135" s="3716" t="str">
        <f ca="1">IFERROR(VLOOKUP($C135,'PIP finance'!$C$448:$N$582,11,FALSE),"")</f>
        <v/>
      </c>
      <c r="T135" s="3717" t="str">
        <f ca="1">IFERROR(VLOOKUP($C135,'PIP finance'!$C$448:$N$582,11,FALSE),"")</f>
        <v/>
      </c>
      <c r="U135" s="3703" t="str">
        <f ca="1">IFERROR(VLOOKUP($C135,'PIP finance'!$C$448:$S$582,17,FALSE),"")</f>
        <v/>
      </c>
      <c r="V135" s="3705"/>
      <c r="W135" s="3707"/>
      <c r="X135" s="3707"/>
      <c r="Y135" s="3701"/>
      <c r="Z135" s="3702" t="str">
        <f ca="1">IFERROR(VLOOKUP($C135,'PIP finance'!$C$448:$T$582,18,FALSE),"")</f>
        <v/>
      </c>
      <c r="AA135" s="3709" t="str">
        <f t="shared" ca="1" si="6"/>
        <v/>
      </c>
      <c r="AB135" s="3711">
        <f t="shared" ca="1" si="7"/>
        <v>0</v>
      </c>
      <c r="AC135" s="1341"/>
      <c r="AH135" s="1377" t="str">
        <f ca="1">IFERROR('Activation list'!X82,"")</f>
        <v/>
      </c>
      <c r="AI135" s="1377" t="str">
        <f ca="1">IFERROR(VLOOKUP($C135,'PIP finance'!$C$448:$R$582,14,FALSE),"")</f>
        <v/>
      </c>
      <c r="AJ135" s="1377" t="str">
        <f ca="1">IFERROR(VLOOKUP($C135,'PIP finance'!$C$448:$R$582,15,FALSE),"")</f>
        <v/>
      </c>
    </row>
    <row r="136" spans="2:36" ht="15.75" x14ac:dyDescent="0.25">
      <c r="B136" s="1341"/>
      <c r="C136" s="6832" t="str">
        <f ca="1">IFERROR('Activation list'!W83,"")</f>
        <v/>
      </c>
      <c r="D136" s="6878"/>
      <c r="E136" s="6878"/>
      <c r="F136" s="6878"/>
      <c r="G136" s="6878"/>
      <c r="H136" s="6879"/>
      <c r="I136" s="6827" t="str">
        <f ca="1">IFERROR(VLOOKUP($C136,'PIP finance'!$C$448:$N$582,2,FALSE),"")</f>
        <v/>
      </c>
      <c r="J136" s="6828"/>
      <c r="K136" s="3715" t="str">
        <f ca="1">IFERROR(VLOOKUP($C136,'PIP finance'!$C$448:$N$582,3,FALSE),"")</f>
        <v/>
      </c>
      <c r="L136" s="3716" t="str">
        <f ca="1">IFERROR(VLOOKUP($C136,'PIP finance'!$C$448:$N$582,4,FALSE),"")</f>
        <v/>
      </c>
      <c r="M136" s="3716" t="str">
        <f ca="1">IFERROR(VLOOKUP($C136,'PIP finance'!$C$448:$N$582,5,FALSE),"")</f>
        <v/>
      </c>
      <c r="N136" s="3716" t="str">
        <f ca="1">IFERROR(VLOOKUP($C136,'PIP finance'!$C$448:$N$582,6,FALSE),"")</f>
        <v/>
      </c>
      <c r="O136" s="3716" t="str">
        <f ca="1">IFERROR(VLOOKUP($C136,'PIP finance'!$C$448:$N$582,7,FALSE),"")</f>
        <v/>
      </c>
      <c r="P136" s="3716" t="str">
        <f ca="1">IFERROR(VLOOKUP($C136,'PIP finance'!$C$448:$N$582,8,FALSE),"")</f>
        <v/>
      </c>
      <c r="Q136" s="3716" t="str">
        <f ca="1">IFERROR(VLOOKUP($C136,'PIP finance'!$C$448:$N$582,9,FALSE),"")</f>
        <v/>
      </c>
      <c r="R136" s="3716" t="str">
        <f ca="1">IFERROR(VLOOKUP($C136,'PIP finance'!$C$448:$N$582,10,FALSE),"")</f>
        <v/>
      </c>
      <c r="S136" s="3716" t="str">
        <f ca="1">IFERROR(VLOOKUP($C136,'PIP finance'!$C$448:$N$582,11,FALSE),"")</f>
        <v/>
      </c>
      <c r="T136" s="3717" t="str">
        <f ca="1">IFERROR(VLOOKUP($C136,'PIP finance'!$C$448:$N$582,11,FALSE),"")</f>
        <v/>
      </c>
      <c r="U136" s="3703" t="str">
        <f ca="1">IFERROR(VLOOKUP($C136,'PIP finance'!$C$448:$S$582,17,FALSE),"")</f>
        <v/>
      </c>
      <c r="V136" s="3705"/>
      <c r="W136" s="3707"/>
      <c r="X136" s="3707"/>
      <c r="Y136" s="3701"/>
      <c r="Z136" s="3702" t="str">
        <f ca="1">IFERROR(VLOOKUP($C136,'PIP finance'!$C$448:$T$582,18,FALSE),"")</f>
        <v/>
      </c>
      <c r="AA136" s="3709" t="str">
        <f t="shared" ca="1" si="6"/>
        <v/>
      </c>
      <c r="AB136" s="3711">
        <f t="shared" ca="1" si="7"/>
        <v>0</v>
      </c>
      <c r="AC136" s="1341"/>
      <c r="AH136" s="1377" t="str">
        <f ca="1">IFERROR('Activation list'!X83,"")</f>
        <v/>
      </c>
      <c r="AI136" s="1377" t="str">
        <f ca="1">IFERROR(VLOOKUP($C136,'PIP finance'!$C$448:$R$582,14,FALSE),"")</f>
        <v/>
      </c>
      <c r="AJ136" s="1377" t="str">
        <f ca="1">IFERROR(VLOOKUP($C136,'PIP finance'!$C$448:$R$582,15,FALSE),"")</f>
        <v/>
      </c>
    </row>
    <row r="137" spans="2:36" ht="15.75" x14ac:dyDescent="0.25">
      <c r="B137" s="1341"/>
      <c r="C137" s="6832" t="str">
        <f ca="1">IFERROR('Activation list'!W84,"")</f>
        <v/>
      </c>
      <c r="D137" s="6878"/>
      <c r="E137" s="6878"/>
      <c r="F137" s="6878"/>
      <c r="G137" s="6878"/>
      <c r="H137" s="6879"/>
      <c r="I137" s="6827" t="str">
        <f ca="1">IFERROR(VLOOKUP($C137,'PIP finance'!$C$448:$N$582,2,FALSE),"")</f>
        <v/>
      </c>
      <c r="J137" s="6828"/>
      <c r="K137" s="3715" t="str">
        <f ca="1">IFERROR(VLOOKUP($C137,'PIP finance'!$C$448:$N$582,3,FALSE),"")</f>
        <v/>
      </c>
      <c r="L137" s="3716" t="str">
        <f ca="1">IFERROR(VLOOKUP($C137,'PIP finance'!$C$448:$N$582,4,FALSE),"")</f>
        <v/>
      </c>
      <c r="M137" s="3716" t="str">
        <f ca="1">IFERROR(VLOOKUP($C137,'PIP finance'!$C$448:$N$582,5,FALSE),"")</f>
        <v/>
      </c>
      <c r="N137" s="3716" t="str">
        <f ca="1">IFERROR(VLOOKUP($C137,'PIP finance'!$C$448:$N$582,6,FALSE),"")</f>
        <v/>
      </c>
      <c r="O137" s="3716" t="str">
        <f ca="1">IFERROR(VLOOKUP($C137,'PIP finance'!$C$448:$N$582,7,FALSE),"")</f>
        <v/>
      </c>
      <c r="P137" s="3716" t="str">
        <f ca="1">IFERROR(VLOOKUP($C137,'PIP finance'!$C$448:$N$582,8,FALSE),"")</f>
        <v/>
      </c>
      <c r="Q137" s="3716" t="str">
        <f ca="1">IFERROR(VLOOKUP($C137,'PIP finance'!$C$448:$N$582,9,FALSE),"")</f>
        <v/>
      </c>
      <c r="R137" s="3716" t="str">
        <f ca="1">IFERROR(VLOOKUP($C137,'PIP finance'!$C$448:$N$582,10,FALSE),"")</f>
        <v/>
      </c>
      <c r="S137" s="3716" t="str">
        <f ca="1">IFERROR(VLOOKUP($C137,'PIP finance'!$C$448:$N$582,11,FALSE),"")</f>
        <v/>
      </c>
      <c r="T137" s="3717" t="str">
        <f ca="1">IFERROR(VLOOKUP($C137,'PIP finance'!$C$448:$N$582,11,FALSE),"")</f>
        <v/>
      </c>
      <c r="U137" s="3703" t="str">
        <f ca="1">IFERROR(VLOOKUP($C137,'PIP finance'!$C$448:$S$582,17,FALSE),"")</f>
        <v/>
      </c>
      <c r="V137" s="3705"/>
      <c r="W137" s="3707"/>
      <c r="X137" s="3707"/>
      <c r="Y137" s="3701"/>
      <c r="Z137" s="3702" t="str">
        <f ca="1">IFERROR(VLOOKUP($C137,'PIP finance'!$C$448:$T$582,18,FALSE),"")</f>
        <v/>
      </c>
      <c r="AA137" s="3709" t="str">
        <f t="shared" ca="1" si="6"/>
        <v/>
      </c>
      <c r="AB137" s="3711">
        <f t="shared" ca="1" si="7"/>
        <v>0</v>
      </c>
      <c r="AC137" s="1341"/>
      <c r="AH137" s="1377" t="str">
        <f ca="1">IFERROR('Activation list'!X84,"")</f>
        <v/>
      </c>
      <c r="AI137" s="1377" t="str">
        <f ca="1">IFERROR(VLOOKUP($C137,'PIP finance'!$C$448:$R$582,14,FALSE),"")</f>
        <v/>
      </c>
      <c r="AJ137" s="1377" t="str">
        <f ca="1">IFERROR(VLOOKUP($C137,'PIP finance'!$C$448:$R$582,15,FALSE),"")</f>
        <v/>
      </c>
    </row>
    <row r="138" spans="2:36" ht="15.75" x14ac:dyDescent="0.25">
      <c r="B138" s="1341"/>
      <c r="C138" s="6832" t="str">
        <f ca="1">IFERROR('Activation list'!W85,"")</f>
        <v/>
      </c>
      <c r="D138" s="6878"/>
      <c r="E138" s="6878"/>
      <c r="F138" s="6878"/>
      <c r="G138" s="6878"/>
      <c r="H138" s="6879"/>
      <c r="I138" s="6827" t="str">
        <f ca="1">IFERROR(VLOOKUP($C138,'PIP finance'!$C$448:$N$582,2,FALSE),"")</f>
        <v/>
      </c>
      <c r="J138" s="6828"/>
      <c r="K138" s="3715" t="str">
        <f ca="1">IFERROR(VLOOKUP($C138,'PIP finance'!$C$448:$N$582,3,FALSE),"")</f>
        <v/>
      </c>
      <c r="L138" s="3716" t="str">
        <f ca="1">IFERROR(VLOOKUP($C138,'PIP finance'!$C$448:$N$582,4,FALSE),"")</f>
        <v/>
      </c>
      <c r="M138" s="3716" t="str">
        <f ca="1">IFERROR(VLOOKUP($C138,'PIP finance'!$C$448:$N$582,5,FALSE),"")</f>
        <v/>
      </c>
      <c r="N138" s="3716" t="str">
        <f ca="1">IFERROR(VLOOKUP($C138,'PIP finance'!$C$448:$N$582,6,FALSE),"")</f>
        <v/>
      </c>
      <c r="O138" s="3716" t="str">
        <f ca="1">IFERROR(VLOOKUP($C138,'PIP finance'!$C$448:$N$582,7,FALSE),"")</f>
        <v/>
      </c>
      <c r="P138" s="3716" t="str">
        <f ca="1">IFERROR(VLOOKUP($C138,'PIP finance'!$C$448:$N$582,8,FALSE),"")</f>
        <v/>
      </c>
      <c r="Q138" s="3716" t="str">
        <f ca="1">IFERROR(VLOOKUP($C138,'PIP finance'!$C$448:$N$582,9,FALSE),"")</f>
        <v/>
      </c>
      <c r="R138" s="3716" t="str">
        <f ca="1">IFERROR(VLOOKUP($C138,'PIP finance'!$C$448:$N$582,10,FALSE),"")</f>
        <v/>
      </c>
      <c r="S138" s="3716" t="str">
        <f ca="1">IFERROR(VLOOKUP($C138,'PIP finance'!$C$448:$N$582,11,FALSE),"")</f>
        <v/>
      </c>
      <c r="T138" s="3717" t="str">
        <f ca="1">IFERROR(VLOOKUP($C138,'PIP finance'!$C$448:$N$582,11,FALSE),"")</f>
        <v/>
      </c>
      <c r="U138" s="3703" t="str">
        <f ca="1">IFERROR(VLOOKUP($C138,'PIP finance'!$C$448:$S$582,17,FALSE),"")</f>
        <v/>
      </c>
      <c r="V138" s="3705"/>
      <c r="W138" s="3707"/>
      <c r="X138" s="3707"/>
      <c r="Y138" s="3701"/>
      <c r="Z138" s="3702" t="str">
        <f ca="1">IFERROR(VLOOKUP($C138,'PIP finance'!$C$448:$T$582,18,FALSE),"")</f>
        <v/>
      </c>
      <c r="AA138" s="3709" t="str">
        <f t="shared" ca="1" si="6"/>
        <v/>
      </c>
      <c r="AB138" s="3711">
        <f t="shared" ca="1" si="7"/>
        <v>0</v>
      </c>
      <c r="AC138" s="1341"/>
      <c r="AH138" s="1377" t="str">
        <f ca="1">IFERROR('Activation list'!X85,"")</f>
        <v/>
      </c>
      <c r="AI138" s="1377" t="str">
        <f ca="1">IFERROR(VLOOKUP($C138,'PIP finance'!$C$448:$R$582,14,FALSE),"")</f>
        <v/>
      </c>
      <c r="AJ138" s="1377" t="str">
        <f ca="1">IFERROR(VLOOKUP($C138,'PIP finance'!$C$448:$R$582,15,FALSE),"")</f>
        <v/>
      </c>
    </row>
    <row r="139" spans="2:36" ht="15.75" x14ac:dyDescent="0.25">
      <c r="B139" s="1341"/>
      <c r="C139" s="6832" t="str">
        <f ca="1">IFERROR('Activation list'!W86,"")</f>
        <v/>
      </c>
      <c r="D139" s="6878"/>
      <c r="E139" s="6878"/>
      <c r="F139" s="6878"/>
      <c r="G139" s="6878"/>
      <c r="H139" s="6879"/>
      <c r="I139" s="6827" t="str">
        <f ca="1">IFERROR(VLOOKUP($C139,'PIP finance'!$C$448:$N$582,2,FALSE),"")</f>
        <v/>
      </c>
      <c r="J139" s="6828"/>
      <c r="K139" s="3715" t="str">
        <f ca="1">IFERROR(VLOOKUP($C139,'PIP finance'!$C$448:$N$582,3,FALSE),"")</f>
        <v/>
      </c>
      <c r="L139" s="3716" t="str">
        <f ca="1">IFERROR(VLOOKUP($C139,'PIP finance'!$C$448:$N$582,4,FALSE),"")</f>
        <v/>
      </c>
      <c r="M139" s="3716" t="str">
        <f ca="1">IFERROR(VLOOKUP($C139,'PIP finance'!$C$448:$N$582,5,FALSE),"")</f>
        <v/>
      </c>
      <c r="N139" s="3716" t="str">
        <f ca="1">IFERROR(VLOOKUP($C139,'PIP finance'!$C$448:$N$582,6,FALSE),"")</f>
        <v/>
      </c>
      <c r="O139" s="3716" t="str">
        <f ca="1">IFERROR(VLOOKUP($C139,'PIP finance'!$C$448:$N$582,7,FALSE),"")</f>
        <v/>
      </c>
      <c r="P139" s="3716" t="str">
        <f ca="1">IFERROR(VLOOKUP($C139,'PIP finance'!$C$448:$N$582,8,FALSE),"")</f>
        <v/>
      </c>
      <c r="Q139" s="3716" t="str">
        <f ca="1">IFERROR(VLOOKUP($C139,'PIP finance'!$C$448:$N$582,9,FALSE),"")</f>
        <v/>
      </c>
      <c r="R139" s="3716" t="str">
        <f ca="1">IFERROR(VLOOKUP($C139,'PIP finance'!$C$448:$N$582,10,FALSE),"")</f>
        <v/>
      </c>
      <c r="S139" s="3716" t="str">
        <f ca="1">IFERROR(VLOOKUP($C139,'PIP finance'!$C$448:$N$582,11,FALSE),"")</f>
        <v/>
      </c>
      <c r="T139" s="3717" t="str">
        <f ca="1">IFERROR(VLOOKUP($C139,'PIP finance'!$C$448:$N$582,11,FALSE),"")</f>
        <v/>
      </c>
      <c r="U139" s="3703" t="str">
        <f ca="1">IFERROR(VLOOKUP($C139,'PIP finance'!$C$448:$S$582,17,FALSE),"")</f>
        <v/>
      </c>
      <c r="V139" s="3705"/>
      <c r="W139" s="3707"/>
      <c r="X139" s="3707"/>
      <c r="Y139" s="3701"/>
      <c r="Z139" s="3702" t="str">
        <f ca="1">IFERROR(VLOOKUP($C139,'PIP finance'!$C$448:$T$582,18,FALSE),"")</f>
        <v/>
      </c>
      <c r="AA139" s="3709" t="str">
        <f t="shared" ca="1" si="6"/>
        <v/>
      </c>
      <c r="AB139" s="3711">
        <f t="shared" ca="1" si="7"/>
        <v>0</v>
      </c>
      <c r="AC139" s="1341"/>
      <c r="AH139" s="1377" t="str">
        <f ca="1">IFERROR('Activation list'!X86,"")</f>
        <v/>
      </c>
      <c r="AI139" s="1377" t="str">
        <f ca="1">IFERROR(VLOOKUP($C139,'PIP finance'!$C$448:$R$582,14,FALSE),"")</f>
        <v/>
      </c>
      <c r="AJ139" s="1377" t="str">
        <f ca="1">IFERROR(VLOOKUP($C139,'PIP finance'!$C$448:$R$582,15,FALSE),"")</f>
        <v/>
      </c>
    </row>
    <row r="140" spans="2:36" ht="15.75" x14ac:dyDescent="0.25">
      <c r="B140" s="1341"/>
      <c r="C140" s="6832" t="str">
        <f ca="1">IFERROR('Activation list'!W87,"")</f>
        <v/>
      </c>
      <c r="D140" s="6878"/>
      <c r="E140" s="6878"/>
      <c r="F140" s="6878"/>
      <c r="G140" s="6878"/>
      <c r="H140" s="6879"/>
      <c r="I140" s="6827" t="str">
        <f ca="1">IFERROR(VLOOKUP($C140,'PIP finance'!$C$448:$N$582,2,FALSE),"")</f>
        <v/>
      </c>
      <c r="J140" s="6828"/>
      <c r="K140" s="3715" t="str">
        <f ca="1">IFERROR(VLOOKUP($C140,'PIP finance'!$C$448:$N$582,3,FALSE),"")</f>
        <v/>
      </c>
      <c r="L140" s="3716" t="str">
        <f ca="1">IFERROR(VLOOKUP($C140,'PIP finance'!$C$448:$N$582,4,FALSE),"")</f>
        <v/>
      </c>
      <c r="M140" s="3716" t="str">
        <f ca="1">IFERROR(VLOOKUP($C140,'PIP finance'!$C$448:$N$582,5,FALSE),"")</f>
        <v/>
      </c>
      <c r="N140" s="3716" t="str">
        <f ca="1">IFERROR(VLOOKUP($C140,'PIP finance'!$C$448:$N$582,6,FALSE),"")</f>
        <v/>
      </c>
      <c r="O140" s="3716" t="str">
        <f ca="1">IFERROR(VLOOKUP($C140,'PIP finance'!$C$448:$N$582,7,FALSE),"")</f>
        <v/>
      </c>
      <c r="P140" s="3716" t="str">
        <f ca="1">IFERROR(VLOOKUP($C140,'PIP finance'!$C$448:$N$582,8,FALSE),"")</f>
        <v/>
      </c>
      <c r="Q140" s="3716" t="str">
        <f ca="1">IFERROR(VLOOKUP($C140,'PIP finance'!$C$448:$N$582,9,FALSE),"")</f>
        <v/>
      </c>
      <c r="R140" s="3716" t="str">
        <f ca="1">IFERROR(VLOOKUP($C140,'PIP finance'!$C$448:$N$582,10,FALSE),"")</f>
        <v/>
      </c>
      <c r="S140" s="3716" t="str">
        <f ca="1">IFERROR(VLOOKUP($C140,'PIP finance'!$C$448:$N$582,11,FALSE),"")</f>
        <v/>
      </c>
      <c r="T140" s="3717" t="str">
        <f ca="1">IFERROR(VLOOKUP($C140,'PIP finance'!$C$448:$N$582,11,FALSE),"")</f>
        <v/>
      </c>
      <c r="U140" s="3703" t="str">
        <f ca="1">IFERROR(VLOOKUP($C140,'PIP finance'!$C$448:$S$582,17,FALSE),"")</f>
        <v/>
      </c>
      <c r="V140" s="3705"/>
      <c r="W140" s="3707"/>
      <c r="X140" s="3707"/>
      <c r="Y140" s="3701"/>
      <c r="Z140" s="3702" t="str">
        <f ca="1">IFERROR(VLOOKUP($C140,'PIP finance'!$C$448:$T$582,18,FALSE),"")</f>
        <v/>
      </c>
      <c r="AA140" s="3709" t="str">
        <f t="shared" ca="1" si="6"/>
        <v/>
      </c>
      <c r="AB140" s="3711">
        <f t="shared" ca="1" si="7"/>
        <v>0</v>
      </c>
      <c r="AC140" s="1341"/>
      <c r="AH140" s="1377" t="str">
        <f ca="1">IFERROR('Activation list'!X87,"")</f>
        <v/>
      </c>
      <c r="AI140" s="1377" t="str">
        <f ca="1">IFERROR(VLOOKUP($C140,'PIP finance'!$C$448:$R$582,14,FALSE),"")</f>
        <v/>
      </c>
      <c r="AJ140" s="1377" t="str">
        <f ca="1">IFERROR(VLOOKUP($C140,'PIP finance'!$C$448:$R$582,15,FALSE),"")</f>
        <v/>
      </c>
    </row>
    <row r="141" spans="2:36" ht="15.75" x14ac:dyDescent="0.25">
      <c r="B141" s="1341"/>
      <c r="C141" s="6832" t="str">
        <f ca="1">IFERROR('Activation list'!W88,"")</f>
        <v/>
      </c>
      <c r="D141" s="6878"/>
      <c r="E141" s="6878"/>
      <c r="F141" s="6878"/>
      <c r="G141" s="6878"/>
      <c r="H141" s="6879"/>
      <c r="I141" s="6827" t="str">
        <f ca="1">IFERROR(VLOOKUP($C141,'PIP finance'!$C$448:$N$582,2,FALSE),"")</f>
        <v/>
      </c>
      <c r="J141" s="6828"/>
      <c r="K141" s="3715" t="str">
        <f ca="1">IFERROR(VLOOKUP($C141,'PIP finance'!$C$448:$N$582,3,FALSE),"")</f>
        <v/>
      </c>
      <c r="L141" s="3716" t="str">
        <f ca="1">IFERROR(VLOOKUP($C141,'PIP finance'!$C$448:$N$582,4,FALSE),"")</f>
        <v/>
      </c>
      <c r="M141" s="3716" t="str">
        <f ca="1">IFERROR(VLOOKUP($C141,'PIP finance'!$C$448:$N$582,5,FALSE),"")</f>
        <v/>
      </c>
      <c r="N141" s="3716" t="str">
        <f ca="1">IFERROR(VLOOKUP($C141,'PIP finance'!$C$448:$N$582,6,FALSE),"")</f>
        <v/>
      </c>
      <c r="O141" s="3716" t="str">
        <f ca="1">IFERROR(VLOOKUP($C141,'PIP finance'!$C$448:$N$582,7,FALSE),"")</f>
        <v/>
      </c>
      <c r="P141" s="3716" t="str">
        <f ca="1">IFERROR(VLOOKUP($C141,'PIP finance'!$C$448:$N$582,8,FALSE),"")</f>
        <v/>
      </c>
      <c r="Q141" s="3716" t="str">
        <f ca="1">IFERROR(VLOOKUP($C141,'PIP finance'!$C$448:$N$582,9,FALSE),"")</f>
        <v/>
      </c>
      <c r="R141" s="3716" t="str">
        <f ca="1">IFERROR(VLOOKUP($C141,'PIP finance'!$C$448:$N$582,10,FALSE),"")</f>
        <v/>
      </c>
      <c r="S141" s="3716" t="str">
        <f ca="1">IFERROR(VLOOKUP($C141,'PIP finance'!$C$448:$N$582,11,FALSE),"")</f>
        <v/>
      </c>
      <c r="T141" s="3717" t="str">
        <f ca="1">IFERROR(VLOOKUP($C141,'PIP finance'!$C$448:$N$582,11,FALSE),"")</f>
        <v/>
      </c>
      <c r="U141" s="3703" t="str">
        <f ca="1">IFERROR(VLOOKUP($C141,'PIP finance'!$C$448:$S$582,17,FALSE),"")</f>
        <v/>
      </c>
      <c r="V141" s="3705"/>
      <c r="W141" s="3707"/>
      <c r="X141" s="3707"/>
      <c r="Y141" s="3701"/>
      <c r="Z141" s="3702" t="str">
        <f ca="1">IFERROR(VLOOKUP($C141,'PIP finance'!$C$448:$T$582,18,FALSE),"")</f>
        <v/>
      </c>
      <c r="AA141" s="3709" t="str">
        <f t="shared" ca="1" si="6"/>
        <v/>
      </c>
      <c r="AB141" s="3711">
        <f t="shared" ca="1" si="7"/>
        <v>0</v>
      </c>
      <c r="AC141" s="1341"/>
      <c r="AH141" s="1377" t="str">
        <f ca="1">IFERROR('Activation list'!X88,"")</f>
        <v/>
      </c>
      <c r="AI141" s="1377" t="str">
        <f ca="1">IFERROR(VLOOKUP($C141,'PIP finance'!$C$448:$R$582,14,FALSE),"")</f>
        <v/>
      </c>
      <c r="AJ141" s="1377" t="str">
        <f ca="1">IFERROR(VLOOKUP($C141,'PIP finance'!$C$448:$R$582,15,FALSE),"")</f>
        <v/>
      </c>
    </row>
    <row r="142" spans="2:36" ht="15.75" x14ac:dyDescent="0.25">
      <c r="B142" s="1341"/>
      <c r="C142" s="6832" t="str">
        <f ca="1">IFERROR('Activation list'!W89,"")</f>
        <v/>
      </c>
      <c r="D142" s="6878"/>
      <c r="E142" s="6878"/>
      <c r="F142" s="6878"/>
      <c r="G142" s="6878"/>
      <c r="H142" s="6879"/>
      <c r="I142" s="6827" t="str">
        <f ca="1">IFERROR(VLOOKUP($C142,'PIP finance'!$C$448:$N$582,2,FALSE),"")</f>
        <v/>
      </c>
      <c r="J142" s="6828"/>
      <c r="K142" s="3715" t="str">
        <f ca="1">IFERROR(VLOOKUP($C142,'PIP finance'!$C$448:$N$582,3,FALSE),"")</f>
        <v/>
      </c>
      <c r="L142" s="3716" t="str">
        <f ca="1">IFERROR(VLOOKUP($C142,'PIP finance'!$C$448:$N$582,4,FALSE),"")</f>
        <v/>
      </c>
      <c r="M142" s="3716" t="str">
        <f ca="1">IFERROR(VLOOKUP($C142,'PIP finance'!$C$448:$N$582,5,FALSE),"")</f>
        <v/>
      </c>
      <c r="N142" s="3716" t="str">
        <f ca="1">IFERROR(VLOOKUP($C142,'PIP finance'!$C$448:$N$582,6,FALSE),"")</f>
        <v/>
      </c>
      <c r="O142" s="3716" t="str">
        <f ca="1">IFERROR(VLOOKUP($C142,'PIP finance'!$C$448:$N$582,7,FALSE),"")</f>
        <v/>
      </c>
      <c r="P142" s="3716" t="str">
        <f ca="1">IFERROR(VLOOKUP($C142,'PIP finance'!$C$448:$N$582,8,FALSE),"")</f>
        <v/>
      </c>
      <c r="Q142" s="3716" t="str">
        <f ca="1">IFERROR(VLOOKUP($C142,'PIP finance'!$C$448:$N$582,9,FALSE),"")</f>
        <v/>
      </c>
      <c r="R142" s="3716" t="str">
        <f ca="1">IFERROR(VLOOKUP($C142,'PIP finance'!$C$448:$N$582,10,FALSE),"")</f>
        <v/>
      </c>
      <c r="S142" s="3716" t="str">
        <f ca="1">IFERROR(VLOOKUP($C142,'PIP finance'!$C$448:$N$582,11,FALSE),"")</f>
        <v/>
      </c>
      <c r="T142" s="3717" t="str">
        <f ca="1">IFERROR(VLOOKUP($C142,'PIP finance'!$C$448:$N$582,11,FALSE),"")</f>
        <v/>
      </c>
      <c r="U142" s="3703" t="str">
        <f ca="1">IFERROR(VLOOKUP($C142,'PIP finance'!$C$448:$S$582,17,FALSE),"")</f>
        <v/>
      </c>
      <c r="V142" s="3705"/>
      <c r="W142" s="3707"/>
      <c r="X142" s="3707"/>
      <c r="Y142" s="3701"/>
      <c r="Z142" s="3702" t="str">
        <f ca="1">IFERROR(VLOOKUP($C142,'PIP finance'!$C$448:$T$582,18,FALSE),"")</f>
        <v/>
      </c>
      <c r="AA142" s="3709" t="str">
        <f t="shared" ca="1" si="6"/>
        <v/>
      </c>
      <c r="AB142" s="3711">
        <f t="shared" ca="1" si="7"/>
        <v>0</v>
      </c>
      <c r="AC142" s="1341"/>
      <c r="AH142" s="1377" t="str">
        <f ca="1">IFERROR('Activation list'!X89,"")</f>
        <v/>
      </c>
      <c r="AI142" s="1377" t="str">
        <f ca="1">IFERROR(VLOOKUP($C142,'PIP finance'!$C$448:$R$582,14,FALSE),"")</f>
        <v/>
      </c>
      <c r="AJ142" s="1377" t="str">
        <f ca="1">IFERROR(VLOOKUP($C142,'PIP finance'!$C$448:$R$582,15,FALSE),"")</f>
        <v/>
      </c>
    </row>
    <row r="143" spans="2:36" ht="15.75" x14ac:dyDescent="0.25">
      <c r="B143" s="1341"/>
      <c r="C143" s="6832" t="str">
        <f ca="1">IFERROR('Activation list'!W90,"")</f>
        <v/>
      </c>
      <c r="D143" s="6878"/>
      <c r="E143" s="6878"/>
      <c r="F143" s="6878"/>
      <c r="G143" s="6878"/>
      <c r="H143" s="6879"/>
      <c r="I143" s="6827" t="str">
        <f ca="1">IFERROR(VLOOKUP($C143,'PIP finance'!$C$448:$N$582,2,FALSE),"")</f>
        <v/>
      </c>
      <c r="J143" s="6828"/>
      <c r="K143" s="3715" t="str">
        <f ca="1">IFERROR(VLOOKUP($C143,'PIP finance'!$C$448:$N$582,3,FALSE),"")</f>
        <v/>
      </c>
      <c r="L143" s="3716" t="str">
        <f ca="1">IFERROR(VLOOKUP($C143,'PIP finance'!$C$448:$N$582,4,FALSE),"")</f>
        <v/>
      </c>
      <c r="M143" s="3716" t="str">
        <f ca="1">IFERROR(VLOOKUP($C143,'PIP finance'!$C$448:$N$582,5,FALSE),"")</f>
        <v/>
      </c>
      <c r="N143" s="3716" t="str">
        <f ca="1">IFERROR(VLOOKUP($C143,'PIP finance'!$C$448:$N$582,6,FALSE),"")</f>
        <v/>
      </c>
      <c r="O143" s="3716" t="str">
        <f ca="1">IFERROR(VLOOKUP($C143,'PIP finance'!$C$448:$N$582,7,FALSE),"")</f>
        <v/>
      </c>
      <c r="P143" s="3716" t="str">
        <f ca="1">IFERROR(VLOOKUP($C143,'PIP finance'!$C$448:$N$582,8,FALSE),"")</f>
        <v/>
      </c>
      <c r="Q143" s="3716" t="str">
        <f ca="1">IFERROR(VLOOKUP($C143,'PIP finance'!$C$448:$N$582,9,FALSE),"")</f>
        <v/>
      </c>
      <c r="R143" s="3716" t="str">
        <f ca="1">IFERROR(VLOOKUP($C143,'PIP finance'!$C$448:$N$582,10,FALSE),"")</f>
        <v/>
      </c>
      <c r="S143" s="3716" t="str">
        <f ca="1">IFERROR(VLOOKUP($C143,'PIP finance'!$C$448:$N$582,11,FALSE),"")</f>
        <v/>
      </c>
      <c r="T143" s="3717" t="str">
        <f ca="1">IFERROR(VLOOKUP($C143,'PIP finance'!$C$448:$N$582,11,FALSE),"")</f>
        <v/>
      </c>
      <c r="U143" s="3703" t="str">
        <f ca="1">IFERROR(VLOOKUP($C143,'PIP finance'!$C$448:$S$582,17,FALSE),"")</f>
        <v/>
      </c>
      <c r="V143" s="3705"/>
      <c r="W143" s="3707"/>
      <c r="X143" s="3707"/>
      <c r="Y143" s="3701"/>
      <c r="Z143" s="3702" t="str">
        <f ca="1">IFERROR(VLOOKUP($C143,'PIP finance'!$C$448:$T$582,18,FALSE),"")</f>
        <v/>
      </c>
      <c r="AA143" s="3709" t="str">
        <f t="shared" ca="1" si="6"/>
        <v/>
      </c>
      <c r="AB143" s="3711">
        <f t="shared" ca="1" si="7"/>
        <v>0</v>
      </c>
      <c r="AC143" s="1341"/>
      <c r="AH143" s="1377" t="str">
        <f ca="1">IFERROR('Activation list'!X90,"")</f>
        <v/>
      </c>
      <c r="AI143" s="1377" t="str">
        <f ca="1">IFERROR(VLOOKUP($C143,'PIP finance'!$C$448:$R$582,14,FALSE),"")</f>
        <v/>
      </c>
      <c r="AJ143" s="1377" t="str">
        <f ca="1">IFERROR(VLOOKUP($C143,'PIP finance'!$C$448:$R$582,15,FALSE),"")</f>
        <v/>
      </c>
    </row>
    <row r="144" spans="2:36" ht="15.75" x14ac:dyDescent="0.25">
      <c r="B144" s="1341"/>
      <c r="C144" s="6832" t="str">
        <f ca="1">IFERROR('Activation list'!W91,"")</f>
        <v/>
      </c>
      <c r="D144" s="6878"/>
      <c r="E144" s="6878"/>
      <c r="F144" s="6878"/>
      <c r="G144" s="6878"/>
      <c r="H144" s="6879"/>
      <c r="I144" s="6827" t="str">
        <f ca="1">IFERROR(VLOOKUP($C144,'PIP finance'!$C$448:$N$582,2,FALSE),"")</f>
        <v/>
      </c>
      <c r="J144" s="6828"/>
      <c r="K144" s="3715" t="str">
        <f ca="1">IFERROR(VLOOKUP($C144,'PIP finance'!$C$448:$N$582,3,FALSE),"")</f>
        <v/>
      </c>
      <c r="L144" s="3716" t="str">
        <f ca="1">IFERROR(VLOOKUP($C144,'PIP finance'!$C$448:$N$582,4,FALSE),"")</f>
        <v/>
      </c>
      <c r="M144" s="3716" t="str">
        <f ca="1">IFERROR(VLOOKUP($C144,'PIP finance'!$C$448:$N$582,5,FALSE),"")</f>
        <v/>
      </c>
      <c r="N144" s="3716" t="str">
        <f ca="1">IFERROR(VLOOKUP($C144,'PIP finance'!$C$448:$N$582,6,FALSE),"")</f>
        <v/>
      </c>
      <c r="O144" s="3716" t="str">
        <f ca="1">IFERROR(VLOOKUP($C144,'PIP finance'!$C$448:$N$582,7,FALSE),"")</f>
        <v/>
      </c>
      <c r="P144" s="3716" t="str">
        <f ca="1">IFERROR(VLOOKUP($C144,'PIP finance'!$C$448:$N$582,8,FALSE),"")</f>
        <v/>
      </c>
      <c r="Q144" s="3716" t="str">
        <f ca="1">IFERROR(VLOOKUP($C144,'PIP finance'!$C$448:$N$582,9,FALSE),"")</f>
        <v/>
      </c>
      <c r="R144" s="3716" t="str">
        <f ca="1">IFERROR(VLOOKUP($C144,'PIP finance'!$C$448:$N$582,10,FALSE),"")</f>
        <v/>
      </c>
      <c r="S144" s="3716" t="str">
        <f ca="1">IFERROR(VLOOKUP($C144,'PIP finance'!$C$448:$N$582,11,FALSE),"")</f>
        <v/>
      </c>
      <c r="T144" s="3717" t="str">
        <f ca="1">IFERROR(VLOOKUP($C144,'PIP finance'!$C$448:$N$582,11,FALSE),"")</f>
        <v/>
      </c>
      <c r="U144" s="3703" t="str">
        <f ca="1">IFERROR(VLOOKUP($C144,'PIP finance'!$C$448:$S$582,17,FALSE),"")</f>
        <v/>
      </c>
      <c r="V144" s="3705"/>
      <c r="W144" s="3707"/>
      <c r="X144" s="3707"/>
      <c r="Y144" s="3701"/>
      <c r="Z144" s="3702" t="str">
        <f ca="1">IFERROR(VLOOKUP($C144,'PIP finance'!$C$448:$T$582,18,FALSE),"")</f>
        <v/>
      </c>
      <c r="AA144" s="3709" t="str">
        <f t="shared" ca="1" si="6"/>
        <v/>
      </c>
      <c r="AB144" s="3711">
        <f t="shared" ca="1" si="7"/>
        <v>0</v>
      </c>
      <c r="AC144" s="1341"/>
      <c r="AH144" s="1377" t="str">
        <f ca="1">IFERROR('Activation list'!X91,"")</f>
        <v/>
      </c>
      <c r="AI144" s="1377" t="str">
        <f ca="1">IFERROR(VLOOKUP($C144,'PIP finance'!$C$448:$R$582,14,FALSE),"")</f>
        <v/>
      </c>
      <c r="AJ144" s="1377" t="str">
        <f ca="1">IFERROR(VLOOKUP($C144,'PIP finance'!$C$448:$R$582,15,FALSE),"")</f>
        <v/>
      </c>
    </row>
    <row r="145" spans="2:36" ht="15.75" x14ac:dyDescent="0.25">
      <c r="B145" s="1341"/>
      <c r="C145" s="6832" t="str">
        <f ca="1">IFERROR('Activation list'!W92,"")</f>
        <v/>
      </c>
      <c r="D145" s="6878"/>
      <c r="E145" s="6878"/>
      <c r="F145" s="6878"/>
      <c r="G145" s="6878"/>
      <c r="H145" s="6879"/>
      <c r="I145" s="6827" t="str">
        <f ca="1">IFERROR(VLOOKUP($C145,'PIP finance'!$C$448:$N$582,2,FALSE),"")</f>
        <v/>
      </c>
      <c r="J145" s="6828"/>
      <c r="K145" s="3715" t="str">
        <f ca="1">IFERROR(VLOOKUP($C145,'PIP finance'!$C$448:$N$582,3,FALSE),"")</f>
        <v/>
      </c>
      <c r="L145" s="3716" t="str">
        <f ca="1">IFERROR(VLOOKUP($C145,'PIP finance'!$C$448:$N$582,4,FALSE),"")</f>
        <v/>
      </c>
      <c r="M145" s="3716" t="str">
        <f ca="1">IFERROR(VLOOKUP($C145,'PIP finance'!$C$448:$N$582,5,FALSE),"")</f>
        <v/>
      </c>
      <c r="N145" s="3716" t="str">
        <f ca="1">IFERROR(VLOOKUP($C145,'PIP finance'!$C$448:$N$582,6,FALSE),"")</f>
        <v/>
      </c>
      <c r="O145" s="3716" t="str">
        <f ca="1">IFERROR(VLOOKUP($C145,'PIP finance'!$C$448:$N$582,7,FALSE),"")</f>
        <v/>
      </c>
      <c r="P145" s="3716" t="str">
        <f ca="1">IFERROR(VLOOKUP($C145,'PIP finance'!$C$448:$N$582,8,FALSE),"")</f>
        <v/>
      </c>
      <c r="Q145" s="3716" t="str">
        <f ca="1">IFERROR(VLOOKUP($C145,'PIP finance'!$C$448:$N$582,9,FALSE),"")</f>
        <v/>
      </c>
      <c r="R145" s="3716" t="str">
        <f ca="1">IFERROR(VLOOKUP($C145,'PIP finance'!$C$448:$N$582,10,FALSE),"")</f>
        <v/>
      </c>
      <c r="S145" s="3716" t="str">
        <f ca="1">IFERROR(VLOOKUP($C145,'PIP finance'!$C$448:$N$582,11,FALSE),"")</f>
        <v/>
      </c>
      <c r="T145" s="3717" t="str">
        <f ca="1">IFERROR(VLOOKUP($C145,'PIP finance'!$C$448:$N$582,11,FALSE),"")</f>
        <v/>
      </c>
      <c r="U145" s="3703" t="str">
        <f ca="1">IFERROR(VLOOKUP($C145,'PIP finance'!$C$448:$S$582,17,FALSE),"")</f>
        <v/>
      </c>
      <c r="V145" s="3705"/>
      <c r="W145" s="3707"/>
      <c r="X145" s="3707"/>
      <c r="Y145" s="3701"/>
      <c r="Z145" s="3702" t="str">
        <f ca="1">IFERROR(VLOOKUP($C145,'PIP finance'!$C$448:$T$582,18,FALSE),"")</f>
        <v/>
      </c>
      <c r="AA145" s="3709" t="str">
        <f t="shared" ca="1" si="6"/>
        <v/>
      </c>
      <c r="AB145" s="3711">
        <f t="shared" ca="1" si="7"/>
        <v>0</v>
      </c>
      <c r="AC145" s="1341"/>
      <c r="AH145" s="1377" t="str">
        <f ca="1">IFERROR('Activation list'!X92,"")</f>
        <v/>
      </c>
      <c r="AI145" s="1377" t="str">
        <f ca="1">IFERROR(VLOOKUP($C145,'PIP finance'!$C$448:$R$582,14,FALSE),"")</f>
        <v/>
      </c>
      <c r="AJ145" s="1377" t="str">
        <f ca="1">IFERROR(VLOOKUP($C145,'PIP finance'!$C$448:$R$582,15,FALSE),"")</f>
        <v/>
      </c>
    </row>
    <row r="146" spans="2:36" ht="15.75" x14ac:dyDescent="0.25">
      <c r="B146" s="1341"/>
      <c r="C146" s="6832" t="str">
        <f ca="1">IFERROR('Activation list'!W93,"")</f>
        <v/>
      </c>
      <c r="D146" s="6878"/>
      <c r="E146" s="6878"/>
      <c r="F146" s="6878"/>
      <c r="G146" s="6878"/>
      <c r="H146" s="6879"/>
      <c r="I146" s="6827" t="str">
        <f ca="1">IFERROR(VLOOKUP($C146,'PIP finance'!$C$448:$N$582,2,FALSE),"")</f>
        <v/>
      </c>
      <c r="J146" s="6828"/>
      <c r="K146" s="3715" t="str">
        <f ca="1">IFERROR(VLOOKUP($C146,'PIP finance'!$C$448:$N$582,3,FALSE),"")</f>
        <v/>
      </c>
      <c r="L146" s="3716" t="str">
        <f ca="1">IFERROR(VLOOKUP($C146,'PIP finance'!$C$448:$N$582,4,FALSE),"")</f>
        <v/>
      </c>
      <c r="M146" s="3716" t="str">
        <f ca="1">IFERROR(VLOOKUP($C146,'PIP finance'!$C$448:$N$582,5,FALSE),"")</f>
        <v/>
      </c>
      <c r="N146" s="3716" t="str">
        <f ca="1">IFERROR(VLOOKUP($C146,'PIP finance'!$C$448:$N$582,6,FALSE),"")</f>
        <v/>
      </c>
      <c r="O146" s="3716" t="str">
        <f ca="1">IFERROR(VLOOKUP($C146,'PIP finance'!$C$448:$N$582,7,FALSE),"")</f>
        <v/>
      </c>
      <c r="P146" s="3716" t="str">
        <f ca="1">IFERROR(VLOOKUP($C146,'PIP finance'!$C$448:$N$582,8,FALSE),"")</f>
        <v/>
      </c>
      <c r="Q146" s="3716" t="str">
        <f ca="1">IFERROR(VLOOKUP($C146,'PIP finance'!$C$448:$N$582,9,FALSE),"")</f>
        <v/>
      </c>
      <c r="R146" s="3716" t="str">
        <f ca="1">IFERROR(VLOOKUP($C146,'PIP finance'!$C$448:$N$582,10,FALSE),"")</f>
        <v/>
      </c>
      <c r="S146" s="3716" t="str">
        <f ca="1">IFERROR(VLOOKUP($C146,'PIP finance'!$C$448:$N$582,11,FALSE),"")</f>
        <v/>
      </c>
      <c r="T146" s="3717" t="str">
        <f ca="1">IFERROR(VLOOKUP($C146,'PIP finance'!$C$448:$N$582,11,FALSE),"")</f>
        <v/>
      </c>
      <c r="U146" s="3703" t="str">
        <f ca="1">IFERROR(VLOOKUP($C146,'PIP finance'!$C$448:$S$582,17,FALSE),"")</f>
        <v/>
      </c>
      <c r="V146" s="3705"/>
      <c r="W146" s="3707"/>
      <c r="X146" s="3707"/>
      <c r="Y146" s="3701"/>
      <c r="Z146" s="3702" t="str">
        <f ca="1">IFERROR(VLOOKUP($C146,'PIP finance'!$C$448:$T$582,18,FALSE),"")</f>
        <v/>
      </c>
      <c r="AA146" s="3709" t="str">
        <f t="shared" ca="1" si="6"/>
        <v/>
      </c>
      <c r="AB146" s="3711">
        <f t="shared" ca="1" si="7"/>
        <v>0</v>
      </c>
      <c r="AC146" s="1341"/>
      <c r="AH146" s="1377" t="str">
        <f ca="1">IFERROR('Activation list'!X93,"")</f>
        <v/>
      </c>
      <c r="AI146" s="1377" t="str">
        <f ca="1">IFERROR(VLOOKUP($C146,'PIP finance'!$C$448:$R$582,14,FALSE),"")</f>
        <v/>
      </c>
      <c r="AJ146" s="1377" t="str">
        <f ca="1">IFERROR(VLOOKUP($C146,'PIP finance'!$C$448:$R$582,15,FALSE),"")</f>
        <v/>
      </c>
    </row>
    <row r="147" spans="2:36" ht="15.75" x14ac:dyDescent="0.25">
      <c r="B147" s="1341"/>
      <c r="C147" s="6832" t="str">
        <f ca="1">IFERROR('Activation list'!W94,"")</f>
        <v/>
      </c>
      <c r="D147" s="6878"/>
      <c r="E147" s="6878"/>
      <c r="F147" s="6878"/>
      <c r="G147" s="6878"/>
      <c r="H147" s="6879"/>
      <c r="I147" s="6827" t="str">
        <f ca="1">IFERROR(VLOOKUP($C147,'PIP finance'!$C$448:$N$582,2,FALSE),"")</f>
        <v/>
      </c>
      <c r="J147" s="6828"/>
      <c r="K147" s="3715" t="str">
        <f ca="1">IFERROR(VLOOKUP($C147,'PIP finance'!$C$448:$N$582,3,FALSE),"")</f>
        <v/>
      </c>
      <c r="L147" s="3716" t="str">
        <f ca="1">IFERROR(VLOOKUP($C147,'PIP finance'!$C$448:$N$582,4,FALSE),"")</f>
        <v/>
      </c>
      <c r="M147" s="3716" t="str">
        <f ca="1">IFERROR(VLOOKUP($C147,'PIP finance'!$C$448:$N$582,5,FALSE),"")</f>
        <v/>
      </c>
      <c r="N147" s="3716" t="str">
        <f ca="1">IFERROR(VLOOKUP($C147,'PIP finance'!$C$448:$N$582,6,FALSE),"")</f>
        <v/>
      </c>
      <c r="O147" s="3716" t="str">
        <f ca="1">IFERROR(VLOOKUP($C147,'PIP finance'!$C$448:$N$582,7,FALSE),"")</f>
        <v/>
      </c>
      <c r="P147" s="3716" t="str">
        <f ca="1">IFERROR(VLOOKUP($C147,'PIP finance'!$C$448:$N$582,8,FALSE),"")</f>
        <v/>
      </c>
      <c r="Q147" s="3716" t="str">
        <f ca="1">IFERROR(VLOOKUP($C147,'PIP finance'!$C$448:$N$582,9,FALSE),"")</f>
        <v/>
      </c>
      <c r="R147" s="3716" t="str">
        <f ca="1">IFERROR(VLOOKUP($C147,'PIP finance'!$C$448:$N$582,10,FALSE),"")</f>
        <v/>
      </c>
      <c r="S147" s="3716" t="str">
        <f ca="1">IFERROR(VLOOKUP($C147,'PIP finance'!$C$448:$N$582,11,FALSE),"")</f>
        <v/>
      </c>
      <c r="T147" s="3717" t="str">
        <f ca="1">IFERROR(VLOOKUP($C147,'PIP finance'!$C$448:$N$582,11,FALSE),"")</f>
        <v/>
      </c>
      <c r="U147" s="3703" t="str">
        <f ca="1">IFERROR(VLOOKUP($C147,'PIP finance'!$C$448:$S$582,17,FALSE),"")</f>
        <v/>
      </c>
      <c r="V147" s="3705"/>
      <c r="W147" s="3707"/>
      <c r="X147" s="3707"/>
      <c r="Y147" s="3701"/>
      <c r="Z147" s="3702" t="str">
        <f ca="1">IFERROR(VLOOKUP($C147,'PIP finance'!$C$448:$T$582,18,FALSE),"")</f>
        <v/>
      </c>
      <c r="AA147" s="3709" t="str">
        <f t="shared" ca="1" si="6"/>
        <v/>
      </c>
      <c r="AB147" s="3711">
        <f t="shared" ca="1" si="7"/>
        <v>0</v>
      </c>
      <c r="AC147" s="1341"/>
      <c r="AH147" s="1377" t="str">
        <f ca="1">IFERROR('Activation list'!X94,"")</f>
        <v/>
      </c>
      <c r="AI147" s="1377" t="str">
        <f ca="1">IFERROR(VLOOKUP($C147,'PIP finance'!$C$448:$R$582,14,FALSE),"")</f>
        <v/>
      </c>
      <c r="AJ147" s="1377" t="str">
        <f ca="1">IFERROR(VLOOKUP($C147,'PIP finance'!$C$448:$R$582,15,FALSE),"")</f>
        <v/>
      </c>
    </row>
    <row r="148" spans="2:36" ht="15.75" x14ac:dyDescent="0.25">
      <c r="B148" s="1341"/>
      <c r="C148" s="6832" t="str">
        <f ca="1">IFERROR('Activation list'!W95,"")</f>
        <v/>
      </c>
      <c r="D148" s="6878"/>
      <c r="E148" s="6878"/>
      <c r="F148" s="6878"/>
      <c r="G148" s="6878"/>
      <c r="H148" s="6879"/>
      <c r="I148" s="6827" t="str">
        <f ca="1">IFERROR(VLOOKUP($C148,'PIP finance'!$C$448:$N$582,2,FALSE),"")</f>
        <v/>
      </c>
      <c r="J148" s="6828"/>
      <c r="K148" s="3715" t="str">
        <f ca="1">IFERROR(VLOOKUP($C148,'PIP finance'!$C$448:$N$582,3,FALSE),"")</f>
        <v/>
      </c>
      <c r="L148" s="3716" t="str">
        <f ca="1">IFERROR(VLOOKUP($C148,'PIP finance'!$C$448:$N$582,4,FALSE),"")</f>
        <v/>
      </c>
      <c r="M148" s="3716" t="str">
        <f ca="1">IFERROR(VLOOKUP($C148,'PIP finance'!$C$448:$N$582,5,FALSE),"")</f>
        <v/>
      </c>
      <c r="N148" s="3716" t="str">
        <f ca="1">IFERROR(VLOOKUP($C148,'PIP finance'!$C$448:$N$582,6,FALSE),"")</f>
        <v/>
      </c>
      <c r="O148" s="3716" t="str">
        <f ca="1">IFERROR(VLOOKUP($C148,'PIP finance'!$C$448:$N$582,7,FALSE),"")</f>
        <v/>
      </c>
      <c r="P148" s="3716" t="str">
        <f ca="1">IFERROR(VLOOKUP($C148,'PIP finance'!$C$448:$N$582,8,FALSE),"")</f>
        <v/>
      </c>
      <c r="Q148" s="3716" t="str">
        <f ca="1">IFERROR(VLOOKUP($C148,'PIP finance'!$C$448:$N$582,9,FALSE),"")</f>
        <v/>
      </c>
      <c r="R148" s="3716" t="str">
        <f ca="1">IFERROR(VLOOKUP($C148,'PIP finance'!$C$448:$N$582,10,FALSE),"")</f>
        <v/>
      </c>
      <c r="S148" s="3716" t="str">
        <f ca="1">IFERROR(VLOOKUP($C148,'PIP finance'!$C$448:$N$582,11,FALSE),"")</f>
        <v/>
      </c>
      <c r="T148" s="3717" t="str">
        <f ca="1">IFERROR(VLOOKUP($C148,'PIP finance'!$C$448:$N$582,11,FALSE),"")</f>
        <v/>
      </c>
      <c r="U148" s="3703" t="str">
        <f ca="1">IFERROR(VLOOKUP($C148,'PIP finance'!$C$448:$S$582,17,FALSE),"")</f>
        <v/>
      </c>
      <c r="V148" s="3705"/>
      <c r="W148" s="3707"/>
      <c r="X148" s="3707"/>
      <c r="Y148" s="3701"/>
      <c r="Z148" s="3702" t="str">
        <f ca="1">IFERROR(VLOOKUP($C148,'PIP finance'!$C$448:$T$582,18,FALSE),"")</f>
        <v/>
      </c>
      <c r="AA148" s="3709" t="str">
        <f t="shared" ca="1" si="6"/>
        <v/>
      </c>
      <c r="AB148" s="3711">
        <f t="shared" ca="1" si="7"/>
        <v>0</v>
      </c>
      <c r="AC148" s="1341"/>
      <c r="AH148" s="1377" t="str">
        <f ca="1">IFERROR('Activation list'!X95,"")</f>
        <v/>
      </c>
      <c r="AI148" s="1377" t="str">
        <f ca="1">IFERROR(VLOOKUP($C148,'PIP finance'!$C$448:$R$582,14,FALSE),"")</f>
        <v/>
      </c>
      <c r="AJ148" s="1377" t="str">
        <f ca="1">IFERROR(VLOOKUP($C148,'PIP finance'!$C$448:$R$582,15,FALSE),"")</f>
        <v/>
      </c>
    </row>
    <row r="149" spans="2:36" ht="15.75" x14ac:dyDescent="0.25">
      <c r="B149" s="1341"/>
      <c r="C149" s="6832" t="str">
        <f ca="1">IFERROR('Activation list'!W96,"")</f>
        <v/>
      </c>
      <c r="D149" s="6878"/>
      <c r="E149" s="6878"/>
      <c r="F149" s="6878"/>
      <c r="G149" s="6878"/>
      <c r="H149" s="6879"/>
      <c r="I149" s="6827" t="str">
        <f ca="1">IFERROR(VLOOKUP($C149,'PIP finance'!$C$448:$N$582,2,FALSE),"")</f>
        <v/>
      </c>
      <c r="J149" s="6828"/>
      <c r="K149" s="3715" t="str">
        <f ca="1">IFERROR(VLOOKUP($C149,'PIP finance'!$C$448:$N$582,3,FALSE),"")</f>
        <v/>
      </c>
      <c r="L149" s="3716" t="str">
        <f ca="1">IFERROR(VLOOKUP($C149,'PIP finance'!$C$448:$N$582,4,FALSE),"")</f>
        <v/>
      </c>
      <c r="M149" s="3716" t="str">
        <f ca="1">IFERROR(VLOOKUP($C149,'PIP finance'!$C$448:$N$582,5,FALSE),"")</f>
        <v/>
      </c>
      <c r="N149" s="3716" t="str">
        <f ca="1">IFERROR(VLOOKUP($C149,'PIP finance'!$C$448:$N$582,6,FALSE),"")</f>
        <v/>
      </c>
      <c r="O149" s="3716" t="str">
        <f ca="1">IFERROR(VLOOKUP($C149,'PIP finance'!$C$448:$N$582,7,FALSE),"")</f>
        <v/>
      </c>
      <c r="P149" s="3716" t="str">
        <f ca="1">IFERROR(VLOOKUP($C149,'PIP finance'!$C$448:$N$582,8,FALSE),"")</f>
        <v/>
      </c>
      <c r="Q149" s="3716" t="str">
        <f ca="1">IFERROR(VLOOKUP($C149,'PIP finance'!$C$448:$N$582,9,FALSE),"")</f>
        <v/>
      </c>
      <c r="R149" s="3716" t="str">
        <f ca="1">IFERROR(VLOOKUP($C149,'PIP finance'!$C$448:$N$582,10,FALSE),"")</f>
        <v/>
      </c>
      <c r="S149" s="3716" t="str">
        <f ca="1">IFERROR(VLOOKUP($C149,'PIP finance'!$C$448:$N$582,11,FALSE),"")</f>
        <v/>
      </c>
      <c r="T149" s="3717" t="str">
        <f ca="1">IFERROR(VLOOKUP($C149,'PIP finance'!$C$448:$N$582,11,FALSE),"")</f>
        <v/>
      </c>
      <c r="U149" s="3703" t="str">
        <f ca="1">IFERROR(VLOOKUP($C149,'PIP finance'!$C$448:$S$582,17,FALSE),"")</f>
        <v/>
      </c>
      <c r="V149" s="3705"/>
      <c r="W149" s="3707"/>
      <c r="X149" s="3707"/>
      <c r="Y149" s="3701"/>
      <c r="Z149" s="3702" t="str">
        <f ca="1">IFERROR(VLOOKUP($C149,'PIP finance'!$C$448:$T$582,18,FALSE),"")</f>
        <v/>
      </c>
      <c r="AA149" s="3709" t="str">
        <f t="shared" ca="1" si="6"/>
        <v/>
      </c>
      <c r="AB149" s="3711">
        <f t="shared" ca="1" si="7"/>
        <v>0</v>
      </c>
      <c r="AC149" s="1341"/>
      <c r="AH149" s="1377" t="str">
        <f ca="1">IFERROR('Activation list'!X96,"")</f>
        <v/>
      </c>
      <c r="AI149" s="1377" t="str">
        <f ca="1">IFERROR(VLOOKUP($C149,'PIP finance'!$C$448:$R$582,14,FALSE),"")</f>
        <v/>
      </c>
      <c r="AJ149" s="1377" t="str">
        <f ca="1">IFERROR(VLOOKUP($C149,'PIP finance'!$C$448:$R$582,15,FALSE),"")</f>
        <v/>
      </c>
    </row>
    <row r="150" spans="2:36" ht="15.75" x14ac:dyDescent="0.25">
      <c r="B150" s="1341"/>
      <c r="C150" s="6832" t="str">
        <f ca="1">IFERROR('Activation list'!W97,"")</f>
        <v/>
      </c>
      <c r="D150" s="6878"/>
      <c r="E150" s="6878"/>
      <c r="F150" s="6878"/>
      <c r="G150" s="6878"/>
      <c r="H150" s="6879"/>
      <c r="I150" s="6827" t="str">
        <f ca="1">IFERROR(VLOOKUP($C150,'PIP finance'!$C$448:$N$582,2,FALSE),"")</f>
        <v/>
      </c>
      <c r="J150" s="6828"/>
      <c r="K150" s="3715" t="str">
        <f ca="1">IFERROR(VLOOKUP($C150,'PIP finance'!$C$448:$N$582,3,FALSE),"")</f>
        <v/>
      </c>
      <c r="L150" s="3716" t="str">
        <f ca="1">IFERROR(VLOOKUP($C150,'PIP finance'!$C$448:$N$582,4,FALSE),"")</f>
        <v/>
      </c>
      <c r="M150" s="3716" t="str">
        <f ca="1">IFERROR(VLOOKUP($C150,'PIP finance'!$C$448:$N$582,5,FALSE),"")</f>
        <v/>
      </c>
      <c r="N150" s="3716" t="str">
        <f ca="1">IFERROR(VLOOKUP($C150,'PIP finance'!$C$448:$N$582,6,FALSE),"")</f>
        <v/>
      </c>
      <c r="O150" s="3716" t="str">
        <f ca="1">IFERROR(VLOOKUP($C150,'PIP finance'!$C$448:$N$582,7,FALSE),"")</f>
        <v/>
      </c>
      <c r="P150" s="3716" t="str">
        <f ca="1">IFERROR(VLOOKUP($C150,'PIP finance'!$C$448:$N$582,8,FALSE),"")</f>
        <v/>
      </c>
      <c r="Q150" s="3716" t="str">
        <f ca="1">IFERROR(VLOOKUP($C150,'PIP finance'!$C$448:$N$582,9,FALSE),"")</f>
        <v/>
      </c>
      <c r="R150" s="3716" t="str">
        <f ca="1">IFERROR(VLOOKUP($C150,'PIP finance'!$C$448:$N$582,10,FALSE),"")</f>
        <v/>
      </c>
      <c r="S150" s="3716" t="str">
        <f ca="1">IFERROR(VLOOKUP($C150,'PIP finance'!$C$448:$N$582,11,FALSE),"")</f>
        <v/>
      </c>
      <c r="T150" s="3717" t="str">
        <f ca="1">IFERROR(VLOOKUP($C150,'PIP finance'!$C$448:$N$582,11,FALSE),"")</f>
        <v/>
      </c>
      <c r="U150" s="3703" t="str">
        <f ca="1">IFERROR(VLOOKUP($C150,'PIP finance'!$C$448:$S$582,17,FALSE),"")</f>
        <v/>
      </c>
      <c r="V150" s="3705"/>
      <c r="W150" s="3707"/>
      <c r="X150" s="3707"/>
      <c r="Y150" s="3701"/>
      <c r="Z150" s="3702" t="str">
        <f ca="1">IFERROR(VLOOKUP($C150,'PIP finance'!$C$448:$T$582,18,FALSE),"")</f>
        <v/>
      </c>
      <c r="AA150" s="3709" t="str">
        <f t="shared" ca="1" si="6"/>
        <v/>
      </c>
      <c r="AB150" s="3711">
        <f t="shared" ca="1" si="7"/>
        <v>0</v>
      </c>
      <c r="AC150" s="1341"/>
      <c r="AH150" s="1377" t="str">
        <f ca="1">IFERROR('Activation list'!X97,"")</f>
        <v/>
      </c>
      <c r="AI150" s="1377" t="str">
        <f ca="1">IFERROR(VLOOKUP($C150,'PIP finance'!$C$448:$R$582,14,FALSE),"")</f>
        <v/>
      </c>
      <c r="AJ150" s="1377" t="str">
        <f ca="1">IFERROR(VLOOKUP($C150,'PIP finance'!$C$448:$R$582,15,FALSE),"")</f>
        <v/>
      </c>
    </row>
    <row r="151" spans="2:36" ht="15.75" x14ac:dyDescent="0.25">
      <c r="B151" s="1341"/>
      <c r="C151" s="6832" t="str">
        <f ca="1">IFERROR('Activation list'!W98,"")</f>
        <v/>
      </c>
      <c r="D151" s="6878"/>
      <c r="E151" s="6878"/>
      <c r="F151" s="6878"/>
      <c r="G151" s="6878"/>
      <c r="H151" s="6879"/>
      <c r="I151" s="6827" t="str">
        <f ca="1">IFERROR(VLOOKUP($C151,'PIP finance'!$C$448:$N$582,2,FALSE),"")</f>
        <v/>
      </c>
      <c r="J151" s="6828"/>
      <c r="K151" s="3715" t="str">
        <f ca="1">IFERROR(VLOOKUP($C151,'PIP finance'!$C$448:$N$582,3,FALSE),"")</f>
        <v/>
      </c>
      <c r="L151" s="3716" t="str">
        <f ca="1">IFERROR(VLOOKUP($C151,'PIP finance'!$C$448:$N$582,4,FALSE),"")</f>
        <v/>
      </c>
      <c r="M151" s="3716" t="str">
        <f ca="1">IFERROR(VLOOKUP($C151,'PIP finance'!$C$448:$N$582,5,FALSE),"")</f>
        <v/>
      </c>
      <c r="N151" s="3716" t="str">
        <f ca="1">IFERROR(VLOOKUP($C151,'PIP finance'!$C$448:$N$582,6,FALSE),"")</f>
        <v/>
      </c>
      <c r="O151" s="3716" t="str">
        <f ca="1">IFERROR(VLOOKUP($C151,'PIP finance'!$C$448:$N$582,7,FALSE),"")</f>
        <v/>
      </c>
      <c r="P151" s="3716" t="str">
        <f ca="1">IFERROR(VLOOKUP($C151,'PIP finance'!$C$448:$N$582,8,FALSE),"")</f>
        <v/>
      </c>
      <c r="Q151" s="3716" t="str">
        <f ca="1">IFERROR(VLOOKUP($C151,'PIP finance'!$C$448:$N$582,9,FALSE),"")</f>
        <v/>
      </c>
      <c r="R151" s="3716" t="str">
        <f ca="1">IFERROR(VLOOKUP($C151,'PIP finance'!$C$448:$N$582,10,FALSE),"")</f>
        <v/>
      </c>
      <c r="S151" s="3716" t="str">
        <f ca="1">IFERROR(VLOOKUP($C151,'PIP finance'!$C$448:$N$582,11,FALSE),"")</f>
        <v/>
      </c>
      <c r="T151" s="3717" t="str">
        <f ca="1">IFERROR(VLOOKUP($C151,'PIP finance'!$C$448:$N$582,11,FALSE),"")</f>
        <v/>
      </c>
      <c r="U151" s="3703" t="str">
        <f ca="1">IFERROR(VLOOKUP($C151,'PIP finance'!$C$448:$S$582,17,FALSE),"")</f>
        <v/>
      </c>
      <c r="V151" s="3705"/>
      <c r="W151" s="3707"/>
      <c r="X151" s="3707"/>
      <c r="Y151" s="3701"/>
      <c r="Z151" s="3702" t="str">
        <f ca="1">IFERROR(VLOOKUP($C151,'PIP finance'!$C$448:$T$582,18,FALSE),"")</f>
        <v/>
      </c>
      <c r="AA151" s="3709" t="str">
        <f t="shared" ca="1" si="6"/>
        <v/>
      </c>
      <c r="AB151" s="3711">
        <f t="shared" ca="1" si="7"/>
        <v>0</v>
      </c>
      <c r="AC151" s="1341"/>
      <c r="AH151" s="1377" t="str">
        <f ca="1">IFERROR('Activation list'!X98,"")</f>
        <v/>
      </c>
      <c r="AI151" s="1377" t="str">
        <f ca="1">IFERROR(VLOOKUP($C151,'PIP finance'!$C$448:$R$582,14,FALSE),"")</f>
        <v/>
      </c>
      <c r="AJ151" s="1377" t="str">
        <f ca="1">IFERROR(VLOOKUP($C151,'PIP finance'!$C$448:$R$582,15,FALSE),"")</f>
        <v/>
      </c>
    </row>
    <row r="152" spans="2:36" ht="15.75" x14ac:dyDescent="0.25">
      <c r="B152" s="1341"/>
      <c r="C152" s="6832" t="str">
        <f ca="1">IFERROR('Activation list'!W99,"")</f>
        <v/>
      </c>
      <c r="D152" s="6878"/>
      <c r="E152" s="6878"/>
      <c r="F152" s="6878"/>
      <c r="G152" s="6878"/>
      <c r="H152" s="6879"/>
      <c r="I152" s="6827" t="str">
        <f ca="1">IFERROR(VLOOKUP($C152,'PIP finance'!$C$448:$N$582,2,FALSE),"")</f>
        <v/>
      </c>
      <c r="J152" s="6828"/>
      <c r="K152" s="3715" t="str">
        <f ca="1">IFERROR(VLOOKUP($C152,'PIP finance'!$C$448:$N$582,3,FALSE),"")</f>
        <v/>
      </c>
      <c r="L152" s="3716" t="str">
        <f ca="1">IFERROR(VLOOKUP($C152,'PIP finance'!$C$448:$N$582,4,FALSE),"")</f>
        <v/>
      </c>
      <c r="M152" s="3716" t="str">
        <f ca="1">IFERROR(VLOOKUP($C152,'PIP finance'!$C$448:$N$582,5,FALSE),"")</f>
        <v/>
      </c>
      <c r="N152" s="3716" t="str">
        <f ca="1">IFERROR(VLOOKUP($C152,'PIP finance'!$C$448:$N$582,6,FALSE),"")</f>
        <v/>
      </c>
      <c r="O152" s="3716" t="str">
        <f ca="1">IFERROR(VLOOKUP($C152,'PIP finance'!$C$448:$N$582,7,FALSE),"")</f>
        <v/>
      </c>
      <c r="P152" s="3716" t="str">
        <f ca="1">IFERROR(VLOOKUP($C152,'PIP finance'!$C$448:$N$582,8,FALSE),"")</f>
        <v/>
      </c>
      <c r="Q152" s="3716" t="str">
        <f ca="1">IFERROR(VLOOKUP($C152,'PIP finance'!$C$448:$N$582,9,FALSE),"")</f>
        <v/>
      </c>
      <c r="R152" s="3716" t="str">
        <f ca="1">IFERROR(VLOOKUP($C152,'PIP finance'!$C$448:$N$582,10,FALSE),"")</f>
        <v/>
      </c>
      <c r="S152" s="3716" t="str">
        <f ca="1">IFERROR(VLOOKUP($C152,'PIP finance'!$C$448:$N$582,11,FALSE),"")</f>
        <v/>
      </c>
      <c r="T152" s="3717" t="str">
        <f ca="1">IFERROR(VLOOKUP($C152,'PIP finance'!$C$448:$N$582,11,FALSE),"")</f>
        <v/>
      </c>
      <c r="U152" s="3703" t="str">
        <f ca="1">IFERROR(VLOOKUP($C152,'PIP finance'!$C$448:$S$582,17,FALSE),"")</f>
        <v/>
      </c>
      <c r="V152" s="3705"/>
      <c r="W152" s="3707"/>
      <c r="X152" s="3707"/>
      <c r="Y152" s="3701"/>
      <c r="Z152" s="3702" t="str">
        <f ca="1">IFERROR(VLOOKUP($C152,'PIP finance'!$C$448:$T$582,18,FALSE),"")</f>
        <v/>
      </c>
      <c r="AA152" s="3709" t="str">
        <f t="shared" ref="AA152:AA170" ca="1" si="8">IF(C152&lt;&gt;"",1-SUM(V152:Z152),"")</f>
        <v/>
      </c>
      <c r="AB152" s="3711">
        <f t="shared" ca="1" si="7"/>
        <v>0</v>
      </c>
      <c r="AC152" s="1341"/>
      <c r="AH152" s="1377" t="str">
        <f ca="1">IFERROR('Activation list'!X99,"")</f>
        <v/>
      </c>
      <c r="AI152" s="1377" t="str">
        <f ca="1">IFERROR(VLOOKUP($C152,'PIP finance'!$C$448:$R$582,14,FALSE),"")</f>
        <v/>
      </c>
      <c r="AJ152" s="1377" t="str">
        <f ca="1">IFERROR(VLOOKUP($C152,'PIP finance'!$C$448:$R$582,15,FALSE),"")</f>
        <v/>
      </c>
    </row>
    <row r="153" spans="2:36" ht="15.75" x14ac:dyDescent="0.25">
      <c r="B153" s="1341"/>
      <c r="C153" s="6832" t="str">
        <f ca="1">IFERROR('Activation list'!W100,"")</f>
        <v/>
      </c>
      <c r="D153" s="6878"/>
      <c r="E153" s="6878"/>
      <c r="F153" s="6878"/>
      <c r="G153" s="6878"/>
      <c r="H153" s="6879"/>
      <c r="I153" s="6827" t="str">
        <f ca="1">IFERROR(VLOOKUP($C153,'PIP finance'!$C$448:$N$582,2,FALSE),"")</f>
        <v/>
      </c>
      <c r="J153" s="6828"/>
      <c r="K153" s="3715" t="str">
        <f ca="1">IFERROR(VLOOKUP($C153,'PIP finance'!$C$448:$N$582,3,FALSE),"")</f>
        <v/>
      </c>
      <c r="L153" s="3716" t="str">
        <f ca="1">IFERROR(VLOOKUP($C153,'PIP finance'!$C$448:$N$582,4,FALSE),"")</f>
        <v/>
      </c>
      <c r="M153" s="3716" t="str">
        <f ca="1">IFERROR(VLOOKUP($C153,'PIP finance'!$C$448:$N$582,5,FALSE),"")</f>
        <v/>
      </c>
      <c r="N153" s="3716" t="str">
        <f ca="1">IFERROR(VLOOKUP($C153,'PIP finance'!$C$448:$N$582,6,FALSE),"")</f>
        <v/>
      </c>
      <c r="O153" s="3716" t="str">
        <f ca="1">IFERROR(VLOOKUP($C153,'PIP finance'!$C$448:$N$582,7,FALSE),"")</f>
        <v/>
      </c>
      <c r="P153" s="3716" t="str">
        <f ca="1">IFERROR(VLOOKUP($C153,'PIP finance'!$C$448:$N$582,8,FALSE),"")</f>
        <v/>
      </c>
      <c r="Q153" s="3716" t="str">
        <f ca="1">IFERROR(VLOOKUP($C153,'PIP finance'!$C$448:$N$582,9,FALSE),"")</f>
        <v/>
      </c>
      <c r="R153" s="3716" t="str">
        <f ca="1">IFERROR(VLOOKUP($C153,'PIP finance'!$C$448:$N$582,10,FALSE),"")</f>
        <v/>
      </c>
      <c r="S153" s="3716" t="str">
        <f ca="1">IFERROR(VLOOKUP($C153,'PIP finance'!$C$448:$N$582,11,FALSE),"")</f>
        <v/>
      </c>
      <c r="T153" s="3717" t="str">
        <f ca="1">IFERROR(VLOOKUP($C153,'PIP finance'!$C$448:$N$582,11,FALSE),"")</f>
        <v/>
      </c>
      <c r="U153" s="3703" t="str">
        <f ca="1">IFERROR(VLOOKUP($C153,'PIP finance'!$C$448:$S$582,17,FALSE),"")</f>
        <v/>
      </c>
      <c r="V153" s="3705"/>
      <c r="W153" s="3707"/>
      <c r="X153" s="3707"/>
      <c r="Y153" s="3701"/>
      <c r="Z153" s="3702" t="str">
        <f ca="1">IFERROR(VLOOKUP($C153,'PIP finance'!$C$448:$T$582,18,FALSE),"")</f>
        <v/>
      </c>
      <c r="AA153" s="3709" t="str">
        <f t="shared" ca="1" si="8"/>
        <v/>
      </c>
      <c r="AB153" s="3711">
        <f t="shared" ca="1" si="7"/>
        <v>0</v>
      </c>
      <c r="AC153" s="1341"/>
      <c r="AH153" s="1377" t="str">
        <f ca="1">IFERROR('Activation list'!X100,"")</f>
        <v/>
      </c>
      <c r="AI153" s="1377" t="str">
        <f ca="1">IFERROR(VLOOKUP($C153,'PIP finance'!$C$448:$R$582,14,FALSE),"")</f>
        <v/>
      </c>
      <c r="AJ153" s="1377" t="str">
        <f ca="1">IFERROR(VLOOKUP($C153,'PIP finance'!$C$448:$R$582,15,FALSE),"")</f>
        <v/>
      </c>
    </row>
    <row r="154" spans="2:36" ht="15.75" x14ac:dyDescent="0.25">
      <c r="B154" s="1341"/>
      <c r="C154" s="6832" t="str">
        <f ca="1">IFERROR('Activation list'!W101,"")</f>
        <v/>
      </c>
      <c r="D154" s="6878"/>
      <c r="E154" s="6878"/>
      <c r="F154" s="6878"/>
      <c r="G154" s="6878"/>
      <c r="H154" s="6879"/>
      <c r="I154" s="6827" t="str">
        <f ca="1">IFERROR(VLOOKUP($C154,'PIP finance'!$C$448:$N$582,2,FALSE),"")</f>
        <v/>
      </c>
      <c r="J154" s="6828"/>
      <c r="K154" s="3715" t="str">
        <f ca="1">IFERROR(VLOOKUP($C154,'PIP finance'!$C$448:$N$582,3,FALSE),"")</f>
        <v/>
      </c>
      <c r="L154" s="3716" t="str">
        <f ca="1">IFERROR(VLOOKUP($C154,'PIP finance'!$C$448:$N$582,4,FALSE),"")</f>
        <v/>
      </c>
      <c r="M154" s="3716" t="str">
        <f ca="1">IFERROR(VLOOKUP($C154,'PIP finance'!$C$448:$N$582,5,FALSE),"")</f>
        <v/>
      </c>
      <c r="N154" s="3716" t="str">
        <f ca="1">IFERROR(VLOOKUP($C154,'PIP finance'!$C$448:$N$582,6,FALSE),"")</f>
        <v/>
      </c>
      <c r="O154" s="3716" t="str">
        <f ca="1">IFERROR(VLOOKUP($C154,'PIP finance'!$C$448:$N$582,7,FALSE),"")</f>
        <v/>
      </c>
      <c r="P154" s="3716" t="str">
        <f ca="1">IFERROR(VLOOKUP($C154,'PIP finance'!$C$448:$N$582,8,FALSE),"")</f>
        <v/>
      </c>
      <c r="Q154" s="3716" t="str">
        <f ca="1">IFERROR(VLOOKUP($C154,'PIP finance'!$C$448:$N$582,9,FALSE),"")</f>
        <v/>
      </c>
      <c r="R154" s="3716" t="str">
        <f ca="1">IFERROR(VLOOKUP($C154,'PIP finance'!$C$448:$N$582,10,FALSE),"")</f>
        <v/>
      </c>
      <c r="S154" s="3716" t="str">
        <f ca="1">IFERROR(VLOOKUP($C154,'PIP finance'!$C$448:$N$582,11,FALSE),"")</f>
        <v/>
      </c>
      <c r="T154" s="3717" t="str">
        <f ca="1">IFERROR(VLOOKUP($C154,'PIP finance'!$C$448:$N$582,11,FALSE),"")</f>
        <v/>
      </c>
      <c r="U154" s="3703" t="str">
        <f ca="1">IFERROR(VLOOKUP($C154,'PIP finance'!$C$448:$S$582,17,FALSE),"")</f>
        <v/>
      </c>
      <c r="V154" s="3705"/>
      <c r="W154" s="3707"/>
      <c r="X154" s="3707"/>
      <c r="Y154" s="3701"/>
      <c r="Z154" s="3702" t="str">
        <f ca="1">IFERROR(VLOOKUP($C154,'PIP finance'!$C$448:$T$582,18,FALSE),"")</f>
        <v/>
      </c>
      <c r="AA154" s="3709" t="str">
        <f t="shared" ca="1" si="8"/>
        <v/>
      </c>
      <c r="AB154" s="3711">
        <f t="shared" ca="1" si="7"/>
        <v>0</v>
      </c>
      <c r="AC154" s="1341"/>
      <c r="AH154" s="1377" t="str">
        <f ca="1">IFERROR('Activation list'!X101,"")</f>
        <v/>
      </c>
      <c r="AI154" s="1377" t="str">
        <f ca="1">IFERROR(VLOOKUP($C154,'PIP finance'!$C$448:$R$582,14,FALSE),"")</f>
        <v/>
      </c>
      <c r="AJ154" s="1377" t="str">
        <f ca="1">IFERROR(VLOOKUP($C154,'PIP finance'!$C$448:$R$582,15,FALSE),"")</f>
        <v/>
      </c>
    </row>
    <row r="155" spans="2:36" ht="15.75" x14ac:dyDescent="0.25">
      <c r="B155" s="1341"/>
      <c r="C155" s="6832" t="str">
        <f ca="1">IFERROR('Activation list'!W102,"")</f>
        <v/>
      </c>
      <c r="D155" s="6878"/>
      <c r="E155" s="6878"/>
      <c r="F155" s="6878"/>
      <c r="G155" s="6878"/>
      <c r="H155" s="6879"/>
      <c r="I155" s="6827" t="str">
        <f ca="1">IFERROR(VLOOKUP($C155,'PIP finance'!$C$448:$N$582,2,FALSE),"")</f>
        <v/>
      </c>
      <c r="J155" s="6828"/>
      <c r="K155" s="3715" t="str">
        <f ca="1">IFERROR(VLOOKUP($C155,'PIP finance'!$C$448:$N$582,3,FALSE),"")</f>
        <v/>
      </c>
      <c r="L155" s="3716" t="str">
        <f ca="1">IFERROR(VLOOKUP($C155,'PIP finance'!$C$448:$N$582,4,FALSE),"")</f>
        <v/>
      </c>
      <c r="M155" s="3716" t="str">
        <f ca="1">IFERROR(VLOOKUP($C155,'PIP finance'!$C$448:$N$582,5,FALSE),"")</f>
        <v/>
      </c>
      <c r="N155" s="3716" t="str">
        <f ca="1">IFERROR(VLOOKUP($C155,'PIP finance'!$C$448:$N$582,6,FALSE),"")</f>
        <v/>
      </c>
      <c r="O155" s="3716" t="str">
        <f ca="1">IFERROR(VLOOKUP($C155,'PIP finance'!$C$448:$N$582,7,FALSE),"")</f>
        <v/>
      </c>
      <c r="P155" s="3716" t="str">
        <f ca="1">IFERROR(VLOOKUP($C155,'PIP finance'!$C$448:$N$582,8,FALSE),"")</f>
        <v/>
      </c>
      <c r="Q155" s="3716" t="str">
        <f ca="1">IFERROR(VLOOKUP($C155,'PIP finance'!$C$448:$N$582,9,FALSE),"")</f>
        <v/>
      </c>
      <c r="R155" s="3716" t="str">
        <f ca="1">IFERROR(VLOOKUP($C155,'PIP finance'!$C$448:$N$582,10,FALSE),"")</f>
        <v/>
      </c>
      <c r="S155" s="3716" t="str">
        <f ca="1">IFERROR(VLOOKUP($C155,'PIP finance'!$C$448:$N$582,11,FALSE),"")</f>
        <v/>
      </c>
      <c r="T155" s="3717" t="str">
        <f ca="1">IFERROR(VLOOKUP($C155,'PIP finance'!$C$448:$N$582,11,FALSE),"")</f>
        <v/>
      </c>
      <c r="U155" s="3703" t="str">
        <f ca="1">IFERROR(VLOOKUP($C155,'PIP finance'!$C$448:$S$582,17,FALSE),"")</f>
        <v/>
      </c>
      <c r="V155" s="3705"/>
      <c r="W155" s="3707"/>
      <c r="X155" s="3707"/>
      <c r="Y155" s="3701"/>
      <c r="Z155" s="3702" t="str">
        <f ca="1">IFERROR(VLOOKUP($C155,'PIP finance'!$C$448:$T$582,18,FALSE),"")</f>
        <v/>
      </c>
      <c r="AA155" s="3709" t="str">
        <f t="shared" ca="1" si="8"/>
        <v/>
      </c>
      <c r="AB155" s="3711">
        <f t="shared" ca="1" si="7"/>
        <v>0</v>
      </c>
      <c r="AC155" s="1341"/>
      <c r="AH155" s="1377" t="str">
        <f ca="1">IFERROR('Activation list'!X102,"")</f>
        <v/>
      </c>
      <c r="AI155" s="1377" t="str">
        <f ca="1">IFERROR(VLOOKUP($C155,'PIP finance'!$C$448:$R$582,14,FALSE),"")</f>
        <v/>
      </c>
      <c r="AJ155" s="1377" t="str">
        <f ca="1">IFERROR(VLOOKUP($C155,'PIP finance'!$C$448:$R$582,15,FALSE),"")</f>
        <v/>
      </c>
    </row>
    <row r="156" spans="2:36" ht="15.75" x14ac:dyDescent="0.25">
      <c r="B156" s="1341"/>
      <c r="C156" s="6832" t="str">
        <f ca="1">IFERROR('Activation list'!W103,"")</f>
        <v/>
      </c>
      <c r="D156" s="6878"/>
      <c r="E156" s="6878"/>
      <c r="F156" s="6878"/>
      <c r="G156" s="6878"/>
      <c r="H156" s="6879"/>
      <c r="I156" s="6827" t="str">
        <f ca="1">IFERROR(VLOOKUP($C156,'PIP finance'!$C$448:$N$582,2,FALSE),"")</f>
        <v/>
      </c>
      <c r="J156" s="6828"/>
      <c r="K156" s="3715" t="str">
        <f ca="1">IFERROR(VLOOKUP($C156,'PIP finance'!$C$448:$N$582,3,FALSE),"")</f>
        <v/>
      </c>
      <c r="L156" s="3716" t="str">
        <f ca="1">IFERROR(VLOOKUP($C156,'PIP finance'!$C$448:$N$582,4,FALSE),"")</f>
        <v/>
      </c>
      <c r="M156" s="3716" t="str">
        <f ca="1">IFERROR(VLOOKUP($C156,'PIP finance'!$C$448:$N$582,5,FALSE),"")</f>
        <v/>
      </c>
      <c r="N156" s="3716" t="str">
        <f ca="1">IFERROR(VLOOKUP($C156,'PIP finance'!$C$448:$N$582,6,FALSE),"")</f>
        <v/>
      </c>
      <c r="O156" s="3716" t="str">
        <f ca="1">IFERROR(VLOOKUP($C156,'PIP finance'!$C$448:$N$582,7,FALSE),"")</f>
        <v/>
      </c>
      <c r="P156" s="3716" t="str">
        <f ca="1">IFERROR(VLOOKUP($C156,'PIP finance'!$C$448:$N$582,8,FALSE),"")</f>
        <v/>
      </c>
      <c r="Q156" s="3716" t="str">
        <f ca="1">IFERROR(VLOOKUP($C156,'PIP finance'!$C$448:$N$582,9,FALSE),"")</f>
        <v/>
      </c>
      <c r="R156" s="3716" t="str">
        <f ca="1">IFERROR(VLOOKUP($C156,'PIP finance'!$C$448:$N$582,10,FALSE),"")</f>
        <v/>
      </c>
      <c r="S156" s="3716" t="str">
        <f ca="1">IFERROR(VLOOKUP($C156,'PIP finance'!$C$448:$N$582,11,FALSE),"")</f>
        <v/>
      </c>
      <c r="T156" s="3717" t="str">
        <f ca="1">IFERROR(VLOOKUP($C156,'PIP finance'!$C$448:$N$582,11,FALSE),"")</f>
        <v/>
      </c>
      <c r="U156" s="3703" t="str">
        <f ca="1">IFERROR(VLOOKUP($C156,'PIP finance'!$C$448:$S$582,17,FALSE),"")</f>
        <v/>
      </c>
      <c r="V156" s="3705"/>
      <c r="W156" s="3707"/>
      <c r="X156" s="3707"/>
      <c r="Y156" s="3701"/>
      <c r="Z156" s="3702" t="str">
        <f ca="1">IFERROR(VLOOKUP($C156,'PIP finance'!$C$448:$T$582,18,FALSE),"")</f>
        <v/>
      </c>
      <c r="AA156" s="3709" t="str">
        <f t="shared" ca="1" si="8"/>
        <v/>
      </c>
      <c r="AB156" s="3711">
        <f t="shared" ca="1" si="7"/>
        <v>0</v>
      </c>
      <c r="AC156" s="1341"/>
      <c r="AH156" s="1377" t="str">
        <f ca="1">IFERROR('Activation list'!X103,"")</f>
        <v/>
      </c>
      <c r="AI156" s="1377" t="str">
        <f ca="1">IFERROR(VLOOKUP($C156,'PIP finance'!$C$448:$R$582,14,FALSE),"")</f>
        <v/>
      </c>
      <c r="AJ156" s="1377" t="str">
        <f ca="1">IFERROR(VLOOKUP($C156,'PIP finance'!$C$448:$R$582,15,FALSE),"")</f>
        <v/>
      </c>
    </row>
    <row r="157" spans="2:36" ht="15.75" x14ac:dyDescent="0.25">
      <c r="B157" s="1341"/>
      <c r="C157" s="6832" t="str">
        <f ca="1">IFERROR('Activation list'!W104,"")</f>
        <v/>
      </c>
      <c r="D157" s="6878"/>
      <c r="E157" s="6878"/>
      <c r="F157" s="6878"/>
      <c r="G157" s="6878"/>
      <c r="H157" s="6879"/>
      <c r="I157" s="6827" t="str">
        <f ca="1">IFERROR(VLOOKUP($C157,'PIP finance'!$C$448:$N$582,2,FALSE),"")</f>
        <v/>
      </c>
      <c r="J157" s="6828"/>
      <c r="K157" s="3715" t="str">
        <f ca="1">IFERROR(VLOOKUP($C157,'PIP finance'!$C$448:$N$582,3,FALSE),"")</f>
        <v/>
      </c>
      <c r="L157" s="3716" t="str">
        <f ca="1">IFERROR(VLOOKUP($C157,'PIP finance'!$C$448:$N$582,4,FALSE),"")</f>
        <v/>
      </c>
      <c r="M157" s="3716" t="str">
        <f ca="1">IFERROR(VLOOKUP($C157,'PIP finance'!$C$448:$N$582,5,FALSE),"")</f>
        <v/>
      </c>
      <c r="N157" s="3716" t="str">
        <f ca="1">IFERROR(VLOOKUP($C157,'PIP finance'!$C$448:$N$582,6,FALSE),"")</f>
        <v/>
      </c>
      <c r="O157" s="3716" t="str">
        <f ca="1">IFERROR(VLOOKUP($C157,'PIP finance'!$C$448:$N$582,7,FALSE),"")</f>
        <v/>
      </c>
      <c r="P157" s="3716" t="str">
        <f ca="1">IFERROR(VLOOKUP($C157,'PIP finance'!$C$448:$N$582,8,FALSE),"")</f>
        <v/>
      </c>
      <c r="Q157" s="3716" t="str">
        <f ca="1">IFERROR(VLOOKUP($C157,'PIP finance'!$C$448:$N$582,9,FALSE),"")</f>
        <v/>
      </c>
      <c r="R157" s="3716" t="str">
        <f ca="1">IFERROR(VLOOKUP($C157,'PIP finance'!$C$448:$N$582,10,FALSE),"")</f>
        <v/>
      </c>
      <c r="S157" s="3716" t="str">
        <f ca="1">IFERROR(VLOOKUP($C157,'PIP finance'!$C$448:$N$582,11,FALSE),"")</f>
        <v/>
      </c>
      <c r="T157" s="3717" t="str">
        <f ca="1">IFERROR(VLOOKUP($C157,'PIP finance'!$C$448:$N$582,11,FALSE),"")</f>
        <v/>
      </c>
      <c r="U157" s="3703" t="str">
        <f ca="1">IFERROR(VLOOKUP($C157,'PIP finance'!$C$448:$S$582,17,FALSE),"")</f>
        <v/>
      </c>
      <c r="V157" s="3705"/>
      <c r="W157" s="3707"/>
      <c r="X157" s="3707"/>
      <c r="Y157" s="3701"/>
      <c r="Z157" s="3702" t="str">
        <f ca="1">IFERROR(VLOOKUP($C157,'PIP finance'!$C$448:$T$582,18,FALSE),"")</f>
        <v/>
      </c>
      <c r="AA157" s="3709" t="str">
        <f t="shared" ca="1" si="8"/>
        <v/>
      </c>
      <c r="AB157" s="3711">
        <f t="shared" ca="1" si="7"/>
        <v>0</v>
      </c>
      <c r="AC157" s="1341"/>
      <c r="AH157" s="1377" t="str">
        <f ca="1">IFERROR('Activation list'!X104,"")</f>
        <v/>
      </c>
      <c r="AI157" s="1377" t="str">
        <f ca="1">IFERROR(VLOOKUP($C157,'PIP finance'!$C$448:$R$582,14,FALSE),"")</f>
        <v/>
      </c>
      <c r="AJ157" s="1377" t="str">
        <f ca="1">IFERROR(VLOOKUP($C157,'PIP finance'!$C$448:$R$582,15,FALSE),"")</f>
        <v/>
      </c>
    </row>
    <row r="158" spans="2:36" ht="15.75" x14ac:dyDescent="0.25">
      <c r="B158" s="1341"/>
      <c r="C158" s="6832" t="str">
        <f ca="1">IFERROR('Activation list'!W105,"")</f>
        <v/>
      </c>
      <c r="D158" s="6878"/>
      <c r="E158" s="6878"/>
      <c r="F158" s="6878"/>
      <c r="G158" s="6878"/>
      <c r="H158" s="6879"/>
      <c r="I158" s="6827" t="str">
        <f ca="1">IFERROR(VLOOKUP($C158,'PIP finance'!$C$448:$N$582,2,FALSE),"")</f>
        <v/>
      </c>
      <c r="J158" s="6828"/>
      <c r="K158" s="3715" t="str">
        <f ca="1">IFERROR(VLOOKUP($C158,'PIP finance'!$C$448:$N$582,3,FALSE),"")</f>
        <v/>
      </c>
      <c r="L158" s="3716" t="str">
        <f ca="1">IFERROR(VLOOKUP($C158,'PIP finance'!$C$448:$N$582,4,FALSE),"")</f>
        <v/>
      </c>
      <c r="M158" s="3716" t="str">
        <f ca="1">IFERROR(VLOOKUP($C158,'PIP finance'!$C$448:$N$582,5,FALSE),"")</f>
        <v/>
      </c>
      <c r="N158" s="3716" t="str">
        <f ca="1">IFERROR(VLOOKUP($C158,'PIP finance'!$C$448:$N$582,6,FALSE),"")</f>
        <v/>
      </c>
      <c r="O158" s="3716" t="str">
        <f ca="1">IFERROR(VLOOKUP($C158,'PIP finance'!$C$448:$N$582,7,FALSE),"")</f>
        <v/>
      </c>
      <c r="P158" s="3716" t="str">
        <f ca="1">IFERROR(VLOOKUP($C158,'PIP finance'!$C$448:$N$582,8,FALSE),"")</f>
        <v/>
      </c>
      <c r="Q158" s="3716" t="str">
        <f ca="1">IFERROR(VLOOKUP($C158,'PIP finance'!$C$448:$N$582,9,FALSE),"")</f>
        <v/>
      </c>
      <c r="R158" s="3716" t="str">
        <f ca="1">IFERROR(VLOOKUP($C158,'PIP finance'!$C$448:$N$582,10,FALSE),"")</f>
        <v/>
      </c>
      <c r="S158" s="3716" t="str">
        <f ca="1">IFERROR(VLOOKUP($C158,'PIP finance'!$C$448:$N$582,11,FALSE),"")</f>
        <v/>
      </c>
      <c r="T158" s="3717" t="str">
        <f ca="1">IFERROR(VLOOKUP($C158,'PIP finance'!$C$448:$N$582,11,FALSE),"")</f>
        <v/>
      </c>
      <c r="U158" s="3703" t="str">
        <f ca="1">IFERROR(VLOOKUP($C158,'PIP finance'!$C$448:$S$582,17,FALSE),"")</f>
        <v/>
      </c>
      <c r="V158" s="3705"/>
      <c r="W158" s="3707"/>
      <c r="X158" s="3707"/>
      <c r="Y158" s="3701"/>
      <c r="Z158" s="3702" t="str">
        <f ca="1">IFERROR(VLOOKUP($C158,'PIP finance'!$C$448:$T$582,18,FALSE),"")</f>
        <v/>
      </c>
      <c r="AA158" s="3709" t="str">
        <f t="shared" ca="1" si="8"/>
        <v/>
      </c>
      <c r="AB158" s="3711">
        <f t="shared" ca="1" si="7"/>
        <v>0</v>
      </c>
      <c r="AC158" s="1341"/>
      <c r="AH158" s="1377" t="str">
        <f ca="1">IFERROR('Activation list'!X105,"")</f>
        <v/>
      </c>
      <c r="AI158" s="1377" t="str">
        <f ca="1">IFERROR(VLOOKUP($C158,'PIP finance'!$C$448:$R$582,14,FALSE),"")</f>
        <v/>
      </c>
      <c r="AJ158" s="1377" t="str">
        <f ca="1">IFERROR(VLOOKUP($C158,'PIP finance'!$C$448:$R$582,15,FALSE),"")</f>
        <v/>
      </c>
    </row>
    <row r="159" spans="2:36" ht="15.75" x14ac:dyDescent="0.25">
      <c r="B159" s="1341"/>
      <c r="C159" s="6832" t="str">
        <f ca="1">IFERROR('Activation list'!W106,"")</f>
        <v/>
      </c>
      <c r="D159" s="6878"/>
      <c r="E159" s="6878"/>
      <c r="F159" s="6878"/>
      <c r="G159" s="6878"/>
      <c r="H159" s="6879"/>
      <c r="I159" s="6827" t="str">
        <f ca="1">IFERROR(VLOOKUP($C159,'PIP finance'!$C$448:$N$582,2,FALSE),"")</f>
        <v/>
      </c>
      <c r="J159" s="6828"/>
      <c r="K159" s="3715" t="str">
        <f ca="1">IFERROR(VLOOKUP($C159,'PIP finance'!$C$448:$N$582,3,FALSE),"")</f>
        <v/>
      </c>
      <c r="L159" s="3716" t="str">
        <f ca="1">IFERROR(VLOOKUP($C159,'PIP finance'!$C$448:$N$582,4,FALSE),"")</f>
        <v/>
      </c>
      <c r="M159" s="3716" t="str">
        <f ca="1">IFERROR(VLOOKUP($C159,'PIP finance'!$C$448:$N$582,5,FALSE),"")</f>
        <v/>
      </c>
      <c r="N159" s="3716" t="str">
        <f ca="1">IFERROR(VLOOKUP($C159,'PIP finance'!$C$448:$N$582,6,FALSE),"")</f>
        <v/>
      </c>
      <c r="O159" s="3716" t="str">
        <f ca="1">IFERROR(VLOOKUP($C159,'PIP finance'!$C$448:$N$582,7,FALSE),"")</f>
        <v/>
      </c>
      <c r="P159" s="3716" t="str">
        <f ca="1">IFERROR(VLOOKUP($C159,'PIP finance'!$C$448:$N$582,8,FALSE),"")</f>
        <v/>
      </c>
      <c r="Q159" s="3716" t="str">
        <f ca="1">IFERROR(VLOOKUP($C159,'PIP finance'!$C$448:$N$582,9,FALSE),"")</f>
        <v/>
      </c>
      <c r="R159" s="3716" t="str">
        <f ca="1">IFERROR(VLOOKUP($C159,'PIP finance'!$C$448:$N$582,10,FALSE),"")</f>
        <v/>
      </c>
      <c r="S159" s="3716" t="str">
        <f ca="1">IFERROR(VLOOKUP($C159,'PIP finance'!$C$448:$N$582,11,FALSE),"")</f>
        <v/>
      </c>
      <c r="T159" s="3717" t="str">
        <f ca="1">IFERROR(VLOOKUP($C159,'PIP finance'!$C$448:$N$582,11,FALSE),"")</f>
        <v/>
      </c>
      <c r="U159" s="3703" t="str">
        <f ca="1">IFERROR(VLOOKUP($C159,'PIP finance'!$C$448:$S$582,17,FALSE),"")</f>
        <v/>
      </c>
      <c r="V159" s="3705"/>
      <c r="W159" s="3707"/>
      <c r="X159" s="3707"/>
      <c r="Y159" s="3701"/>
      <c r="Z159" s="3702" t="str">
        <f ca="1">IFERROR(VLOOKUP($C159,'PIP finance'!$C$448:$T$582,18,FALSE),"")</f>
        <v/>
      </c>
      <c r="AA159" s="3709" t="str">
        <f t="shared" ca="1" si="8"/>
        <v/>
      </c>
      <c r="AB159" s="3711">
        <f t="shared" ca="1" si="7"/>
        <v>0</v>
      </c>
      <c r="AC159" s="1341"/>
      <c r="AH159" s="1377" t="str">
        <f ca="1">IFERROR('Activation list'!X106,"")</f>
        <v/>
      </c>
      <c r="AI159" s="1377" t="str">
        <f ca="1">IFERROR(VLOOKUP($C159,'PIP finance'!$C$448:$R$582,14,FALSE),"")</f>
        <v/>
      </c>
      <c r="AJ159" s="1377" t="str">
        <f ca="1">IFERROR(VLOOKUP($C159,'PIP finance'!$C$448:$R$582,15,FALSE),"")</f>
        <v/>
      </c>
    </row>
    <row r="160" spans="2:36" ht="15.75" x14ac:dyDescent="0.25">
      <c r="B160" s="1341"/>
      <c r="C160" s="6832" t="str">
        <f ca="1">IFERROR('Activation list'!W107,"")</f>
        <v/>
      </c>
      <c r="D160" s="6878"/>
      <c r="E160" s="6878"/>
      <c r="F160" s="6878"/>
      <c r="G160" s="6878"/>
      <c r="H160" s="6879"/>
      <c r="I160" s="6827" t="str">
        <f ca="1">IFERROR(VLOOKUP($C160,'PIP finance'!$C$448:$N$582,2,FALSE),"")</f>
        <v/>
      </c>
      <c r="J160" s="6828"/>
      <c r="K160" s="3715" t="str">
        <f ca="1">IFERROR(VLOOKUP($C160,'PIP finance'!$C$448:$N$582,3,FALSE),"")</f>
        <v/>
      </c>
      <c r="L160" s="3716" t="str">
        <f ca="1">IFERROR(VLOOKUP($C160,'PIP finance'!$C$448:$N$582,4,FALSE),"")</f>
        <v/>
      </c>
      <c r="M160" s="3716" t="str">
        <f ca="1">IFERROR(VLOOKUP($C160,'PIP finance'!$C$448:$N$582,5,FALSE),"")</f>
        <v/>
      </c>
      <c r="N160" s="3716" t="str">
        <f ca="1">IFERROR(VLOOKUP($C160,'PIP finance'!$C$448:$N$582,6,FALSE),"")</f>
        <v/>
      </c>
      <c r="O160" s="3716" t="str">
        <f ca="1">IFERROR(VLOOKUP($C160,'PIP finance'!$C$448:$N$582,7,FALSE),"")</f>
        <v/>
      </c>
      <c r="P160" s="3716" t="str">
        <f ca="1">IFERROR(VLOOKUP($C160,'PIP finance'!$C$448:$N$582,8,FALSE),"")</f>
        <v/>
      </c>
      <c r="Q160" s="3716" t="str">
        <f ca="1">IFERROR(VLOOKUP($C160,'PIP finance'!$C$448:$N$582,9,FALSE),"")</f>
        <v/>
      </c>
      <c r="R160" s="3716" t="str">
        <f ca="1">IFERROR(VLOOKUP($C160,'PIP finance'!$C$448:$N$582,10,FALSE),"")</f>
        <v/>
      </c>
      <c r="S160" s="3716" t="str">
        <f ca="1">IFERROR(VLOOKUP($C160,'PIP finance'!$C$448:$N$582,11,FALSE),"")</f>
        <v/>
      </c>
      <c r="T160" s="3717" t="str">
        <f ca="1">IFERROR(VLOOKUP($C160,'PIP finance'!$C$448:$N$582,11,FALSE),"")</f>
        <v/>
      </c>
      <c r="U160" s="3703" t="str">
        <f ca="1">IFERROR(VLOOKUP($C160,'PIP finance'!$C$448:$S$582,17,FALSE),"")</f>
        <v/>
      </c>
      <c r="V160" s="3705"/>
      <c r="W160" s="3707"/>
      <c r="X160" s="3707"/>
      <c r="Y160" s="3701"/>
      <c r="Z160" s="3702" t="str">
        <f ca="1">IFERROR(VLOOKUP($C160,'PIP finance'!$C$448:$T$582,18,FALSE),"")</f>
        <v/>
      </c>
      <c r="AA160" s="3709" t="str">
        <f t="shared" ca="1" si="8"/>
        <v/>
      </c>
      <c r="AB160" s="3711">
        <f t="shared" ca="1" si="7"/>
        <v>0</v>
      </c>
      <c r="AC160" s="1341"/>
      <c r="AH160" s="1377" t="str">
        <f ca="1">IFERROR('Activation list'!X107,"")</f>
        <v/>
      </c>
      <c r="AI160" s="1377" t="str">
        <f ca="1">IFERROR(VLOOKUP($C160,'PIP finance'!$C$448:$R$582,14,FALSE),"")</f>
        <v/>
      </c>
      <c r="AJ160" s="1377" t="str">
        <f ca="1">IFERROR(VLOOKUP($C160,'PIP finance'!$C$448:$R$582,15,FALSE),"")</f>
        <v/>
      </c>
    </row>
    <row r="161" spans="2:36" ht="15.75" x14ac:dyDescent="0.25">
      <c r="B161" s="1341"/>
      <c r="C161" s="6832" t="str">
        <f ca="1">IFERROR('Activation list'!W108,"")</f>
        <v/>
      </c>
      <c r="D161" s="6878"/>
      <c r="E161" s="6878"/>
      <c r="F161" s="6878"/>
      <c r="G161" s="6878"/>
      <c r="H161" s="6879"/>
      <c r="I161" s="6827" t="str">
        <f ca="1">IFERROR(VLOOKUP($C161,'PIP finance'!$C$448:$N$582,2,FALSE),"")</f>
        <v/>
      </c>
      <c r="J161" s="6828"/>
      <c r="K161" s="3715" t="str">
        <f ca="1">IFERROR(VLOOKUP($C161,'PIP finance'!$C$448:$N$582,3,FALSE),"")</f>
        <v/>
      </c>
      <c r="L161" s="3716" t="str">
        <f ca="1">IFERROR(VLOOKUP($C161,'PIP finance'!$C$448:$N$582,4,FALSE),"")</f>
        <v/>
      </c>
      <c r="M161" s="3716" t="str">
        <f ca="1">IFERROR(VLOOKUP($C161,'PIP finance'!$C$448:$N$582,5,FALSE),"")</f>
        <v/>
      </c>
      <c r="N161" s="3716" t="str">
        <f ca="1">IFERROR(VLOOKUP($C161,'PIP finance'!$C$448:$N$582,6,FALSE),"")</f>
        <v/>
      </c>
      <c r="O161" s="3716" t="str">
        <f ca="1">IFERROR(VLOOKUP($C161,'PIP finance'!$C$448:$N$582,7,FALSE),"")</f>
        <v/>
      </c>
      <c r="P161" s="3716" t="str">
        <f ca="1">IFERROR(VLOOKUP($C161,'PIP finance'!$C$448:$N$582,8,FALSE),"")</f>
        <v/>
      </c>
      <c r="Q161" s="3716" t="str">
        <f ca="1">IFERROR(VLOOKUP($C161,'PIP finance'!$C$448:$N$582,9,FALSE),"")</f>
        <v/>
      </c>
      <c r="R161" s="3716" t="str">
        <f ca="1">IFERROR(VLOOKUP($C161,'PIP finance'!$C$448:$N$582,10,FALSE),"")</f>
        <v/>
      </c>
      <c r="S161" s="3716" t="str">
        <f ca="1">IFERROR(VLOOKUP($C161,'PIP finance'!$C$448:$N$582,11,FALSE),"")</f>
        <v/>
      </c>
      <c r="T161" s="3717" t="str">
        <f ca="1">IFERROR(VLOOKUP($C161,'PIP finance'!$C$448:$N$582,11,FALSE),"")</f>
        <v/>
      </c>
      <c r="U161" s="3703" t="str">
        <f ca="1">IFERROR(VLOOKUP($C161,'PIP finance'!$C$448:$S$582,17,FALSE),"")</f>
        <v/>
      </c>
      <c r="V161" s="3705"/>
      <c r="W161" s="3707"/>
      <c r="X161" s="3707"/>
      <c r="Y161" s="3701"/>
      <c r="Z161" s="3702" t="str">
        <f ca="1">IFERROR(VLOOKUP($C161,'PIP finance'!$C$448:$T$582,18,FALSE),"")</f>
        <v/>
      </c>
      <c r="AA161" s="3709" t="str">
        <f t="shared" ca="1" si="8"/>
        <v/>
      </c>
      <c r="AB161" s="3711">
        <f t="shared" ca="1" si="7"/>
        <v>0</v>
      </c>
      <c r="AC161" s="1341"/>
      <c r="AH161" s="1377" t="str">
        <f ca="1">IFERROR('Activation list'!X108,"")</f>
        <v/>
      </c>
      <c r="AI161" s="1377" t="str">
        <f ca="1">IFERROR(VLOOKUP($C161,'PIP finance'!$C$448:$R$582,14,FALSE),"")</f>
        <v/>
      </c>
      <c r="AJ161" s="1377" t="str">
        <f ca="1">IFERROR(VLOOKUP($C161,'PIP finance'!$C$448:$R$582,15,FALSE),"")</f>
        <v/>
      </c>
    </row>
    <row r="162" spans="2:36" ht="15.75" x14ac:dyDescent="0.25">
      <c r="B162" s="1341"/>
      <c r="C162" s="6832" t="str">
        <f ca="1">IFERROR('Activation list'!W109,"")</f>
        <v/>
      </c>
      <c r="D162" s="6878"/>
      <c r="E162" s="6878"/>
      <c r="F162" s="6878"/>
      <c r="G162" s="6878"/>
      <c r="H162" s="6879"/>
      <c r="I162" s="6827" t="str">
        <f ca="1">IFERROR(VLOOKUP($C162,'PIP finance'!$C$448:$N$582,2,FALSE),"")</f>
        <v/>
      </c>
      <c r="J162" s="6828"/>
      <c r="K162" s="3715" t="str">
        <f ca="1">IFERROR(VLOOKUP($C162,'PIP finance'!$C$448:$N$582,3,FALSE),"")</f>
        <v/>
      </c>
      <c r="L162" s="3716" t="str">
        <f ca="1">IFERROR(VLOOKUP($C162,'PIP finance'!$C$448:$N$582,4,FALSE),"")</f>
        <v/>
      </c>
      <c r="M162" s="3716" t="str">
        <f ca="1">IFERROR(VLOOKUP($C162,'PIP finance'!$C$448:$N$582,5,FALSE),"")</f>
        <v/>
      </c>
      <c r="N162" s="3716" t="str">
        <f ca="1">IFERROR(VLOOKUP($C162,'PIP finance'!$C$448:$N$582,6,FALSE),"")</f>
        <v/>
      </c>
      <c r="O162" s="3716" t="str">
        <f ca="1">IFERROR(VLOOKUP($C162,'PIP finance'!$C$448:$N$582,7,FALSE),"")</f>
        <v/>
      </c>
      <c r="P162" s="3716" t="str">
        <f ca="1">IFERROR(VLOOKUP($C162,'PIP finance'!$C$448:$N$582,8,FALSE),"")</f>
        <v/>
      </c>
      <c r="Q162" s="3716" t="str">
        <f ca="1">IFERROR(VLOOKUP($C162,'PIP finance'!$C$448:$N$582,9,FALSE),"")</f>
        <v/>
      </c>
      <c r="R162" s="3716" t="str">
        <f ca="1">IFERROR(VLOOKUP($C162,'PIP finance'!$C$448:$N$582,10,FALSE),"")</f>
        <v/>
      </c>
      <c r="S162" s="3716" t="str">
        <f ca="1">IFERROR(VLOOKUP($C162,'PIP finance'!$C$448:$N$582,11,FALSE),"")</f>
        <v/>
      </c>
      <c r="T162" s="3717" t="str">
        <f ca="1">IFERROR(VLOOKUP($C162,'PIP finance'!$C$448:$N$582,11,FALSE),"")</f>
        <v/>
      </c>
      <c r="U162" s="3703" t="str">
        <f ca="1">IFERROR(VLOOKUP($C162,'PIP finance'!$C$448:$S$582,17,FALSE),"")</f>
        <v/>
      </c>
      <c r="V162" s="3705"/>
      <c r="W162" s="3707"/>
      <c r="X162" s="3707"/>
      <c r="Y162" s="3701"/>
      <c r="Z162" s="3702" t="str">
        <f ca="1">IFERROR(VLOOKUP($C162,'PIP finance'!$C$448:$T$582,18,FALSE),"")</f>
        <v/>
      </c>
      <c r="AA162" s="3709" t="str">
        <f t="shared" ca="1" si="8"/>
        <v/>
      </c>
      <c r="AB162" s="3711">
        <f t="shared" ca="1" si="7"/>
        <v>0</v>
      </c>
      <c r="AC162" s="1341"/>
      <c r="AH162" s="1377" t="str">
        <f ca="1">IFERROR('Activation list'!X109,"")</f>
        <v/>
      </c>
      <c r="AI162" s="1377" t="str">
        <f ca="1">IFERROR(VLOOKUP($C162,'PIP finance'!$C$448:$R$582,14,FALSE),"")</f>
        <v/>
      </c>
      <c r="AJ162" s="1377" t="str">
        <f ca="1">IFERROR(VLOOKUP($C162,'PIP finance'!$C$448:$R$582,15,FALSE),"")</f>
        <v/>
      </c>
    </row>
    <row r="163" spans="2:36" ht="15.75" x14ac:dyDescent="0.25">
      <c r="B163" s="1341"/>
      <c r="C163" s="6832" t="str">
        <f ca="1">IFERROR('Activation list'!W110,"")</f>
        <v/>
      </c>
      <c r="D163" s="6878"/>
      <c r="E163" s="6878"/>
      <c r="F163" s="6878"/>
      <c r="G163" s="6878"/>
      <c r="H163" s="6879"/>
      <c r="I163" s="6827" t="str">
        <f ca="1">IFERROR(VLOOKUP($C163,'PIP finance'!$C$448:$N$582,2,FALSE),"")</f>
        <v/>
      </c>
      <c r="J163" s="6828"/>
      <c r="K163" s="3715" t="str">
        <f ca="1">IFERROR(VLOOKUP($C163,'PIP finance'!$C$448:$N$582,3,FALSE),"")</f>
        <v/>
      </c>
      <c r="L163" s="3716" t="str">
        <f ca="1">IFERROR(VLOOKUP($C163,'PIP finance'!$C$448:$N$582,4,FALSE),"")</f>
        <v/>
      </c>
      <c r="M163" s="3716" t="str">
        <f ca="1">IFERROR(VLOOKUP($C163,'PIP finance'!$C$448:$N$582,5,FALSE),"")</f>
        <v/>
      </c>
      <c r="N163" s="3716" t="str">
        <f ca="1">IFERROR(VLOOKUP($C163,'PIP finance'!$C$448:$N$582,6,FALSE),"")</f>
        <v/>
      </c>
      <c r="O163" s="3716" t="str">
        <f ca="1">IFERROR(VLOOKUP($C163,'PIP finance'!$C$448:$N$582,7,FALSE),"")</f>
        <v/>
      </c>
      <c r="P163" s="3716" t="str">
        <f ca="1">IFERROR(VLOOKUP($C163,'PIP finance'!$C$448:$N$582,8,FALSE),"")</f>
        <v/>
      </c>
      <c r="Q163" s="3716" t="str">
        <f ca="1">IFERROR(VLOOKUP($C163,'PIP finance'!$C$448:$N$582,9,FALSE),"")</f>
        <v/>
      </c>
      <c r="R163" s="3716" t="str">
        <f ca="1">IFERROR(VLOOKUP($C163,'PIP finance'!$C$448:$N$582,10,FALSE),"")</f>
        <v/>
      </c>
      <c r="S163" s="3716" t="str">
        <f ca="1">IFERROR(VLOOKUP($C163,'PIP finance'!$C$448:$N$582,11,FALSE),"")</f>
        <v/>
      </c>
      <c r="T163" s="3717" t="str">
        <f ca="1">IFERROR(VLOOKUP($C163,'PIP finance'!$C$448:$N$582,11,FALSE),"")</f>
        <v/>
      </c>
      <c r="U163" s="3703" t="str">
        <f ca="1">IFERROR(VLOOKUP($C163,'PIP finance'!$C$448:$S$582,17,FALSE),"")</f>
        <v/>
      </c>
      <c r="V163" s="3705"/>
      <c r="W163" s="3707"/>
      <c r="X163" s="3707"/>
      <c r="Y163" s="3701"/>
      <c r="Z163" s="3702" t="str">
        <f ca="1">IFERROR(VLOOKUP($C163,'PIP finance'!$C$448:$T$582,18,FALSE),"")</f>
        <v/>
      </c>
      <c r="AA163" s="3709" t="str">
        <f t="shared" ca="1" si="8"/>
        <v/>
      </c>
      <c r="AB163" s="3711">
        <f t="shared" ca="1" si="7"/>
        <v>0</v>
      </c>
      <c r="AC163" s="1341"/>
      <c r="AH163" s="1377" t="str">
        <f ca="1">IFERROR('Activation list'!X110,"")</f>
        <v/>
      </c>
      <c r="AI163" s="1377" t="str">
        <f ca="1">IFERROR(VLOOKUP($C163,'PIP finance'!$C$448:$R$582,14,FALSE),"")</f>
        <v/>
      </c>
      <c r="AJ163" s="1377" t="str">
        <f ca="1">IFERROR(VLOOKUP($C163,'PIP finance'!$C$448:$R$582,15,FALSE),"")</f>
        <v/>
      </c>
    </row>
    <row r="164" spans="2:36" ht="15.75" x14ac:dyDescent="0.25">
      <c r="B164" s="1341"/>
      <c r="C164" s="6832" t="str">
        <f ca="1">IFERROR('Activation list'!W111,"")</f>
        <v/>
      </c>
      <c r="D164" s="6878"/>
      <c r="E164" s="6878"/>
      <c r="F164" s="6878"/>
      <c r="G164" s="6878"/>
      <c r="H164" s="6879"/>
      <c r="I164" s="6827" t="str">
        <f ca="1">IFERROR(VLOOKUP($C164,'PIP finance'!$C$448:$N$582,2,FALSE),"")</f>
        <v/>
      </c>
      <c r="J164" s="6828"/>
      <c r="K164" s="3715" t="str">
        <f ca="1">IFERROR(VLOOKUP($C164,'PIP finance'!$C$448:$N$582,3,FALSE),"")</f>
        <v/>
      </c>
      <c r="L164" s="3716" t="str">
        <f ca="1">IFERROR(VLOOKUP($C164,'PIP finance'!$C$448:$N$582,4,FALSE),"")</f>
        <v/>
      </c>
      <c r="M164" s="3716" t="str">
        <f ca="1">IFERROR(VLOOKUP($C164,'PIP finance'!$C$448:$N$582,5,FALSE),"")</f>
        <v/>
      </c>
      <c r="N164" s="3716" t="str">
        <f ca="1">IFERROR(VLOOKUP($C164,'PIP finance'!$C$448:$N$582,6,FALSE),"")</f>
        <v/>
      </c>
      <c r="O164" s="3716" t="str">
        <f ca="1">IFERROR(VLOOKUP($C164,'PIP finance'!$C$448:$N$582,7,FALSE),"")</f>
        <v/>
      </c>
      <c r="P164" s="3716" t="str">
        <f ca="1">IFERROR(VLOOKUP($C164,'PIP finance'!$C$448:$N$582,8,FALSE),"")</f>
        <v/>
      </c>
      <c r="Q164" s="3716" t="str">
        <f ca="1">IFERROR(VLOOKUP($C164,'PIP finance'!$C$448:$N$582,9,FALSE),"")</f>
        <v/>
      </c>
      <c r="R164" s="3716" t="str">
        <f ca="1">IFERROR(VLOOKUP($C164,'PIP finance'!$C$448:$N$582,10,FALSE),"")</f>
        <v/>
      </c>
      <c r="S164" s="3716" t="str">
        <f ca="1">IFERROR(VLOOKUP($C164,'PIP finance'!$C$448:$N$582,11,FALSE),"")</f>
        <v/>
      </c>
      <c r="T164" s="3717" t="str">
        <f ca="1">IFERROR(VLOOKUP($C164,'PIP finance'!$C$448:$N$582,11,FALSE),"")</f>
        <v/>
      </c>
      <c r="U164" s="3703" t="str">
        <f ca="1">IFERROR(VLOOKUP($C164,'PIP finance'!$C$448:$S$582,17,FALSE),"")</f>
        <v/>
      </c>
      <c r="V164" s="3705"/>
      <c r="W164" s="3707"/>
      <c r="X164" s="3707"/>
      <c r="Y164" s="3701"/>
      <c r="Z164" s="3702" t="str">
        <f ca="1">IFERROR(VLOOKUP($C164,'PIP finance'!$C$448:$T$582,18,FALSE),"")</f>
        <v/>
      </c>
      <c r="AA164" s="3709" t="str">
        <f t="shared" ca="1" si="8"/>
        <v/>
      </c>
      <c r="AB164" s="3711">
        <f t="shared" ca="1" si="7"/>
        <v>0</v>
      </c>
      <c r="AC164" s="1341"/>
      <c r="AH164" s="1377" t="str">
        <f ca="1">IFERROR('Activation list'!X111,"")</f>
        <v/>
      </c>
      <c r="AI164" s="1377" t="str">
        <f ca="1">IFERROR(VLOOKUP($C164,'PIP finance'!$C$448:$R$582,14,FALSE),"")</f>
        <v/>
      </c>
      <c r="AJ164" s="1377" t="str">
        <f ca="1">IFERROR(VLOOKUP($C164,'PIP finance'!$C$448:$R$582,15,FALSE),"")</f>
        <v/>
      </c>
    </row>
    <row r="165" spans="2:36" ht="15.75" x14ac:dyDescent="0.25">
      <c r="B165" s="1341"/>
      <c r="C165" s="6832" t="str">
        <f ca="1">IFERROR('Activation list'!W112,"")</f>
        <v/>
      </c>
      <c r="D165" s="6878"/>
      <c r="E165" s="6878"/>
      <c r="F165" s="6878"/>
      <c r="G165" s="6878"/>
      <c r="H165" s="6879"/>
      <c r="I165" s="6827" t="str">
        <f ca="1">IFERROR(VLOOKUP($C165,'PIP finance'!$C$448:$N$582,2,FALSE),"")</f>
        <v/>
      </c>
      <c r="J165" s="6828"/>
      <c r="K165" s="3715" t="str">
        <f ca="1">IFERROR(VLOOKUP($C165,'PIP finance'!$C$448:$N$582,3,FALSE),"")</f>
        <v/>
      </c>
      <c r="L165" s="3716" t="str">
        <f ca="1">IFERROR(VLOOKUP($C165,'PIP finance'!$C$448:$N$582,4,FALSE),"")</f>
        <v/>
      </c>
      <c r="M165" s="3716" t="str">
        <f ca="1">IFERROR(VLOOKUP($C165,'PIP finance'!$C$448:$N$582,5,FALSE),"")</f>
        <v/>
      </c>
      <c r="N165" s="3716" t="str">
        <f ca="1">IFERROR(VLOOKUP($C165,'PIP finance'!$C$448:$N$582,6,FALSE),"")</f>
        <v/>
      </c>
      <c r="O165" s="3716" t="str">
        <f ca="1">IFERROR(VLOOKUP($C165,'PIP finance'!$C$448:$N$582,7,FALSE),"")</f>
        <v/>
      </c>
      <c r="P165" s="3716" t="str">
        <f ca="1">IFERROR(VLOOKUP($C165,'PIP finance'!$C$448:$N$582,8,FALSE),"")</f>
        <v/>
      </c>
      <c r="Q165" s="3716" t="str">
        <f ca="1">IFERROR(VLOOKUP($C165,'PIP finance'!$C$448:$N$582,9,FALSE),"")</f>
        <v/>
      </c>
      <c r="R165" s="3716" t="str">
        <f ca="1">IFERROR(VLOOKUP($C165,'PIP finance'!$C$448:$N$582,10,FALSE),"")</f>
        <v/>
      </c>
      <c r="S165" s="3716" t="str">
        <f ca="1">IFERROR(VLOOKUP($C165,'PIP finance'!$C$448:$N$582,11,FALSE),"")</f>
        <v/>
      </c>
      <c r="T165" s="3717" t="str">
        <f ca="1">IFERROR(VLOOKUP($C165,'PIP finance'!$C$448:$N$582,11,FALSE),"")</f>
        <v/>
      </c>
      <c r="U165" s="3703" t="str">
        <f ca="1">IFERROR(VLOOKUP($C165,'PIP finance'!$C$448:$S$582,17,FALSE),"")</f>
        <v/>
      </c>
      <c r="V165" s="3705"/>
      <c r="W165" s="3707"/>
      <c r="X165" s="3707"/>
      <c r="Y165" s="3701"/>
      <c r="Z165" s="3702" t="str">
        <f ca="1">IFERROR(VLOOKUP($C165,'PIP finance'!$C$448:$T$582,18,FALSE),"")</f>
        <v/>
      </c>
      <c r="AA165" s="3709" t="str">
        <f t="shared" ca="1" si="8"/>
        <v/>
      </c>
      <c r="AB165" s="3711">
        <f t="shared" ca="1" si="7"/>
        <v>0</v>
      </c>
      <c r="AC165" s="1341"/>
      <c r="AH165" s="1377" t="str">
        <f ca="1">IFERROR('Activation list'!X112,"")</f>
        <v/>
      </c>
      <c r="AI165" s="1377" t="str">
        <f ca="1">IFERROR(VLOOKUP($C165,'PIP finance'!$C$448:$R$582,14,FALSE),"")</f>
        <v/>
      </c>
      <c r="AJ165" s="1377" t="str">
        <f ca="1">IFERROR(VLOOKUP($C165,'PIP finance'!$C$448:$R$582,15,FALSE),"")</f>
        <v/>
      </c>
    </row>
    <row r="166" spans="2:36" ht="15.75" x14ac:dyDescent="0.25">
      <c r="B166" s="1341"/>
      <c r="C166" s="6832" t="str">
        <f ca="1">IFERROR('Activation list'!W113,"")</f>
        <v/>
      </c>
      <c r="D166" s="6878"/>
      <c r="E166" s="6878"/>
      <c r="F166" s="6878"/>
      <c r="G166" s="6878"/>
      <c r="H166" s="6879"/>
      <c r="I166" s="6827" t="str">
        <f ca="1">IFERROR(VLOOKUP($C166,'PIP finance'!$C$448:$N$582,2,FALSE),"")</f>
        <v/>
      </c>
      <c r="J166" s="6828"/>
      <c r="K166" s="3715" t="str">
        <f ca="1">IFERROR(VLOOKUP($C166,'PIP finance'!$C$448:$N$582,3,FALSE),"")</f>
        <v/>
      </c>
      <c r="L166" s="3716" t="str">
        <f ca="1">IFERROR(VLOOKUP($C166,'PIP finance'!$C$448:$N$582,4,FALSE),"")</f>
        <v/>
      </c>
      <c r="M166" s="3716" t="str">
        <f ca="1">IFERROR(VLOOKUP($C166,'PIP finance'!$C$448:$N$582,5,FALSE),"")</f>
        <v/>
      </c>
      <c r="N166" s="3716" t="str">
        <f ca="1">IFERROR(VLOOKUP($C166,'PIP finance'!$C$448:$N$582,6,FALSE),"")</f>
        <v/>
      </c>
      <c r="O166" s="3716" t="str">
        <f ca="1">IFERROR(VLOOKUP($C166,'PIP finance'!$C$448:$N$582,7,FALSE),"")</f>
        <v/>
      </c>
      <c r="P166" s="3716" t="str">
        <f ca="1">IFERROR(VLOOKUP($C166,'PIP finance'!$C$448:$N$582,8,FALSE),"")</f>
        <v/>
      </c>
      <c r="Q166" s="3716" t="str">
        <f ca="1">IFERROR(VLOOKUP($C166,'PIP finance'!$C$448:$N$582,9,FALSE),"")</f>
        <v/>
      </c>
      <c r="R166" s="3716" t="str">
        <f ca="1">IFERROR(VLOOKUP($C166,'PIP finance'!$C$448:$N$582,10,FALSE),"")</f>
        <v/>
      </c>
      <c r="S166" s="3716" t="str">
        <f ca="1">IFERROR(VLOOKUP($C166,'PIP finance'!$C$448:$N$582,11,FALSE),"")</f>
        <v/>
      </c>
      <c r="T166" s="3717" t="str">
        <f ca="1">IFERROR(VLOOKUP($C166,'PIP finance'!$C$448:$N$582,11,FALSE),"")</f>
        <v/>
      </c>
      <c r="U166" s="3703" t="str">
        <f ca="1">IFERROR(VLOOKUP($C166,'PIP finance'!$C$448:$S$582,17,FALSE),"")</f>
        <v/>
      </c>
      <c r="V166" s="3705"/>
      <c r="W166" s="3707"/>
      <c r="X166" s="3707"/>
      <c r="Y166" s="3701"/>
      <c r="Z166" s="3702" t="str">
        <f ca="1">IFERROR(VLOOKUP($C166,'PIP finance'!$C$448:$T$582,18,FALSE),"")</f>
        <v/>
      </c>
      <c r="AA166" s="3709" t="str">
        <f t="shared" ca="1" si="8"/>
        <v/>
      </c>
      <c r="AB166" s="3711">
        <f t="shared" ca="1" si="7"/>
        <v>0</v>
      </c>
      <c r="AC166" s="1341"/>
      <c r="AH166" s="1377" t="str">
        <f ca="1">IFERROR('Activation list'!X113,"")</f>
        <v/>
      </c>
      <c r="AI166" s="1377" t="str">
        <f ca="1">IFERROR(VLOOKUP($C166,'PIP finance'!$C$448:$R$582,14,FALSE),"")</f>
        <v/>
      </c>
      <c r="AJ166" s="1377" t="str">
        <f ca="1">IFERROR(VLOOKUP($C166,'PIP finance'!$C$448:$R$582,15,FALSE),"")</f>
        <v/>
      </c>
    </row>
    <row r="167" spans="2:36" ht="15.75" x14ac:dyDescent="0.25">
      <c r="B167" s="1341"/>
      <c r="C167" s="6832" t="str">
        <f ca="1">IFERROR('Activation list'!W114,"")</f>
        <v/>
      </c>
      <c r="D167" s="6878"/>
      <c r="E167" s="6878"/>
      <c r="F167" s="6878"/>
      <c r="G167" s="6878"/>
      <c r="H167" s="6879"/>
      <c r="I167" s="6827" t="str">
        <f ca="1">IFERROR(VLOOKUP($C167,'PIP finance'!$C$448:$N$582,2,FALSE),"")</f>
        <v/>
      </c>
      <c r="J167" s="6828"/>
      <c r="K167" s="3715" t="str">
        <f ca="1">IFERROR(VLOOKUP($C167,'PIP finance'!$C$448:$N$582,3,FALSE),"")</f>
        <v/>
      </c>
      <c r="L167" s="3716" t="str">
        <f ca="1">IFERROR(VLOOKUP($C167,'PIP finance'!$C$448:$N$582,4,FALSE),"")</f>
        <v/>
      </c>
      <c r="M167" s="3716" t="str">
        <f ca="1">IFERROR(VLOOKUP($C167,'PIP finance'!$C$448:$N$582,5,FALSE),"")</f>
        <v/>
      </c>
      <c r="N167" s="3716" t="str">
        <f ca="1">IFERROR(VLOOKUP($C167,'PIP finance'!$C$448:$N$582,6,FALSE),"")</f>
        <v/>
      </c>
      <c r="O167" s="3716" t="str">
        <f ca="1">IFERROR(VLOOKUP($C167,'PIP finance'!$C$448:$N$582,7,FALSE),"")</f>
        <v/>
      </c>
      <c r="P167" s="3716" t="str">
        <f ca="1">IFERROR(VLOOKUP($C167,'PIP finance'!$C$448:$N$582,8,FALSE),"")</f>
        <v/>
      </c>
      <c r="Q167" s="3716" t="str">
        <f ca="1">IFERROR(VLOOKUP($C167,'PIP finance'!$C$448:$N$582,9,FALSE),"")</f>
        <v/>
      </c>
      <c r="R167" s="3716" t="str">
        <f ca="1">IFERROR(VLOOKUP($C167,'PIP finance'!$C$448:$N$582,10,FALSE),"")</f>
        <v/>
      </c>
      <c r="S167" s="3716" t="str">
        <f ca="1">IFERROR(VLOOKUP($C167,'PIP finance'!$C$448:$N$582,11,FALSE),"")</f>
        <v/>
      </c>
      <c r="T167" s="3717" t="str">
        <f ca="1">IFERROR(VLOOKUP($C167,'PIP finance'!$C$448:$N$582,11,FALSE),"")</f>
        <v/>
      </c>
      <c r="U167" s="3703" t="str">
        <f ca="1">IFERROR(VLOOKUP($C167,'PIP finance'!$C$448:$S$582,17,FALSE),"")</f>
        <v/>
      </c>
      <c r="V167" s="3705"/>
      <c r="W167" s="3707"/>
      <c r="X167" s="3707"/>
      <c r="Y167" s="3701"/>
      <c r="Z167" s="3702" t="str">
        <f ca="1">IFERROR(VLOOKUP($C167,'PIP finance'!$C$448:$T$582,18,FALSE),"")</f>
        <v/>
      </c>
      <c r="AA167" s="3709" t="str">
        <f t="shared" ca="1" si="8"/>
        <v/>
      </c>
      <c r="AB167" s="3711">
        <f t="shared" ca="1" si="7"/>
        <v>0</v>
      </c>
      <c r="AC167" s="1341"/>
      <c r="AH167" s="1377" t="str">
        <f ca="1">IFERROR('Activation list'!X114,"")</f>
        <v/>
      </c>
      <c r="AI167" s="1377" t="str">
        <f ca="1">IFERROR(VLOOKUP($C167,'PIP finance'!$C$448:$R$582,14,FALSE),"")</f>
        <v/>
      </c>
      <c r="AJ167" s="1377" t="str">
        <f ca="1">IFERROR(VLOOKUP($C167,'PIP finance'!$C$448:$R$582,15,FALSE),"")</f>
        <v/>
      </c>
    </row>
    <row r="168" spans="2:36" ht="15.75" x14ac:dyDescent="0.25">
      <c r="B168" s="1341"/>
      <c r="C168" s="6832" t="str">
        <f ca="1">IFERROR('Activation list'!W115,"")</f>
        <v/>
      </c>
      <c r="D168" s="6878"/>
      <c r="E168" s="6878"/>
      <c r="F168" s="6878"/>
      <c r="G168" s="6878"/>
      <c r="H168" s="6879"/>
      <c r="I168" s="6827" t="str">
        <f ca="1">IFERROR(VLOOKUP($C168,'PIP finance'!$C$448:$N$582,2,FALSE),"")</f>
        <v/>
      </c>
      <c r="J168" s="6828"/>
      <c r="K168" s="3715" t="str">
        <f ca="1">IFERROR(VLOOKUP($C168,'PIP finance'!$C$448:$N$582,3,FALSE),"")</f>
        <v/>
      </c>
      <c r="L168" s="3716" t="str">
        <f ca="1">IFERROR(VLOOKUP($C168,'PIP finance'!$C$448:$N$582,4,FALSE),"")</f>
        <v/>
      </c>
      <c r="M168" s="3716" t="str">
        <f ca="1">IFERROR(VLOOKUP($C168,'PIP finance'!$C$448:$N$582,5,FALSE),"")</f>
        <v/>
      </c>
      <c r="N168" s="3716" t="str">
        <f ca="1">IFERROR(VLOOKUP($C168,'PIP finance'!$C$448:$N$582,6,FALSE),"")</f>
        <v/>
      </c>
      <c r="O168" s="3716" t="str">
        <f ca="1">IFERROR(VLOOKUP($C168,'PIP finance'!$C$448:$N$582,7,FALSE),"")</f>
        <v/>
      </c>
      <c r="P168" s="3716" t="str">
        <f ca="1">IFERROR(VLOOKUP($C168,'PIP finance'!$C$448:$N$582,8,FALSE),"")</f>
        <v/>
      </c>
      <c r="Q168" s="3716" t="str">
        <f ca="1">IFERROR(VLOOKUP($C168,'PIP finance'!$C$448:$N$582,9,FALSE),"")</f>
        <v/>
      </c>
      <c r="R168" s="3716" t="str">
        <f ca="1">IFERROR(VLOOKUP($C168,'PIP finance'!$C$448:$N$582,10,FALSE),"")</f>
        <v/>
      </c>
      <c r="S168" s="3716" t="str">
        <f ca="1">IFERROR(VLOOKUP($C168,'PIP finance'!$C$448:$N$582,11,FALSE),"")</f>
        <v/>
      </c>
      <c r="T168" s="3717" t="str">
        <f ca="1">IFERROR(VLOOKUP($C168,'PIP finance'!$C$448:$N$582,11,FALSE),"")</f>
        <v/>
      </c>
      <c r="U168" s="3703" t="str">
        <f ca="1">IFERROR(VLOOKUP($C168,'PIP finance'!$C$448:$S$582,17,FALSE),"")</f>
        <v/>
      </c>
      <c r="V168" s="3705"/>
      <c r="W168" s="3707"/>
      <c r="X168" s="3707"/>
      <c r="Y168" s="3701"/>
      <c r="Z168" s="3702" t="str">
        <f ca="1">IFERROR(VLOOKUP($C168,'PIP finance'!$C$448:$T$582,18,FALSE),"")</f>
        <v/>
      </c>
      <c r="AA168" s="3709" t="str">
        <f t="shared" ca="1" si="8"/>
        <v/>
      </c>
      <c r="AB168" s="3711">
        <f t="shared" ca="1" si="7"/>
        <v>0</v>
      </c>
      <c r="AC168" s="1341"/>
      <c r="AH168" s="1377" t="str">
        <f ca="1">IFERROR('Activation list'!X115,"")</f>
        <v/>
      </c>
      <c r="AI168" s="1377" t="str">
        <f ca="1">IFERROR(VLOOKUP($C168,'PIP finance'!$C$448:$R$582,14,FALSE),"")</f>
        <v/>
      </c>
      <c r="AJ168" s="1377" t="str">
        <f ca="1">IFERROR(VLOOKUP($C168,'PIP finance'!$C$448:$R$582,15,FALSE),"")</f>
        <v/>
      </c>
    </row>
    <row r="169" spans="2:36" ht="15.75" x14ac:dyDescent="0.25">
      <c r="B169" s="1341"/>
      <c r="C169" s="6832" t="str">
        <f ca="1">IFERROR('Activation list'!W116,"")</f>
        <v/>
      </c>
      <c r="D169" s="6878"/>
      <c r="E169" s="6878"/>
      <c r="F169" s="6878"/>
      <c r="G169" s="6878"/>
      <c r="H169" s="6879"/>
      <c r="I169" s="6827" t="str">
        <f ca="1">IFERROR(VLOOKUP($C169,'PIP finance'!$C$448:$N$582,2,FALSE),"")</f>
        <v/>
      </c>
      <c r="J169" s="6828"/>
      <c r="K169" s="3715" t="str">
        <f ca="1">IFERROR(VLOOKUP($C169,'PIP finance'!$C$448:$N$582,3,FALSE),"")</f>
        <v/>
      </c>
      <c r="L169" s="3716" t="str">
        <f ca="1">IFERROR(VLOOKUP($C169,'PIP finance'!$C$448:$N$582,4,FALSE),"")</f>
        <v/>
      </c>
      <c r="M169" s="3716" t="str">
        <f ca="1">IFERROR(VLOOKUP($C169,'PIP finance'!$C$448:$N$582,5,FALSE),"")</f>
        <v/>
      </c>
      <c r="N169" s="3716" t="str">
        <f ca="1">IFERROR(VLOOKUP($C169,'PIP finance'!$C$448:$N$582,6,FALSE),"")</f>
        <v/>
      </c>
      <c r="O169" s="3716" t="str">
        <f ca="1">IFERROR(VLOOKUP($C169,'PIP finance'!$C$448:$N$582,7,FALSE),"")</f>
        <v/>
      </c>
      <c r="P169" s="3716" t="str">
        <f ca="1">IFERROR(VLOOKUP($C169,'PIP finance'!$C$448:$N$582,8,FALSE),"")</f>
        <v/>
      </c>
      <c r="Q169" s="3716" t="str">
        <f ca="1">IFERROR(VLOOKUP($C169,'PIP finance'!$C$448:$N$582,9,FALSE),"")</f>
        <v/>
      </c>
      <c r="R169" s="3716" t="str">
        <f ca="1">IFERROR(VLOOKUP($C169,'PIP finance'!$C$448:$N$582,10,FALSE),"")</f>
        <v/>
      </c>
      <c r="S169" s="3716" t="str">
        <f ca="1">IFERROR(VLOOKUP($C169,'PIP finance'!$C$448:$N$582,11,FALSE),"")</f>
        <v/>
      </c>
      <c r="T169" s="3717" t="str">
        <f ca="1">IFERROR(VLOOKUP($C169,'PIP finance'!$C$448:$N$582,11,FALSE),"")</f>
        <v/>
      </c>
      <c r="U169" s="3703" t="str">
        <f ca="1">IFERROR(VLOOKUP($C169,'PIP finance'!$C$448:$S$582,17,FALSE),"")</f>
        <v/>
      </c>
      <c r="V169" s="3705"/>
      <c r="W169" s="3707"/>
      <c r="X169" s="3707"/>
      <c r="Y169" s="3701"/>
      <c r="Z169" s="3702" t="str">
        <f ca="1">IFERROR(VLOOKUP($C169,'PIP finance'!$C$448:$T$582,18,FALSE),"")</f>
        <v/>
      </c>
      <c r="AA169" s="3709" t="str">
        <f t="shared" ca="1" si="8"/>
        <v/>
      </c>
      <c r="AB169" s="3711">
        <f t="shared" ca="1" si="7"/>
        <v>0</v>
      </c>
      <c r="AC169" s="1341"/>
      <c r="AH169" s="1377" t="str">
        <f ca="1">IFERROR('Activation list'!X116,"")</f>
        <v/>
      </c>
      <c r="AI169" s="1377" t="str">
        <f ca="1">IFERROR(VLOOKUP($C169,'PIP finance'!$C$448:$R$582,14,FALSE),"")</f>
        <v/>
      </c>
      <c r="AJ169" s="1377" t="str">
        <f ca="1">IFERROR(VLOOKUP($C169,'PIP finance'!$C$448:$R$582,15,FALSE),"")</f>
        <v/>
      </c>
    </row>
    <row r="170" spans="2:36" ht="15.75" x14ac:dyDescent="0.25">
      <c r="B170" s="1341"/>
      <c r="C170" s="6832" t="str">
        <f ca="1">IFERROR('Activation list'!W117,"")</f>
        <v/>
      </c>
      <c r="D170" s="6878"/>
      <c r="E170" s="6878"/>
      <c r="F170" s="6878"/>
      <c r="G170" s="6878"/>
      <c r="H170" s="6879"/>
      <c r="I170" s="6827" t="str">
        <f ca="1">IFERROR(VLOOKUP($C170,'PIP finance'!$C$448:$N$582,2,FALSE),"")</f>
        <v/>
      </c>
      <c r="J170" s="6828"/>
      <c r="K170" s="3715" t="str">
        <f ca="1">IFERROR(VLOOKUP($C170,'PIP finance'!$C$448:$N$582,3,FALSE),"")</f>
        <v/>
      </c>
      <c r="L170" s="3716" t="str">
        <f ca="1">IFERROR(VLOOKUP($C170,'PIP finance'!$C$448:$N$582,4,FALSE),"")</f>
        <v/>
      </c>
      <c r="M170" s="3716" t="str">
        <f ca="1">IFERROR(VLOOKUP($C170,'PIP finance'!$C$448:$N$582,5,FALSE),"")</f>
        <v/>
      </c>
      <c r="N170" s="3716" t="str">
        <f ca="1">IFERROR(VLOOKUP($C170,'PIP finance'!$C$448:$N$582,6,FALSE),"")</f>
        <v/>
      </c>
      <c r="O170" s="3716" t="str">
        <f ca="1">IFERROR(VLOOKUP($C170,'PIP finance'!$C$448:$N$582,7,FALSE),"")</f>
        <v/>
      </c>
      <c r="P170" s="3716" t="str">
        <f ca="1">IFERROR(VLOOKUP($C170,'PIP finance'!$C$448:$N$582,8,FALSE),"")</f>
        <v/>
      </c>
      <c r="Q170" s="3716" t="str">
        <f ca="1">IFERROR(VLOOKUP($C170,'PIP finance'!$C$448:$N$582,9,FALSE),"")</f>
        <v/>
      </c>
      <c r="R170" s="3716" t="str">
        <f ca="1">IFERROR(VLOOKUP($C170,'PIP finance'!$C$448:$N$582,10,FALSE),"")</f>
        <v/>
      </c>
      <c r="S170" s="3716" t="str">
        <f ca="1">IFERROR(VLOOKUP($C170,'PIP finance'!$C$448:$N$582,11,FALSE),"")</f>
        <v/>
      </c>
      <c r="T170" s="3717" t="str">
        <f ca="1">IFERROR(VLOOKUP($C170,'PIP finance'!$C$448:$N$582,11,FALSE),"")</f>
        <v/>
      </c>
      <c r="U170" s="3703" t="str">
        <f ca="1">IFERROR(VLOOKUP($C170,'PIP finance'!$C$448:$S$582,17,FALSE),"")</f>
        <v/>
      </c>
      <c r="V170" s="3705"/>
      <c r="W170" s="3707"/>
      <c r="X170" s="3707"/>
      <c r="Y170" s="3701"/>
      <c r="Z170" s="3702" t="str">
        <f ca="1">IFERROR(VLOOKUP($C170,'PIP finance'!$C$448:$T$582,18,FALSE),"")</f>
        <v/>
      </c>
      <c r="AA170" s="3709" t="str">
        <f t="shared" ca="1" si="8"/>
        <v/>
      </c>
      <c r="AB170" s="3711">
        <f t="shared" ca="1" si="7"/>
        <v>0</v>
      </c>
      <c r="AC170" s="1341"/>
      <c r="AH170" s="1377" t="str">
        <f ca="1">IFERROR('Activation list'!X117,"")</f>
        <v/>
      </c>
      <c r="AI170" s="1377" t="str">
        <f ca="1">IFERROR(VLOOKUP($C170,'PIP finance'!$C$448:$R$582,14,FALSE),"")</f>
        <v/>
      </c>
      <c r="AJ170" s="1377" t="str">
        <f ca="1">IFERROR(VLOOKUP($C170,'PIP finance'!$C$448:$R$582,15,FALSE),"")</f>
        <v/>
      </c>
    </row>
    <row r="171" spans="2:36" ht="16.5" thickBot="1" x14ac:dyDescent="0.3">
      <c r="B171" s="1341"/>
      <c r="C171" s="6882" t="str">
        <f ca="1">IFERROR('Activation list'!W118,"")</f>
        <v/>
      </c>
      <c r="D171" s="6883"/>
      <c r="E171" s="6883"/>
      <c r="F171" s="6883"/>
      <c r="G171" s="6883"/>
      <c r="H171" s="6884"/>
      <c r="I171" s="6885" t="str">
        <f ca="1">IFERROR(VLOOKUP($C171,'PIP finance'!$C$448:$N$582,2,FALSE),"")</f>
        <v/>
      </c>
      <c r="J171" s="6886"/>
      <c r="K171" s="5370" t="str">
        <f ca="1">IFERROR(VLOOKUP($C171,'PIP finance'!$C$448:$N$582,3,FALSE),"")</f>
        <v/>
      </c>
      <c r="L171" s="5371" t="str">
        <f ca="1">IFERROR(VLOOKUP($C171,'PIP finance'!$C$448:$N$582,4,FALSE),"")</f>
        <v/>
      </c>
      <c r="M171" s="5371" t="str">
        <f ca="1">IFERROR(VLOOKUP($C171,'PIP finance'!$C$448:$N$582,5,FALSE),"")</f>
        <v/>
      </c>
      <c r="N171" s="5371" t="str">
        <f ca="1">IFERROR(VLOOKUP($C171,'PIP finance'!$C$448:$N$582,6,FALSE),"")</f>
        <v/>
      </c>
      <c r="O171" s="5371" t="str">
        <f ca="1">IFERROR(VLOOKUP($C171,'PIP finance'!$C$448:$N$582,7,FALSE),"")</f>
        <v/>
      </c>
      <c r="P171" s="5371" t="str">
        <f ca="1">IFERROR(VLOOKUP($C171,'PIP finance'!$C$448:$N$582,8,FALSE),"")</f>
        <v/>
      </c>
      <c r="Q171" s="5371" t="str">
        <f ca="1">IFERROR(VLOOKUP($C171,'PIP finance'!$C$448:$N$582,9,FALSE),"")</f>
        <v/>
      </c>
      <c r="R171" s="5371" t="str">
        <f ca="1">IFERROR(VLOOKUP($C171,'PIP finance'!$C$448:$N$582,10,FALSE),"")</f>
        <v/>
      </c>
      <c r="S171" s="5371" t="str">
        <f ca="1">IFERROR(VLOOKUP($C171,'PIP finance'!$C$448:$N$582,11,FALSE),"")</f>
        <v/>
      </c>
      <c r="T171" s="5372" t="str">
        <f ca="1">IFERROR(VLOOKUP($C171,'PIP finance'!$C$448:$N$582,11,FALSE),"")</f>
        <v/>
      </c>
      <c r="U171" s="5373" t="str">
        <f ca="1">IFERROR(VLOOKUP($C171,'PIP finance'!$C$448:$S$582,17,FALSE),"")</f>
        <v/>
      </c>
      <c r="V171" s="5374"/>
      <c r="W171" s="5375"/>
      <c r="X171" s="5375"/>
      <c r="Y171" s="5376"/>
      <c r="Z171" s="5377" t="str">
        <f ca="1">IFERROR(VLOOKUP($C171,'PIP finance'!$C$448:$T$582,18,FALSE),"")</f>
        <v/>
      </c>
      <c r="AA171" s="5378" t="str">
        <f ca="1">IF(C171&lt;&gt;"",1-SUM(V171:Z171),"")</f>
        <v/>
      </c>
      <c r="AB171" s="5379">
        <f t="shared" ca="1" si="7"/>
        <v>0</v>
      </c>
      <c r="AC171" s="1341"/>
      <c r="AH171" s="1381"/>
      <c r="AI171" s="1381"/>
      <c r="AJ171" s="1381"/>
    </row>
    <row r="172" spans="2:36" s="1311" customFormat="1" ht="30.75" customHeight="1" thickTop="1" x14ac:dyDescent="0.25">
      <c r="B172" s="1364"/>
      <c r="C172" s="1364"/>
      <c r="D172" s="1364"/>
      <c r="E172" s="1364"/>
      <c r="F172" s="1364"/>
      <c r="G172" s="1364"/>
      <c r="H172" s="1364"/>
      <c r="I172" s="1380"/>
      <c r="J172" s="1380"/>
      <c r="K172" s="1364"/>
      <c r="L172" s="1364"/>
      <c r="M172" s="1364"/>
      <c r="N172" s="1364"/>
      <c r="O172" s="1364"/>
      <c r="P172" s="1364"/>
      <c r="Q172" s="1364"/>
      <c r="R172" s="1364"/>
      <c r="S172" s="1364"/>
      <c r="T172" s="1364"/>
      <c r="U172" s="1364"/>
      <c r="V172" s="1364"/>
      <c r="W172" s="1364"/>
      <c r="X172" s="1364"/>
      <c r="Y172" s="1364"/>
      <c r="Z172" s="1364"/>
      <c r="AA172" s="1364"/>
      <c r="AB172" s="1364"/>
      <c r="AC172" s="1364"/>
      <c r="AH172" s="1381"/>
      <c r="AI172" s="1381"/>
      <c r="AJ172" s="1381"/>
    </row>
  </sheetData>
  <sheetProtection password="DBDC" sheet="1" objects="1" scenarios="1" selectLockedCells="1"/>
  <mergeCells count="297">
    <mergeCell ref="I138:J138"/>
    <mergeCell ref="P10:AB10"/>
    <mergeCell ref="C171:H171"/>
    <mergeCell ref="I171:J171"/>
    <mergeCell ref="C157:H157"/>
    <mergeCell ref="C158:H158"/>
    <mergeCell ref="C159:H159"/>
    <mergeCell ref="C160:H160"/>
    <mergeCell ref="C161:H161"/>
    <mergeCell ref="C152:H152"/>
    <mergeCell ref="C153:H153"/>
    <mergeCell ref="C154:H154"/>
    <mergeCell ref="C155:H155"/>
    <mergeCell ref="C156:H156"/>
    <mergeCell ref="C167:H167"/>
    <mergeCell ref="C168:H168"/>
    <mergeCell ref="C169:H169"/>
    <mergeCell ref="C170:H170"/>
    <mergeCell ref="C162:H162"/>
    <mergeCell ref="C163:H163"/>
    <mergeCell ref="C164:H164"/>
    <mergeCell ref="C165:H165"/>
    <mergeCell ref="C166:H166"/>
    <mergeCell ref="I165:J165"/>
    <mergeCell ref="C150:H150"/>
    <mergeCell ref="C151:H151"/>
    <mergeCell ref="C142:H142"/>
    <mergeCell ref="C143:H143"/>
    <mergeCell ref="C144:H144"/>
    <mergeCell ref="C145:H145"/>
    <mergeCell ref="C146:H146"/>
    <mergeCell ref="C137:H137"/>
    <mergeCell ref="C138:H138"/>
    <mergeCell ref="C139:H139"/>
    <mergeCell ref="C140:H140"/>
    <mergeCell ref="C141:H141"/>
    <mergeCell ref="C147:H147"/>
    <mergeCell ref="C148:H148"/>
    <mergeCell ref="C149:H149"/>
    <mergeCell ref="C132:H132"/>
    <mergeCell ref="C133:H133"/>
    <mergeCell ref="C134:H134"/>
    <mergeCell ref="C135:H135"/>
    <mergeCell ref="C136:H136"/>
    <mergeCell ref="C127:H127"/>
    <mergeCell ref="C128:H128"/>
    <mergeCell ref="C129:H129"/>
    <mergeCell ref="C130:H130"/>
    <mergeCell ref="C131:H131"/>
    <mergeCell ref="C122:H122"/>
    <mergeCell ref="C123:H123"/>
    <mergeCell ref="C124:H124"/>
    <mergeCell ref="C125:H125"/>
    <mergeCell ref="C126:H126"/>
    <mergeCell ref="C117:H117"/>
    <mergeCell ref="C118:H118"/>
    <mergeCell ref="C119:H119"/>
    <mergeCell ref="C120:H120"/>
    <mergeCell ref="C121:H121"/>
    <mergeCell ref="C112:H112"/>
    <mergeCell ref="C113:H113"/>
    <mergeCell ref="C114:H114"/>
    <mergeCell ref="C115:H115"/>
    <mergeCell ref="C116:H116"/>
    <mergeCell ref="C107:H107"/>
    <mergeCell ref="C108:H108"/>
    <mergeCell ref="C109:H109"/>
    <mergeCell ref="C110:H110"/>
    <mergeCell ref="C111:H111"/>
    <mergeCell ref="C103:H103"/>
    <mergeCell ref="C104:H104"/>
    <mergeCell ref="C105:H105"/>
    <mergeCell ref="C106:H106"/>
    <mergeCell ref="C97:H97"/>
    <mergeCell ref="C98:H98"/>
    <mergeCell ref="C99:H99"/>
    <mergeCell ref="C100:H100"/>
    <mergeCell ref="C101:H101"/>
    <mergeCell ref="C94:H94"/>
    <mergeCell ref="C95:H95"/>
    <mergeCell ref="C96:H96"/>
    <mergeCell ref="C87:H87"/>
    <mergeCell ref="C88:H88"/>
    <mergeCell ref="C89:H89"/>
    <mergeCell ref="C90:H90"/>
    <mergeCell ref="C91:H91"/>
    <mergeCell ref="C102:H102"/>
    <mergeCell ref="C70:H70"/>
    <mergeCell ref="C71:H71"/>
    <mergeCell ref="C72:H72"/>
    <mergeCell ref="C73:H73"/>
    <mergeCell ref="C74:H74"/>
    <mergeCell ref="C75:H75"/>
    <mergeCell ref="C76:H76"/>
    <mergeCell ref="C92:H92"/>
    <mergeCell ref="C93:H93"/>
    <mergeCell ref="C82:H82"/>
    <mergeCell ref="C83:H83"/>
    <mergeCell ref="C84:H84"/>
    <mergeCell ref="C85:H85"/>
    <mergeCell ref="C86:H86"/>
    <mergeCell ref="C77:H77"/>
    <mergeCell ref="C78:H78"/>
    <mergeCell ref="C79:H79"/>
    <mergeCell ref="C80:H80"/>
    <mergeCell ref="C81:H81"/>
    <mergeCell ref="K21:K22"/>
    <mergeCell ref="L21:L22"/>
    <mergeCell ref="M21:M22"/>
    <mergeCell ref="M53:N53"/>
    <mergeCell ref="I55:J55"/>
    <mergeCell ref="C69:H69"/>
    <mergeCell ref="C51:J51"/>
    <mergeCell ref="K51:T51"/>
    <mergeCell ref="D53:E53"/>
    <mergeCell ref="F53:G53"/>
    <mergeCell ref="H53:I53"/>
    <mergeCell ref="AA55:AB55"/>
    <mergeCell ref="U52:AB53"/>
    <mergeCell ref="U54:AB54"/>
    <mergeCell ref="E19:E20"/>
    <mergeCell ref="F19:F20"/>
    <mergeCell ref="I74:J74"/>
    <mergeCell ref="C67:H67"/>
    <mergeCell ref="C68:H68"/>
    <mergeCell ref="C62:H62"/>
    <mergeCell ref="C63:H63"/>
    <mergeCell ref="C64:H64"/>
    <mergeCell ref="C65:H65"/>
    <mergeCell ref="C66:H66"/>
    <mergeCell ref="I66:J66"/>
    <mergeCell ref="C55:H55"/>
    <mergeCell ref="P21:Q21"/>
    <mergeCell ref="N21:N22"/>
    <mergeCell ref="D21:D22"/>
    <mergeCell ref="E21:E22"/>
    <mergeCell ref="F21:F22"/>
    <mergeCell ref="G21:G22"/>
    <mergeCell ref="H21:H22"/>
    <mergeCell ref="I21:I22"/>
    <mergeCell ref="J21:J22"/>
    <mergeCell ref="I75:J75"/>
    <mergeCell ref="C2:Y2"/>
    <mergeCell ref="C57:H57"/>
    <mergeCell ref="C58:H58"/>
    <mergeCell ref="C59:H59"/>
    <mergeCell ref="C60:H60"/>
    <mergeCell ref="C61:H61"/>
    <mergeCell ref="I56:J56"/>
    <mergeCell ref="C17:C18"/>
    <mergeCell ref="C19:C20"/>
    <mergeCell ref="C21:C22"/>
    <mergeCell ref="D17:D18"/>
    <mergeCell ref="E17:E18"/>
    <mergeCell ref="F17:F18"/>
    <mergeCell ref="G17:G18"/>
    <mergeCell ref="H17:H18"/>
    <mergeCell ref="I17:I18"/>
    <mergeCell ref="P16:Q16"/>
    <mergeCell ref="P22:Q22"/>
    <mergeCell ref="U51:AB51"/>
    <mergeCell ref="C56:H56"/>
    <mergeCell ref="K53:L53"/>
    <mergeCell ref="C4:X4"/>
    <mergeCell ref="C6:X6"/>
    <mergeCell ref="I83:J83"/>
    <mergeCell ref="I57:J57"/>
    <mergeCell ref="I58:J58"/>
    <mergeCell ref="I59:J59"/>
    <mergeCell ref="I60:J60"/>
    <mergeCell ref="I61:J61"/>
    <mergeCell ref="I62:J62"/>
    <mergeCell ref="I63:J63"/>
    <mergeCell ref="I64:J64"/>
    <mergeCell ref="I65:J65"/>
    <mergeCell ref="I67:J67"/>
    <mergeCell ref="I68:J68"/>
    <mergeCell ref="I69:J69"/>
    <mergeCell ref="I70:J70"/>
    <mergeCell ref="I71:J71"/>
    <mergeCell ref="I72:J72"/>
    <mergeCell ref="I76:J76"/>
    <mergeCell ref="I77:J77"/>
    <mergeCell ref="I78:J78"/>
    <mergeCell ref="I79:J79"/>
    <mergeCell ref="I80:J80"/>
    <mergeCell ref="I81:J81"/>
    <mergeCell ref="I82:J82"/>
    <mergeCell ref="I73:J73"/>
    <mergeCell ref="I84:J84"/>
    <mergeCell ref="I85:J85"/>
    <mergeCell ref="I86:J86"/>
    <mergeCell ref="I87:J87"/>
    <mergeCell ref="I88:J88"/>
    <mergeCell ref="I89:J89"/>
    <mergeCell ref="I90:J90"/>
    <mergeCell ref="I91:J91"/>
    <mergeCell ref="I92:J92"/>
    <mergeCell ref="I93:J93"/>
    <mergeCell ref="I94:J94"/>
    <mergeCell ref="I95:J95"/>
    <mergeCell ref="I96:J96"/>
    <mergeCell ref="I97:J97"/>
    <mergeCell ref="I98:J98"/>
    <mergeCell ref="I99:J99"/>
    <mergeCell ref="I100:J100"/>
    <mergeCell ref="I101:J101"/>
    <mergeCell ref="I102:J102"/>
    <mergeCell ref="I103:J103"/>
    <mergeCell ref="I104:J104"/>
    <mergeCell ref="I105:J105"/>
    <mergeCell ref="I106:J106"/>
    <mergeCell ref="I107:J107"/>
    <mergeCell ref="I108:J108"/>
    <mergeCell ref="I109:J109"/>
    <mergeCell ref="I110:J110"/>
    <mergeCell ref="I111:J111"/>
    <mergeCell ref="I112:J112"/>
    <mergeCell ref="I113:J113"/>
    <mergeCell ref="I114:J114"/>
    <mergeCell ref="I115:J115"/>
    <mergeCell ref="I116:J116"/>
    <mergeCell ref="I117:J117"/>
    <mergeCell ref="I118:J118"/>
    <mergeCell ref="I119:J119"/>
    <mergeCell ref="I120:J120"/>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35:J135"/>
    <mergeCell ref="I136:J136"/>
    <mergeCell ref="I137:J137"/>
    <mergeCell ref="I139:J139"/>
    <mergeCell ref="I140:J140"/>
    <mergeCell ref="I141:J141"/>
    <mergeCell ref="I142:J142"/>
    <mergeCell ref="I143:J143"/>
    <mergeCell ref="I144:J144"/>
    <mergeCell ref="I145:J145"/>
    <mergeCell ref="I146:J146"/>
    <mergeCell ref="I147:J147"/>
    <mergeCell ref="I148:J148"/>
    <mergeCell ref="I168:J168"/>
    <mergeCell ref="I169:J169"/>
    <mergeCell ref="I170:J170"/>
    <mergeCell ref="I156:J156"/>
    <mergeCell ref="I157:J157"/>
    <mergeCell ref="I158:J158"/>
    <mergeCell ref="I159:J159"/>
    <mergeCell ref="I160:J160"/>
    <mergeCell ref="I161:J161"/>
    <mergeCell ref="I162:J162"/>
    <mergeCell ref="I163:J163"/>
    <mergeCell ref="I164:J164"/>
    <mergeCell ref="I167:J167"/>
    <mergeCell ref="I149:J149"/>
    <mergeCell ref="I150:J150"/>
    <mergeCell ref="I151:J151"/>
    <mergeCell ref="I152:J152"/>
    <mergeCell ref="I153:J153"/>
    <mergeCell ref="I154:J154"/>
    <mergeCell ref="I155:J155"/>
    <mergeCell ref="I166:J166"/>
    <mergeCell ref="C8:X8"/>
    <mergeCell ref="P9:W9"/>
    <mergeCell ref="D9:K9"/>
    <mergeCell ref="L9:M9"/>
    <mergeCell ref="G19:G20"/>
    <mergeCell ref="H19:H20"/>
    <mergeCell ref="I19:I20"/>
    <mergeCell ref="J19:J20"/>
    <mergeCell ref="K19:K20"/>
    <mergeCell ref="L19:L20"/>
    <mergeCell ref="M19:M20"/>
    <mergeCell ref="N17:N18"/>
    <mergeCell ref="N19:N20"/>
    <mergeCell ref="P18:Q18"/>
    <mergeCell ref="P20:Q20"/>
    <mergeCell ref="D14:I14"/>
    <mergeCell ref="P19:Q19"/>
    <mergeCell ref="J17:J18"/>
    <mergeCell ref="K17:K18"/>
    <mergeCell ref="L17:L18"/>
    <mergeCell ref="M17:M18"/>
    <mergeCell ref="D19:D20"/>
    <mergeCell ref="P17:Q17"/>
  </mergeCells>
  <conditionalFormatting sqref="D17:M22">
    <cfRule type="dataBar" priority="21">
      <dataBar>
        <cfvo type="min"/>
        <cfvo type="max"/>
        <color theme="0" tint="-0.34998626667073579"/>
      </dataBar>
    </cfRule>
    <cfRule type="dataBar" priority="24">
      <dataBar>
        <cfvo type="min"/>
        <cfvo type="max"/>
        <color theme="0" tint="-0.499984740745262"/>
      </dataBar>
    </cfRule>
    <cfRule type="dataBar" priority="26">
      <dataBar>
        <cfvo type="min"/>
        <cfvo type="max"/>
        <color theme="0" tint="-0.249977111117893"/>
      </dataBar>
    </cfRule>
    <cfRule type="dataBar" priority="27">
      <dataBar>
        <cfvo type="min"/>
        <cfvo type="max"/>
        <color rgb="FFD5F7FB"/>
      </dataBar>
    </cfRule>
    <cfRule type="dataBar" priority="28">
      <dataBar>
        <cfvo type="min"/>
        <cfvo type="max"/>
        <color rgb="FFA8F2F6"/>
      </dataBar>
    </cfRule>
    <cfRule type="dataBar" priority="29">
      <dataBar>
        <cfvo type="min"/>
        <cfvo type="max"/>
        <color theme="2" tint="-9.9978637043366805E-2"/>
      </dataBar>
    </cfRule>
    <cfRule type="dataBar" priority="30">
      <dataBar>
        <cfvo type="min"/>
        <cfvo type="max"/>
        <color theme="0" tint="-0.249977111117893"/>
      </dataBar>
    </cfRule>
  </conditionalFormatting>
  <conditionalFormatting sqref="R17:AA22">
    <cfRule type="dataBar" priority="22">
      <dataBar>
        <cfvo type="min"/>
        <cfvo type="max"/>
        <color theme="0" tint="-0.34998626667073579"/>
      </dataBar>
    </cfRule>
    <cfRule type="dataBar" priority="23">
      <dataBar>
        <cfvo type="min"/>
        <cfvo type="max"/>
        <color theme="0" tint="-0.499984740745262"/>
      </dataBar>
    </cfRule>
    <cfRule type="dataBar" priority="25">
      <dataBar>
        <cfvo type="min"/>
        <cfvo type="max"/>
        <color theme="0" tint="-0.249977111117893"/>
      </dataBar>
    </cfRule>
  </conditionalFormatting>
  <conditionalFormatting sqref="C56:J171 U56:U171">
    <cfRule type="expression" dxfId="88" priority="18">
      <formula>$AH56="SW"</formula>
    </cfRule>
    <cfRule type="expression" dxfId="87" priority="19">
      <formula>$AH56="WW"</formula>
    </cfRule>
    <cfRule type="expression" dxfId="86" priority="20">
      <formula>$AH56="WS"</formula>
    </cfRule>
  </conditionalFormatting>
  <conditionalFormatting sqref="K56:T171">
    <cfRule type="expression" dxfId="85" priority="12">
      <formula>AND($AH$53&lt;&gt;"PHASING",K56&lt;&gt;0,$AH56="WW")</formula>
    </cfRule>
    <cfRule type="expression" dxfId="84" priority="13">
      <formula>AND($AH$53="PHASING",K$55&gt;=$AI56,K$55&lt;=$AJ56,$AH56="WW")</formula>
    </cfRule>
    <cfRule type="expression" dxfId="83" priority="14">
      <formula>AND($AH$53&lt;&gt;"PHASING",K56&lt;&gt;0,$AH56="SW")</formula>
    </cfRule>
    <cfRule type="expression" dxfId="82" priority="15">
      <formula>AND($AH$53="PHASING",K$55&gt;=$AI56,K$55&lt;=$AJ56,$AH56="SW")</formula>
    </cfRule>
    <cfRule type="expression" dxfId="81" priority="16">
      <formula>AND($AH$53&lt;&gt;"PHASING",K56&lt;&gt;0,$AH56="WS")</formula>
    </cfRule>
    <cfRule type="expression" dxfId="80" priority="17">
      <formula>AND($AH$53="PHASING",K$55&gt;=$AI56,K$55&lt;=$AJ56,$AH56="WS")</formula>
    </cfRule>
  </conditionalFormatting>
  <conditionalFormatting sqref="V56:AB171">
    <cfRule type="expression" dxfId="79" priority="8">
      <formula>AND(V56&lt;&gt;0,$AH56="SW")</formula>
    </cfRule>
    <cfRule type="expression" dxfId="78" priority="9">
      <formula>AND(V56&lt;&gt;0,$AH56="WW")</formula>
    </cfRule>
    <cfRule type="expression" dxfId="77" priority="10">
      <formula>AND(V56&lt;&gt;0,$AH56="WS")</formula>
    </cfRule>
  </conditionalFormatting>
  <dataValidations count="1">
    <dataValidation type="list" allowBlank="1" showInputMessage="1" showErrorMessage="1" sqref="D14">
      <formula1>"TOTAL  WSS, WATER  SUPPLY,  WASTE  WATER, SOLID  WASTE"</formula1>
    </dataValidation>
  </dataValidations>
  <hyperlinks>
    <hyperlink ref="D9:K9" location="'Action Plan finance'!C12" display="Financial Summary"/>
    <hyperlink ref="P9:W9" location="'Action Plan finance'!C49" display="Action Plan Summary"/>
  </hyperlinks>
  <printOptions horizontalCentered="1"/>
  <pageMargins left="0.19685039370078741" right="0.11811023622047245" top="0.11811023622047245" bottom="0.11811023622047245" header="0.11811023622047245" footer="0.11811023622047245"/>
  <pageSetup paperSize="9" scale="51" fitToHeight="0" orientation="landscape" verticalDpi="300" r:id="rId1"/>
  <rowBreaks count="2" manualBreakCount="2">
    <brk id="48" min="1" max="28" man="1"/>
    <brk id="114" min="1"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74766" r:id="rId4" name="Option Button 14">
              <controlPr locked="0" defaultSize="0" autoFill="0" autoLine="0" autoPict="0">
                <anchor moveWithCells="1">
                  <from>
                    <xdr:col>15</xdr:col>
                    <xdr:colOff>466725</xdr:colOff>
                    <xdr:row>52</xdr:row>
                    <xdr:rowOff>0</xdr:rowOff>
                  </from>
                  <to>
                    <xdr:col>17</xdr:col>
                    <xdr:colOff>104775</xdr:colOff>
                    <xdr:row>53</xdr:row>
                    <xdr:rowOff>28575</xdr:rowOff>
                  </to>
                </anchor>
              </controlPr>
            </control>
          </mc:Choice>
        </mc:AlternateContent>
        <mc:AlternateContent xmlns:mc="http://schemas.openxmlformats.org/markup-compatibility/2006">
          <mc:Choice Requires="x14">
            <control shapeId="74768" r:id="rId5" name="Option Button 16">
              <controlPr locked="0" defaultSize="0" autoFill="0" autoLine="0" autoPict="0">
                <anchor moveWithCells="1">
                  <from>
                    <xdr:col>17</xdr:col>
                    <xdr:colOff>381000</xdr:colOff>
                    <xdr:row>52</xdr:row>
                    <xdr:rowOff>9525</xdr:rowOff>
                  </from>
                  <to>
                    <xdr:col>18</xdr:col>
                    <xdr:colOff>485775</xdr:colOff>
                    <xdr:row>52</xdr:row>
                    <xdr:rowOff>238125</xdr:rowOff>
                  </to>
                </anchor>
              </controlPr>
            </control>
          </mc:Choice>
        </mc:AlternateContent>
        <mc:AlternateContent xmlns:mc="http://schemas.openxmlformats.org/markup-compatibility/2006">
          <mc:Choice Requires="x14">
            <control shapeId="74769" r:id="rId6" name="Option Button 17">
              <controlPr locked="0" defaultSize="0" autoFill="0" autoLine="0" autoPict="0">
                <anchor moveWithCells="1">
                  <from>
                    <xdr:col>14</xdr:col>
                    <xdr:colOff>85725</xdr:colOff>
                    <xdr:row>52</xdr:row>
                    <xdr:rowOff>9525</xdr:rowOff>
                  </from>
                  <to>
                    <xdr:col>15</xdr:col>
                    <xdr:colOff>209550</xdr:colOff>
                    <xdr:row>53</xdr:row>
                    <xdr:rowOff>0</xdr:rowOff>
                  </to>
                </anchor>
              </controlPr>
            </control>
          </mc:Choice>
        </mc:AlternateContent>
        <mc:AlternateContent xmlns:mc="http://schemas.openxmlformats.org/markup-compatibility/2006">
          <mc:Choice Requires="x14">
            <control shapeId="74770" r:id="rId7" name="Button 18">
              <controlPr defaultSize="0" print="0" autoFill="0" autoPict="0" macro="[0]!Print_Sheet" altText="Print this page">
                <anchor moveWithCells="1" sizeWithCells="1">
                  <from>
                    <xdr:col>26</xdr:col>
                    <xdr:colOff>447675</xdr:colOff>
                    <xdr:row>5</xdr:row>
                    <xdr:rowOff>0</xdr:rowOff>
                  </from>
                  <to>
                    <xdr:col>27</xdr:col>
                    <xdr:colOff>704850</xdr:colOff>
                    <xdr:row>5</xdr:row>
                    <xdr:rowOff>323850</xdr:rowOff>
                  </to>
                </anchor>
              </controlPr>
            </control>
          </mc:Choice>
        </mc:AlternateContent>
        <mc:AlternateContent xmlns:mc="http://schemas.openxmlformats.org/markup-compatibility/2006">
          <mc:Choice Requires="x14">
            <control shapeId="74771" r:id="rId8" name="Button 19">
              <controlPr defaultSize="0" print="0" autoFill="0" autoPict="0" macro="[0]!ResetInputCells" altText="Print this page">
                <anchor moveWithCells="1" sizeWithCells="1">
                  <from>
                    <xdr:col>25</xdr:col>
                    <xdr:colOff>28575</xdr:colOff>
                    <xdr:row>5</xdr:row>
                    <xdr:rowOff>9525</xdr:rowOff>
                  </from>
                  <to>
                    <xdr:col>26</xdr:col>
                    <xdr:colOff>285750</xdr:colOff>
                    <xdr:row>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5"/>
    <pageSetUpPr autoPageBreaks="0" fitToPage="1"/>
  </sheetPr>
  <dimension ref="A1:BA247"/>
  <sheetViews>
    <sheetView topLeftCell="C203" zoomScale="65" zoomScaleNormal="65" zoomScaleSheetLayoutView="50" workbookViewId="0">
      <selection activeCell="AG239" sqref="AG239"/>
    </sheetView>
  </sheetViews>
  <sheetFormatPr defaultRowHeight="15" x14ac:dyDescent="0.25"/>
  <cols>
    <col min="1" max="1" width="8.85546875" style="466" customWidth="1"/>
    <col min="2" max="2" width="6.85546875" style="1316" customWidth="1"/>
    <col min="3" max="3" width="2.85546875" style="1316" customWidth="1"/>
    <col min="4" max="4" width="33" style="1316" customWidth="1"/>
    <col min="5" max="8" width="9.140625" style="1316" customWidth="1"/>
    <col min="9" max="9" width="10.140625" style="1316" customWidth="1"/>
    <col min="10" max="13" width="9.140625" style="1316" customWidth="1"/>
    <col min="14" max="15" width="9.28515625" style="1316" customWidth="1"/>
    <col min="16" max="16" width="3.140625" style="1316" customWidth="1"/>
    <col min="17" max="17" width="9.42578125" style="1316" customWidth="1"/>
    <col min="18" max="18" width="3.28515625" style="1316" customWidth="1"/>
    <col min="19" max="20" width="9.85546875" style="1316" customWidth="1"/>
    <col min="21" max="22" width="7.7109375" style="1316" customWidth="1"/>
    <col min="23" max="23" width="9" style="1316" customWidth="1"/>
    <col min="24" max="31" width="9.42578125" style="1316" customWidth="1"/>
    <col min="32" max="33" width="9.28515625" style="1316" customWidth="1"/>
    <col min="34" max="34" width="3.28515625" style="1316" customWidth="1"/>
    <col min="35" max="35" width="8.85546875" style="918" customWidth="1"/>
    <col min="36" max="36" width="9.140625" style="478"/>
    <col min="37" max="37" width="4.140625" style="918" customWidth="1"/>
    <col min="38" max="38" width="34.28515625" style="478" customWidth="1"/>
    <col min="39" max="44" width="9.42578125" style="478" customWidth="1"/>
    <col min="45" max="45" width="8.7109375" style="478" customWidth="1"/>
    <col min="46" max="48" width="8.5703125" style="478" customWidth="1"/>
    <col min="49" max="49" width="4.7109375" style="478" customWidth="1"/>
    <col min="50" max="50" width="9.140625" style="478"/>
    <col min="51" max="51" width="9.140625" style="478" hidden="1" customWidth="1"/>
    <col min="52" max="16384" width="9.140625" style="478"/>
  </cols>
  <sheetData>
    <row r="1" spans="1:37" s="466" customFormat="1" ht="6" customHeight="1" x14ac:dyDescent="0.25">
      <c r="B1" s="1311"/>
      <c r="C1" s="1311"/>
      <c r="D1" s="1311"/>
      <c r="E1" s="1311"/>
      <c r="F1" s="1311"/>
      <c r="G1" s="1311"/>
      <c r="H1" s="1311"/>
      <c r="I1" s="1311"/>
      <c r="J1" s="1311"/>
      <c r="K1" s="1312"/>
      <c r="L1" s="1311"/>
      <c r="M1" s="1311"/>
      <c r="N1" s="1311"/>
      <c r="O1" s="1311"/>
      <c r="P1" s="1311"/>
      <c r="Q1" s="1311"/>
      <c r="R1" s="1311"/>
      <c r="S1" s="1311"/>
      <c r="T1" s="1311"/>
      <c r="U1" s="1311"/>
      <c r="V1" s="1311"/>
      <c r="W1" s="1311"/>
      <c r="X1" s="1311"/>
      <c r="Y1" s="1311"/>
      <c r="Z1" s="1311"/>
      <c r="AA1" s="1311"/>
      <c r="AB1" s="1311"/>
      <c r="AC1" s="1311"/>
      <c r="AD1" s="1311"/>
      <c r="AE1" s="1311"/>
      <c r="AF1" s="1311"/>
      <c r="AG1" s="1311"/>
      <c r="AH1" s="1311"/>
      <c r="AI1" s="921"/>
      <c r="AK1" s="921"/>
    </row>
    <row r="2" spans="1:37" s="921" customFormat="1" ht="49.5" customHeight="1" x14ac:dyDescent="0.5">
      <c r="B2" s="1313"/>
      <c r="C2" s="3448"/>
      <c r="D2" s="6916" t="s">
        <v>2088</v>
      </c>
      <c r="E2" s="6916"/>
      <c r="F2" s="6916"/>
      <c r="G2" s="6916"/>
      <c r="H2" s="6916"/>
      <c r="I2" s="6916"/>
      <c r="J2" s="6916"/>
      <c r="K2" s="6916"/>
      <c r="L2" s="6916"/>
      <c r="M2" s="6916"/>
      <c r="N2" s="6916"/>
      <c r="O2" s="6916"/>
      <c r="P2" s="6916"/>
      <c r="Q2" s="6916"/>
      <c r="R2" s="6916"/>
      <c r="S2" s="6916"/>
      <c r="T2" s="6916"/>
      <c r="U2" s="6916"/>
      <c r="V2" s="6916"/>
      <c r="W2" s="6916"/>
      <c r="X2" s="6916"/>
      <c r="Y2" s="6916"/>
      <c r="Z2" s="6916"/>
      <c r="AA2" s="6916"/>
      <c r="AB2" s="6916"/>
      <c r="AC2" s="6916"/>
      <c r="AD2" s="6916"/>
      <c r="AE2" s="1314"/>
      <c r="AF2" s="1314"/>
      <c r="AG2" s="1314"/>
      <c r="AH2" s="1314"/>
      <c r="AI2" s="518"/>
    </row>
    <row r="3" spans="1:37" s="921" customFormat="1" ht="9" customHeight="1" x14ac:dyDescent="0.25">
      <c r="B3" s="1318"/>
      <c r="C3" s="1804"/>
      <c r="D3" s="1322"/>
      <c r="E3" s="1322"/>
      <c r="F3" s="1322"/>
      <c r="G3" s="1322"/>
      <c r="H3" s="1322"/>
      <c r="I3" s="1322"/>
      <c r="J3" s="1322"/>
      <c r="K3" s="1322"/>
      <c r="L3" s="1320"/>
      <c r="M3" s="1320"/>
      <c r="N3" s="1320"/>
      <c r="O3" s="1320"/>
      <c r="P3" s="1320"/>
      <c r="Q3" s="1320"/>
      <c r="R3" s="1320"/>
      <c r="S3" s="1320"/>
      <c r="T3" s="1320"/>
      <c r="U3" s="1320"/>
      <c r="V3" s="1320"/>
      <c r="W3" s="1320"/>
      <c r="X3" s="1320"/>
      <c r="Y3" s="1320"/>
      <c r="Z3" s="1320"/>
      <c r="AA3" s="1320"/>
      <c r="AB3" s="1320"/>
      <c r="AC3" s="1320"/>
      <c r="AD3" s="1320"/>
      <c r="AE3" s="1320"/>
      <c r="AF3" s="1320"/>
      <c r="AG3" s="1320"/>
      <c r="AH3" s="1320"/>
      <c r="AI3" s="520"/>
    </row>
    <row r="4" spans="1:37" s="921" customFormat="1" ht="28.5" x14ac:dyDescent="0.25">
      <c r="B4" s="1318"/>
      <c r="C4" s="1804"/>
      <c r="D4" s="6348" t="s">
        <v>3084</v>
      </c>
      <c r="E4" s="6348"/>
      <c r="F4" s="6348"/>
      <c r="G4" s="6348"/>
      <c r="H4" s="6348"/>
      <c r="I4" s="6348"/>
      <c r="J4" s="6348"/>
      <c r="K4" s="6348"/>
      <c r="L4" s="6348"/>
      <c r="M4" s="6348"/>
      <c r="N4" s="6348"/>
      <c r="O4" s="6348"/>
      <c r="P4" s="6348"/>
      <c r="Q4" s="6348"/>
      <c r="R4" s="6348"/>
      <c r="S4" s="6348"/>
      <c r="T4" s="6348"/>
      <c r="U4" s="6348"/>
      <c r="V4" s="6348"/>
      <c r="W4" s="6348"/>
      <c r="X4" s="6348"/>
      <c r="Y4" s="6348"/>
      <c r="Z4" s="6348"/>
      <c r="AA4" s="6348"/>
      <c r="AB4" s="6348"/>
      <c r="AC4" s="6348"/>
      <c r="AD4" s="6348"/>
      <c r="AE4" s="6348"/>
      <c r="AF4" s="6348"/>
      <c r="AG4" s="6348"/>
      <c r="AH4" s="3388"/>
      <c r="AI4" s="520"/>
    </row>
    <row r="5" spans="1:37" s="921" customFormat="1" ht="9" customHeight="1" x14ac:dyDescent="0.25">
      <c r="B5" s="1318"/>
      <c r="C5" s="1804"/>
      <c r="D5" s="1322"/>
      <c r="E5" s="1322"/>
      <c r="F5" s="1322"/>
      <c r="G5" s="1322"/>
      <c r="H5" s="1322"/>
      <c r="I5" s="1322"/>
      <c r="J5" s="1322"/>
      <c r="K5" s="1322"/>
      <c r="L5" s="1320"/>
      <c r="M5" s="1320"/>
      <c r="N5" s="1320"/>
      <c r="O5" s="1320"/>
      <c r="P5" s="1320"/>
      <c r="Q5" s="1320"/>
      <c r="R5" s="1320"/>
      <c r="S5" s="1320"/>
      <c r="T5" s="1320"/>
      <c r="U5" s="1320"/>
      <c r="V5" s="1320"/>
      <c r="W5" s="1320"/>
      <c r="X5" s="1320"/>
      <c r="Y5" s="1320"/>
      <c r="Z5" s="1320"/>
      <c r="AA5" s="1320"/>
      <c r="AB5" s="1320"/>
      <c r="AC5" s="1320"/>
      <c r="AD5" s="1320"/>
      <c r="AE5" s="1320"/>
      <c r="AF5" s="1320"/>
      <c r="AG5" s="1320"/>
      <c r="AH5" s="1320"/>
      <c r="AI5" s="520"/>
    </row>
    <row r="6" spans="1:37" s="472" customFormat="1" ht="19.5" customHeight="1" x14ac:dyDescent="0.25">
      <c r="B6" s="6468"/>
      <c r="C6" s="6469"/>
      <c r="D6" s="6469"/>
      <c r="E6" s="6469"/>
      <c r="F6" s="6469"/>
      <c r="G6" s="6469"/>
      <c r="H6" s="6349" t="s">
        <v>1669</v>
      </c>
      <c r="I6" s="6349"/>
      <c r="J6" s="6349"/>
      <c r="K6" s="6349"/>
      <c r="L6" s="6349"/>
      <c r="M6" s="6349"/>
      <c r="N6" s="6349"/>
      <c r="O6" s="6349"/>
      <c r="P6" s="6349"/>
      <c r="Q6" s="6349"/>
      <c r="R6" s="6349"/>
      <c r="S6" s="6349"/>
      <c r="T6" s="6349"/>
      <c r="U6" s="6349"/>
      <c r="V6" s="6349"/>
      <c r="W6" s="6349"/>
      <c r="X6" s="6349"/>
      <c r="Y6" s="6349"/>
      <c r="Z6" s="6349"/>
      <c r="AA6" s="6349"/>
      <c r="AB6" s="6349"/>
      <c r="AC6" s="1325"/>
      <c r="AD6" s="1325"/>
      <c r="AE6" s="1325"/>
      <c r="AF6" s="1325"/>
      <c r="AG6" s="1325"/>
      <c r="AH6" s="1325"/>
      <c r="AI6" s="521"/>
    </row>
    <row r="7" spans="1:37" s="472" customFormat="1" ht="8.25" customHeight="1" x14ac:dyDescent="0.25">
      <c r="B7" s="3396"/>
      <c r="C7" s="3386"/>
      <c r="D7" s="3386"/>
      <c r="E7" s="4628"/>
      <c r="F7" s="3387"/>
      <c r="G7" s="3387"/>
      <c r="H7" s="3387"/>
      <c r="I7" s="3387"/>
      <c r="J7" s="3387"/>
      <c r="K7" s="3387"/>
      <c r="L7" s="1325"/>
      <c r="M7" s="1325"/>
      <c r="N7" s="1325"/>
      <c r="O7" s="1325"/>
      <c r="P7" s="1325"/>
      <c r="Q7" s="1325"/>
      <c r="R7" s="1325"/>
      <c r="S7" s="1325"/>
      <c r="T7" s="1325"/>
      <c r="U7" s="1325"/>
      <c r="V7" s="1325"/>
      <c r="W7" s="1325"/>
      <c r="X7" s="1325"/>
      <c r="Y7" s="1325"/>
      <c r="Z7" s="1325"/>
      <c r="AA7" s="1325"/>
      <c r="AB7" s="1325"/>
      <c r="AC7" s="1325"/>
      <c r="AD7" s="1325"/>
      <c r="AE7" s="1325"/>
      <c r="AF7" s="1325"/>
      <c r="AG7" s="1325"/>
      <c r="AH7" s="1325"/>
      <c r="AI7" s="521"/>
    </row>
    <row r="8" spans="1:37" s="467" customFormat="1" ht="31.5" customHeight="1" x14ac:dyDescent="0.25">
      <c r="B8" s="1329"/>
      <c r="C8" s="3449"/>
      <c r="D8" s="6350" t="s">
        <v>1088</v>
      </c>
      <c r="E8" s="6350"/>
      <c r="F8" s="6350"/>
      <c r="G8" s="6350"/>
      <c r="H8" s="6350"/>
      <c r="I8" s="6350"/>
      <c r="J8" s="6350"/>
      <c r="K8" s="6350"/>
      <c r="L8" s="6350"/>
      <c r="M8" s="6350"/>
      <c r="N8" s="6350"/>
      <c r="O8" s="6350"/>
      <c r="P8" s="6350"/>
      <c r="Q8" s="6350"/>
      <c r="R8" s="6350"/>
      <c r="S8" s="6350"/>
      <c r="T8" s="6350"/>
      <c r="U8" s="6350"/>
      <c r="V8" s="6350"/>
      <c r="W8" s="6350"/>
      <c r="X8" s="6350"/>
      <c r="Y8" s="6350"/>
      <c r="Z8" s="6350"/>
      <c r="AA8" s="6350"/>
      <c r="AB8" s="6350"/>
      <c r="AC8" s="3450"/>
      <c r="AD8" s="3450"/>
      <c r="AE8" s="3450"/>
      <c r="AF8" s="3450"/>
      <c r="AG8" s="3450"/>
      <c r="AH8" s="3450"/>
      <c r="AI8" s="524"/>
    </row>
    <row r="9" spans="1:37" s="467" customFormat="1" ht="26.25" customHeight="1" x14ac:dyDescent="0.25">
      <c r="A9" s="5470" t="s">
        <v>184</v>
      </c>
      <c r="B9" s="3451"/>
      <c r="C9" s="1595"/>
      <c r="D9" s="6470" t="s">
        <v>1899</v>
      </c>
      <c r="E9" s="6470"/>
      <c r="F9" s="6470"/>
      <c r="G9" s="1336"/>
      <c r="H9" s="1336"/>
      <c r="I9" s="1336"/>
      <c r="J9" s="1336"/>
      <c r="K9" s="1336"/>
      <c r="L9" s="6673" t="str">
        <f>D65</f>
        <v>Financing Plan</v>
      </c>
      <c r="M9" s="6673"/>
      <c r="N9" s="6673"/>
      <c r="O9" s="6917"/>
      <c r="P9" s="6917"/>
      <c r="Q9" s="6917"/>
      <c r="R9" s="6917"/>
      <c r="S9" s="6917"/>
      <c r="T9" s="5693"/>
      <c r="U9" s="5693"/>
      <c r="V9" s="5693"/>
      <c r="W9" s="6917" t="s">
        <v>1913</v>
      </c>
      <c r="X9" s="6917"/>
      <c r="Y9" s="6917"/>
      <c r="Z9" s="6917"/>
      <c r="AA9" s="6917"/>
      <c r="AB9" s="6917"/>
      <c r="AC9" s="6917"/>
      <c r="AD9" s="6917"/>
      <c r="AE9" s="1328"/>
      <c r="AF9" s="1328"/>
      <c r="AG9" s="1328"/>
      <c r="AH9" s="1328"/>
      <c r="AI9" s="5694"/>
    </row>
    <row r="10" spans="1:37" s="465" customFormat="1" ht="22.5" customHeight="1" x14ac:dyDescent="0.35">
      <c r="B10" s="3452"/>
      <c r="C10" s="3452"/>
      <c r="D10" s="6918" t="s">
        <v>948</v>
      </c>
      <c r="E10" s="6918"/>
      <c r="F10" s="6918"/>
      <c r="G10" s="6918"/>
      <c r="H10" s="6918"/>
      <c r="I10" s="3453"/>
      <c r="J10" s="3453"/>
      <c r="K10" s="3453"/>
      <c r="L10" s="3453"/>
      <c r="M10" s="3453"/>
      <c r="N10" s="3453"/>
      <c r="O10" s="3453"/>
      <c r="P10" s="3453"/>
      <c r="Q10" s="3453"/>
      <c r="R10" s="3453"/>
      <c r="S10" s="3453"/>
      <c r="T10" s="3453"/>
      <c r="U10" s="3453"/>
      <c r="V10" s="3453"/>
      <c r="W10" s="3453"/>
      <c r="X10" s="3453"/>
      <c r="Y10" s="3453"/>
      <c r="Z10" s="3453"/>
      <c r="AA10" s="3453"/>
      <c r="AB10" s="3453"/>
      <c r="AC10" s="3453"/>
      <c r="AD10" s="3453"/>
      <c r="AE10" s="3453"/>
      <c r="AF10" s="3453"/>
      <c r="AG10" s="3453"/>
      <c r="AH10" s="3453"/>
      <c r="AI10" s="3453"/>
    </row>
    <row r="11" spans="1:37" s="465" customFormat="1" ht="32.25" customHeight="1" x14ac:dyDescent="0.25">
      <c r="B11" s="3452"/>
      <c r="C11" s="3452"/>
      <c r="D11" s="5695"/>
      <c r="E11" s="5695"/>
      <c r="F11" s="5695"/>
      <c r="G11" s="5695"/>
      <c r="H11" s="5695"/>
      <c r="I11" s="5695"/>
      <c r="J11" s="5695"/>
      <c r="K11" s="5695"/>
      <c r="L11" s="5695"/>
      <c r="M11" s="5695"/>
      <c r="N11" s="5695"/>
      <c r="O11" s="5692"/>
      <c r="P11" s="5696"/>
      <c r="Q11" s="6919" t="s">
        <v>3481</v>
      </c>
      <c r="R11" s="6919"/>
      <c r="S11" s="6919"/>
      <c r="T11" s="6919"/>
      <c r="U11" s="6919"/>
      <c r="V11" s="6919"/>
      <c r="W11" s="6919"/>
      <c r="X11" s="6919"/>
      <c r="Y11" s="6919"/>
      <c r="Z11" s="6919"/>
      <c r="AA11" s="6919"/>
      <c r="AB11" s="6919"/>
      <c r="AC11" s="6919"/>
      <c r="AD11" s="6919"/>
      <c r="AE11" s="6919"/>
      <c r="AF11" s="6919"/>
      <c r="AG11" s="6919"/>
      <c r="AH11" s="5689"/>
      <c r="AI11" s="1010"/>
    </row>
    <row r="12" spans="1:37" s="465" customFormat="1" ht="47.25" customHeight="1" x14ac:dyDescent="0.25">
      <c r="B12" s="3452"/>
      <c r="C12" s="3452"/>
      <c r="D12" s="5695"/>
      <c r="E12" s="5695"/>
      <c r="F12" s="5695"/>
      <c r="G12" s="5695"/>
      <c r="H12" s="5695"/>
      <c r="I12" s="5695"/>
      <c r="J12" s="5695"/>
      <c r="K12" s="5695"/>
      <c r="L12" s="5695"/>
      <c r="M12" s="5695"/>
      <c r="N12" s="5695"/>
      <c r="O12" s="5692"/>
      <c r="P12" s="5697"/>
      <c r="Q12" s="6920"/>
      <c r="R12" s="6920"/>
      <c r="S12" s="6920"/>
      <c r="T12" s="6920"/>
      <c r="U12" s="6920"/>
      <c r="V12" s="6920"/>
      <c r="W12" s="6920"/>
      <c r="X12" s="6920"/>
      <c r="Y12" s="6920"/>
      <c r="Z12" s="6920"/>
      <c r="AA12" s="6920"/>
      <c r="AB12" s="6920"/>
      <c r="AC12" s="6920"/>
      <c r="AD12" s="6920"/>
      <c r="AE12" s="6920"/>
      <c r="AF12" s="6920"/>
      <c r="AG12" s="6920"/>
      <c r="AH12" s="5690"/>
      <c r="AI12" s="1010"/>
    </row>
    <row r="13" spans="1:37" s="883" customFormat="1" ht="23.25" customHeight="1" x14ac:dyDescent="0.25">
      <c r="B13" s="3452"/>
      <c r="C13" s="3452"/>
      <c r="D13" s="5695"/>
      <c r="E13" s="5695"/>
      <c r="F13" s="5695"/>
      <c r="G13" s="5695"/>
      <c r="H13" s="5695"/>
      <c r="I13" s="5695"/>
      <c r="J13" s="5695"/>
      <c r="K13" s="5695"/>
      <c r="L13" s="5695"/>
      <c r="M13" s="5695"/>
      <c r="N13" s="5695"/>
      <c r="O13" s="5692"/>
      <c r="P13" s="5697"/>
      <c r="Q13" s="6920"/>
      <c r="R13" s="6920"/>
      <c r="S13" s="6920"/>
      <c r="T13" s="6920"/>
      <c r="U13" s="6920"/>
      <c r="V13" s="6920"/>
      <c r="W13" s="6920"/>
      <c r="X13" s="6920"/>
      <c r="Y13" s="6920"/>
      <c r="Z13" s="6920"/>
      <c r="AA13" s="6920"/>
      <c r="AB13" s="6920"/>
      <c r="AC13" s="6920"/>
      <c r="AD13" s="6920"/>
      <c r="AE13" s="6920"/>
      <c r="AF13" s="6920"/>
      <c r="AG13" s="6920"/>
      <c r="AH13" s="5690"/>
      <c r="AI13" s="1011"/>
    </row>
    <row r="14" spans="1:37" s="465" customFormat="1" ht="22.5" customHeight="1" x14ac:dyDescent="0.25">
      <c r="B14" s="3452"/>
      <c r="C14" s="3452"/>
      <c r="D14" s="5695"/>
      <c r="E14" s="5695"/>
      <c r="F14" s="5695"/>
      <c r="G14" s="5695"/>
      <c r="H14" s="5695"/>
      <c r="I14" s="5695"/>
      <c r="J14" s="5695"/>
      <c r="K14" s="5695"/>
      <c r="L14" s="5695"/>
      <c r="M14" s="5695"/>
      <c r="N14" s="5695"/>
      <c r="O14" s="5692"/>
      <c r="P14" s="5697"/>
      <c r="Q14" s="6920"/>
      <c r="R14" s="6920"/>
      <c r="S14" s="6920"/>
      <c r="T14" s="6920"/>
      <c r="U14" s="6920"/>
      <c r="V14" s="6920"/>
      <c r="W14" s="6920"/>
      <c r="X14" s="6920"/>
      <c r="Y14" s="6920"/>
      <c r="Z14" s="6920"/>
      <c r="AA14" s="6920"/>
      <c r="AB14" s="6920"/>
      <c r="AC14" s="6920"/>
      <c r="AD14" s="6920"/>
      <c r="AE14" s="6920"/>
      <c r="AF14" s="6920"/>
      <c r="AG14" s="6920"/>
      <c r="AH14" s="5690"/>
      <c r="AI14" s="1012"/>
    </row>
    <row r="15" spans="1:37" s="465" customFormat="1" ht="23.25" customHeight="1" x14ac:dyDescent="0.25">
      <c r="B15" s="3452"/>
      <c r="C15" s="3452"/>
      <c r="D15" s="5695"/>
      <c r="E15" s="5695"/>
      <c r="F15" s="5695"/>
      <c r="G15" s="5695"/>
      <c r="H15" s="5695"/>
      <c r="I15" s="5695"/>
      <c r="J15" s="5695"/>
      <c r="K15" s="5695"/>
      <c r="L15" s="5695"/>
      <c r="M15" s="5695"/>
      <c r="N15" s="5695"/>
      <c r="O15" s="5692"/>
      <c r="P15" s="5697"/>
      <c r="Q15" s="6920"/>
      <c r="R15" s="6920"/>
      <c r="S15" s="6920"/>
      <c r="T15" s="6920"/>
      <c r="U15" s="6920"/>
      <c r="V15" s="6920"/>
      <c r="W15" s="6920"/>
      <c r="X15" s="6920"/>
      <c r="Y15" s="6920"/>
      <c r="Z15" s="6920"/>
      <c r="AA15" s="6920"/>
      <c r="AB15" s="6920"/>
      <c r="AC15" s="6920"/>
      <c r="AD15" s="6920"/>
      <c r="AE15" s="6920"/>
      <c r="AF15" s="6920"/>
      <c r="AG15" s="6920"/>
      <c r="AH15" s="5690"/>
      <c r="AI15" s="1010"/>
    </row>
    <row r="16" spans="1:37" s="465" customFormat="1" ht="30" customHeight="1" x14ac:dyDescent="0.25">
      <c r="B16" s="3452"/>
      <c r="C16" s="3452"/>
      <c r="D16" s="5695"/>
      <c r="E16" s="5695"/>
      <c r="F16" s="5695"/>
      <c r="G16" s="5695"/>
      <c r="H16" s="5695"/>
      <c r="I16" s="5695"/>
      <c r="J16" s="5695"/>
      <c r="K16" s="5695"/>
      <c r="L16" s="5695"/>
      <c r="M16" s="5695"/>
      <c r="N16" s="5695"/>
      <c r="O16" s="5692"/>
      <c r="P16" s="5697"/>
      <c r="Q16" s="6920"/>
      <c r="R16" s="6920"/>
      <c r="S16" s="6920"/>
      <c r="T16" s="6920"/>
      <c r="U16" s="6920"/>
      <c r="V16" s="6920"/>
      <c r="W16" s="6920"/>
      <c r="X16" s="6920"/>
      <c r="Y16" s="6920"/>
      <c r="Z16" s="6920"/>
      <c r="AA16" s="6920"/>
      <c r="AB16" s="6920"/>
      <c r="AC16" s="6920"/>
      <c r="AD16" s="6920"/>
      <c r="AE16" s="6920"/>
      <c r="AF16" s="6920"/>
      <c r="AG16" s="6920"/>
      <c r="AH16" s="5690"/>
      <c r="AI16" s="1010"/>
    </row>
    <row r="17" spans="2:48" s="465" customFormat="1" ht="29.25" customHeight="1" x14ac:dyDescent="0.25">
      <c r="B17" s="3452"/>
      <c r="C17" s="3452"/>
      <c r="D17" s="5695"/>
      <c r="E17" s="5695"/>
      <c r="F17" s="5695"/>
      <c r="G17" s="5695"/>
      <c r="H17" s="5695"/>
      <c r="I17" s="5695"/>
      <c r="J17" s="5695"/>
      <c r="K17" s="5695"/>
      <c r="L17" s="5695"/>
      <c r="M17" s="5695"/>
      <c r="N17" s="5695"/>
      <c r="O17" s="5692"/>
      <c r="P17" s="5697"/>
      <c r="Q17" s="6920"/>
      <c r="R17" s="6920"/>
      <c r="S17" s="6920"/>
      <c r="T17" s="6920"/>
      <c r="U17" s="6920"/>
      <c r="V17" s="6920"/>
      <c r="W17" s="6920"/>
      <c r="X17" s="6920"/>
      <c r="Y17" s="6920"/>
      <c r="Z17" s="6920"/>
      <c r="AA17" s="6920"/>
      <c r="AB17" s="6920"/>
      <c r="AC17" s="6920"/>
      <c r="AD17" s="6920"/>
      <c r="AE17" s="6920"/>
      <c r="AF17" s="6920"/>
      <c r="AG17" s="6920"/>
      <c r="AH17" s="5690"/>
      <c r="AI17" s="1010"/>
    </row>
    <row r="18" spans="2:48" s="465" customFormat="1" ht="24.75" customHeight="1" x14ac:dyDescent="0.25">
      <c r="B18" s="3452"/>
      <c r="C18" s="3452"/>
      <c r="D18" s="5695"/>
      <c r="E18" s="5695"/>
      <c r="F18" s="5695"/>
      <c r="G18" s="5695"/>
      <c r="H18" s="5695"/>
      <c r="I18" s="5695"/>
      <c r="J18" s="5695"/>
      <c r="K18" s="5695"/>
      <c r="L18" s="5695"/>
      <c r="M18" s="5695"/>
      <c r="N18" s="5695"/>
      <c r="O18" s="5692"/>
      <c r="P18" s="5697"/>
      <c r="Q18" s="6920"/>
      <c r="R18" s="6920"/>
      <c r="S18" s="6920"/>
      <c r="T18" s="6920"/>
      <c r="U18" s="6920"/>
      <c r="V18" s="6920"/>
      <c r="W18" s="6920"/>
      <c r="X18" s="6920"/>
      <c r="Y18" s="6920"/>
      <c r="Z18" s="6920"/>
      <c r="AA18" s="6920"/>
      <c r="AB18" s="6920"/>
      <c r="AC18" s="6920"/>
      <c r="AD18" s="6920"/>
      <c r="AE18" s="6920"/>
      <c r="AF18" s="6920"/>
      <c r="AG18" s="6920"/>
      <c r="AH18" s="5690"/>
      <c r="AI18" s="1013"/>
    </row>
    <row r="19" spans="2:48" s="465" customFormat="1" ht="24.75" customHeight="1" x14ac:dyDescent="0.25">
      <c r="B19" s="3452"/>
      <c r="C19" s="3452"/>
      <c r="D19" s="5695"/>
      <c r="E19" s="5695"/>
      <c r="F19" s="5695"/>
      <c r="G19" s="5695"/>
      <c r="H19" s="5695"/>
      <c r="I19" s="5695"/>
      <c r="J19" s="5695"/>
      <c r="K19" s="5695"/>
      <c r="L19" s="5695"/>
      <c r="M19" s="5695"/>
      <c r="N19" s="5695"/>
      <c r="O19" s="5692"/>
      <c r="P19" s="5697"/>
      <c r="Q19" s="6920"/>
      <c r="R19" s="6920"/>
      <c r="S19" s="6920"/>
      <c r="T19" s="6920"/>
      <c r="U19" s="6920"/>
      <c r="V19" s="6920"/>
      <c r="W19" s="6920"/>
      <c r="X19" s="6920"/>
      <c r="Y19" s="6920"/>
      <c r="Z19" s="6920"/>
      <c r="AA19" s="6920"/>
      <c r="AB19" s="6920"/>
      <c r="AC19" s="6920"/>
      <c r="AD19" s="6920"/>
      <c r="AE19" s="6920"/>
      <c r="AF19" s="6920"/>
      <c r="AG19" s="6920"/>
      <c r="AH19" s="5690"/>
      <c r="AI19" s="1010"/>
    </row>
    <row r="20" spans="2:48" s="465" customFormat="1" ht="22.5" customHeight="1" x14ac:dyDescent="0.25">
      <c r="B20" s="3452"/>
      <c r="C20" s="3452"/>
      <c r="D20" s="5695"/>
      <c r="E20" s="5695"/>
      <c r="F20" s="5695"/>
      <c r="G20" s="5695"/>
      <c r="H20" s="5695"/>
      <c r="I20" s="5695"/>
      <c r="J20" s="5695"/>
      <c r="K20" s="5695"/>
      <c r="L20" s="5695"/>
      <c r="M20" s="5695"/>
      <c r="N20" s="5695"/>
      <c r="O20" s="5692"/>
      <c r="P20" s="5697"/>
      <c r="Q20" s="6920"/>
      <c r="R20" s="6920"/>
      <c r="S20" s="6920"/>
      <c r="T20" s="6920"/>
      <c r="U20" s="6920"/>
      <c r="V20" s="6920"/>
      <c r="W20" s="6920"/>
      <c r="X20" s="6920"/>
      <c r="Y20" s="6920"/>
      <c r="Z20" s="6920"/>
      <c r="AA20" s="6920"/>
      <c r="AB20" s="6920"/>
      <c r="AC20" s="6920"/>
      <c r="AD20" s="6920"/>
      <c r="AE20" s="6920"/>
      <c r="AF20" s="6920"/>
      <c r="AG20" s="6920"/>
      <c r="AH20" s="5690"/>
      <c r="AI20" s="1010"/>
    </row>
    <row r="21" spans="2:48" s="465" customFormat="1" ht="20.25" customHeight="1" x14ac:dyDescent="0.25">
      <c r="B21" s="3452"/>
      <c r="C21" s="3452"/>
      <c r="D21" s="5695"/>
      <c r="E21" s="5695"/>
      <c r="F21" s="5695"/>
      <c r="G21" s="5695"/>
      <c r="H21" s="5695"/>
      <c r="I21" s="5695"/>
      <c r="J21" s="5695"/>
      <c r="K21" s="5695"/>
      <c r="L21" s="5695"/>
      <c r="M21" s="5695"/>
      <c r="N21" s="5695"/>
      <c r="O21" s="5692"/>
      <c r="P21" s="5697"/>
      <c r="Q21" s="6920"/>
      <c r="R21" s="6920"/>
      <c r="S21" s="6920"/>
      <c r="T21" s="6920"/>
      <c r="U21" s="6920"/>
      <c r="V21" s="6920"/>
      <c r="W21" s="6920"/>
      <c r="X21" s="6920"/>
      <c r="Y21" s="6920"/>
      <c r="Z21" s="6920"/>
      <c r="AA21" s="6920"/>
      <c r="AB21" s="6920"/>
      <c r="AC21" s="6920"/>
      <c r="AD21" s="6920"/>
      <c r="AE21" s="6920"/>
      <c r="AF21" s="6920"/>
      <c r="AG21" s="6920"/>
      <c r="AH21" s="5690"/>
      <c r="AI21" s="1010"/>
    </row>
    <row r="22" spans="2:48" s="465" customFormat="1" ht="33.75" customHeight="1" x14ac:dyDescent="0.25">
      <c r="B22" s="3452"/>
      <c r="C22" s="3452"/>
      <c r="D22" s="5695"/>
      <c r="E22" s="5695"/>
      <c r="F22" s="5695"/>
      <c r="G22" s="5695"/>
      <c r="H22" s="5695"/>
      <c r="I22" s="5695"/>
      <c r="J22" s="5695"/>
      <c r="K22" s="5695"/>
      <c r="L22" s="5695"/>
      <c r="M22" s="5695"/>
      <c r="N22" s="5695"/>
      <c r="O22" s="5692"/>
      <c r="P22" s="5697"/>
      <c r="Q22" s="6920"/>
      <c r="R22" s="6920"/>
      <c r="S22" s="6920"/>
      <c r="T22" s="6920"/>
      <c r="U22" s="6920"/>
      <c r="V22" s="6920"/>
      <c r="W22" s="6920"/>
      <c r="X22" s="6920"/>
      <c r="Y22" s="6920"/>
      <c r="Z22" s="6920"/>
      <c r="AA22" s="6920"/>
      <c r="AB22" s="6920"/>
      <c r="AC22" s="6920"/>
      <c r="AD22" s="6920"/>
      <c r="AE22" s="6920"/>
      <c r="AF22" s="6920"/>
      <c r="AG22" s="6920"/>
      <c r="AH22" s="5690"/>
      <c r="AI22" s="1010"/>
    </row>
    <row r="23" spans="2:48" s="465" customFormat="1" ht="57.75" customHeight="1" x14ac:dyDescent="0.25">
      <c r="B23" s="3452"/>
      <c r="C23" s="3452"/>
      <c r="D23" s="5695"/>
      <c r="E23" s="5695"/>
      <c r="F23" s="5695"/>
      <c r="G23" s="5695"/>
      <c r="H23" s="5695"/>
      <c r="I23" s="5695"/>
      <c r="J23" s="5695"/>
      <c r="K23" s="5695"/>
      <c r="L23" s="5695"/>
      <c r="M23" s="5695"/>
      <c r="N23" s="5695"/>
      <c r="O23" s="5692"/>
      <c r="P23" s="5698"/>
      <c r="Q23" s="6921"/>
      <c r="R23" s="6921"/>
      <c r="S23" s="6921"/>
      <c r="T23" s="6921"/>
      <c r="U23" s="6921"/>
      <c r="V23" s="6921"/>
      <c r="W23" s="6921"/>
      <c r="X23" s="6921"/>
      <c r="Y23" s="6921"/>
      <c r="Z23" s="6921"/>
      <c r="AA23" s="6921"/>
      <c r="AB23" s="6921"/>
      <c r="AC23" s="6921"/>
      <c r="AD23" s="6921"/>
      <c r="AE23" s="6921"/>
      <c r="AF23" s="6921"/>
      <c r="AG23" s="6921"/>
      <c r="AH23" s="5691"/>
      <c r="AI23" s="1010"/>
    </row>
    <row r="24" spans="2:48" s="465" customFormat="1" ht="15.75" customHeight="1" x14ac:dyDescent="0.25">
      <c r="B24" s="3452"/>
      <c r="C24" s="3452"/>
      <c r="D24" s="5695"/>
      <c r="E24" s="5695"/>
      <c r="F24" s="5695"/>
      <c r="G24" s="5695"/>
      <c r="H24" s="5695"/>
      <c r="I24" s="5695"/>
      <c r="J24" s="5695"/>
      <c r="K24" s="5695"/>
      <c r="L24" s="5695"/>
      <c r="M24" s="5695"/>
      <c r="N24" s="5695"/>
      <c r="O24" s="5699"/>
      <c r="P24" s="5699"/>
      <c r="Q24" s="6922"/>
      <c r="R24" s="6922"/>
      <c r="S24" s="6922"/>
      <c r="T24" s="6922"/>
      <c r="U24" s="6922"/>
      <c r="V24" s="6922"/>
      <c r="W24" s="6922"/>
      <c r="X24" s="6922"/>
      <c r="Y24" s="6922"/>
      <c r="Z24" s="6922"/>
      <c r="AA24" s="6922"/>
      <c r="AB24" s="6922"/>
      <c r="AC24" s="6922"/>
      <c r="AD24" s="6922"/>
      <c r="AE24" s="6922"/>
      <c r="AF24" s="6922"/>
      <c r="AG24" s="6922"/>
      <c r="AH24" s="5699"/>
      <c r="AI24" s="1010"/>
    </row>
    <row r="25" spans="2:48" s="465" customFormat="1" x14ac:dyDescent="0.25">
      <c r="B25" s="1598"/>
      <c r="C25" s="1598"/>
      <c r="D25" s="1598"/>
      <c r="E25" s="3454"/>
      <c r="F25" s="3454"/>
      <c r="G25" s="3455"/>
      <c r="H25" s="3455"/>
      <c r="I25" s="3455"/>
      <c r="J25" s="3455"/>
      <c r="K25" s="3454"/>
      <c r="L25" s="3455"/>
      <c r="M25" s="3455"/>
      <c r="N25" s="3455"/>
      <c r="O25" s="3456"/>
      <c r="P25" s="1601"/>
      <c r="Q25" s="1601"/>
      <c r="R25" s="1601"/>
      <c r="S25" s="1601"/>
      <c r="T25" s="1601"/>
      <c r="U25" s="1601"/>
      <c r="V25" s="1601"/>
      <c r="W25" s="1601"/>
      <c r="X25" s="1601"/>
      <c r="Y25" s="1601"/>
      <c r="Z25" s="1601"/>
      <c r="AA25" s="1601"/>
      <c r="AB25" s="1601"/>
      <c r="AC25" s="1601"/>
      <c r="AD25" s="1601"/>
      <c r="AE25" s="1601"/>
      <c r="AF25" s="1601"/>
      <c r="AG25" s="1601"/>
      <c r="AH25" s="1601"/>
      <c r="AI25" s="993"/>
    </row>
    <row r="26" spans="2:48" s="535" customFormat="1" ht="31.5" customHeight="1" x14ac:dyDescent="0.25">
      <c r="B26" s="3457"/>
      <c r="C26" s="3457"/>
      <c r="D26" s="3458" t="s">
        <v>1899</v>
      </c>
      <c r="E26" s="3459"/>
      <c r="F26" s="3459"/>
      <c r="G26" s="3459"/>
      <c r="H26" s="3459"/>
      <c r="I26" s="3459"/>
      <c r="J26" s="3459"/>
      <c r="K26" s="3459"/>
      <c r="L26" s="3459"/>
      <c r="M26" s="3459"/>
      <c r="N26" s="3459"/>
      <c r="O26" s="3459"/>
      <c r="P26" s="3459"/>
      <c r="Q26" s="3459"/>
      <c r="R26" s="3459"/>
      <c r="S26" s="3459"/>
      <c r="T26" s="3459"/>
      <c r="U26" s="3459"/>
      <c r="V26" s="3459"/>
      <c r="W26" s="3459"/>
      <c r="X26" s="3459"/>
      <c r="Y26" s="3459"/>
      <c r="Z26" s="3459"/>
      <c r="AA26" s="3459"/>
      <c r="AB26" s="3459"/>
      <c r="AC26" s="3459"/>
      <c r="AD26" s="3459"/>
      <c r="AE26" s="3459"/>
      <c r="AF26" s="3459"/>
      <c r="AG26" s="5964" t="str">
        <f>CONCATENATE("All figures in ",'General info'!$E$43," ",'General info'!$G$43)</f>
        <v>All figures in INR Lakhs</v>
      </c>
      <c r="AH26" s="3459"/>
      <c r="AI26" s="1393"/>
      <c r="AL26" s="465"/>
      <c r="AM26" s="465"/>
      <c r="AN26" s="465"/>
      <c r="AO26" s="465"/>
      <c r="AP26" s="465"/>
      <c r="AQ26" s="465"/>
      <c r="AR26" s="465"/>
      <c r="AS26" s="465"/>
      <c r="AT26" s="465"/>
      <c r="AU26" s="465"/>
      <c r="AV26" s="465"/>
    </row>
    <row r="27" spans="2:48" s="465" customFormat="1" x14ac:dyDescent="0.25">
      <c r="B27" s="1598"/>
      <c r="C27" s="1598"/>
      <c r="D27" s="1598"/>
      <c r="E27" s="3454"/>
      <c r="F27" s="3454"/>
      <c r="G27" s="3455"/>
      <c r="H27" s="3455"/>
      <c r="I27" s="3455"/>
      <c r="J27" s="3455"/>
      <c r="K27" s="3454"/>
      <c r="L27" s="3455"/>
      <c r="M27" s="3455"/>
      <c r="N27" s="3455"/>
      <c r="O27" s="3456"/>
      <c r="P27" s="1601"/>
      <c r="Q27" s="1601"/>
      <c r="R27" s="1601"/>
      <c r="S27" s="1601"/>
      <c r="T27" s="1601"/>
      <c r="U27" s="1601"/>
      <c r="V27" s="1601"/>
      <c r="W27" s="1601"/>
      <c r="X27" s="1601"/>
      <c r="Y27" s="1601"/>
      <c r="Z27" s="1601"/>
      <c r="AA27" s="1601"/>
      <c r="AB27" s="1601"/>
      <c r="AC27" s="1601"/>
      <c r="AD27" s="1601"/>
      <c r="AE27" s="1601"/>
      <c r="AF27" s="1601"/>
      <c r="AG27" s="1601"/>
      <c r="AH27" s="1601"/>
      <c r="AI27" s="993"/>
    </row>
    <row r="28" spans="2:48" s="474" customFormat="1" ht="21" x14ac:dyDescent="0.25">
      <c r="B28" s="1706"/>
      <c r="C28" s="3450"/>
      <c r="D28" s="6302" t="s">
        <v>3742</v>
      </c>
      <c r="E28" s="6302"/>
      <c r="F28" s="6302"/>
      <c r="G28" s="6302"/>
      <c r="H28" s="6302"/>
      <c r="I28" s="6302"/>
      <c r="J28" s="6302"/>
      <c r="K28" s="6302"/>
      <c r="L28" s="6302"/>
      <c r="M28" s="6302"/>
      <c r="N28" s="6302"/>
      <c r="O28" s="6302"/>
      <c r="P28" s="5381"/>
      <c r="Q28" s="1832"/>
      <c r="R28" s="3450"/>
      <c r="S28" s="6302" t="s">
        <v>3743</v>
      </c>
      <c r="T28" s="6302"/>
      <c r="U28" s="6302"/>
      <c r="V28" s="6302"/>
      <c r="W28" s="6302"/>
      <c r="X28" s="6302"/>
      <c r="Y28" s="6302"/>
      <c r="Z28" s="6302"/>
      <c r="AA28" s="6302"/>
      <c r="AB28" s="6302"/>
      <c r="AC28" s="6302"/>
      <c r="AD28" s="6302"/>
      <c r="AE28" s="6302"/>
      <c r="AF28" s="6302"/>
      <c r="AG28" s="6302"/>
      <c r="AH28" s="1832"/>
      <c r="AI28" s="475"/>
    </row>
    <row r="29" spans="2:48" s="465" customFormat="1" x14ac:dyDescent="0.25">
      <c r="B29" s="1598"/>
      <c r="C29" s="3460"/>
      <c r="D29" s="3460"/>
      <c r="E29" s="3461"/>
      <c r="F29" s="3461"/>
      <c r="G29" s="3462"/>
      <c r="H29" s="3462"/>
      <c r="I29" s="3462"/>
      <c r="J29" s="3462"/>
      <c r="K29" s="3461"/>
      <c r="L29" s="3462"/>
      <c r="M29" s="3462"/>
      <c r="N29" s="3462"/>
      <c r="O29" s="3463"/>
      <c r="P29" s="3464"/>
      <c r="Q29" s="3464"/>
      <c r="R29" s="3464"/>
      <c r="S29" s="3464"/>
      <c r="T29" s="3464"/>
      <c r="U29" s="3464"/>
      <c r="V29" s="3464"/>
      <c r="W29" s="3464"/>
      <c r="X29" s="3464"/>
      <c r="Y29" s="3464"/>
      <c r="Z29" s="3464"/>
      <c r="AA29" s="3464"/>
      <c r="AB29" s="3464"/>
      <c r="AC29" s="3464"/>
      <c r="AD29" s="3464"/>
      <c r="AE29" s="3464"/>
      <c r="AF29" s="3464"/>
      <c r="AG29" s="3464"/>
      <c r="AH29" s="3464"/>
      <c r="AI29" s="993"/>
    </row>
    <row r="30" spans="2:48" s="465" customFormat="1" x14ac:dyDescent="0.25">
      <c r="B30" s="1598"/>
      <c r="C30" s="3460"/>
      <c r="D30" s="3460"/>
      <c r="E30" s="3461"/>
      <c r="F30" s="3461"/>
      <c r="G30" s="3462"/>
      <c r="H30" s="3462"/>
      <c r="I30" s="3462"/>
      <c r="J30" s="3462"/>
      <c r="K30" s="3461"/>
      <c r="L30" s="3462"/>
      <c r="M30" s="3462"/>
      <c r="N30" s="3462"/>
      <c r="O30" s="3463"/>
      <c r="P30" s="3464"/>
      <c r="Q30" s="3464"/>
      <c r="R30" s="3464"/>
      <c r="S30" s="3464"/>
      <c r="T30" s="3464"/>
      <c r="U30" s="3464"/>
      <c r="V30" s="3464"/>
      <c r="W30" s="3464"/>
      <c r="X30" s="3464"/>
      <c r="Y30" s="3464"/>
      <c r="Z30" s="3464"/>
      <c r="AA30" s="3464"/>
      <c r="AB30" s="3464"/>
      <c r="AC30" s="3464"/>
      <c r="AD30" s="3464"/>
      <c r="AE30" s="3464"/>
      <c r="AF30" s="3464"/>
      <c r="AG30" s="3464"/>
      <c r="AH30" s="3464"/>
      <c r="AI30" s="993"/>
    </row>
    <row r="31" spans="2:48" s="465" customFormat="1" x14ac:dyDescent="0.25">
      <c r="B31" s="1598"/>
      <c r="C31" s="3460"/>
      <c r="D31" s="3460"/>
      <c r="E31" s="3461"/>
      <c r="F31" s="3461"/>
      <c r="G31" s="3462"/>
      <c r="H31" s="3462"/>
      <c r="I31" s="3462"/>
      <c r="J31" s="3462"/>
      <c r="K31" s="3461"/>
      <c r="L31" s="3462"/>
      <c r="M31" s="3462"/>
      <c r="N31" s="3462"/>
      <c r="O31" s="3463"/>
      <c r="P31" s="3464"/>
      <c r="Q31" s="3464"/>
      <c r="R31" s="3464"/>
      <c r="S31" s="3464"/>
      <c r="T31" s="3464"/>
      <c r="U31" s="3464"/>
      <c r="V31" s="3464"/>
      <c r="W31" s="3464"/>
      <c r="X31" s="3464"/>
      <c r="Y31" s="3464"/>
      <c r="Z31" s="3464"/>
      <c r="AA31" s="3464"/>
      <c r="AB31" s="3464"/>
      <c r="AC31" s="3464"/>
      <c r="AD31" s="3464"/>
      <c r="AE31" s="3464"/>
      <c r="AF31" s="3464"/>
      <c r="AG31" s="3464"/>
      <c r="AH31" s="3464"/>
      <c r="AI31" s="993"/>
    </row>
    <row r="32" spans="2:48" s="465" customFormat="1" x14ac:dyDescent="0.25">
      <c r="B32" s="1598"/>
      <c r="C32" s="3460"/>
      <c r="D32" s="3460"/>
      <c r="E32" s="3461"/>
      <c r="F32" s="3461"/>
      <c r="G32" s="3462"/>
      <c r="H32" s="3462"/>
      <c r="I32" s="3462"/>
      <c r="J32" s="3462"/>
      <c r="K32" s="3461"/>
      <c r="L32" s="3462"/>
      <c r="M32" s="3462"/>
      <c r="N32" s="3462"/>
      <c r="O32" s="3463"/>
      <c r="P32" s="3464"/>
      <c r="Q32" s="3464"/>
      <c r="R32" s="3464"/>
      <c r="S32" s="3464"/>
      <c r="T32" s="3464"/>
      <c r="U32" s="3464"/>
      <c r="V32" s="3464"/>
      <c r="W32" s="3464"/>
      <c r="X32" s="3464"/>
      <c r="Y32" s="3464"/>
      <c r="Z32" s="3464"/>
      <c r="AA32" s="3464"/>
      <c r="AB32" s="3464"/>
      <c r="AC32" s="3464"/>
      <c r="AD32" s="3464"/>
      <c r="AE32" s="3464"/>
      <c r="AF32" s="3464"/>
      <c r="AG32" s="3464"/>
      <c r="AH32" s="3464"/>
      <c r="AI32" s="993"/>
    </row>
    <row r="33" spans="2:35" s="465" customFormat="1" x14ac:dyDescent="0.25">
      <c r="B33" s="1598"/>
      <c r="C33" s="3460"/>
      <c r="D33" s="3460"/>
      <c r="E33" s="3461"/>
      <c r="F33" s="3461"/>
      <c r="G33" s="3462"/>
      <c r="H33" s="3462"/>
      <c r="I33" s="3462"/>
      <c r="J33" s="3462"/>
      <c r="K33" s="3461"/>
      <c r="L33" s="3462"/>
      <c r="M33" s="3462"/>
      <c r="N33" s="3462"/>
      <c r="O33" s="3463"/>
      <c r="P33" s="3464"/>
      <c r="Q33" s="3464"/>
      <c r="R33" s="3464"/>
      <c r="S33" s="3464"/>
      <c r="T33" s="3464"/>
      <c r="U33" s="3464"/>
      <c r="V33" s="3464"/>
      <c r="W33" s="3464"/>
      <c r="X33" s="3464"/>
      <c r="Y33" s="3464"/>
      <c r="Z33" s="3464"/>
      <c r="AA33" s="3464"/>
      <c r="AB33" s="3464"/>
      <c r="AC33" s="3464"/>
      <c r="AD33" s="3464"/>
      <c r="AE33" s="3464"/>
      <c r="AF33" s="3464"/>
      <c r="AG33" s="3464"/>
      <c r="AH33" s="3464"/>
      <c r="AI33" s="993"/>
    </row>
    <row r="34" spans="2:35" s="465" customFormat="1" x14ac:dyDescent="0.25">
      <c r="B34" s="1598"/>
      <c r="C34" s="3460"/>
      <c r="D34" s="3460"/>
      <c r="E34" s="3461"/>
      <c r="F34" s="3461"/>
      <c r="G34" s="3462"/>
      <c r="H34" s="3462"/>
      <c r="I34" s="3462"/>
      <c r="J34" s="3462"/>
      <c r="K34" s="3461"/>
      <c r="L34" s="3462"/>
      <c r="M34" s="3462"/>
      <c r="N34" s="3462"/>
      <c r="O34" s="3463"/>
      <c r="P34" s="3464"/>
      <c r="Q34" s="3464"/>
      <c r="R34" s="3464"/>
      <c r="S34" s="3464"/>
      <c r="T34" s="3464"/>
      <c r="U34" s="3464"/>
      <c r="V34" s="3464"/>
      <c r="W34" s="3464"/>
      <c r="X34" s="3464"/>
      <c r="Y34" s="3464"/>
      <c r="Z34" s="3464"/>
      <c r="AA34" s="3464"/>
      <c r="AB34" s="3464"/>
      <c r="AC34" s="3464"/>
      <c r="AD34" s="3464"/>
      <c r="AE34" s="3464"/>
      <c r="AF34" s="3464"/>
      <c r="AG34" s="3464"/>
      <c r="AH34" s="3464"/>
      <c r="AI34" s="993"/>
    </row>
    <row r="35" spans="2:35" s="465" customFormat="1" x14ac:dyDescent="0.2">
      <c r="B35" s="1598"/>
      <c r="C35" s="3460"/>
      <c r="D35" s="3465"/>
      <c r="E35" s="3466"/>
      <c r="F35" s="3466"/>
      <c r="G35" s="3466"/>
      <c r="H35" s="3466"/>
      <c r="I35" s="3466"/>
      <c r="J35" s="3466"/>
      <c r="K35" s="3466"/>
      <c r="L35" s="3466"/>
      <c r="M35" s="3466"/>
      <c r="N35" s="3466"/>
      <c r="O35" s="3466"/>
      <c r="P35" s="3464"/>
      <c r="Q35" s="3464"/>
      <c r="R35" s="3464"/>
      <c r="S35" s="3464"/>
      <c r="T35" s="3464"/>
      <c r="U35" s="3467"/>
      <c r="V35" s="3468"/>
      <c r="W35" s="3468"/>
      <c r="X35" s="3468"/>
      <c r="Y35" s="3468"/>
      <c r="Z35" s="3468"/>
      <c r="AA35" s="3468"/>
      <c r="AB35" s="3468"/>
      <c r="AC35" s="3468"/>
      <c r="AD35" s="3468"/>
      <c r="AE35" s="3468"/>
      <c r="AF35" s="3464"/>
      <c r="AG35" s="3464"/>
      <c r="AH35" s="3464"/>
      <c r="AI35" s="993"/>
    </row>
    <row r="36" spans="2:35" s="465" customFormat="1" x14ac:dyDescent="0.2">
      <c r="B36" s="1598"/>
      <c r="C36" s="3460"/>
      <c r="D36" s="3465"/>
      <c r="E36" s="3466"/>
      <c r="F36" s="3466"/>
      <c r="G36" s="3466"/>
      <c r="H36" s="3466"/>
      <c r="I36" s="3466"/>
      <c r="J36" s="3466"/>
      <c r="K36" s="3466"/>
      <c r="L36" s="3466"/>
      <c r="M36" s="3466"/>
      <c r="N36" s="3466"/>
      <c r="O36" s="3466"/>
      <c r="P36" s="3464"/>
      <c r="Q36" s="3464"/>
      <c r="R36" s="3464"/>
      <c r="S36" s="3464"/>
      <c r="T36" s="3464"/>
      <c r="U36" s="3467"/>
      <c r="V36" s="3468"/>
      <c r="W36" s="3468"/>
      <c r="X36" s="3468"/>
      <c r="Y36" s="3468"/>
      <c r="Z36" s="3468"/>
      <c r="AA36" s="3468"/>
      <c r="AB36" s="3468"/>
      <c r="AC36" s="3468"/>
      <c r="AD36" s="3468"/>
      <c r="AE36" s="3468"/>
      <c r="AF36" s="3464"/>
      <c r="AG36" s="3464"/>
      <c r="AH36" s="3464"/>
      <c r="AI36" s="993"/>
    </row>
    <row r="37" spans="2:35" s="465" customFormat="1" x14ac:dyDescent="0.2">
      <c r="B37" s="1598"/>
      <c r="C37" s="3460"/>
      <c r="D37" s="3465"/>
      <c r="E37" s="3466"/>
      <c r="F37" s="3466"/>
      <c r="G37" s="3466"/>
      <c r="H37" s="3466"/>
      <c r="I37" s="3466"/>
      <c r="J37" s="3466"/>
      <c r="K37" s="3466"/>
      <c r="L37" s="3466"/>
      <c r="M37" s="3466"/>
      <c r="N37" s="3466"/>
      <c r="O37" s="3466"/>
      <c r="P37" s="3464"/>
      <c r="Q37" s="3464"/>
      <c r="R37" s="3464"/>
      <c r="S37" s="3464"/>
      <c r="T37" s="3464"/>
      <c r="U37" s="3467"/>
      <c r="V37" s="3468"/>
      <c r="W37" s="3468"/>
      <c r="X37" s="3468"/>
      <c r="Y37" s="3468"/>
      <c r="Z37" s="3468"/>
      <c r="AA37" s="3468"/>
      <c r="AB37" s="3468"/>
      <c r="AC37" s="3468"/>
      <c r="AD37" s="3468"/>
      <c r="AE37" s="3468"/>
      <c r="AF37" s="3464"/>
      <c r="AG37" s="3464"/>
      <c r="AH37" s="3464"/>
      <c r="AI37" s="993"/>
    </row>
    <row r="38" spans="2:35" s="465" customFormat="1" x14ac:dyDescent="0.2">
      <c r="B38" s="1598"/>
      <c r="C38" s="3460"/>
      <c r="D38" s="3465"/>
      <c r="E38" s="3466"/>
      <c r="F38" s="3466"/>
      <c r="G38" s="3466"/>
      <c r="H38" s="3466"/>
      <c r="I38" s="3466"/>
      <c r="J38" s="3466"/>
      <c r="K38" s="3466"/>
      <c r="L38" s="3466"/>
      <c r="M38" s="3466"/>
      <c r="N38" s="3466"/>
      <c r="O38" s="3466"/>
      <c r="P38" s="3464"/>
      <c r="Q38" s="3464"/>
      <c r="R38" s="3464"/>
      <c r="S38" s="3464"/>
      <c r="T38" s="3464"/>
      <c r="U38" s="3467"/>
      <c r="V38" s="3466"/>
      <c r="W38" s="3466"/>
      <c r="X38" s="3466"/>
      <c r="Y38" s="3466"/>
      <c r="Z38" s="3466"/>
      <c r="AA38" s="3466"/>
      <c r="AB38" s="3466"/>
      <c r="AC38" s="3466"/>
      <c r="AD38" s="3466"/>
      <c r="AE38" s="3466"/>
      <c r="AF38" s="3464"/>
      <c r="AG38" s="3464"/>
      <c r="AH38" s="3464"/>
      <c r="AI38" s="993"/>
    </row>
    <row r="39" spans="2:35" s="465" customFormat="1" x14ac:dyDescent="0.2">
      <c r="B39" s="1598"/>
      <c r="C39" s="3460"/>
      <c r="D39" s="3465"/>
      <c r="E39" s="3466"/>
      <c r="F39" s="3466"/>
      <c r="G39" s="3466"/>
      <c r="H39" s="3466"/>
      <c r="I39" s="3466"/>
      <c r="J39" s="3466"/>
      <c r="K39" s="3466"/>
      <c r="L39" s="3466"/>
      <c r="M39" s="3466"/>
      <c r="N39" s="3466"/>
      <c r="O39" s="3466"/>
      <c r="P39" s="3464"/>
      <c r="Q39" s="3464"/>
      <c r="R39" s="3464"/>
      <c r="S39" s="3464"/>
      <c r="T39" s="3464"/>
      <c r="U39" s="3464"/>
      <c r="V39" s="3464"/>
      <c r="W39" s="3464"/>
      <c r="X39" s="3464"/>
      <c r="Y39" s="3464"/>
      <c r="Z39" s="3464"/>
      <c r="AA39" s="3464"/>
      <c r="AB39" s="3464"/>
      <c r="AC39" s="3464"/>
      <c r="AD39" s="3464"/>
      <c r="AE39" s="3464"/>
      <c r="AF39" s="3464"/>
      <c r="AG39" s="3464"/>
      <c r="AH39" s="3464"/>
      <c r="AI39" s="993"/>
    </row>
    <row r="40" spans="2:35" s="465" customFormat="1" x14ac:dyDescent="0.2">
      <c r="B40" s="1598"/>
      <c r="C40" s="3460"/>
      <c r="D40" s="3460"/>
      <c r="E40" s="3461"/>
      <c r="F40" s="3461"/>
      <c r="G40" s="3462"/>
      <c r="H40" s="3462"/>
      <c r="I40" s="3462"/>
      <c r="J40" s="3462"/>
      <c r="K40" s="3461"/>
      <c r="L40" s="3462"/>
      <c r="M40" s="3462"/>
      <c r="N40" s="3462"/>
      <c r="O40" s="3463"/>
      <c r="P40" s="3464"/>
      <c r="Q40" s="3464"/>
      <c r="R40" s="3464"/>
      <c r="S40" s="3464"/>
      <c r="T40" s="3464"/>
      <c r="U40" s="3467"/>
      <c r="V40" s="3466"/>
      <c r="W40" s="3466"/>
      <c r="X40" s="3466"/>
      <c r="Y40" s="3466"/>
      <c r="Z40" s="3466"/>
      <c r="AA40" s="3466"/>
      <c r="AB40" s="3466"/>
      <c r="AC40" s="3466"/>
      <c r="AD40" s="3466"/>
      <c r="AE40" s="3466"/>
      <c r="AF40" s="3464"/>
      <c r="AG40" s="3464"/>
      <c r="AH40" s="3464"/>
      <c r="AI40" s="993"/>
    </row>
    <row r="41" spans="2:35" s="465" customFormat="1" x14ac:dyDescent="0.25">
      <c r="B41" s="1598"/>
      <c r="C41" s="3460"/>
      <c r="D41" s="3460"/>
      <c r="E41" s="3461"/>
      <c r="F41" s="3461"/>
      <c r="G41" s="3462"/>
      <c r="H41" s="3462"/>
      <c r="I41" s="3462"/>
      <c r="J41" s="3462"/>
      <c r="K41" s="3461"/>
      <c r="L41" s="3462"/>
      <c r="M41" s="3462"/>
      <c r="N41" s="3462"/>
      <c r="O41" s="3463"/>
      <c r="P41" s="3464"/>
      <c r="Q41" s="3464"/>
      <c r="R41" s="3464"/>
      <c r="S41" s="3464"/>
      <c r="T41" s="3464"/>
      <c r="U41" s="3464"/>
      <c r="V41" s="3464"/>
      <c r="W41" s="3464"/>
      <c r="X41" s="3464"/>
      <c r="Y41" s="3464"/>
      <c r="Z41" s="3464"/>
      <c r="AA41" s="3464"/>
      <c r="AB41" s="3464"/>
      <c r="AC41" s="3464"/>
      <c r="AD41" s="3464"/>
      <c r="AE41" s="3464"/>
      <c r="AF41" s="3464"/>
      <c r="AG41" s="3464"/>
      <c r="AH41" s="3464"/>
      <c r="AI41" s="993"/>
    </row>
    <row r="42" spans="2:35" s="465" customFormat="1" x14ac:dyDescent="0.25">
      <c r="B42" s="1598"/>
      <c r="C42" s="3460"/>
      <c r="D42" s="3460"/>
      <c r="E42" s="3461"/>
      <c r="F42" s="3461"/>
      <c r="G42" s="3462"/>
      <c r="H42" s="3462"/>
      <c r="I42" s="3462"/>
      <c r="J42" s="3462"/>
      <c r="K42" s="3461"/>
      <c r="L42" s="3462"/>
      <c r="M42" s="3462"/>
      <c r="N42" s="3462"/>
      <c r="O42" s="3463"/>
      <c r="P42" s="3464"/>
      <c r="Q42" s="3464"/>
      <c r="R42" s="3464"/>
      <c r="S42" s="3464"/>
      <c r="T42" s="3464"/>
      <c r="U42" s="3464"/>
      <c r="V42" s="3464"/>
      <c r="W42" s="3464"/>
      <c r="X42" s="3464"/>
      <c r="Y42" s="3464"/>
      <c r="Z42" s="3464"/>
      <c r="AA42" s="3464"/>
      <c r="AB42" s="3464"/>
      <c r="AC42" s="3464"/>
      <c r="AD42" s="3464"/>
      <c r="AE42" s="3464"/>
      <c r="AF42" s="3464"/>
      <c r="AG42" s="3464"/>
      <c r="AH42" s="3464"/>
      <c r="AI42" s="993"/>
    </row>
    <row r="43" spans="2:35" s="465" customFormat="1" x14ac:dyDescent="0.25">
      <c r="B43" s="1598"/>
      <c r="C43" s="3460"/>
      <c r="D43" s="3460"/>
      <c r="E43" s="3461"/>
      <c r="F43" s="3461"/>
      <c r="G43" s="3462"/>
      <c r="H43" s="3462"/>
      <c r="I43" s="3462"/>
      <c r="J43" s="3462"/>
      <c r="K43" s="3461"/>
      <c r="L43" s="3462"/>
      <c r="M43" s="3462"/>
      <c r="N43" s="3462"/>
      <c r="O43" s="3463"/>
      <c r="P43" s="3464"/>
      <c r="Q43" s="3464"/>
      <c r="R43" s="3464"/>
      <c r="S43" s="3464"/>
      <c r="T43" s="3464"/>
      <c r="U43" s="3464"/>
      <c r="V43" s="3464"/>
      <c r="W43" s="3464"/>
      <c r="X43" s="3464"/>
      <c r="Y43" s="3464"/>
      <c r="Z43" s="3464"/>
      <c r="AA43" s="3464"/>
      <c r="AB43" s="3464"/>
      <c r="AC43" s="3464"/>
      <c r="AD43" s="3464"/>
      <c r="AE43" s="3464"/>
      <c r="AF43" s="3464"/>
      <c r="AG43" s="3464"/>
      <c r="AH43" s="3464"/>
      <c r="AI43" s="993"/>
    </row>
    <row r="44" spans="2:35" s="465" customFormat="1" x14ac:dyDescent="0.25">
      <c r="B44" s="1598"/>
      <c r="C44" s="3460"/>
      <c r="D44" s="3460"/>
      <c r="E44" s="3461"/>
      <c r="F44" s="3461"/>
      <c r="G44" s="3462"/>
      <c r="H44" s="3462"/>
      <c r="I44" s="3462"/>
      <c r="J44" s="3462"/>
      <c r="K44" s="3461"/>
      <c r="L44" s="3462"/>
      <c r="M44" s="3462"/>
      <c r="N44" s="3462"/>
      <c r="O44" s="3463"/>
      <c r="P44" s="3464"/>
      <c r="Q44" s="3464"/>
      <c r="R44" s="3464"/>
      <c r="S44" s="3464"/>
      <c r="T44" s="3464"/>
      <c r="U44" s="3464"/>
      <c r="V44" s="3464"/>
      <c r="W44" s="3464"/>
      <c r="X44" s="3464"/>
      <c r="Y44" s="3464"/>
      <c r="Z44" s="3464"/>
      <c r="AA44" s="3464"/>
      <c r="AB44" s="3464"/>
      <c r="AC44" s="3464"/>
      <c r="AD44" s="3464"/>
      <c r="AE44" s="3464"/>
      <c r="AF44" s="3464"/>
      <c r="AG44" s="3464"/>
      <c r="AH44" s="3464"/>
      <c r="AI44" s="993"/>
    </row>
    <row r="45" spans="2:35" s="465" customFormat="1" x14ac:dyDescent="0.25">
      <c r="B45" s="1598"/>
      <c r="C45" s="3460"/>
      <c r="D45" s="3460"/>
      <c r="E45" s="3461"/>
      <c r="F45" s="3461"/>
      <c r="G45" s="3462"/>
      <c r="H45" s="3462"/>
      <c r="I45" s="3462"/>
      <c r="J45" s="3462"/>
      <c r="K45" s="3461"/>
      <c r="L45" s="3462"/>
      <c r="M45" s="3462"/>
      <c r="N45" s="3462"/>
      <c r="O45" s="3463"/>
      <c r="P45" s="3464"/>
      <c r="Q45" s="3464"/>
      <c r="R45" s="3464"/>
      <c r="S45" s="3464"/>
      <c r="T45" s="3464"/>
      <c r="U45" s="3464"/>
      <c r="V45" s="3464"/>
      <c r="W45" s="3464"/>
      <c r="X45" s="3464"/>
      <c r="Y45" s="3464"/>
      <c r="Z45" s="3464"/>
      <c r="AA45" s="3464"/>
      <c r="AB45" s="3464"/>
      <c r="AC45" s="3464"/>
      <c r="AD45" s="3464"/>
      <c r="AE45" s="3464"/>
      <c r="AF45" s="3464"/>
      <c r="AG45" s="3464"/>
      <c r="AH45" s="3464"/>
      <c r="AI45" s="993"/>
    </row>
    <row r="46" spans="2:35" s="465" customFormat="1" x14ac:dyDescent="0.25">
      <c r="B46" s="1598"/>
      <c r="C46" s="3460"/>
      <c r="D46" s="3460"/>
      <c r="E46" s="3461"/>
      <c r="F46" s="3461"/>
      <c r="G46" s="3462"/>
      <c r="H46" s="3462"/>
      <c r="I46" s="3462"/>
      <c r="J46" s="3462"/>
      <c r="K46" s="3461"/>
      <c r="L46" s="3462"/>
      <c r="M46" s="3462"/>
      <c r="N46" s="3462"/>
      <c r="O46" s="3463"/>
      <c r="P46" s="3464"/>
      <c r="Q46" s="3464"/>
      <c r="R46" s="3464"/>
      <c r="S46" s="3464"/>
      <c r="T46" s="3464"/>
      <c r="U46" s="3464"/>
      <c r="V46" s="3464"/>
      <c r="W46" s="3464"/>
      <c r="X46" s="3464"/>
      <c r="Y46" s="3464"/>
      <c r="Z46" s="3464"/>
      <c r="AA46" s="3464"/>
      <c r="AB46" s="3464"/>
      <c r="AC46" s="3464"/>
      <c r="AD46" s="3464"/>
      <c r="AE46" s="3464"/>
      <c r="AF46" s="3464"/>
      <c r="AG46" s="3464"/>
      <c r="AH46" s="3464"/>
      <c r="AI46" s="993"/>
    </row>
    <row r="47" spans="2:35" s="465" customFormat="1" x14ac:dyDescent="0.25">
      <c r="B47" s="1598"/>
      <c r="C47" s="3460"/>
      <c r="D47" s="3460"/>
      <c r="E47" s="3461"/>
      <c r="F47" s="3461"/>
      <c r="G47" s="3462"/>
      <c r="H47" s="3462"/>
      <c r="I47" s="3462"/>
      <c r="J47" s="3462"/>
      <c r="K47" s="3461"/>
      <c r="L47" s="3462"/>
      <c r="M47" s="3462"/>
      <c r="N47" s="3462"/>
      <c r="O47" s="3463"/>
      <c r="P47" s="3464"/>
      <c r="Q47" s="3464"/>
      <c r="R47" s="3464"/>
      <c r="S47" s="3464"/>
      <c r="T47" s="3464"/>
      <c r="U47" s="3464"/>
      <c r="V47" s="3464"/>
      <c r="W47" s="3464"/>
      <c r="X47" s="3464"/>
      <c r="Y47" s="3464"/>
      <c r="Z47" s="3464"/>
      <c r="AA47" s="3464"/>
      <c r="AB47" s="3464"/>
      <c r="AC47" s="3464"/>
      <c r="AD47" s="3464"/>
      <c r="AE47" s="3464"/>
      <c r="AF47" s="3464"/>
      <c r="AG47" s="3464"/>
      <c r="AH47" s="3464"/>
      <c r="AI47" s="993"/>
    </row>
    <row r="48" spans="2:35" s="465" customFormat="1" x14ac:dyDescent="0.25">
      <c r="B48" s="1598"/>
      <c r="C48" s="3460"/>
      <c r="D48" s="3460"/>
      <c r="E48" s="3461"/>
      <c r="F48" s="3461"/>
      <c r="G48" s="3462"/>
      <c r="H48" s="3462"/>
      <c r="I48" s="3462"/>
      <c r="J48" s="3462"/>
      <c r="K48" s="3461"/>
      <c r="L48" s="3462"/>
      <c r="M48" s="3462"/>
      <c r="N48" s="3462"/>
      <c r="O48" s="3463"/>
      <c r="P48" s="3464"/>
      <c r="Q48" s="3464"/>
      <c r="R48" s="3464"/>
      <c r="S48" s="3464"/>
      <c r="T48" s="3464"/>
      <c r="U48" s="3464"/>
      <c r="V48" s="3464"/>
      <c r="W48" s="3464"/>
      <c r="X48" s="3464"/>
      <c r="Y48" s="3464"/>
      <c r="Z48" s="3464"/>
      <c r="AA48" s="3464"/>
      <c r="AB48" s="3464"/>
      <c r="AC48" s="3464"/>
      <c r="AD48" s="3464"/>
      <c r="AE48" s="3464"/>
      <c r="AF48" s="3464"/>
      <c r="AG48" s="3464"/>
      <c r="AH48" s="3464"/>
      <c r="AI48" s="993"/>
    </row>
    <row r="49" spans="2:35" s="465" customFormat="1" x14ac:dyDescent="0.25">
      <c r="B49" s="1598"/>
      <c r="C49" s="3460"/>
      <c r="D49" s="3460"/>
      <c r="E49" s="3461"/>
      <c r="F49" s="3461"/>
      <c r="G49" s="3462"/>
      <c r="H49" s="3462"/>
      <c r="I49" s="3462"/>
      <c r="J49" s="3462"/>
      <c r="K49" s="3461"/>
      <c r="L49" s="3462"/>
      <c r="M49" s="3462"/>
      <c r="N49" s="3462"/>
      <c r="O49" s="3463"/>
      <c r="P49" s="3464"/>
      <c r="Q49" s="3464"/>
      <c r="R49" s="3464"/>
      <c r="S49" s="3464"/>
      <c r="T49" s="3464"/>
      <c r="U49" s="3464"/>
      <c r="V49" s="3464"/>
      <c r="W49" s="3464"/>
      <c r="X49" s="3464"/>
      <c r="Y49" s="3464"/>
      <c r="Z49" s="3464"/>
      <c r="AA49" s="3464"/>
      <c r="AB49" s="3464"/>
      <c r="AC49" s="3464"/>
      <c r="AD49" s="3464"/>
      <c r="AE49" s="3464"/>
      <c r="AF49" s="3464"/>
      <c r="AG49" s="3464"/>
      <c r="AH49" s="3464"/>
      <c r="AI49" s="993"/>
    </row>
    <row r="50" spans="2:35" s="465" customFormat="1" x14ac:dyDescent="0.25">
      <c r="B50" s="1598"/>
      <c r="C50" s="3460"/>
      <c r="D50" s="3460"/>
      <c r="E50" s="3461"/>
      <c r="F50" s="3461"/>
      <c r="G50" s="3462"/>
      <c r="H50" s="3462"/>
      <c r="I50" s="3462"/>
      <c r="J50" s="3462"/>
      <c r="K50" s="3461"/>
      <c r="L50" s="3462"/>
      <c r="M50" s="3462"/>
      <c r="N50" s="3462"/>
      <c r="O50" s="3463"/>
      <c r="P50" s="3464"/>
      <c r="Q50" s="3464"/>
      <c r="R50" s="3464"/>
      <c r="S50" s="3464"/>
      <c r="T50" s="3464"/>
      <c r="U50" s="3464"/>
      <c r="V50" s="3464"/>
      <c r="W50" s="3464"/>
      <c r="X50" s="3464"/>
      <c r="Y50" s="3464"/>
      <c r="Z50" s="3464"/>
      <c r="AA50" s="3464"/>
      <c r="AB50" s="3464"/>
      <c r="AC50" s="3464"/>
      <c r="AD50" s="3464"/>
      <c r="AE50" s="3464"/>
      <c r="AF50" s="3464"/>
      <c r="AG50" s="3464"/>
      <c r="AH50" s="3464"/>
      <c r="AI50" s="993"/>
    </row>
    <row r="51" spans="2:35" s="465" customFormat="1" x14ac:dyDescent="0.25">
      <c r="B51" s="1598"/>
      <c r="C51" s="3460"/>
      <c r="D51" s="3460"/>
      <c r="E51" s="3461"/>
      <c r="F51" s="3461"/>
      <c r="G51" s="3462"/>
      <c r="H51" s="3462"/>
      <c r="I51" s="3462"/>
      <c r="J51" s="3462"/>
      <c r="K51" s="3461"/>
      <c r="L51" s="3462"/>
      <c r="M51" s="3462"/>
      <c r="N51" s="3462"/>
      <c r="O51" s="3463"/>
      <c r="P51" s="3464"/>
      <c r="Q51" s="3464"/>
      <c r="R51" s="3464"/>
      <c r="S51" s="3464"/>
      <c r="T51" s="3464"/>
      <c r="U51" s="3464"/>
      <c r="V51" s="3464"/>
      <c r="W51" s="3464"/>
      <c r="X51" s="3464"/>
      <c r="Y51" s="3464"/>
      <c r="Z51" s="3464"/>
      <c r="AA51" s="3464"/>
      <c r="AB51" s="3464"/>
      <c r="AC51" s="3464"/>
      <c r="AD51" s="3464"/>
      <c r="AE51" s="3464"/>
      <c r="AF51" s="3464"/>
      <c r="AG51" s="3464"/>
      <c r="AH51" s="3464"/>
      <c r="AI51" s="993"/>
    </row>
    <row r="52" spans="2:35" s="465" customFormat="1" x14ac:dyDescent="0.25">
      <c r="B52" s="1598"/>
      <c r="C52" s="3460"/>
      <c r="D52" s="3460"/>
      <c r="E52" s="3461"/>
      <c r="F52" s="3461"/>
      <c r="G52" s="3462"/>
      <c r="H52" s="3462"/>
      <c r="I52" s="3462"/>
      <c r="J52" s="3462"/>
      <c r="K52" s="3461"/>
      <c r="L52" s="3462"/>
      <c r="M52" s="3462"/>
      <c r="N52" s="3462"/>
      <c r="O52" s="3463"/>
      <c r="P52" s="3464"/>
      <c r="Q52" s="3464"/>
      <c r="R52" s="3464"/>
      <c r="S52" s="3464"/>
      <c r="T52" s="3464"/>
      <c r="U52" s="3464"/>
      <c r="V52" s="3464"/>
      <c r="W52" s="3464"/>
      <c r="X52" s="3464"/>
      <c r="Y52" s="3464"/>
      <c r="Z52" s="3464"/>
      <c r="AA52" s="3464"/>
      <c r="AB52" s="3464"/>
      <c r="AC52" s="3464"/>
      <c r="AD52" s="3464"/>
      <c r="AE52" s="3464"/>
      <c r="AF52" s="3464"/>
      <c r="AG52" s="3464"/>
      <c r="AH52" s="3464"/>
      <c r="AI52" s="993"/>
    </row>
    <row r="53" spans="2:35" s="474" customFormat="1" ht="21" x14ac:dyDescent="0.25">
      <c r="B53" s="1706"/>
      <c r="C53" s="3450"/>
      <c r="D53" s="6302" t="s">
        <v>1897</v>
      </c>
      <c r="E53" s="6302"/>
      <c r="F53" s="6302"/>
      <c r="G53" s="6302"/>
      <c r="H53" s="6302"/>
      <c r="I53" s="6302"/>
      <c r="J53" s="6302"/>
      <c r="K53" s="6302"/>
      <c r="L53" s="6302"/>
      <c r="M53" s="6302"/>
      <c r="N53" s="6302"/>
      <c r="O53" s="6302"/>
      <c r="P53" s="5381"/>
      <c r="Q53" s="1832"/>
      <c r="R53" s="3450"/>
      <c r="S53" s="6302" t="s">
        <v>1898</v>
      </c>
      <c r="T53" s="6302"/>
      <c r="U53" s="6302"/>
      <c r="V53" s="6302"/>
      <c r="W53" s="6302"/>
      <c r="X53" s="6302"/>
      <c r="Y53" s="6302"/>
      <c r="Z53" s="6302"/>
      <c r="AA53" s="6302"/>
      <c r="AB53" s="6302"/>
      <c r="AC53" s="6302"/>
      <c r="AD53" s="6302"/>
      <c r="AE53" s="6302"/>
      <c r="AF53" s="6302"/>
      <c r="AG53" s="6302"/>
      <c r="AH53" s="1832"/>
      <c r="AI53" s="475"/>
    </row>
    <row r="54" spans="2:35" s="474" customFormat="1" ht="33.75" customHeight="1" x14ac:dyDescent="0.25">
      <c r="B54" s="1706"/>
      <c r="C54" s="3469"/>
      <c r="D54" s="3470" t="s">
        <v>1282</v>
      </c>
      <c r="E54" s="3471">
        <f t="shared" ref="E54:N54" si="0">X54</f>
        <v>2015</v>
      </c>
      <c r="F54" s="3471">
        <f t="shared" si="0"/>
        <v>2016</v>
      </c>
      <c r="G54" s="3471">
        <f t="shared" si="0"/>
        <v>2017</v>
      </c>
      <c r="H54" s="3471">
        <f t="shared" si="0"/>
        <v>2018</v>
      </c>
      <c r="I54" s="3471">
        <f t="shared" si="0"/>
        <v>2019</v>
      </c>
      <c r="J54" s="3471">
        <f t="shared" si="0"/>
        <v>2020</v>
      </c>
      <c r="K54" s="3471">
        <f t="shared" si="0"/>
        <v>2021</v>
      </c>
      <c r="L54" s="3471">
        <f t="shared" si="0"/>
        <v>2022</v>
      </c>
      <c r="M54" s="3471">
        <f t="shared" si="0"/>
        <v>2023</v>
      </c>
      <c r="N54" s="3471">
        <f t="shared" si="0"/>
        <v>2024</v>
      </c>
      <c r="O54" s="4630" t="s">
        <v>16</v>
      </c>
      <c r="P54" s="3472"/>
      <c r="Q54" s="1832"/>
      <c r="R54" s="1832"/>
      <c r="S54" s="6936" t="s">
        <v>1901</v>
      </c>
      <c r="T54" s="6937"/>
      <c r="U54" s="6937"/>
      <c r="V54" s="6938"/>
      <c r="W54" s="3471">
        <f>IFERROR(X54-1,"")</f>
        <v>2014</v>
      </c>
      <c r="X54" s="3471">
        <f t="shared" ref="X54:AG54" si="1">E68</f>
        <v>2015</v>
      </c>
      <c r="Y54" s="3471">
        <f t="shared" si="1"/>
        <v>2016</v>
      </c>
      <c r="Z54" s="3471">
        <f t="shared" si="1"/>
        <v>2017</v>
      </c>
      <c r="AA54" s="3471">
        <f t="shared" si="1"/>
        <v>2018</v>
      </c>
      <c r="AB54" s="3471">
        <f t="shared" si="1"/>
        <v>2019</v>
      </c>
      <c r="AC54" s="3471">
        <f t="shared" si="1"/>
        <v>2020</v>
      </c>
      <c r="AD54" s="3471">
        <f t="shared" si="1"/>
        <v>2021</v>
      </c>
      <c r="AE54" s="3471">
        <f t="shared" si="1"/>
        <v>2022</v>
      </c>
      <c r="AF54" s="3471">
        <f t="shared" si="1"/>
        <v>2023</v>
      </c>
      <c r="AG54" s="3471">
        <f t="shared" si="1"/>
        <v>2024</v>
      </c>
      <c r="AH54" s="1832"/>
      <c r="AI54" s="475"/>
    </row>
    <row r="55" spans="2:35" s="474" customFormat="1" ht="21" customHeight="1" x14ac:dyDescent="0.25">
      <c r="B55" s="1706"/>
      <c r="C55" s="3469"/>
      <c r="D55" s="3473" t="s">
        <v>1516</v>
      </c>
      <c r="E55" s="3474">
        <f t="shared" ref="E55:N55" si="2">E92</f>
        <v>0</v>
      </c>
      <c r="F55" s="3474">
        <f t="shared" si="2"/>
        <v>0</v>
      </c>
      <c r="G55" s="3474">
        <f t="shared" si="2"/>
        <v>0</v>
      </c>
      <c r="H55" s="3474">
        <f t="shared" si="2"/>
        <v>0</v>
      </c>
      <c r="I55" s="3474">
        <f t="shared" si="2"/>
        <v>0</v>
      </c>
      <c r="J55" s="3474">
        <f t="shared" si="2"/>
        <v>0</v>
      </c>
      <c r="K55" s="3474">
        <f t="shared" si="2"/>
        <v>0</v>
      </c>
      <c r="L55" s="3474">
        <f t="shared" si="2"/>
        <v>0</v>
      </c>
      <c r="M55" s="3474">
        <f t="shared" si="2"/>
        <v>0</v>
      </c>
      <c r="N55" s="3474">
        <f t="shared" si="2"/>
        <v>0</v>
      </c>
      <c r="O55" s="4631">
        <f t="shared" ref="O55:O60" si="3">SUM(E55:N55)</f>
        <v>0</v>
      </c>
      <c r="P55" s="3472"/>
      <c r="Q55" s="1832"/>
      <c r="R55" s="1832"/>
      <c r="S55" s="6941" t="s">
        <v>206</v>
      </c>
      <c r="T55" s="6941"/>
      <c r="U55" s="6941"/>
      <c r="V55" s="6941"/>
      <c r="W55" s="3475">
        <f>'PIP finance'!D758</f>
        <v>0</v>
      </c>
      <c r="X55" s="3475">
        <f>'PIP finance'!E758</f>
        <v>0</v>
      </c>
      <c r="Y55" s="3475">
        <f>'PIP finance'!F758</f>
        <v>0</v>
      </c>
      <c r="Z55" s="3475">
        <f>'PIP finance'!G758</f>
        <v>0</v>
      </c>
      <c r="AA55" s="3475">
        <f>'PIP finance'!H758</f>
        <v>0</v>
      </c>
      <c r="AB55" s="3475">
        <f>'PIP finance'!I758</f>
        <v>0</v>
      </c>
      <c r="AC55" s="3475">
        <f>'PIP finance'!J758</f>
        <v>0</v>
      </c>
      <c r="AD55" s="3475">
        <f>'PIP finance'!K758</f>
        <v>0</v>
      </c>
      <c r="AE55" s="3475">
        <f>'PIP finance'!L758</f>
        <v>0</v>
      </c>
      <c r="AF55" s="3475">
        <f>'PIP finance'!M758</f>
        <v>0</v>
      </c>
      <c r="AG55" s="3475">
        <f>'PIP finance'!N758</f>
        <v>0</v>
      </c>
      <c r="AH55" s="1832"/>
      <c r="AI55" s="475"/>
    </row>
    <row r="56" spans="2:35" s="474" customFormat="1" ht="21" customHeight="1" x14ac:dyDescent="0.25">
      <c r="B56" s="1706"/>
      <c r="C56" s="3469"/>
      <c r="D56" s="3476" t="s">
        <v>2995</v>
      </c>
      <c r="E56" s="3477">
        <f t="shared" ref="E56:N56" si="4">E99+E104</f>
        <v>61</v>
      </c>
      <c r="F56" s="3477">
        <f t="shared" si="4"/>
        <v>38</v>
      </c>
      <c r="G56" s="3477">
        <f t="shared" si="4"/>
        <v>0</v>
      </c>
      <c r="H56" s="3477">
        <f t="shared" si="4"/>
        <v>0</v>
      </c>
      <c r="I56" s="3477">
        <f t="shared" si="4"/>
        <v>0</v>
      </c>
      <c r="J56" s="3477">
        <f t="shared" si="4"/>
        <v>0</v>
      </c>
      <c r="K56" s="3477">
        <f t="shared" si="4"/>
        <v>0</v>
      </c>
      <c r="L56" s="3477">
        <f t="shared" si="4"/>
        <v>0</v>
      </c>
      <c r="M56" s="3477">
        <f t="shared" si="4"/>
        <v>0</v>
      </c>
      <c r="N56" s="3477">
        <f t="shared" si="4"/>
        <v>0</v>
      </c>
      <c r="O56" s="4632">
        <f t="shared" si="3"/>
        <v>99</v>
      </c>
      <c r="P56" s="3472"/>
      <c r="Q56" s="1832"/>
      <c r="R56" s="1832"/>
      <c r="S56" s="6942" t="s">
        <v>3430</v>
      </c>
      <c r="T56" s="6942"/>
      <c r="U56" s="6942"/>
      <c r="V56" s="6942"/>
      <c r="W56" s="5662">
        <f>'PIP finance'!D768</f>
        <v>0</v>
      </c>
      <c r="X56" s="5662">
        <f>'PIP finance'!E768</f>
        <v>0</v>
      </c>
      <c r="Y56" s="5662">
        <f>'PIP finance'!F768</f>
        <v>0</v>
      </c>
      <c r="Z56" s="5662">
        <f>'PIP finance'!G768</f>
        <v>0</v>
      </c>
      <c r="AA56" s="5662">
        <f>'PIP finance'!H768</f>
        <v>0</v>
      </c>
      <c r="AB56" s="5662">
        <f>'PIP finance'!I768</f>
        <v>0</v>
      </c>
      <c r="AC56" s="5662">
        <f>'PIP finance'!J768</f>
        <v>0</v>
      </c>
      <c r="AD56" s="5662">
        <f>'PIP finance'!K768</f>
        <v>0</v>
      </c>
      <c r="AE56" s="5662">
        <f>'PIP finance'!L768</f>
        <v>0</v>
      </c>
      <c r="AF56" s="5662">
        <f>'PIP finance'!M768</f>
        <v>0</v>
      </c>
      <c r="AG56" s="5662">
        <f>'PIP finance'!N768</f>
        <v>0</v>
      </c>
      <c r="AH56" s="1832"/>
      <c r="AI56" s="475"/>
    </row>
    <row r="57" spans="2:35" s="474" customFormat="1" ht="21" customHeight="1" x14ac:dyDescent="0.25">
      <c r="B57" s="1706"/>
      <c r="C57" s="3469"/>
      <c r="D57" s="3476" t="s">
        <v>1112</v>
      </c>
      <c r="E57" s="3477">
        <f t="shared" ref="E57:N57" ca="1" si="5">E93</f>
        <v>19.080000000000002</v>
      </c>
      <c r="F57" s="3477">
        <f t="shared" ca="1" si="5"/>
        <v>20.415600000000001</v>
      </c>
      <c r="G57" s="3477">
        <f t="shared" ca="1" si="5"/>
        <v>9.4797720000000005</v>
      </c>
      <c r="H57" s="3477">
        <f t="shared" ca="1" si="5"/>
        <v>0</v>
      </c>
      <c r="I57" s="3477">
        <f t="shared" ca="1" si="5"/>
        <v>0</v>
      </c>
      <c r="J57" s="3477">
        <f t="shared" ca="1" si="5"/>
        <v>0</v>
      </c>
      <c r="K57" s="3477">
        <f t="shared" ca="1" si="5"/>
        <v>0</v>
      </c>
      <c r="L57" s="3477">
        <f t="shared" ca="1" si="5"/>
        <v>0</v>
      </c>
      <c r="M57" s="3477">
        <f t="shared" ca="1" si="5"/>
        <v>0</v>
      </c>
      <c r="N57" s="3477">
        <f t="shared" ca="1" si="5"/>
        <v>0</v>
      </c>
      <c r="O57" s="4632">
        <f t="shared" ca="1" si="3"/>
        <v>48.975372000000007</v>
      </c>
      <c r="P57" s="1832"/>
      <c r="Q57" s="1832"/>
      <c r="R57" s="1832"/>
      <c r="S57" s="6942" t="s">
        <v>3435</v>
      </c>
      <c r="T57" s="6942"/>
      <c r="U57" s="6942"/>
      <c r="V57" s="6942"/>
      <c r="W57" s="3478">
        <f>'WW calcu'!E1198*'WW calcu'!E1199</f>
        <v>0</v>
      </c>
      <c r="X57" s="3478">
        <f>'WW calcu'!F1198*'WW calcu'!F1199</f>
        <v>0</v>
      </c>
      <c r="Y57" s="3478">
        <f>'WW calcu'!G1198*'WW calcu'!G1199</f>
        <v>0</v>
      </c>
      <c r="Z57" s="3478">
        <f>'WW calcu'!H1198*'WW calcu'!H1199</f>
        <v>0</v>
      </c>
      <c r="AA57" s="3478">
        <f>'WW calcu'!I1198*'WW calcu'!I1199</f>
        <v>0</v>
      </c>
      <c r="AB57" s="3478">
        <f>'WW calcu'!J1198*'WW calcu'!J1199</f>
        <v>0</v>
      </c>
      <c r="AC57" s="3478">
        <f>'WW calcu'!K1198*'WW calcu'!K1199</f>
        <v>100</v>
      </c>
      <c r="AD57" s="3478">
        <f>'WW calcu'!L1198*'WW calcu'!L1199</f>
        <v>100</v>
      </c>
      <c r="AE57" s="3478">
        <f>'WW calcu'!M1198*'WW calcu'!M1199</f>
        <v>100</v>
      </c>
      <c r="AF57" s="3478">
        <f>'WW calcu'!N1198*'WW calcu'!N1199</f>
        <v>100</v>
      </c>
      <c r="AG57" s="3478">
        <f>'WW calcu'!O1198*'WW calcu'!O1199</f>
        <v>100</v>
      </c>
      <c r="AH57" s="1832"/>
      <c r="AI57" s="475"/>
    </row>
    <row r="58" spans="2:35" s="474" customFormat="1" ht="21" customHeight="1" x14ac:dyDescent="0.25">
      <c r="B58" s="1706"/>
      <c r="C58" s="3469"/>
      <c r="D58" s="3476" t="s">
        <v>2996</v>
      </c>
      <c r="E58" s="3477">
        <f t="shared" ref="E58:N58" ca="1" si="6">E94</f>
        <v>354.65999999999997</v>
      </c>
      <c r="F58" s="3477">
        <f t="shared" ca="1" si="6"/>
        <v>338.4624</v>
      </c>
      <c r="G58" s="3477">
        <f t="shared" ca="1" si="6"/>
        <v>362.15476799999999</v>
      </c>
      <c r="H58" s="3477">
        <f t="shared" ca="1" si="6"/>
        <v>387.50560175999999</v>
      </c>
      <c r="I58" s="3477">
        <f t="shared" ca="1" si="6"/>
        <v>414.63099388320006</v>
      </c>
      <c r="J58" s="3477">
        <f t="shared" ca="1" si="6"/>
        <v>0</v>
      </c>
      <c r="K58" s="3477">
        <f t="shared" ca="1" si="6"/>
        <v>0</v>
      </c>
      <c r="L58" s="3477">
        <f t="shared" ca="1" si="6"/>
        <v>0</v>
      </c>
      <c r="M58" s="3477">
        <f t="shared" ca="1" si="6"/>
        <v>0</v>
      </c>
      <c r="N58" s="3477">
        <f t="shared" ca="1" si="6"/>
        <v>0</v>
      </c>
      <c r="O58" s="4632">
        <f t="shared" ca="1" si="3"/>
        <v>1857.4137636432001</v>
      </c>
      <c r="P58" s="1832"/>
      <c r="Q58" s="1832"/>
      <c r="R58" s="1832"/>
      <c r="S58" s="6946" t="s">
        <v>3434</v>
      </c>
      <c r="T58" s="6946"/>
      <c r="U58" s="6946"/>
      <c r="V58" s="6946"/>
      <c r="W58" s="3479">
        <f>'PIP finance'!D769</f>
        <v>0</v>
      </c>
      <c r="X58" s="3479">
        <f>'PIP finance'!E769</f>
        <v>0</v>
      </c>
      <c r="Y58" s="3479">
        <f>'PIP finance'!F769</f>
        <v>0</v>
      </c>
      <c r="Z58" s="3479">
        <f>'PIP finance'!G769</f>
        <v>0</v>
      </c>
      <c r="AA58" s="3479">
        <f>'PIP finance'!H769</f>
        <v>0</v>
      </c>
      <c r="AB58" s="3479">
        <f>'PIP finance'!I769</f>
        <v>0</v>
      </c>
      <c r="AC58" s="3479">
        <f>'PIP finance'!J769</f>
        <v>0</v>
      </c>
      <c r="AD58" s="3479">
        <f>'PIP finance'!K769</f>
        <v>0</v>
      </c>
      <c r="AE58" s="3479">
        <f>'PIP finance'!L769</f>
        <v>0</v>
      </c>
      <c r="AF58" s="3479">
        <f>'PIP finance'!M769</f>
        <v>0</v>
      </c>
      <c r="AG58" s="3479">
        <f>'PIP finance'!N769</f>
        <v>0</v>
      </c>
      <c r="AH58" s="1832"/>
      <c r="AI58" s="475"/>
    </row>
    <row r="59" spans="2:35" s="474" customFormat="1" ht="39.75" customHeight="1" x14ac:dyDescent="0.25">
      <c r="B59" s="1706"/>
      <c r="C59" s="3469"/>
      <c r="D59" s="3473" t="s">
        <v>477</v>
      </c>
      <c r="E59" s="3474">
        <f t="shared" ref="E59:N59" ca="1" si="7">E109+E108</f>
        <v>0</v>
      </c>
      <c r="F59" s="3474">
        <f t="shared" ca="1" si="7"/>
        <v>0</v>
      </c>
      <c r="G59" s="3474">
        <f t="shared" ca="1" si="7"/>
        <v>36</v>
      </c>
      <c r="H59" s="3474">
        <f t="shared" ca="1" si="7"/>
        <v>0</v>
      </c>
      <c r="I59" s="3474">
        <f t="shared" ca="1" si="7"/>
        <v>0</v>
      </c>
      <c r="J59" s="3474">
        <f t="shared" ca="1" si="7"/>
        <v>0</v>
      </c>
      <c r="K59" s="3474">
        <f t="shared" ca="1" si="7"/>
        <v>0</v>
      </c>
      <c r="L59" s="3474">
        <f t="shared" ca="1" si="7"/>
        <v>0</v>
      </c>
      <c r="M59" s="3474">
        <f t="shared" ca="1" si="7"/>
        <v>0</v>
      </c>
      <c r="N59" s="3474">
        <f t="shared" ca="1" si="7"/>
        <v>0</v>
      </c>
      <c r="O59" s="4631">
        <f t="shared" ca="1" si="3"/>
        <v>36</v>
      </c>
      <c r="P59" s="1832"/>
      <c r="Q59" s="1832"/>
      <c r="R59" s="1832"/>
      <c r="S59" s="7071" t="s">
        <v>3456</v>
      </c>
      <c r="T59" s="7072"/>
      <c r="U59" s="7072"/>
      <c r="V59" s="7073"/>
      <c r="W59" s="3480">
        <f>SUM(W55:W57)</f>
        <v>0</v>
      </c>
      <c r="X59" s="3480">
        <f>SUM(X55:X57)</f>
        <v>0</v>
      </c>
      <c r="Y59" s="3480">
        <f t="shared" ref="Y59:AG59" si="8">SUM(Y55:Y57)</f>
        <v>0</v>
      </c>
      <c r="Z59" s="3480">
        <f t="shared" si="8"/>
        <v>0</v>
      </c>
      <c r="AA59" s="3480">
        <f t="shared" si="8"/>
        <v>0</v>
      </c>
      <c r="AB59" s="3480">
        <f t="shared" si="8"/>
        <v>0</v>
      </c>
      <c r="AC59" s="3480">
        <f t="shared" si="8"/>
        <v>100</v>
      </c>
      <c r="AD59" s="3480">
        <f t="shared" si="8"/>
        <v>100</v>
      </c>
      <c r="AE59" s="3480">
        <f t="shared" si="8"/>
        <v>100</v>
      </c>
      <c r="AF59" s="3480">
        <f t="shared" si="8"/>
        <v>100</v>
      </c>
      <c r="AG59" s="3480">
        <f t="shared" si="8"/>
        <v>100</v>
      </c>
      <c r="AH59" s="1832"/>
      <c r="AI59" s="5482"/>
    </row>
    <row r="60" spans="2:35" s="474" customFormat="1" ht="18.75" customHeight="1" x14ac:dyDescent="0.25">
      <c r="B60" s="1706"/>
      <c r="C60" s="3469"/>
      <c r="D60" s="3481" t="s">
        <v>765</v>
      </c>
      <c r="E60" s="3482">
        <f t="shared" ref="E60:N60" si="9">E113</f>
        <v>0</v>
      </c>
      <c r="F60" s="3482">
        <f t="shared" ca="1" si="9"/>
        <v>0</v>
      </c>
      <c r="G60" s="3482">
        <f t="shared" ca="1" si="9"/>
        <v>0</v>
      </c>
      <c r="H60" s="3482">
        <f t="shared" ca="1" si="9"/>
        <v>0</v>
      </c>
      <c r="I60" s="3482">
        <f t="shared" ca="1" si="9"/>
        <v>0</v>
      </c>
      <c r="J60" s="3482">
        <f t="shared" ca="1" si="9"/>
        <v>0</v>
      </c>
      <c r="K60" s="3482">
        <f t="shared" ca="1" si="9"/>
        <v>6.1529727583290192</v>
      </c>
      <c r="L60" s="3482">
        <f t="shared" ca="1" si="9"/>
        <v>6.1529727583290192</v>
      </c>
      <c r="M60" s="3482">
        <f t="shared" ca="1" si="9"/>
        <v>6.1529727583290192</v>
      </c>
      <c r="N60" s="3482">
        <f t="shared" ca="1" si="9"/>
        <v>6.1529727583290201</v>
      </c>
      <c r="O60" s="4633">
        <f t="shared" ca="1" si="3"/>
        <v>24.611891033316077</v>
      </c>
      <c r="P60" s="1832"/>
      <c r="Q60" s="1832"/>
      <c r="R60" s="1832"/>
      <c r="S60" s="7074" t="s">
        <v>1519</v>
      </c>
      <c r="T60" s="7075"/>
      <c r="U60" s="7075"/>
      <c r="V60" s="7076"/>
      <c r="W60" s="3483" t="s">
        <v>1520</v>
      </c>
      <c r="X60" s="3484">
        <f>IFERROR((X59-W59)/W59,0)</f>
        <v>0</v>
      </c>
      <c r="Y60" s="3484">
        <f t="shared" ref="Y60:AG60" si="10">IFERROR((Y59-X59)/X59,0)</f>
        <v>0</v>
      </c>
      <c r="Z60" s="3484">
        <f t="shared" si="10"/>
        <v>0</v>
      </c>
      <c r="AA60" s="3484">
        <f t="shared" si="10"/>
        <v>0</v>
      </c>
      <c r="AB60" s="3484">
        <f t="shared" si="10"/>
        <v>0</v>
      </c>
      <c r="AC60" s="3484">
        <f t="shared" si="10"/>
        <v>0</v>
      </c>
      <c r="AD60" s="3484">
        <f t="shared" si="10"/>
        <v>0</v>
      </c>
      <c r="AE60" s="3484">
        <f t="shared" si="10"/>
        <v>0</v>
      </c>
      <c r="AF60" s="3484">
        <f t="shared" si="10"/>
        <v>0</v>
      </c>
      <c r="AG60" s="3484">
        <f t="shared" si="10"/>
        <v>0</v>
      </c>
      <c r="AH60" s="1832"/>
      <c r="AI60" s="475"/>
    </row>
    <row r="61" spans="2:35" s="474" customFormat="1" ht="18.75" customHeight="1" x14ac:dyDescent="0.25">
      <c r="B61" s="1706"/>
      <c r="C61" s="3469"/>
      <c r="D61" s="3485" t="s">
        <v>1518</v>
      </c>
      <c r="E61" s="3486" t="str">
        <f>IF(E115="NA","-",IF(E115&lt;1,"No","Yes"))</f>
        <v>-</v>
      </c>
      <c r="F61" s="3486" t="str">
        <f t="shared" ref="F61:N61" ca="1" si="11">IF(F115="NA","NA",IF(F115&lt;1,"No","Yes"))</f>
        <v>NA</v>
      </c>
      <c r="G61" s="3486" t="str">
        <f t="shared" ca="1" si="11"/>
        <v>NA</v>
      </c>
      <c r="H61" s="3486" t="str">
        <f t="shared" ca="1" si="11"/>
        <v>NA</v>
      </c>
      <c r="I61" s="3486" t="str">
        <f t="shared" ca="1" si="11"/>
        <v>NA</v>
      </c>
      <c r="J61" s="3486" t="str">
        <f t="shared" ca="1" si="11"/>
        <v>NA</v>
      </c>
      <c r="K61" s="3486" t="str">
        <f t="shared" ca="1" si="11"/>
        <v>No</v>
      </c>
      <c r="L61" s="3486" t="str">
        <f t="shared" ca="1" si="11"/>
        <v>No</v>
      </c>
      <c r="M61" s="3486" t="str">
        <f t="shared" ca="1" si="11"/>
        <v>No</v>
      </c>
      <c r="N61" s="3486" t="str">
        <f t="shared" ca="1" si="11"/>
        <v>No</v>
      </c>
      <c r="O61" s="3486" t="s">
        <v>1520</v>
      </c>
      <c r="P61" s="1832"/>
      <c r="Q61" s="1832"/>
      <c r="R61" s="1832"/>
      <c r="S61" s="6943" t="s">
        <v>1517</v>
      </c>
      <c r="T61" s="6944"/>
      <c r="U61" s="6944"/>
      <c r="V61" s="6945"/>
      <c r="W61" s="3487" t="s">
        <v>1520</v>
      </c>
      <c r="X61" s="3488" t="str">
        <f t="shared" ref="X61:AG61" si="12">IF(AND(E87&lt;=1,E87&gt;0),"Yes","No")</f>
        <v>Yes</v>
      </c>
      <c r="Y61" s="3488" t="str">
        <f t="shared" ca="1" si="12"/>
        <v>No</v>
      </c>
      <c r="Z61" s="3488" t="str">
        <f t="shared" ca="1" si="12"/>
        <v>No</v>
      </c>
      <c r="AA61" s="3488" t="str">
        <f t="shared" ca="1" si="12"/>
        <v>No</v>
      </c>
      <c r="AB61" s="3488" t="str">
        <f t="shared" ca="1" si="12"/>
        <v>No</v>
      </c>
      <c r="AC61" s="3488" t="str">
        <f t="shared" ca="1" si="12"/>
        <v>No</v>
      </c>
      <c r="AD61" s="3488" t="str">
        <f t="shared" ca="1" si="12"/>
        <v>No</v>
      </c>
      <c r="AE61" s="3488" t="str">
        <f t="shared" ca="1" si="12"/>
        <v>No</v>
      </c>
      <c r="AF61" s="3488" t="str">
        <f t="shared" ca="1" si="12"/>
        <v>No</v>
      </c>
      <c r="AG61" s="3488" t="str">
        <f t="shared" ca="1" si="12"/>
        <v>No</v>
      </c>
      <c r="AH61" s="1832"/>
      <c r="AI61" s="475"/>
    </row>
    <row r="62" spans="2:35" s="465" customFormat="1" x14ac:dyDescent="0.25">
      <c r="B62" s="1598"/>
      <c r="C62" s="3460"/>
      <c r="D62" s="3460"/>
      <c r="E62" s="3461"/>
      <c r="F62" s="3461"/>
      <c r="G62" s="3462"/>
      <c r="H62" s="3462"/>
      <c r="I62" s="3462"/>
      <c r="J62" s="3462"/>
      <c r="K62" s="3461"/>
      <c r="L62" s="3462"/>
      <c r="M62" s="3462"/>
      <c r="N62" s="3462"/>
      <c r="O62" s="3463"/>
      <c r="P62" s="3464"/>
      <c r="Q62" s="3464"/>
      <c r="R62" s="3464"/>
      <c r="S62" s="3464"/>
      <c r="T62" s="3464"/>
      <c r="U62" s="3464"/>
      <c r="V62" s="3464"/>
      <c r="W62" s="3489"/>
      <c r="X62" s="3489"/>
      <c r="Y62" s="3489"/>
      <c r="Z62" s="3489"/>
      <c r="AA62" s="3489"/>
      <c r="AB62" s="3489"/>
      <c r="AC62" s="3489"/>
      <c r="AD62" s="3489"/>
      <c r="AE62" s="3489"/>
      <c r="AF62" s="3489"/>
      <c r="AG62" s="3489"/>
      <c r="AH62" s="3464"/>
      <c r="AI62" s="993"/>
    </row>
    <row r="63" spans="2:35" s="465" customFormat="1" x14ac:dyDescent="0.25">
      <c r="B63" s="1598"/>
      <c r="C63" s="1598"/>
      <c r="D63" s="1598"/>
      <c r="E63" s="3454"/>
      <c r="F63" s="3454"/>
      <c r="G63" s="3455"/>
      <c r="H63" s="3455"/>
      <c r="I63" s="3455"/>
      <c r="J63" s="3455"/>
      <c r="K63" s="3454"/>
      <c r="L63" s="3455"/>
      <c r="M63" s="3455"/>
      <c r="N63" s="3455"/>
      <c r="O63" s="3456"/>
      <c r="P63" s="1601"/>
      <c r="Q63" s="1601"/>
      <c r="R63" s="1601"/>
      <c r="S63" s="1601"/>
      <c r="T63" s="1601"/>
      <c r="U63" s="1601"/>
      <c r="V63" s="3454"/>
      <c r="W63" s="3490"/>
      <c r="X63" s="3490"/>
      <c r="Y63" s="3490"/>
      <c r="Z63" s="3490"/>
      <c r="AA63" s="3490"/>
      <c r="AB63" s="3490"/>
      <c r="AC63" s="3490"/>
      <c r="AD63" s="3490"/>
      <c r="AE63" s="3490"/>
      <c r="AF63" s="3490"/>
      <c r="AG63" s="3490"/>
      <c r="AH63" s="1601"/>
      <c r="AI63" s="1115"/>
    </row>
    <row r="64" spans="2:35" s="465" customFormat="1" x14ac:dyDescent="0.25">
      <c r="B64" s="1598"/>
      <c r="C64" s="1598"/>
      <c r="D64" s="1598"/>
      <c r="E64" s="3454"/>
      <c r="F64" s="3454"/>
      <c r="G64" s="3455"/>
      <c r="H64" s="3455"/>
      <c r="I64" s="3455"/>
      <c r="J64" s="3455"/>
      <c r="K64" s="3454"/>
      <c r="L64" s="3455"/>
      <c r="M64" s="3455"/>
      <c r="N64" s="3455"/>
      <c r="O64" s="3456"/>
      <c r="P64" s="1601"/>
      <c r="Q64" s="1601"/>
      <c r="R64" s="1601"/>
      <c r="S64" s="1601"/>
      <c r="T64" s="3491"/>
      <c r="U64" s="1601"/>
      <c r="V64" s="3492"/>
      <c r="W64" s="3491"/>
      <c r="X64" s="3492"/>
      <c r="Y64" s="3492"/>
      <c r="Z64" s="3492"/>
      <c r="AA64" s="3492"/>
      <c r="AB64" s="3493"/>
      <c r="AC64" s="3492"/>
      <c r="AD64" s="3492"/>
      <c r="AE64" s="3492"/>
      <c r="AF64" s="3492"/>
      <c r="AG64" s="3492"/>
      <c r="AH64" s="3492"/>
      <c r="AI64" s="1113"/>
    </row>
    <row r="65" spans="2:51" s="535" customFormat="1" ht="31.5" customHeight="1" x14ac:dyDescent="0.25">
      <c r="B65" s="3457"/>
      <c r="C65" s="3457"/>
      <c r="D65" s="3458" t="s">
        <v>1095</v>
      </c>
      <c r="E65" s="3459"/>
      <c r="F65" s="3459"/>
      <c r="G65" s="3459"/>
      <c r="H65" s="3459"/>
      <c r="I65" s="3459"/>
      <c r="J65" s="3459"/>
      <c r="K65" s="3459"/>
      <c r="L65" s="3459"/>
      <c r="M65" s="3459"/>
      <c r="N65" s="3459"/>
      <c r="O65" s="3459"/>
      <c r="P65" s="3459"/>
      <c r="Q65" s="3459"/>
      <c r="R65" s="3459"/>
      <c r="S65" s="3459"/>
      <c r="T65" s="3459"/>
      <c r="U65" s="3459"/>
      <c r="V65" s="3459"/>
      <c r="W65" s="3459"/>
      <c r="X65" s="3459"/>
      <c r="Y65" s="3459"/>
      <c r="Z65" s="3459"/>
      <c r="AA65" s="3459"/>
      <c r="AB65" s="3459"/>
      <c r="AC65" s="3459"/>
      <c r="AD65" s="3459"/>
      <c r="AE65" s="3459"/>
      <c r="AF65" s="3459"/>
      <c r="AG65" s="5964" t="str">
        <f>CONCATENATE("All figures in ",'General info'!$E$43," ",'General info'!$G$43)</f>
        <v>All figures in INR Lakhs</v>
      </c>
      <c r="AH65" s="3459"/>
      <c r="AI65" s="1393"/>
      <c r="AL65" s="465"/>
      <c r="AM65" s="465"/>
      <c r="AN65" s="465"/>
      <c r="AO65" s="465"/>
      <c r="AP65" s="465"/>
      <c r="AQ65" s="465"/>
      <c r="AR65" s="465"/>
      <c r="AS65" s="465"/>
      <c r="AT65" s="465"/>
      <c r="AU65" s="465"/>
      <c r="AV65" s="465"/>
    </row>
    <row r="66" spans="2:51" s="465" customFormat="1" x14ac:dyDescent="0.25">
      <c r="B66" s="1598"/>
      <c r="C66" s="1598"/>
      <c r="D66" s="1598"/>
      <c r="E66" s="3454"/>
      <c r="F66" s="3454"/>
      <c r="G66" s="3455"/>
      <c r="H66" s="3455"/>
      <c r="I66" s="3455"/>
      <c r="J66" s="3455"/>
      <c r="K66" s="3454"/>
      <c r="L66" s="3455"/>
      <c r="M66" s="3455"/>
      <c r="N66" s="3455"/>
      <c r="O66" s="3456"/>
      <c r="P66" s="1601"/>
      <c r="Q66" s="1601"/>
      <c r="R66" s="1601"/>
      <c r="S66" s="1601"/>
      <c r="T66" s="1601"/>
      <c r="U66" s="1601"/>
      <c r="V66" s="1601"/>
      <c r="W66" s="1601"/>
      <c r="X66" s="3454"/>
      <c r="Y66" s="3454"/>
      <c r="Z66" s="3454"/>
      <c r="AA66" s="3454"/>
      <c r="AB66" s="3454"/>
      <c r="AC66" s="3454"/>
      <c r="AD66" s="3454"/>
      <c r="AE66" s="3454"/>
      <c r="AF66" s="3454"/>
      <c r="AG66" s="3454"/>
      <c r="AH66" s="1601"/>
      <c r="AI66" s="993"/>
    </row>
    <row r="67" spans="2:51" s="465" customFormat="1" ht="27" customHeight="1" thickBot="1" x14ac:dyDescent="0.3">
      <c r="B67" s="1598"/>
      <c r="C67" s="3494"/>
      <c r="D67" s="6923" t="s">
        <v>1190</v>
      </c>
      <c r="E67" s="6923"/>
      <c r="F67" s="6923"/>
      <c r="G67" s="6923"/>
      <c r="H67" s="6923"/>
      <c r="I67" s="6923"/>
      <c r="J67" s="6923"/>
      <c r="K67" s="6923"/>
      <c r="L67" s="6923"/>
      <c r="M67" s="6923"/>
      <c r="N67" s="6923"/>
      <c r="O67" s="6923"/>
      <c r="P67" s="5381"/>
      <c r="Q67" s="3495"/>
      <c r="R67" s="3469"/>
      <c r="S67" s="6947" t="s">
        <v>1187</v>
      </c>
      <c r="T67" s="6947"/>
      <c r="U67" s="6947"/>
      <c r="V67" s="6947"/>
      <c r="W67" s="6947"/>
      <c r="X67" s="6947"/>
      <c r="Y67" s="6947"/>
      <c r="Z67" s="6947"/>
      <c r="AA67" s="6947"/>
      <c r="AB67" s="6947"/>
      <c r="AC67" s="6947"/>
      <c r="AD67" s="6947"/>
      <c r="AE67" s="6947"/>
      <c r="AF67" s="6947"/>
      <c r="AG67" s="6947"/>
      <c r="AH67" s="3464"/>
      <c r="AI67" s="993"/>
    </row>
    <row r="68" spans="2:51" s="465" customFormat="1" ht="18.75" customHeight="1" x14ac:dyDescent="0.25">
      <c r="B68" s="1598"/>
      <c r="C68" s="3464"/>
      <c r="D68" s="5380" t="s">
        <v>1095</v>
      </c>
      <c r="E68" s="4629">
        <f>IF('General info'!$E$20=0,"",'General info'!$E$20+1)</f>
        <v>2015</v>
      </c>
      <c r="F68" s="3496">
        <f>IFERROR(E68+1,"")</f>
        <v>2016</v>
      </c>
      <c r="G68" s="3496">
        <f t="shared" ref="G68:N68" si="13">IFERROR(F68+1,"")</f>
        <v>2017</v>
      </c>
      <c r="H68" s="3496">
        <f t="shared" si="13"/>
        <v>2018</v>
      </c>
      <c r="I68" s="3496">
        <f t="shared" si="13"/>
        <v>2019</v>
      </c>
      <c r="J68" s="3496">
        <f t="shared" si="13"/>
        <v>2020</v>
      </c>
      <c r="K68" s="3496">
        <f t="shared" si="13"/>
        <v>2021</v>
      </c>
      <c r="L68" s="3496">
        <f t="shared" si="13"/>
        <v>2022</v>
      </c>
      <c r="M68" s="3496">
        <f t="shared" si="13"/>
        <v>2023</v>
      </c>
      <c r="N68" s="3496">
        <f t="shared" si="13"/>
        <v>2024</v>
      </c>
      <c r="O68" s="3498" t="s">
        <v>16</v>
      </c>
      <c r="P68" s="3464"/>
      <c r="Q68" s="1601"/>
      <c r="R68" s="3469"/>
      <c r="S68" s="6939" t="s">
        <v>1184</v>
      </c>
      <c r="T68" s="6940"/>
      <c r="U68" s="6940"/>
      <c r="V68" s="6940"/>
      <c r="W68" s="6940"/>
      <c r="X68" s="3496">
        <f>IF('General info'!$E$20=0,"",'General info'!$E$20+1)</f>
        <v>2015</v>
      </c>
      <c r="Y68" s="3496">
        <f t="shared" ref="Y68:AG68" si="14">IFERROR(X68+1,"")</f>
        <v>2016</v>
      </c>
      <c r="Z68" s="3496">
        <f t="shared" si="14"/>
        <v>2017</v>
      </c>
      <c r="AA68" s="3496">
        <f t="shared" si="14"/>
        <v>2018</v>
      </c>
      <c r="AB68" s="3496">
        <f t="shared" si="14"/>
        <v>2019</v>
      </c>
      <c r="AC68" s="3496">
        <f t="shared" si="14"/>
        <v>2020</v>
      </c>
      <c r="AD68" s="3496">
        <f t="shared" si="14"/>
        <v>2021</v>
      </c>
      <c r="AE68" s="3496">
        <f t="shared" si="14"/>
        <v>2022</v>
      </c>
      <c r="AF68" s="3497">
        <f t="shared" si="14"/>
        <v>2023</v>
      </c>
      <c r="AG68" s="3498">
        <f t="shared" si="14"/>
        <v>2024</v>
      </c>
      <c r="AH68" s="3464"/>
      <c r="AI68" s="993"/>
    </row>
    <row r="69" spans="2:51" s="465" customFormat="1" ht="19.5" customHeight="1" x14ac:dyDescent="0.25">
      <c r="B69" s="1598"/>
      <c r="C69" s="3464"/>
      <c r="D69" s="6968" t="s">
        <v>1525</v>
      </c>
      <c r="E69" s="6969"/>
      <c r="F69" s="6969"/>
      <c r="G69" s="6969"/>
      <c r="H69" s="6969"/>
      <c r="I69" s="6969"/>
      <c r="J69" s="6969"/>
      <c r="K69" s="6969"/>
      <c r="L69" s="6969"/>
      <c r="M69" s="6969"/>
      <c r="N69" s="6969"/>
      <c r="O69" s="6970"/>
      <c r="P69" s="3464"/>
      <c r="Q69" s="1601"/>
      <c r="R69" s="3469"/>
      <c r="S69" s="6971" t="s">
        <v>539</v>
      </c>
      <c r="T69" s="6972"/>
      <c r="U69" s="6972"/>
      <c r="V69" s="6972"/>
      <c r="W69" s="6972"/>
      <c r="X69" s="6972"/>
      <c r="Y69" s="6972"/>
      <c r="Z69" s="6972"/>
      <c r="AA69" s="6972"/>
      <c r="AB69" s="6972"/>
      <c r="AC69" s="6972"/>
      <c r="AD69" s="6972"/>
      <c r="AE69" s="6972"/>
      <c r="AF69" s="6972"/>
      <c r="AG69" s="6973"/>
      <c r="AH69" s="3464"/>
      <c r="AI69" s="993"/>
    </row>
    <row r="70" spans="2:51" s="465" customFormat="1" ht="19.5" customHeight="1" x14ac:dyDescent="0.25">
      <c r="B70" s="1598"/>
      <c r="C70" s="3464"/>
      <c r="D70" s="6971"/>
      <c r="E70" s="6972"/>
      <c r="F70" s="6972"/>
      <c r="G70" s="6972"/>
      <c r="H70" s="6972"/>
      <c r="I70" s="6972"/>
      <c r="J70" s="6972"/>
      <c r="K70" s="6972"/>
      <c r="L70" s="6972"/>
      <c r="M70" s="6972"/>
      <c r="N70" s="6972"/>
      <c r="O70" s="6973"/>
      <c r="P70" s="3464"/>
      <c r="Q70" s="1601"/>
      <c r="R70" s="3469"/>
      <c r="S70" s="6971"/>
      <c r="T70" s="6972"/>
      <c r="U70" s="6972"/>
      <c r="V70" s="6972"/>
      <c r="W70" s="6972"/>
      <c r="X70" s="6972"/>
      <c r="Y70" s="6972"/>
      <c r="Z70" s="6972"/>
      <c r="AA70" s="6972"/>
      <c r="AB70" s="6972"/>
      <c r="AC70" s="6972"/>
      <c r="AD70" s="6972"/>
      <c r="AE70" s="6972"/>
      <c r="AF70" s="6972"/>
      <c r="AG70" s="6973"/>
      <c r="AH70" s="3464"/>
      <c r="AI70" s="993"/>
    </row>
    <row r="71" spans="2:51" s="465" customFormat="1" ht="15.75" x14ac:dyDescent="0.25">
      <c r="B71" s="1598"/>
      <c r="C71" s="3464"/>
      <c r="D71" s="3499"/>
      <c r="E71" s="3500"/>
      <c r="F71" s="3500"/>
      <c r="G71" s="3500"/>
      <c r="H71" s="3500"/>
      <c r="I71" s="3500"/>
      <c r="J71" s="3500"/>
      <c r="K71" s="3500"/>
      <c r="L71" s="3500"/>
      <c r="M71" s="3500"/>
      <c r="N71" s="3500"/>
      <c r="O71" s="3501"/>
      <c r="P71" s="3464"/>
      <c r="Q71" s="1601"/>
      <c r="R71" s="3469"/>
      <c r="S71" s="6928" t="s">
        <v>3438</v>
      </c>
      <c r="T71" s="6929"/>
      <c r="U71" s="6929"/>
      <c r="V71" s="6929"/>
      <c r="W71" s="6929"/>
      <c r="X71" s="6929"/>
      <c r="Y71" s="6929"/>
      <c r="Z71" s="6929"/>
      <c r="AA71" s="6929"/>
      <c r="AB71" s="6929"/>
      <c r="AC71" s="6929"/>
      <c r="AD71" s="6929"/>
      <c r="AE71" s="6929"/>
      <c r="AF71" s="6929"/>
      <c r="AG71" s="6930"/>
      <c r="AH71" s="3464"/>
      <c r="AI71" s="993"/>
    </row>
    <row r="72" spans="2:51" s="883" customFormat="1" ht="18" customHeight="1" x14ac:dyDescent="0.25">
      <c r="B72" s="3502"/>
      <c r="C72" s="1856"/>
      <c r="D72" s="3655" t="s">
        <v>3780</v>
      </c>
      <c r="E72" s="3656"/>
      <c r="F72" s="3656"/>
      <c r="G72" s="3656"/>
      <c r="H72" s="3656"/>
      <c r="I72" s="3656"/>
      <c r="J72" s="3656"/>
      <c r="K72" s="3656"/>
      <c r="L72" s="3503"/>
      <c r="M72" s="3500"/>
      <c r="N72" s="3500"/>
      <c r="O72" s="3501"/>
      <c r="P72" s="1856"/>
      <c r="Q72" s="3504"/>
      <c r="R72" s="3469"/>
      <c r="S72" s="6928"/>
      <c r="T72" s="6929"/>
      <c r="U72" s="6929"/>
      <c r="V72" s="6929"/>
      <c r="W72" s="6929"/>
      <c r="X72" s="6929"/>
      <c r="Y72" s="6929"/>
      <c r="Z72" s="6929"/>
      <c r="AA72" s="6929"/>
      <c r="AB72" s="6929"/>
      <c r="AC72" s="6929"/>
      <c r="AD72" s="6929"/>
      <c r="AE72" s="6929"/>
      <c r="AF72" s="6929"/>
      <c r="AG72" s="6930"/>
      <c r="AH72" s="3464"/>
      <c r="AI72" s="1079"/>
    </row>
    <row r="73" spans="2:51" s="465" customFormat="1" ht="17.25" customHeight="1" x14ac:dyDescent="0.25">
      <c r="B73" s="1598"/>
      <c r="C73" s="3464"/>
      <c r="D73" s="3657" t="s">
        <v>1186</v>
      </c>
      <c r="E73" s="3658">
        <f>ROUND('WS calcu'!F766+'WW calcu'!F975+'MSW calcu'!G238,0)</f>
        <v>1</v>
      </c>
      <c r="F73" s="3658">
        <f>ROUND('WS calcu'!G766+'WW calcu'!G975+'MSW calcu'!H238,0)</f>
        <v>1</v>
      </c>
      <c r="G73" s="3658">
        <f>ROUND('WS calcu'!H766+'WW calcu'!H975+'MSW calcu'!I238,0)</f>
        <v>1</v>
      </c>
      <c r="H73" s="3658">
        <f>ROUND('WS calcu'!I766+'WW calcu'!I975+'MSW calcu'!J238,0)</f>
        <v>17</v>
      </c>
      <c r="I73" s="3658">
        <f>ROUND('WS calcu'!J766+'WW calcu'!J975+'MSW calcu'!K238,0)</f>
        <v>17</v>
      </c>
      <c r="J73" s="3658">
        <f>ROUND('WS calcu'!K766+'WW calcu'!K975+'MSW calcu'!L238,0)</f>
        <v>0</v>
      </c>
      <c r="K73" s="3658">
        <f>ROUND('WS calcu'!L766+'WW calcu'!L975+'MSW calcu'!M238,0)</f>
        <v>0</v>
      </c>
      <c r="L73" s="3658">
        <f>ROUND('WS calcu'!M766+'WW calcu'!M975+'MSW calcu'!N238,0)</f>
        <v>0</v>
      </c>
      <c r="M73" s="3658">
        <f>ROUND('WS calcu'!N766+'WW calcu'!N975+'MSW calcu'!O238,0)</f>
        <v>0</v>
      </c>
      <c r="N73" s="3658">
        <f>ROUND('WS calcu'!O766+'WW calcu'!O975+'MSW calcu'!P238,0)</f>
        <v>0</v>
      </c>
      <c r="O73" s="4637">
        <f>SUM(E73:N73)</f>
        <v>37</v>
      </c>
      <c r="P73" s="3505"/>
      <c r="Q73" s="1601"/>
      <c r="R73" s="3469"/>
      <c r="S73" s="6931" t="s">
        <v>180</v>
      </c>
      <c r="T73" s="6932"/>
      <c r="U73" s="6932"/>
      <c r="V73" s="6932"/>
      <c r="W73" s="6932"/>
      <c r="X73" s="3686">
        <v>0</v>
      </c>
      <c r="Y73" s="3686">
        <f>'PIP finance'!E789</f>
        <v>0</v>
      </c>
      <c r="Z73" s="3686">
        <f ca="1">'PIP finance'!F789</f>
        <v>-50</v>
      </c>
      <c r="AA73" s="3686">
        <f ca="1">'PIP finance'!G789</f>
        <v>-114</v>
      </c>
      <c r="AB73" s="3686">
        <f ca="1">'PIP finance'!H789</f>
        <v>-270</v>
      </c>
      <c r="AC73" s="3686">
        <f ca="1">'PIP finance'!I789</f>
        <v>-435</v>
      </c>
      <c r="AD73" s="3686">
        <f ca="1">'PIP finance'!J789</f>
        <v>-628</v>
      </c>
      <c r="AE73" s="3686">
        <f ca="1">'PIP finance'!K789</f>
        <v>-837</v>
      </c>
      <c r="AF73" s="3686">
        <f ca="1">'PIP finance'!L789</f>
        <v>-1056</v>
      </c>
      <c r="AG73" s="3687">
        <f ca="1">'PIP finance'!M789</f>
        <v>-1285</v>
      </c>
      <c r="AH73" s="3464"/>
      <c r="AI73" s="993"/>
    </row>
    <row r="74" spans="2:51" s="465" customFormat="1" x14ac:dyDescent="0.25">
      <c r="B74" s="1598"/>
      <c r="C74" s="3464"/>
      <c r="D74" s="3515"/>
      <c r="E74" s="3517"/>
      <c r="F74" s="3517"/>
      <c r="G74" s="3517"/>
      <c r="H74" s="3517"/>
      <c r="I74" s="3517"/>
      <c r="J74" s="3517"/>
      <c r="K74" s="3517"/>
      <c r="L74" s="3517"/>
      <c r="M74" s="3517"/>
      <c r="N74" s="3517"/>
      <c r="O74" s="3516"/>
      <c r="P74" s="3464"/>
      <c r="Q74" s="1601"/>
      <c r="R74" s="3469"/>
      <c r="S74" s="6933" t="s">
        <v>191</v>
      </c>
      <c r="T74" s="6934"/>
      <c r="U74" s="6934"/>
      <c r="V74" s="6934"/>
      <c r="W74" s="6934"/>
      <c r="X74" s="7067">
        <f>'PIP finance'!D790</f>
        <v>193</v>
      </c>
      <c r="Y74" s="7067">
        <f>'PIP finance'!E790</f>
        <v>141</v>
      </c>
      <c r="Z74" s="7067">
        <f>'PIP finance'!F790</f>
        <v>103</v>
      </c>
      <c r="AA74" s="7067">
        <f>'PIP finance'!G790</f>
        <v>19</v>
      </c>
      <c r="AB74" s="7067">
        <f>'PIP finance'!H790</f>
        <v>19</v>
      </c>
      <c r="AC74" s="7067">
        <f>'PIP finance'!I790</f>
        <v>0</v>
      </c>
      <c r="AD74" s="7067">
        <f>'PIP finance'!J790</f>
        <v>0</v>
      </c>
      <c r="AE74" s="7067">
        <f>'PIP finance'!K790</f>
        <v>0</v>
      </c>
      <c r="AF74" s="7067">
        <f>'PIP finance'!L790</f>
        <v>0</v>
      </c>
      <c r="AG74" s="7065">
        <f>'PIP finance'!M790</f>
        <v>0</v>
      </c>
      <c r="AH74" s="3464"/>
      <c r="AI74" s="993"/>
    </row>
    <row r="75" spans="2:51" s="465" customFormat="1" x14ac:dyDescent="0.25">
      <c r="B75" s="1598"/>
      <c r="C75" s="3464"/>
      <c r="D75" s="3659" t="s">
        <v>3454</v>
      </c>
      <c r="E75" s="3660"/>
      <c r="F75" s="3660"/>
      <c r="G75" s="3660"/>
      <c r="H75" s="3660"/>
      <c r="I75" s="3660"/>
      <c r="J75" s="3660"/>
      <c r="K75" s="3660"/>
      <c r="L75" s="3506" t="s">
        <v>1191</v>
      </c>
      <c r="M75" s="6924" t="s">
        <v>3450</v>
      </c>
      <c r="N75" s="6924"/>
      <c r="O75" s="6925"/>
      <c r="P75" s="3464"/>
      <c r="Q75" s="1601"/>
      <c r="R75" s="3469"/>
      <c r="S75" s="6933"/>
      <c r="T75" s="6934"/>
      <c r="U75" s="6934"/>
      <c r="V75" s="6934"/>
      <c r="W75" s="6934"/>
      <c r="X75" s="7068"/>
      <c r="Y75" s="7067"/>
      <c r="Z75" s="7067"/>
      <c r="AA75" s="7067"/>
      <c r="AB75" s="7067"/>
      <c r="AC75" s="7067"/>
      <c r="AD75" s="7067"/>
      <c r="AE75" s="7067"/>
      <c r="AF75" s="7067"/>
      <c r="AG75" s="7065"/>
      <c r="AH75" s="3464"/>
      <c r="AI75" s="993"/>
    </row>
    <row r="76" spans="2:51" s="465" customFormat="1" ht="17.25" x14ac:dyDescent="0.25">
      <c r="B76" s="1598"/>
      <c r="C76" s="3464"/>
      <c r="D76" s="3661" t="s">
        <v>1186</v>
      </c>
      <c r="E76" s="3658">
        <f>ROUND('WS calcu'!F767+'WW calcu'!F976+'MSW calcu'!G239,0)</f>
        <v>0</v>
      </c>
      <c r="F76" s="3658">
        <f>ROUND('WS calcu'!G767+'WW calcu'!G976+'MSW calcu'!H239,0)</f>
        <v>0</v>
      </c>
      <c r="G76" s="3658">
        <f>ROUND('WS calcu'!H767+'WW calcu'!H976+'MSW calcu'!I239,0)</f>
        <v>0</v>
      </c>
      <c r="H76" s="3658">
        <f>ROUND('WS calcu'!I767+'WW calcu'!I976+'MSW calcu'!J239,0)</f>
        <v>2</v>
      </c>
      <c r="I76" s="3658">
        <f>ROUND('WS calcu'!J767+'WW calcu'!J976+'MSW calcu'!K239,0)</f>
        <v>2</v>
      </c>
      <c r="J76" s="3658">
        <f>ROUND('WS calcu'!K767+'WW calcu'!K976+'MSW calcu'!L239,0)</f>
        <v>0</v>
      </c>
      <c r="K76" s="3658">
        <f>ROUND('WS calcu'!L767+'WW calcu'!L976+'MSW calcu'!M239,0)</f>
        <v>0</v>
      </c>
      <c r="L76" s="3658">
        <f>ROUND('WS calcu'!M767+'WW calcu'!M976+'MSW calcu'!N239,0)</f>
        <v>0</v>
      </c>
      <c r="M76" s="3658">
        <f>ROUND('WS calcu'!N767+'WW calcu'!N976+'MSW calcu'!O239,0)</f>
        <v>0</v>
      </c>
      <c r="N76" s="3658">
        <f>ROUND('WS calcu'!O767+'WW calcu'!O976+'MSW calcu'!P239,0)</f>
        <v>0</v>
      </c>
      <c r="O76" s="4637">
        <f>SUM(E76:N76)</f>
        <v>4</v>
      </c>
      <c r="P76" s="3505"/>
      <c r="Q76" s="1601"/>
      <c r="R76" s="3469"/>
      <c r="S76" s="6995" t="s">
        <v>190</v>
      </c>
      <c r="T76" s="6996"/>
      <c r="U76" s="6996"/>
      <c r="V76" s="6996"/>
      <c r="W76" s="6996"/>
      <c r="X76" s="6935">
        <f>'PIP finance'!D791</f>
        <v>132</v>
      </c>
      <c r="Y76" s="6935">
        <f ca="1">'PIP finance'!E791</f>
        <v>153</v>
      </c>
      <c r="Z76" s="6935">
        <f ca="1">'PIP finance'!F791</f>
        <v>167</v>
      </c>
      <c r="AA76" s="6935">
        <f ca="1">'PIP finance'!G791</f>
        <v>175</v>
      </c>
      <c r="AB76" s="6935">
        <f ca="1">'PIP finance'!H791</f>
        <v>184</v>
      </c>
      <c r="AC76" s="6935">
        <f ca="1">'PIP finance'!I791</f>
        <v>193</v>
      </c>
      <c r="AD76" s="6935">
        <f ca="1">'PIP finance'!J791</f>
        <v>209</v>
      </c>
      <c r="AE76" s="6935">
        <f ca="1">'PIP finance'!K791</f>
        <v>219</v>
      </c>
      <c r="AF76" s="6935">
        <f ca="1">'PIP finance'!L791</f>
        <v>229</v>
      </c>
      <c r="AG76" s="7077">
        <f ca="1">'PIP finance'!M791</f>
        <v>240</v>
      </c>
      <c r="AH76" s="3464"/>
      <c r="AI76" s="993"/>
    </row>
    <row r="77" spans="2:51" s="465" customFormat="1" x14ac:dyDescent="0.25">
      <c r="B77" s="1598"/>
      <c r="C77" s="3464"/>
      <c r="D77" s="3515"/>
      <c r="E77" s="3517"/>
      <c r="F77" s="3517"/>
      <c r="G77" s="3517"/>
      <c r="H77" s="3517"/>
      <c r="I77" s="3517"/>
      <c r="J77" s="3517"/>
      <c r="K77" s="3517"/>
      <c r="L77" s="3517"/>
      <c r="M77" s="3517"/>
      <c r="N77" s="3517"/>
      <c r="O77" s="3516"/>
      <c r="P77" s="3464"/>
      <c r="Q77" s="1601"/>
      <c r="R77" s="3507"/>
      <c r="S77" s="6995"/>
      <c r="T77" s="6996"/>
      <c r="U77" s="6996"/>
      <c r="V77" s="6996"/>
      <c r="W77" s="6996"/>
      <c r="X77" s="7080"/>
      <c r="Y77" s="6935"/>
      <c r="Z77" s="6935"/>
      <c r="AA77" s="6935"/>
      <c r="AB77" s="6935"/>
      <c r="AC77" s="6935"/>
      <c r="AD77" s="6935"/>
      <c r="AE77" s="6935"/>
      <c r="AF77" s="6935"/>
      <c r="AG77" s="7077"/>
      <c r="AH77" s="1856"/>
      <c r="AI77" s="993"/>
    </row>
    <row r="78" spans="2:51" s="465" customFormat="1" ht="19.5" customHeight="1" x14ac:dyDescent="0.25">
      <c r="B78" s="1598"/>
      <c r="C78" s="3464"/>
      <c r="D78" s="3655" t="s">
        <v>3449</v>
      </c>
      <c r="E78" s="3660"/>
      <c r="F78" s="3660"/>
      <c r="G78" s="3660"/>
      <c r="H78" s="3660"/>
      <c r="I78" s="3660"/>
      <c r="J78" s="3660"/>
      <c r="K78" s="3660"/>
      <c r="L78" s="3508" t="s">
        <v>1191</v>
      </c>
      <c r="M78" s="6924" t="s">
        <v>3451</v>
      </c>
      <c r="N78" s="6924"/>
      <c r="O78" s="6925"/>
      <c r="P78" s="3464"/>
      <c r="Q78" s="1601"/>
      <c r="R78" s="3469"/>
      <c r="S78" s="6931" t="s">
        <v>3477</v>
      </c>
      <c r="T78" s="6932"/>
      <c r="U78" s="6932"/>
      <c r="V78" s="6932"/>
      <c r="W78" s="6932"/>
      <c r="X78" s="3686">
        <f>X73+X74-X76</f>
        <v>61</v>
      </c>
      <c r="Y78" s="3686">
        <f ca="1">Y73+Y74-Y76</f>
        <v>-12</v>
      </c>
      <c r="Z78" s="3686">
        <f t="shared" ref="Z78:AG78" ca="1" si="15">Z73+Z74-Z76</f>
        <v>-114</v>
      </c>
      <c r="AA78" s="3686">
        <f t="shared" ca="1" si="15"/>
        <v>-270</v>
      </c>
      <c r="AB78" s="3686">
        <f t="shared" ca="1" si="15"/>
        <v>-435</v>
      </c>
      <c r="AC78" s="3686">
        <f t="shared" ca="1" si="15"/>
        <v>-628</v>
      </c>
      <c r="AD78" s="3686">
        <f t="shared" ca="1" si="15"/>
        <v>-837</v>
      </c>
      <c r="AE78" s="3686">
        <f t="shared" ca="1" si="15"/>
        <v>-1056</v>
      </c>
      <c r="AF78" s="3686">
        <f t="shared" ca="1" si="15"/>
        <v>-1285</v>
      </c>
      <c r="AG78" s="3687">
        <f t="shared" ca="1" si="15"/>
        <v>-1525</v>
      </c>
      <c r="AH78" s="3464"/>
      <c r="AI78" s="993"/>
      <c r="AL78" s="465" t="s">
        <v>1087</v>
      </c>
    </row>
    <row r="79" spans="2:51" s="465" customFormat="1" ht="18" customHeight="1" x14ac:dyDescent="0.25">
      <c r="B79" s="1598"/>
      <c r="C79" s="3464"/>
      <c r="D79" s="3662" t="s">
        <v>1186</v>
      </c>
      <c r="E79" s="3658">
        <f>ROUND('WS calcu'!F517+'WS calcu'!F514,0)</f>
        <v>5</v>
      </c>
      <c r="F79" s="3658">
        <f>ROUND('WS calcu'!G517+'WS calcu'!G514,0)</f>
        <v>0</v>
      </c>
      <c r="G79" s="3658">
        <f>ROUND('WS calcu'!H517+'WS calcu'!H514,0)</f>
        <v>0</v>
      </c>
      <c r="H79" s="3658">
        <f>ROUND('WS calcu'!I517+'WS calcu'!I514,0)</f>
        <v>0</v>
      </c>
      <c r="I79" s="3658">
        <f>ROUND('WS calcu'!J517+'WS calcu'!J514,0)</f>
        <v>0</v>
      </c>
      <c r="J79" s="3658">
        <f>ROUND('WS calcu'!K517+'WS calcu'!K514,0)</f>
        <v>0</v>
      </c>
      <c r="K79" s="3658">
        <f>ROUND('WS calcu'!L517+'WS calcu'!L514,0)</f>
        <v>0</v>
      </c>
      <c r="L79" s="3658">
        <f>ROUND('WS calcu'!M517+'WS calcu'!M514,0)</f>
        <v>0</v>
      </c>
      <c r="M79" s="3658">
        <f>ROUND('WS calcu'!N517+'WS calcu'!N514,0)</f>
        <v>0</v>
      </c>
      <c r="N79" s="3658">
        <f>ROUND('WS calcu'!O517+'WS calcu'!O514,0)</f>
        <v>0</v>
      </c>
      <c r="O79" s="4637">
        <f>SUM(E79:N79)</f>
        <v>5</v>
      </c>
      <c r="P79" s="3505"/>
      <c r="Q79" s="1601"/>
      <c r="R79" s="3469"/>
      <c r="S79" s="3509"/>
      <c r="T79" s="3510"/>
      <c r="U79" s="3510"/>
      <c r="V79" s="3510"/>
      <c r="W79" s="3510"/>
      <c r="X79" s="3511"/>
      <c r="Y79" s="3511"/>
      <c r="Z79" s="3511"/>
      <c r="AA79" s="3511"/>
      <c r="AB79" s="3511"/>
      <c r="AC79" s="3511"/>
      <c r="AD79" s="3511"/>
      <c r="AE79" s="3511"/>
      <c r="AF79" s="3511"/>
      <c r="AG79" s="3512"/>
      <c r="AH79" s="3464"/>
      <c r="AI79" s="993"/>
    </row>
    <row r="80" spans="2:51" s="465" customFormat="1" ht="15.75" x14ac:dyDescent="0.25">
      <c r="B80" s="1598"/>
      <c r="C80" s="3464"/>
      <c r="D80" s="3515"/>
      <c r="E80" s="3517"/>
      <c r="F80" s="3517"/>
      <c r="G80" s="3517"/>
      <c r="H80" s="3517"/>
      <c r="I80" s="3517"/>
      <c r="J80" s="3517"/>
      <c r="K80" s="3517"/>
      <c r="L80" s="3517"/>
      <c r="M80" s="3517"/>
      <c r="N80" s="3517"/>
      <c r="O80" s="3516"/>
      <c r="P80" s="3464"/>
      <c r="Q80" s="1601"/>
      <c r="R80" s="3469"/>
      <c r="S80" s="6928" t="s">
        <v>3437</v>
      </c>
      <c r="T80" s="6929"/>
      <c r="U80" s="6929"/>
      <c r="V80" s="6929"/>
      <c r="W80" s="6929"/>
      <c r="X80" s="6929"/>
      <c r="Y80" s="6929"/>
      <c r="Z80" s="6929"/>
      <c r="AA80" s="6929"/>
      <c r="AB80" s="6929"/>
      <c r="AC80" s="6929"/>
      <c r="AD80" s="6929"/>
      <c r="AE80" s="6929"/>
      <c r="AF80" s="6929"/>
      <c r="AG80" s="6930"/>
      <c r="AH80" s="3464"/>
      <c r="AI80" s="993"/>
      <c r="AY80" s="3397" t="b">
        <v>1</v>
      </c>
    </row>
    <row r="81" spans="2:45" s="465" customFormat="1" ht="18" customHeight="1" x14ac:dyDescent="0.25">
      <c r="B81" s="1598"/>
      <c r="C81" s="3513"/>
      <c r="D81" s="3655" t="s">
        <v>3455</v>
      </c>
      <c r="E81" s="3660"/>
      <c r="F81" s="3660"/>
      <c r="G81" s="3660"/>
      <c r="H81" s="3660"/>
      <c r="I81" s="3660"/>
      <c r="J81" s="3660"/>
      <c r="K81" s="3660"/>
      <c r="L81" s="3514" t="s">
        <v>1191</v>
      </c>
      <c r="M81" s="7087" t="s">
        <v>1192</v>
      </c>
      <c r="N81" s="7087"/>
      <c r="O81" s="7088"/>
      <c r="P81" s="3464"/>
      <c r="Q81" s="1601"/>
      <c r="R81" s="3469"/>
      <c r="S81" s="6931" t="s">
        <v>180</v>
      </c>
      <c r="T81" s="6932"/>
      <c r="U81" s="6932"/>
      <c r="V81" s="6932"/>
      <c r="W81" s="6932"/>
      <c r="X81" s="3686">
        <f>'PIP finance'!D818</f>
        <v>0</v>
      </c>
      <c r="Y81" s="3686">
        <f>'PIP finance'!E818</f>
        <v>0</v>
      </c>
      <c r="Z81" s="3686">
        <f>'PIP finance'!F818</f>
        <v>0</v>
      </c>
      <c r="AA81" s="3686">
        <f>'PIP finance'!G818</f>
        <v>-93</v>
      </c>
      <c r="AB81" s="3686">
        <f>'PIP finance'!H818</f>
        <v>-81</v>
      </c>
      <c r="AC81" s="3686">
        <f>'PIP finance'!I818</f>
        <v>-67</v>
      </c>
      <c r="AD81" s="3686">
        <f>'PIP finance'!J818</f>
        <v>-49</v>
      </c>
      <c r="AE81" s="3686">
        <f>'PIP finance'!K818</f>
        <v>-27</v>
      </c>
      <c r="AF81" s="3686">
        <f>'PIP finance'!L818</f>
        <v>-1</v>
      </c>
      <c r="AG81" s="3687">
        <f>'PIP finance'!M818</f>
        <v>28</v>
      </c>
      <c r="AH81" s="3464"/>
      <c r="AI81" s="993"/>
    </row>
    <row r="82" spans="2:45" s="465" customFormat="1" ht="17.25" x14ac:dyDescent="0.25">
      <c r="B82" s="1598"/>
      <c r="C82" s="3464"/>
      <c r="D82" s="3663" t="s">
        <v>3845</v>
      </c>
      <c r="E82" s="3664">
        <f>'PIP finance'!D812</f>
        <v>31</v>
      </c>
      <c r="F82" s="3664">
        <f>'PIP finance'!E812</f>
        <v>12</v>
      </c>
      <c r="G82" s="3664">
        <f>'PIP finance'!F812</f>
        <v>9</v>
      </c>
      <c r="H82" s="3664">
        <f>'PIP finance'!G812</f>
        <v>0</v>
      </c>
      <c r="I82" s="3664">
        <f>'PIP finance'!H812</f>
        <v>0</v>
      </c>
      <c r="J82" s="3664">
        <f>'PIP finance'!I812</f>
        <v>0</v>
      </c>
      <c r="K82" s="3664">
        <f>'PIP finance'!J812</f>
        <v>0</v>
      </c>
      <c r="L82" s="3664">
        <f>'PIP finance'!K812</f>
        <v>0</v>
      </c>
      <c r="M82" s="3664">
        <f>'PIP finance'!L812</f>
        <v>28</v>
      </c>
      <c r="N82" s="4634">
        <f>'PIP finance'!M812</f>
        <v>61</v>
      </c>
      <c r="O82" s="6074">
        <f>SUM(E82:N82)</f>
        <v>141</v>
      </c>
      <c r="P82" s="3464"/>
      <c r="Q82" s="1601"/>
      <c r="R82" s="3469"/>
      <c r="S82" s="6933" t="s">
        <v>191</v>
      </c>
      <c r="T82" s="6934"/>
      <c r="U82" s="6934"/>
      <c r="V82" s="6934"/>
      <c r="W82" s="6934"/>
      <c r="X82" s="7067">
        <f>'PIP finance'!D819</f>
        <v>951</v>
      </c>
      <c r="Y82" s="7067">
        <f>'PIP finance'!E819</f>
        <v>973</v>
      </c>
      <c r="Z82" s="7067">
        <f>'PIP finance'!F819</f>
        <v>1012</v>
      </c>
      <c r="AA82" s="7067">
        <f>'PIP finance'!G819</f>
        <v>1059</v>
      </c>
      <c r="AB82" s="7067">
        <f>'PIP finance'!H819</f>
        <v>1108</v>
      </c>
      <c r="AC82" s="7067">
        <f>'PIP finance'!I819</f>
        <v>1160</v>
      </c>
      <c r="AD82" s="7067">
        <f>'PIP finance'!J819</f>
        <v>1215</v>
      </c>
      <c r="AE82" s="7067">
        <f>'PIP finance'!K819</f>
        <v>1272</v>
      </c>
      <c r="AF82" s="7067">
        <f>'PIP finance'!L819</f>
        <v>1331</v>
      </c>
      <c r="AG82" s="7065">
        <f>'PIP finance'!M819</f>
        <v>1393</v>
      </c>
      <c r="AH82" s="3464"/>
      <c r="AI82" s="993"/>
    </row>
    <row r="83" spans="2:45" s="465" customFormat="1" ht="18" customHeight="1" thickBot="1" x14ac:dyDescent="0.3">
      <c r="B83" s="1598"/>
      <c r="C83" s="3464"/>
      <c r="D83" s="6926" t="s">
        <v>3388</v>
      </c>
      <c r="E83" s="5489">
        <f>131+61</f>
        <v>192</v>
      </c>
      <c r="F83" s="5489">
        <f>102+38</f>
        <v>140</v>
      </c>
      <c r="G83" s="5489">
        <v>102</v>
      </c>
      <c r="H83" s="5489"/>
      <c r="I83" s="5489"/>
      <c r="J83" s="5489"/>
      <c r="K83" s="5489"/>
      <c r="L83" s="5489"/>
      <c r="M83" s="5489"/>
      <c r="N83" s="5489"/>
      <c r="O83" s="6074">
        <f>SUM(E83:N83)</f>
        <v>434</v>
      </c>
      <c r="P83" s="3505"/>
      <c r="Q83" s="3520"/>
      <c r="R83" s="3469"/>
      <c r="S83" s="6933"/>
      <c r="T83" s="6934"/>
      <c r="U83" s="6934"/>
      <c r="V83" s="6934"/>
      <c r="W83" s="6934"/>
      <c r="X83" s="7068"/>
      <c r="Y83" s="7068"/>
      <c r="Z83" s="7068"/>
      <c r="AA83" s="7068"/>
      <c r="AB83" s="7068"/>
      <c r="AC83" s="7068"/>
      <c r="AD83" s="7068"/>
      <c r="AE83" s="7068"/>
      <c r="AF83" s="7068"/>
      <c r="AG83" s="7066"/>
      <c r="AH83" s="3464"/>
      <c r="AI83" s="993"/>
      <c r="AK83" s="1008"/>
      <c r="AL83" s="1008"/>
      <c r="AM83" s="1008"/>
      <c r="AN83" s="1008"/>
      <c r="AO83" s="1008"/>
      <c r="AP83" s="1008"/>
      <c r="AQ83" s="1008"/>
      <c r="AR83" s="1008"/>
      <c r="AS83" s="1008"/>
    </row>
    <row r="84" spans="2:45" s="465" customFormat="1" ht="18" customHeight="1" x14ac:dyDescent="0.25">
      <c r="B84" s="1598"/>
      <c r="C84" s="3464"/>
      <c r="D84" s="6927"/>
      <c r="E84" s="3665">
        <f t="shared" ref="E84:O84" si="16">IFERROR(E83/E82,"-")</f>
        <v>6.193548387096774</v>
      </c>
      <c r="F84" s="3665">
        <f t="shared" si="16"/>
        <v>11.666666666666666</v>
      </c>
      <c r="G84" s="3665">
        <f t="shared" si="16"/>
        <v>11.333333333333334</v>
      </c>
      <c r="H84" s="3665" t="str">
        <f t="shared" si="16"/>
        <v>-</v>
      </c>
      <c r="I84" s="3665" t="str">
        <f t="shared" si="16"/>
        <v>-</v>
      </c>
      <c r="J84" s="3665" t="str">
        <f t="shared" si="16"/>
        <v>-</v>
      </c>
      <c r="K84" s="3665" t="str">
        <f t="shared" si="16"/>
        <v>-</v>
      </c>
      <c r="L84" s="3665" t="str">
        <f t="shared" si="16"/>
        <v>-</v>
      </c>
      <c r="M84" s="3665">
        <f t="shared" si="16"/>
        <v>0</v>
      </c>
      <c r="N84" s="3665">
        <f t="shared" si="16"/>
        <v>0</v>
      </c>
      <c r="O84" s="4638">
        <f t="shared" si="16"/>
        <v>3.0780141843971629</v>
      </c>
      <c r="P84" s="3505"/>
      <c r="Q84" s="3492"/>
      <c r="R84" s="3469"/>
      <c r="S84" s="6995" t="s">
        <v>190</v>
      </c>
      <c r="T84" s="6996"/>
      <c r="U84" s="6996"/>
      <c r="V84" s="6996"/>
      <c r="W84" s="6996"/>
      <c r="X84" s="6935">
        <f>'PIP finance'!D820</f>
        <v>920</v>
      </c>
      <c r="Y84" s="6935">
        <f>'PIP finance'!E820</f>
        <v>961</v>
      </c>
      <c r="Z84" s="6935">
        <f>'PIP finance'!F820</f>
        <v>1003</v>
      </c>
      <c r="AA84" s="6935">
        <f>'PIP finance'!G820</f>
        <v>1047</v>
      </c>
      <c r="AB84" s="6935">
        <f>'PIP finance'!H820</f>
        <v>1094</v>
      </c>
      <c r="AC84" s="6935">
        <f>'PIP finance'!I820</f>
        <v>1142</v>
      </c>
      <c r="AD84" s="6935">
        <f>'PIP finance'!J820</f>
        <v>1193</v>
      </c>
      <c r="AE84" s="6935">
        <f>'PIP finance'!K820</f>
        <v>1246</v>
      </c>
      <c r="AF84" s="6935">
        <f>'PIP finance'!L820</f>
        <v>1302</v>
      </c>
      <c r="AG84" s="7077">
        <f>'PIP finance'!M820</f>
        <v>1360</v>
      </c>
      <c r="AH84" s="3464"/>
      <c r="AI84" s="5706"/>
      <c r="AK84" s="426"/>
      <c r="AL84" s="7062" t="s">
        <v>3849</v>
      </c>
      <c r="AM84" s="7063"/>
      <c r="AN84" s="7063"/>
      <c r="AO84" s="7063"/>
      <c r="AP84" s="7063"/>
      <c r="AQ84" s="7063"/>
      <c r="AR84" s="7064"/>
      <c r="AS84" s="1008"/>
    </row>
    <row r="85" spans="2:45" s="465" customFormat="1" ht="17.25" x14ac:dyDescent="0.25">
      <c r="B85" s="1598"/>
      <c r="C85" s="3464"/>
      <c r="D85" s="6926" t="s">
        <v>3448</v>
      </c>
      <c r="E85" s="3889">
        <f>E82-E83</f>
        <v>-161</v>
      </c>
      <c r="F85" s="3889">
        <f t="shared" ref="F85" si="17">F82-F83</f>
        <v>-128</v>
      </c>
      <c r="G85" s="3889"/>
      <c r="H85" s="3889"/>
      <c r="I85" s="3889"/>
      <c r="J85" s="3889"/>
      <c r="K85" s="3889"/>
      <c r="L85" s="3889"/>
      <c r="M85" s="3889"/>
      <c r="N85" s="3889"/>
      <c r="O85" s="6074">
        <f>SUM(E85:N85)</f>
        <v>-289</v>
      </c>
      <c r="P85" s="3505"/>
      <c r="Q85" s="3520"/>
      <c r="R85" s="3469"/>
      <c r="S85" s="6995"/>
      <c r="T85" s="6996"/>
      <c r="U85" s="6996"/>
      <c r="V85" s="6996"/>
      <c r="W85" s="6996"/>
      <c r="X85" s="6935"/>
      <c r="Y85" s="6935"/>
      <c r="Z85" s="6935"/>
      <c r="AA85" s="6935"/>
      <c r="AB85" s="6935"/>
      <c r="AC85" s="6935"/>
      <c r="AD85" s="6935"/>
      <c r="AE85" s="6935"/>
      <c r="AF85" s="6935"/>
      <c r="AG85" s="7077"/>
      <c r="AH85" s="3464"/>
      <c r="AI85" s="993"/>
      <c r="AK85" s="426"/>
      <c r="AL85" s="1018" t="s">
        <v>3852</v>
      </c>
      <c r="AM85" s="1019">
        <f>AN85-1</f>
        <v>2009</v>
      </c>
      <c r="AN85" s="1020">
        <f>AO85-1</f>
        <v>2010</v>
      </c>
      <c r="AO85" s="1020">
        <f>AP85-1</f>
        <v>2011</v>
      </c>
      <c r="AP85" s="1020">
        <f>AQ85-1</f>
        <v>2012</v>
      </c>
      <c r="AQ85" s="1020">
        <f>AR85-1</f>
        <v>2013</v>
      </c>
      <c r="AR85" s="1021">
        <f>IFERROR(X68-1,"0")</f>
        <v>2014</v>
      </c>
      <c r="AS85" s="1008"/>
    </row>
    <row r="86" spans="2:45" s="465" customFormat="1" ht="17.25" x14ac:dyDescent="0.25">
      <c r="B86" s="1598"/>
      <c r="C86" s="3464"/>
      <c r="D86" s="7086"/>
      <c r="E86" s="5567">
        <f>IFERROR(E85/E82,"-")</f>
        <v>-5.193548387096774</v>
      </c>
      <c r="F86" s="5567">
        <f t="shared" ref="F86:N86" si="18">IFERROR(F85/F82,"-")</f>
        <v>-10.666666666666666</v>
      </c>
      <c r="G86" s="5567">
        <f t="shared" si="18"/>
        <v>0</v>
      </c>
      <c r="H86" s="5567" t="str">
        <f t="shared" si="18"/>
        <v>-</v>
      </c>
      <c r="I86" s="5567" t="str">
        <f t="shared" si="18"/>
        <v>-</v>
      </c>
      <c r="J86" s="5567" t="str">
        <f t="shared" si="18"/>
        <v>-</v>
      </c>
      <c r="K86" s="5567" t="str">
        <f t="shared" si="18"/>
        <v>-</v>
      </c>
      <c r="L86" s="5567" t="str">
        <f t="shared" si="18"/>
        <v>-</v>
      </c>
      <c r="M86" s="5567">
        <f t="shared" si="18"/>
        <v>0</v>
      </c>
      <c r="N86" s="5567">
        <f t="shared" si="18"/>
        <v>0</v>
      </c>
      <c r="O86" s="4638">
        <f>IFERROR(O85/O82,"-")</f>
        <v>-2.0496453900709222</v>
      </c>
      <c r="P86" s="3505"/>
      <c r="Q86" s="3492"/>
      <c r="R86" s="3469"/>
      <c r="S86" s="6931" t="s">
        <v>3478</v>
      </c>
      <c r="T86" s="6932"/>
      <c r="U86" s="6932"/>
      <c r="V86" s="6932"/>
      <c r="W86" s="6932"/>
      <c r="X86" s="3686">
        <f t="shared" ref="X86:AG86" si="19">X81+X82-X84</f>
        <v>31</v>
      </c>
      <c r="Y86" s="3686">
        <f t="shared" si="19"/>
        <v>12</v>
      </c>
      <c r="Z86" s="3686">
        <f t="shared" si="19"/>
        <v>9</v>
      </c>
      <c r="AA86" s="3686">
        <f t="shared" si="19"/>
        <v>-81</v>
      </c>
      <c r="AB86" s="3686">
        <f t="shared" si="19"/>
        <v>-67</v>
      </c>
      <c r="AC86" s="3686">
        <f t="shared" si="19"/>
        <v>-49</v>
      </c>
      <c r="AD86" s="3686">
        <f t="shared" si="19"/>
        <v>-27</v>
      </c>
      <c r="AE86" s="3686">
        <f t="shared" si="19"/>
        <v>-1</v>
      </c>
      <c r="AF86" s="3686">
        <f t="shared" si="19"/>
        <v>28</v>
      </c>
      <c r="AG86" s="3687">
        <f t="shared" si="19"/>
        <v>61</v>
      </c>
      <c r="AH86" s="3464"/>
      <c r="AI86" s="993"/>
      <c r="AK86" s="426"/>
      <c r="AL86" s="5484"/>
      <c r="AM86" s="5485"/>
      <c r="AN86" s="5485"/>
      <c r="AO86" s="5485"/>
      <c r="AP86" s="5485"/>
      <c r="AQ86" s="5485"/>
      <c r="AR86" s="1021"/>
      <c r="AS86" s="1008"/>
    </row>
    <row r="87" spans="2:45" s="465" customFormat="1" x14ac:dyDescent="0.25">
      <c r="B87" s="1598"/>
      <c r="C87" s="3464"/>
      <c r="D87" s="3971" t="s">
        <v>1236</v>
      </c>
      <c r="E87" s="3972">
        <f>'PIP finance'!D796</f>
        <v>0.68393782383419688</v>
      </c>
      <c r="F87" s="3972">
        <f ca="1">'PIP finance'!E796</f>
        <v>1.0851063829787233</v>
      </c>
      <c r="G87" s="3972">
        <f ca="1">'PIP finance'!F796</f>
        <v>3.1509433962264151</v>
      </c>
      <c r="H87" s="3972">
        <f ca="1">'PIP finance'!G796</f>
        <v>-1.8421052631578947</v>
      </c>
      <c r="I87" s="3972">
        <f ca="1">'PIP finance'!H796</f>
        <v>-0.73306772908366535</v>
      </c>
      <c r="J87" s="3972">
        <f ca="1">'PIP finance'!I796</f>
        <v>-0.44367816091954021</v>
      </c>
      <c r="K87" s="3972">
        <f ca="1">'PIP finance'!J796</f>
        <v>-0.33280254777070062</v>
      </c>
      <c r="L87" s="3972">
        <f ca="1">'PIP finance'!K796</f>
        <v>-0.26164874551971329</v>
      </c>
      <c r="M87" s="3972">
        <f ca="1">'PIP finance'!L796</f>
        <v>-0.21685606060606061</v>
      </c>
      <c r="N87" s="4635">
        <f ca="1">'PIP finance'!M796</f>
        <v>-0.1867704280155642</v>
      </c>
      <c r="O87" s="4636"/>
      <c r="P87" s="3464"/>
      <c r="Q87" s="3520"/>
      <c r="R87" s="3469"/>
      <c r="S87" s="3509"/>
      <c r="T87" s="3510"/>
      <c r="U87" s="3510"/>
      <c r="V87" s="3510"/>
      <c r="W87" s="3510"/>
      <c r="X87" s="3511"/>
      <c r="Y87" s="3511"/>
      <c r="Z87" s="3511"/>
      <c r="AA87" s="3511"/>
      <c r="AB87" s="3511"/>
      <c r="AC87" s="3511"/>
      <c r="AD87" s="3511"/>
      <c r="AE87" s="3511"/>
      <c r="AF87" s="3511"/>
      <c r="AG87" s="3512"/>
      <c r="AH87" s="3464"/>
      <c r="AI87" s="993"/>
      <c r="AK87" s="426"/>
      <c r="AL87" s="1576" t="s">
        <v>3853</v>
      </c>
      <c r="AM87" s="1577"/>
      <c r="AN87" s="1577"/>
      <c r="AO87" s="1577"/>
      <c r="AP87" s="1577"/>
      <c r="AQ87" s="1577"/>
      <c r="AR87" s="1578" t="s">
        <v>1909</v>
      </c>
      <c r="AS87" s="426"/>
    </row>
    <row r="88" spans="2:45" s="465" customFormat="1" x14ac:dyDescent="0.25">
      <c r="B88" s="1598"/>
      <c r="C88" s="3464"/>
      <c r="D88" s="3515"/>
      <c r="E88" s="3517"/>
      <c r="F88" s="3517"/>
      <c r="G88" s="3517"/>
      <c r="H88" s="3517"/>
      <c r="I88" s="3517"/>
      <c r="J88" s="3517"/>
      <c r="K88" s="3517"/>
      <c r="L88" s="3517"/>
      <c r="M88" s="3517"/>
      <c r="N88" s="3517"/>
      <c r="O88" s="3516"/>
      <c r="P88" s="3464"/>
      <c r="Q88" s="1598"/>
      <c r="R88" s="3469"/>
      <c r="S88" s="3509"/>
      <c r="T88" s="3510"/>
      <c r="U88" s="3510"/>
      <c r="V88" s="3510"/>
      <c r="W88" s="3510"/>
      <c r="X88" s="3511"/>
      <c r="Y88" s="3511"/>
      <c r="Z88" s="3511"/>
      <c r="AA88" s="3511"/>
      <c r="AB88" s="3511"/>
      <c r="AC88" s="3511"/>
      <c r="AD88" s="3511"/>
      <c r="AE88" s="3511"/>
      <c r="AF88" s="3511"/>
      <c r="AG88" s="3512"/>
      <c r="AH88" s="3464"/>
      <c r="AI88" s="993"/>
      <c r="AK88" s="1016"/>
      <c r="AL88" s="1017" t="s">
        <v>1907</v>
      </c>
      <c r="AM88" s="1572">
        <f>'PIP finance'!P680</f>
        <v>0</v>
      </c>
      <c r="AN88" s="1572">
        <f>'PIP finance'!Q680</f>
        <v>0</v>
      </c>
      <c r="AO88" s="1572">
        <f>'PIP finance'!R680</f>
        <v>0</v>
      </c>
      <c r="AP88" s="1572">
        <f>'PIP finance'!S680</f>
        <v>0</v>
      </c>
      <c r="AQ88" s="1572">
        <f>'PIP finance'!T680</f>
        <v>0</v>
      </c>
      <c r="AR88" s="1573">
        <f>'PIP finance'!U680</f>
        <v>0</v>
      </c>
      <c r="AS88" s="1016"/>
    </row>
    <row r="89" spans="2:45" s="465" customFormat="1" ht="15" customHeight="1" x14ac:dyDescent="0.25">
      <c r="B89" s="1598"/>
      <c r="C89" s="3464"/>
      <c r="D89" s="7089" t="s">
        <v>3779</v>
      </c>
      <c r="E89" s="7090"/>
      <c r="F89" s="7090"/>
      <c r="G89" s="7090"/>
      <c r="H89" s="7090"/>
      <c r="I89" s="7090"/>
      <c r="J89" s="7090"/>
      <c r="K89" s="7090"/>
      <c r="L89" s="7090"/>
      <c r="M89" s="7090"/>
      <c r="N89" s="7090"/>
      <c r="O89" s="7091"/>
      <c r="P89" s="3464"/>
      <c r="Q89" s="1598"/>
      <c r="R89" s="3469"/>
      <c r="S89" s="6992" t="s">
        <v>545</v>
      </c>
      <c r="T89" s="6993"/>
      <c r="U89" s="6993"/>
      <c r="V89" s="6993"/>
      <c r="W89" s="6993"/>
      <c r="X89" s="6993"/>
      <c r="Y89" s="6993"/>
      <c r="Z89" s="6993"/>
      <c r="AA89" s="6993"/>
      <c r="AB89" s="6993"/>
      <c r="AC89" s="6993"/>
      <c r="AD89" s="6993"/>
      <c r="AE89" s="6993"/>
      <c r="AF89" s="6993"/>
      <c r="AG89" s="6994"/>
      <c r="AH89" s="3469"/>
      <c r="AI89" s="993" t="s">
        <v>3081</v>
      </c>
      <c r="AK89" s="426"/>
      <c r="AL89" s="1017" t="s">
        <v>3850</v>
      </c>
      <c r="AM89" s="1565">
        <f>'PIP finance'!P681</f>
        <v>0</v>
      </c>
      <c r="AN89" s="1565">
        <f>'PIP finance'!Q681</f>
        <v>0</v>
      </c>
      <c r="AO89" s="1565">
        <f>'PIP finance'!R681</f>
        <v>0</v>
      </c>
      <c r="AP89" s="1565" t="s">
        <v>3082</v>
      </c>
      <c r="AQ89" s="1565">
        <f>'PIP finance'!T681</f>
        <v>0</v>
      </c>
      <c r="AR89" s="1569">
        <f>'PIP finance'!U681</f>
        <v>0</v>
      </c>
      <c r="AS89" s="426"/>
    </row>
    <row r="90" spans="2:45" s="465" customFormat="1" ht="21.75" customHeight="1" x14ac:dyDescent="0.25">
      <c r="B90" s="1598"/>
      <c r="C90" s="3464"/>
      <c r="D90" s="6971"/>
      <c r="E90" s="6972"/>
      <c r="F90" s="6972"/>
      <c r="G90" s="6972"/>
      <c r="H90" s="6972"/>
      <c r="I90" s="6972"/>
      <c r="J90" s="6972"/>
      <c r="K90" s="6972"/>
      <c r="L90" s="6972"/>
      <c r="M90" s="6972"/>
      <c r="N90" s="6972"/>
      <c r="O90" s="6973"/>
      <c r="P90" s="3464"/>
      <c r="Q90" s="1601"/>
      <c r="R90" s="3469"/>
      <c r="S90" s="6992"/>
      <c r="T90" s="6993"/>
      <c r="U90" s="6993"/>
      <c r="V90" s="6993"/>
      <c r="W90" s="6993"/>
      <c r="X90" s="6993"/>
      <c r="Y90" s="6993"/>
      <c r="Z90" s="6993"/>
      <c r="AA90" s="6993"/>
      <c r="AB90" s="6993"/>
      <c r="AC90" s="6993"/>
      <c r="AD90" s="6993"/>
      <c r="AE90" s="6993"/>
      <c r="AF90" s="6993"/>
      <c r="AG90" s="6994"/>
      <c r="AH90" s="3464"/>
      <c r="AI90" s="993"/>
      <c r="AK90" s="426"/>
      <c r="AL90" s="1017" t="s">
        <v>1908</v>
      </c>
      <c r="AM90" s="1572">
        <f>'PIP finance'!P682</f>
        <v>0</v>
      </c>
      <c r="AN90" s="1572">
        <f>'PIP finance'!Q682</f>
        <v>0</v>
      </c>
      <c r="AO90" s="1572">
        <f>'PIP finance'!R682</f>
        <v>0</v>
      </c>
      <c r="AP90" s="1572">
        <f>'PIP finance'!S682</f>
        <v>0</v>
      </c>
      <c r="AQ90" s="1572">
        <f>'PIP finance'!T682</f>
        <v>0</v>
      </c>
      <c r="AR90" s="1573">
        <f>'PIP finance'!U682</f>
        <v>0</v>
      </c>
      <c r="AS90" s="426"/>
    </row>
    <row r="91" spans="2:45" s="465" customFormat="1" ht="28.5" customHeight="1" x14ac:dyDescent="0.25">
      <c r="B91" s="1598"/>
      <c r="C91" s="3464"/>
      <c r="D91" s="3655" t="s">
        <v>1903</v>
      </c>
      <c r="E91" s="3660"/>
      <c r="F91" s="3660"/>
      <c r="G91" s="3660"/>
      <c r="H91" s="3660"/>
      <c r="I91" s="3660"/>
      <c r="J91" s="3660"/>
      <c r="K91" s="3660"/>
      <c r="L91" s="3518"/>
      <c r="M91" s="3518"/>
      <c r="N91" s="3518"/>
      <c r="O91" s="3519"/>
      <c r="P91" s="3464"/>
      <c r="Q91" s="1598"/>
      <c r="R91" s="3469"/>
      <c r="S91" s="6928" t="s">
        <v>3438</v>
      </c>
      <c r="T91" s="7078"/>
      <c r="U91" s="7078"/>
      <c r="V91" s="7078"/>
      <c r="W91" s="7078"/>
      <c r="X91" s="7078"/>
      <c r="Y91" s="7078"/>
      <c r="Z91" s="7078"/>
      <c r="AA91" s="7078"/>
      <c r="AB91" s="7078"/>
      <c r="AC91" s="7078"/>
      <c r="AD91" s="7078"/>
      <c r="AE91" s="7078"/>
      <c r="AF91" s="7078"/>
      <c r="AG91" s="7079"/>
      <c r="AH91" s="3464"/>
      <c r="AI91" s="993"/>
      <c r="AK91" s="1016"/>
      <c r="AL91" s="1558" t="s">
        <v>3851</v>
      </c>
      <c r="AM91" s="1570"/>
      <c r="AN91" s="1570"/>
      <c r="AO91" s="1570"/>
      <c r="AP91" s="1570"/>
      <c r="AQ91" s="1570"/>
      <c r="AR91" s="1571"/>
      <c r="AS91" s="1016"/>
    </row>
    <row r="92" spans="2:45" s="465" customFormat="1" ht="19.5" customHeight="1" x14ac:dyDescent="0.25">
      <c r="B92" s="1598"/>
      <c r="C92" s="3464"/>
      <c r="D92" s="3666" t="s">
        <v>3848</v>
      </c>
      <c r="E92" s="3658">
        <f>ROUND(SUM('Financial Projections'!K119:K122,'Financial Projections'!K164:K167,'Financial Projections'!K206:K209),0)</f>
        <v>0</v>
      </c>
      <c r="F92" s="3658">
        <f>ROUND(SUM('Financial Projections'!L119:L122,'Financial Projections'!L164:L167,'Financial Projections'!L206:L209),0)</f>
        <v>0</v>
      </c>
      <c r="G92" s="3658">
        <f>ROUND(SUM('Financial Projections'!M119:M122,'Financial Projections'!M164:M167,'Financial Projections'!M206:M209),0)</f>
        <v>0</v>
      </c>
      <c r="H92" s="3658">
        <f>ROUND(SUM('Financial Projections'!N119:N122,'Financial Projections'!N164:N167,'Financial Projections'!N206:N209),0)</f>
        <v>0</v>
      </c>
      <c r="I92" s="3658">
        <f>ROUND(SUM('Financial Projections'!O119:O122,'Financial Projections'!O164:O167,'Financial Projections'!O206:O209),0)</f>
        <v>0</v>
      </c>
      <c r="J92" s="3658">
        <f>ROUND(SUM('Financial Projections'!P119:P122,'Financial Projections'!P164:P167,'Financial Projections'!P206:P209),0)</f>
        <v>0</v>
      </c>
      <c r="K92" s="3658">
        <f>ROUND(SUM('Financial Projections'!Q119:Q122,'Financial Projections'!Q164:Q167,'Financial Projections'!Q206:Q209),0)</f>
        <v>0</v>
      </c>
      <c r="L92" s="3658">
        <f>ROUND(SUM('Financial Projections'!R119:R122,'Financial Projections'!R164:R167,'Financial Projections'!R206:R209),0)</f>
        <v>0</v>
      </c>
      <c r="M92" s="3658">
        <f>ROUND(SUM('Financial Projections'!S119:S122,'Financial Projections'!S164:S167,'Financial Projections'!S206:S209),0)</f>
        <v>0</v>
      </c>
      <c r="N92" s="3658">
        <f>ROUND(SUM('Financial Projections'!T119:T122,'Financial Projections'!T164:T167,'Financial Projections'!T206:T209),0)</f>
        <v>0</v>
      </c>
      <c r="O92" s="4637">
        <f>SUM(E92:N92)</f>
        <v>0</v>
      </c>
      <c r="P92" s="3464"/>
      <c r="Q92" s="1598"/>
      <c r="R92" s="3469"/>
      <c r="S92" s="6931" t="s">
        <v>180</v>
      </c>
      <c r="T92" s="6932"/>
      <c r="U92" s="6932"/>
      <c r="V92" s="6932"/>
      <c r="W92" s="6932"/>
      <c r="X92" s="3686">
        <v>0</v>
      </c>
      <c r="Y92" s="3686">
        <f ca="1">'PIP finance'!E834</f>
        <v>90</v>
      </c>
      <c r="Z92" s="3686">
        <f ca="1">'PIP finance'!F834</f>
        <v>186</v>
      </c>
      <c r="AA92" s="3686">
        <f ca="1">'PIP finance'!G834</f>
        <v>337</v>
      </c>
      <c r="AB92" s="3686">
        <f ca="1">'PIP finance'!H834</f>
        <v>483</v>
      </c>
      <c r="AC92" s="3686">
        <f ca="1">'PIP finance'!I834</f>
        <v>639</v>
      </c>
      <c r="AD92" s="3686">
        <f ca="1">'PIP finance'!J834</f>
        <v>639</v>
      </c>
      <c r="AE92" s="3686">
        <f ca="1">'PIP finance'!K834</f>
        <v>639</v>
      </c>
      <c r="AF92" s="3686">
        <f ca="1">'PIP finance'!L834</f>
        <v>639</v>
      </c>
      <c r="AG92" s="3687">
        <f ca="1">'PIP finance'!M834</f>
        <v>639</v>
      </c>
      <c r="AH92" s="3464"/>
      <c r="AI92" s="993"/>
      <c r="AK92" s="426"/>
      <c r="AL92" s="1017" t="s">
        <v>1907</v>
      </c>
      <c r="AM92" s="1572">
        <f>'PIP finance'!P684</f>
        <v>0</v>
      </c>
      <c r="AN92" s="1572">
        <f>'PIP finance'!Q684</f>
        <v>0</v>
      </c>
      <c r="AO92" s="1572">
        <f>'PIP finance'!R684</f>
        <v>0</v>
      </c>
      <c r="AP92" s="1572">
        <f>'PIP finance'!S684</f>
        <v>0</v>
      </c>
      <c r="AQ92" s="1572">
        <f>'PIP finance'!T684</f>
        <v>0</v>
      </c>
      <c r="AR92" s="1573">
        <f>'PIP finance'!U684</f>
        <v>0</v>
      </c>
      <c r="AS92" s="426"/>
    </row>
    <row r="93" spans="2:45" s="465" customFormat="1" ht="36" x14ac:dyDescent="0.25">
      <c r="B93" s="1598"/>
      <c r="C93" s="3464"/>
      <c r="D93" s="3666" t="s">
        <v>1904</v>
      </c>
      <c r="E93" s="3667">
        <f ca="1">'PIP finance'!D630+'PIP finance'!D631</f>
        <v>19.080000000000002</v>
      </c>
      <c r="F93" s="3667">
        <f ca="1">'PIP finance'!E630+'PIP finance'!E631</f>
        <v>20.415600000000001</v>
      </c>
      <c r="G93" s="3667">
        <f ca="1">'PIP finance'!F630+'PIP finance'!F631</f>
        <v>9.4797720000000005</v>
      </c>
      <c r="H93" s="3667">
        <f ca="1">'PIP finance'!G630+'PIP finance'!G631</f>
        <v>0</v>
      </c>
      <c r="I93" s="3667">
        <f ca="1">'PIP finance'!H630+'PIP finance'!H631</f>
        <v>0</v>
      </c>
      <c r="J93" s="3667">
        <f ca="1">'PIP finance'!I630+'PIP finance'!I631</f>
        <v>0</v>
      </c>
      <c r="K93" s="3667">
        <f ca="1">'PIP finance'!J630+'PIP finance'!J631</f>
        <v>0</v>
      </c>
      <c r="L93" s="3667">
        <f ca="1">'PIP finance'!K630+'PIP finance'!K631</f>
        <v>0</v>
      </c>
      <c r="M93" s="3667">
        <f ca="1">'PIP finance'!L630+'PIP finance'!L631</f>
        <v>0</v>
      </c>
      <c r="N93" s="3658">
        <f ca="1">'PIP finance'!M630+'PIP finance'!M631</f>
        <v>0</v>
      </c>
      <c r="O93" s="4637">
        <f ca="1">SUM(E93:N93)</f>
        <v>48.975372000000007</v>
      </c>
      <c r="P93" s="3464"/>
      <c r="Q93" s="1598"/>
      <c r="R93" s="3469"/>
      <c r="S93" s="6933" t="s">
        <v>192</v>
      </c>
      <c r="T93" s="6934"/>
      <c r="U93" s="6934"/>
      <c r="V93" s="6934"/>
      <c r="W93" s="6934"/>
      <c r="X93" s="3688">
        <f ca="1">'PIP finance'!D835</f>
        <v>435</v>
      </c>
      <c r="Y93" s="3688">
        <f ca="1">'PIP finance'!E835</f>
        <v>397</v>
      </c>
      <c r="Z93" s="3688">
        <f ca="1">'PIP finance'!F835</f>
        <v>408</v>
      </c>
      <c r="AA93" s="3688">
        <f ca="1">'PIP finance'!G835</f>
        <v>388</v>
      </c>
      <c r="AB93" s="3688">
        <f ca="1">'PIP finance'!H835</f>
        <v>415</v>
      </c>
      <c r="AC93" s="3688">
        <f ca="1">'PIP finance'!I835</f>
        <v>0</v>
      </c>
      <c r="AD93" s="3688">
        <f ca="1">'PIP finance'!J835</f>
        <v>0</v>
      </c>
      <c r="AE93" s="3688">
        <f ca="1">'PIP finance'!K835</f>
        <v>0</v>
      </c>
      <c r="AF93" s="3688">
        <f ca="1">'PIP finance'!L835</f>
        <v>0</v>
      </c>
      <c r="AG93" s="3689">
        <f ca="1">'PIP finance'!M835</f>
        <v>0</v>
      </c>
      <c r="AH93" s="3464"/>
      <c r="AI93" s="993"/>
      <c r="AK93" s="426"/>
      <c r="AL93" s="1017" t="s">
        <v>3850</v>
      </c>
      <c r="AM93" s="1565">
        <f>'PIP finance'!P685</f>
        <v>0</v>
      </c>
      <c r="AN93" s="1565">
        <f>'PIP finance'!Q685</f>
        <v>0</v>
      </c>
      <c r="AO93" s="1565">
        <f>'PIP finance'!R685</f>
        <v>0</v>
      </c>
      <c r="AP93" s="1565">
        <f>'PIP finance'!S685</f>
        <v>0</v>
      </c>
      <c r="AQ93" s="1565">
        <f>'PIP finance'!T685</f>
        <v>0</v>
      </c>
      <c r="AR93" s="1569">
        <f>'PIP finance'!U685</f>
        <v>0</v>
      </c>
      <c r="AS93" s="426"/>
    </row>
    <row r="94" spans="2:45" s="474" customFormat="1" ht="36.75" thickBot="1" x14ac:dyDescent="0.3">
      <c r="B94" s="1706"/>
      <c r="C94" s="1832"/>
      <c r="D94" s="3666" t="s">
        <v>2997</v>
      </c>
      <c r="E94" s="3667">
        <f ca="1">'PIP finance'!D633+'PIP finance'!D634</f>
        <v>354.65999999999997</v>
      </c>
      <c r="F94" s="3667">
        <f ca="1">'PIP finance'!E633+'PIP finance'!E634</f>
        <v>338.4624</v>
      </c>
      <c r="G94" s="3667">
        <f ca="1">'PIP finance'!F633+'PIP finance'!F634</f>
        <v>362.15476799999999</v>
      </c>
      <c r="H94" s="3667">
        <f ca="1">'PIP finance'!G633+'PIP finance'!G634</f>
        <v>387.50560175999999</v>
      </c>
      <c r="I94" s="3667">
        <f ca="1">'PIP finance'!H633+'PIP finance'!H634</f>
        <v>414.63099388320006</v>
      </c>
      <c r="J94" s="3667">
        <f ca="1">'PIP finance'!I633+'PIP finance'!I634</f>
        <v>0</v>
      </c>
      <c r="K94" s="3667">
        <f ca="1">'PIP finance'!J633+'PIP finance'!J634</f>
        <v>0</v>
      </c>
      <c r="L94" s="3667">
        <f ca="1">'PIP finance'!K633+'PIP finance'!K634</f>
        <v>0</v>
      </c>
      <c r="M94" s="3667">
        <f ca="1">'PIP finance'!L633+'PIP finance'!L634</f>
        <v>0</v>
      </c>
      <c r="N94" s="3658">
        <f ca="1">'PIP finance'!M633+'PIP finance'!M634</f>
        <v>0</v>
      </c>
      <c r="O94" s="4637">
        <f ca="1">SUM(E94:N94)</f>
        <v>1857.4137636432001</v>
      </c>
      <c r="P94" s="1832"/>
      <c r="Q94" s="3495"/>
      <c r="R94" s="3469"/>
      <c r="S94" s="6966" t="s">
        <v>146</v>
      </c>
      <c r="T94" s="6967"/>
      <c r="U94" s="6967"/>
      <c r="V94" s="6967"/>
      <c r="W94" s="6967"/>
      <c r="X94" s="3690">
        <f>'PIP finance'!D836</f>
        <v>345</v>
      </c>
      <c r="Y94" s="3690">
        <f>'PIP finance'!E836</f>
        <v>301</v>
      </c>
      <c r="Z94" s="3690">
        <f>'PIP finance'!F836</f>
        <v>257</v>
      </c>
      <c r="AA94" s="3690">
        <f>'PIP finance'!G836</f>
        <v>242</v>
      </c>
      <c r="AB94" s="3690">
        <f>'PIP finance'!H836</f>
        <v>259</v>
      </c>
      <c r="AC94" s="3690">
        <f>'PIP finance'!I836</f>
        <v>0</v>
      </c>
      <c r="AD94" s="3690">
        <f>'PIP finance'!J836</f>
        <v>0</v>
      </c>
      <c r="AE94" s="3690">
        <f>'PIP finance'!K836</f>
        <v>0</v>
      </c>
      <c r="AF94" s="3690">
        <f>'PIP finance'!L836</f>
        <v>0</v>
      </c>
      <c r="AG94" s="3691">
        <f>'PIP finance'!M836</f>
        <v>0</v>
      </c>
      <c r="AH94" s="1832"/>
      <c r="AI94" s="475"/>
      <c r="AK94" s="426"/>
      <c r="AL94" s="1568" t="s">
        <v>1908</v>
      </c>
      <c r="AM94" s="1574">
        <f>'PIP finance'!P686</f>
        <v>0</v>
      </c>
      <c r="AN94" s="1574">
        <f>'PIP finance'!Q686</f>
        <v>0</v>
      </c>
      <c r="AO94" s="1574">
        <f>'PIP finance'!R686</f>
        <v>0</v>
      </c>
      <c r="AP94" s="1574">
        <f>'PIP finance'!S686</f>
        <v>0</v>
      </c>
      <c r="AQ94" s="1574">
        <f>'PIP finance'!T686</f>
        <v>0</v>
      </c>
      <c r="AR94" s="1575">
        <f>'PIP finance'!U686</f>
        <v>0</v>
      </c>
      <c r="AS94" s="426"/>
    </row>
    <row r="95" spans="2:45" s="474" customFormat="1" ht="18" customHeight="1" x14ac:dyDescent="0.3">
      <c r="B95" s="1706"/>
      <c r="C95" s="1832"/>
      <c r="D95" s="6982" t="s">
        <v>2087</v>
      </c>
      <c r="E95" s="6983"/>
      <c r="F95" s="6983"/>
      <c r="G95" s="6983"/>
      <c r="H95" s="6983"/>
      <c r="I95" s="6983"/>
      <c r="J95" s="6983"/>
      <c r="K95" s="6983"/>
      <c r="L95" s="6983"/>
      <c r="M95" s="6983"/>
      <c r="N95" s="6983"/>
      <c r="O95" s="6984"/>
      <c r="P95" s="1832"/>
      <c r="Q95" s="3520"/>
      <c r="R95" s="3469"/>
      <c r="S95" s="6931" t="s">
        <v>3854</v>
      </c>
      <c r="T95" s="6932"/>
      <c r="U95" s="6932"/>
      <c r="V95" s="6932"/>
      <c r="W95" s="6932"/>
      <c r="X95" s="3686">
        <f ca="1">X92+X93-X94</f>
        <v>90</v>
      </c>
      <c r="Y95" s="3686">
        <f t="shared" ref="Y95:AG95" ca="1" si="20">Y92+Y93-Y94</f>
        <v>186</v>
      </c>
      <c r="Z95" s="3686">
        <f t="shared" ca="1" si="20"/>
        <v>337</v>
      </c>
      <c r="AA95" s="3686">
        <f t="shared" ca="1" si="20"/>
        <v>483</v>
      </c>
      <c r="AB95" s="3686">
        <f t="shared" ca="1" si="20"/>
        <v>639</v>
      </c>
      <c r="AC95" s="3686">
        <f t="shared" ca="1" si="20"/>
        <v>639</v>
      </c>
      <c r="AD95" s="3686">
        <f t="shared" ca="1" si="20"/>
        <v>639</v>
      </c>
      <c r="AE95" s="3686">
        <f t="shared" ca="1" si="20"/>
        <v>639</v>
      </c>
      <c r="AF95" s="3686">
        <f t="shared" ca="1" si="20"/>
        <v>639</v>
      </c>
      <c r="AG95" s="3687">
        <f t="shared" ca="1" si="20"/>
        <v>639</v>
      </c>
      <c r="AH95" s="1832"/>
      <c r="AI95" s="475"/>
      <c r="AK95" s="1080"/>
      <c r="AL95" s="1080"/>
      <c r="AM95" s="1080"/>
      <c r="AN95" s="1080"/>
      <c r="AO95" s="1080"/>
      <c r="AP95" s="1080"/>
      <c r="AQ95" s="1080"/>
      <c r="AR95" s="1080"/>
      <c r="AS95" s="1080"/>
    </row>
    <row r="96" spans="2:45" s="474" customFormat="1" ht="18" customHeight="1" x14ac:dyDescent="0.25">
      <c r="B96" s="1706"/>
      <c r="C96" s="1832"/>
      <c r="D96" s="3515"/>
      <c r="E96" s="3517"/>
      <c r="F96" s="3517"/>
      <c r="G96" s="3517"/>
      <c r="H96" s="3517"/>
      <c r="I96" s="3517"/>
      <c r="J96" s="3517"/>
      <c r="K96" s="3517"/>
      <c r="L96" s="3517"/>
      <c r="M96" s="3517"/>
      <c r="N96" s="3517"/>
      <c r="O96" s="3516"/>
      <c r="P96" s="1832"/>
      <c r="Q96" s="3495"/>
      <c r="R96" s="3469"/>
      <c r="S96" s="3509"/>
      <c r="T96" s="3510"/>
      <c r="U96" s="3510"/>
      <c r="V96" s="3510"/>
      <c r="W96" s="3510"/>
      <c r="X96" s="3511"/>
      <c r="Y96" s="3511"/>
      <c r="Z96" s="3511"/>
      <c r="AA96" s="3511"/>
      <c r="AB96" s="3511"/>
      <c r="AC96" s="3511"/>
      <c r="AD96" s="3511"/>
      <c r="AE96" s="3511"/>
      <c r="AF96" s="3511"/>
      <c r="AG96" s="3512"/>
      <c r="AH96" s="1832"/>
      <c r="AI96" s="475"/>
    </row>
    <row r="97" spans="2:39" s="465" customFormat="1" ht="15" customHeight="1" x14ac:dyDescent="0.25">
      <c r="B97" s="1598"/>
      <c r="C97" s="3464"/>
      <c r="D97" s="3655" t="s">
        <v>3436</v>
      </c>
      <c r="E97" s="3660"/>
      <c r="F97" s="3660"/>
      <c r="G97" s="3660"/>
      <c r="H97" s="3660"/>
      <c r="I97" s="3660"/>
      <c r="J97" s="3660"/>
      <c r="K97" s="3660"/>
      <c r="L97" s="3506"/>
      <c r="M97" s="3506"/>
      <c r="N97" s="3506"/>
      <c r="O97" s="3521"/>
      <c r="P97" s="3464"/>
      <c r="Q97" s="1601"/>
      <c r="R97" s="3469"/>
      <c r="S97" s="6928" t="s">
        <v>3437</v>
      </c>
      <c r="T97" s="6929"/>
      <c r="U97" s="6929"/>
      <c r="V97" s="6929"/>
      <c r="W97" s="6929"/>
      <c r="X97" s="6929"/>
      <c r="Y97" s="6929"/>
      <c r="Z97" s="6929"/>
      <c r="AA97" s="6929"/>
      <c r="AB97" s="6929"/>
      <c r="AC97" s="6929"/>
      <c r="AD97" s="6929"/>
      <c r="AE97" s="6929"/>
      <c r="AF97" s="6929"/>
      <c r="AG97" s="6930"/>
      <c r="AH97" s="3464"/>
      <c r="AI97" s="993"/>
    </row>
    <row r="98" spans="2:39" s="465" customFormat="1" ht="17.25" customHeight="1" x14ac:dyDescent="0.25">
      <c r="B98" s="1598"/>
      <c r="C98" s="3464"/>
      <c r="D98" s="3668" t="s">
        <v>3856</v>
      </c>
      <c r="E98" s="3664">
        <f>'PIP finance'!D786</f>
        <v>61</v>
      </c>
      <c r="F98" s="3664">
        <f ca="1">'PIP finance'!E786</f>
        <v>0</v>
      </c>
      <c r="G98" s="3664">
        <f ca="1">'PIP finance'!F786</f>
        <v>0</v>
      </c>
      <c r="H98" s="3664">
        <f ca="1">'PIP finance'!G786</f>
        <v>0</v>
      </c>
      <c r="I98" s="3664">
        <f ca="1">'PIP finance'!H786</f>
        <v>0</v>
      </c>
      <c r="J98" s="3664">
        <f ca="1">'PIP finance'!I786</f>
        <v>0</v>
      </c>
      <c r="K98" s="3664">
        <f ca="1">'PIP finance'!J786</f>
        <v>0</v>
      </c>
      <c r="L98" s="3664">
        <f ca="1">'PIP finance'!K786</f>
        <v>0</v>
      </c>
      <c r="M98" s="3664">
        <f ca="1">'PIP finance'!L786</f>
        <v>0</v>
      </c>
      <c r="N98" s="4640">
        <f ca="1">'PIP finance'!M786</f>
        <v>0</v>
      </c>
      <c r="O98" s="4637">
        <f ca="1">SUM(E98:N98)</f>
        <v>61</v>
      </c>
      <c r="P98" s="3464"/>
      <c r="Q98" s="1601"/>
      <c r="R98" s="3469"/>
      <c r="S98" s="6931" t="s">
        <v>180</v>
      </c>
      <c r="T98" s="6932"/>
      <c r="U98" s="6932"/>
      <c r="V98" s="6932"/>
      <c r="W98" s="6932"/>
      <c r="X98" s="3686">
        <v>0</v>
      </c>
      <c r="Y98" s="3686">
        <f>'PIP finance'!E851</f>
        <v>0</v>
      </c>
      <c r="Z98" s="3686">
        <f>'PIP finance'!F851</f>
        <v>0</v>
      </c>
      <c r="AA98" s="3686">
        <f>'PIP finance'!G851</f>
        <v>0</v>
      </c>
      <c r="AB98" s="3686">
        <f>'PIP finance'!H851</f>
        <v>0</v>
      </c>
      <c r="AC98" s="3686">
        <f>'PIP finance'!I851</f>
        <v>0</v>
      </c>
      <c r="AD98" s="3686">
        <f>'PIP finance'!J851</f>
        <v>0</v>
      </c>
      <c r="AE98" s="3686">
        <f>'PIP finance'!K851</f>
        <v>0</v>
      </c>
      <c r="AF98" s="3686">
        <f>'PIP finance'!L851</f>
        <v>0</v>
      </c>
      <c r="AG98" s="3687">
        <f>'PIP finance'!M851</f>
        <v>0</v>
      </c>
      <c r="AH98" s="3464"/>
      <c r="AI98" s="993"/>
    </row>
    <row r="99" spans="2:39" s="465" customFormat="1" ht="17.25" customHeight="1" x14ac:dyDescent="0.25">
      <c r="B99" s="1598"/>
      <c r="C99" s="3464"/>
      <c r="D99" s="7082" t="s">
        <v>3857</v>
      </c>
      <c r="E99" s="3890">
        <v>61</v>
      </c>
      <c r="F99" s="3890">
        <v>38</v>
      </c>
      <c r="G99" s="3890"/>
      <c r="H99" s="3890"/>
      <c r="I99" s="3890"/>
      <c r="J99" s="3890"/>
      <c r="K99" s="3890"/>
      <c r="L99" s="3890"/>
      <c r="M99" s="3890"/>
      <c r="N99" s="3890"/>
      <c r="O99" s="4639"/>
      <c r="P99" s="3464"/>
      <c r="Q99" s="1601"/>
      <c r="R99" s="3469"/>
      <c r="S99" s="6933" t="s">
        <v>192</v>
      </c>
      <c r="T99" s="6934"/>
      <c r="U99" s="6934"/>
      <c r="V99" s="6934"/>
      <c r="W99" s="6934"/>
      <c r="X99" s="7067">
        <f>'PIP finance'!D852</f>
        <v>0</v>
      </c>
      <c r="Y99" s="7067">
        <f>'PIP finance'!E852</f>
        <v>0</v>
      </c>
      <c r="Z99" s="7067">
        <f>'PIP finance'!F852</f>
        <v>0</v>
      </c>
      <c r="AA99" s="7067">
        <f>'PIP finance'!G852</f>
        <v>0</v>
      </c>
      <c r="AB99" s="7067">
        <f>'PIP finance'!H852</f>
        <v>0</v>
      </c>
      <c r="AC99" s="7067">
        <f>'PIP finance'!I852</f>
        <v>0</v>
      </c>
      <c r="AD99" s="7067">
        <f>'PIP finance'!J852</f>
        <v>0</v>
      </c>
      <c r="AE99" s="7067">
        <f>'PIP finance'!K852</f>
        <v>0</v>
      </c>
      <c r="AF99" s="7067">
        <f>'PIP finance'!L852</f>
        <v>0</v>
      </c>
      <c r="AG99" s="7065">
        <f>'PIP finance'!M852</f>
        <v>0</v>
      </c>
      <c r="AH99" s="3464"/>
      <c r="AI99" s="993"/>
    </row>
    <row r="100" spans="2:39" s="465" customFormat="1" ht="17.25" x14ac:dyDescent="0.25">
      <c r="B100" s="1598"/>
      <c r="C100" s="3464"/>
      <c r="D100" s="7083"/>
      <c r="E100" s="3678">
        <f>IFERROR(E99/E98,"-")</f>
        <v>1</v>
      </c>
      <c r="F100" s="3678" t="str">
        <f t="shared" ref="F100:N100" ca="1" si="21">IFERROR(F99/F98,"-")</f>
        <v>-</v>
      </c>
      <c r="G100" s="3678" t="str">
        <f t="shared" ca="1" si="21"/>
        <v>-</v>
      </c>
      <c r="H100" s="3678" t="str">
        <f t="shared" ca="1" si="21"/>
        <v>-</v>
      </c>
      <c r="I100" s="3678" t="str">
        <f t="shared" ca="1" si="21"/>
        <v>-</v>
      </c>
      <c r="J100" s="3678" t="str">
        <f t="shared" ca="1" si="21"/>
        <v>-</v>
      </c>
      <c r="K100" s="3678" t="str">
        <f t="shared" ca="1" si="21"/>
        <v>-</v>
      </c>
      <c r="L100" s="3678" t="str">
        <f t="shared" ca="1" si="21"/>
        <v>-</v>
      </c>
      <c r="M100" s="3678" t="str">
        <f t="shared" ca="1" si="21"/>
        <v>-</v>
      </c>
      <c r="N100" s="4641" t="str">
        <f t="shared" ca="1" si="21"/>
        <v>-</v>
      </c>
      <c r="O100" s="4638">
        <f ca="1">IFERROR(O99/O98,"-")</f>
        <v>0</v>
      </c>
      <c r="P100" s="3464"/>
      <c r="Q100" s="1601"/>
      <c r="R100" s="3469"/>
      <c r="S100" s="6933"/>
      <c r="T100" s="6934"/>
      <c r="U100" s="6934"/>
      <c r="V100" s="6934"/>
      <c r="W100" s="6934"/>
      <c r="X100" s="7068"/>
      <c r="Y100" s="7068"/>
      <c r="Z100" s="7068"/>
      <c r="AA100" s="7068"/>
      <c r="AB100" s="7068"/>
      <c r="AC100" s="7068"/>
      <c r="AD100" s="7068"/>
      <c r="AE100" s="7068"/>
      <c r="AF100" s="7068"/>
      <c r="AG100" s="7066"/>
      <c r="AH100" s="3464"/>
      <c r="AI100" s="993"/>
    </row>
    <row r="101" spans="2:39" s="465" customFormat="1" ht="18" customHeight="1" x14ac:dyDescent="0.25">
      <c r="B101" s="1598"/>
      <c r="C101" s="3464"/>
      <c r="D101" s="3515"/>
      <c r="E101" s="3517"/>
      <c r="F101" s="3517"/>
      <c r="G101" s="3517"/>
      <c r="H101" s="3517"/>
      <c r="I101" s="3517"/>
      <c r="J101" s="3517"/>
      <c r="K101" s="3517"/>
      <c r="L101" s="3517"/>
      <c r="M101" s="3517"/>
      <c r="N101" s="3517"/>
      <c r="O101" s="3516"/>
      <c r="P101" s="3464"/>
      <c r="Q101" s="1601"/>
      <c r="R101" s="3469"/>
      <c r="S101" s="6995" t="s">
        <v>146</v>
      </c>
      <c r="T101" s="6996"/>
      <c r="U101" s="6996"/>
      <c r="V101" s="6996"/>
      <c r="W101" s="6996"/>
      <c r="X101" s="6935">
        <f>'PIP finance'!D853</f>
        <v>0</v>
      </c>
      <c r="Y101" s="6935">
        <f>'PIP finance'!E853</f>
        <v>0</v>
      </c>
      <c r="Z101" s="6935">
        <f>'PIP finance'!F853</f>
        <v>0</v>
      </c>
      <c r="AA101" s="6935">
        <f>'PIP finance'!G853</f>
        <v>0</v>
      </c>
      <c r="AB101" s="6935">
        <f>'PIP finance'!H853</f>
        <v>0</v>
      </c>
      <c r="AC101" s="6935">
        <f>'PIP finance'!I853</f>
        <v>0</v>
      </c>
      <c r="AD101" s="6935">
        <f>'PIP finance'!J853</f>
        <v>0</v>
      </c>
      <c r="AE101" s="6935">
        <f>'PIP finance'!K853</f>
        <v>0</v>
      </c>
      <c r="AF101" s="6935">
        <f>'PIP finance'!L853</f>
        <v>0</v>
      </c>
      <c r="AG101" s="7077">
        <f>'PIP finance'!M853</f>
        <v>0</v>
      </c>
      <c r="AH101" s="3464"/>
      <c r="AI101" s="993"/>
    </row>
    <row r="102" spans="2:39" s="465" customFormat="1" x14ac:dyDescent="0.25">
      <c r="B102" s="1598"/>
      <c r="C102" s="3464"/>
      <c r="D102" s="3659" t="s">
        <v>3447</v>
      </c>
      <c r="E102" s="3660"/>
      <c r="F102" s="3660"/>
      <c r="G102" s="3660"/>
      <c r="H102" s="3660"/>
      <c r="I102" s="3660"/>
      <c r="J102" s="3660"/>
      <c r="K102" s="3660"/>
      <c r="L102" s="3506" t="s">
        <v>1191</v>
      </c>
      <c r="M102" s="6924" t="s">
        <v>1192</v>
      </c>
      <c r="N102" s="6924"/>
      <c r="O102" s="6925"/>
      <c r="P102" s="3464"/>
      <c r="Q102" s="1601"/>
      <c r="R102" s="3469"/>
      <c r="S102" s="6995"/>
      <c r="T102" s="6996"/>
      <c r="U102" s="6996"/>
      <c r="V102" s="6996"/>
      <c r="W102" s="6996"/>
      <c r="X102" s="6935"/>
      <c r="Y102" s="6935"/>
      <c r="Z102" s="6935"/>
      <c r="AA102" s="6935"/>
      <c r="AB102" s="6935"/>
      <c r="AC102" s="6935"/>
      <c r="AD102" s="6935"/>
      <c r="AE102" s="6935"/>
      <c r="AF102" s="6935"/>
      <c r="AG102" s="7077"/>
      <c r="AH102" s="3464"/>
      <c r="AI102" s="993"/>
      <c r="AM102" s="1112"/>
    </row>
    <row r="103" spans="2:39" s="465" customFormat="1" ht="15" customHeight="1" x14ac:dyDescent="0.25">
      <c r="B103" s="1598"/>
      <c r="C103" s="3464"/>
      <c r="D103" s="3657" t="s">
        <v>3851</v>
      </c>
      <c r="E103" s="3679">
        <f>'PIP finance'!D848</f>
        <v>0</v>
      </c>
      <c r="F103" s="3679">
        <f>'PIP finance'!E848</f>
        <v>0</v>
      </c>
      <c r="G103" s="3679">
        <f>'PIP finance'!F848</f>
        <v>0</v>
      </c>
      <c r="H103" s="3679">
        <f>'PIP finance'!G848</f>
        <v>0</v>
      </c>
      <c r="I103" s="3679">
        <f>'PIP finance'!H848</f>
        <v>0</v>
      </c>
      <c r="J103" s="3679">
        <f>'PIP finance'!I848</f>
        <v>0</v>
      </c>
      <c r="K103" s="3679">
        <f>'PIP finance'!J848</f>
        <v>0</v>
      </c>
      <c r="L103" s="3679">
        <f>'PIP finance'!K848</f>
        <v>0</v>
      </c>
      <c r="M103" s="3679">
        <f>'PIP finance'!L848</f>
        <v>0</v>
      </c>
      <c r="N103" s="4650">
        <f>'PIP finance'!M848</f>
        <v>0</v>
      </c>
      <c r="O103" s="4637">
        <f>SUM(E103:N103)</f>
        <v>0</v>
      </c>
      <c r="P103" s="3464"/>
      <c r="Q103" s="1601"/>
      <c r="R103" s="3469"/>
      <c r="S103" s="6931" t="s">
        <v>3855</v>
      </c>
      <c r="T103" s="6932"/>
      <c r="U103" s="6932"/>
      <c r="V103" s="6932"/>
      <c r="W103" s="6932"/>
      <c r="X103" s="3686">
        <f>X98+X99-X101</f>
        <v>0</v>
      </c>
      <c r="Y103" s="3686">
        <f t="shared" ref="Y103:AG103" si="22">Y98+Y99-Y101</f>
        <v>0</v>
      </c>
      <c r="Z103" s="3686">
        <f t="shared" si="22"/>
        <v>0</v>
      </c>
      <c r="AA103" s="3686">
        <f t="shared" si="22"/>
        <v>0</v>
      </c>
      <c r="AB103" s="3686">
        <f t="shared" si="22"/>
        <v>0</v>
      </c>
      <c r="AC103" s="3686">
        <f t="shared" si="22"/>
        <v>0</v>
      </c>
      <c r="AD103" s="3686">
        <f t="shared" si="22"/>
        <v>0</v>
      </c>
      <c r="AE103" s="3686">
        <f t="shared" si="22"/>
        <v>0</v>
      </c>
      <c r="AF103" s="3686">
        <f t="shared" si="22"/>
        <v>0</v>
      </c>
      <c r="AG103" s="3687">
        <f t="shared" si="22"/>
        <v>0</v>
      </c>
      <c r="AH103" s="3464"/>
      <c r="AI103" s="993"/>
      <c r="AM103" s="1112"/>
    </row>
    <row r="104" spans="2:39" s="465" customFormat="1" ht="17.25" customHeight="1" x14ac:dyDescent="0.25">
      <c r="B104" s="1598"/>
      <c r="C104" s="3464"/>
      <c r="D104" s="7082" t="s">
        <v>3857</v>
      </c>
      <c r="E104" s="3891"/>
      <c r="F104" s="3891"/>
      <c r="G104" s="3891"/>
      <c r="H104" s="3891"/>
      <c r="I104" s="3891"/>
      <c r="J104" s="3891"/>
      <c r="K104" s="3891"/>
      <c r="L104" s="3891"/>
      <c r="M104" s="3891"/>
      <c r="N104" s="3891"/>
      <c r="O104" s="4637">
        <f>SUM(E104:N104)</f>
        <v>0</v>
      </c>
      <c r="P104" s="3464"/>
      <c r="Q104" s="1601"/>
      <c r="R104" s="3469"/>
      <c r="S104" s="3509"/>
      <c r="T104" s="3510"/>
      <c r="U104" s="3510"/>
      <c r="V104" s="3510"/>
      <c r="W104" s="3510"/>
      <c r="X104" s="3692"/>
      <c r="Y104" s="3692"/>
      <c r="Z104" s="3692"/>
      <c r="AA104" s="3692"/>
      <c r="AB104" s="3692"/>
      <c r="AC104" s="3692"/>
      <c r="AD104" s="3692"/>
      <c r="AE104" s="3692"/>
      <c r="AF104" s="3692"/>
      <c r="AG104" s="3693"/>
      <c r="AH104" s="3469"/>
      <c r="AI104" s="993"/>
      <c r="AM104" s="1112"/>
    </row>
    <row r="105" spans="2:39" s="465" customFormat="1" ht="15" customHeight="1" x14ac:dyDescent="0.25">
      <c r="B105" s="1598"/>
      <c r="C105" s="3464"/>
      <c r="D105" s="7083"/>
      <c r="E105" s="3678" t="str">
        <f t="shared" ref="E105:O105" si="23">IFERROR(E104/E103,"-")</f>
        <v>-</v>
      </c>
      <c r="F105" s="3678" t="str">
        <f t="shared" si="23"/>
        <v>-</v>
      </c>
      <c r="G105" s="3678" t="str">
        <f t="shared" si="23"/>
        <v>-</v>
      </c>
      <c r="H105" s="3678" t="str">
        <f t="shared" si="23"/>
        <v>-</v>
      </c>
      <c r="I105" s="3678" t="str">
        <f t="shared" si="23"/>
        <v>-</v>
      </c>
      <c r="J105" s="3678" t="str">
        <f t="shared" si="23"/>
        <v>-</v>
      </c>
      <c r="K105" s="3678" t="str">
        <f t="shared" si="23"/>
        <v>-</v>
      </c>
      <c r="L105" s="3678" t="str">
        <f t="shared" si="23"/>
        <v>-</v>
      </c>
      <c r="M105" s="3678" t="str">
        <f t="shared" si="23"/>
        <v>-</v>
      </c>
      <c r="N105" s="4641" t="str">
        <f t="shared" si="23"/>
        <v>-</v>
      </c>
      <c r="O105" s="4638" t="str">
        <f t="shared" si="23"/>
        <v>-</v>
      </c>
      <c r="P105" s="3464"/>
      <c r="Q105" s="3520"/>
      <c r="R105" s="3469"/>
      <c r="S105" s="6992" t="s">
        <v>1172</v>
      </c>
      <c r="T105" s="6993"/>
      <c r="U105" s="6993"/>
      <c r="V105" s="6993"/>
      <c r="W105" s="6993"/>
      <c r="X105" s="6993"/>
      <c r="Y105" s="6993"/>
      <c r="Z105" s="6993"/>
      <c r="AA105" s="6993"/>
      <c r="AB105" s="6993"/>
      <c r="AC105" s="6993"/>
      <c r="AD105" s="6993"/>
      <c r="AE105" s="6993"/>
      <c r="AF105" s="6993"/>
      <c r="AG105" s="6994"/>
      <c r="AH105" s="3469"/>
      <c r="AI105" s="993"/>
      <c r="AM105" s="1112"/>
    </row>
    <row r="106" spans="2:39" s="465" customFormat="1" ht="17.25" customHeight="1" x14ac:dyDescent="0.25">
      <c r="B106" s="1598"/>
      <c r="C106" s="3464"/>
      <c r="D106" s="3515"/>
      <c r="E106" s="3517"/>
      <c r="F106" s="3517"/>
      <c r="G106" s="3517"/>
      <c r="H106" s="3517"/>
      <c r="I106" s="3517"/>
      <c r="J106" s="3517"/>
      <c r="K106" s="3517"/>
      <c r="L106" s="3517"/>
      <c r="M106" s="3517"/>
      <c r="N106" s="3517"/>
      <c r="O106" s="3516"/>
      <c r="P106" s="3464"/>
      <c r="Q106" s="1601"/>
      <c r="R106" s="3469"/>
      <c r="S106" s="6992"/>
      <c r="T106" s="6993"/>
      <c r="U106" s="6993"/>
      <c r="V106" s="6993"/>
      <c r="W106" s="6993"/>
      <c r="X106" s="6993"/>
      <c r="Y106" s="6993"/>
      <c r="Z106" s="6993"/>
      <c r="AA106" s="6993"/>
      <c r="AB106" s="6993"/>
      <c r="AC106" s="6993"/>
      <c r="AD106" s="6993"/>
      <c r="AE106" s="6993"/>
      <c r="AF106" s="6993"/>
      <c r="AG106" s="6994"/>
      <c r="AH106" s="3464"/>
      <c r="AI106" s="993"/>
    </row>
    <row r="107" spans="2:39" s="465" customFormat="1" x14ac:dyDescent="0.25">
      <c r="B107" s="1598"/>
      <c r="C107" s="3464"/>
      <c r="D107" s="3659" t="s">
        <v>1376</v>
      </c>
      <c r="E107" s="3660"/>
      <c r="F107" s="3660"/>
      <c r="G107" s="3660"/>
      <c r="H107" s="3660"/>
      <c r="I107" s="3660"/>
      <c r="J107" s="3660"/>
      <c r="K107" s="3660"/>
      <c r="L107" s="3506"/>
      <c r="M107" s="3506"/>
      <c r="N107" s="3506"/>
      <c r="O107" s="3521"/>
      <c r="P107" s="3464"/>
      <c r="Q107" s="1601"/>
      <c r="R107" s="3469"/>
      <c r="S107" s="6931" t="s">
        <v>180</v>
      </c>
      <c r="T107" s="6932"/>
      <c r="U107" s="6932"/>
      <c r="V107" s="6932"/>
      <c r="W107" s="6932"/>
      <c r="X107" s="3686">
        <v>0</v>
      </c>
      <c r="Y107" s="3686">
        <f>'PIP finance'!E865</f>
        <v>0</v>
      </c>
      <c r="Z107" s="3686">
        <f>'PIP finance'!F865</f>
        <v>0</v>
      </c>
      <c r="AA107" s="3686">
        <f>'PIP finance'!G865</f>
        <v>0</v>
      </c>
      <c r="AB107" s="3686">
        <f>'PIP finance'!H865</f>
        <v>0</v>
      </c>
      <c r="AC107" s="3686">
        <f>'PIP finance'!I865</f>
        <v>0</v>
      </c>
      <c r="AD107" s="3686">
        <f>'PIP finance'!J865</f>
        <v>0</v>
      </c>
      <c r="AE107" s="3686">
        <f>'PIP finance'!K865</f>
        <v>0</v>
      </c>
      <c r="AF107" s="3686">
        <f>'PIP finance'!L865</f>
        <v>0</v>
      </c>
      <c r="AG107" s="3687">
        <f>'PIP finance'!M865</f>
        <v>0</v>
      </c>
      <c r="AH107" s="3464"/>
      <c r="AI107" s="993"/>
    </row>
    <row r="108" spans="2:39" s="465" customFormat="1" ht="17.25" customHeight="1" x14ac:dyDescent="0.25">
      <c r="B108" s="1598"/>
      <c r="C108" s="3464"/>
      <c r="D108" s="3657" t="s">
        <v>2077</v>
      </c>
      <c r="E108" s="3681">
        <f ca="1">'PIP finance'!D632</f>
        <v>0</v>
      </c>
      <c r="F108" s="3681">
        <f ca="1">'PIP finance'!E632</f>
        <v>0</v>
      </c>
      <c r="G108" s="3681">
        <f ca="1">'PIP finance'!F632</f>
        <v>0</v>
      </c>
      <c r="H108" s="3681">
        <f ca="1">'PIP finance'!G632</f>
        <v>0</v>
      </c>
      <c r="I108" s="3681">
        <f ca="1">'PIP finance'!H632</f>
        <v>0</v>
      </c>
      <c r="J108" s="3681">
        <f ca="1">'PIP finance'!I632</f>
        <v>0</v>
      </c>
      <c r="K108" s="3681">
        <f ca="1">'PIP finance'!J632</f>
        <v>0</v>
      </c>
      <c r="L108" s="3681">
        <f ca="1">'PIP finance'!K632</f>
        <v>0</v>
      </c>
      <c r="M108" s="3681">
        <f ca="1">'PIP finance'!L632</f>
        <v>0</v>
      </c>
      <c r="N108" s="4650">
        <f ca="1">'PIP finance'!M632</f>
        <v>0</v>
      </c>
      <c r="O108" s="4637">
        <f ca="1">SUM(E108:N108)</f>
        <v>0</v>
      </c>
      <c r="P108" s="3464"/>
      <c r="Q108" s="1601"/>
      <c r="R108" s="3469"/>
      <c r="S108" s="6931" t="s">
        <v>1170</v>
      </c>
      <c r="T108" s="6932"/>
      <c r="U108" s="6932"/>
      <c r="V108" s="6932"/>
      <c r="W108" s="6932"/>
      <c r="X108" s="3686">
        <f>'PIP finance'!D866</f>
        <v>0</v>
      </c>
      <c r="Y108" s="3686">
        <f>'PIP finance'!E866</f>
        <v>0</v>
      </c>
      <c r="Z108" s="3686">
        <f>'PIP finance'!F866</f>
        <v>0</v>
      </c>
      <c r="AA108" s="3686">
        <f>'PIP finance'!G866</f>
        <v>0</v>
      </c>
      <c r="AB108" s="3686">
        <f>'PIP finance'!H866</f>
        <v>0</v>
      </c>
      <c r="AC108" s="3686">
        <f>'PIP finance'!I866</f>
        <v>0</v>
      </c>
      <c r="AD108" s="3686">
        <f>'PIP finance'!J866</f>
        <v>0</v>
      </c>
      <c r="AE108" s="3686">
        <f>'PIP finance'!K866</f>
        <v>0</v>
      </c>
      <c r="AF108" s="3686">
        <f>'PIP finance'!L866</f>
        <v>0</v>
      </c>
      <c r="AG108" s="3687">
        <f>'PIP finance'!M866</f>
        <v>0</v>
      </c>
      <c r="AH108" s="3464"/>
      <c r="AI108" s="993"/>
    </row>
    <row r="109" spans="2:39" s="465" customFormat="1" ht="17.25" customHeight="1" x14ac:dyDescent="0.25">
      <c r="B109" s="1598"/>
      <c r="C109" s="3464"/>
      <c r="D109" s="3680" t="s">
        <v>1453</v>
      </c>
      <c r="E109" s="3892"/>
      <c r="F109" s="3892"/>
      <c r="G109" s="3892">
        <v>36</v>
      </c>
      <c r="H109" s="3892"/>
      <c r="I109" s="3892"/>
      <c r="J109" s="3892"/>
      <c r="K109" s="3892"/>
      <c r="L109" s="3892"/>
      <c r="M109" s="3892"/>
      <c r="N109" s="3891"/>
      <c r="O109" s="4637">
        <f>SUM(E109:N109)</f>
        <v>36</v>
      </c>
      <c r="P109" s="3522"/>
      <c r="Q109" s="3520"/>
      <c r="R109" s="3469"/>
      <c r="S109" s="6931" t="s">
        <v>1171</v>
      </c>
      <c r="T109" s="6932"/>
      <c r="U109" s="6932"/>
      <c r="V109" s="6932"/>
      <c r="W109" s="6932"/>
      <c r="X109" s="3686">
        <f>'PIP finance'!D867</f>
        <v>0</v>
      </c>
      <c r="Y109" s="3686">
        <f>'PIP finance'!E867</f>
        <v>0</v>
      </c>
      <c r="Z109" s="3686">
        <f>'PIP finance'!F867</f>
        <v>0</v>
      </c>
      <c r="AA109" s="3686">
        <f>'PIP finance'!G867</f>
        <v>0</v>
      </c>
      <c r="AB109" s="3686">
        <f>'PIP finance'!H867</f>
        <v>0</v>
      </c>
      <c r="AC109" s="3686">
        <f>'PIP finance'!I867</f>
        <v>0</v>
      </c>
      <c r="AD109" s="3686">
        <f>'PIP finance'!J867</f>
        <v>0</v>
      </c>
      <c r="AE109" s="3686">
        <f>'PIP finance'!K867</f>
        <v>0</v>
      </c>
      <c r="AF109" s="3686">
        <f>'PIP finance'!L867</f>
        <v>0</v>
      </c>
      <c r="AG109" s="3687">
        <f>'PIP finance'!M867</f>
        <v>0</v>
      </c>
      <c r="AH109" s="3464"/>
      <c r="AI109" s="993"/>
    </row>
    <row r="110" spans="2:39" s="465" customFormat="1" x14ac:dyDescent="0.25">
      <c r="B110" s="1598"/>
      <c r="C110" s="3464"/>
      <c r="D110" s="7081" t="s">
        <v>2982</v>
      </c>
      <c r="E110" s="3682" t="s">
        <v>772</v>
      </c>
      <c r="F110" s="3682"/>
      <c r="G110" s="3682"/>
      <c r="H110" s="3682"/>
      <c r="I110" s="3683"/>
      <c r="J110" s="3893">
        <v>0.1</v>
      </c>
      <c r="K110" s="4642"/>
      <c r="L110" s="4643"/>
      <c r="M110" s="4643"/>
      <c r="N110" s="4643"/>
      <c r="O110" s="4646"/>
      <c r="P110" s="3522"/>
      <c r="Q110" s="1601"/>
      <c r="R110" s="3469"/>
      <c r="S110" s="6931" t="s">
        <v>1178</v>
      </c>
      <c r="T110" s="6932"/>
      <c r="U110" s="6932"/>
      <c r="V110" s="6932"/>
      <c r="W110" s="6932"/>
      <c r="X110" s="3686">
        <f>'PIP finance'!D868</f>
        <v>0</v>
      </c>
      <c r="Y110" s="3686">
        <f>'PIP finance'!E868</f>
        <v>0</v>
      </c>
      <c r="Z110" s="3686">
        <f>'PIP finance'!F868</f>
        <v>0</v>
      </c>
      <c r="AA110" s="3686">
        <f>'PIP finance'!G868</f>
        <v>0</v>
      </c>
      <c r="AB110" s="3686">
        <f>'PIP finance'!H868</f>
        <v>0</v>
      </c>
      <c r="AC110" s="3686">
        <f>'PIP finance'!I868</f>
        <v>0</v>
      </c>
      <c r="AD110" s="3686">
        <f>'PIP finance'!J868</f>
        <v>0</v>
      </c>
      <c r="AE110" s="3686">
        <f>'PIP finance'!K868</f>
        <v>0</v>
      </c>
      <c r="AF110" s="3686">
        <f>'PIP finance'!L868</f>
        <v>0</v>
      </c>
      <c r="AG110" s="3687">
        <f>'PIP finance'!M868</f>
        <v>0</v>
      </c>
      <c r="AH110" s="3464"/>
      <c r="AI110" s="993"/>
    </row>
    <row r="111" spans="2:39" s="465" customFormat="1" x14ac:dyDescent="0.25">
      <c r="B111" s="1598"/>
      <c r="C111" s="3464"/>
      <c r="D111" s="7081"/>
      <c r="E111" s="3669" t="s">
        <v>1905</v>
      </c>
      <c r="F111" s="3669"/>
      <c r="G111" s="3669"/>
      <c r="H111" s="3669"/>
      <c r="I111" s="3684"/>
      <c r="J111" s="3894">
        <v>3</v>
      </c>
      <c r="K111" s="4644"/>
      <c r="L111" s="4645"/>
      <c r="M111" s="4645"/>
      <c r="N111" s="4645"/>
      <c r="O111" s="4646"/>
      <c r="P111" s="3464"/>
      <c r="Q111" s="1601"/>
      <c r="R111" s="3469"/>
      <c r="S111" s="3509"/>
      <c r="T111" s="3510"/>
      <c r="U111" s="3510"/>
      <c r="V111" s="3510"/>
      <c r="W111" s="3510"/>
      <c r="X111" s="3510"/>
      <c r="Y111" s="3510"/>
      <c r="Z111" s="3510"/>
      <c r="AA111" s="3510"/>
      <c r="AB111" s="3510"/>
      <c r="AC111" s="3510"/>
      <c r="AD111" s="3510"/>
      <c r="AE111" s="3510"/>
      <c r="AF111" s="3510"/>
      <c r="AG111" s="3694"/>
      <c r="AH111" s="3464"/>
      <c r="AI111" s="993"/>
    </row>
    <row r="112" spans="2:39" s="465" customFormat="1" x14ac:dyDescent="0.25">
      <c r="B112" s="1598"/>
      <c r="C112" s="3464"/>
      <c r="D112" s="7081"/>
      <c r="E112" s="3669" t="s">
        <v>1906</v>
      </c>
      <c r="F112" s="3669"/>
      <c r="G112" s="3669"/>
      <c r="H112" s="3669"/>
      <c r="I112" s="3684"/>
      <c r="J112" s="3894">
        <v>15</v>
      </c>
      <c r="K112" s="4647"/>
      <c r="L112" s="4648"/>
      <c r="M112" s="4648"/>
      <c r="N112" s="4648"/>
      <c r="O112" s="4649"/>
      <c r="P112" s="3464"/>
      <c r="Q112" s="1601"/>
      <c r="R112" s="3469"/>
      <c r="S112" s="6992" t="s">
        <v>1193</v>
      </c>
      <c r="T112" s="6993"/>
      <c r="U112" s="6993"/>
      <c r="V112" s="6993"/>
      <c r="W112" s="6993"/>
      <c r="X112" s="6993"/>
      <c r="Y112" s="6993"/>
      <c r="Z112" s="6993"/>
      <c r="AA112" s="6993"/>
      <c r="AB112" s="6993"/>
      <c r="AC112" s="6993"/>
      <c r="AD112" s="6993"/>
      <c r="AE112" s="6993"/>
      <c r="AF112" s="6993"/>
      <c r="AG112" s="6994"/>
      <c r="AH112" s="3464"/>
      <c r="AI112" s="993"/>
    </row>
    <row r="113" spans="1:48" s="465" customFormat="1" ht="18" customHeight="1" x14ac:dyDescent="0.25">
      <c r="B113" s="1598"/>
      <c r="C113" s="3464"/>
      <c r="D113" s="3657" t="s">
        <v>765</v>
      </c>
      <c r="E113" s="3670">
        <f>'PIP finance'!D686</f>
        <v>0</v>
      </c>
      <c r="F113" s="3671">
        <f ca="1">'PIP finance'!E686</f>
        <v>0</v>
      </c>
      <c r="G113" s="3671">
        <f ca="1">'PIP finance'!F686</f>
        <v>0</v>
      </c>
      <c r="H113" s="3671">
        <f ca="1">'PIP finance'!G686</f>
        <v>0</v>
      </c>
      <c r="I113" s="3671">
        <f ca="1">'PIP finance'!H686</f>
        <v>0</v>
      </c>
      <c r="J113" s="3685">
        <f ca="1">'PIP finance'!I686</f>
        <v>0</v>
      </c>
      <c r="K113" s="3671">
        <f ca="1">'PIP finance'!J686</f>
        <v>6.1529727583290192</v>
      </c>
      <c r="L113" s="3671">
        <f ca="1">'PIP finance'!K686</f>
        <v>6.1529727583290192</v>
      </c>
      <c r="M113" s="3671">
        <f ca="1">'PIP finance'!L686</f>
        <v>6.1529727583290192</v>
      </c>
      <c r="N113" s="4651">
        <f ca="1">'PIP finance'!M686</f>
        <v>6.1529727583290201</v>
      </c>
      <c r="O113" s="4637">
        <f ca="1">SUM(E113:N113)</f>
        <v>24.611891033316077</v>
      </c>
      <c r="P113" s="3464"/>
      <c r="Q113" s="1601"/>
      <c r="R113" s="3469"/>
      <c r="S113" s="6992"/>
      <c r="T113" s="6993"/>
      <c r="U113" s="6993"/>
      <c r="V113" s="6993"/>
      <c r="W113" s="6993"/>
      <c r="X113" s="6993"/>
      <c r="Y113" s="6993"/>
      <c r="Z113" s="6993"/>
      <c r="AA113" s="6993"/>
      <c r="AB113" s="6993"/>
      <c r="AC113" s="6993"/>
      <c r="AD113" s="6993"/>
      <c r="AE113" s="6993"/>
      <c r="AF113" s="6993"/>
      <c r="AG113" s="6994"/>
      <c r="AH113" s="3464"/>
      <c r="AI113" s="993"/>
    </row>
    <row r="114" spans="1:48" s="465" customFormat="1" x14ac:dyDescent="0.25">
      <c r="B114" s="1598"/>
      <c r="C114" s="3464"/>
      <c r="D114" s="3515"/>
      <c r="E114" s="3517"/>
      <c r="F114" s="3517"/>
      <c r="G114" s="3517"/>
      <c r="H114" s="3517"/>
      <c r="I114" s="3517"/>
      <c r="J114" s="3517"/>
      <c r="K114" s="3517"/>
      <c r="L114" s="3517"/>
      <c r="M114" s="3517"/>
      <c r="N114" s="3517"/>
      <c r="O114" s="3516"/>
      <c r="P114" s="3464"/>
      <c r="Q114" s="1601"/>
      <c r="R114" s="3469"/>
      <c r="S114" s="6931" t="s">
        <v>1169</v>
      </c>
      <c r="T114" s="6932"/>
      <c r="U114" s="6932"/>
      <c r="V114" s="6932"/>
      <c r="W114" s="6932"/>
      <c r="X114" s="3686">
        <f ca="1">'PIP finance'!D888</f>
        <v>1579</v>
      </c>
      <c r="Y114" s="3686">
        <f ca="1">'PIP finance'!E888</f>
        <v>1601</v>
      </c>
      <c r="Z114" s="3686">
        <f ca="1">'PIP finance'!F888</f>
        <v>1659</v>
      </c>
      <c r="AA114" s="3686">
        <f ca="1">'PIP finance'!G888</f>
        <v>1596</v>
      </c>
      <c r="AB114" s="3686">
        <f ca="1">'PIP finance'!H888</f>
        <v>1674</v>
      </c>
      <c r="AC114" s="3686">
        <f ca="1">'PIP finance'!I888</f>
        <v>1297</v>
      </c>
      <c r="AD114" s="3686">
        <f ca="1">'PIP finance'!J888</f>
        <v>1177</v>
      </c>
      <c r="AE114" s="3686">
        <f ca="1">'PIP finance'!K888</f>
        <v>1047</v>
      </c>
      <c r="AF114" s="3686">
        <f ca="1">'PIP finance'!L888</f>
        <v>913</v>
      </c>
      <c r="AG114" s="3687">
        <f ca="1">'PIP finance'!M888</f>
        <v>775</v>
      </c>
      <c r="AH114" s="3469"/>
      <c r="AI114" s="993"/>
    </row>
    <row r="115" spans="1:48" s="465" customFormat="1" ht="15" customHeight="1" x14ac:dyDescent="0.25">
      <c r="B115" s="1598"/>
      <c r="C115" s="3464"/>
      <c r="D115" s="7097" t="s">
        <v>1902</v>
      </c>
      <c r="E115" s="6985" t="str">
        <f>'PIP finance'!D795</f>
        <v>NA</v>
      </c>
      <c r="F115" s="6985" t="str">
        <f ca="1">'PIP finance'!E795</f>
        <v>NA</v>
      </c>
      <c r="G115" s="6985" t="str">
        <f ca="1">'PIP finance'!F795</f>
        <v>NA</v>
      </c>
      <c r="H115" s="6985" t="str">
        <f ca="1">'PIP finance'!G795</f>
        <v>NA</v>
      </c>
      <c r="I115" s="6985" t="str">
        <f ca="1">'PIP finance'!H795</f>
        <v>NA</v>
      </c>
      <c r="J115" s="6985" t="str">
        <f ca="1">'PIP finance'!I795</f>
        <v>NA</v>
      </c>
      <c r="K115" s="6985">
        <f ca="1">'PIP finance'!J795</f>
        <v>-138.5</v>
      </c>
      <c r="L115" s="6985">
        <f ca="1">'PIP finance'!K795</f>
        <v>-175</v>
      </c>
      <c r="M115" s="6985">
        <f ca="1">'PIP finance'!L795</f>
        <v>-213.16666666666666</v>
      </c>
      <c r="N115" s="6985">
        <f ca="1">'PIP finance'!M795</f>
        <v>-253.16666666666666</v>
      </c>
      <c r="O115" s="7107" t="s">
        <v>1520</v>
      </c>
      <c r="P115" s="3464"/>
      <c r="Q115" s="1601"/>
      <c r="R115" s="3469"/>
      <c r="S115" s="6931" t="s">
        <v>147</v>
      </c>
      <c r="T115" s="6932"/>
      <c r="U115" s="6932"/>
      <c r="V115" s="6932"/>
      <c r="W115" s="6932"/>
      <c r="X115" s="3686">
        <f>'PIP finance'!D889</f>
        <v>1489</v>
      </c>
      <c r="Y115" s="3686">
        <f ca="1">'PIP finance'!E889</f>
        <v>1465</v>
      </c>
      <c r="Z115" s="3686">
        <f ca="1">'PIP finance'!F889</f>
        <v>1529</v>
      </c>
      <c r="AA115" s="3686">
        <f ca="1">'PIP finance'!G889</f>
        <v>1464</v>
      </c>
      <c r="AB115" s="3686">
        <f ca="1">'PIP finance'!H889</f>
        <v>1537</v>
      </c>
      <c r="AC115" s="3686">
        <f ca="1">'PIP finance'!I889</f>
        <v>1335</v>
      </c>
      <c r="AD115" s="3686">
        <f ca="1">'PIP finance'!J889</f>
        <v>1402</v>
      </c>
      <c r="AE115" s="3686">
        <f ca="1">'PIP finance'!K889</f>
        <v>1465</v>
      </c>
      <c r="AF115" s="3686">
        <f ca="1">'PIP finance'!L889</f>
        <v>1531</v>
      </c>
      <c r="AG115" s="3687">
        <f ca="1">'PIP finance'!M889</f>
        <v>1600</v>
      </c>
      <c r="AH115" s="3464"/>
      <c r="AI115" s="993"/>
    </row>
    <row r="116" spans="1:48" s="465" customFormat="1" ht="15" customHeight="1" x14ac:dyDescent="0.25">
      <c r="B116" s="1598"/>
      <c r="C116" s="3464"/>
      <c r="D116" s="7098"/>
      <c r="E116" s="6986"/>
      <c r="F116" s="6986"/>
      <c r="G116" s="6986"/>
      <c r="H116" s="6986"/>
      <c r="I116" s="6986"/>
      <c r="J116" s="6986"/>
      <c r="K116" s="6986"/>
      <c r="L116" s="6986"/>
      <c r="M116" s="6986"/>
      <c r="N116" s="6986"/>
      <c r="O116" s="7108"/>
      <c r="P116" s="3464"/>
      <c r="Q116" s="1601"/>
      <c r="R116" s="3469"/>
      <c r="S116" s="7084" t="s">
        <v>480</v>
      </c>
      <c r="T116" s="7085"/>
      <c r="U116" s="7085"/>
      <c r="V116" s="7085"/>
      <c r="W116" s="7085"/>
      <c r="X116" s="3695">
        <f ca="1">'PIP finance'!D890</f>
        <v>90</v>
      </c>
      <c r="Y116" s="3695">
        <f ca="1">'PIP finance'!E890</f>
        <v>136</v>
      </c>
      <c r="Z116" s="3695">
        <f ca="1">'PIP finance'!F890</f>
        <v>130</v>
      </c>
      <c r="AA116" s="3695">
        <f ca="1">'PIP finance'!G890</f>
        <v>132</v>
      </c>
      <c r="AB116" s="3695">
        <f ca="1">'PIP finance'!H890</f>
        <v>137</v>
      </c>
      <c r="AC116" s="3695">
        <f ca="1">'PIP finance'!I890</f>
        <v>-38</v>
      </c>
      <c r="AD116" s="3695">
        <f ca="1">'PIP finance'!J890</f>
        <v>-225</v>
      </c>
      <c r="AE116" s="3695">
        <f ca="1">'PIP finance'!K890</f>
        <v>-418</v>
      </c>
      <c r="AF116" s="3695">
        <f ca="1">'PIP finance'!L890</f>
        <v>-618</v>
      </c>
      <c r="AG116" s="3696">
        <f ca="1">'PIP finance'!M890</f>
        <v>-825</v>
      </c>
      <c r="AH116" s="3464"/>
      <c r="AI116" s="993"/>
    </row>
    <row r="117" spans="1:48" s="465" customFormat="1" ht="15.75" thickBot="1" x14ac:dyDescent="0.3">
      <c r="B117" s="1598"/>
      <c r="C117" s="3464"/>
      <c r="D117" s="3523"/>
      <c r="E117" s="3524"/>
      <c r="F117" s="3524"/>
      <c r="G117" s="3524"/>
      <c r="H117" s="3524"/>
      <c r="I117" s="3524"/>
      <c r="J117" s="3524"/>
      <c r="K117" s="3524"/>
      <c r="L117" s="3524"/>
      <c r="M117" s="3524"/>
      <c r="N117" s="3524"/>
      <c r="O117" s="3525"/>
      <c r="P117" s="3464"/>
      <c r="Q117" s="1601"/>
      <c r="R117" s="3469"/>
      <c r="S117" s="7092"/>
      <c r="T117" s="7093"/>
      <c r="U117" s="7093"/>
      <c r="V117" s="7093"/>
      <c r="W117" s="7093"/>
      <c r="X117" s="7093"/>
      <c r="Y117" s="7093"/>
      <c r="Z117" s="7093"/>
      <c r="AA117" s="7093"/>
      <c r="AB117" s="7093"/>
      <c r="AC117" s="7093"/>
      <c r="AD117" s="7093"/>
      <c r="AE117" s="7093"/>
      <c r="AF117" s="7093"/>
      <c r="AG117" s="7094"/>
      <c r="AH117" s="3464"/>
      <c r="AI117" s="993"/>
    </row>
    <row r="118" spans="1:48" s="465" customFormat="1" x14ac:dyDescent="0.25">
      <c r="B118" s="1598"/>
      <c r="C118" s="3464"/>
      <c r="D118" s="3461"/>
      <c r="E118" s="3461"/>
      <c r="F118" s="3461"/>
      <c r="G118" s="3462"/>
      <c r="H118" s="3462"/>
      <c r="I118" s="3462"/>
      <c r="J118" s="3462"/>
      <c r="K118" s="3461"/>
      <c r="L118" s="3462"/>
      <c r="M118" s="3462"/>
      <c r="N118" s="3462"/>
      <c r="O118" s="3463"/>
      <c r="P118" s="3464"/>
      <c r="Q118" s="1601"/>
      <c r="R118" s="3469"/>
      <c r="S118" s="3469"/>
      <c r="T118" s="3469"/>
      <c r="U118" s="3469"/>
      <c r="V118" s="3469"/>
      <c r="W118" s="3469"/>
      <c r="X118" s="3526"/>
      <c r="Y118" s="3526"/>
      <c r="Z118" s="3526"/>
      <c r="AA118" s="3526"/>
      <c r="AB118" s="3526"/>
      <c r="AC118" s="3526"/>
      <c r="AD118" s="3526"/>
      <c r="AE118" s="3526"/>
      <c r="AF118" s="3526"/>
      <c r="AG118" s="3526"/>
      <c r="AH118" s="3464"/>
      <c r="AI118" s="993"/>
    </row>
    <row r="119" spans="1:48" s="465" customFormat="1" x14ac:dyDescent="0.25">
      <c r="B119" s="1598"/>
      <c r="C119" s="1598"/>
      <c r="D119" s="1598"/>
      <c r="E119" s="3527"/>
      <c r="F119" s="3527"/>
      <c r="G119" s="1598"/>
      <c r="H119" s="1598"/>
      <c r="I119" s="1598"/>
      <c r="J119" s="1598"/>
      <c r="K119" s="1598"/>
      <c r="L119" s="1598"/>
      <c r="M119" s="1598"/>
      <c r="N119" s="1598"/>
      <c r="O119" s="1598"/>
      <c r="P119" s="1598"/>
      <c r="Q119" s="1598"/>
      <c r="R119" s="1598"/>
      <c r="S119" s="1598"/>
      <c r="T119" s="1598"/>
      <c r="U119" s="1598"/>
      <c r="V119" s="1598"/>
      <c r="W119" s="1598"/>
      <c r="X119" s="3528"/>
      <c r="Y119" s="3528"/>
      <c r="Z119" s="3528"/>
      <c r="AA119" s="3528"/>
      <c r="AB119" s="3528"/>
      <c r="AC119" s="3528"/>
      <c r="AD119" s="3528"/>
      <c r="AE119" s="3528"/>
      <c r="AF119" s="3528"/>
      <c r="AG119" s="3528"/>
      <c r="AH119" s="1598"/>
      <c r="AI119" s="993"/>
    </row>
    <row r="120" spans="1:48" s="465" customFormat="1" x14ac:dyDescent="0.25">
      <c r="B120" s="1598"/>
      <c r="C120" s="1598"/>
      <c r="D120" s="1598"/>
      <c r="E120" s="1598"/>
      <c r="F120" s="1598"/>
      <c r="G120" s="1598"/>
      <c r="H120" s="1598"/>
      <c r="I120" s="1598"/>
      <c r="J120" s="1598"/>
      <c r="K120" s="1598"/>
      <c r="L120" s="1598"/>
      <c r="M120" s="1598"/>
      <c r="N120" s="1598"/>
      <c r="O120" s="1598"/>
      <c r="P120" s="1598"/>
      <c r="Q120" s="1598"/>
      <c r="R120" s="1598"/>
      <c r="S120" s="1598"/>
      <c r="T120" s="1598"/>
      <c r="U120" s="1598"/>
      <c r="V120" s="1598"/>
      <c r="W120" s="1598"/>
      <c r="X120" s="3528"/>
      <c r="Y120" s="3528"/>
      <c r="Z120" s="3528"/>
      <c r="AA120" s="3528"/>
      <c r="AB120" s="3528"/>
      <c r="AC120" s="3528"/>
      <c r="AD120" s="3528"/>
      <c r="AE120" s="3528"/>
      <c r="AF120" s="3528"/>
      <c r="AG120" s="3528"/>
      <c r="AH120" s="1598"/>
      <c r="AI120" s="993"/>
    </row>
    <row r="121" spans="1:48" s="465" customFormat="1" x14ac:dyDescent="0.25">
      <c r="B121" s="1598"/>
      <c r="C121" s="1598"/>
      <c r="D121" s="1598"/>
      <c r="E121" s="1598"/>
      <c r="F121" s="1598"/>
      <c r="G121" s="1598"/>
      <c r="H121" s="1598"/>
      <c r="I121" s="1598"/>
      <c r="J121" s="1598"/>
      <c r="K121" s="1598"/>
      <c r="L121" s="1598"/>
      <c r="M121" s="1598"/>
      <c r="N121" s="1598"/>
      <c r="O121" s="1598"/>
      <c r="P121" s="3495"/>
      <c r="Q121" s="1601"/>
      <c r="R121" s="1601"/>
      <c r="S121" s="1601"/>
      <c r="T121" s="1601"/>
      <c r="U121" s="1601"/>
      <c r="V121" s="1601"/>
      <c r="W121" s="1601"/>
      <c r="X121" s="1601"/>
      <c r="Y121" s="1601"/>
      <c r="Z121" s="1601"/>
      <c r="AA121" s="1601"/>
      <c r="AB121" s="1601"/>
      <c r="AC121" s="1601"/>
      <c r="AD121" s="1601"/>
      <c r="AE121" s="1601"/>
      <c r="AF121" s="1601"/>
      <c r="AG121" s="1601"/>
      <c r="AH121" s="1601"/>
      <c r="AI121" s="993"/>
    </row>
    <row r="122" spans="1:48" s="535" customFormat="1" ht="31.5" customHeight="1" x14ac:dyDescent="0.25">
      <c r="B122" s="3457"/>
      <c r="C122" s="3457"/>
      <c r="D122" s="3458" t="s">
        <v>3825</v>
      </c>
      <c r="E122" s="3459"/>
      <c r="F122" s="3459"/>
      <c r="G122" s="3459"/>
      <c r="H122" s="3459"/>
      <c r="I122" s="3459"/>
      <c r="J122" s="3459"/>
      <c r="K122" s="3459"/>
      <c r="L122" s="3459"/>
      <c r="M122" s="3459"/>
      <c r="N122" s="3459"/>
      <c r="O122" s="3459"/>
      <c r="P122" s="3459"/>
      <c r="Q122" s="3459"/>
      <c r="R122" s="3459"/>
      <c r="S122" s="3459"/>
      <c r="T122" s="3459"/>
      <c r="U122" s="3459"/>
      <c r="V122" s="3459"/>
      <c r="W122" s="3459"/>
      <c r="X122" s="3459"/>
      <c r="Y122" s="3459"/>
      <c r="Z122" s="3459"/>
      <c r="AA122" s="3459"/>
      <c r="AB122" s="3459"/>
      <c r="AC122" s="3459"/>
      <c r="AD122" s="3459"/>
      <c r="AE122" s="3459"/>
      <c r="AF122" s="3459"/>
      <c r="AG122" s="3459"/>
      <c r="AH122" s="3459"/>
      <c r="AI122" s="1393"/>
      <c r="AL122" s="465"/>
      <c r="AM122" s="465"/>
      <c r="AN122" s="465"/>
      <c r="AO122" s="465"/>
      <c r="AP122" s="465"/>
      <c r="AQ122" s="465"/>
      <c r="AR122" s="465"/>
      <c r="AS122" s="465"/>
      <c r="AT122" s="465"/>
      <c r="AU122" s="465"/>
      <c r="AV122" s="465"/>
    </row>
    <row r="123" spans="1:48" s="492" customFormat="1" ht="15.75" thickBot="1" x14ac:dyDescent="0.3">
      <c r="A123" s="494"/>
      <c r="B123" s="1364"/>
      <c r="C123" s="1364"/>
      <c r="D123" s="1364"/>
      <c r="E123" s="1364"/>
      <c r="F123" s="1364"/>
      <c r="G123" s="1364"/>
      <c r="H123" s="1364"/>
      <c r="I123" s="1364"/>
      <c r="J123" s="1364"/>
      <c r="K123" s="1364"/>
      <c r="L123" s="1364"/>
      <c r="M123" s="1364"/>
      <c r="N123" s="1364"/>
      <c r="O123" s="1364"/>
      <c r="P123" s="1364"/>
      <c r="Q123" s="1364"/>
      <c r="R123" s="1446"/>
      <c r="S123" s="1446"/>
      <c r="T123" s="1446"/>
      <c r="U123" s="1446"/>
      <c r="V123" s="1446"/>
      <c r="W123" s="1446"/>
      <c r="X123" s="1446"/>
      <c r="Y123" s="1446"/>
      <c r="Z123" s="1446"/>
      <c r="AA123" s="1446"/>
      <c r="AB123" s="1446"/>
      <c r="AC123" s="1446"/>
      <c r="AD123" s="1446"/>
      <c r="AE123" s="1446"/>
      <c r="AF123" s="1446"/>
      <c r="AG123" s="1446"/>
      <c r="AH123" s="1446"/>
      <c r="AI123" s="991"/>
    </row>
    <row r="124" spans="1:48" s="474" customFormat="1" ht="25.5" customHeight="1" thickTop="1" x14ac:dyDescent="0.25">
      <c r="B124" s="1706"/>
      <c r="C124" s="3529"/>
      <c r="D124" s="6976" t="s">
        <v>3870</v>
      </c>
      <c r="E124" s="6976"/>
      <c r="F124" s="6976"/>
      <c r="G124" s="6976"/>
      <c r="H124" s="6976"/>
      <c r="I124" s="6976"/>
      <c r="J124" s="6976"/>
      <c r="K124" s="6976"/>
      <c r="L124" s="3530" t="s">
        <v>184</v>
      </c>
      <c r="M124" s="6978" t="s">
        <v>3858</v>
      </c>
      <c r="N124" s="6978"/>
      <c r="O124" s="6978"/>
      <c r="P124" s="3531"/>
      <c r="Q124" s="3495"/>
      <c r="R124" s="3495"/>
      <c r="S124" s="3495"/>
      <c r="T124" s="3495"/>
      <c r="U124" s="3495"/>
      <c r="V124" s="3495"/>
      <c r="W124" s="3495"/>
      <c r="X124" s="3495"/>
      <c r="Y124" s="3495"/>
      <c r="Z124" s="3495"/>
      <c r="AA124" s="3495"/>
      <c r="AB124" s="3495"/>
      <c r="AC124" s="3495"/>
      <c r="AD124" s="3495"/>
      <c r="AE124" s="3495"/>
      <c r="AF124" s="3495"/>
      <c r="AG124" s="3495"/>
      <c r="AH124" s="3495"/>
      <c r="AI124" s="475"/>
    </row>
    <row r="125" spans="1:48" s="492" customFormat="1" ht="23.25" customHeight="1" x14ac:dyDescent="0.25">
      <c r="A125" s="494"/>
      <c r="B125" s="3532"/>
      <c r="C125" s="3533"/>
      <c r="D125" s="3534" t="s">
        <v>3869</v>
      </c>
      <c r="E125" s="3535"/>
      <c r="F125" s="3535"/>
      <c r="G125" s="3535"/>
      <c r="H125" s="3535"/>
      <c r="I125" s="3535"/>
      <c r="J125" s="3535"/>
      <c r="K125" s="3535"/>
      <c r="L125" s="3535"/>
      <c r="M125" s="3535"/>
      <c r="N125" s="3535"/>
      <c r="O125" s="3536"/>
      <c r="P125" s="1815"/>
      <c r="Q125" s="1364"/>
      <c r="R125" s="1446"/>
      <c r="S125" s="1446"/>
      <c r="T125" s="1446"/>
      <c r="U125" s="1446"/>
      <c r="V125" s="1446"/>
      <c r="W125" s="1446"/>
      <c r="X125" s="1446"/>
      <c r="Y125" s="1446"/>
      <c r="Z125" s="1446"/>
      <c r="AA125" s="1446"/>
      <c r="AB125" s="1446"/>
      <c r="AC125" s="1446"/>
      <c r="AD125" s="1446"/>
      <c r="AE125" s="1446"/>
      <c r="AF125" s="1446"/>
      <c r="AG125" s="1446"/>
      <c r="AH125" s="1446"/>
      <c r="AI125" s="794"/>
    </row>
    <row r="126" spans="1:48" ht="15" customHeight="1" x14ac:dyDescent="0.25">
      <c r="B126" s="1364"/>
      <c r="C126" s="3533"/>
      <c r="D126" s="7109" t="s">
        <v>703</v>
      </c>
      <c r="E126" s="7002"/>
      <c r="F126" s="7110"/>
      <c r="G126" s="6987" t="s">
        <v>18</v>
      </c>
      <c r="H126" s="6948" t="s">
        <v>1914</v>
      </c>
      <c r="I126" s="6948"/>
      <c r="J126" s="6990" t="s">
        <v>709</v>
      </c>
      <c r="K126" s="6990"/>
      <c r="L126" s="6990"/>
      <c r="M126" s="6990"/>
      <c r="N126" s="6990"/>
      <c r="O126" s="6991"/>
      <c r="P126" s="1832"/>
      <c r="Q126" s="1364"/>
      <c r="R126" s="1341"/>
      <c r="S126" s="1341"/>
      <c r="T126" s="1341"/>
      <c r="U126" s="1341"/>
      <c r="V126" s="1341"/>
      <c r="W126" s="1341"/>
      <c r="X126" s="1341"/>
      <c r="Y126" s="1341"/>
      <c r="Z126" s="1341"/>
      <c r="AA126" s="1341"/>
      <c r="AB126" s="1341"/>
      <c r="AC126" s="1341"/>
      <c r="AD126" s="1341"/>
      <c r="AE126" s="1341"/>
      <c r="AF126" s="1341"/>
      <c r="AG126" s="1341"/>
      <c r="AH126" s="1341"/>
      <c r="AI126" s="991"/>
    </row>
    <row r="127" spans="1:48" ht="29.25" customHeight="1" x14ac:dyDescent="0.25">
      <c r="B127" s="1364"/>
      <c r="C127" s="3533"/>
      <c r="D127" s="7111"/>
      <c r="E127" s="7112"/>
      <c r="F127" s="7113"/>
      <c r="G127" s="6988"/>
      <c r="H127" s="7095"/>
      <c r="I127" s="7095"/>
      <c r="J127" s="7095" t="s">
        <v>710</v>
      </c>
      <c r="K127" s="7095"/>
      <c r="L127" s="7095" t="s">
        <v>708</v>
      </c>
      <c r="M127" s="7095"/>
      <c r="N127" s="7095" t="s">
        <v>773</v>
      </c>
      <c r="O127" s="7096"/>
      <c r="P127" s="1815"/>
      <c r="Q127" s="1364"/>
      <c r="R127" s="1341"/>
      <c r="S127" s="1341"/>
      <c r="T127" s="1341"/>
      <c r="U127" s="1341"/>
      <c r="V127" s="1341"/>
      <c r="W127" s="1341"/>
      <c r="X127" s="1341"/>
      <c r="Y127" s="1341"/>
      <c r="Z127" s="1341"/>
      <c r="AA127" s="1341"/>
      <c r="AB127" s="1341"/>
      <c r="AC127" s="1341"/>
      <c r="AD127" s="1341"/>
      <c r="AE127" s="1341"/>
      <c r="AF127" s="1341"/>
      <c r="AG127" s="1341"/>
      <c r="AH127" s="1341"/>
      <c r="AI127" s="991"/>
    </row>
    <row r="128" spans="1:48" s="492" customFormat="1" ht="15.75" x14ac:dyDescent="0.25">
      <c r="A128" s="494"/>
      <c r="B128" s="1364"/>
      <c r="C128" s="3533"/>
      <c r="D128" s="7114"/>
      <c r="E128" s="7115"/>
      <c r="F128" s="7116"/>
      <c r="G128" s="6989"/>
      <c r="H128" s="7117">
        <f>Population!$E$47</f>
        <v>0</v>
      </c>
      <c r="I128" s="7118"/>
      <c r="J128" s="7101">
        <v>0.98</v>
      </c>
      <c r="K128" s="7101"/>
      <c r="L128" s="7102">
        <v>2015</v>
      </c>
      <c r="M128" s="7102"/>
      <c r="N128" s="7099">
        <v>2017</v>
      </c>
      <c r="O128" s="7100"/>
      <c r="P128" s="1832"/>
      <c r="Q128" s="1364"/>
      <c r="R128" s="1446"/>
      <c r="S128" s="1446"/>
      <c r="T128" s="1446"/>
      <c r="U128" s="1446"/>
      <c r="V128" s="1446"/>
      <c r="W128" s="1446"/>
      <c r="X128" s="1446"/>
      <c r="Y128" s="1446"/>
      <c r="Z128" s="1446"/>
      <c r="AA128" s="1446"/>
      <c r="AB128" s="1446"/>
      <c r="AC128" s="1446"/>
      <c r="AD128" s="1446"/>
      <c r="AE128" s="1446"/>
      <c r="AF128" s="1446"/>
      <c r="AG128" s="1446"/>
      <c r="AH128" s="1446"/>
      <c r="AI128" s="991"/>
    </row>
    <row r="129" spans="1:51" s="492" customFormat="1" ht="23.25" customHeight="1" x14ac:dyDescent="0.25">
      <c r="A129" s="494"/>
      <c r="B129" s="3532"/>
      <c r="C129" s="3533"/>
      <c r="D129" s="3537" t="s">
        <v>2078</v>
      </c>
      <c r="E129" s="1815"/>
      <c r="F129" s="1815"/>
      <c r="G129" s="1815"/>
      <c r="H129" s="1815"/>
      <c r="I129" s="1815"/>
      <c r="J129" s="1815"/>
      <c r="K129" s="1815"/>
      <c r="L129" s="1815"/>
      <c r="M129" s="1815"/>
      <c r="N129" s="1815"/>
      <c r="O129" s="3538"/>
      <c r="P129" s="1815"/>
      <c r="Q129" s="1364"/>
      <c r="R129" s="1446"/>
      <c r="S129" s="1446"/>
      <c r="T129" s="1446"/>
      <c r="U129" s="1446"/>
      <c r="V129" s="1446"/>
      <c r="W129" s="1446"/>
      <c r="X129" s="1446"/>
      <c r="Y129" s="1446"/>
      <c r="Z129" s="1446"/>
      <c r="AA129" s="1446"/>
      <c r="AB129" s="1446"/>
      <c r="AC129" s="1446"/>
      <c r="AD129" s="1446"/>
      <c r="AE129" s="1446"/>
      <c r="AF129" s="1446"/>
      <c r="AG129" s="1446"/>
      <c r="AH129" s="1446"/>
      <c r="AI129" s="794"/>
    </row>
    <row r="130" spans="1:51" s="492" customFormat="1" ht="15" customHeight="1" x14ac:dyDescent="0.25">
      <c r="A130" s="494"/>
      <c r="B130" s="1364"/>
      <c r="C130" s="1815"/>
      <c r="D130" s="6949" t="s">
        <v>1075</v>
      </c>
      <c r="E130" s="6950"/>
      <c r="F130" s="6951"/>
      <c r="G130" s="6951"/>
      <c r="H130" s="6960" t="s">
        <v>1915</v>
      </c>
      <c r="I130" s="6960"/>
      <c r="J130" s="6960" t="s">
        <v>709</v>
      </c>
      <c r="K130" s="6960"/>
      <c r="L130" s="6960"/>
      <c r="M130" s="6960"/>
      <c r="N130" s="6960"/>
      <c r="O130" s="6962"/>
      <c r="P130" s="1832"/>
      <c r="Q130" s="1364"/>
      <c r="R130" s="1446"/>
      <c r="S130" s="1446"/>
      <c r="T130" s="1446"/>
      <c r="U130" s="1446"/>
      <c r="V130" s="1446"/>
      <c r="W130" s="1446"/>
      <c r="X130" s="1446"/>
      <c r="Y130" s="1446"/>
      <c r="Z130" s="1446"/>
      <c r="AA130" s="1446"/>
      <c r="AB130" s="1446"/>
      <c r="AC130" s="1446"/>
      <c r="AD130" s="1446"/>
      <c r="AE130" s="1446"/>
      <c r="AF130" s="1446"/>
      <c r="AG130" s="1446"/>
      <c r="AH130" s="1446"/>
      <c r="AI130" s="991"/>
    </row>
    <row r="131" spans="1:51" s="492" customFormat="1" ht="29.25" customHeight="1" x14ac:dyDescent="0.25">
      <c r="A131" s="494"/>
      <c r="B131" s="1364"/>
      <c r="C131" s="1815"/>
      <c r="D131" s="6949"/>
      <c r="E131" s="6950"/>
      <c r="F131" s="6951"/>
      <c r="G131" s="6951"/>
      <c r="H131" s="6960"/>
      <c r="I131" s="6960"/>
      <c r="J131" s="6948" t="s">
        <v>710</v>
      </c>
      <c r="K131" s="6948"/>
      <c r="L131" s="6948" t="s">
        <v>708</v>
      </c>
      <c r="M131" s="6948"/>
      <c r="N131" s="6948" t="s">
        <v>773</v>
      </c>
      <c r="O131" s="6961"/>
      <c r="P131" s="3464"/>
      <c r="Q131" s="1364"/>
      <c r="R131" s="1446"/>
      <c r="S131" s="1446"/>
      <c r="T131" s="1446"/>
      <c r="U131" s="1446"/>
      <c r="V131" s="1446"/>
      <c r="W131" s="1446"/>
      <c r="X131" s="1446"/>
      <c r="Y131" s="1446"/>
      <c r="Z131" s="1446"/>
      <c r="AA131" s="1446"/>
      <c r="AB131" s="1446"/>
      <c r="AC131" s="1446"/>
      <c r="AD131" s="1446"/>
      <c r="AE131" s="1446"/>
      <c r="AF131" s="1446"/>
      <c r="AG131" s="1446"/>
      <c r="AH131" s="1446"/>
      <c r="AI131" s="991"/>
    </row>
    <row r="132" spans="1:51" s="492" customFormat="1" ht="15" customHeight="1" x14ac:dyDescent="0.25">
      <c r="A132" s="494"/>
      <c r="B132" s="1364"/>
      <c r="C132" s="1815"/>
      <c r="D132" s="6949" t="s">
        <v>1916</v>
      </c>
      <c r="E132" s="6950"/>
      <c r="F132" s="6951"/>
      <c r="G132" s="3953" t="s">
        <v>18</v>
      </c>
      <c r="H132" s="6954">
        <f>'WS calcu'!E507</f>
        <v>0.82949606128872833</v>
      </c>
      <c r="I132" s="6955"/>
      <c r="J132" s="6956">
        <v>0.95</v>
      </c>
      <c r="K132" s="6956"/>
      <c r="L132" s="6957">
        <v>2015</v>
      </c>
      <c r="M132" s="6957"/>
      <c r="N132" s="6958">
        <v>2018</v>
      </c>
      <c r="O132" s="6959"/>
      <c r="P132" s="3464"/>
      <c r="Q132" s="1364"/>
      <c r="R132" s="1446"/>
      <c r="S132" s="1446"/>
      <c r="T132" s="3539"/>
      <c r="U132" s="3539"/>
      <c r="V132" s="3539"/>
      <c r="W132" s="3539"/>
      <c r="X132" s="3539"/>
      <c r="Y132" s="3539"/>
      <c r="Z132" s="3539"/>
      <c r="AA132" s="3539"/>
      <c r="AB132" s="3539"/>
      <c r="AC132" s="3539"/>
      <c r="AD132" s="1446"/>
      <c r="AE132" s="1446"/>
      <c r="AF132" s="1446"/>
      <c r="AG132" s="1446"/>
      <c r="AH132" s="1446"/>
      <c r="AI132" s="991"/>
    </row>
    <row r="133" spans="1:51" s="492" customFormat="1" ht="15" customHeight="1" x14ac:dyDescent="0.25">
      <c r="A133" s="494"/>
      <c r="B133" s="1364"/>
      <c r="C133" s="1815"/>
      <c r="D133" s="6949" t="s">
        <v>1359</v>
      </c>
      <c r="E133" s="6950"/>
      <c r="F133" s="6951"/>
      <c r="G133" s="3953" t="s">
        <v>18</v>
      </c>
      <c r="H133" s="6954">
        <f>'WS calcu'!$E$511</f>
        <v>0.63744563319505887</v>
      </c>
      <c r="I133" s="6955"/>
      <c r="J133" s="7103">
        <v>0.8</v>
      </c>
      <c r="K133" s="7103"/>
      <c r="L133" s="7104">
        <v>2015</v>
      </c>
      <c r="M133" s="7104"/>
      <c r="N133" s="7105">
        <v>2016</v>
      </c>
      <c r="O133" s="7106"/>
      <c r="P133" s="3464"/>
      <c r="Q133" s="1364"/>
      <c r="R133" s="1446"/>
      <c r="S133" s="1446"/>
      <c r="T133" s="3539"/>
      <c r="U133" s="3539"/>
      <c r="V133" s="3539"/>
      <c r="W133" s="3539"/>
      <c r="X133" s="3539"/>
      <c r="Y133" s="3539"/>
      <c r="Z133" s="3539"/>
      <c r="AA133" s="3539"/>
      <c r="AB133" s="3539"/>
      <c r="AC133" s="3539"/>
      <c r="AD133" s="1446"/>
      <c r="AE133" s="1446"/>
      <c r="AF133" s="1446"/>
      <c r="AG133" s="1446"/>
      <c r="AH133" s="1446"/>
      <c r="AI133" s="991"/>
    </row>
    <row r="134" spans="1:51" s="492" customFormat="1" ht="23.25" customHeight="1" x14ac:dyDescent="0.25">
      <c r="A134" s="494"/>
      <c r="B134" s="3532"/>
      <c r="C134" s="1815"/>
      <c r="D134" s="3537" t="s">
        <v>1089</v>
      </c>
      <c r="E134" s="1815"/>
      <c r="F134" s="1815"/>
      <c r="G134" s="1815"/>
      <c r="H134" s="1815"/>
      <c r="I134" s="1815"/>
      <c r="J134" s="1815"/>
      <c r="K134" s="1815"/>
      <c r="L134" s="1815"/>
      <c r="M134" s="1815"/>
      <c r="N134" s="1815"/>
      <c r="O134" s="3538"/>
      <c r="P134" s="3464"/>
      <c r="Q134" s="1364"/>
      <c r="R134" s="1446"/>
      <c r="S134" s="1446"/>
      <c r="T134" s="1446"/>
      <c r="U134" s="1446"/>
      <c r="V134" s="1446"/>
      <c r="W134" s="1446"/>
      <c r="X134" s="1446"/>
      <c r="Y134" s="1446"/>
      <c r="Z134" s="1446"/>
      <c r="AA134" s="1446"/>
      <c r="AB134" s="1446"/>
      <c r="AC134" s="1446"/>
      <c r="AD134" s="1446"/>
      <c r="AE134" s="1446"/>
      <c r="AF134" s="1446"/>
      <c r="AG134" s="1446"/>
      <c r="AH134" s="1446"/>
      <c r="AI134" s="794"/>
    </row>
    <row r="135" spans="1:51" s="492" customFormat="1" ht="15.75" customHeight="1" x14ac:dyDescent="0.25">
      <c r="A135" s="494"/>
      <c r="B135" s="3532"/>
      <c r="C135" s="1815"/>
      <c r="D135" s="6901" t="s">
        <v>2081</v>
      </c>
      <c r="E135" s="6902"/>
      <c r="F135" s="6903"/>
      <c r="G135" s="6903"/>
      <c r="H135" s="6903"/>
      <c r="I135" s="6903"/>
      <c r="J135" s="6963">
        <f>'WS calcu'!E501</f>
        <v>0</v>
      </c>
      <c r="K135" s="6963"/>
      <c r="L135" s="6963"/>
      <c r="M135" s="6963"/>
      <c r="N135" s="6963"/>
      <c r="O135" s="6964"/>
      <c r="P135" s="3464"/>
      <c r="Q135" s="1364"/>
      <c r="R135" s="1446"/>
      <c r="S135" s="1446"/>
      <c r="T135" s="1446"/>
      <c r="U135" s="1446"/>
      <c r="V135" s="1446"/>
      <c r="W135" s="1446"/>
      <c r="X135" s="1446"/>
      <c r="Y135" s="1446"/>
      <c r="Z135" s="1446"/>
      <c r="AA135" s="1446"/>
      <c r="AB135" s="1446"/>
      <c r="AC135" s="1446"/>
      <c r="AD135" s="1446"/>
      <c r="AE135" s="1446"/>
      <c r="AF135" s="1446"/>
      <c r="AG135" s="1446"/>
      <c r="AH135" s="1446"/>
      <c r="AI135" s="794"/>
    </row>
    <row r="136" spans="1:51" ht="15.75" customHeight="1" x14ac:dyDescent="0.25">
      <c r="B136" s="3532"/>
      <c r="C136" s="1815"/>
      <c r="D136" s="6887" t="s">
        <v>2079</v>
      </c>
      <c r="E136" s="6888"/>
      <c r="F136" s="3945">
        <f t="shared" ref="F136:O136" si="24">E$68</f>
        <v>2015</v>
      </c>
      <c r="G136" s="3945">
        <f t="shared" si="24"/>
        <v>2016</v>
      </c>
      <c r="H136" s="3945">
        <f t="shared" si="24"/>
        <v>2017</v>
      </c>
      <c r="I136" s="3945">
        <f t="shared" si="24"/>
        <v>2018</v>
      </c>
      <c r="J136" s="3945">
        <f t="shared" si="24"/>
        <v>2019</v>
      </c>
      <c r="K136" s="3945">
        <f t="shared" si="24"/>
        <v>2020</v>
      </c>
      <c r="L136" s="3945">
        <f t="shared" si="24"/>
        <v>2021</v>
      </c>
      <c r="M136" s="3945">
        <f t="shared" si="24"/>
        <v>2022</v>
      </c>
      <c r="N136" s="3945">
        <f t="shared" si="24"/>
        <v>2023</v>
      </c>
      <c r="O136" s="3946">
        <f t="shared" si="24"/>
        <v>2024</v>
      </c>
      <c r="P136" s="1832"/>
      <c r="Q136" s="1364"/>
      <c r="R136" s="1341"/>
      <c r="S136" s="1341"/>
      <c r="T136" s="1341"/>
      <c r="U136" s="1341"/>
      <c r="V136" s="1341"/>
      <c r="W136" s="1341"/>
      <c r="X136" s="1341"/>
      <c r="Y136" s="1341"/>
      <c r="Z136" s="1341"/>
      <c r="AA136" s="1341"/>
      <c r="AB136" s="1341"/>
      <c r="AC136" s="1341"/>
      <c r="AD136" s="1341"/>
      <c r="AE136" s="1341"/>
      <c r="AF136" s="1341"/>
      <c r="AG136" s="1341"/>
      <c r="AH136" s="1341"/>
      <c r="AI136" s="794"/>
    </row>
    <row r="137" spans="1:51" ht="15.75" x14ac:dyDescent="0.25">
      <c r="B137" s="3532"/>
      <c r="C137" s="1815"/>
      <c r="D137" s="6891"/>
      <c r="E137" s="6892"/>
      <c r="F137" s="3895"/>
      <c r="G137" s="3896"/>
      <c r="H137" s="3896">
        <v>0.1</v>
      </c>
      <c r="I137" s="3896"/>
      <c r="J137" s="3896"/>
      <c r="K137" s="3896">
        <v>0.1</v>
      </c>
      <c r="L137" s="3896"/>
      <c r="M137" s="3896"/>
      <c r="N137" s="3896">
        <v>0.1</v>
      </c>
      <c r="O137" s="5508"/>
      <c r="P137" s="1832"/>
      <c r="Q137" s="1364"/>
      <c r="R137" s="1341"/>
      <c r="S137" s="1341"/>
      <c r="T137" s="1341"/>
      <c r="U137" s="1341"/>
      <c r="V137" s="1341"/>
      <c r="W137" s="1341"/>
      <c r="X137" s="1341"/>
      <c r="Y137" s="1341"/>
      <c r="Z137" s="1341"/>
      <c r="AA137" s="1341"/>
      <c r="AB137" s="1341"/>
      <c r="AC137" s="1341"/>
      <c r="AD137" s="1341"/>
      <c r="AE137" s="1341"/>
      <c r="AF137" s="1341"/>
      <c r="AG137" s="1341"/>
      <c r="AH137" s="1341"/>
      <c r="AI137" s="794"/>
    </row>
    <row r="138" spans="1:51" s="492" customFormat="1" ht="23.25" customHeight="1" x14ac:dyDescent="0.25">
      <c r="A138" s="494"/>
      <c r="B138" s="3532"/>
      <c r="C138" s="1815"/>
      <c r="D138" s="3540" t="s">
        <v>3826</v>
      </c>
      <c r="E138" s="3541"/>
      <c r="F138" s="3541"/>
      <c r="G138" s="3541"/>
      <c r="H138" s="3541"/>
      <c r="I138" s="3541"/>
      <c r="J138" s="3541"/>
      <c r="K138" s="3541"/>
      <c r="L138" s="3541"/>
      <c r="M138" s="3541"/>
      <c r="N138" s="3541"/>
      <c r="O138" s="3542"/>
      <c r="P138" s="3464"/>
      <c r="Q138" s="1364"/>
      <c r="R138" s="1446"/>
      <c r="S138" s="1446"/>
      <c r="T138" s="1446"/>
      <c r="U138" s="1446"/>
      <c r="V138" s="1446"/>
      <c r="W138" s="1446"/>
      <c r="X138" s="1446"/>
      <c r="Y138" s="1446"/>
      <c r="Z138" s="1446"/>
      <c r="AA138" s="1446"/>
      <c r="AB138" s="1446"/>
      <c r="AC138" s="1446"/>
      <c r="AD138" s="1446"/>
      <c r="AE138" s="1446"/>
      <c r="AF138" s="1446"/>
      <c r="AG138" s="1446"/>
      <c r="AH138" s="1446"/>
      <c r="AI138" s="794"/>
    </row>
    <row r="139" spans="1:51" s="492" customFormat="1" ht="15.75" customHeight="1" x14ac:dyDescent="0.25">
      <c r="A139" s="494"/>
      <c r="B139" s="3532"/>
      <c r="C139" s="1815"/>
      <c r="D139" s="6901" t="str">
        <f>CONCATENATE("Aggregate demand of other taxes and charges in last year"," (",'General info'!E43,'General info'!G43,")")</f>
        <v>Aggregate demand of other taxes and charges in last year (INRLakhs)</v>
      </c>
      <c r="E139" s="6902"/>
      <c r="F139" s="6903"/>
      <c r="G139" s="6903"/>
      <c r="H139" s="6903"/>
      <c r="I139" s="6903"/>
      <c r="J139" s="3672">
        <f>'Finance info'!I82</f>
        <v>134.65555000000001</v>
      </c>
      <c r="K139" s="6965" t="str">
        <f>CONCATENATE("Avg. demand/ property/ annum ",'General info'!E43)</f>
        <v>Avg. demand/ property/ annum INR</v>
      </c>
      <c r="L139" s="6965"/>
      <c r="M139" s="6965"/>
      <c r="N139" s="6965"/>
      <c r="O139" s="3673">
        <f>'WS calcu'!D505</f>
        <v>0</v>
      </c>
      <c r="P139" s="3464"/>
      <c r="Q139" s="1364"/>
      <c r="R139" s="1446"/>
      <c r="S139" s="1446"/>
      <c r="T139" s="1446"/>
      <c r="U139" s="1446"/>
      <c r="V139" s="1446"/>
      <c r="W139" s="1446"/>
      <c r="X139" s="1446"/>
      <c r="Y139" s="1446"/>
      <c r="Z139" s="1446"/>
      <c r="AA139" s="1446"/>
      <c r="AB139" s="1446"/>
      <c r="AC139" s="1446"/>
      <c r="AD139" s="1446"/>
      <c r="AE139" s="1446"/>
      <c r="AF139" s="1446"/>
      <c r="AG139" s="1446"/>
      <c r="AH139" s="1446"/>
      <c r="AI139" s="794"/>
    </row>
    <row r="140" spans="1:51" s="918" customFormat="1" ht="15.75" customHeight="1" x14ac:dyDescent="0.25">
      <c r="A140" s="921"/>
      <c r="B140" s="3532"/>
      <c r="C140" s="1815"/>
      <c r="D140" s="6887" t="s">
        <v>2080</v>
      </c>
      <c r="E140" s="6888"/>
      <c r="F140" s="3945">
        <f t="shared" ref="F140:O140" si="25">E$68</f>
        <v>2015</v>
      </c>
      <c r="G140" s="3945">
        <f t="shared" si="25"/>
        <v>2016</v>
      </c>
      <c r="H140" s="3945">
        <f t="shared" si="25"/>
        <v>2017</v>
      </c>
      <c r="I140" s="3945">
        <f t="shared" si="25"/>
        <v>2018</v>
      </c>
      <c r="J140" s="3945">
        <f t="shared" si="25"/>
        <v>2019</v>
      </c>
      <c r="K140" s="3945">
        <f t="shared" si="25"/>
        <v>2020</v>
      </c>
      <c r="L140" s="3945">
        <f t="shared" si="25"/>
        <v>2021</v>
      </c>
      <c r="M140" s="3945">
        <f t="shared" si="25"/>
        <v>2022</v>
      </c>
      <c r="N140" s="3945">
        <f t="shared" si="25"/>
        <v>2023</v>
      </c>
      <c r="O140" s="3946">
        <f t="shared" si="25"/>
        <v>2024</v>
      </c>
      <c r="P140" s="3464"/>
      <c r="Q140" s="1364"/>
      <c r="R140" s="1341"/>
      <c r="S140" s="1341"/>
      <c r="T140" s="1341"/>
      <c r="U140" s="1341"/>
      <c r="V140" s="1341"/>
      <c r="W140" s="1341"/>
      <c r="X140" s="1341"/>
      <c r="Y140" s="1341"/>
      <c r="Z140" s="1341"/>
      <c r="AA140" s="1341"/>
      <c r="AB140" s="1341"/>
      <c r="AC140" s="1341"/>
      <c r="AD140" s="1341"/>
      <c r="AE140" s="1341"/>
      <c r="AF140" s="1341"/>
      <c r="AG140" s="1341"/>
      <c r="AH140" s="1341"/>
      <c r="AI140" s="794"/>
    </row>
    <row r="141" spans="1:51" s="918" customFormat="1" ht="15.75" x14ac:dyDescent="0.25">
      <c r="A141" s="921"/>
      <c r="B141" s="3532"/>
      <c r="C141" s="1815"/>
      <c r="D141" s="6891"/>
      <c r="E141" s="6892"/>
      <c r="F141" s="3895"/>
      <c r="G141" s="3896"/>
      <c r="H141" s="3896"/>
      <c r="I141" s="3896"/>
      <c r="J141" s="3897"/>
      <c r="K141" s="3897"/>
      <c r="L141" s="3897"/>
      <c r="M141" s="3897"/>
      <c r="N141" s="3897"/>
      <c r="O141" s="3898"/>
      <c r="P141" s="3464"/>
      <c r="Q141" s="3543"/>
      <c r="R141" s="1341"/>
      <c r="S141" s="1341"/>
      <c r="T141" s="1341"/>
      <c r="U141" s="1341"/>
      <c r="V141" s="1341"/>
      <c r="W141" s="1341"/>
      <c r="X141" s="1341"/>
      <c r="Y141" s="1341"/>
      <c r="Z141" s="1341"/>
      <c r="AA141" s="1341"/>
      <c r="AB141" s="1341"/>
      <c r="AC141" s="1341"/>
      <c r="AD141" s="1341"/>
      <c r="AE141" s="1341"/>
      <c r="AF141" s="1341"/>
      <c r="AG141" s="1341"/>
      <c r="AH141" s="1341"/>
      <c r="AI141" s="794"/>
    </row>
    <row r="142" spans="1:51" s="492" customFormat="1" ht="23.25" customHeight="1" x14ac:dyDescent="0.25">
      <c r="A142" s="494"/>
      <c r="B142" s="3532"/>
      <c r="C142" s="1815"/>
      <c r="D142" s="3537" t="s">
        <v>3827</v>
      </c>
      <c r="E142" s="1815"/>
      <c r="F142" s="1815"/>
      <c r="G142" s="1815"/>
      <c r="H142" s="1815"/>
      <c r="I142" s="1815"/>
      <c r="J142" s="1815"/>
      <c r="K142" s="1815"/>
      <c r="L142" s="1815"/>
      <c r="M142" s="1815"/>
      <c r="N142" s="1815"/>
      <c r="O142" s="3538"/>
      <c r="P142" s="1832"/>
      <c r="Q142" s="1364"/>
      <c r="R142" s="1446"/>
      <c r="S142" s="1446"/>
      <c r="T142" s="1446"/>
      <c r="U142" s="1446"/>
      <c r="V142" s="1446"/>
      <c r="W142" s="1446"/>
      <c r="X142" s="1446"/>
      <c r="Y142" s="1446"/>
      <c r="Z142" s="1446"/>
      <c r="AA142" s="1446"/>
      <c r="AB142" s="1446"/>
      <c r="AC142" s="1446"/>
      <c r="AD142" s="1446"/>
      <c r="AE142" s="1446"/>
      <c r="AF142" s="1446"/>
      <c r="AG142" s="1446"/>
      <c r="AH142" s="1446"/>
      <c r="AI142" s="794"/>
    </row>
    <row r="143" spans="1:51" ht="15" customHeight="1" x14ac:dyDescent="0.25">
      <c r="B143" s="1364"/>
      <c r="C143" s="1815"/>
      <c r="D143" s="7001" t="s">
        <v>3871</v>
      </c>
      <c r="E143" s="7002"/>
      <c r="F143" s="3945">
        <f t="shared" ref="F143:O143" si="26">E$68</f>
        <v>2015</v>
      </c>
      <c r="G143" s="3945">
        <f t="shared" si="26"/>
        <v>2016</v>
      </c>
      <c r="H143" s="3945">
        <f t="shared" si="26"/>
        <v>2017</v>
      </c>
      <c r="I143" s="3945">
        <f t="shared" si="26"/>
        <v>2018</v>
      </c>
      <c r="J143" s="3945">
        <f t="shared" si="26"/>
        <v>2019</v>
      </c>
      <c r="K143" s="3945">
        <f t="shared" si="26"/>
        <v>2020</v>
      </c>
      <c r="L143" s="3945">
        <f t="shared" si="26"/>
        <v>2021</v>
      </c>
      <c r="M143" s="3945">
        <f t="shared" si="26"/>
        <v>2022</v>
      </c>
      <c r="N143" s="3945">
        <f t="shared" si="26"/>
        <v>2023</v>
      </c>
      <c r="O143" s="3946">
        <f t="shared" si="26"/>
        <v>2024</v>
      </c>
      <c r="P143" s="3460"/>
      <c r="Q143" s="1364"/>
      <c r="R143" s="1341"/>
      <c r="S143" s="1341"/>
      <c r="T143" s="1341"/>
      <c r="U143" s="1341"/>
      <c r="V143" s="1341"/>
      <c r="W143" s="1341"/>
      <c r="X143" s="1341"/>
      <c r="Y143" s="1341"/>
      <c r="Z143" s="1341"/>
      <c r="AA143" s="1341"/>
      <c r="AB143" s="1341"/>
      <c r="AC143" s="1341"/>
      <c r="AD143" s="1341"/>
      <c r="AE143" s="1341"/>
      <c r="AF143" s="1341"/>
      <c r="AG143" s="1341"/>
      <c r="AH143" s="1341"/>
      <c r="AI143" s="991"/>
    </row>
    <row r="144" spans="1:51" x14ac:dyDescent="0.25">
      <c r="B144" s="1364"/>
      <c r="C144" s="1815"/>
      <c r="D144" s="7003"/>
      <c r="E144" s="7004"/>
      <c r="F144" s="3899"/>
      <c r="G144" s="3900"/>
      <c r="H144" s="3900"/>
      <c r="I144" s="3900"/>
      <c r="J144" s="3901"/>
      <c r="K144" s="3901"/>
      <c r="L144" s="3901"/>
      <c r="M144" s="3901"/>
      <c r="N144" s="3901"/>
      <c r="O144" s="3902"/>
      <c r="P144" s="1832"/>
      <c r="Q144" s="1364"/>
      <c r="R144" s="1341"/>
      <c r="S144" s="1341"/>
      <c r="T144" s="1341"/>
      <c r="U144" s="1341"/>
      <c r="V144" s="1341"/>
      <c r="W144" s="1341"/>
      <c r="X144" s="1341"/>
      <c r="Y144" s="1341"/>
      <c r="Z144" s="1341"/>
      <c r="AA144" s="1341"/>
      <c r="AB144" s="1341"/>
      <c r="AC144" s="1341"/>
      <c r="AD144" s="1341"/>
      <c r="AE144" s="1341"/>
      <c r="AF144" s="1341"/>
      <c r="AG144" s="1341"/>
      <c r="AH144" s="1341"/>
      <c r="AI144" s="991"/>
      <c r="AY144" s="3398" t="b">
        <v>0</v>
      </c>
    </row>
    <row r="145" spans="1:50" s="492" customFormat="1" x14ac:dyDescent="0.25">
      <c r="A145" s="494"/>
      <c r="B145" s="1364"/>
      <c r="C145" s="1815"/>
      <c r="D145" s="1815"/>
      <c r="E145" s="1815"/>
      <c r="F145" s="1815"/>
      <c r="G145" s="1815"/>
      <c r="H145" s="1815"/>
      <c r="I145" s="1815"/>
      <c r="J145" s="1815"/>
      <c r="K145" s="1815"/>
      <c r="L145" s="1815"/>
      <c r="M145" s="1815"/>
      <c r="N145" s="1815"/>
      <c r="O145" s="1815"/>
      <c r="P145" s="1832"/>
      <c r="Q145" s="1364"/>
      <c r="R145" s="1446"/>
      <c r="S145" s="1446"/>
      <c r="T145" s="1446"/>
      <c r="U145" s="1446"/>
      <c r="V145" s="1446"/>
      <c r="W145" s="1446"/>
      <c r="X145" s="1446"/>
      <c r="Y145" s="1446"/>
      <c r="Z145" s="1446"/>
      <c r="AA145" s="1446"/>
      <c r="AB145" s="1446"/>
      <c r="AC145" s="1446"/>
      <c r="AD145" s="1446"/>
      <c r="AE145" s="1446"/>
      <c r="AF145" s="1446"/>
      <c r="AG145" s="1446"/>
      <c r="AH145" s="1446"/>
      <c r="AI145" s="991"/>
      <c r="AJ145" s="918"/>
      <c r="AK145" s="918"/>
      <c r="AL145" s="918"/>
      <c r="AM145" s="918"/>
      <c r="AN145" s="918"/>
      <c r="AO145" s="918"/>
      <c r="AP145" s="918"/>
      <c r="AQ145" s="918"/>
      <c r="AR145" s="918"/>
      <c r="AS145" s="918"/>
      <c r="AT145" s="918"/>
      <c r="AU145" s="918"/>
      <c r="AV145" s="918"/>
      <c r="AW145" s="918"/>
      <c r="AX145" s="918"/>
    </row>
    <row r="146" spans="1:50" s="492" customFormat="1" ht="25.5" customHeight="1" thickBot="1" x14ac:dyDescent="0.3">
      <c r="A146" s="494"/>
      <c r="B146" s="1364"/>
      <c r="C146" s="1364"/>
      <c r="D146" s="1364"/>
      <c r="E146" s="1364"/>
      <c r="F146" s="1364"/>
      <c r="G146" s="1364"/>
      <c r="H146" s="1364"/>
      <c r="I146" s="1364"/>
      <c r="J146" s="1364"/>
      <c r="K146" s="1364"/>
      <c r="L146" s="1364"/>
      <c r="M146" s="1364"/>
      <c r="N146" s="1364"/>
      <c r="O146" s="1364"/>
      <c r="P146" s="1364"/>
      <c r="Q146" s="1364"/>
      <c r="R146" s="1446"/>
      <c r="S146" s="1446"/>
      <c r="T146" s="1446"/>
      <c r="U146" s="1446"/>
      <c r="V146" s="1446"/>
      <c r="W146" s="1446"/>
      <c r="X146" s="1446"/>
      <c r="Y146" s="1446"/>
      <c r="Z146" s="1446"/>
      <c r="AA146" s="1446"/>
      <c r="AB146" s="1446"/>
      <c r="AC146" s="1446"/>
      <c r="AD146" s="1446"/>
      <c r="AE146" s="1446"/>
      <c r="AF146" s="1446"/>
      <c r="AG146" s="1446"/>
      <c r="AH146" s="1446"/>
      <c r="AI146" s="991"/>
      <c r="AJ146" s="918"/>
      <c r="AK146" s="918"/>
      <c r="AL146" s="918"/>
      <c r="AM146" s="918"/>
      <c r="AN146" s="918"/>
      <c r="AO146" s="918"/>
      <c r="AP146" s="918"/>
      <c r="AQ146" s="918"/>
      <c r="AR146" s="918"/>
      <c r="AS146" s="918"/>
      <c r="AT146" s="918"/>
      <c r="AU146" s="918"/>
      <c r="AV146" s="918"/>
      <c r="AW146" s="918"/>
      <c r="AX146" s="918"/>
    </row>
    <row r="147" spans="1:50" s="474" customFormat="1" ht="25.5" customHeight="1" thickTop="1" x14ac:dyDescent="0.25">
      <c r="B147" s="1706"/>
      <c r="C147" s="3529"/>
      <c r="D147" s="6976" t="s">
        <v>3872</v>
      </c>
      <c r="E147" s="6976"/>
      <c r="F147" s="6976"/>
      <c r="G147" s="6976"/>
      <c r="H147" s="6976"/>
      <c r="I147" s="6976"/>
      <c r="J147" s="6976"/>
      <c r="K147" s="6976"/>
      <c r="L147" s="3530" t="s">
        <v>184</v>
      </c>
      <c r="M147" s="6978" t="s">
        <v>3858</v>
      </c>
      <c r="N147" s="6978"/>
      <c r="O147" s="6978"/>
      <c r="P147" s="3531"/>
      <c r="Q147" s="1364"/>
      <c r="R147" s="3495"/>
      <c r="S147" s="3495"/>
      <c r="T147" s="3495"/>
      <c r="U147" s="3495"/>
      <c r="V147" s="3495"/>
      <c r="W147" s="3495"/>
      <c r="X147" s="3495"/>
      <c r="Y147" s="3495"/>
      <c r="Z147" s="3495"/>
      <c r="AA147" s="3495"/>
      <c r="AB147" s="3495"/>
      <c r="AC147" s="3495"/>
      <c r="AD147" s="3495"/>
      <c r="AE147" s="3495"/>
      <c r="AF147" s="3495"/>
      <c r="AG147" s="3495"/>
      <c r="AH147" s="3495"/>
      <c r="AI147" s="475"/>
      <c r="AJ147" s="918"/>
      <c r="AK147" s="918"/>
      <c r="AL147" s="918"/>
      <c r="AM147" s="918"/>
      <c r="AN147" s="918"/>
      <c r="AO147" s="918"/>
      <c r="AP147" s="918"/>
      <c r="AQ147" s="918"/>
      <c r="AR147" s="918"/>
      <c r="AS147" s="918"/>
      <c r="AT147" s="918"/>
      <c r="AU147" s="918"/>
      <c r="AV147" s="918"/>
      <c r="AW147" s="918"/>
      <c r="AX147" s="918"/>
    </row>
    <row r="148" spans="1:50" s="1014" customFormat="1" ht="6" customHeight="1" x14ac:dyDescent="0.25">
      <c r="B148" s="3544"/>
      <c r="C148" s="3545"/>
      <c r="D148" s="3546"/>
      <c r="E148" s="3546"/>
      <c r="F148" s="3546"/>
      <c r="G148" s="3546"/>
      <c r="H148" s="3546"/>
      <c r="I148" s="3546"/>
      <c r="J148" s="3546"/>
      <c r="K148" s="3546"/>
      <c r="L148" s="3547"/>
      <c r="M148" s="3547"/>
      <c r="N148" s="3547"/>
      <c r="O148" s="3547"/>
      <c r="P148" s="3460"/>
      <c r="Q148" s="1364"/>
      <c r="R148" s="1455"/>
      <c r="S148" s="1455"/>
      <c r="T148" s="1455"/>
      <c r="U148" s="1455"/>
      <c r="V148" s="1455"/>
      <c r="W148" s="1455"/>
      <c r="X148" s="1455"/>
      <c r="Y148" s="1455"/>
      <c r="Z148" s="1455"/>
      <c r="AA148" s="1455"/>
      <c r="AB148" s="1455"/>
      <c r="AC148" s="1455"/>
      <c r="AD148" s="1455"/>
      <c r="AE148" s="1455"/>
      <c r="AF148" s="1455"/>
      <c r="AG148" s="1455"/>
      <c r="AH148" s="1455"/>
      <c r="AI148" s="1015"/>
      <c r="AJ148" s="918"/>
      <c r="AK148" s="918"/>
      <c r="AL148" s="918"/>
      <c r="AM148" s="918"/>
      <c r="AN148" s="918"/>
      <c r="AO148" s="918"/>
      <c r="AP148" s="918"/>
      <c r="AQ148" s="918"/>
      <c r="AR148" s="918"/>
      <c r="AS148" s="918"/>
      <c r="AT148" s="918"/>
      <c r="AU148" s="918"/>
      <c r="AV148" s="918"/>
      <c r="AW148" s="918"/>
      <c r="AX148" s="918"/>
    </row>
    <row r="149" spans="1:50" s="492" customFormat="1" ht="23.25" customHeight="1" x14ac:dyDescent="0.25">
      <c r="A149" s="494"/>
      <c r="B149" s="3532"/>
      <c r="C149" s="3533"/>
      <c r="D149" s="3534" t="s">
        <v>1090</v>
      </c>
      <c r="E149" s="3535"/>
      <c r="F149" s="3535"/>
      <c r="G149" s="3535"/>
      <c r="H149" s="3535"/>
      <c r="I149" s="3535"/>
      <c r="J149" s="3535"/>
      <c r="K149" s="3535"/>
      <c r="L149" s="3535"/>
      <c r="M149" s="3535"/>
      <c r="N149" s="3535"/>
      <c r="O149" s="3536"/>
      <c r="P149" s="3460"/>
      <c r="Q149" s="1364"/>
      <c r="R149" s="1446"/>
      <c r="S149" s="1446"/>
      <c r="T149" s="1446"/>
      <c r="U149" s="1446"/>
      <c r="V149" s="1446"/>
      <c r="W149" s="1446"/>
      <c r="X149" s="1446"/>
      <c r="Y149" s="1446"/>
      <c r="Z149" s="1446"/>
      <c r="AA149" s="1446"/>
      <c r="AB149" s="1446"/>
      <c r="AC149" s="1446"/>
      <c r="AD149" s="1446"/>
      <c r="AE149" s="1446"/>
      <c r="AF149" s="1446"/>
      <c r="AG149" s="1446"/>
      <c r="AH149" s="1446"/>
      <c r="AI149" s="794"/>
      <c r="AJ149" s="918"/>
      <c r="AK149" s="918"/>
      <c r="AL149" s="918"/>
      <c r="AM149" s="918"/>
      <c r="AN149" s="918"/>
      <c r="AO149" s="918"/>
      <c r="AP149" s="918"/>
      <c r="AQ149" s="918"/>
      <c r="AR149" s="918"/>
      <c r="AS149" s="918"/>
      <c r="AT149" s="918"/>
      <c r="AU149" s="918"/>
      <c r="AV149" s="918"/>
      <c r="AW149" s="918"/>
      <c r="AX149" s="918"/>
    </row>
    <row r="150" spans="1:50" ht="15.75" customHeight="1" x14ac:dyDescent="0.25">
      <c r="B150" s="3532"/>
      <c r="C150" s="3533"/>
      <c r="D150" s="6901" t="s">
        <v>2748</v>
      </c>
      <c r="E150" s="6902"/>
      <c r="F150" s="6903"/>
      <c r="G150" s="6903"/>
      <c r="H150" s="6903"/>
      <c r="I150" s="6977" t="s">
        <v>2740</v>
      </c>
      <c r="J150" s="6977"/>
      <c r="K150" s="6974">
        <f>'WS calcu'!$D$737</f>
        <v>0</v>
      </c>
      <c r="L150" s="6974"/>
      <c r="M150" s="6974"/>
      <c r="N150" s="6974"/>
      <c r="O150" s="6975"/>
      <c r="P150" s="1815"/>
      <c r="Q150" s="1364"/>
      <c r="R150" s="1341"/>
      <c r="S150" s="1341"/>
      <c r="T150" s="1341"/>
      <c r="U150" s="1341"/>
      <c r="V150" s="1341"/>
      <c r="W150" s="1341"/>
      <c r="X150" s="1341"/>
      <c r="Y150" s="1341"/>
      <c r="Z150" s="1341"/>
      <c r="AA150" s="1341"/>
      <c r="AB150" s="1341"/>
      <c r="AC150" s="1341"/>
      <c r="AD150" s="1341"/>
      <c r="AE150" s="1341"/>
      <c r="AF150" s="1341"/>
      <c r="AG150" s="1341"/>
      <c r="AH150" s="1341"/>
      <c r="AI150" s="794"/>
      <c r="AJ150" s="918"/>
      <c r="AL150" s="918"/>
      <c r="AM150" s="918"/>
      <c r="AN150" s="918"/>
      <c r="AO150" s="918"/>
      <c r="AP150" s="918"/>
      <c r="AQ150" s="918"/>
      <c r="AR150" s="918"/>
      <c r="AS150" s="918"/>
      <c r="AT150" s="918"/>
      <c r="AU150" s="918"/>
      <c r="AV150" s="918"/>
      <c r="AW150" s="918"/>
      <c r="AX150" s="918"/>
    </row>
    <row r="151" spans="1:50" ht="15.75" customHeight="1" x14ac:dyDescent="0.25">
      <c r="B151" s="3532"/>
      <c r="C151" s="3533"/>
      <c r="D151" s="6901" t="s">
        <v>2749</v>
      </c>
      <c r="E151" s="6902"/>
      <c r="F151" s="6903"/>
      <c r="G151" s="6903"/>
      <c r="H151" s="6903"/>
      <c r="I151" s="6977" t="s">
        <v>2740</v>
      </c>
      <c r="J151" s="6977"/>
      <c r="K151" s="3674">
        <f>IFERROR('WS calcu'!$D$742,0)</f>
        <v>0</v>
      </c>
      <c r="L151" s="7069">
        <f>IFERROR(CONCATENATE(ROUND((K150-K151)/K150%,0),"% subsidy given to poor households"),0)</f>
        <v>0</v>
      </c>
      <c r="M151" s="7069"/>
      <c r="N151" s="7069"/>
      <c r="O151" s="7070"/>
      <c r="P151" s="3460"/>
      <c r="Q151" s="1364"/>
      <c r="R151" s="1341"/>
      <c r="S151" s="1341"/>
      <c r="T151" s="1341"/>
      <c r="U151" s="1341"/>
      <c r="V151" s="1341"/>
      <c r="W151" s="1341"/>
      <c r="X151" s="1341"/>
      <c r="Y151" s="1341"/>
      <c r="Z151" s="1341"/>
      <c r="AA151" s="1341"/>
      <c r="AB151" s="1341"/>
      <c r="AC151" s="1341"/>
      <c r="AD151" s="1341"/>
      <c r="AE151" s="1341"/>
      <c r="AF151" s="1341"/>
      <c r="AG151" s="1341"/>
      <c r="AH151" s="1341"/>
      <c r="AI151" s="794"/>
      <c r="AJ151" s="918"/>
      <c r="AL151" s="918"/>
      <c r="AM151" s="918"/>
      <c r="AN151" s="918"/>
      <c r="AO151" s="918"/>
      <c r="AP151" s="918"/>
      <c r="AQ151" s="918"/>
      <c r="AR151" s="918"/>
      <c r="AS151" s="918"/>
      <c r="AT151" s="918"/>
      <c r="AU151" s="918"/>
      <c r="AV151" s="918"/>
      <c r="AW151" s="918"/>
      <c r="AX151" s="918"/>
    </row>
    <row r="152" spans="1:50" ht="30" customHeight="1" x14ac:dyDescent="0.25">
      <c r="B152" s="1364"/>
      <c r="C152" s="1815"/>
      <c r="D152" s="6897" t="s">
        <v>2745</v>
      </c>
      <c r="E152" s="6898"/>
      <c r="F152" s="3945">
        <f t="shared" ref="F152:O152" si="27">E$68</f>
        <v>2015</v>
      </c>
      <c r="G152" s="3945">
        <f t="shared" si="27"/>
        <v>2016</v>
      </c>
      <c r="H152" s="3945">
        <f t="shared" si="27"/>
        <v>2017</v>
      </c>
      <c r="I152" s="3945">
        <f t="shared" si="27"/>
        <v>2018</v>
      </c>
      <c r="J152" s="3945">
        <f t="shared" si="27"/>
        <v>2019</v>
      </c>
      <c r="K152" s="3945">
        <f t="shared" si="27"/>
        <v>2020</v>
      </c>
      <c r="L152" s="3945">
        <f t="shared" si="27"/>
        <v>2021</v>
      </c>
      <c r="M152" s="3945">
        <f t="shared" si="27"/>
        <v>2022</v>
      </c>
      <c r="N152" s="3945">
        <f t="shared" si="27"/>
        <v>2023</v>
      </c>
      <c r="O152" s="3946">
        <f t="shared" si="27"/>
        <v>2024</v>
      </c>
      <c r="P152" s="3460"/>
      <c r="Q152" s="1364"/>
      <c r="R152" s="1341"/>
      <c r="S152" s="1341"/>
      <c r="T152" s="1341"/>
      <c r="U152" s="1341"/>
      <c r="V152" s="1341"/>
      <c r="W152" s="1341"/>
      <c r="X152" s="1341"/>
      <c r="Y152" s="1341"/>
      <c r="Z152" s="1341"/>
      <c r="AA152" s="1341"/>
      <c r="AB152" s="1341"/>
      <c r="AC152" s="1341"/>
      <c r="AD152" s="1341"/>
      <c r="AE152" s="1341"/>
      <c r="AF152" s="1341"/>
      <c r="AG152" s="1341"/>
      <c r="AH152" s="1341"/>
      <c r="AI152" s="991"/>
      <c r="AJ152" s="918"/>
      <c r="AL152" s="918"/>
      <c r="AM152" s="918"/>
      <c r="AN152" s="918"/>
      <c r="AO152" s="918"/>
      <c r="AP152" s="918"/>
      <c r="AQ152" s="918"/>
      <c r="AR152" s="918"/>
      <c r="AS152" s="918"/>
      <c r="AT152" s="918"/>
      <c r="AU152" s="918"/>
      <c r="AV152" s="918"/>
      <c r="AW152" s="918"/>
      <c r="AX152" s="918"/>
    </row>
    <row r="153" spans="1:50" ht="46.5" customHeight="1" x14ac:dyDescent="0.25">
      <c r="B153" s="1364"/>
      <c r="C153" s="1815"/>
      <c r="D153" s="6897" t="s">
        <v>2750</v>
      </c>
      <c r="E153" s="6898"/>
      <c r="F153" s="3903"/>
      <c r="G153" s="3904"/>
      <c r="H153" s="3905"/>
      <c r="I153" s="3905">
        <v>0.1</v>
      </c>
      <c r="J153" s="5382"/>
      <c r="K153" s="5382"/>
      <c r="L153" s="3906">
        <v>0.1</v>
      </c>
      <c r="M153" s="5382"/>
      <c r="N153" s="5382"/>
      <c r="O153" s="5383">
        <v>0.1</v>
      </c>
      <c r="P153" s="3460"/>
      <c r="Q153" s="1364"/>
      <c r="R153" s="1341"/>
      <c r="S153" s="1341"/>
      <c r="T153" s="1341"/>
      <c r="U153" s="1341"/>
      <c r="V153" s="1341"/>
      <c r="W153" s="1341"/>
      <c r="X153" s="1341"/>
      <c r="Y153" s="1341"/>
      <c r="Z153" s="1341"/>
      <c r="AA153" s="1341"/>
      <c r="AB153" s="1341"/>
      <c r="AC153" s="1341"/>
      <c r="AD153" s="1341"/>
      <c r="AE153" s="1341"/>
      <c r="AF153" s="1341"/>
      <c r="AG153" s="1341"/>
      <c r="AH153" s="1341"/>
      <c r="AI153" s="991"/>
      <c r="AJ153" s="918"/>
      <c r="AL153" s="918"/>
      <c r="AM153" s="918"/>
      <c r="AN153" s="918"/>
      <c r="AO153" s="918"/>
      <c r="AP153" s="918"/>
      <c r="AQ153" s="918"/>
      <c r="AR153" s="918"/>
      <c r="AS153" s="918"/>
      <c r="AT153" s="918"/>
      <c r="AU153" s="918"/>
      <c r="AV153" s="918"/>
      <c r="AW153" s="918"/>
      <c r="AX153" s="918"/>
    </row>
    <row r="154" spans="1:50" s="918" customFormat="1" ht="18.75" customHeight="1" x14ac:dyDescent="0.25">
      <c r="A154" s="921"/>
      <c r="B154" s="1364"/>
      <c r="C154" s="1815"/>
      <c r="D154" s="6899" t="s">
        <v>3104</v>
      </c>
      <c r="E154" s="6900"/>
      <c r="F154" s="3907"/>
      <c r="G154" s="3908"/>
      <c r="H154" s="3908"/>
      <c r="I154" s="3908">
        <v>7.0000000000000007E-2</v>
      </c>
      <c r="J154" s="3909"/>
      <c r="K154" s="3909"/>
      <c r="L154" s="3909">
        <v>7.0000000000000007E-2</v>
      </c>
      <c r="M154" s="3909"/>
      <c r="N154" s="3909"/>
      <c r="O154" s="3910">
        <v>7.0000000000000007E-2</v>
      </c>
      <c r="P154" s="3469"/>
      <c r="Q154" s="1364"/>
      <c r="R154" s="1341"/>
      <c r="S154" s="1341"/>
      <c r="T154" s="1341"/>
      <c r="U154" s="1341"/>
      <c r="V154" s="1341"/>
      <c r="W154" s="1341"/>
      <c r="X154" s="1341"/>
      <c r="Y154" s="1341"/>
      <c r="Z154" s="1341"/>
      <c r="AA154" s="1341"/>
      <c r="AB154" s="1341"/>
      <c r="AC154" s="1341"/>
      <c r="AD154" s="1341"/>
      <c r="AE154" s="1341"/>
      <c r="AF154" s="1341"/>
      <c r="AG154" s="1341"/>
      <c r="AH154" s="1341"/>
      <c r="AI154" s="991"/>
    </row>
    <row r="155" spans="1:50" s="492" customFormat="1" ht="23.25" customHeight="1" x14ac:dyDescent="0.25">
      <c r="A155" s="494"/>
      <c r="B155" s="3532"/>
      <c r="C155" s="1815"/>
      <c r="D155" s="3537" t="s">
        <v>1917</v>
      </c>
      <c r="E155" s="1815"/>
      <c r="F155" s="1815"/>
      <c r="G155" s="1815"/>
      <c r="H155" s="1815"/>
      <c r="I155" s="1815"/>
      <c r="J155" s="1815"/>
      <c r="K155" s="1815"/>
      <c r="L155" s="1815"/>
      <c r="M155" s="1815"/>
      <c r="N155" s="1815"/>
      <c r="O155" s="3538"/>
      <c r="P155" s="3460"/>
      <c r="Q155" s="1364"/>
      <c r="R155" s="1446"/>
      <c r="S155" s="1446"/>
      <c r="T155" s="1446"/>
      <c r="U155" s="1446"/>
      <c r="V155" s="1446"/>
      <c r="W155" s="1446"/>
      <c r="X155" s="1446"/>
      <c r="Y155" s="1446"/>
      <c r="Z155" s="1446"/>
      <c r="AA155" s="1446"/>
      <c r="AB155" s="1446"/>
      <c r="AC155" s="1446"/>
      <c r="AD155" s="1446"/>
      <c r="AE155" s="1446"/>
      <c r="AF155" s="1446"/>
      <c r="AG155" s="1446"/>
      <c r="AH155" s="1446"/>
      <c r="AI155" s="794"/>
      <c r="AJ155" s="918"/>
      <c r="AK155" s="918"/>
      <c r="AL155" s="918"/>
      <c r="AM155" s="918"/>
      <c r="AN155" s="918"/>
      <c r="AO155" s="918"/>
      <c r="AP155" s="918"/>
      <c r="AQ155" s="918"/>
      <c r="AR155" s="918"/>
      <c r="AS155" s="918"/>
      <c r="AT155" s="918"/>
      <c r="AU155" s="918"/>
      <c r="AV155" s="918"/>
      <c r="AW155" s="918"/>
      <c r="AX155" s="918"/>
    </row>
    <row r="156" spans="1:50" s="492" customFormat="1" ht="15.75" customHeight="1" x14ac:dyDescent="0.25">
      <c r="A156" s="494"/>
      <c r="B156" s="3532"/>
      <c r="C156" s="1815"/>
      <c r="D156" s="6901" t="s">
        <v>3828</v>
      </c>
      <c r="E156" s="6902"/>
      <c r="F156" s="6903"/>
      <c r="G156" s="6903"/>
      <c r="H156" s="6903"/>
      <c r="I156" s="6903"/>
      <c r="J156" s="6913">
        <f>'WSS Profile'!$G$169</f>
        <v>0</v>
      </c>
      <c r="K156" s="6913"/>
      <c r="L156" s="6913"/>
      <c r="M156" s="7009" t="s">
        <v>722</v>
      </c>
      <c r="N156" s="7009"/>
      <c r="O156" s="7010"/>
      <c r="P156" s="3460"/>
      <c r="Q156" s="1364"/>
      <c r="R156" s="1446"/>
      <c r="S156" s="1446"/>
      <c r="T156" s="1446"/>
      <c r="U156" s="1446"/>
      <c r="V156" s="1446"/>
      <c r="W156" s="1446"/>
      <c r="X156" s="1446"/>
      <c r="Y156" s="1446"/>
      <c r="Z156" s="1446"/>
      <c r="AA156" s="1446"/>
      <c r="AB156" s="1446"/>
      <c r="AC156" s="1446"/>
      <c r="AD156" s="1446"/>
      <c r="AE156" s="1446"/>
      <c r="AF156" s="1446"/>
      <c r="AG156" s="1446"/>
      <c r="AH156" s="1446"/>
      <c r="AI156" s="794"/>
      <c r="AJ156" s="918"/>
      <c r="AK156" s="918"/>
      <c r="AL156" s="918"/>
      <c r="AM156" s="918"/>
      <c r="AN156" s="918"/>
      <c r="AO156" s="918"/>
      <c r="AP156" s="918"/>
      <c r="AQ156" s="918"/>
      <c r="AR156" s="918"/>
      <c r="AS156" s="918"/>
      <c r="AT156" s="918"/>
      <c r="AU156" s="918"/>
      <c r="AV156" s="918"/>
      <c r="AW156" s="918"/>
      <c r="AX156" s="918"/>
    </row>
    <row r="157" spans="1:50" s="918" customFormat="1" ht="15.75" customHeight="1" x14ac:dyDescent="0.25">
      <c r="A157" s="921"/>
      <c r="B157" s="3532"/>
      <c r="C157" s="1815"/>
      <c r="D157" s="6901"/>
      <c r="E157" s="6902"/>
      <c r="F157" s="6903"/>
      <c r="G157" s="6903"/>
      <c r="H157" s="6903"/>
      <c r="I157" s="6903"/>
      <c r="J157" s="6913"/>
      <c r="K157" s="6913"/>
      <c r="L157" s="6913"/>
      <c r="M157" s="6952">
        <f>IF('WSS Profile'!$G$169="Yes",'WSS Profile'!$G$180,0)</f>
        <v>0</v>
      </c>
      <c r="N157" s="6952"/>
      <c r="O157" s="6953"/>
      <c r="P157" s="3460"/>
      <c r="Q157" s="1364"/>
      <c r="R157" s="1341"/>
      <c r="S157" s="1341"/>
      <c r="T157" s="1341"/>
      <c r="U157" s="1341"/>
      <c r="V157" s="1341"/>
      <c r="W157" s="1341"/>
      <c r="X157" s="1341"/>
      <c r="Y157" s="1341"/>
      <c r="Z157" s="1341"/>
      <c r="AA157" s="1341"/>
      <c r="AB157" s="1341"/>
      <c r="AC157" s="1341"/>
      <c r="AD157" s="1341"/>
      <c r="AE157" s="1341"/>
      <c r="AF157" s="1341"/>
      <c r="AG157" s="1341"/>
      <c r="AH157" s="1341"/>
      <c r="AI157" s="794"/>
    </row>
    <row r="158" spans="1:50" ht="15.75" customHeight="1" x14ac:dyDescent="0.25">
      <c r="B158" s="3532"/>
      <c r="C158" s="1815"/>
      <c r="D158" s="6904" t="s">
        <v>1086</v>
      </c>
      <c r="E158" s="6905"/>
      <c r="F158" s="6906"/>
      <c r="G158" s="6906"/>
      <c r="H158" s="6906"/>
      <c r="I158" s="3951" t="s">
        <v>68</v>
      </c>
      <c r="J158" s="6981"/>
      <c r="K158" s="6981"/>
      <c r="L158" s="6981"/>
      <c r="M158" s="6979"/>
      <c r="N158" s="6979"/>
      <c r="O158" s="6980"/>
      <c r="P158" s="3460"/>
      <c r="Q158" s="1364"/>
      <c r="R158" s="1341"/>
      <c r="S158" s="1341"/>
      <c r="T158" s="1341"/>
      <c r="U158" s="1341"/>
      <c r="V158" s="1341"/>
      <c r="W158" s="1341"/>
      <c r="X158" s="1341"/>
      <c r="Y158" s="1341"/>
      <c r="Z158" s="1341"/>
      <c r="AA158" s="1341"/>
      <c r="AB158" s="1341"/>
      <c r="AC158" s="1341"/>
      <c r="AD158" s="1341"/>
      <c r="AE158" s="1341"/>
      <c r="AF158" s="1341"/>
      <c r="AG158" s="1341"/>
      <c r="AH158" s="1341"/>
      <c r="AI158" s="794"/>
      <c r="AJ158" s="918"/>
      <c r="AL158" s="918"/>
      <c r="AM158" s="918"/>
      <c r="AN158" s="918"/>
      <c r="AO158" s="918"/>
      <c r="AP158" s="918"/>
      <c r="AQ158" s="918"/>
      <c r="AR158" s="918"/>
      <c r="AS158" s="918"/>
      <c r="AT158" s="918"/>
      <c r="AU158" s="918"/>
      <c r="AV158" s="918"/>
      <c r="AW158" s="918"/>
      <c r="AX158" s="918"/>
    </row>
    <row r="159" spans="1:50" ht="15.75" customHeight="1" x14ac:dyDescent="0.25">
      <c r="B159" s="3532"/>
      <c r="C159" s="1815"/>
      <c r="D159" s="6887" t="s">
        <v>1919</v>
      </c>
      <c r="E159" s="6888"/>
      <c r="F159" s="3938">
        <f t="shared" ref="F159:O159" si="28">E$68</f>
        <v>2015</v>
      </c>
      <c r="G159" s="3938">
        <f t="shared" si="28"/>
        <v>2016</v>
      </c>
      <c r="H159" s="3938">
        <f t="shared" si="28"/>
        <v>2017</v>
      </c>
      <c r="I159" s="3938">
        <f t="shared" si="28"/>
        <v>2018</v>
      </c>
      <c r="J159" s="3938">
        <f t="shared" si="28"/>
        <v>2019</v>
      </c>
      <c r="K159" s="3938">
        <f t="shared" si="28"/>
        <v>2020</v>
      </c>
      <c r="L159" s="3938">
        <f t="shared" si="28"/>
        <v>2021</v>
      </c>
      <c r="M159" s="3938">
        <f t="shared" si="28"/>
        <v>2022</v>
      </c>
      <c r="N159" s="3938">
        <f t="shared" si="28"/>
        <v>2023</v>
      </c>
      <c r="O159" s="3952">
        <f t="shared" si="28"/>
        <v>2024</v>
      </c>
      <c r="P159" s="3460"/>
      <c r="Q159" s="1364"/>
      <c r="R159" s="1341"/>
      <c r="S159" s="1341"/>
      <c r="T159" s="1341"/>
      <c r="U159" s="1341"/>
      <c r="V159" s="1341"/>
      <c r="W159" s="1341"/>
      <c r="X159" s="1341"/>
      <c r="Y159" s="1341"/>
      <c r="Z159" s="1341"/>
      <c r="AA159" s="1341"/>
      <c r="AB159" s="1341"/>
      <c r="AC159" s="1341"/>
      <c r="AD159" s="1341"/>
      <c r="AE159" s="1341"/>
      <c r="AF159" s="1341"/>
      <c r="AG159" s="1341"/>
      <c r="AH159" s="1341"/>
      <c r="AI159" s="794"/>
      <c r="AJ159" s="918"/>
      <c r="AL159" s="918"/>
      <c r="AM159" s="918"/>
      <c r="AN159" s="918"/>
      <c r="AO159" s="918"/>
      <c r="AP159" s="918"/>
      <c r="AQ159" s="918"/>
      <c r="AR159" s="918"/>
      <c r="AS159" s="918"/>
      <c r="AT159" s="918"/>
      <c r="AU159" s="918"/>
      <c r="AV159" s="918"/>
      <c r="AW159" s="918"/>
      <c r="AX159" s="918"/>
    </row>
    <row r="160" spans="1:50" ht="15.75" customHeight="1" x14ac:dyDescent="0.25">
      <c r="B160" s="3532"/>
      <c r="C160" s="1815"/>
      <c r="D160" s="6891"/>
      <c r="E160" s="6892"/>
      <c r="F160" s="3903"/>
      <c r="G160" s="3903"/>
      <c r="H160" s="3903"/>
      <c r="I160" s="3903"/>
      <c r="J160" s="3903"/>
      <c r="K160" s="3903"/>
      <c r="L160" s="3903"/>
      <c r="M160" s="3903"/>
      <c r="N160" s="3903"/>
      <c r="O160" s="3911"/>
      <c r="P160" s="3460"/>
      <c r="Q160" s="1364"/>
      <c r="R160" s="1341"/>
      <c r="S160" s="1341"/>
      <c r="T160" s="1341"/>
      <c r="U160" s="1341"/>
      <c r="V160" s="1341"/>
      <c r="W160" s="1341"/>
      <c r="X160" s="1341"/>
      <c r="Y160" s="1341"/>
      <c r="Z160" s="1341"/>
      <c r="AA160" s="1341"/>
      <c r="AB160" s="1341"/>
      <c r="AC160" s="1341"/>
      <c r="AD160" s="1341"/>
      <c r="AE160" s="1341"/>
      <c r="AF160" s="1341"/>
      <c r="AG160" s="1341"/>
      <c r="AH160" s="1341"/>
      <c r="AI160" s="794"/>
      <c r="AJ160" s="918"/>
      <c r="AL160" s="918"/>
      <c r="AM160" s="918"/>
      <c r="AN160" s="918"/>
      <c r="AO160" s="918"/>
      <c r="AP160" s="918"/>
      <c r="AQ160" s="918"/>
      <c r="AR160" s="918"/>
      <c r="AS160" s="918"/>
      <c r="AT160" s="918"/>
      <c r="AU160" s="918"/>
      <c r="AV160" s="918"/>
      <c r="AW160" s="918"/>
      <c r="AX160" s="918"/>
    </row>
    <row r="161" spans="1:53" s="492" customFormat="1" ht="23.25" customHeight="1" x14ac:dyDescent="0.25">
      <c r="A161" s="494"/>
      <c r="B161" s="3532"/>
      <c r="C161" s="1815"/>
      <c r="D161" s="3537" t="s">
        <v>1920</v>
      </c>
      <c r="E161" s="1815"/>
      <c r="F161" s="1815"/>
      <c r="G161" s="1815"/>
      <c r="H161" s="1815"/>
      <c r="I161" s="1815"/>
      <c r="J161" s="1815"/>
      <c r="K161" s="1815"/>
      <c r="L161" s="1815"/>
      <c r="M161" s="1815"/>
      <c r="N161" s="1815"/>
      <c r="O161" s="3538"/>
      <c r="P161" s="1815"/>
      <c r="Q161" s="1364"/>
      <c r="R161" s="1446"/>
      <c r="S161" s="1446"/>
      <c r="T161" s="1446"/>
      <c r="U161" s="1446"/>
      <c r="V161" s="1446"/>
      <c r="W161" s="1446"/>
      <c r="X161" s="1446"/>
      <c r="Y161" s="1446"/>
      <c r="Z161" s="1446"/>
      <c r="AA161" s="1446"/>
      <c r="AB161" s="1446"/>
      <c r="AC161" s="1446"/>
      <c r="AD161" s="1446"/>
      <c r="AE161" s="1446"/>
      <c r="AF161" s="1446"/>
      <c r="AG161" s="1446"/>
      <c r="AH161" s="1446"/>
      <c r="AI161" s="794"/>
      <c r="AJ161" s="918"/>
      <c r="AK161" s="918"/>
      <c r="AL161" s="918"/>
      <c r="AM161" s="918"/>
      <c r="AN161" s="918"/>
      <c r="AO161" s="918"/>
      <c r="AP161" s="918"/>
      <c r="AQ161" s="918"/>
      <c r="AR161" s="918"/>
      <c r="AS161" s="918"/>
      <c r="AT161" s="918"/>
      <c r="AU161" s="918"/>
      <c r="AV161" s="918"/>
      <c r="AW161" s="918"/>
      <c r="AX161" s="918"/>
    </row>
    <row r="162" spans="1:53" s="492" customFormat="1" ht="26.25" customHeight="1" x14ac:dyDescent="0.25">
      <c r="A162" s="494"/>
      <c r="B162" s="3548"/>
      <c r="C162" s="1815"/>
      <c r="D162" s="6901" t="s">
        <v>3829</v>
      </c>
      <c r="E162" s="6902"/>
      <c r="F162" s="6903"/>
      <c r="G162" s="6903"/>
      <c r="H162" s="6903"/>
      <c r="I162" s="6903"/>
      <c r="J162" s="6913">
        <f>'WSS Profile'!$G$170</f>
        <v>0</v>
      </c>
      <c r="K162" s="6913"/>
      <c r="L162" s="5384" t="s">
        <v>2746</v>
      </c>
      <c r="M162" s="5384" t="s">
        <v>2747</v>
      </c>
      <c r="N162" s="3949" t="s">
        <v>1091</v>
      </c>
      <c r="O162" s="3950" t="s">
        <v>26</v>
      </c>
      <c r="P162" s="1815"/>
      <c r="Q162" s="3549"/>
      <c r="R162" s="1446"/>
      <c r="S162" s="1446"/>
      <c r="T162" s="1446"/>
      <c r="U162" s="1446"/>
      <c r="V162" s="1446"/>
      <c r="W162" s="1446"/>
      <c r="X162" s="1446"/>
      <c r="Y162" s="1446"/>
      <c r="Z162" s="1446"/>
      <c r="AA162" s="1446"/>
      <c r="AB162" s="1446"/>
      <c r="AC162" s="1446"/>
      <c r="AD162" s="1446"/>
      <c r="AE162" s="1446"/>
      <c r="AF162" s="1446"/>
      <c r="AG162" s="1446"/>
      <c r="AH162" s="1446"/>
      <c r="AI162" s="793"/>
      <c r="AJ162" s="918"/>
      <c r="AK162" s="918"/>
      <c r="AL162" s="918"/>
      <c r="AM162" s="918"/>
      <c r="AN162" s="918"/>
      <c r="AO162" s="918"/>
      <c r="AP162" s="918"/>
      <c r="AQ162" s="918"/>
      <c r="AR162" s="918"/>
      <c r="AS162" s="918"/>
      <c r="AT162" s="918"/>
      <c r="AU162" s="918"/>
      <c r="AV162" s="918"/>
      <c r="AW162" s="918"/>
      <c r="AX162" s="918"/>
    </row>
    <row r="163" spans="1:53" s="492" customFormat="1" ht="15" customHeight="1" x14ac:dyDescent="0.25">
      <c r="A163" s="494"/>
      <c r="B163" s="3548"/>
      <c r="C163" s="1815"/>
      <c r="D163" s="6901"/>
      <c r="E163" s="6902"/>
      <c r="F163" s="6903"/>
      <c r="G163" s="6903"/>
      <c r="H163" s="6903"/>
      <c r="I163" s="6903"/>
      <c r="J163" s="6914"/>
      <c r="K163" s="6914"/>
      <c r="L163" s="3676">
        <f>IF($J$162="Yes",'WSS Profile'!G206,0)</f>
        <v>0</v>
      </c>
      <c r="M163" s="3676">
        <f>IF($J$162="Yes",'WSS Profile'!G207,0)</f>
        <v>0</v>
      </c>
      <c r="N163" s="3676">
        <f>IF($J$162="Yes",'WSS Profile'!G208,0)</f>
        <v>0</v>
      </c>
      <c r="O163" s="3677">
        <f>IF($J$162="Yes",'WSS Profile'!G209,0)</f>
        <v>0</v>
      </c>
      <c r="P163" s="1815"/>
      <c r="Q163" s="3549"/>
      <c r="R163" s="1446"/>
      <c r="S163" s="1446"/>
      <c r="T163" s="1446"/>
      <c r="U163" s="1446"/>
      <c r="V163" s="1446"/>
      <c r="W163" s="1446"/>
      <c r="X163" s="1446"/>
      <c r="Y163" s="1446"/>
      <c r="Z163" s="1446"/>
      <c r="AA163" s="1446"/>
      <c r="AB163" s="1446"/>
      <c r="AC163" s="1446"/>
      <c r="AD163" s="1446"/>
      <c r="AE163" s="1446"/>
      <c r="AF163" s="1446"/>
      <c r="AG163" s="1446"/>
      <c r="AH163" s="1446"/>
      <c r="AI163" s="793"/>
      <c r="AJ163" s="918"/>
      <c r="AK163" s="918"/>
      <c r="AL163" s="918"/>
      <c r="AM163" s="918"/>
      <c r="AN163" s="918"/>
      <c r="AO163" s="918"/>
      <c r="AP163" s="918"/>
      <c r="AQ163" s="918"/>
      <c r="AR163" s="918"/>
      <c r="AS163" s="918"/>
      <c r="AT163" s="918"/>
      <c r="AU163" s="918"/>
      <c r="AV163" s="918"/>
      <c r="AW163" s="918"/>
      <c r="AX163" s="918"/>
    </row>
    <row r="164" spans="1:53" s="996" customFormat="1" ht="31.5" customHeight="1" x14ac:dyDescent="0.25">
      <c r="A164" s="911"/>
      <c r="B164" s="3550"/>
      <c r="C164" s="1815"/>
      <c r="D164" s="6904" t="s">
        <v>2082</v>
      </c>
      <c r="E164" s="6905"/>
      <c r="F164" s="6906"/>
      <c r="G164" s="6906"/>
      <c r="H164" s="6906"/>
      <c r="I164" s="3941" t="s">
        <v>68</v>
      </c>
      <c r="J164" s="7011"/>
      <c r="K164" s="7011"/>
      <c r="L164" s="3936"/>
      <c r="M164" s="3936"/>
      <c r="N164" s="3936"/>
      <c r="O164" s="3937"/>
      <c r="P164" s="1815"/>
      <c r="Q164" s="1782"/>
      <c r="R164" s="3551"/>
      <c r="S164" s="3551"/>
      <c r="T164" s="3551"/>
      <c r="U164" s="3551"/>
      <c r="V164" s="3551"/>
      <c r="W164" s="3551"/>
      <c r="X164" s="3551"/>
      <c r="Y164" s="3551"/>
      <c r="Z164" s="3551"/>
      <c r="AA164" s="3551"/>
      <c r="AB164" s="3551"/>
      <c r="AC164" s="3551"/>
      <c r="AD164" s="3551"/>
      <c r="AE164" s="3551"/>
      <c r="AF164" s="3551"/>
      <c r="AG164" s="3551"/>
      <c r="AH164" s="3551"/>
      <c r="AI164" s="995"/>
      <c r="AJ164" s="918"/>
      <c r="AK164" s="918"/>
      <c r="AL164" s="918"/>
      <c r="AM164" s="918"/>
      <c r="AN164" s="918"/>
      <c r="AO164" s="918"/>
      <c r="AP164" s="918"/>
      <c r="AQ164" s="918"/>
      <c r="AR164" s="918"/>
      <c r="AS164" s="918"/>
      <c r="AT164" s="918"/>
      <c r="AU164" s="918"/>
      <c r="AV164" s="918"/>
      <c r="AW164" s="918"/>
      <c r="AX164" s="918"/>
      <c r="AY164" s="492"/>
      <c r="AZ164" s="492"/>
      <c r="BA164" s="492"/>
    </row>
    <row r="165" spans="1:53" ht="15.75" customHeight="1" x14ac:dyDescent="0.25">
      <c r="B165" s="3532"/>
      <c r="C165" s="1815"/>
      <c r="D165" s="6887" t="s">
        <v>1921</v>
      </c>
      <c r="E165" s="6888"/>
      <c r="F165" s="3945">
        <f t="shared" ref="F165:O165" si="29">E$68</f>
        <v>2015</v>
      </c>
      <c r="G165" s="3938">
        <f t="shared" si="29"/>
        <v>2016</v>
      </c>
      <c r="H165" s="3938">
        <f t="shared" si="29"/>
        <v>2017</v>
      </c>
      <c r="I165" s="3938">
        <f t="shared" si="29"/>
        <v>2018</v>
      </c>
      <c r="J165" s="3939">
        <f t="shared" si="29"/>
        <v>2019</v>
      </c>
      <c r="K165" s="3939">
        <f t="shared" si="29"/>
        <v>2020</v>
      </c>
      <c r="L165" s="3939">
        <f t="shared" si="29"/>
        <v>2021</v>
      </c>
      <c r="M165" s="3939">
        <f t="shared" si="29"/>
        <v>2022</v>
      </c>
      <c r="N165" s="3939">
        <f t="shared" si="29"/>
        <v>2023</v>
      </c>
      <c r="O165" s="3940">
        <f t="shared" si="29"/>
        <v>2024</v>
      </c>
      <c r="P165" s="1815"/>
      <c r="Q165" s="1364"/>
      <c r="R165" s="1341"/>
      <c r="S165" s="1341"/>
      <c r="T165" s="1341"/>
      <c r="U165" s="1341"/>
      <c r="V165" s="1341"/>
      <c r="W165" s="1341"/>
      <c r="X165" s="1341"/>
      <c r="Y165" s="1341"/>
      <c r="Z165" s="1341"/>
      <c r="AA165" s="1341"/>
      <c r="AB165" s="1341"/>
      <c r="AC165" s="1341"/>
      <c r="AD165" s="1341"/>
      <c r="AE165" s="1341"/>
      <c r="AF165" s="1341"/>
      <c r="AG165" s="1341"/>
      <c r="AH165" s="1341"/>
      <c r="AI165" s="794"/>
      <c r="AJ165" s="918"/>
      <c r="AL165" s="918"/>
      <c r="AM165" s="918"/>
      <c r="AN165" s="918"/>
      <c r="AO165" s="918"/>
      <c r="AP165" s="918"/>
      <c r="AQ165" s="918"/>
      <c r="AR165" s="918"/>
      <c r="AS165" s="918"/>
      <c r="AT165" s="918"/>
      <c r="AU165" s="918"/>
      <c r="AV165" s="918"/>
      <c r="AW165" s="918"/>
      <c r="AX165" s="918"/>
      <c r="AY165" s="492"/>
      <c r="AZ165" s="492"/>
      <c r="BA165" s="492"/>
    </row>
    <row r="166" spans="1:53" ht="15.75" x14ac:dyDescent="0.25">
      <c r="B166" s="3532"/>
      <c r="C166" s="1815"/>
      <c r="D166" s="6891"/>
      <c r="E166" s="6892"/>
      <c r="F166" s="3903"/>
      <c r="G166" s="3903"/>
      <c r="H166" s="3903"/>
      <c r="I166" s="3903"/>
      <c r="J166" s="3903"/>
      <c r="K166" s="3903"/>
      <c r="L166" s="3903"/>
      <c r="M166" s="3903"/>
      <c r="N166" s="3903"/>
      <c r="O166" s="3911"/>
      <c r="P166" s="1815"/>
      <c r="Q166" s="1364"/>
      <c r="R166" s="1341"/>
      <c r="S166" s="1341"/>
      <c r="T166" s="1341"/>
      <c r="U166" s="1341"/>
      <c r="V166" s="1341"/>
      <c r="W166" s="1341"/>
      <c r="X166" s="1341"/>
      <c r="Y166" s="1341"/>
      <c r="Z166" s="1341"/>
      <c r="AA166" s="1341"/>
      <c r="AB166" s="1341"/>
      <c r="AC166" s="1341"/>
      <c r="AD166" s="1341"/>
      <c r="AE166" s="1341"/>
      <c r="AF166" s="1341"/>
      <c r="AG166" s="1341"/>
      <c r="AH166" s="1341"/>
      <c r="AI166" s="794"/>
      <c r="AJ166" s="918"/>
      <c r="AL166" s="918"/>
      <c r="AM166" s="918"/>
      <c r="AN166" s="918"/>
      <c r="AO166" s="918"/>
      <c r="AP166" s="918"/>
      <c r="AQ166" s="918"/>
      <c r="AR166" s="918"/>
      <c r="AS166" s="918"/>
      <c r="AT166" s="918"/>
      <c r="AU166" s="918"/>
      <c r="AV166" s="918"/>
      <c r="AW166" s="918"/>
      <c r="AX166" s="918"/>
      <c r="AY166" s="492"/>
      <c r="AZ166" s="492"/>
      <c r="BA166" s="492"/>
    </row>
    <row r="167" spans="1:53" s="492" customFormat="1" ht="23.25" customHeight="1" x14ac:dyDescent="0.25">
      <c r="A167" s="494"/>
      <c r="B167" s="3532"/>
      <c r="C167" s="1815"/>
      <c r="D167" s="3537" t="s">
        <v>1922</v>
      </c>
      <c r="E167" s="1815"/>
      <c r="F167" s="1815"/>
      <c r="G167" s="1815"/>
      <c r="H167" s="1815"/>
      <c r="I167" s="1815"/>
      <c r="J167" s="1815"/>
      <c r="K167" s="1815"/>
      <c r="L167" s="1815"/>
      <c r="M167" s="1815"/>
      <c r="N167" s="1815"/>
      <c r="O167" s="3538"/>
      <c r="P167" s="1815"/>
      <c r="Q167" s="1364"/>
      <c r="R167" s="1446"/>
      <c r="S167" s="1446"/>
      <c r="T167" s="1446"/>
      <c r="U167" s="1446"/>
      <c r="V167" s="1446"/>
      <c r="W167" s="1446"/>
      <c r="X167" s="1446"/>
      <c r="Y167" s="1446"/>
      <c r="Z167" s="1446"/>
      <c r="AA167" s="1446"/>
      <c r="AB167" s="1446"/>
      <c r="AC167" s="1446"/>
      <c r="AD167" s="1446"/>
      <c r="AE167" s="1446"/>
      <c r="AF167" s="1446"/>
      <c r="AG167" s="1446"/>
      <c r="AH167" s="1446"/>
      <c r="AI167" s="794"/>
      <c r="AJ167" s="918"/>
      <c r="AK167" s="918"/>
      <c r="AL167" s="918"/>
      <c r="AM167" s="918"/>
      <c r="AN167" s="918"/>
      <c r="AO167" s="918"/>
      <c r="AP167" s="918"/>
      <c r="AQ167" s="918"/>
      <c r="AR167" s="918"/>
      <c r="AS167" s="918"/>
      <c r="AT167" s="918"/>
      <c r="AU167" s="918"/>
      <c r="AV167" s="918"/>
      <c r="AW167" s="918"/>
      <c r="AX167" s="918"/>
    </row>
    <row r="168" spans="1:53" s="492" customFormat="1" ht="15.75" customHeight="1" x14ac:dyDescent="0.25">
      <c r="A168" s="494"/>
      <c r="B168" s="3532"/>
      <c r="C168" s="1815"/>
      <c r="D168" s="6901" t="s">
        <v>3833</v>
      </c>
      <c r="E168" s="6902"/>
      <c r="F168" s="6903"/>
      <c r="G168" s="6903"/>
      <c r="H168" s="6903"/>
      <c r="I168" s="6903"/>
      <c r="J168" s="6913">
        <f>'WSS Profile'!$G$168</f>
        <v>0</v>
      </c>
      <c r="K168" s="6913"/>
      <c r="L168" s="6913"/>
      <c r="M168" s="7009" t="s">
        <v>774</v>
      </c>
      <c r="N168" s="7009"/>
      <c r="O168" s="7010"/>
      <c r="P168" s="1815"/>
      <c r="Q168" s="1364"/>
      <c r="R168" s="1446"/>
      <c r="S168" s="1446"/>
      <c r="T168" s="1446"/>
      <c r="U168" s="1446"/>
      <c r="V168" s="1446"/>
      <c r="W168" s="1446"/>
      <c r="X168" s="1446"/>
      <c r="Y168" s="1446"/>
      <c r="Z168" s="1446"/>
      <c r="AA168" s="1446"/>
      <c r="AB168" s="1446"/>
      <c r="AC168" s="1446"/>
      <c r="AD168" s="1446"/>
      <c r="AE168" s="1446"/>
      <c r="AF168" s="1446"/>
      <c r="AG168" s="1446"/>
      <c r="AH168" s="1446"/>
      <c r="AI168" s="794"/>
      <c r="AJ168" s="918"/>
      <c r="AK168" s="918"/>
      <c r="AL168" s="918"/>
      <c r="AM168" s="918"/>
      <c r="AN168" s="918"/>
      <c r="AO168" s="918"/>
      <c r="AP168" s="918"/>
      <c r="AQ168" s="918"/>
      <c r="AR168" s="918"/>
      <c r="AS168" s="918"/>
      <c r="AT168" s="918"/>
      <c r="AU168" s="918"/>
      <c r="AV168" s="918"/>
      <c r="AW168" s="918"/>
      <c r="AX168" s="918"/>
    </row>
    <row r="169" spans="1:53" s="918" customFormat="1" ht="15.75" customHeight="1" x14ac:dyDescent="0.25">
      <c r="A169" s="921"/>
      <c r="B169" s="3532"/>
      <c r="C169" s="1815"/>
      <c r="D169" s="6901"/>
      <c r="E169" s="6902"/>
      <c r="F169" s="6903"/>
      <c r="G169" s="6903"/>
      <c r="H169" s="6903"/>
      <c r="I169" s="6903"/>
      <c r="J169" s="6914"/>
      <c r="K169" s="6914"/>
      <c r="L169" s="6914"/>
      <c r="M169" s="7007">
        <f>IF($J$168="Yes",'WSS Profile'!$G$175,0)</f>
        <v>0</v>
      </c>
      <c r="N169" s="7007"/>
      <c r="O169" s="7008"/>
      <c r="P169" s="1815"/>
      <c r="Q169" s="1364"/>
      <c r="R169" s="1341"/>
      <c r="S169" s="1341"/>
      <c r="T169" s="1341"/>
      <c r="U169" s="1341"/>
      <c r="V169" s="1341"/>
      <c r="W169" s="1341"/>
      <c r="X169" s="1341"/>
      <c r="Y169" s="1341"/>
      <c r="Z169" s="1341"/>
      <c r="AA169" s="1341"/>
      <c r="AB169" s="1341"/>
      <c r="AC169" s="1341"/>
      <c r="AD169" s="1341"/>
      <c r="AE169" s="1341"/>
      <c r="AF169" s="1341"/>
      <c r="AG169" s="1341"/>
      <c r="AH169" s="1341"/>
      <c r="AI169" s="794"/>
    </row>
    <row r="170" spans="1:53" ht="15.75" customHeight="1" x14ac:dyDescent="0.25">
      <c r="B170" s="3532"/>
      <c r="C170" s="1815"/>
      <c r="D170" s="6904" t="s">
        <v>2083</v>
      </c>
      <c r="E170" s="6905"/>
      <c r="F170" s="6906"/>
      <c r="G170" s="6906"/>
      <c r="H170" s="6906"/>
      <c r="I170" s="3948" t="s">
        <v>68</v>
      </c>
      <c r="J170" s="7011"/>
      <c r="K170" s="7011"/>
      <c r="L170" s="7011"/>
      <c r="M170" s="7012"/>
      <c r="N170" s="7012"/>
      <c r="O170" s="7013"/>
      <c r="P170" s="1815"/>
      <c r="Q170" s="1364"/>
      <c r="R170" s="1341"/>
      <c r="S170" s="1341"/>
      <c r="T170" s="1341"/>
      <c r="U170" s="1341"/>
      <c r="V170" s="1341"/>
      <c r="W170" s="1341"/>
      <c r="X170" s="1341"/>
      <c r="Y170" s="1341"/>
      <c r="Z170" s="1341"/>
      <c r="AA170" s="1341"/>
      <c r="AB170" s="1341"/>
      <c r="AC170" s="1341"/>
      <c r="AD170" s="1341"/>
      <c r="AE170" s="1341"/>
      <c r="AF170" s="1341"/>
      <c r="AG170" s="1341"/>
      <c r="AH170" s="1341"/>
      <c r="AI170" s="794"/>
      <c r="AJ170" s="918"/>
      <c r="AL170" s="918"/>
      <c r="AM170" s="918"/>
      <c r="AN170" s="918"/>
      <c r="AO170" s="918"/>
      <c r="AP170" s="918"/>
      <c r="AQ170" s="918"/>
      <c r="AR170" s="918"/>
      <c r="AS170" s="918"/>
      <c r="AT170" s="918"/>
      <c r="AU170" s="918"/>
      <c r="AV170" s="918"/>
      <c r="AW170" s="918"/>
      <c r="AX170" s="918"/>
    </row>
    <row r="171" spans="1:53" ht="15.75" customHeight="1" x14ac:dyDescent="0.25">
      <c r="B171" s="3532"/>
      <c r="C171" s="1815"/>
      <c r="D171" s="6887" t="s">
        <v>1923</v>
      </c>
      <c r="E171" s="6888"/>
      <c r="F171" s="3945">
        <f t="shared" ref="F171:O171" si="30">E$68</f>
        <v>2015</v>
      </c>
      <c r="G171" s="3938">
        <f t="shared" si="30"/>
        <v>2016</v>
      </c>
      <c r="H171" s="3938">
        <f t="shared" si="30"/>
        <v>2017</v>
      </c>
      <c r="I171" s="3938">
        <f t="shared" si="30"/>
        <v>2018</v>
      </c>
      <c r="J171" s="3939">
        <f t="shared" si="30"/>
        <v>2019</v>
      </c>
      <c r="K171" s="3939">
        <f t="shared" si="30"/>
        <v>2020</v>
      </c>
      <c r="L171" s="3939">
        <f t="shared" si="30"/>
        <v>2021</v>
      </c>
      <c r="M171" s="3939">
        <f t="shared" si="30"/>
        <v>2022</v>
      </c>
      <c r="N171" s="3939">
        <f t="shared" si="30"/>
        <v>2023</v>
      </c>
      <c r="O171" s="3940">
        <f t="shared" si="30"/>
        <v>2024</v>
      </c>
      <c r="P171" s="1815"/>
      <c r="Q171" s="1364"/>
      <c r="R171" s="1341"/>
      <c r="S171" s="1341"/>
      <c r="T171" s="1341"/>
      <c r="U171" s="1341"/>
      <c r="V171" s="1341"/>
      <c r="W171" s="1341"/>
      <c r="X171" s="1341"/>
      <c r="Y171" s="1341"/>
      <c r="Z171" s="1341"/>
      <c r="AA171" s="1341"/>
      <c r="AB171" s="1341"/>
      <c r="AC171" s="1341"/>
      <c r="AD171" s="1341"/>
      <c r="AE171" s="1341"/>
      <c r="AF171" s="1341"/>
      <c r="AG171" s="1341"/>
      <c r="AH171" s="1341"/>
      <c r="AI171" s="794"/>
      <c r="AJ171" s="918"/>
      <c r="AL171" s="918"/>
      <c r="AM171" s="918"/>
      <c r="AN171" s="918"/>
      <c r="AO171" s="918"/>
      <c r="AP171" s="918"/>
      <c r="AQ171" s="918"/>
      <c r="AR171" s="918"/>
      <c r="AS171" s="918"/>
      <c r="AT171" s="918"/>
      <c r="AU171" s="918"/>
      <c r="AV171" s="918"/>
      <c r="AW171" s="918"/>
      <c r="AX171" s="918"/>
    </row>
    <row r="172" spans="1:53" ht="15.75" x14ac:dyDescent="0.25">
      <c r="B172" s="3532"/>
      <c r="C172" s="1815"/>
      <c r="D172" s="6891"/>
      <c r="E172" s="6892"/>
      <c r="F172" s="3903"/>
      <c r="G172" s="3903"/>
      <c r="H172" s="3903"/>
      <c r="I172" s="3903"/>
      <c r="J172" s="3903"/>
      <c r="K172" s="3903"/>
      <c r="L172" s="3903"/>
      <c r="M172" s="3903"/>
      <c r="N172" s="3903"/>
      <c r="O172" s="3911"/>
      <c r="P172" s="1815"/>
      <c r="Q172" s="1364"/>
      <c r="R172" s="1341"/>
      <c r="S172" s="1341"/>
      <c r="T172" s="1341"/>
      <c r="U172" s="1341"/>
      <c r="V172" s="1341"/>
      <c r="W172" s="1341"/>
      <c r="X172" s="1341"/>
      <c r="Y172" s="1341"/>
      <c r="Z172" s="1341"/>
      <c r="AA172" s="1341"/>
      <c r="AB172" s="1341"/>
      <c r="AC172" s="1341"/>
      <c r="AD172" s="1341"/>
      <c r="AE172" s="1341"/>
      <c r="AF172" s="1341"/>
      <c r="AG172" s="1341"/>
      <c r="AH172" s="1341"/>
      <c r="AI172" s="794"/>
      <c r="AJ172" s="918"/>
      <c r="AL172" s="918"/>
      <c r="AM172" s="918"/>
      <c r="AN172" s="918"/>
      <c r="AO172" s="918"/>
      <c r="AP172" s="918"/>
      <c r="AQ172" s="918"/>
      <c r="AR172" s="918"/>
      <c r="AS172" s="918"/>
      <c r="AT172" s="918"/>
      <c r="AU172" s="918"/>
      <c r="AV172" s="918"/>
      <c r="AW172" s="918"/>
      <c r="AX172" s="918"/>
    </row>
    <row r="173" spans="1:53" s="492" customFormat="1" ht="23.25" customHeight="1" x14ac:dyDescent="0.25">
      <c r="A173" s="494"/>
      <c r="B173" s="3532"/>
      <c r="C173" s="1815"/>
      <c r="D173" s="3537" t="s">
        <v>1918</v>
      </c>
      <c r="E173" s="1815"/>
      <c r="F173" s="1815"/>
      <c r="G173" s="1815"/>
      <c r="H173" s="1815"/>
      <c r="I173" s="1815"/>
      <c r="J173" s="1815"/>
      <c r="K173" s="1815"/>
      <c r="L173" s="1815"/>
      <c r="M173" s="1815"/>
      <c r="N173" s="1815"/>
      <c r="O173" s="3538"/>
      <c r="P173" s="1815"/>
      <c r="Q173" s="1364"/>
      <c r="R173" s="1446"/>
      <c r="S173" s="1446"/>
      <c r="T173" s="1446"/>
      <c r="U173" s="1446"/>
      <c r="V173" s="1446"/>
      <c r="W173" s="1446"/>
      <c r="X173" s="1446"/>
      <c r="Y173" s="1446"/>
      <c r="Z173" s="1446"/>
      <c r="AA173" s="1446"/>
      <c r="AB173" s="1446"/>
      <c r="AC173" s="1446"/>
      <c r="AD173" s="1446"/>
      <c r="AE173" s="1446"/>
      <c r="AF173" s="1446"/>
      <c r="AG173" s="1446"/>
      <c r="AH173" s="1446"/>
      <c r="AI173" s="794"/>
      <c r="AJ173" s="918"/>
      <c r="AK173" s="918"/>
      <c r="AL173" s="918"/>
      <c r="AM173" s="918"/>
      <c r="AN173" s="918"/>
      <c r="AO173" s="918"/>
      <c r="AP173" s="918"/>
      <c r="AQ173" s="918"/>
      <c r="AR173" s="918"/>
      <c r="AS173" s="918"/>
      <c r="AT173" s="918"/>
      <c r="AU173" s="918"/>
      <c r="AV173" s="918"/>
      <c r="AW173" s="918"/>
      <c r="AX173" s="918"/>
    </row>
    <row r="174" spans="1:53" s="492" customFormat="1" ht="15.75" customHeight="1" x14ac:dyDescent="0.25">
      <c r="A174" s="494"/>
      <c r="B174" s="3532"/>
      <c r="C174" s="1815"/>
      <c r="D174" s="6901" t="s">
        <v>3830</v>
      </c>
      <c r="E174" s="6902"/>
      <c r="F174" s="6903"/>
      <c r="G174" s="6903"/>
      <c r="H174" s="6903"/>
      <c r="I174" s="6903"/>
      <c r="J174" s="6913">
        <f>'WSS Profile'!$G$171</f>
        <v>0</v>
      </c>
      <c r="K174" s="6913"/>
      <c r="L174" s="6913"/>
      <c r="M174" s="7009" t="s">
        <v>2086</v>
      </c>
      <c r="N174" s="7009"/>
      <c r="O174" s="7010"/>
      <c r="P174" s="1815"/>
      <c r="Q174" s="1364"/>
      <c r="R174" s="1446"/>
      <c r="S174" s="1446"/>
      <c r="T174" s="1446"/>
      <c r="U174" s="1446"/>
      <c r="V174" s="1446"/>
      <c r="W174" s="1446"/>
      <c r="X174" s="1446"/>
      <c r="Y174" s="1446"/>
      <c r="Z174" s="1446"/>
      <c r="AA174" s="1446"/>
      <c r="AB174" s="1446"/>
      <c r="AC174" s="1446"/>
      <c r="AD174" s="1446"/>
      <c r="AE174" s="1446"/>
      <c r="AF174" s="1446"/>
      <c r="AG174" s="1446"/>
      <c r="AH174" s="1446"/>
      <c r="AI174" s="794"/>
      <c r="AJ174" s="918"/>
      <c r="AK174" s="918"/>
      <c r="AL174" s="918"/>
      <c r="AM174" s="918"/>
      <c r="AN174" s="918"/>
      <c r="AO174" s="918"/>
      <c r="AP174" s="918"/>
      <c r="AQ174" s="918"/>
      <c r="AR174" s="918"/>
      <c r="AS174" s="918"/>
      <c r="AT174" s="918"/>
      <c r="AU174" s="918"/>
      <c r="AV174" s="918"/>
      <c r="AW174" s="918"/>
      <c r="AX174" s="918"/>
    </row>
    <row r="175" spans="1:53" s="918" customFormat="1" ht="15.75" customHeight="1" x14ac:dyDescent="0.25">
      <c r="A175" s="921"/>
      <c r="B175" s="3532"/>
      <c r="C175" s="3533"/>
      <c r="D175" s="6901"/>
      <c r="E175" s="6902"/>
      <c r="F175" s="6903"/>
      <c r="G175" s="6903"/>
      <c r="H175" s="6903"/>
      <c r="I175" s="6903"/>
      <c r="J175" s="6914"/>
      <c r="K175" s="6914"/>
      <c r="L175" s="6914"/>
      <c r="M175" s="7016">
        <f>IF($J$174="Yes",'WSS Profile'!$G$214,0)</f>
        <v>0</v>
      </c>
      <c r="N175" s="7016"/>
      <c r="O175" s="7017"/>
      <c r="P175" s="1815"/>
      <c r="Q175" s="1364"/>
      <c r="R175" s="1341"/>
      <c r="S175" s="1341"/>
      <c r="T175" s="1341"/>
      <c r="U175" s="1341"/>
      <c r="V175" s="1341"/>
      <c r="W175" s="1341"/>
      <c r="X175" s="1341"/>
      <c r="Y175" s="1341"/>
      <c r="Z175" s="1341"/>
      <c r="AA175" s="1341"/>
      <c r="AB175" s="1341"/>
      <c r="AC175" s="1341"/>
      <c r="AD175" s="1341"/>
      <c r="AE175" s="1341"/>
      <c r="AF175" s="1341"/>
      <c r="AG175" s="1341"/>
      <c r="AH175" s="1341"/>
      <c r="AI175" s="794"/>
    </row>
    <row r="176" spans="1:53" ht="15.75" customHeight="1" x14ac:dyDescent="0.25">
      <c r="B176" s="3532"/>
      <c r="C176" s="3533"/>
      <c r="D176" s="6904" t="s">
        <v>1086</v>
      </c>
      <c r="E176" s="6905"/>
      <c r="F176" s="6906"/>
      <c r="G176" s="6906"/>
      <c r="H176" s="6906"/>
      <c r="I176" s="3948" t="s">
        <v>68</v>
      </c>
      <c r="J176" s="7011"/>
      <c r="K176" s="7011"/>
      <c r="L176" s="7011"/>
      <c r="M176" s="7014"/>
      <c r="N176" s="7014"/>
      <c r="O176" s="7015"/>
      <c r="P176" s="1815"/>
      <c r="Q176" s="1364"/>
      <c r="R176" s="1341"/>
      <c r="S176" s="1364"/>
      <c r="T176" s="1341"/>
      <c r="U176" s="1341"/>
      <c r="V176" s="1341"/>
      <c r="W176" s="1341"/>
      <c r="X176" s="1341"/>
      <c r="Y176" s="1341"/>
      <c r="Z176" s="1341"/>
      <c r="AA176" s="1341"/>
      <c r="AB176" s="1341"/>
      <c r="AC176" s="1341"/>
      <c r="AD176" s="1341"/>
      <c r="AE176" s="1341"/>
      <c r="AF176" s="1341"/>
      <c r="AG176" s="1341"/>
      <c r="AH176" s="1341"/>
      <c r="AI176" s="794"/>
      <c r="AJ176" s="918"/>
      <c r="AL176" s="918"/>
      <c r="AM176" s="918"/>
      <c r="AN176" s="918"/>
      <c r="AO176" s="918"/>
      <c r="AP176" s="918"/>
      <c r="AQ176" s="918"/>
      <c r="AR176" s="918"/>
      <c r="AS176" s="918"/>
      <c r="AT176" s="918"/>
      <c r="AU176" s="918"/>
      <c r="AV176" s="918"/>
      <c r="AW176" s="918"/>
      <c r="AX176" s="918"/>
    </row>
    <row r="177" spans="1:50" ht="15.75" customHeight="1" x14ac:dyDescent="0.25">
      <c r="B177" s="3532"/>
      <c r="C177" s="3533"/>
      <c r="D177" s="6893" t="s">
        <v>1924</v>
      </c>
      <c r="E177" s="6894"/>
      <c r="F177" s="3945">
        <f t="shared" ref="F177:O177" si="31">E$68</f>
        <v>2015</v>
      </c>
      <c r="G177" s="3938">
        <f t="shared" si="31"/>
        <v>2016</v>
      </c>
      <c r="H177" s="3938">
        <f t="shared" si="31"/>
        <v>2017</v>
      </c>
      <c r="I177" s="3938">
        <f t="shared" si="31"/>
        <v>2018</v>
      </c>
      <c r="J177" s="3939">
        <f t="shared" si="31"/>
        <v>2019</v>
      </c>
      <c r="K177" s="3939">
        <f t="shared" si="31"/>
        <v>2020</v>
      </c>
      <c r="L177" s="3939">
        <f t="shared" si="31"/>
        <v>2021</v>
      </c>
      <c r="M177" s="3939">
        <f t="shared" si="31"/>
        <v>2022</v>
      </c>
      <c r="N177" s="3939">
        <f t="shared" si="31"/>
        <v>2023</v>
      </c>
      <c r="O177" s="3940">
        <f t="shared" si="31"/>
        <v>2024</v>
      </c>
      <c r="P177" s="1815"/>
      <c r="Q177" s="1364"/>
      <c r="R177" s="1341"/>
      <c r="S177" s="1364"/>
      <c r="T177" s="1341"/>
      <c r="U177" s="1341"/>
      <c r="V177" s="1341"/>
      <c r="W177" s="1341"/>
      <c r="X177" s="1341"/>
      <c r="Y177" s="1341"/>
      <c r="Z177" s="1341"/>
      <c r="AA177" s="1341"/>
      <c r="AB177" s="1341"/>
      <c r="AC177" s="1341"/>
      <c r="AD177" s="1341"/>
      <c r="AE177" s="1341"/>
      <c r="AF177" s="1341"/>
      <c r="AG177" s="1341"/>
      <c r="AH177" s="1341"/>
      <c r="AI177" s="794"/>
      <c r="AJ177" s="918"/>
      <c r="AL177" s="918"/>
      <c r="AM177" s="918"/>
      <c r="AN177" s="918"/>
      <c r="AO177" s="918"/>
      <c r="AP177" s="918"/>
      <c r="AQ177" s="918"/>
      <c r="AR177" s="918"/>
      <c r="AS177" s="918"/>
      <c r="AT177" s="918"/>
      <c r="AU177" s="918"/>
      <c r="AV177" s="918"/>
      <c r="AW177" s="918"/>
      <c r="AX177" s="918"/>
    </row>
    <row r="178" spans="1:50" ht="15.75" customHeight="1" x14ac:dyDescent="0.25">
      <c r="B178" s="3532"/>
      <c r="C178" s="3533"/>
      <c r="D178" s="6895"/>
      <c r="E178" s="6896"/>
      <c r="F178" s="3912"/>
      <c r="G178" s="3912"/>
      <c r="H178" s="3912"/>
      <c r="I178" s="3912"/>
      <c r="J178" s="3912"/>
      <c r="K178" s="3912"/>
      <c r="L178" s="3912"/>
      <c r="M178" s="3912"/>
      <c r="N178" s="3912"/>
      <c r="O178" s="3913"/>
      <c r="P178" s="1815"/>
      <c r="Q178" s="1364"/>
      <c r="R178" s="1341"/>
      <c r="S178" s="1364"/>
      <c r="T178" s="1341"/>
      <c r="U178" s="1341"/>
      <c r="V178" s="1341"/>
      <c r="W178" s="1341"/>
      <c r="X178" s="1341"/>
      <c r="Y178" s="1341"/>
      <c r="Z178" s="1341"/>
      <c r="AA178" s="1341"/>
      <c r="AB178" s="1341"/>
      <c r="AC178" s="1341"/>
      <c r="AD178" s="1341"/>
      <c r="AE178" s="1341"/>
      <c r="AF178" s="1341"/>
      <c r="AG178" s="1341"/>
      <c r="AH178" s="1341"/>
      <c r="AI178" s="794"/>
      <c r="AJ178" s="918"/>
      <c r="AL178" s="918"/>
      <c r="AM178" s="918"/>
      <c r="AN178" s="918"/>
      <c r="AO178" s="918"/>
      <c r="AP178" s="918"/>
      <c r="AQ178" s="918"/>
      <c r="AR178" s="918"/>
      <c r="AS178" s="918"/>
      <c r="AT178" s="918"/>
      <c r="AU178" s="918"/>
      <c r="AV178" s="918"/>
      <c r="AW178" s="918"/>
      <c r="AX178" s="918"/>
    </row>
    <row r="179" spans="1:50" x14ac:dyDescent="0.25">
      <c r="B179" s="1364"/>
      <c r="C179" s="1815"/>
      <c r="D179" s="1815"/>
      <c r="E179" s="1815"/>
      <c r="F179" s="1815"/>
      <c r="G179" s="1815"/>
      <c r="H179" s="1815"/>
      <c r="I179" s="1815"/>
      <c r="J179" s="1815"/>
      <c r="K179" s="1815"/>
      <c r="L179" s="1815"/>
      <c r="M179" s="1815"/>
      <c r="N179" s="1815"/>
      <c r="O179" s="1815"/>
      <c r="P179" s="1815"/>
      <c r="Q179" s="1364"/>
      <c r="R179" s="1341"/>
      <c r="S179" s="1341"/>
      <c r="T179" s="1341"/>
      <c r="U179" s="1341"/>
      <c r="V179" s="1341"/>
      <c r="W179" s="1341"/>
      <c r="X179" s="1341"/>
      <c r="Y179" s="1341"/>
      <c r="Z179" s="1341"/>
      <c r="AA179" s="1341"/>
      <c r="AB179" s="1341"/>
      <c r="AC179" s="1341"/>
      <c r="AD179" s="1341"/>
      <c r="AE179" s="1341"/>
      <c r="AF179" s="1341"/>
      <c r="AG179" s="1341"/>
      <c r="AH179" s="1341"/>
      <c r="AI179" s="991"/>
      <c r="AJ179" s="918"/>
      <c r="AL179" s="918"/>
      <c r="AM179" s="918"/>
      <c r="AN179" s="918"/>
      <c r="AO179" s="918"/>
      <c r="AP179" s="918"/>
      <c r="AQ179" s="918"/>
      <c r="AR179" s="918"/>
      <c r="AS179" s="918"/>
      <c r="AT179" s="918"/>
      <c r="AU179" s="918"/>
      <c r="AV179" s="918"/>
      <c r="AW179" s="918"/>
      <c r="AX179" s="918"/>
    </row>
    <row r="180" spans="1:50" s="492" customFormat="1" ht="25.5" customHeight="1" thickBot="1" x14ac:dyDescent="0.3">
      <c r="A180" s="494"/>
      <c r="B180" s="1364"/>
      <c r="C180" s="1364"/>
      <c r="D180" s="1364"/>
      <c r="E180" s="1364"/>
      <c r="F180" s="1364"/>
      <c r="G180" s="1364"/>
      <c r="H180" s="1364"/>
      <c r="I180" s="1364"/>
      <c r="J180" s="1364"/>
      <c r="K180" s="1364"/>
      <c r="L180" s="1364"/>
      <c r="M180" s="1364"/>
      <c r="N180" s="1364"/>
      <c r="O180" s="1364"/>
      <c r="P180" s="3549"/>
      <c r="Q180" s="1364"/>
      <c r="R180" s="1446"/>
      <c r="S180" s="1446"/>
      <c r="T180" s="1446"/>
      <c r="U180" s="1446"/>
      <c r="V180" s="1446"/>
      <c r="W180" s="1446"/>
      <c r="X180" s="1446"/>
      <c r="Y180" s="1446"/>
      <c r="Z180" s="1446"/>
      <c r="AA180" s="1446"/>
      <c r="AB180" s="1446"/>
      <c r="AC180" s="1446"/>
      <c r="AD180" s="1446"/>
      <c r="AE180" s="1446"/>
      <c r="AF180" s="1446"/>
      <c r="AG180" s="1446"/>
      <c r="AH180" s="1446"/>
      <c r="AI180" s="991"/>
      <c r="AJ180" s="918"/>
      <c r="AK180" s="918"/>
      <c r="AL180" s="918"/>
      <c r="AM180" s="918"/>
      <c r="AN180" s="918"/>
      <c r="AO180" s="918"/>
      <c r="AP180" s="918"/>
      <c r="AQ180" s="918"/>
      <c r="AR180" s="918"/>
      <c r="AS180" s="918"/>
      <c r="AT180" s="918"/>
      <c r="AU180" s="918"/>
      <c r="AV180" s="918"/>
      <c r="AW180" s="918"/>
      <c r="AX180" s="918"/>
    </row>
    <row r="181" spans="1:50" s="474" customFormat="1" ht="25.5" customHeight="1" thickTop="1" x14ac:dyDescent="0.25">
      <c r="B181" s="1706"/>
      <c r="C181" s="3529"/>
      <c r="D181" s="6976" t="s">
        <v>3873</v>
      </c>
      <c r="E181" s="6976"/>
      <c r="F181" s="6976"/>
      <c r="G181" s="6976"/>
      <c r="H181" s="6976"/>
      <c r="I181" s="6976"/>
      <c r="J181" s="6976"/>
      <c r="K181" s="6976"/>
      <c r="L181" s="3530" t="s">
        <v>184</v>
      </c>
      <c r="M181" s="6978" t="s">
        <v>3858</v>
      </c>
      <c r="N181" s="6978"/>
      <c r="O181" s="6978"/>
      <c r="P181" s="3531"/>
      <c r="Q181" s="1364"/>
      <c r="R181" s="3495"/>
      <c r="S181" s="3495"/>
      <c r="T181" s="3495"/>
      <c r="U181" s="3495"/>
      <c r="V181" s="3495"/>
      <c r="W181" s="3495"/>
      <c r="X181" s="3495"/>
      <c r="Y181" s="3495"/>
      <c r="Z181" s="3495"/>
      <c r="AA181" s="3495"/>
      <c r="AB181" s="3495"/>
      <c r="AC181" s="3495"/>
      <c r="AD181" s="3495"/>
      <c r="AE181" s="3495"/>
      <c r="AF181" s="3495"/>
      <c r="AG181" s="3495"/>
      <c r="AH181" s="3495"/>
      <c r="AI181" s="475"/>
      <c r="AJ181" s="918"/>
      <c r="AK181" s="918"/>
      <c r="AL181" s="918"/>
      <c r="AM181" s="918"/>
      <c r="AN181" s="918"/>
      <c r="AO181" s="918"/>
      <c r="AP181" s="918"/>
      <c r="AQ181" s="918"/>
      <c r="AR181" s="918"/>
      <c r="AS181" s="918"/>
      <c r="AT181" s="918"/>
      <c r="AU181" s="918"/>
      <c r="AV181" s="918"/>
      <c r="AW181" s="918"/>
      <c r="AX181" s="918"/>
    </row>
    <row r="182" spans="1:50" s="492" customFormat="1" ht="23.25" customHeight="1" x14ac:dyDescent="0.25">
      <c r="A182" s="494"/>
      <c r="B182" s="3532"/>
      <c r="C182" s="3533"/>
      <c r="D182" s="3534" t="s">
        <v>1093</v>
      </c>
      <c r="E182" s="3535"/>
      <c r="F182" s="3535"/>
      <c r="G182" s="3535"/>
      <c r="H182" s="3535"/>
      <c r="I182" s="3535"/>
      <c r="J182" s="3535"/>
      <c r="K182" s="3535"/>
      <c r="L182" s="3535"/>
      <c r="M182" s="3535"/>
      <c r="N182" s="3535"/>
      <c r="O182" s="3536"/>
      <c r="P182" s="1815"/>
      <c r="Q182" s="5570"/>
      <c r="R182" s="1446"/>
      <c r="S182" s="1446"/>
      <c r="T182" s="1446"/>
      <c r="U182" s="1446"/>
      <c r="V182" s="1446"/>
      <c r="W182" s="1446"/>
      <c r="X182" s="1446"/>
      <c r="Y182" s="1446"/>
      <c r="Z182" s="1446"/>
      <c r="AA182" s="1446"/>
      <c r="AB182" s="1446"/>
      <c r="AC182" s="1446"/>
      <c r="AD182" s="1446"/>
      <c r="AE182" s="1446"/>
      <c r="AF182" s="1446"/>
      <c r="AG182" s="1446"/>
      <c r="AH182" s="1446"/>
      <c r="AI182" s="794"/>
      <c r="AJ182" s="918"/>
      <c r="AK182" s="918"/>
      <c r="AL182" s="918"/>
      <c r="AM182" s="918"/>
      <c r="AN182" s="918"/>
      <c r="AO182" s="918"/>
      <c r="AP182" s="918"/>
      <c r="AQ182" s="918"/>
      <c r="AR182" s="918"/>
      <c r="AS182" s="918"/>
      <c r="AT182" s="918"/>
      <c r="AU182" s="918"/>
      <c r="AV182" s="918"/>
      <c r="AW182" s="918"/>
      <c r="AX182" s="918"/>
    </row>
    <row r="183" spans="1:50" s="918" customFormat="1" ht="30.75" customHeight="1" x14ac:dyDescent="0.25">
      <c r="A183" s="921"/>
      <c r="B183" s="3532"/>
      <c r="C183" s="3533"/>
      <c r="D183" s="6901" t="s">
        <v>989</v>
      </c>
      <c r="E183" s="6902"/>
      <c r="F183" s="6903"/>
      <c r="G183" s="6903"/>
      <c r="H183" s="6903"/>
      <c r="I183" s="7005" t="str">
        <f>IF('WSS Profile'!$F$219="3. City fully covered with onsite sanitation system","NO","YES")</f>
        <v>NO</v>
      </c>
      <c r="J183" s="7006" t="s">
        <v>2103</v>
      </c>
      <c r="K183" s="7006"/>
      <c r="L183" s="7006" t="s">
        <v>2738</v>
      </c>
      <c r="M183" s="7006"/>
      <c r="N183" s="7006" t="s">
        <v>2739</v>
      </c>
      <c r="O183" s="7031"/>
      <c r="P183" s="1815"/>
      <c r="Q183" s="1364"/>
      <c r="R183" s="1341"/>
      <c r="S183" s="1341"/>
      <c r="T183" s="1341"/>
      <c r="U183" s="1341"/>
      <c r="V183" s="1341"/>
      <c r="W183" s="1341"/>
      <c r="X183" s="1341"/>
      <c r="Y183" s="1341"/>
      <c r="Z183" s="1341"/>
      <c r="AA183" s="1341"/>
      <c r="AB183" s="1341"/>
      <c r="AC183" s="1341"/>
      <c r="AD183" s="1341"/>
      <c r="AE183" s="1341"/>
      <c r="AF183" s="1341"/>
      <c r="AG183" s="1341"/>
      <c r="AH183" s="1341"/>
      <c r="AI183" s="794"/>
    </row>
    <row r="184" spans="1:50" ht="15" customHeight="1" x14ac:dyDescent="0.25">
      <c r="B184" s="1364"/>
      <c r="C184" s="3533"/>
      <c r="D184" s="6901"/>
      <c r="E184" s="6902"/>
      <c r="F184" s="6903"/>
      <c r="G184" s="6903"/>
      <c r="H184" s="6903"/>
      <c r="I184" s="7005"/>
      <c r="J184" s="6952">
        <f>IF($I$183="Yes",'WSS Profile'!$G$365,0)</f>
        <v>0</v>
      </c>
      <c r="K184" s="6952"/>
      <c r="L184" s="6997">
        <f>IF($I$183="Yes",'WSS Profile'!$G$363,0)</f>
        <v>0</v>
      </c>
      <c r="M184" s="6997"/>
      <c r="N184" s="6997">
        <f>IF($I$183="Yes",'WSS Profile'!$G$364,0)</f>
        <v>0</v>
      </c>
      <c r="O184" s="6998"/>
      <c r="P184" s="1815"/>
      <c r="Q184" s="1364"/>
      <c r="R184" s="1341"/>
      <c r="S184" s="1341"/>
      <c r="T184" s="1341"/>
      <c r="U184" s="1341"/>
      <c r="V184" s="1341"/>
      <c r="W184" s="1341"/>
      <c r="X184" s="1341"/>
      <c r="Y184" s="1341"/>
      <c r="Z184" s="1341"/>
      <c r="AA184" s="1341"/>
      <c r="AB184" s="1341"/>
      <c r="AC184" s="1341"/>
      <c r="AD184" s="1341"/>
      <c r="AE184" s="1341"/>
      <c r="AF184" s="1341"/>
      <c r="AG184" s="1341"/>
      <c r="AH184" s="1341"/>
      <c r="AI184" s="991"/>
      <c r="AJ184" s="918"/>
      <c r="AL184" s="918"/>
      <c r="AM184" s="918"/>
      <c r="AN184" s="918"/>
      <c r="AO184" s="918"/>
      <c r="AP184" s="918"/>
      <c r="AQ184" s="918"/>
      <c r="AR184" s="918"/>
      <c r="AS184" s="918"/>
      <c r="AT184" s="918"/>
      <c r="AU184" s="918"/>
      <c r="AV184" s="918"/>
      <c r="AW184" s="918"/>
      <c r="AX184" s="918"/>
    </row>
    <row r="185" spans="1:50" ht="15.75" customHeight="1" x14ac:dyDescent="0.25">
      <c r="B185" s="1364"/>
      <c r="C185" s="3533"/>
      <c r="D185" s="6904" t="s">
        <v>2893</v>
      </c>
      <c r="E185" s="6905"/>
      <c r="F185" s="6906"/>
      <c r="G185" s="6906"/>
      <c r="H185" s="6906"/>
      <c r="I185" s="3675" t="str">
        <f>IF('WW Plan'!$E$293="Activate",'WW Plan'!G293,"NO")</f>
        <v>NO</v>
      </c>
      <c r="J185" s="6952">
        <f>IF($I$185&lt;&gt;"No",'WW Plan'!$G$307,0)</f>
        <v>0</v>
      </c>
      <c r="K185" s="6952"/>
      <c r="L185" s="6997">
        <f>IF($I$185&lt;&gt;"No",'WW Plan'!$G$306,0)</f>
        <v>0</v>
      </c>
      <c r="M185" s="6997"/>
      <c r="N185" s="6997">
        <f>IF($I$185&lt;&gt;"No",'WW Plan'!$H$306,0)</f>
        <v>0</v>
      </c>
      <c r="O185" s="6998"/>
      <c r="P185" s="1815"/>
      <c r="Q185" s="1364"/>
      <c r="R185" s="1341"/>
      <c r="S185" s="1341"/>
      <c r="T185" s="1341"/>
      <c r="U185" s="1341"/>
      <c r="V185" s="1341"/>
      <c r="W185" s="1341"/>
      <c r="X185" s="1341"/>
      <c r="Y185" s="1341"/>
      <c r="Z185" s="1341"/>
      <c r="AA185" s="1341"/>
      <c r="AB185" s="1341"/>
      <c r="AC185" s="1341"/>
      <c r="AD185" s="1341"/>
      <c r="AE185" s="1341"/>
      <c r="AF185" s="1341"/>
      <c r="AG185" s="1341"/>
      <c r="AH185" s="1341"/>
      <c r="AI185" s="991"/>
      <c r="AJ185" s="918"/>
      <c r="AL185" s="918"/>
      <c r="AM185" s="918"/>
      <c r="AN185" s="918"/>
      <c r="AO185" s="918"/>
      <c r="AP185" s="918"/>
      <c r="AQ185" s="918"/>
      <c r="AR185" s="918"/>
      <c r="AS185" s="918"/>
      <c r="AT185" s="918"/>
      <c r="AU185" s="918"/>
      <c r="AV185" s="918"/>
      <c r="AW185" s="918"/>
      <c r="AX185" s="918"/>
    </row>
    <row r="186" spans="1:50" ht="15.75" x14ac:dyDescent="0.25">
      <c r="B186" s="1364"/>
      <c r="C186" s="3533"/>
      <c r="D186" s="6897" t="s">
        <v>2745</v>
      </c>
      <c r="E186" s="6898"/>
      <c r="F186" s="3945">
        <f>E$68</f>
        <v>2015</v>
      </c>
      <c r="G186" s="3945">
        <f t="shared" ref="G186:O186" si="32">F$68</f>
        <v>2016</v>
      </c>
      <c r="H186" s="3945">
        <f t="shared" si="32"/>
        <v>2017</v>
      </c>
      <c r="I186" s="3945">
        <f t="shared" si="32"/>
        <v>2018</v>
      </c>
      <c r="J186" s="3945">
        <f t="shared" si="32"/>
        <v>2019</v>
      </c>
      <c r="K186" s="3945">
        <f t="shared" si="32"/>
        <v>2020</v>
      </c>
      <c r="L186" s="3945">
        <f t="shared" si="32"/>
        <v>2021</v>
      </c>
      <c r="M186" s="3945">
        <f t="shared" si="32"/>
        <v>2022</v>
      </c>
      <c r="N186" s="3945">
        <f t="shared" si="32"/>
        <v>2023</v>
      </c>
      <c r="O186" s="3946">
        <f t="shared" si="32"/>
        <v>2024</v>
      </c>
      <c r="P186" s="1815"/>
      <c r="Q186" s="1364"/>
      <c r="R186" s="1341"/>
      <c r="S186" s="1341"/>
      <c r="T186" s="1341"/>
      <c r="U186" s="1341"/>
      <c r="V186" s="1341"/>
      <c r="W186" s="1341"/>
      <c r="X186" s="1341"/>
      <c r="Y186" s="1341"/>
      <c r="Z186" s="1341"/>
      <c r="AA186" s="1341"/>
      <c r="AB186" s="1341"/>
      <c r="AC186" s="1341"/>
      <c r="AD186" s="1341"/>
      <c r="AE186" s="1341"/>
      <c r="AF186" s="1341"/>
      <c r="AG186" s="1341"/>
      <c r="AH186" s="1341"/>
      <c r="AI186" s="991"/>
      <c r="AJ186" s="918"/>
      <c r="AL186" s="918"/>
      <c r="AM186" s="918"/>
      <c r="AN186" s="918"/>
      <c r="AO186" s="918"/>
      <c r="AP186" s="918"/>
      <c r="AQ186" s="918"/>
      <c r="AR186" s="918"/>
      <c r="AS186" s="918"/>
      <c r="AT186" s="918"/>
      <c r="AU186" s="918"/>
      <c r="AV186" s="918"/>
      <c r="AW186" s="918"/>
      <c r="AX186" s="918"/>
    </row>
    <row r="187" spans="1:50" ht="15.75" x14ac:dyDescent="0.25">
      <c r="B187" s="1364"/>
      <c r="C187" s="3533"/>
      <c r="D187" s="6899" t="s">
        <v>2741</v>
      </c>
      <c r="E187" s="6900"/>
      <c r="F187" s="3914"/>
      <c r="G187" s="3915"/>
      <c r="H187" s="3915"/>
      <c r="I187" s="3915"/>
      <c r="J187" s="3915"/>
      <c r="K187" s="3915"/>
      <c r="L187" s="3915"/>
      <c r="M187" s="3915"/>
      <c r="N187" s="3915"/>
      <c r="O187" s="3916"/>
      <c r="P187" s="1815"/>
      <c r="Q187" s="1364"/>
      <c r="R187" s="1341"/>
      <c r="S187" s="1341"/>
      <c r="T187" s="1341"/>
      <c r="U187" s="1341"/>
      <c r="V187" s="1341"/>
      <c r="W187" s="1341"/>
      <c r="X187" s="1341"/>
      <c r="Y187" s="1341"/>
      <c r="Z187" s="1341"/>
      <c r="AA187" s="1341"/>
      <c r="AB187" s="1341"/>
      <c r="AC187" s="1341"/>
      <c r="AD187" s="1341"/>
      <c r="AE187" s="1341"/>
      <c r="AF187" s="1341"/>
      <c r="AG187" s="1341"/>
      <c r="AH187" s="1341"/>
      <c r="AI187" s="991"/>
      <c r="AJ187" s="918"/>
      <c r="AL187" s="918"/>
      <c r="AM187" s="918"/>
      <c r="AN187" s="918"/>
      <c r="AO187" s="918"/>
      <c r="AP187" s="918"/>
      <c r="AQ187" s="918"/>
      <c r="AR187" s="918"/>
      <c r="AS187" s="918"/>
      <c r="AT187" s="918"/>
      <c r="AU187" s="918"/>
      <c r="AV187" s="918"/>
      <c r="AW187" s="918"/>
      <c r="AX187" s="918"/>
    </row>
    <row r="188" spans="1:50" ht="15.75" customHeight="1" x14ac:dyDescent="0.25">
      <c r="B188" s="1364"/>
      <c r="C188" s="3533"/>
      <c r="D188" s="6899" t="s">
        <v>2742</v>
      </c>
      <c r="E188" s="6900"/>
      <c r="F188" s="3914"/>
      <c r="G188" s="3915"/>
      <c r="H188" s="3915"/>
      <c r="I188" s="3915"/>
      <c r="J188" s="3915"/>
      <c r="K188" s="3915"/>
      <c r="L188" s="3915"/>
      <c r="M188" s="3915"/>
      <c r="N188" s="3915"/>
      <c r="O188" s="3916"/>
      <c r="P188" s="1815"/>
      <c r="Q188" s="1364"/>
      <c r="R188" s="1341"/>
      <c r="S188" s="1341"/>
      <c r="T188" s="1341"/>
      <c r="U188" s="1341"/>
      <c r="V188" s="1341"/>
      <c r="W188" s="1341"/>
      <c r="X188" s="1341"/>
      <c r="Y188" s="1341"/>
      <c r="Z188" s="1341"/>
      <c r="AA188" s="1341"/>
      <c r="AB188" s="1341"/>
      <c r="AC188" s="1341"/>
      <c r="AD188" s="1341"/>
      <c r="AE188" s="1341"/>
      <c r="AF188" s="1341"/>
      <c r="AG188" s="1341"/>
      <c r="AH188" s="1341"/>
      <c r="AI188" s="991"/>
      <c r="AJ188" s="918"/>
      <c r="AL188" s="918"/>
      <c r="AM188" s="918"/>
      <c r="AN188" s="918"/>
      <c r="AO188" s="918"/>
      <c r="AP188" s="918"/>
      <c r="AQ188" s="918"/>
      <c r="AR188" s="918"/>
      <c r="AS188" s="918"/>
      <c r="AT188" s="918"/>
      <c r="AU188" s="918"/>
      <c r="AV188" s="918"/>
      <c r="AW188" s="918"/>
      <c r="AX188" s="918"/>
    </row>
    <row r="189" spans="1:50" s="918" customFormat="1" ht="15.75" x14ac:dyDescent="0.25">
      <c r="A189" s="921"/>
      <c r="B189" s="1364"/>
      <c r="C189" s="3533"/>
      <c r="D189" s="6899" t="s">
        <v>2743</v>
      </c>
      <c r="E189" s="6900"/>
      <c r="F189" s="3914"/>
      <c r="G189" s="3915"/>
      <c r="H189" s="3915"/>
      <c r="I189" s="3915"/>
      <c r="J189" s="3915"/>
      <c r="K189" s="3915"/>
      <c r="L189" s="3915"/>
      <c r="M189" s="3915"/>
      <c r="N189" s="3915"/>
      <c r="O189" s="3916"/>
      <c r="P189" s="1815"/>
      <c r="Q189" s="1364"/>
      <c r="R189" s="1341"/>
      <c r="S189" s="1341"/>
      <c r="T189" s="1341"/>
      <c r="U189" s="1341"/>
      <c r="V189" s="1341"/>
      <c r="W189" s="1341"/>
      <c r="X189" s="1341"/>
      <c r="Y189" s="1341"/>
      <c r="Z189" s="1341"/>
      <c r="AA189" s="1341"/>
      <c r="AB189" s="1341"/>
      <c r="AC189" s="1341"/>
      <c r="AD189" s="1341"/>
      <c r="AE189" s="1341"/>
      <c r="AF189" s="1341"/>
      <c r="AG189" s="1341"/>
      <c r="AH189" s="1341"/>
      <c r="AI189" s="991"/>
    </row>
    <row r="190" spans="1:50" s="492" customFormat="1" ht="15.75" x14ac:dyDescent="0.25">
      <c r="A190" s="494"/>
      <c r="B190" s="3532"/>
      <c r="C190" s="3533"/>
      <c r="D190" s="3537" t="s">
        <v>1326</v>
      </c>
      <c r="E190" s="1815"/>
      <c r="F190" s="1815"/>
      <c r="G190" s="1815"/>
      <c r="H190" s="1815"/>
      <c r="I190" s="1815"/>
      <c r="J190" s="1815"/>
      <c r="K190" s="1815"/>
      <c r="L190" s="1815"/>
      <c r="M190" s="1815"/>
      <c r="N190" s="1815"/>
      <c r="O190" s="3538"/>
      <c r="P190" s="1815"/>
      <c r="Q190" s="5570"/>
      <c r="R190" s="1446"/>
      <c r="S190" s="1446"/>
      <c r="T190" s="1446"/>
      <c r="U190" s="1446"/>
      <c r="V190" s="1446"/>
      <c r="W190" s="1446"/>
      <c r="X190" s="1446"/>
      <c r="Y190" s="1446"/>
      <c r="Z190" s="1446"/>
      <c r="AA190" s="1446"/>
      <c r="AB190" s="1446"/>
      <c r="AC190" s="1446"/>
      <c r="AD190" s="1446"/>
      <c r="AE190" s="1446"/>
      <c r="AF190" s="1446"/>
      <c r="AG190" s="1446"/>
      <c r="AH190" s="1446"/>
      <c r="AI190" s="794"/>
      <c r="AJ190" s="918"/>
      <c r="AK190" s="918"/>
      <c r="AL190" s="918"/>
      <c r="AM190" s="918"/>
      <c r="AN190" s="918"/>
      <c r="AO190" s="918"/>
      <c r="AP190" s="918"/>
      <c r="AQ190" s="918"/>
      <c r="AR190" s="918"/>
      <c r="AS190" s="918"/>
      <c r="AT190" s="918"/>
      <c r="AU190" s="918"/>
      <c r="AV190" s="918"/>
      <c r="AW190" s="918"/>
      <c r="AX190" s="918"/>
    </row>
    <row r="191" spans="1:50" s="918" customFormat="1" ht="31.5" customHeight="1" x14ac:dyDescent="0.25">
      <c r="A191" s="921"/>
      <c r="B191" s="3532"/>
      <c r="C191" s="3533"/>
      <c r="D191" s="6901" t="s">
        <v>2894</v>
      </c>
      <c r="E191" s="6902"/>
      <c r="F191" s="6903"/>
      <c r="G191" s="6903"/>
      <c r="H191" s="6903"/>
      <c r="I191" s="3947" t="s">
        <v>68</v>
      </c>
      <c r="J191" s="7006" t="s">
        <v>2103</v>
      </c>
      <c r="K191" s="7006"/>
      <c r="L191" s="7006" t="s">
        <v>2738</v>
      </c>
      <c r="M191" s="7006"/>
      <c r="N191" s="7006" t="s">
        <v>2739</v>
      </c>
      <c r="O191" s="7031"/>
      <c r="P191" s="1815"/>
      <c r="Q191" s="1364"/>
      <c r="R191" s="1341"/>
      <c r="S191" s="1341"/>
      <c r="T191" s="1341"/>
      <c r="U191" s="1341"/>
      <c r="V191" s="1341"/>
      <c r="W191" s="1341"/>
      <c r="X191" s="1341"/>
      <c r="Y191" s="1341"/>
      <c r="Z191" s="1341"/>
      <c r="AA191" s="1341"/>
      <c r="AB191" s="1341"/>
      <c r="AC191" s="1341"/>
      <c r="AD191" s="1341"/>
      <c r="AE191" s="1341"/>
      <c r="AF191" s="1341"/>
      <c r="AG191" s="1341"/>
      <c r="AH191" s="1341"/>
      <c r="AI191" s="794"/>
    </row>
    <row r="192" spans="1:50" s="918" customFormat="1" ht="15" customHeight="1" x14ac:dyDescent="0.25">
      <c r="A192" s="921"/>
      <c r="B192" s="1364"/>
      <c r="C192" s="3533"/>
      <c r="D192" s="6901"/>
      <c r="E192" s="6902"/>
      <c r="F192" s="6903"/>
      <c r="G192" s="6903"/>
      <c r="H192" s="6903"/>
      <c r="I192" s="5385" t="str">
        <f>IF('WW Plan'!$E$282="Activate",'WW Plan'!G282,"NO")</f>
        <v>NO</v>
      </c>
      <c r="J192" s="7033">
        <f>IF(I192&lt;&gt;"No",'WW Plan'!G292,0)</f>
        <v>0</v>
      </c>
      <c r="K192" s="7033"/>
      <c r="L192" s="6997">
        <f>IF(I192&lt;&gt;"No",'WW Plan'!G291,0)</f>
        <v>0</v>
      </c>
      <c r="M192" s="6997"/>
      <c r="N192" s="6997">
        <f>IF(I192&lt;&gt;"No",'WW Plan'!H291,0)</f>
        <v>0</v>
      </c>
      <c r="O192" s="6998"/>
      <c r="P192" s="1815"/>
      <c r="Q192" s="1364"/>
      <c r="R192" s="1341"/>
      <c r="S192" s="1341"/>
      <c r="T192" s="1341"/>
      <c r="U192" s="1341"/>
      <c r="V192" s="1341"/>
      <c r="W192" s="1341"/>
      <c r="X192" s="1341"/>
      <c r="Y192" s="1341"/>
      <c r="Z192" s="1341"/>
      <c r="AA192" s="1341"/>
      <c r="AB192" s="1341"/>
      <c r="AC192" s="1341"/>
      <c r="AD192" s="1341"/>
      <c r="AE192" s="1341"/>
      <c r="AF192" s="1341"/>
      <c r="AG192" s="1341"/>
      <c r="AH192" s="1341"/>
      <c r="AI192" s="991"/>
    </row>
    <row r="193" spans="1:49" s="918" customFormat="1" ht="30" customHeight="1" x14ac:dyDescent="0.25">
      <c r="A193" s="921"/>
      <c r="B193" s="1364"/>
      <c r="C193" s="3533"/>
      <c r="D193" s="6897" t="s">
        <v>2745</v>
      </c>
      <c r="E193" s="6898"/>
      <c r="F193" s="3945">
        <f>E$68</f>
        <v>2015</v>
      </c>
      <c r="G193" s="3945">
        <f t="shared" ref="G193:O193" si="33">F$68</f>
        <v>2016</v>
      </c>
      <c r="H193" s="3945">
        <f t="shared" si="33"/>
        <v>2017</v>
      </c>
      <c r="I193" s="3945">
        <f t="shared" si="33"/>
        <v>2018</v>
      </c>
      <c r="J193" s="3945">
        <f t="shared" si="33"/>
        <v>2019</v>
      </c>
      <c r="K193" s="3945">
        <f t="shared" si="33"/>
        <v>2020</v>
      </c>
      <c r="L193" s="3945">
        <f t="shared" si="33"/>
        <v>2021</v>
      </c>
      <c r="M193" s="3945">
        <f t="shared" si="33"/>
        <v>2022</v>
      </c>
      <c r="N193" s="3945">
        <f t="shared" si="33"/>
        <v>2023</v>
      </c>
      <c r="O193" s="3946">
        <f t="shared" si="33"/>
        <v>2024</v>
      </c>
      <c r="P193" s="1815"/>
      <c r="Q193" s="1364"/>
      <c r="R193" s="1341"/>
      <c r="S193" s="1341"/>
      <c r="T193" s="1341"/>
      <c r="U193" s="1341"/>
      <c r="V193" s="1341"/>
      <c r="W193" s="1341"/>
      <c r="X193" s="1341"/>
      <c r="Y193" s="1341"/>
      <c r="Z193" s="1341"/>
      <c r="AA193" s="1341"/>
      <c r="AB193" s="1341"/>
      <c r="AC193" s="1341"/>
      <c r="AD193" s="1341"/>
      <c r="AE193" s="1341"/>
      <c r="AF193" s="1341"/>
      <c r="AG193" s="1341"/>
      <c r="AH193" s="1341"/>
      <c r="AI193" s="991"/>
    </row>
    <row r="194" spans="1:49" s="918" customFormat="1" ht="15.75" x14ac:dyDescent="0.25">
      <c r="A194" s="921"/>
      <c r="B194" s="1364"/>
      <c r="C194" s="3533"/>
      <c r="D194" s="6897" t="s">
        <v>2744</v>
      </c>
      <c r="E194" s="6898"/>
      <c r="F194" s="3914"/>
      <c r="G194" s="3915"/>
      <c r="H194" s="3915"/>
      <c r="I194" s="3915"/>
      <c r="J194" s="3915"/>
      <c r="K194" s="3915"/>
      <c r="L194" s="3915"/>
      <c r="M194" s="3915"/>
      <c r="N194" s="3915"/>
      <c r="O194" s="3916"/>
      <c r="P194" s="1815"/>
      <c r="Q194" s="1364"/>
      <c r="R194" s="1341"/>
      <c r="S194" s="1341"/>
      <c r="T194" s="1341"/>
      <c r="U194" s="1341"/>
      <c r="V194" s="1341"/>
      <c r="W194" s="1341"/>
      <c r="X194" s="1341"/>
      <c r="Y194" s="1341"/>
      <c r="Z194" s="1341"/>
      <c r="AA194" s="1341"/>
      <c r="AB194" s="1341"/>
      <c r="AC194" s="1341"/>
      <c r="AD194" s="1341"/>
      <c r="AE194" s="1341"/>
      <c r="AF194" s="1341"/>
      <c r="AG194" s="1341"/>
      <c r="AH194" s="1341"/>
      <c r="AI194" s="991"/>
    </row>
    <row r="195" spans="1:49" s="918" customFormat="1" ht="15.75" customHeight="1" x14ac:dyDescent="0.25">
      <c r="A195" s="921"/>
      <c r="B195" s="1364"/>
      <c r="C195" s="3533"/>
      <c r="D195" s="6899" t="s">
        <v>2742</v>
      </c>
      <c r="E195" s="6900"/>
      <c r="F195" s="3914"/>
      <c r="G195" s="3915"/>
      <c r="H195" s="3915"/>
      <c r="I195" s="3915"/>
      <c r="J195" s="3915"/>
      <c r="K195" s="3915"/>
      <c r="L195" s="3915"/>
      <c r="M195" s="3915"/>
      <c r="N195" s="3915"/>
      <c r="O195" s="3916"/>
      <c r="P195" s="1815"/>
      <c r="Q195" s="1364"/>
      <c r="R195" s="1341"/>
      <c r="S195" s="1341"/>
      <c r="T195" s="1341"/>
      <c r="U195" s="1341"/>
      <c r="V195" s="1341"/>
      <c r="W195" s="1341"/>
      <c r="X195" s="1341"/>
      <c r="Y195" s="1341"/>
      <c r="Z195" s="1341"/>
      <c r="AA195" s="1341"/>
      <c r="AB195" s="1341"/>
      <c r="AC195" s="1341"/>
      <c r="AD195" s="1341"/>
      <c r="AE195" s="1341"/>
      <c r="AF195" s="1341"/>
      <c r="AG195" s="1341"/>
      <c r="AH195" s="1341"/>
      <c r="AI195" s="991"/>
    </row>
    <row r="196" spans="1:49" s="918" customFormat="1" ht="15.75" x14ac:dyDescent="0.25">
      <c r="A196" s="921"/>
      <c r="B196" s="1364"/>
      <c r="C196" s="3533"/>
      <c r="D196" s="7060" t="s">
        <v>2743</v>
      </c>
      <c r="E196" s="7061"/>
      <c r="F196" s="5642"/>
      <c r="G196" s="5643"/>
      <c r="H196" s="5643"/>
      <c r="I196" s="5643"/>
      <c r="J196" s="5643"/>
      <c r="K196" s="5643"/>
      <c r="L196" s="5643"/>
      <c r="M196" s="5643"/>
      <c r="N196" s="5643"/>
      <c r="O196" s="5644"/>
      <c r="P196" s="1815"/>
      <c r="Q196" s="1364"/>
      <c r="R196" s="1341"/>
      <c r="S196" s="1341"/>
      <c r="T196" s="1341"/>
      <c r="U196" s="1341"/>
      <c r="V196" s="1341"/>
      <c r="W196" s="1341"/>
      <c r="X196" s="1341"/>
      <c r="Y196" s="1341"/>
      <c r="Z196" s="1341"/>
      <c r="AA196" s="1341"/>
      <c r="AB196" s="1341"/>
      <c r="AC196" s="1341"/>
      <c r="AD196" s="1341"/>
      <c r="AE196" s="1341"/>
      <c r="AF196" s="1341"/>
      <c r="AG196" s="1341"/>
      <c r="AH196" s="1341"/>
      <c r="AI196" s="991"/>
    </row>
    <row r="197" spans="1:49" s="492" customFormat="1" ht="23.25" customHeight="1" x14ac:dyDescent="0.25">
      <c r="A197" s="494"/>
      <c r="B197" s="3532"/>
      <c r="C197" s="3533"/>
      <c r="D197" s="5645" t="s">
        <v>3846</v>
      </c>
      <c r="E197" s="5646"/>
      <c r="F197" s="5646"/>
      <c r="G197" s="5646"/>
      <c r="H197" s="5646"/>
      <c r="I197" s="5646"/>
      <c r="J197" s="5646"/>
      <c r="K197" s="5646"/>
      <c r="L197" s="5646"/>
      <c r="M197" s="5646"/>
      <c r="N197" s="5646"/>
      <c r="O197" s="5647"/>
      <c r="P197" s="1815"/>
      <c r="Q197" s="5570"/>
      <c r="R197" s="1446"/>
      <c r="S197" s="1446"/>
      <c r="T197" s="1446"/>
      <c r="U197" s="1446"/>
      <c r="V197" s="1446"/>
      <c r="W197" s="1446"/>
      <c r="X197" s="1446"/>
      <c r="Y197" s="1446"/>
      <c r="Z197" s="1446"/>
      <c r="AA197" s="1446"/>
      <c r="AB197" s="1446"/>
      <c r="AC197" s="1446"/>
      <c r="AD197" s="1446"/>
      <c r="AE197" s="1446"/>
      <c r="AF197" s="1446"/>
      <c r="AG197" s="1446"/>
      <c r="AH197" s="1446"/>
      <c r="AI197" s="794"/>
      <c r="AK197" s="918"/>
      <c r="AL197" s="918"/>
      <c r="AM197" s="918"/>
      <c r="AN197" s="918"/>
      <c r="AO197" s="918"/>
      <c r="AP197" s="918"/>
      <c r="AQ197" s="918"/>
      <c r="AR197" s="918"/>
      <c r="AS197" s="918"/>
      <c r="AT197" s="918"/>
      <c r="AU197" s="918"/>
      <c r="AV197" s="918"/>
      <c r="AW197" s="918"/>
    </row>
    <row r="198" spans="1:49" s="918" customFormat="1" ht="15.75" customHeight="1" x14ac:dyDescent="0.25">
      <c r="A198" s="921"/>
      <c r="B198" s="3532"/>
      <c r="C198" s="3533"/>
      <c r="D198" s="6901" t="s">
        <v>3831</v>
      </c>
      <c r="E198" s="6902"/>
      <c r="F198" s="6903"/>
      <c r="G198" s="6903"/>
      <c r="H198" s="6903"/>
      <c r="I198" s="7005" t="str">
        <f>'WSS Profile'!$F$349</f>
        <v>No</v>
      </c>
      <c r="J198" s="7005"/>
      <c r="K198" s="6999" t="s">
        <v>1076</v>
      </c>
      <c r="L198" s="6999"/>
      <c r="M198" s="6999"/>
      <c r="N198" s="6999" t="s">
        <v>2084</v>
      </c>
      <c r="O198" s="7028"/>
      <c r="P198" s="1815"/>
      <c r="Q198" s="1364"/>
      <c r="R198" s="1341"/>
      <c r="S198" s="1341"/>
      <c r="T198" s="1341"/>
      <c r="U198" s="1341"/>
      <c r="V198" s="1341"/>
      <c r="W198" s="1341"/>
      <c r="X198" s="1341"/>
      <c r="Y198" s="1341"/>
      <c r="Z198" s="1341"/>
      <c r="AA198" s="1341"/>
      <c r="AB198" s="1341"/>
      <c r="AC198" s="1341"/>
      <c r="AD198" s="1341"/>
      <c r="AE198" s="1341"/>
      <c r="AF198" s="1341"/>
      <c r="AG198" s="1341"/>
      <c r="AH198" s="1341"/>
      <c r="AI198" s="794"/>
    </row>
    <row r="199" spans="1:49" ht="15.75" customHeight="1" x14ac:dyDescent="0.25">
      <c r="B199" s="3532"/>
      <c r="C199" s="3533"/>
      <c r="D199" s="6901"/>
      <c r="E199" s="6902"/>
      <c r="F199" s="6903"/>
      <c r="G199" s="6903"/>
      <c r="H199" s="6903"/>
      <c r="I199" s="7029"/>
      <c r="J199" s="7029"/>
      <c r="K199" s="7000" t="str">
        <f>IF(I198="Yes",'WSS Profile'!$F$350,"-")</f>
        <v>-</v>
      </c>
      <c r="L199" s="7000"/>
      <c r="M199" s="7000"/>
      <c r="N199" s="7036">
        <f>IF('WSS Profile'!$F$349="YES",'WSS Profile'!$G$349,0)</f>
        <v>0</v>
      </c>
      <c r="O199" s="7037"/>
      <c r="P199" s="1815"/>
      <c r="Q199" s="1364"/>
      <c r="R199" s="1341"/>
      <c r="S199" s="1341"/>
      <c r="T199" s="1341"/>
      <c r="U199" s="1341"/>
      <c r="V199" s="1341"/>
      <c r="W199" s="1341"/>
      <c r="X199" s="1341"/>
      <c r="Y199" s="1341"/>
      <c r="Z199" s="1341"/>
      <c r="AA199" s="1341"/>
      <c r="AB199" s="1341"/>
      <c r="AC199" s="1341"/>
      <c r="AD199" s="1341"/>
      <c r="AE199" s="1341"/>
      <c r="AF199" s="1341"/>
      <c r="AG199" s="1341"/>
      <c r="AH199" s="1341"/>
      <c r="AI199" s="794"/>
      <c r="AK199" s="492"/>
      <c r="AL199" s="492"/>
      <c r="AM199" s="492"/>
      <c r="AN199" s="492"/>
      <c r="AO199" s="492"/>
      <c r="AP199" s="492"/>
      <c r="AQ199" s="492"/>
      <c r="AR199" s="492"/>
      <c r="AS199" s="492"/>
      <c r="AT199" s="492"/>
      <c r="AU199" s="492"/>
      <c r="AV199" s="492"/>
      <c r="AW199" s="492"/>
    </row>
    <row r="200" spans="1:49" ht="15.75" customHeight="1" x14ac:dyDescent="0.25">
      <c r="B200" s="3532"/>
      <c r="C200" s="3533"/>
      <c r="D200" s="6904" t="s">
        <v>2083</v>
      </c>
      <c r="E200" s="6905"/>
      <c r="F200" s="6906"/>
      <c r="G200" s="6906"/>
      <c r="H200" s="3941" t="s">
        <v>68</v>
      </c>
      <c r="I200" s="7026"/>
      <c r="J200" s="7027"/>
      <c r="K200" s="7030" t="s">
        <v>178</v>
      </c>
      <c r="L200" s="7030"/>
      <c r="M200" s="7030"/>
      <c r="N200" s="7032"/>
      <c r="O200" s="6568"/>
      <c r="P200" s="1815"/>
      <c r="Q200" s="1364"/>
      <c r="R200" s="1341"/>
      <c r="S200" s="1341"/>
      <c r="T200" s="1341"/>
      <c r="U200" s="1341"/>
      <c r="V200" s="1341"/>
      <c r="W200" s="1341"/>
      <c r="X200" s="1341"/>
      <c r="Y200" s="1341"/>
      <c r="Z200" s="1341"/>
      <c r="AA200" s="1341"/>
      <c r="AB200" s="1341"/>
      <c r="AC200" s="1341"/>
      <c r="AD200" s="1341"/>
      <c r="AE200" s="1341"/>
      <c r="AF200" s="1341"/>
      <c r="AG200" s="1341"/>
      <c r="AH200" s="1341"/>
      <c r="AI200" s="794"/>
      <c r="AL200" s="918"/>
      <c r="AM200" s="918"/>
      <c r="AN200" s="918"/>
      <c r="AO200" s="918"/>
      <c r="AP200" s="918"/>
      <c r="AQ200" s="918"/>
      <c r="AR200" s="918"/>
      <c r="AS200" s="918"/>
      <c r="AT200" s="918"/>
      <c r="AU200" s="918"/>
      <c r="AV200" s="918"/>
      <c r="AW200" s="918"/>
    </row>
    <row r="201" spans="1:49" ht="15.75" customHeight="1" x14ac:dyDescent="0.25">
      <c r="B201" s="3532"/>
      <c r="C201" s="3533"/>
      <c r="D201" s="6887" t="s">
        <v>1925</v>
      </c>
      <c r="E201" s="6888"/>
      <c r="F201" s="3945">
        <f>E$68</f>
        <v>2015</v>
      </c>
      <c r="G201" s="3938">
        <f t="shared" ref="G201:O201" si="34">F$68</f>
        <v>2016</v>
      </c>
      <c r="H201" s="3938">
        <f t="shared" si="34"/>
        <v>2017</v>
      </c>
      <c r="I201" s="3939">
        <f t="shared" si="34"/>
        <v>2018</v>
      </c>
      <c r="J201" s="3939">
        <f t="shared" si="34"/>
        <v>2019</v>
      </c>
      <c r="K201" s="3939">
        <f t="shared" si="34"/>
        <v>2020</v>
      </c>
      <c r="L201" s="3939">
        <f t="shared" si="34"/>
        <v>2021</v>
      </c>
      <c r="M201" s="3939">
        <f t="shared" si="34"/>
        <v>2022</v>
      </c>
      <c r="N201" s="3939">
        <f t="shared" si="34"/>
        <v>2023</v>
      </c>
      <c r="O201" s="3940">
        <f t="shared" si="34"/>
        <v>2024</v>
      </c>
      <c r="P201" s="1815"/>
      <c r="Q201" s="1364"/>
      <c r="R201" s="1341"/>
      <c r="S201" s="1341"/>
      <c r="T201" s="1341"/>
      <c r="U201" s="1341"/>
      <c r="V201" s="1341"/>
      <c r="W201" s="1341"/>
      <c r="X201" s="1341"/>
      <c r="Y201" s="1341"/>
      <c r="Z201" s="1341"/>
      <c r="AA201" s="1341"/>
      <c r="AB201" s="1341"/>
      <c r="AC201" s="1341"/>
      <c r="AD201" s="1341"/>
      <c r="AE201" s="1341"/>
      <c r="AF201" s="1341"/>
      <c r="AG201" s="1341"/>
      <c r="AH201" s="1341"/>
      <c r="AI201" s="794"/>
    </row>
    <row r="202" spans="1:49" ht="15.75" x14ac:dyDescent="0.25">
      <c r="B202" s="3532"/>
      <c r="C202" s="3533"/>
      <c r="D202" s="6891"/>
      <c r="E202" s="6892"/>
      <c r="F202" s="3914"/>
      <c r="G202" s="3915"/>
      <c r="H202" s="3915"/>
      <c r="I202" s="3915"/>
      <c r="J202" s="3915"/>
      <c r="K202" s="3915"/>
      <c r="L202" s="3915"/>
      <c r="M202" s="3915"/>
      <c r="N202" s="3915"/>
      <c r="O202" s="3916"/>
      <c r="P202" s="1815"/>
      <c r="Q202" s="1364"/>
      <c r="R202" s="1341"/>
      <c r="S202" s="1341"/>
      <c r="T202" s="1341"/>
      <c r="U202" s="1341"/>
      <c r="V202" s="1341"/>
      <c r="W202" s="1341"/>
      <c r="X202" s="1341"/>
      <c r="Y202" s="1341"/>
      <c r="Z202" s="1341"/>
      <c r="AA202" s="1341"/>
      <c r="AB202" s="1341"/>
      <c r="AC202" s="1341"/>
      <c r="AD202" s="1341"/>
      <c r="AE202" s="1341"/>
      <c r="AF202" s="1341"/>
      <c r="AG202" s="1341"/>
      <c r="AH202" s="1341"/>
      <c r="AI202" s="794"/>
    </row>
    <row r="203" spans="1:49" s="492" customFormat="1" ht="23.25" customHeight="1" x14ac:dyDescent="0.25">
      <c r="A203" s="494"/>
      <c r="B203" s="3532"/>
      <c r="C203" s="3533"/>
      <c r="D203" s="3537" t="s">
        <v>3847</v>
      </c>
      <c r="E203" s="1815"/>
      <c r="F203" s="1815"/>
      <c r="G203" s="1815"/>
      <c r="H203" s="1815"/>
      <c r="I203" s="1815"/>
      <c r="J203" s="1815"/>
      <c r="K203" s="1815"/>
      <c r="L203" s="1815"/>
      <c r="M203" s="1815"/>
      <c r="N203" s="1815"/>
      <c r="O203" s="3538"/>
      <c r="P203" s="3552"/>
      <c r="Q203" s="1364"/>
      <c r="R203" s="1446"/>
      <c r="S203" s="1446"/>
      <c r="T203" s="1446"/>
      <c r="U203" s="1446"/>
      <c r="V203" s="1446"/>
      <c r="W203" s="1446"/>
      <c r="X203" s="1446"/>
      <c r="Y203" s="1446"/>
      <c r="Z203" s="1446"/>
      <c r="AA203" s="1446"/>
      <c r="AB203" s="1446"/>
      <c r="AC203" s="1446"/>
      <c r="AD203" s="1446"/>
      <c r="AE203" s="1446"/>
      <c r="AF203" s="1446"/>
      <c r="AG203" s="1446"/>
      <c r="AH203" s="1446"/>
      <c r="AI203" s="794"/>
      <c r="AK203" s="918"/>
      <c r="AL203" s="478"/>
      <c r="AM203" s="478"/>
      <c r="AN203" s="478"/>
      <c r="AO203" s="478"/>
      <c r="AP203" s="478"/>
      <c r="AQ203" s="478"/>
      <c r="AR203" s="478"/>
      <c r="AS203" s="478"/>
      <c r="AT203" s="478"/>
      <c r="AU203" s="478"/>
      <c r="AV203" s="478"/>
      <c r="AW203" s="478"/>
    </row>
    <row r="204" spans="1:49" s="918" customFormat="1" ht="15.75" customHeight="1" x14ac:dyDescent="0.25">
      <c r="A204" s="921"/>
      <c r="B204" s="3532"/>
      <c r="C204" s="3533"/>
      <c r="D204" s="6901" t="s">
        <v>3832</v>
      </c>
      <c r="E204" s="6902"/>
      <c r="F204" s="6903"/>
      <c r="G204" s="6903"/>
      <c r="H204" s="6903"/>
      <c r="I204" s="6903"/>
      <c r="J204" s="7005" t="str">
        <f>'WSS Profile'!$F$351</f>
        <v>No</v>
      </c>
      <c r="K204" s="7005"/>
      <c r="L204" s="7005"/>
      <c r="M204" s="6999" t="s">
        <v>774</v>
      </c>
      <c r="N204" s="6999"/>
      <c r="O204" s="7028"/>
      <c r="P204" s="3552"/>
      <c r="Q204" s="1364"/>
      <c r="R204" s="1341"/>
      <c r="S204" s="1341"/>
      <c r="T204" s="1341"/>
      <c r="U204" s="1341"/>
      <c r="V204" s="1341"/>
      <c r="W204" s="1341"/>
      <c r="X204" s="1341"/>
      <c r="Y204" s="1341"/>
      <c r="Z204" s="1341"/>
      <c r="AA204" s="1341"/>
      <c r="AB204" s="1341"/>
      <c r="AC204" s="1341"/>
      <c r="AD204" s="1341"/>
      <c r="AE204" s="1341"/>
      <c r="AF204" s="1341"/>
      <c r="AG204" s="1341"/>
      <c r="AH204" s="1341"/>
      <c r="AI204" s="794"/>
      <c r="AL204" s="478"/>
      <c r="AM204" s="478"/>
      <c r="AN204" s="478"/>
      <c r="AO204" s="478"/>
      <c r="AP204" s="478"/>
      <c r="AQ204" s="478"/>
      <c r="AR204" s="478"/>
      <c r="AS204" s="478"/>
      <c r="AT204" s="478"/>
      <c r="AU204" s="478"/>
      <c r="AV204" s="478"/>
      <c r="AW204" s="478"/>
    </row>
    <row r="205" spans="1:49" ht="15.75" customHeight="1" x14ac:dyDescent="0.25">
      <c r="B205" s="3532"/>
      <c r="C205" s="3533"/>
      <c r="D205" s="6901"/>
      <c r="E205" s="6902"/>
      <c r="F205" s="6903"/>
      <c r="G205" s="6903"/>
      <c r="H205" s="6903"/>
      <c r="I205" s="6903"/>
      <c r="J205" s="7029"/>
      <c r="K205" s="7029"/>
      <c r="L205" s="7029"/>
      <c r="M205" s="7048">
        <f>IF('WSS Profile'!$F$351="YES",'WSS Profile'!$G$351,0)</f>
        <v>0</v>
      </c>
      <c r="N205" s="7048"/>
      <c r="O205" s="7049"/>
      <c r="P205" s="3553"/>
      <c r="Q205" s="1364"/>
      <c r="R205" s="1341"/>
      <c r="S205" s="1341"/>
      <c r="T205" s="1341"/>
      <c r="U205" s="1341"/>
      <c r="V205" s="1341"/>
      <c r="W205" s="1341"/>
      <c r="X205" s="1341"/>
      <c r="Y205" s="1341"/>
      <c r="Z205" s="1341"/>
      <c r="AA205" s="1341"/>
      <c r="AB205" s="1341"/>
      <c r="AC205" s="1341"/>
      <c r="AD205" s="1341"/>
      <c r="AE205" s="1341"/>
      <c r="AF205" s="1341"/>
      <c r="AG205" s="1341"/>
      <c r="AH205" s="1341"/>
      <c r="AI205" s="794"/>
      <c r="AK205" s="492"/>
      <c r="AW205" s="492"/>
    </row>
    <row r="206" spans="1:49" ht="15.75" customHeight="1" x14ac:dyDescent="0.25">
      <c r="B206" s="3532"/>
      <c r="C206" s="3533"/>
      <c r="D206" s="6904" t="s">
        <v>2083</v>
      </c>
      <c r="E206" s="6905"/>
      <c r="F206" s="6906"/>
      <c r="G206" s="6906"/>
      <c r="H206" s="6906"/>
      <c r="I206" s="3941" t="s">
        <v>68</v>
      </c>
      <c r="J206" s="7026"/>
      <c r="K206" s="7027"/>
      <c r="L206" s="7027"/>
      <c r="M206" s="7046"/>
      <c r="N206" s="7046"/>
      <c r="O206" s="7047"/>
      <c r="P206" s="1815"/>
      <c r="Q206" s="1364"/>
      <c r="R206" s="1341"/>
      <c r="S206" s="1341"/>
      <c r="T206" s="1341"/>
      <c r="U206" s="1341"/>
      <c r="V206" s="1341"/>
      <c r="W206" s="1341"/>
      <c r="X206" s="1341"/>
      <c r="Y206" s="1341"/>
      <c r="Z206" s="1341"/>
      <c r="AA206" s="1341"/>
      <c r="AB206" s="1341"/>
      <c r="AC206" s="1341"/>
      <c r="AD206" s="1341"/>
      <c r="AE206" s="1341"/>
      <c r="AF206" s="1341"/>
      <c r="AG206" s="1341"/>
      <c r="AH206" s="1341"/>
      <c r="AI206" s="794"/>
      <c r="AL206" s="492"/>
      <c r="AM206" s="492"/>
      <c r="AN206" s="492"/>
      <c r="AO206" s="492"/>
      <c r="AP206" s="492"/>
      <c r="AQ206" s="492"/>
      <c r="AR206" s="492"/>
      <c r="AS206" s="492"/>
      <c r="AT206" s="492"/>
      <c r="AU206" s="492"/>
      <c r="AV206" s="492"/>
      <c r="AW206" s="918"/>
    </row>
    <row r="207" spans="1:49" ht="15.75" customHeight="1" x14ac:dyDescent="0.25">
      <c r="B207" s="1364"/>
      <c r="C207" s="3533"/>
      <c r="D207" s="6887" t="s">
        <v>1928</v>
      </c>
      <c r="E207" s="6888"/>
      <c r="F207" s="3945">
        <f>E$68</f>
        <v>2015</v>
      </c>
      <c r="G207" s="3942">
        <f t="shared" ref="G207:O207" si="35">F$68</f>
        <v>2016</v>
      </c>
      <c r="H207" s="3942">
        <f t="shared" si="35"/>
        <v>2017</v>
      </c>
      <c r="I207" s="3942">
        <f t="shared" si="35"/>
        <v>2018</v>
      </c>
      <c r="J207" s="3943">
        <f t="shared" si="35"/>
        <v>2019</v>
      </c>
      <c r="K207" s="3943">
        <f t="shared" si="35"/>
        <v>2020</v>
      </c>
      <c r="L207" s="3943">
        <f t="shared" si="35"/>
        <v>2021</v>
      </c>
      <c r="M207" s="3943">
        <f t="shared" si="35"/>
        <v>2022</v>
      </c>
      <c r="N207" s="3943">
        <f t="shared" si="35"/>
        <v>2023</v>
      </c>
      <c r="O207" s="3944">
        <f t="shared" si="35"/>
        <v>2024</v>
      </c>
      <c r="P207" s="1815"/>
      <c r="Q207" s="1364"/>
      <c r="R207" s="1341"/>
      <c r="S207" s="1341"/>
      <c r="T207" s="1341"/>
      <c r="U207" s="1341"/>
      <c r="V207" s="1341"/>
      <c r="W207" s="1341"/>
      <c r="X207" s="1341"/>
      <c r="Y207" s="1341"/>
      <c r="Z207" s="1341"/>
      <c r="AA207" s="1341"/>
      <c r="AB207" s="1341"/>
      <c r="AC207" s="1341"/>
      <c r="AD207" s="1341"/>
      <c r="AE207" s="1341"/>
      <c r="AF207" s="1341"/>
      <c r="AG207" s="1341"/>
      <c r="AH207" s="1341"/>
      <c r="AI207" s="991"/>
      <c r="AL207" s="918"/>
      <c r="AM207" s="918"/>
      <c r="AN207" s="918"/>
      <c r="AO207" s="918"/>
      <c r="AP207" s="918"/>
      <c r="AQ207" s="918"/>
      <c r="AR207" s="918"/>
      <c r="AS207" s="918"/>
      <c r="AT207" s="918"/>
      <c r="AU207" s="918"/>
      <c r="AV207" s="918"/>
    </row>
    <row r="208" spans="1:49" ht="15.75" x14ac:dyDescent="0.25">
      <c r="B208" s="1364"/>
      <c r="C208" s="3533"/>
      <c r="D208" s="6891"/>
      <c r="E208" s="6892"/>
      <c r="F208" s="3917"/>
      <c r="G208" s="3917"/>
      <c r="H208" s="3917"/>
      <c r="I208" s="3917"/>
      <c r="J208" s="3917"/>
      <c r="K208" s="3917"/>
      <c r="L208" s="3917"/>
      <c r="M208" s="3917"/>
      <c r="N208" s="3917"/>
      <c r="O208" s="3918"/>
      <c r="P208" s="1815"/>
      <c r="Q208" s="1364"/>
      <c r="R208" s="1341"/>
      <c r="S208" s="1341"/>
      <c r="T208" s="1341"/>
      <c r="U208" s="1341"/>
      <c r="V208" s="1341"/>
      <c r="W208" s="1341"/>
      <c r="X208" s="1341"/>
      <c r="Y208" s="1341"/>
      <c r="Z208" s="1341"/>
      <c r="AA208" s="1341"/>
      <c r="AB208" s="1341"/>
      <c r="AC208" s="1341"/>
      <c r="AD208" s="1341"/>
      <c r="AE208" s="1341"/>
      <c r="AF208" s="1341"/>
      <c r="AG208" s="1341"/>
      <c r="AH208" s="1341"/>
      <c r="AI208" s="991"/>
    </row>
    <row r="209" spans="1:49" s="492" customFormat="1" ht="23.25" customHeight="1" x14ac:dyDescent="0.25">
      <c r="A209" s="494"/>
      <c r="B209" s="3532"/>
      <c r="C209" s="3533"/>
      <c r="D209" s="3537" t="s">
        <v>3400</v>
      </c>
      <c r="E209" s="5611"/>
      <c r="F209" s="5611"/>
      <c r="G209" s="5611"/>
      <c r="H209" s="5611"/>
      <c r="I209" s="5611"/>
      <c r="J209" s="5611"/>
      <c r="K209" s="5611"/>
      <c r="L209" s="5611"/>
      <c r="M209" s="5611"/>
      <c r="N209" s="5611"/>
      <c r="O209" s="5612"/>
      <c r="P209" s="3552"/>
      <c r="Q209" s="1364"/>
      <c r="R209" s="1446"/>
      <c r="S209" s="1446"/>
      <c r="T209" s="1446"/>
      <c r="U209" s="1446"/>
      <c r="V209" s="1446"/>
      <c r="W209" s="1446"/>
      <c r="X209" s="1446"/>
      <c r="Y209" s="1446"/>
      <c r="Z209" s="1446"/>
      <c r="AA209" s="1446"/>
      <c r="AB209" s="1446"/>
      <c r="AC209" s="1446"/>
      <c r="AD209" s="1446"/>
      <c r="AE209" s="1446"/>
      <c r="AF209" s="1446"/>
      <c r="AG209" s="1446"/>
      <c r="AH209" s="1446"/>
      <c r="AI209" s="794"/>
      <c r="AK209" s="918"/>
      <c r="AL209" s="918"/>
      <c r="AM209" s="918"/>
      <c r="AN209" s="918"/>
      <c r="AO209" s="918"/>
      <c r="AP209" s="918"/>
      <c r="AQ209" s="918"/>
      <c r="AR209" s="918"/>
      <c r="AS209" s="918"/>
      <c r="AT209" s="918"/>
      <c r="AU209" s="918"/>
      <c r="AV209" s="918"/>
      <c r="AW209" s="918"/>
    </row>
    <row r="210" spans="1:49" s="918" customFormat="1" ht="15.75" customHeight="1" x14ac:dyDescent="0.25">
      <c r="A210" s="921"/>
      <c r="B210" s="3532"/>
      <c r="C210" s="3533"/>
      <c r="D210" s="6901" t="s">
        <v>3394</v>
      </c>
      <c r="E210" s="6902"/>
      <c r="F210" s="6903"/>
      <c r="G210" s="6903"/>
      <c r="H210" s="5620"/>
      <c r="I210" s="7005" t="str">
        <f>'WSS Profile'!F267</f>
        <v>No</v>
      </c>
      <c r="J210" s="7005"/>
      <c r="K210" s="6915" t="s">
        <v>1076</v>
      </c>
      <c r="L210" s="6915"/>
      <c r="M210" s="6915"/>
      <c r="N210" s="6915" t="s">
        <v>3399</v>
      </c>
      <c r="O210" s="7052"/>
      <c r="P210" s="3552"/>
      <c r="Q210" s="1364"/>
      <c r="R210" s="1341"/>
      <c r="S210" s="1341"/>
      <c r="T210" s="1341"/>
      <c r="U210" s="1341"/>
      <c r="V210" s="1341"/>
      <c r="W210" s="1341"/>
      <c r="X210" s="1341"/>
      <c r="Y210" s="1341"/>
      <c r="Z210" s="1341"/>
      <c r="AA210" s="1341"/>
      <c r="AB210" s="1341"/>
      <c r="AC210" s="1341"/>
      <c r="AD210" s="1341"/>
      <c r="AE210" s="1341"/>
      <c r="AF210" s="1341"/>
      <c r="AG210" s="1341"/>
      <c r="AH210" s="1341"/>
      <c r="AI210" s="794"/>
    </row>
    <row r="211" spans="1:49" s="918" customFormat="1" ht="32.25" customHeight="1" x14ac:dyDescent="0.25">
      <c r="A211" s="921"/>
      <c r="B211" s="3532"/>
      <c r="C211" s="3533"/>
      <c r="D211" s="6901"/>
      <c r="E211" s="6902"/>
      <c r="F211" s="6903"/>
      <c r="G211" s="6903"/>
      <c r="H211" s="5621"/>
      <c r="I211" s="7029"/>
      <c r="J211" s="7029"/>
      <c r="K211" s="7053" t="str">
        <f>IF($I$210="No","-",'WSS Profile'!F356)</f>
        <v>-</v>
      </c>
      <c r="L211" s="7054"/>
      <c r="M211" s="7055"/>
      <c r="N211" s="7036" t="str">
        <f>IF($I$210="No","-",IF($K$211="-",0,'WSS Profile'!G355))</f>
        <v>-</v>
      </c>
      <c r="O211" s="7037"/>
      <c r="P211" s="3553"/>
      <c r="Q211" s="1364"/>
      <c r="R211" s="1341"/>
      <c r="S211" s="1341"/>
      <c r="T211" s="1341"/>
      <c r="U211" s="1341"/>
      <c r="V211" s="1341"/>
      <c r="W211" s="1341"/>
      <c r="X211" s="1341"/>
      <c r="Y211" s="1341"/>
      <c r="Z211" s="1341"/>
      <c r="AA211" s="1341"/>
      <c r="AB211" s="1341"/>
      <c r="AC211" s="1341"/>
      <c r="AD211" s="1341"/>
      <c r="AE211" s="1341"/>
      <c r="AF211" s="1341"/>
      <c r="AG211" s="1341"/>
      <c r="AH211" s="1341"/>
      <c r="AI211" s="794"/>
      <c r="AK211" s="492"/>
      <c r="AW211" s="492"/>
    </row>
    <row r="212" spans="1:49" s="918" customFormat="1" ht="32.25" customHeight="1" x14ac:dyDescent="0.25">
      <c r="A212" s="921"/>
      <c r="B212" s="3532"/>
      <c r="C212" s="3533"/>
      <c r="D212" s="6908" t="s">
        <v>3913</v>
      </c>
      <c r="E212" s="6909"/>
      <c r="F212" s="6909"/>
      <c r="G212" s="6910"/>
      <c r="H212" s="3941" t="s">
        <v>68</v>
      </c>
      <c r="I212" s="6911">
        <v>2015</v>
      </c>
      <c r="J212" s="6912"/>
      <c r="K212" s="7050" t="s">
        <v>3395</v>
      </c>
      <c r="L212" s="7051"/>
      <c r="M212" s="7051"/>
      <c r="N212" s="7041">
        <v>500</v>
      </c>
      <c r="O212" s="7042"/>
      <c r="P212" s="1815"/>
      <c r="Q212" s="1364"/>
      <c r="R212" s="1341"/>
      <c r="S212" s="1341"/>
      <c r="T212" s="1341"/>
      <c r="U212" s="1341"/>
      <c r="V212" s="1341"/>
      <c r="W212" s="1341"/>
      <c r="X212" s="1341"/>
      <c r="Y212" s="1341"/>
      <c r="Z212" s="1341"/>
      <c r="AA212" s="1341"/>
      <c r="AB212" s="1341"/>
      <c r="AC212" s="1341"/>
      <c r="AD212" s="1341"/>
      <c r="AE212" s="1341"/>
      <c r="AF212" s="1341"/>
      <c r="AG212" s="1341"/>
      <c r="AH212" s="1341"/>
      <c r="AI212" s="794"/>
      <c r="AL212" s="492"/>
      <c r="AM212" s="492"/>
      <c r="AN212" s="492"/>
      <c r="AO212" s="492"/>
      <c r="AP212" s="492"/>
      <c r="AQ212" s="492"/>
      <c r="AR212" s="492"/>
      <c r="AS212" s="492"/>
      <c r="AT212" s="492"/>
      <c r="AU212" s="492"/>
      <c r="AV212" s="492"/>
    </row>
    <row r="213" spans="1:49" s="918" customFormat="1" ht="32.25" customHeight="1" x14ac:dyDescent="0.25">
      <c r="A213" s="921"/>
      <c r="B213" s="3532"/>
      <c r="C213" s="3533"/>
      <c r="D213" s="6908" t="s">
        <v>3914</v>
      </c>
      <c r="E213" s="6909"/>
      <c r="F213" s="6909"/>
      <c r="G213" s="6910"/>
      <c r="H213" s="3941" t="s">
        <v>68</v>
      </c>
      <c r="I213" s="6911">
        <v>2020</v>
      </c>
      <c r="J213" s="6912"/>
      <c r="K213" s="7038" t="s">
        <v>3385</v>
      </c>
      <c r="L213" s="7039"/>
      <c r="M213" s="7040"/>
      <c r="N213" s="7041">
        <v>100</v>
      </c>
      <c r="O213" s="7042"/>
      <c r="P213" s="1815"/>
      <c r="Q213" s="1364"/>
      <c r="R213" s="1341"/>
      <c r="S213" s="1341"/>
      <c r="T213" s="1341"/>
      <c r="U213" s="1341"/>
      <c r="V213" s="1341"/>
      <c r="W213" s="1341"/>
      <c r="X213" s="1341"/>
      <c r="Y213" s="1341"/>
      <c r="Z213" s="1341"/>
      <c r="AA213" s="1341"/>
      <c r="AB213" s="1341"/>
      <c r="AC213" s="1341"/>
      <c r="AD213" s="1341"/>
      <c r="AE213" s="1341"/>
      <c r="AF213" s="1341"/>
      <c r="AG213" s="1341"/>
      <c r="AH213" s="1341"/>
      <c r="AI213" s="794"/>
      <c r="AL213" s="492"/>
      <c r="AM213" s="492"/>
      <c r="AN213" s="492"/>
      <c r="AO213" s="492"/>
      <c r="AP213" s="492"/>
      <c r="AQ213" s="492"/>
      <c r="AR213" s="492"/>
      <c r="AS213" s="492"/>
      <c r="AT213" s="492"/>
      <c r="AU213" s="492"/>
      <c r="AV213" s="492"/>
    </row>
    <row r="214" spans="1:49" s="918" customFormat="1" ht="15.75" customHeight="1" x14ac:dyDescent="0.25">
      <c r="A214" s="921"/>
      <c r="B214" s="1364"/>
      <c r="C214" s="3533"/>
      <c r="D214" s="6907" t="s">
        <v>3389</v>
      </c>
      <c r="E214" s="6888"/>
      <c r="F214" s="3945">
        <f>E$68</f>
        <v>2015</v>
      </c>
      <c r="G214" s="3942">
        <f t="shared" ref="G214" si="36">F$68</f>
        <v>2016</v>
      </c>
      <c r="H214" s="3942">
        <f t="shared" ref="H214" si="37">G$68</f>
        <v>2017</v>
      </c>
      <c r="I214" s="3942">
        <f t="shared" ref="I214" si="38">H$68</f>
        <v>2018</v>
      </c>
      <c r="J214" s="3943">
        <f t="shared" ref="J214" si="39">I$68</f>
        <v>2019</v>
      </c>
      <c r="K214" s="3943">
        <f t="shared" ref="K214" si="40">J$68</f>
        <v>2020</v>
      </c>
      <c r="L214" s="3943">
        <f t="shared" ref="L214" si="41">K$68</f>
        <v>2021</v>
      </c>
      <c r="M214" s="3943">
        <f t="shared" ref="M214" si="42">L$68</f>
        <v>2022</v>
      </c>
      <c r="N214" s="3943">
        <f t="shared" ref="N214" si="43">M$68</f>
        <v>2023</v>
      </c>
      <c r="O214" s="3944">
        <f t="shared" ref="O214" si="44">N$68</f>
        <v>2024</v>
      </c>
      <c r="P214" s="1815"/>
      <c r="Q214" s="1364"/>
      <c r="R214" s="1341"/>
      <c r="S214" s="1341"/>
      <c r="T214" s="1341"/>
      <c r="U214" s="1341"/>
      <c r="V214" s="1341"/>
      <c r="W214" s="1341"/>
      <c r="X214" s="1341"/>
      <c r="Y214" s="1341"/>
      <c r="Z214" s="1341"/>
      <c r="AA214" s="1341"/>
      <c r="AB214" s="1341"/>
      <c r="AC214" s="1341"/>
      <c r="AD214" s="1341"/>
      <c r="AE214" s="1341"/>
      <c r="AF214" s="1341"/>
      <c r="AG214" s="1341"/>
      <c r="AH214" s="1341"/>
      <c r="AI214" s="991"/>
    </row>
    <row r="215" spans="1:49" s="918" customFormat="1" ht="15.75" x14ac:dyDescent="0.25">
      <c r="A215" s="921"/>
      <c r="B215" s="1364"/>
      <c r="C215" s="3533"/>
      <c r="D215" s="6891"/>
      <c r="E215" s="6892"/>
      <c r="F215" s="3914"/>
      <c r="G215" s="3915"/>
      <c r="H215" s="3915"/>
      <c r="I215" s="3915">
        <v>0.2</v>
      </c>
      <c r="J215" s="3915"/>
      <c r="K215" s="3915"/>
      <c r="L215" s="3915">
        <v>0.2</v>
      </c>
      <c r="M215" s="3915"/>
      <c r="N215" s="3915"/>
      <c r="O215" s="3916"/>
      <c r="P215" s="1815"/>
      <c r="Q215" s="1364"/>
      <c r="R215" s="1341"/>
      <c r="S215" s="1341"/>
      <c r="T215" s="1341"/>
      <c r="U215" s="1341"/>
      <c r="V215" s="1341"/>
      <c r="W215" s="1341"/>
      <c r="X215" s="1341"/>
      <c r="Y215" s="1341"/>
      <c r="Z215" s="1341"/>
      <c r="AA215" s="1341"/>
      <c r="AB215" s="1341"/>
      <c r="AC215" s="1341"/>
      <c r="AD215" s="1341"/>
      <c r="AE215" s="1341"/>
      <c r="AF215" s="1341"/>
      <c r="AG215" s="1341"/>
      <c r="AH215" s="1341"/>
      <c r="AI215" s="991"/>
    </row>
    <row r="216" spans="1:49" s="492" customFormat="1" ht="23.25" customHeight="1" x14ac:dyDescent="0.25">
      <c r="A216" s="494"/>
      <c r="B216" s="3532"/>
      <c r="C216" s="3533"/>
      <c r="D216" s="3537" t="s">
        <v>3401</v>
      </c>
      <c r="E216" s="1815"/>
      <c r="F216" s="1815"/>
      <c r="G216" s="1815"/>
      <c r="H216" s="1815"/>
      <c r="I216" s="1815"/>
      <c r="J216" s="1815"/>
      <c r="K216" s="1815"/>
      <c r="L216" s="1815"/>
      <c r="M216" s="1815"/>
      <c r="N216" s="1815"/>
      <c r="O216" s="3538"/>
      <c r="P216" s="1815"/>
      <c r="Q216" s="1364"/>
      <c r="R216" s="1446"/>
      <c r="S216" s="1446"/>
      <c r="T216" s="1446"/>
      <c r="U216" s="1446"/>
      <c r="V216" s="1446"/>
      <c r="W216" s="1446"/>
      <c r="X216" s="1446"/>
      <c r="Y216" s="1446"/>
      <c r="Z216" s="1446"/>
      <c r="AA216" s="1446"/>
      <c r="AB216" s="1446"/>
      <c r="AC216" s="1446"/>
      <c r="AD216" s="1446"/>
      <c r="AE216" s="1446"/>
      <c r="AF216" s="1446"/>
      <c r="AG216" s="1446"/>
      <c r="AH216" s="1446"/>
      <c r="AI216" s="794"/>
      <c r="AK216" s="918"/>
      <c r="AL216" s="478"/>
      <c r="AM216" s="478"/>
      <c r="AN216" s="478"/>
      <c r="AO216" s="478"/>
      <c r="AP216" s="478"/>
      <c r="AQ216" s="478"/>
      <c r="AR216" s="478"/>
      <c r="AS216" s="478"/>
      <c r="AT216" s="478"/>
      <c r="AU216" s="478"/>
      <c r="AV216" s="478"/>
      <c r="AW216" s="478"/>
    </row>
    <row r="217" spans="1:49" s="492" customFormat="1" ht="15.75" customHeight="1" x14ac:dyDescent="0.25">
      <c r="A217" s="494"/>
      <c r="B217" s="3532"/>
      <c r="C217" s="3533"/>
      <c r="D217" s="7020" t="s">
        <v>3834</v>
      </c>
      <c r="E217" s="7021"/>
      <c r="F217" s="7021"/>
      <c r="G217" s="7021"/>
      <c r="H217" s="7021"/>
      <c r="I217" s="7022"/>
      <c r="J217" s="6913" t="str">
        <f>'WSS Profile'!$F$357</f>
        <v>NO</v>
      </c>
      <c r="K217" s="6913"/>
      <c r="L217" s="6913"/>
      <c r="M217" s="7009" t="s">
        <v>2086</v>
      </c>
      <c r="N217" s="7009"/>
      <c r="O217" s="7010"/>
      <c r="P217" s="1815"/>
      <c r="Q217" s="1364"/>
      <c r="R217" s="1446"/>
      <c r="S217" s="1446"/>
      <c r="T217" s="1446"/>
      <c r="U217" s="1446"/>
      <c r="V217" s="1446"/>
      <c r="W217" s="1446"/>
      <c r="X217" s="1446"/>
      <c r="Y217" s="1446"/>
      <c r="Z217" s="1446"/>
      <c r="AA217" s="1446"/>
      <c r="AB217" s="1446"/>
      <c r="AC217" s="1446"/>
      <c r="AD217" s="1446"/>
      <c r="AE217" s="1446"/>
      <c r="AF217" s="1446"/>
      <c r="AG217" s="1446"/>
      <c r="AH217" s="1446"/>
      <c r="AI217" s="794"/>
      <c r="AK217" s="918"/>
      <c r="AL217" s="478"/>
      <c r="AM217" s="478"/>
      <c r="AN217" s="478"/>
      <c r="AO217" s="478"/>
      <c r="AP217" s="478"/>
      <c r="AQ217" s="478"/>
      <c r="AR217" s="478"/>
      <c r="AS217" s="478"/>
      <c r="AT217" s="478"/>
      <c r="AU217" s="478"/>
      <c r="AV217" s="478"/>
      <c r="AW217" s="478"/>
    </row>
    <row r="218" spans="1:49" s="918" customFormat="1" ht="15.75" customHeight="1" x14ac:dyDescent="0.25">
      <c r="A218" s="921"/>
      <c r="B218" s="3532"/>
      <c r="C218" s="3533"/>
      <c r="D218" s="7023"/>
      <c r="E218" s="7024"/>
      <c r="F218" s="7024"/>
      <c r="G218" s="7024"/>
      <c r="H218" s="7024"/>
      <c r="I218" s="7025"/>
      <c r="J218" s="6914"/>
      <c r="K218" s="6914"/>
      <c r="L218" s="6914"/>
      <c r="M218" s="7016">
        <f>IF('WSS Profile'!$F$357="YES",'WSS Profile'!$G$357,0)</f>
        <v>0</v>
      </c>
      <c r="N218" s="7016"/>
      <c r="O218" s="7017"/>
      <c r="P218" s="1815"/>
      <c r="Q218" s="1364"/>
      <c r="R218" s="1341"/>
      <c r="S218" s="1341"/>
      <c r="T218" s="1341"/>
      <c r="U218" s="1341"/>
      <c r="V218" s="1341"/>
      <c r="W218" s="1341"/>
      <c r="X218" s="1341"/>
      <c r="Y218" s="1341"/>
      <c r="Z218" s="1341"/>
      <c r="AA218" s="1341"/>
      <c r="AB218" s="1341"/>
      <c r="AC218" s="1341"/>
      <c r="AD218" s="1341"/>
      <c r="AE218" s="1341"/>
      <c r="AF218" s="1341"/>
      <c r="AG218" s="1341"/>
      <c r="AH218" s="1341"/>
      <c r="AI218" s="794"/>
      <c r="AK218" s="492"/>
      <c r="AL218" s="478"/>
      <c r="AM218" s="478"/>
      <c r="AN218" s="478"/>
      <c r="AO218" s="478"/>
      <c r="AP218" s="478"/>
      <c r="AQ218" s="478"/>
      <c r="AR218" s="478"/>
      <c r="AS218" s="478"/>
      <c r="AT218" s="478"/>
      <c r="AU218" s="478"/>
      <c r="AV218" s="478"/>
      <c r="AW218" s="492"/>
    </row>
    <row r="219" spans="1:49" ht="15.75" customHeight="1" x14ac:dyDescent="0.25">
      <c r="B219" s="3532"/>
      <c r="C219" s="3533"/>
      <c r="D219" s="7018" t="s">
        <v>2083</v>
      </c>
      <c r="E219" s="7019"/>
      <c r="F219" s="7019"/>
      <c r="G219" s="7019"/>
      <c r="H219" s="6902"/>
      <c r="I219" s="3941" t="s">
        <v>68</v>
      </c>
      <c r="J219" s="7043"/>
      <c r="K219" s="7044"/>
      <c r="L219" s="7045"/>
      <c r="M219" s="7034"/>
      <c r="N219" s="7034"/>
      <c r="O219" s="7035"/>
      <c r="P219" s="1815"/>
      <c r="Q219" s="1364"/>
      <c r="R219" s="1341"/>
      <c r="S219" s="1341"/>
      <c r="T219" s="1341"/>
      <c r="U219" s="1341"/>
      <c r="V219" s="1341"/>
      <c r="W219" s="1341"/>
      <c r="X219" s="1341"/>
      <c r="Y219" s="1341"/>
      <c r="Z219" s="1341"/>
      <c r="AA219" s="1341"/>
      <c r="AB219" s="1341"/>
      <c r="AC219" s="1341"/>
      <c r="AD219" s="1341"/>
      <c r="AE219" s="1341"/>
      <c r="AF219" s="1341"/>
      <c r="AG219" s="1341"/>
      <c r="AH219" s="1341"/>
      <c r="AI219" s="794"/>
      <c r="AK219" s="492"/>
      <c r="AL219" s="492"/>
      <c r="AM219" s="492"/>
      <c r="AN219" s="492"/>
      <c r="AO219" s="492"/>
      <c r="AP219" s="492"/>
      <c r="AQ219" s="492"/>
      <c r="AR219" s="492"/>
      <c r="AS219" s="492"/>
      <c r="AT219" s="492"/>
      <c r="AU219" s="492"/>
      <c r="AV219" s="492"/>
      <c r="AW219" s="492"/>
    </row>
    <row r="220" spans="1:49" ht="15.75" customHeight="1" x14ac:dyDescent="0.25">
      <c r="B220" s="1364"/>
      <c r="C220" s="3533"/>
      <c r="D220" s="6887" t="s">
        <v>3389</v>
      </c>
      <c r="E220" s="6888"/>
      <c r="F220" s="3945">
        <f>E$68</f>
        <v>2015</v>
      </c>
      <c r="G220" s="3938">
        <f t="shared" ref="G220:O220" si="45">F$68</f>
        <v>2016</v>
      </c>
      <c r="H220" s="3938">
        <f t="shared" si="45"/>
        <v>2017</v>
      </c>
      <c r="I220" s="3938">
        <f t="shared" si="45"/>
        <v>2018</v>
      </c>
      <c r="J220" s="3939">
        <f t="shared" si="45"/>
        <v>2019</v>
      </c>
      <c r="K220" s="3939">
        <f t="shared" si="45"/>
        <v>2020</v>
      </c>
      <c r="L220" s="3939">
        <f t="shared" si="45"/>
        <v>2021</v>
      </c>
      <c r="M220" s="3939">
        <f t="shared" si="45"/>
        <v>2022</v>
      </c>
      <c r="N220" s="3939">
        <f t="shared" si="45"/>
        <v>2023</v>
      </c>
      <c r="O220" s="3940">
        <f t="shared" si="45"/>
        <v>2024</v>
      </c>
      <c r="P220" s="1815"/>
      <c r="Q220" s="1364"/>
      <c r="R220" s="1341"/>
      <c r="S220" s="1341"/>
      <c r="T220" s="1341"/>
      <c r="U220" s="1341"/>
      <c r="V220" s="1341"/>
      <c r="W220" s="1341"/>
      <c r="X220" s="1341"/>
      <c r="Y220" s="1341"/>
      <c r="Z220" s="1341"/>
      <c r="AA220" s="1341"/>
      <c r="AB220" s="1341"/>
      <c r="AC220" s="1341"/>
      <c r="AD220" s="1341"/>
      <c r="AE220" s="1341"/>
      <c r="AF220" s="1341"/>
      <c r="AG220" s="1341"/>
      <c r="AH220" s="1341"/>
      <c r="AI220" s="991"/>
      <c r="AL220" s="918"/>
      <c r="AM220" s="918"/>
      <c r="AN220" s="918"/>
      <c r="AO220" s="918"/>
      <c r="AP220" s="918"/>
      <c r="AQ220" s="918"/>
      <c r="AR220" s="918"/>
      <c r="AS220" s="918"/>
      <c r="AT220" s="918"/>
      <c r="AU220" s="918"/>
      <c r="AV220" s="918"/>
      <c r="AW220" s="918"/>
    </row>
    <row r="221" spans="1:49" ht="15.75" x14ac:dyDescent="0.25">
      <c r="B221" s="1364"/>
      <c r="C221" s="3533"/>
      <c r="D221" s="6889"/>
      <c r="E221" s="6890"/>
      <c r="F221" s="3919"/>
      <c r="G221" s="3920"/>
      <c r="H221" s="3920"/>
      <c r="I221" s="3920"/>
      <c r="J221" s="3920"/>
      <c r="K221" s="3920"/>
      <c r="L221" s="3920"/>
      <c r="M221" s="3920"/>
      <c r="N221" s="3920"/>
      <c r="O221" s="3921"/>
      <c r="P221" s="1815"/>
      <c r="Q221" s="1364"/>
      <c r="R221" s="1341"/>
      <c r="S221" s="1341"/>
      <c r="T221" s="1341"/>
      <c r="U221" s="1341"/>
      <c r="V221" s="1341"/>
      <c r="W221" s="1341"/>
      <c r="X221" s="1341"/>
      <c r="Y221" s="1341"/>
      <c r="Z221" s="1341"/>
      <c r="AA221" s="1341"/>
      <c r="AB221" s="1341"/>
      <c r="AC221" s="1341"/>
      <c r="AD221" s="1341"/>
      <c r="AE221" s="1341"/>
      <c r="AF221" s="1341"/>
      <c r="AG221" s="1341"/>
      <c r="AH221" s="1341"/>
      <c r="AI221" s="991"/>
    </row>
    <row r="222" spans="1:49" ht="15.75" x14ac:dyDescent="0.25">
      <c r="B222" s="1364"/>
      <c r="C222" s="3533"/>
      <c r="D222" s="3533"/>
      <c r="E222" s="3533"/>
      <c r="F222" s="3533"/>
      <c r="G222" s="3533"/>
      <c r="H222" s="3533"/>
      <c r="I222" s="3533"/>
      <c r="J222" s="3533"/>
      <c r="K222" s="3533"/>
      <c r="L222" s="3533"/>
      <c r="M222" s="3533"/>
      <c r="N222" s="3533"/>
      <c r="O222" s="3533"/>
      <c r="P222" s="1815"/>
      <c r="Q222" s="1364"/>
      <c r="R222" s="1341"/>
      <c r="S222" s="1341"/>
      <c r="T222" s="1341"/>
      <c r="U222" s="1341"/>
      <c r="V222" s="1341"/>
      <c r="W222" s="1341"/>
      <c r="X222" s="1341"/>
      <c r="Y222" s="1341"/>
      <c r="Z222" s="1341"/>
      <c r="AA222" s="1341"/>
      <c r="AB222" s="1341"/>
      <c r="AC222" s="1341"/>
      <c r="AD222" s="1341"/>
      <c r="AE222" s="1341"/>
      <c r="AF222" s="1341"/>
      <c r="AG222" s="1341"/>
      <c r="AH222" s="1341"/>
      <c r="AI222" s="991"/>
    </row>
    <row r="223" spans="1:49" s="492" customFormat="1" ht="25.5" customHeight="1" thickBot="1" x14ac:dyDescent="0.3">
      <c r="A223" s="494"/>
      <c r="B223" s="1364"/>
      <c r="C223" s="1364"/>
      <c r="D223" s="1364"/>
      <c r="E223" s="1364"/>
      <c r="F223" s="1364"/>
      <c r="G223" s="1364"/>
      <c r="H223" s="1364"/>
      <c r="I223" s="1364"/>
      <c r="J223" s="1364"/>
      <c r="K223" s="1364"/>
      <c r="L223" s="1364"/>
      <c r="M223" s="1364"/>
      <c r="N223" s="1364"/>
      <c r="O223" s="1364"/>
      <c r="P223" s="1364"/>
      <c r="Q223" s="1364"/>
      <c r="R223" s="1446"/>
      <c r="S223" s="1446"/>
      <c r="T223" s="1446"/>
      <c r="U223" s="1446"/>
      <c r="V223" s="1446"/>
      <c r="W223" s="1446"/>
      <c r="X223" s="1446"/>
      <c r="Y223" s="1446"/>
      <c r="Z223" s="1446"/>
      <c r="AA223" s="1446"/>
      <c r="AB223" s="1446"/>
      <c r="AC223" s="1446"/>
      <c r="AD223" s="1446"/>
      <c r="AE223" s="1446"/>
      <c r="AF223" s="1446"/>
      <c r="AG223" s="1446"/>
      <c r="AH223" s="1446"/>
      <c r="AI223" s="991"/>
      <c r="AK223" s="918"/>
      <c r="AL223" s="478"/>
      <c r="AM223" s="478"/>
      <c r="AN223" s="478"/>
      <c r="AO223" s="478"/>
      <c r="AP223" s="478"/>
      <c r="AQ223" s="478"/>
      <c r="AR223" s="478"/>
      <c r="AS223" s="478"/>
      <c r="AT223" s="478"/>
      <c r="AU223" s="478"/>
      <c r="AV223" s="478"/>
      <c r="AW223" s="478"/>
    </row>
    <row r="224" spans="1:49" s="474" customFormat="1" ht="25.5" customHeight="1" thickTop="1" x14ac:dyDescent="0.25">
      <c r="B224" s="1706"/>
      <c r="C224" s="3529"/>
      <c r="D224" s="6976" t="s">
        <v>1094</v>
      </c>
      <c r="E224" s="6976"/>
      <c r="F224" s="6976"/>
      <c r="G224" s="6976"/>
      <c r="H224" s="6976"/>
      <c r="I224" s="6976"/>
      <c r="J224" s="6976"/>
      <c r="K224" s="6976"/>
      <c r="L224" s="3530" t="s">
        <v>184</v>
      </c>
      <c r="M224" s="6978" t="s">
        <v>3858</v>
      </c>
      <c r="N224" s="6978"/>
      <c r="O224" s="6978"/>
      <c r="P224" s="3531"/>
      <c r="Q224" s="1364"/>
      <c r="R224" s="3495"/>
      <c r="S224" s="3495"/>
      <c r="T224" s="3495"/>
      <c r="U224" s="3495"/>
      <c r="V224" s="3495"/>
      <c r="W224" s="3495"/>
      <c r="X224" s="3495"/>
      <c r="Y224" s="3495"/>
      <c r="Z224" s="3495"/>
      <c r="AA224" s="3495"/>
      <c r="AB224" s="3495"/>
      <c r="AC224" s="3495"/>
      <c r="AD224" s="3495"/>
      <c r="AE224" s="3495"/>
      <c r="AF224" s="3495"/>
      <c r="AG224" s="3495"/>
      <c r="AH224" s="3495"/>
      <c r="AI224" s="475"/>
      <c r="AK224" s="918"/>
      <c r="AL224" s="478"/>
      <c r="AM224" s="478"/>
      <c r="AN224" s="478"/>
      <c r="AO224" s="478"/>
      <c r="AP224" s="478"/>
      <c r="AQ224" s="478"/>
      <c r="AR224" s="478"/>
      <c r="AS224" s="478"/>
      <c r="AT224" s="478"/>
      <c r="AU224" s="478"/>
      <c r="AV224" s="478"/>
      <c r="AW224" s="478"/>
    </row>
    <row r="225" spans="1:53" s="492" customFormat="1" ht="23.25" customHeight="1" x14ac:dyDescent="0.25">
      <c r="A225" s="494"/>
      <c r="B225" s="3532"/>
      <c r="C225" s="3533"/>
      <c r="D225" s="3534" t="s">
        <v>1092</v>
      </c>
      <c r="E225" s="3535"/>
      <c r="F225" s="3535"/>
      <c r="G225" s="3535"/>
      <c r="H225" s="3535"/>
      <c r="I225" s="3535"/>
      <c r="J225" s="3535"/>
      <c r="K225" s="3535"/>
      <c r="L225" s="3535"/>
      <c r="M225" s="3535"/>
      <c r="N225" s="3535"/>
      <c r="O225" s="3536"/>
      <c r="P225" s="1815"/>
      <c r="Q225" s="1364"/>
      <c r="R225" s="1446"/>
      <c r="S225" s="1446"/>
      <c r="T225" s="1446"/>
      <c r="U225" s="1446"/>
      <c r="V225" s="1446"/>
      <c r="W225" s="1446"/>
      <c r="X225" s="1446"/>
      <c r="Y225" s="1446"/>
      <c r="Z225" s="1446"/>
      <c r="AA225" s="1446"/>
      <c r="AB225" s="1446"/>
      <c r="AC225" s="1446"/>
      <c r="AD225" s="1446"/>
      <c r="AE225" s="1446"/>
      <c r="AF225" s="1446"/>
      <c r="AG225" s="1446"/>
      <c r="AH225" s="1446"/>
      <c r="AI225" s="794"/>
    </row>
    <row r="226" spans="1:53" s="918" customFormat="1" ht="15.75" customHeight="1" x14ac:dyDescent="0.25">
      <c r="A226" s="921"/>
      <c r="B226" s="3532"/>
      <c r="C226" s="3533"/>
      <c r="D226" s="6901" t="s">
        <v>3836</v>
      </c>
      <c r="E226" s="6902"/>
      <c r="F226" s="6903"/>
      <c r="G226" s="6903"/>
      <c r="H226" s="6903"/>
      <c r="I226" s="7005" t="str">
        <f>'WSS Profile'!$F$452</f>
        <v>No</v>
      </c>
      <c r="J226" s="7005"/>
      <c r="K226" s="6999" t="s">
        <v>971</v>
      </c>
      <c r="L226" s="6999"/>
      <c r="M226" s="6999"/>
      <c r="N226" s="6999" t="s">
        <v>2085</v>
      </c>
      <c r="O226" s="7028"/>
      <c r="P226" s="1815"/>
      <c r="Q226" s="1364"/>
      <c r="R226" s="1341"/>
      <c r="S226" s="1341"/>
      <c r="T226" s="1341"/>
      <c r="U226" s="1341"/>
      <c r="V226" s="1341"/>
      <c r="W226" s="1341"/>
      <c r="X226" s="1341"/>
      <c r="Y226" s="1341"/>
      <c r="Z226" s="1341"/>
      <c r="AA226" s="1341"/>
      <c r="AB226" s="1341"/>
      <c r="AC226" s="1341"/>
      <c r="AD226" s="1341"/>
      <c r="AE226" s="1341"/>
      <c r="AF226" s="1341"/>
      <c r="AG226" s="1341"/>
      <c r="AH226" s="1341"/>
      <c r="AI226" s="794"/>
      <c r="AK226" s="474"/>
      <c r="AL226" s="492"/>
      <c r="AM226" s="492"/>
      <c r="AN226" s="492"/>
      <c r="AO226" s="492"/>
      <c r="AP226" s="492"/>
      <c r="AQ226" s="492"/>
      <c r="AR226" s="492"/>
      <c r="AS226" s="492"/>
      <c r="AT226" s="492"/>
      <c r="AU226" s="492"/>
      <c r="AV226" s="492"/>
      <c r="AW226" s="474"/>
    </row>
    <row r="227" spans="1:53" s="918" customFormat="1" ht="29.25" customHeight="1" x14ac:dyDescent="0.25">
      <c r="A227" s="921"/>
      <c r="B227" s="3532"/>
      <c r="C227" s="3533"/>
      <c r="D227" s="6901"/>
      <c r="E227" s="6902"/>
      <c r="F227" s="6903"/>
      <c r="G227" s="6903"/>
      <c r="H227" s="6903"/>
      <c r="I227" s="7029"/>
      <c r="J227" s="7029"/>
      <c r="K227" s="7056" t="str">
        <f>IF(I226="Yes",'WSS Profile'!$F$453,"-")</f>
        <v>-</v>
      </c>
      <c r="L227" s="7056"/>
      <c r="M227" s="7056"/>
      <c r="N227" s="7036">
        <f>IF('WSS Profile'!$F$452="Yes",'WSS Profile'!$G$452,0)</f>
        <v>0</v>
      </c>
      <c r="O227" s="7037"/>
      <c r="P227" s="1815"/>
      <c r="Q227" s="1364"/>
      <c r="R227" s="1341"/>
      <c r="S227" s="1341"/>
      <c r="T227" s="1341"/>
      <c r="U227" s="1341"/>
      <c r="V227" s="1341"/>
      <c r="W227" s="1341"/>
      <c r="X227" s="1341"/>
      <c r="Y227" s="1341"/>
      <c r="Z227" s="1341"/>
      <c r="AA227" s="1341"/>
      <c r="AB227" s="1341"/>
      <c r="AC227" s="1341"/>
      <c r="AD227" s="1341"/>
      <c r="AE227" s="1341"/>
      <c r="AF227" s="1341"/>
      <c r="AG227" s="1341"/>
      <c r="AH227" s="1341"/>
      <c r="AI227" s="794"/>
      <c r="AJ227" s="478"/>
      <c r="AK227" s="492"/>
      <c r="AW227" s="492"/>
      <c r="AX227" s="478"/>
      <c r="AY227" s="478"/>
      <c r="AZ227" s="478"/>
      <c r="BA227" s="478"/>
    </row>
    <row r="228" spans="1:53" ht="15.75" customHeight="1" x14ac:dyDescent="0.25">
      <c r="B228" s="3532"/>
      <c r="C228" s="3533"/>
      <c r="D228" s="6904" t="s">
        <v>2083</v>
      </c>
      <c r="E228" s="6905"/>
      <c r="F228" s="6906"/>
      <c r="G228" s="6906"/>
      <c r="H228" s="3941" t="s">
        <v>68</v>
      </c>
      <c r="I228" s="7026"/>
      <c r="J228" s="7027"/>
      <c r="K228" s="7030"/>
      <c r="L228" s="7030"/>
      <c r="M228" s="7030"/>
      <c r="N228" s="7032"/>
      <c r="O228" s="6568"/>
      <c r="P228" s="1815"/>
      <c r="Q228" s="1364"/>
      <c r="R228" s="1341"/>
      <c r="S228" s="1341"/>
      <c r="T228" s="1341"/>
      <c r="U228" s="1341"/>
      <c r="V228" s="1341"/>
      <c r="W228" s="1341"/>
      <c r="X228" s="1341"/>
      <c r="Y228" s="1341"/>
      <c r="Z228" s="1341"/>
      <c r="AA228" s="1341"/>
      <c r="AB228" s="1341"/>
      <c r="AC228" s="1341"/>
      <c r="AD228" s="1341"/>
      <c r="AE228" s="1341"/>
      <c r="AF228" s="1341"/>
      <c r="AG228" s="1341"/>
      <c r="AH228" s="1341"/>
      <c r="AI228" s="794"/>
      <c r="AW228" s="918"/>
    </row>
    <row r="229" spans="1:53" ht="15.75" customHeight="1" x14ac:dyDescent="0.25">
      <c r="B229" s="1364"/>
      <c r="C229" s="3533"/>
      <c r="D229" s="6887" t="s">
        <v>1925</v>
      </c>
      <c r="E229" s="6888"/>
      <c r="F229" s="3945">
        <f>E$68</f>
        <v>2015</v>
      </c>
      <c r="G229" s="3938">
        <f t="shared" ref="G229:O229" si="46">F$68</f>
        <v>2016</v>
      </c>
      <c r="H229" s="3938">
        <f t="shared" si="46"/>
        <v>2017</v>
      </c>
      <c r="I229" s="3939">
        <f t="shared" si="46"/>
        <v>2018</v>
      </c>
      <c r="J229" s="3939">
        <f t="shared" si="46"/>
        <v>2019</v>
      </c>
      <c r="K229" s="3939">
        <f t="shared" si="46"/>
        <v>2020</v>
      </c>
      <c r="L229" s="3939">
        <f t="shared" si="46"/>
        <v>2021</v>
      </c>
      <c r="M229" s="3939">
        <f t="shared" si="46"/>
        <v>2022</v>
      </c>
      <c r="N229" s="3939">
        <f t="shared" si="46"/>
        <v>2023</v>
      </c>
      <c r="O229" s="3940">
        <f t="shared" si="46"/>
        <v>2024</v>
      </c>
      <c r="P229" s="1815"/>
      <c r="Q229" s="1364"/>
      <c r="R229" s="1341"/>
      <c r="S229" s="1341"/>
      <c r="T229" s="1341"/>
      <c r="U229" s="1341"/>
      <c r="V229" s="1341"/>
      <c r="W229" s="1341"/>
      <c r="X229" s="1341"/>
      <c r="Y229" s="1341"/>
      <c r="Z229" s="1341"/>
      <c r="AA229" s="1341"/>
      <c r="AB229" s="1341"/>
      <c r="AC229" s="1341"/>
      <c r="AD229" s="1341"/>
      <c r="AE229" s="1341"/>
      <c r="AF229" s="1341"/>
      <c r="AG229" s="1341"/>
      <c r="AH229" s="1341"/>
      <c r="AI229" s="991"/>
    </row>
    <row r="230" spans="1:53" ht="15.75" x14ac:dyDescent="0.25">
      <c r="B230" s="1364"/>
      <c r="C230" s="3533"/>
      <c r="D230" s="6891"/>
      <c r="E230" s="6892"/>
      <c r="F230" s="3914"/>
      <c r="G230" s="3915"/>
      <c r="H230" s="3915"/>
      <c r="I230" s="3915"/>
      <c r="J230" s="3915"/>
      <c r="K230" s="3915"/>
      <c r="L230" s="3915"/>
      <c r="M230" s="3915"/>
      <c r="N230" s="3915"/>
      <c r="O230" s="3916"/>
      <c r="P230" s="1815"/>
      <c r="Q230" s="1364"/>
      <c r="R230" s="1341"/>
      <c r="S230" s="1341"/>
      <c r="T230" s="1341"/>
      <c r="U230" s="1341"/>
      <c r="V230" s="1341"/>
      <c r="W230" s="1341"/>
      <c r="X230" s="1341"/>
      <c r="Y230" s="1341"/>
      <c r="Z230" s="1341"/>
      <c r="AA230" s="1341"/>
      <c r="AB230" s="1341"/>
      <c r="AC230" s="1341"/>
      <c r="AD230" s="1341"/>
      <c r="AE230" s="1341"/>
      <c r="AF230" s="1341"/>
      <c r="AG230" s="1341"/>
      <c r="AH230" s="1341"/>
      <c r="AI230" s="991"/>
    </row>
    <row r="231" spans="1:53" s="492" customFormat="1" ht="23.25" customHeight="1" x14ac:dyDescent="0.25">
      <c r="A231" s="494"/>
      <c r="B231" s="3532"/>
      <c r="C231" s="3533"/>
      <c r="D231" s="3537" t="s">
        <v>1927</v>
      </c>
      <c r="E231" s="1815"/>
      <c r="F231" s="1815"/>
      <c r="G231" s="1815"/>
      <c r="H231" s="1815"/>
      <c r="I231" s="1815"/>
      <c r="J231" s="1815"/>
      <c r="K231" s="1815"/>
      <c r="L231" s="1815"/>
      <c r="M231" s="1815"/>
      <c r="N231" s="1815"/>
      <c r="O231" s="3538"/>
      <c r="P231" s="1815"/>
      <c r="Q231" s="1364"/>
      <c r="R231" s="1446"/>
      <c r="S231" s="1446"/>
      <c r="T231" s="1446"/>
      <c r="U231" s="1446"/>
      <c r="V231" s="1446"/>
      <c r="W231" s="1446"/>
      <c r="X231" s="1446"/>
      <c r="Y231" s="1446"/>
      <c r="Z231" s="1446"/>
      <c r="AA231" s="1446"/>
      <c r="AB231" s="1446"/>
      <c r="AC231" s="1446"/>
      <c r="AD231" s="1446"/>
      <c r="AE231" s="1446"/>
      <c r="AF231" s="1446"/>
      <c r="AG231" s="1446"/>
      <c r="AH231" s="1446"/>
      <c r="AI231" s="794"/>
      <c r="AK231" s="918"/>
      <c r="AL231" s="478"/>
      <c r="AM231" s="478"/>
      <c r="AN231" s="478"/>
      <c r="AO231" s="478"/>
      <c r="AP231" s="478"/>
      <c r="AQ231" s="478"/>
      <c r="AR231" s="478"/>
      <c r="AS231" s="478"/>
      <c r="AT231" s="478"/>
      <c r="AU231" s="478"/>
      <c r="AV231" s="478"/>
      <c r="AW231" s="478"/>
    </row>
    <row r="232" spans="1:53" s="492" customFormat="1" ht="15.75" customHeight="1" x14ac:dyDescent="0.25">
      <c r="A232" s="494"/>
      <c r="B232" s="3532"/>
      <c r="C232" s="3533"/>
      <c r="D232" s="6901" t="s">
        <v>3835</v>
      </c>
      <c r="E232" s="6902"/>
      <c r="F232" s="6903"/>
      <c r="G232" s="6903"/>
      <c r="H232" s="6903"/>
      <c r="I232" s="6903"/>
      <c r="J232" s="6913" t="str">
        <f>'WSS Profile'!$F$454</f>
        <v>No</v>
      </c>
      <c r="K232" s="6913"/>
      <c r="L232" s="6913"/>
      <c r="M232" s="7009" t="s">
        <v>774</v>
      </c>
      <c r="N232" s="7009"/>
      <c r="O232" s="7010"/>
      <c r="P232" s="1815"/>
      <c r="Q232" s="1364"/>
      <c r="R232" s="1446"/>
      <c r="S232" s="1446"/>
      <c r="T232" s="1446"/>
      <c r="U232" s="1446"/>
      <c r="V232" s="1446"/>
      <c r="W232" s="1446"/>
      <c r="X232" s="1446"/>
      <c r="Y232" s="1446"/>
      <c r="Z232" s="1446"/>
      <c r="AA232" s="1446"/>
      <c r="AB232" s="1446"/>
      <c r="AC232" s="1446"/>
      <c r="AD232" s="1446"/>
      <c r="AE232" s="1446"/>
      <c r="AF232" s="1446"/>
      <c r="AG232" s="1446"/>
      <c r="AH232" s="1446"/>
      <c r="AI232" s="794"/>
      <c r="AK232" s="918"/>
      <c r="AW232" s="478"/>
    </row>
    <row r="233" spans="1:53" s="918" customFormat="1" ht="15.75" customHeight="1" x14ac:dyDescent="0.25">
      <c r="A233" s="921"/>
      <c r="B233" s="3532"/>
      <c r="C233" s="3533"/>
      <c r="D233" s="6901"/>
      <c r="E233" s="6902"/>
      <c r="F233" s="6903"/>
      <c r="G233" s="6903"/>
      <c r="H233" s="6903"/>
      <c r="I233" s="6903"/>
      <c r="J233" s="6914"/>
      <c r="K233" s="6914"/>
      <c r="L233" s="6914"/>
      <c r="M233" s="7048">
        <f>IF('WSS Profile'!$F$454="Yes",'WSS Profile'!$G$454,0)</f>
        <v>0</v>
      </c>
      <c r="N233" s="7048"/>
      <c r="O233" s="7049"/>
      <c r="P233" s="1815"/>
      <c r="Q233" s="1364"/>
      <c r="R233" s="1341"/>
      <c r="S233" s="1341"/>
      <c r="T233" s="1341"/>
      <c r="U233" s="1341"/>
      <c r="V233" s="1341"/>
      <c r="W233" s="1341"/>
      <c r="X233" s="1341"/>
      <c r="Y233" s="1341"/>
      <c r="Z233" s="1341"/>
      <c r="AA233" s="1341"/>
      <c r="AB233" s="1341"/>
      <c r="AC233" s="1341"/>
      <c r="AD233" s="1341"/>
      <c r="AE233" s="1341"/>
      <c r="AF233" s="1341"/>
      <c r="AG233" s="1341"/>
      <c r="AH233" s="1341"/>
      <c r="AI233" s="794"/>
      <c r="AK233" s="492"/>
      <c r="AL233" s="474"/>
      <c r="AM233" s="474"/>
      <c r="AN233" s="474"/>
      <c r="AO233" s="474"/>
      <c r="AP233" s="474"/>
      <c r="AQ233" s="474"/>
      <c r="AR233" s="474"/>
      <c r="AS233" s="474"/>
      <c r="AT233" s="474"/>
      <c r="AU233" s="474"/>
      <c r="AV233" s="474"/>
      <c r="AW233" s="492"/>
    </row>
    <row r="234" spans="1:53" ht="15.75" customHeight="1" x14ac:dyDescent="0.25">
      <c r="B234" s="3532"/>
      <c r="C234" s="3533"/>
      <c r="D234" s="6904" t="s">
        <v>2083</v>
      </c>
      <c r="E234" s="6905"/>
      <c r="F234" s="6906"/>
      <c r="G234" s="6906"/>
      <c r="H234" s="6906"/>
      <c r="I234" s="3941" t="s">
        <v>68</v>
      </c>
      <c r="J234" s="7026"/>
      <c r="K234" s="7027"/>
      <c r="L234" s="7027"/>
      <c r="M234" s="7057"/>
      <c r="N234" s="7058"/>
      <c r="O234" s="7059"/>
      <c r="P234" s="1815"/>
      <c r="Q234" s="1364"/>
      <c r="R234" s="1341"/>
      <c r="S234" s="1341"/>
      <c r="T234" s="1341"/>
      <c r="U234" s="1341"/>
      <c r="V234" s="1341"/>
      <c r="W234" s="1341"/>
      <c r="X234" s="1341"/>
      <c r="Y234" s="1341"/>
      <c r="Z234" s="1341"/>
      <c r="AA234" s="1341"/>
      <c r="AB234" s="1341"/>
      <c r="AC234" s="1341"/>
      <c r="AD234" s="1341"/>
      <c r="AE234" s="1341"/>
      <c r="AF234" s="1341"/>
      <c r="AG234" s="1341"/>
      <c r="AH234" s="1341"/>
      <c r="AI234" s="794"/>
      <c r="AK234" s="492"/>
      <c r="AL234" s="492"/>
      <c r="AM234" s="492"/>
      <c r="AN234" s="492"/>
      <c r="AO234" s="492"/>
      <c r="AP234" s="492"/>
      <c r="AQ234" s="492"/>
      <c r="AR234" s="492"/>
      <c r="AS234" s="492"/>
      <c r="AT234" s="492"/>
      <c r="AU234" s="492"/>
      <c r="AV234" s="492"/>
      <c r="AW234" s="492"/>
    </row>
    <row r="235" spans="1:53" ht="15.75" customHeight="1" x14ac:dyDescent="0.25">
      <c r="B235" s="1364"/>
      <c r="C235" s="3533"/>
      <c r="D235" s="6887" t="s">
        <v>1926</v>
      </c>
      <c r="E235" s="6888"/>
      <c r="F235" s="3945">
        <f>E$68</f>
        <v>2015</v>
      </c>
      <c r="G235" s="3938">
        <f t="shared" ref="G235:O235" si="47">F$68</f>
        <v>2016</v>
      </c>
      <c r="H235" s="3938">
        <f t="shared" si="47"/>
        <v>2017</v>
      </c>
      <c r="I235" s="3938">
        <f t="shared" si="47"/>
        <v>2018</v>
      </c>
      <c r="J235" s="3939">
        <f t="shared" si="47"/>
        <v>2019</v>
      </c>
      <c r="K235" s="3939">
        <f t="shared" si="47"/>
        <v>2020</v>
      </c>
      <c r="L235" s="3939">
        <f t="shared" si="47"/>
        <v>2021</v>
      </c>
      <c r="M235" s="3939">
        <f t="shared" si="47"/>
        <v>2022</v>
      </c>
      <c r="N235" s="3939">
        <f t="shared" si="47"/>
        <v>2023</v>
      </c>
      <c r="O235" s="3940">
        <f t="shared" si="47"/>
        <v>2024</v>
      </c>
      <c r="P235" s="1815"/>
      <c r="Q235" s="1364"/>
      <c r="R235" s="1341"/>
      <c r="S235" s="1341"/>
      <c r="T235" s="1341"/>
      <c r="U235" s="1341"/>
      <c r="V235" s="1341"/>
      <c r="W235" s="1341"/>
      <c r="X235" s="1341"/>
      <c r="Y235" s="1341"/>
      <c r="Z235" s="1341"/>
      <c r="AA235" s="1341"/>
      <c r="AB235" s="1341"/>
      <c r="AC235" s="1341"/>
      <c r="AD235" s="1341"/>
      <c r="AE235" s="1341"/>
      <c r="AF235" s="1341"/>
      <c r="AG235" s="1341"/>
      <c r="AH235" s="1341"/>
      <c r="AI235" s="991"/>
      <c r="AL235" s="918"/>
      <c r="AM235" s="918"/>
      <c r="AN235" s="918"/>
      <c r="AO235" s="918"/>
      <c r="AP235" s="918"/>
      <c r="AQ235" s="918"/>
      <c r="AR235" s="918"/>
      <c r="AS235" s="918"/>
      <c r="AT235" s="918"/>
      <c r="AU235" s="918"/>
      <c r="AV235" s="918"/>
      <c r="AW235" s="918"/>
    </row>
    <row r="236" spans="1:53" ht="15.75" x14ac:dyDescent="0.25">
      <c r="B236" s="1364"/>
      <c r="C236" s="3533"/>
      <c r="D236" s="6889"/>
      <c r="E236" s="6890"/>
      <c r="F236" s="3919"/>
      <c r="G236" s="3920"/>
      <c r="H236" s="3920"/>
      <c r="I236" s="3920"/>
      <c r="J236" s="3920"/>
      <c r="K236" s="3920"/>
      <c r="L236" s="3920"/>
      <c r="M236" s="3920"/>
      <c r="N236" s="3920"/>
      <c r="O236" s="3921"/>
      <c r="P236" s="1815"/>
      <c r="Q236" s="1364"/>
      <c r="R236" s="1341"/>
      <c r="S236" s="1341"/>
      <c r="T236" s="1341"/>
      <c r="U236" s="1341"/>
      <c r="V236" s="1341"/>
      <c r="W236" s="1341"/>
      <c r="X236" s="1341"/>
      <c r="Y236" s="1341"/>
      <c r="Z236" s="1341"/>
      <c r="AA236" s="1341"/>
      <c r="AB236" s="1341"/>
      <c r="AC236" s="1341"/>
      <c r="AD236" s="1341"/>
      <c r="AE236" s="1341"/>
      <c r="AF236" s="1341"/>
      <c r="AG236" s="1341"/>
      <c r="AH236" s="1341"/>
      <c r="AI236" s="991"/>
    </row>
    <row r="237" spans="1:53" ht="15.75" x14ac:dyDescent="0.25">
      <c r="B237" s="1364"/>
      <c r="C237" s="3533"/>
      <c r="D237" s="3533"/>
      <c r="E237" s="3533"/>
      <c r="F237" s="3533"/>
      <c r="G237" s="3533"/>
      <c r="H237" s="3533"/>
      <c r="I237" s="3533"/>
      <c r="J237" s="3533"/>
      <c r="K237" s="3533"/>
      <c r="L237" s="3533"/>
      <c r="M237" s="3533"/>
      <c r="N237" s="3533"/>
      <c r="O237" s="3533"/>
      <c r="P237" s="1815"/>
      <c r="Q237" s="1364"/>
      <c r="R237" s="1341"/>
      <c r="S237" s="1341"/>
      <c r="T237" s="1341"/>
      <c r="U237" s="1341"/>
      <c r="V237" s="1341"/>
      <c r="W237" s="1341"/>
      <c r="X237" s="1341"/>
      <c r="Y237" s="1341"/>
      <c r="Z237" s="1341"/>
      <c r="AA237" s="1341"/>
      <c r="AB237" s="1341"/>
      <c r="AC237" s="1341"/>
      <c r="AD237" s="1341"/>
      <c r="AE237" s="1341"/>
      <c r="AF237" s="1341"/>
      <c r="AG237" s="1341"/>
      <c r="AH237" s="1341"/>
      <c r="AI237" s="991"/>
    </row>
    <row r="238" spans="1:53" s="492" customFormat="1" ht="28.5" customHeight="1" x14ac:dyDescent="0.25">
      <c r="A238" s="494"/>
      <c r="B238" s="1364"/>
      <c r="C238" s="1364"/>
      <c r="D238" s="1364"/>
      <c r="E238" s="1364"/>
      <c r="F238" s="1364"/>
      <c r="G238" s="1364"/>
      <c r="H238" s="1364"/>
      <c r="I238" s="1364"/>
      <c r="J238" s="1364"/>
      <c r="K238" s="1364"/>
      <c r="L238" s="1364"/>
      <c r="M238" s="1364"/>
      <c r="N238" s="1364"/>
      <c r="O238" s="1364"/>
      <c r="P238" s="1364"/>
      <c r="Q238" s="1364"/>
      <c r="R238" s="1364"/>
      <c r="S238" s="1446"/>
      <c r="T238" s="1446"/>
      <c r="U238" s="1446"/>
      <c r="V238" s="1446"/>
      <c r="W238" s="1446"/>
      <c r="X238" s="1446"/>
      <c r="Y238" s="1446"/>
      <c r="Z238" s="1446"/>
      <c r="AA238" s="1446"/>
      <c r="AB238" s="1446"/>
      <c r="AC238" s="1446"/>
      <c r="AD238" s="1446"/>
      <c r="AE238" s="1446"/>
      <c r="AF238" s="1446"/>
      <c r="AG238" s="1446"/>
      <c r="AH238" s="1446"/>
      <c r="AI238" s="991"/>
      <c r="AK238" s="918"/>
      <c r="AL238" s="478"/>
      <c r="AM238" s="478"/>
      <c r="AN238" s="478"/>
      <c r="AO238" s="478"/>
      <c r="AP238" s="478"/>
      <c r="AQ238" s="478"/>
      <c r="AR238" s="478"/>
      <c r="AS238" s="478"/>
      <c r="AT238" s="478"/>
      <c r="AU238" s="478"/>
      <c r="AV238" s="478"/>
      <c r="AW238" s="478"/>
    </row>
    <row r="240" spans="1:53" x14ac:dyDescent="0.25">
      <c r="AK240" s="492"/>
      <c r="AL240" s="492"/>
      <c r="AM240" s="492"/>
      <c r="AN240" s="492"/>
      <c r="AO240" s="492"/>
      <c r="AP240" s="492"/>
      <c r="AQ240" s="492"/>
      <c r="AR240" s="492"/>
      <c r="AS240" s="492"/>
      <c r="AT240" s="492"/>
      <c r="AU240" s="492"/>
      <c r="AV240" s="492"/>
      <c r="AW240" s="492"/>
    </row>
    <row r="241" spans="38:48" x14ac:dyDescent="0.25">
      <c r="AL241" s="492"/>
      <c r="AM241" s="492"/>
      <c r="AN241" s="492"/>
      <c r="AO241" s="492"/>
      <c r="AP241" s="492"/>
      <c r="AQ241" s="492"/>
      <c r="AR241" s="492"/>
      <c r="AS241" s="492"/>
      <c r="AT241" s="492"/>
      <c r="AU241" s="492"/>
      <c r="AV241" s="492"/>
    </row>
    <row r="242" spans="38:48" x14ac:dyDescent="0.25">
      <c r="AL242" s="918"/>
      <c r="AM242" s="918"/>
      <c r="AN242" s="918"/>
      <c r="AO242" s="918"/>
      <c r="AP242" s="918"/>
      <c r="AQ242" s="918"/>
      <c r="AR242" s="918"/>
      <c r="AS242" s="918"/>
      <c r="AT242" s="918"/>
      <c r="AU242" s="918"/>
      <c r="AV242" s="918"/>
    </row>
    <row r="247" spans="38:48" x14ac:dyDescent="0.25">
      <c r="AL247" s="492"/>
      <c r="AM247" s="492"/>
      <c r="AN247" s="492"/>
      <c r="AO247" s="492"/>
      <c r="AP247" s="492"/>
      <c r="AQ247" s="492"/>
      <c r="AR247" s="492"/>
      <c r="AS247" s="492"/>
      <c r="AT247" s="492"/>
      <c r="AU247" s="492"/>
      <c r="AV247" s="492"/>
    </row>
  </sheetData>
  <sheetProtection password="DBDC" sheet="1" objects="1" scenarios="1"/>
  <mergeCells count="311">
    <mergeCell ref="S117:AG117"/>
    <mergeCell ref="N127:O127"/>
    <mergeCell ref="D115:D116"/>
    <mergeCell ref="N128:O128"/>
    <mergeCell ref="J128:K128"/>
    <mergeCell ref="L127:M127"/>
    <mergeCell ref="L128:M128"/>
    <mergeCell ref="J133:K133"/>
    <mergeCell ref="L133:M133"/>
    <mergeCell ref="N133:O133"/>
    <mergeCell ref="O115:O116"/>
    <mergeCell ref="E115:E116"/>
    <mergeCell ref="D126:F128"/>
    <mergeCell ref="H126:I127"/>
    <mergeCell ref="H128:I128"/>
    <mergeCell ref="J127:K127"/>
    <mergeCell ref="D124:K124"/>
    <mergeCell ref="M124:O124"/>
    <mergeCell ref="N115:N116"/>
    <mergeCell ref="D110:D112"/>
    <mergeCell ref="M102:O102"/>
    <mergeCell ref="D104:D105"/>
    <mergeCell ref="S112:AG113"/>
    <mergeCell ref="S108:W108"/>
    <mergeCell ref="S114:W114"/>
    <mergeCell ref="S116:W116"/>
    <mergeCell ref="S80:AG80"/>
    <mergeCell ref="AF84:AF85"/>
    <mergeCell ref="AG84:AG85"/>
    <mergeCell ref="S115:W115"/>
    <mergeCell ref="D99:D100"/>
    <mergeCell ref="D85:D86"/>
    <mergeCell ref="AF99:AF100"/>
    <mergeCell ref="Y99:Y100"/>
    <mergeCell ref="M81:O81"/>
    <mergeCell ref="D89:O90"/>
    <mergeCell ref="H115:H116"/>
    <mergeCell ref="I115:I116"/>
    <mergeCell ref="J115:J116"/>
    <mergeCell ref="K115:K116"/>
    <mergeCell ref="L115:L116"/>
    <mergeCell ref="F115:F116"/>
    <mergeCell ref="G115:G116"/>
    <mergeCell ref="AG101:AG102"/>
    <mergeCell ref="AG74:AG75"/>
    <mergeCell ref="S76:W77"/>
    <mergeCell ref="AC74:AC75"/>
    <mergeCell ref="S91:AG91"/>
    <mergeCell ref="AD101:AD102"/>
    <mergeCell ref="AE99:AE100"/>
    <mergeCell ref="S97:AG97"/>
    <mergeCell ref="S98:W98"/>
    <mergeCell ref="AF76:AF77"/>
    <mergeCell ref="AG76:AG77"/>
    <mergeCell ref="AF82:AF83"/>
    <mergeCell ref="AG82:AG83"/>
    <mergeCell ref="X76:X77"/>
    <mergeCell ref="AF101:AF102"/>
    <mergeCell ref="X74:X75"/>
    <mergeCell ref="Y74:Y75"/>
    <mergeCell ref="Z74:Z75"/>
    <mergeCell ref="AA74:AA75"/>
    <mergeCell ref="AB74:AB75"/>
    <mergeCell ref="AE101:AE102"/>
    <mergeCell ref="Y101:Y102"/>
    <mergeCell ref="Z101:Z102"/>
    <mergeCell ref="AA101:AA102"/>
    <mergeCell ref="AC76:AC77"/>
    <mergeCell ref="X82:X83"/>
    <mergeCell ref="Y82:Y83"/>
    <mergeCell ref="AD99:AD100"/>
    <mergeCell ref="AD74:AD75"/>
    <mergeCell ref="AE74:AE75"/>
    <mergeCell ref="AF74:AF75"/>
    <mergeCell ref="AB101:AB102"/>
    <mergeCell ref="AC101:AC102"/>
    <mergeCell ref="X101:X102"/>
    <mergeCell ref="N183:O183"/>
    <mergeCell ref="J183:K183"/>
    <mergeCell ref="S59:V59"/>
    <mergeCell ref="AE82:AE83"/>
    <mergeCell ref="Z82:Z83"/>
    <mergeCell ref="AA82:AA83"/>
    <mergeCell ref="AB82:AB83"/>
    <mergeCell ref="AC82:AC83"/>
    <mergeCell ref="S84:W85"/>
    <mergeCell ref="Z84:Z85"/>
    <mergeCell ref="AA84:AA85"/>
    <mergeCell ref="S82:W83"/>
    <mergeCell ref="Y76:Y77"/>
    <mergeCell ref="Z76:Z77"/>
    <mergeCell ref="AA76:AA77"/>
    <mergeCell ref="AD76:AD77"/>
    <mergeCell ref="AE76:AE77"/>
    <mergeCell ref="AD82:AD83"/>
    <mergeCell ref="S81:W81"/>
    <mergeCell ref="M78:O78"/>
    <mergeCell ref="S110:W110"/>
    <mergeCell ref="S69:AG70"/>
    <mergeCell ref="S60:V60"/>
    <mergeCell ref="S109:W109"/>
    <mergeCell ref="D195:E195"/>
    <mergeCell ref="D196:E196"/>
    <mergeCell ref="J185:K185"/>
    <mergeCell ref="N192:O192"/>
    <mergeCell ref="N199:O199"/>
    <mergeCell ref="AL84:AR84"/>
    <mergeCell ref="S95:W95"/>
    <mergeCell ref="S86:W86"/>
    <mergeCell ref="AB84:AB85"/>
    <mergeCell ref="AC84:AC85"/>
    <mergeCell ref="AD84:AD85"/>
    <mergeCell ref="AE84:AE85"/>
    <mergeCell ref="S93:W93"/>
    <mergeCell ref="S89:AG90"/>
    <mergeCell ref="AG99:AG100"/>
    <mergeCell ref="S99:W100"/>
    <mergeCell ref="X99:X100"/>
    <mergeCell ref="Z99:Z100"/>
    <mergeCell ref="AA99:AA100"/>
    <mergeCell ref="AB99:AB100"/>
    <mergeCell ref="AC99:AC100"/>
    <mergeCell ref="J164:K164"/>
    <mergeCell ref="M156:O156"/>
    <mergeCell ref="L151:O151"/>
    <mergeCell ref="J234:L234"/>
    <mergeCell ref="M232:O232"/>
    <mergeCell ref="K226:M226"/>
    <mergeCell ref="K227:M227"/>
    <mergeCell ref="K228:M228"/>
    <mergeCell ref="M233:O233"/>
    <mergeCell ref="I226:J227"/>
    <mergeCell ref="M234:O234"/>
    <mergeCell ref="M224:O224"/>
    <mergeCell ref="J232:L233"/>
    <mergeCell ref="I228:J228"/>
    <mergeCell ref="N226:O226"/>
    <mergeCell ref="D228:G228"/>
    <mergeCell ref="D224:K224"/>
    <mergeCell ref="M219:O219"/>
    <mergeCell ref="D201:E202"/>
    <mergeCell ref="D207:E208"/>
    <mergeCell ref="D220:E221"/>
    <mergeCell ref="N228:O228"/>
    <mergeCell ref="N227:O227"/>
    <mergeCell ref="K213:M213"/>
    <mergeCell ref="N213:O213"/>
    <mergeCell ref="M218:O218"/>
    <mergeCell ref="M217:O217"/>
    <mergeCell ref="J219:L219"/>
    <mergeCell ref="M206:O206"/>
    <mergeCell ref="J206:L206"/>
    <mergeCell ref="M205:O205"/>
    <mergeCell ref="M204:O204"/>
    <mergeCell ref="D206:H206"/>
    <mergeCell ref="J204:L205"/>
    <mergeCell ref="K212:M212"/>
    <mergeCell ref="N212:O212"/>
    <mergeCell ref="N210:O210"/>
    <mergeCell ref="K211:M211"/>
    <mergeCell ref="N211:O211"/>
    <mergeCell ref="D181:K181"/>
    <mergeCell ref="M181:O181"/>
    <mergeCell ref="M174:O174"/>
    <mergeCell ref="L184:M184"/>
    <mergeCell ref="D176:H176"/>
    <mergeCell ref="J174:L175"/>
    <mergeCell ref="D219:H219"/>
    <mergeCell ref="D217:I218"/>
    <mergeCell ref="J217:L218"/>
    <mergeCell ref="I200:J200"/>
    <mergeCell ref="N198:O198"/>
    <mergeCell ref="I198:J199"/>
    <mergeCell ref="J191:K191"/>
    <mergeCell ref="I210:J211"/>
    <mergeCell ref="K200:M200"/>
    <mergeCell ref="D204:I205"/>
    <mergeCell ref="N191:O191"/>
    <mergeCell ref="D198:H199"/>
    <mergeCell ref="D200:G200"/>
    <mergeCell ref="N200:O200"/>
    <mergeCell ref="L191:M191"/>
    <mergeCell ref="L192:M192"/>
    <mergeCell ref="J192:K192"/>
    <mergeCell ref="D191:H192"/>
    <mergeCell ref="L185:M185"/>
    <mergeCell ref="N185:O185"/>
    <mergeCell ref="K198:M198"/>
    <mergeCell ref="K199:M199"/>
    <mergeCell ref="D143:E144"/>
    <mergeCell ref="D152:E152"/>
    <mergeCell ref="D153:E153"/>
    <mergeCell ref="D154:E154"/>
    <mergeCell ref="D159:E160"/>
    <mergeCell ref="I183:I184"/>
    <mergeCell ref="L183:M183"/>
    <mergeCell ref="M169:O169"/>
    <mergeCell ref="D164:H164"/>
    <mergeCell ref="M168:O168"/>
    <mergeCell ref="D168:I169"/>
    <mergeCell ref="J184:K184"/>
    <mergeCell ref="J170:L170"/>
    <mergeCell ref="M170:O170"/>
    <mergeCell ref="M176:O176"/>
    <mergeCell ref="M175:O175"/>
    <mergeCell ref="N184:O184"/>
    <mergeCell ref="J176:L176"/>
    <mergeCell ref="D170:H170"/>
    <mergeCell ref="D174:I175"/>
    <mergeCell ref="S94:W94"/>
    <mergeCell ref="D69:O70"/>
    <mergeCell ref="J162:K163"/>
    <mergeCell ref="D151:H151"/>
    <mergeCell ref="K150:O150"/>
    <mergeCell ref="D139:I139"/>
    <mergeCell ref="D147:K147"/>
    <mergeCell ref="D150:H150"/>
    <mergeCell ref="I150:J150"/>
    <mergeCell ref="M147:O147"/>
    <mergeCell ref="I151:J151"/>
    <mergeCell ref="D162:I163"/>
    <mergeCell ref="M158:O158"/>
    <mergeCell ref="J158:L158"/>
    <mergeCell ref="D158:H158"/>
    <mergeCell ref="D95:O95"/>
    <mergeCell ref="M115:M116"/>
    <mergeCell ref="G126:G128"/>
    <mergeCell ref="J126:O126"/>
    <mergeCell ref="S105:AG106"/>
    <mergeCell ref="S103:W103"/>
    <mergeCell ref="S92:W92"/>
    <mergeCell ref="S101:W102"/>
    <mergeCell ref="S107:W107"/>
    <mergeCell ref="D135:I135"/>
    <mergeCell ref="L131:M131"/>
    <mergeCell ref="D130:G131"/>
    <mergeCell ref="D156:I157"/>
    <mergeCell ref="M157:O157"/>
    <mergeCell ref="J156:L157"/>
    <mergeCell ref="D133:F133"/>
    <mergeCell ref="H132:I132"/>
    <mergeCell ref="J131:K131"/>
    <mergeCell ref="J132:K132"/>
    <mergeCell ref="L132:M132"/>
    <mergeCell ref="N132:O132"/>
    <mergeCell ref="H130:I131"/>
    <mergeCell ref="N131:O131"/>
    <mergeCell ref="J130:O130"/>
    <mergeCell ref="D136:E137"/>
    <mergeCell ref="D140:E141"/>
    <mergeCell ref="J135:O135"/>
    <mergeCell ref="K139:N139"/>
    <mergeCell ref="H133:I133"/>
    <mergeCell ref="D132:F132"/>
    <mergeCell ref="Q11:AG23"/>
    <mergeCell ref="Q24:AG24"/>
    <mergeCell ref="D67:O67"/>
    <mergeCell ref="M75:O75"/>
    <mergeCell ref="D83:D84"/>
    <mergeCell ref="S28:AG28"/>
    <mergeCell ref="D53:O53"/>
    <mergeCell ref="D28:O28"/>
    <mergeCell ref="S71:AG72"/>
    <mergeCell ref="S73:W73"/>
    <mergeCell ref="S78:W78"/>
    <mergeCell ref="S74:W75"/>
    <mergeCell ref="S53:AG53"/>
    <mergeCell ref="AB76:AB77"/>
    <mergeCell ref="Y84:Y85"/>
    <mergeCell ref="X84:X85"/>
    <mergeCell ref="S54:V54"/>
    <mergeCell ref="S68:W68"/>
    <mergeCell ref="S55:V55"/>
    <mergeCell ref="S56:V56"/>
    <mergeCell ref="S57:V57"/>
    <mergeCell ref="S61:V61"/>
    <mergeCell ref="S58:V58"/>
    <mergeCell ref="S67:AG67"/>
    <mergeCell ref="D2:AD2"/>
    <mergeCell ref="D9:F9"/>
    <mergeCell ref="L9:S9"/>
    <mergeCell ref="W9:AD9"/>
    <mergeCell ref="D10:H10"/>
    <mergeCell ref="D4:AG4"/>
    <mergeCell ref="H6:AB6"/>
    <mergeCell ref="D8:AB8"/>
    <mergeCell ref="B6:G6"/>
    <mergeCell ref="D235:E236"/>
    <mergeCell ref="D165:E166"/>
    <mergeCell ref="D171:E172"/>
    <mergeCell ref="D177:E178"/>
    <mergeCell ref="D186:E186"/>
    <mergeCell ref="D187:E187"/>
    <mergeCell ref="D188:E188"/>
    <mergeCell ref="D189:E189"/>
    <mergeCell ref="D193:E193"/>
    <mergeCell ref="D194:E194"/>
    <mergeCell ref="D183:H184"/>
    <mergeCell ref="D185:H185"/>
    <mergeCell ref="D234:H234"/>
    <mergeCell ref="D214:E215"/>
    <mergeCell ref="D232:I233"/>
    <mergeCell ref="D213:G213"/>
    <mergeCell ref="I213:J213"/>
    <mergeCell ref="J168:L169"/>
    <mergeCell ref="D229:E230"/>
    <mergeCell ref="I212:J212"/>
    <mergeCell ref="K210:M210"/>
    <mergeCell ref="D210:G211"/>
    <mergeCell ref="D212:G212"/>
    <mergeCell ref="D226:H227"/>
  </mergeCells>
  <conditionalFormatting sqref="X61:AG61">
    <cfRule type="containsText" dxfId="76" priority="65" operator="containsText" text="Yes">
      <formula>NOT(ISERROR(SEARCH("Yes",X61)))</formula>
    </cfRule>
    <cfRule type="containsText" dxfId="75" priority="93" operator="containsText" text="No">
      <formula>NOT(ISERROR(SEARCH("No",X61)))</formula>
    </cfRule>
  </conditionalFormatting>
  <conditionalFormatting sqref="X116:AG116 X110:AG110 X78:AG78 X86:AG86 X103:AG103 X95:AG95 X73:AG73 X81:AG81 X92:AG92 X98:AG98">
    <cfRule type="cellIs" dxfId="74" priority="83" operator="lessThan">
      <formula>0</formula>
    </cfRule>
  </conditionalFormatting>
  <conditionalFormatting sqref="AK83:AS95">
    <cfRule type="expression" dxfId="73" priority="59">
      <formula>$AY$80=FALSE</formula>
    </cfRule>
  </conditionalFormatting>
  <conditionalFormatting sqref="E115:M115">
    <cfRule type="cellIs" dxfId="72" priority="47" operator="lessThan">
      <formula>1</formula>
    </cfRule>
  </conditionalFormatting>
  <conditionalFormatting sqref="E87:N87">
    <cfRule type="cellIs" dxfId="71" priority="46" operator="notBetween">
      <formula>0</formula>
      <formula>1</formula>
    </cfRule>
  </conditionalFormatting>
  <conditionalFormatting sqref="F166:O166">
    <cfRule type="expression" dxfId="70" priority="48">
      <formula>AND($J$162="No",OR($J$164&gt;=F165,$J$164=""))</formula>
    </cfRule>
  </conditionalFormatting>
  <conditionalFormatting sqref="F172:O172">
    <cfRule type="expression" dxfId="69" priority="50">
      <formula>AND($J$168="No",OR($J$170&gt;=F171,$J$170=""))</formula>
    </cfRule>
  </conditionalFormatting>
  <conditionalFormatting sqref="F178:O178">
    <cfRule type="expression" dxfId="68" priority="51">
      <formula>AND($J$174="No",OR($J$176&gt;=F177,$J$176=""))</formula>
    </cfRule>
  </conditionalFormatting>
  <conditionalFormatting sqref="F221:O221">
    <cfRule type="expression" dxfId="67" priority="52">
      <formula>AND($J$217="No",OR($J$219&gt;=F220,$J$219=""))</formula>
    </cfRule>
  </conditionalFormatting>
  <conditionalFormatting sqref="F208:O208">
    <cfRule type="expression" dxfId="66" priority="53">
      <formula>AND($J$204="No",OR($J$206&gt;=F207,$J$206=""))</formula>
    </cfRule>
  </conditionalFormatting>
  <conditionalFormatting sqref="F202:O202">
    <cfRule type="expression" dxfId="65" priority="54">
      <formula>AND($I$198="No",OR($I$200&gt;=F201,$I$200=""))</formula>
    </cfRule>
  </conditionalFormatting>
  <conditionalFormatting sqref="F230">
    <cfRule type="expression" dxfId="64" priority="55">
      <formula>AND($I$226="No",OR($I$228&gt;=F229,$I$228=""))</formula>
    </cfRule>
  </conditionalFormatting>
  <conditionalFormatting sqref="F236:O236">
    <cfRule type="expression" dxfId="63" priority="56">
      <formula>AND($J$232="No",OR($J$234&gt;=F235,$J$234=""))</formula>
    </cfRule>
  </conditionalFormatting>
  <conditionalFormatting sqref="J158:O158">
    <cfRule type="expression" dxfId="62" priority="45">
      <formula>$J$156="Yes"</formula>
    </cfRule>
  </conditionalFormatting>
  <conditionalFormatting sqref="J164:O164">
    <cfRule type="expression" dxfId="61" priority="44">
      <formula>$J$162="Yes"</formula>
    </cfRule>
  </conditionalFormatting>
  <conditionalFormatting sqref="J170:O170">
    <cfRule type="expression" dxfId="60" priority="43">
      <formula>$J$168="Yes"</formula>
    </cfRule>
  </conditionalFormatting>
  <conditionalFormatting sqref="J176:O176">
    <cfRule type="expression" dxfId="59" priority="42">
      <formula>$J$174="Yes"</formula>
    </cfRule>
  </conditionalFormatting>
  <conditionalFormatting sqref="I200:O200">
    <cfRule type="expression" dxfId="58" priority="41">
      <formula>$I$198="Yes"</formula>
    </cfRule>
  </conditionalFormatting>
  <conditionalFormatting sqref="J206:O206">
    <cfRule type="expression" dxfId="57" priority="40">
      <formula>$J$204="Yes"</formula>
    </cfRule>
  </conditionalFormatting>
  <conditionalFormatting sqref="J219:O219">
    <cfRule type="expression" dxfId="56" priority="39">
      <formula>$J$217="Yes"</formula>
    </cfRule>
  </conditionalFormatting>
  <conditionalFormatting sqref="I228:O228">
    <cfRule type="expression" dxfId="55" priority="38">
      <formula>$I$226="Yes"</formula>
    </cfRule>
  </conditionalFormatting>
  <conditionalFormatting sqref="J234:O234">
    <cfRule type="expression" dxfId="54" priority="37">
      <formula>$J$232="Yes"</formula>
    </cfRule>
  </conditionalFormatting>
  <conditionalFormatting sqref="E61:N61">
    <cfRule type="containsText" dxfId="53" priority="33" operator="containsText" text="Yes">
      <formula>NOT(ISERROR(SEARCH("Yes",E61)))</formula>
    </cfRule>
    <cfRule type="containsText" dxfId="52" priority="36" operator="containsText" text="No">
      <formula>NOT(ISERROR(SEARCH("No",E61)))</formula>
    </cfRule>
  </conditionalFormatting>
  <conditionalFormatting sqref="E87:N87">
    <cfRule type="colorScale" priority="35">
      <colorScale>
        <cfvo type="formula" val="&quot;&lt;=0,&gt;1&quot;"/>
        <cfvo type="formula" val="&quot;&lt;0.75&quot;"/>
        <cfvo type="formula" val="&quot;&gt;0,&lt;=0.75&quot;"/>
        <color rgb="FFF8696B"/>
        <color rgb="FFFFEB84"/>
        <color rgb="FF63BE7B"/>
      </colorScale>
    </cfRule>
  </conditionalFormatting>
  <conditionalFormatting sqref="F187:O189">
    <cfRule type="expression" dxfId="51" priority="57">
      <formula>AND($I$183="No",$I$185&gt;=F$186)</formula>
    </cfRule>
  </conditionalFormatting>
  <conditionalFormatting sqref="E105:N105 E100:N100 E84:N84">
    <cfRule type="cellIs" dxfId="50" priority="34" operator="greaterThan">
      <formula>1</formula>
    </cfRule>
  </conditionalFormatting>
  <conditionalFormatting sqref="F194:O196">
    <cfRule type="expression" dxfId="49" priority="58">
      <formula>$I$192&gt;=F$193</formula>
    </cfRule>
  </conditionalFormatting>
  <conditionalFormatting sqref="O61">
    <cfRule type="containsText" dxfId="48" priority="31" operator="containsText" text="Yes">
      <formula>NOT(ISERROR(SEARCH("Yes",O61)))</formula>
    </cfRule>
    <cfRule type="containsText" dxfId="47" priority="32" operator="containsText" text="No">
      <formula>NOT(ISERROR(SEARCH("No",O61)))</formula>
    </cfRule>
  </conditionalFormatting>
  <conditionalFormatting sqref="O87">
    <cfRule type="cellIs" dxfId="46" priority="30" operator="notBetween">
      <formula>0</formula>
      <formula>1</formula>
    </cfRule>
  </conditionalFormatting>
  <conditionalFormatting sqref="O87">
    <cfRule type="colorScale" priority="29">
      <colorScale>
        <cfvo type="formula" val="&quot;&lt;=0,&gt;1&quot;"/>
        <cfvo type="formula" val="&quot;&lt;0.75&quot;"/>
        <cfvo type="formula" val="&quot;&gt;0,&lt;=0.75&quot;"/>
        <color rgb="FFF8696B"/>
        <color rgb="FFFFEB84"/>
        <color rgb="FF63BE7B"/>
      </colorScale>
    </cfRule>
  </conditionalFormatting>
  <conditionalFormatting sqref="N115">
    <cfRule type="cellIs" dxfId="45" priority="28" operator="lessThan">
      <formula>1</formula>
    </cfRule>
  </conditionalFormatting>
  <conditionalFormatting sqref="E86:N86">
    <cfRule type="cellIs" dxfId="44" priority="27" operator="greaterThan">
      <formula>1</formula>
    </cfRule>
  </conditionalFormatting>
  <conditionalFormatting sqref="G230:O230">
    <cfRule type="expression" dxfId="43" priority="24">
      <formula>AND($I$226="No",OR($I$228&gt;=G229,$I$228=""))</formula>
    </cfRule>
  </conditionalFormatting>
  <conditionalFormatting sqref="F160:O160">
    <cfRule type="expression" dxfId="42" priority="23">
      <formula>AND($J$156="No",OR($J$158&gt;=F159,$J$158=""))</formula>
    </cfRule>
  </conditionalFormatting>
  <conditionalFormatting sqref="F215:O215">
    <cfRule type="expression" dxfId="41" priority="2">
      <formula>SMALL($I$212:$J$213,1)&gt;=F214</formula>
    </cfRule>
  </conditionalFormatting>
  <conditionalFormatting sqref="I213 N213">
    <cfRule type="expression" dxfId="40" priority="6">
      <formula>STulbChargingCurrentMode&lt;&gt;"Annual charge for scheduled emptying"</formula>
    </cfRule>
  </conditionalFormatting>
  <conditionalFormatting sqref="I212 N212">
    <cfRule type="expression" dxfId="39" priority="5">
      <formula>STulbChargingCurrentMode&lt;&gt;"At the time of emptying"</formula>
    </cfRule>
  </conditionalFormatting>
  <dataValidations count="3">
    <dataValidation type="list" allowBlank="1" showInputMessage="1" showErrorMessage="1" sqref="K200:M200">
      <formula1>"None,Number of properties, Number of toilets, Number of sewerage connections, Number of water supply connections, Number of HHs"</formula1>
    </dataValidation>
    <dataValidation type="list" allowBlank="1" showInputMessage="1" showErrorMessage="1" sqref="K228:M228">
      <formula1>"None,Number of properties, Number of households and establishment served"</formula1>
    </dataValidation>
    <dataValidation type="list" allowBlank="1" showInputMessage="1" showErrorMessage="1" sqref="J158:L158 J164:K164 J170:L170 J176:L176 I200:J200 J206:L206 J219:L219 I228:J228 J234:L234 L132:O133 L128:O128 I212:I213">
      <formula1>PlanPeriod</formula1>
    </dataValidation>
  </dataValidations>
  <hyperlinks>
    <hyperlink ref="D9:F9" location="'Financing Plan'!D29" display="Summary of Financing plan"/>
    <hyperlink ref="L9:S9" location="'Financing Plan'!D68" display="Water supply and sanitation Financing Plan"/>
    <hyperlink ref="W9:AD9" location="'Financing Plan'!D124" display="Revenue enhancement measures from own sources"/>
    <hyperlink ref="M75:O75" location="'Financing Plan'!D200" display="Revise FSM and WW tariffs"/>
    <hyperlink ref="M78:O78" location="'Financing Plan'!D128" display="Revise own tax sources"/>
    <hyperlink ref="M124:O124" location="'Financing Plan'!D72" display="Back to WSS O&amp;M Plan"/>
    <hyperlink ref="M147:O147" location="'Financing Plan'!D72" display="Back to WSS O&amp;M Plan"/>
    <hyperlink ref="M181:O181" location="'Financing Plan'!D72" display="Back to WSS O&amp;M Plan"/>
    <hyperlink ref="M224:O224" location="'Financing Plan'!D72" display="Back to WSS O&amp;M Plan"/>
    <hyperlink ref="M102:O102" location="'Financing Plan'!AJ105" display="Review past trends"/>
  </hyperlinks>
  <pageMargins left="0.19685039370078741" right="0.11811023622047245" top="0.11811023622047245" bottom="0.11811023622047245" header="0.11811023622047245" footer="0.11811023622047245"/>
  <pageSetup paperSize="9" scale="46" fitToHeight="0" orientation="landscape" verticalDpi="300" r:id="rId1"/>
  <rowBreaks count="3" manualBreakCount="3">
    <brk id="52" min="1" max="34" man="1"/>
    <brk id="117" min="1" max="34" man="1"/>
    <brk id="179" min="1" max="34" man="1"/>
  </rowBreaks>
  <colBreaks count="1" manualBreakCount="1">
    <brk id="35" max="267" man="1"/>
  </colBreaks>
  <ignoredErrors>
    <ignoredError sqref="E85:F85" unlockedFormula="1"/>
    <ignoredError sqref="O8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8616" r:id="rId4" name="Button 8">
              <controlPr defaultSize="0" print="0" autoFill="0" autoPict="0">
                <anchor moveWithCells="1" sizeWithCells="1">
                  <from>
                    <xdr:col>2</xdr:col>
                    <xdr:colOff>0</xdr:colOff>
                    <xdr:row>119</xdr:row>
                    <xdr:rowOff>0</xdr:rowOff>
                  </from>
                  <to>
                    <xdr:col>2</xdr:col>
                    <xdr:colOff>0</xdr:colOff>
                    <xdr:row>119</xdr:row>
                    <xdr:rowOff>0</xdr:rowOff>
                  </to>
                </anchor>
              </controlPr>
            </control>
          </mc:Choice>
        </mc:AlternateContent>
        <mc:AlternateContent xmlns:mc="http://schemas.openxmlformats.org/markup-compatibility/2006">
          <mc:Choice Requires="x14">
            <control shapeId="68617" r:id="rId5" name="Button 9">
              <controlPr defaultSize="0" print="0" autoFill="0" autoPict="0">
                <anchor moveWithCells="1" sizeWithCells="1">
                  <from>
                    <xdr:col>2</xdr:col>
                    <xdr:colOff>0</xdr:colOff>
                    <xdr:row>119</xdr:row>
                    <xdr:rowOff>0</xdr:rowOff>
                  </from>
                  <to>
                    <xdr:col>2</xdr:col>
                    <xdr:colOff>0</xdr:colOff>
                    <xdr:row>119</xdr:row>
                    <xdr:rowOff>0</xdr:rowOff>
                  </to>
                </anchor>
              </controlPr>
            </control>
          </mc:Choice>
        </mc:AlternateContent>
        <mc:AlternateContent xmlns:mc="http://schemas.openxmlformats.org/markup-compatibility/2006">
          <mc:Choice Requires="x14">
            <control shapeId="68619" r:id="rId6" name="Check Box 11">
              <controlPr defaultSize="0" autoFill="0" autoLine="0" autoPict="0">
                <anchor moveWithCells="1">
                  <from>
                    <xdr:col>12</xdr:col>
                    <xdr:colOff>0</xdr:colOff>
                    <xdr:row>79</xdr:row>
                    <xdr:rowOff>180975</xdr:rowOff>
                  </from>
                  <to>
                    <xdr:col>12</xdr:col>
                    <xdr:colOff>314325</xdr:colOff>
                    <xdr:row>80</xdr:row>
                    <xdr:rowOff>200025</xdr:rowOff>
                  </to>
                </anchor>
              </controlPr>
            </control>
          </mc:Choice>
        </mc:AlternateContent>
        <mc:AlternateContent xmlns:mc="http://schemas.openxmlformats.org/markup-compatibility/2006">
          <mc:Choice Requires="x14">
            <control shapeId="68622" r:id="rId7" name="Check Box 14">
              <controlPr defaultSize="0" autoFill="0" autoLine="0" autoPict="0">
                <anchor moveWithCells="1">
                  <from>
                    <xdr:col>12</xdr:col>
                    <xdr:colOff>0</xdr:colOff>
                    <xdr:row>100</xdr:row>
                    <xdr:rowOff>180975</xdr:rowOff>
                  </from>
                  <to>
                    <xdr:col>12</xdr:col>
                    <xdr:colOff>314325</xdr:colOff>
                    <xdr:row>102</xdr:row>
                    <xdr:rowOff>0</xdr:rowOff>
                  </to>
                </anchor>
              </controlPr>
            </control>
          </mc:Choice>
        </mc:AlternateContent>
        <mc:AlternateContent xmlns:mc="http://schemas.openxmlformats.org/markup-compatibility/2006">
          <mc:Choice Requires="x14">
            <control shapeId="68623" r:id="rId8" name="Button 15">
              <controlPr defaultSize="0" print="0" autoFill="0" autoPict="0" macro="[0]!Print_Sheet" altText="Print this page">
                <anchor moveWithCells="1" sizeWithCells="1">
                  <from>
                    <xdr:col>31</xdr:col>
                    <xdr:colOff>447675</xdr:colOff>
                    <xdr:row>4</xdr:row>
                    <xdr:rowOff>85725</xdr:rowOff>
                  </from>
                  <to>
                    <xdr:col>33</xdr:col>
                    <xdr:colOff>209550</xdr:colOff>
                    <xdr:row>6</xdr:row>
                    <xdr:rowOff>38100</xdr:rowOff>
                  </to>
                </anchor>
              </controlPr>
            </control>
          </mc:Choice>
        </mc:AlternateContent>
        <mc:AlternateContent xmlns:mc="http://schemas.openxmlformats.org/markup-compatibility/2006">
          <mc:Choice Requires="x14">
            <control shapeId="68624" r:id="rId9" name="Button 16">
              <controlPr defaultSize="0" print="0" autoFill="0" autoPict="0" macro="[0]!ResetInputCells">
                <anchor moveWithCells="1">
                  <from>
                    <xdr:col>29</xdr:col>
                    <xdr:colOff>314325</xdr:colOff>
                    <xdr:row>4</xdr:row>
                    <xdr:rowOff>85725</xdr:rowOff>
                  </from>
                  <to>
                    <xdr:col>31</xdr:col>
                    <xdr:colOff>47625</xdr:colOff>
                    <xdr:row>6</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2" tint="-0.249977111117893"/>
    <pageSetUpPr fitToPage="1"/>
  </sheetPr>
  <dimension ref="A1:AB207"/>
  <sheetViews>
    <sheetView topLeftCell="A13" zoomScale="60" zoomScaleNormal="60" zoomScaleSheetLayoutView="30" workbookViewId="0">
      <selection activeCell="T57" sqref="T57"/>
    </sheetView>
  </sheetViews>
  <sheetFormatPr defaultRowHeight="15" x14ac:dyDescent="0.25"/>
  <cols>
    <col min="1" max="1" width="9.140625" style="1316"/>
    <col min="2" max="2" width="6.7109375" style="1316" customWidth="1"/>
    <col min="3" max="3" width="3.85546875" style="1316" customWidth="1"/>
    <col min="4" max="4" width="35" style="1316" customWidth="1"/>
    <col min="5" max="5" width="15.42578125" style="1868" customWidth="1"/>
    <col min="6" max="7" width="15.42578125" style="1316" customWidth="1"/>
    <col min="8" max="8" width="2.140625" style="1316" customWidth="1"/>
    <col min="9" max="12" width="14.42578125" style="1316" customWidth="1"/>
    <col min="13" max="13" width="14.42578125" style="1868" customWidth="1"/>
    <col min="14" max="14" width="14.42578125" style="1316" customWidth="1"/>
    <col min="15" max="15" width="3.5703125" style="1316" customWidth="1"/>
    <col min="16" max="16" width="6.140625" style="1316" customWidth="1"/>
    <col min="17" max="17" width="9.140625" style="1316" customWidth="1"/>
    <col min="18" max="18" width="4" style="1316" customWidth="1"/>
    <col min="19" max="19" width="58.7109375" style="1316" customWidth="1"/>
    <col min="20" max="20" width="9.140625" style="1316"/>
    <col min="21" max="23" width="11.140625" style="1316" customWidth="1"/>
    <col min="24" max="24" width="4.42578125" style="1316" customWidth="1"/>
    <col min="25" max="25" width="9.140625" style="1316"/>
    <col min="26" max="26" width="9.140625" style="1316" hidden="1" customWidth="1"/>
    <col min="27" max="16384" width="9.140625" style="1316"/>
  </cols>
  <sheetData>
    <row r="1" spans="1:26" s="1324" customFormat="1" ht="7.5" customHeight="1" x14ac:dyDescent="0.25">
      <c r="B1" s="881"/>
      <c r="K1" s="1327"/>
      <c r="L1" s="1327"/>
    </row>
    <row r="2" spans="1:26" s="1311" customFormat="1" ht="39" customHeight="1" x14ac:dyDescent="0.4">
      <c r="B2" s="1313"/>
      <c r="C2" s="7178" t="s">
        <v>2088</v>
      </c>
      <c r="D2" s="7178"/>
      <c r="E2" s="7178"/>
      <c r="F2" s="7178"/>
      <c r="G2" s="7178"/>
      <c r="H2" s="7178"/>
      <c r="I2" s="7178"/>
      <c r="J2" s="7178"/>
      <c r="K2" s="7178"/>
      <c r="L2" s="7178"/>
      <c r="M2" s="1314"/>
      <c r="N2" s="1314"/>
      <c r="O2" s="1314"/>
      <c r="P2" s="1315"/>
    </row>
    <row r="3" spans="1:26" s="1311" customFormat="1" ht="5.25" customHeight="1" x14ac:dyDescent="0.25">
      <c r="B3" s="1318"/>
      <c r="C3" s="1804"/>
      <c r="D3" s="1322"/>
      <c r="E3" s="1322"/>
      <c r="F3" s="1320"/>
      <c r="G3" s="1320"/>
      <c r="H3" s="1320"/>
      <c r="I3" s="1320"/>
      <c r="J3" s="1320"/>
      <c r="K3" s="1320"/>
      <c r="L3" s="1320"/>
      <c r="M3" s="1320"/>
      <c r="N3" s="1320"/>
      <c r="O3" s="1320"/>
      <c r="P3" s="1321"/>
    </row>
    <row r="4" spans="1:26" s="1311" customFormat="1" ht="26.25" customHeight="1" x14ac:dyDescent="0.25">
      <c r="B4" s="1318"/>
      <c r="C4" s="6309" t="s">
        <v>3084</v>
      </c>
      <c r="D4" s="6309"/>
      <c r="E4" s="6309"/>
      <c r="F4" s="6309"/>
      <c r="G4" s="6309"/>
      <c r="H4" s="6309"/>
      <c r="I4" s="6309"/>
      <c r="J4" s="6309"/>
      <c r="K4" s="6309"/>
      <c r="L4" s="6309"/>
      <c r="M4" s="6309"/>
      <c r="N4" s="6309"/>
      <c r="O4" s="6309"/>
      <c r="P4" s="1321"/>
    </row>
    <row r="5" spans="1:26" s="1311" customFormat="1" ht="6.75" customHeight="1" x14ac:dyDescent="0.25">
      <c r="B5" s="1318"/>
      <c r="C5" s="1804"/>
      <c r="D5" s="1322"/>
      <c r="E5" s="1322"/>
      <c r="F5" s="1320"/>
      <c r="G5" s="1320"/>
      <c r="H5" s="1320"/>
      <c r="I5" s="1320"/>
      <c r="J5" s="1320"/>
      <c r="K5" s="1320"/>
      <c r="L5" s="1320"/>
      <c r="M5" s="1320"/>
      <c r="N5" s="1320"/>
      <c r="O5" s="1320"/>
      <c r="P5" s="1321"/>
    </row>
    <row r="6" spans="1:26" s="1324" customFormat="1" ht="23.25" customHeight="1" x14ac:dyDescent="0.25">
      <c r="B6" s="802"/>
      <c r="C6" s="6306" t="s">
        <v>1945</v>
      </c>
      <c r="D6" s="6306"/>
      <c r="E6" s="6306"/>
      <c r="F6" s="6306"/>
      <c r="G6" s="6306"/>
      <c r="H6" s="6306"/>
      <c r="I6" s="6306"/>
      <c r="J6" s="6306"/>
      <c r="K6" s="6306"/>
      <c r="L6" s="6306"/>
      <c r="M6" s="6306"/>
      <c r="N6" s="6306"/>
      <c r="O6" s="6306"/>
      <c r="P6" s="803"/>
    </row>
    <row r="7" spans="1:26" s="1324" customFormat="1" ht="7.5" customHeight="1" x14ac:dyDescent="0.25">
      <c r="B7" s="1586"/>
      <c r="C7" s="1584"/>
      <c r="D7" s="1585"/>
      <c r="E7" s="1585"/>
      <c r="F7" s="1325"/>
      <c r="G7" s="1325"/>
      <c r="H7" s="1325"/>
      <c r="I7" s="1325"/>
      <c r="J7" s="1325"/>
      <c r="K7" s="1325"/>
      <c r="L7" s="1325"/>
      <c r="M7" s="1325"/>
      <c r="N7" s="1325"/>
      <c r="O7" s="1325"/>
      <c r="P7" s="1326"/>
    </row>
    <row r="8" spans="1:26" s="1324" customFormat="1" ht="44.25" customHeight="1" x14ac:dyDescent="0.25">
      <c r="B8" s="5306"/>
      <c r="C8" s="5307"/>
      <c r="D8" s="5308"/>
      <c r="E8" s="5308"/>
      <c r="F8" s="5309"/>
      <c r="G8" s="5309"/>
      <c r="H8" s="5309"/>
      <c r="I8" s="5309"/>
      <c r="J8" s="5309"/>
      <c r="K8" s="5309"/>
      <c r="L8" s="5309"/>
      <c r="M8" s="5309"/>
      <c r="N8" s="5309"/>
      <c r="O8" s="5309"/>
      <c r="P8" s="5310"/>
    </row>
    <row r="9" spans="1:26" s="1328" customFormat="1" ht="23.25" x14ac:dyDescent="0.25">
      <c r="A9" s="5469"/>
      <c r="B9" s="1805"/>
      <c r="C9" s="7180" t="str">
        <f>CONCATENATE("SUMMARY OF PIP, ", Population!H236," - ",Population!I236)</f>
        <v>SUMMARY OF PIP, 2014 - 2024</v>
      </c>
      <c r="D9" s="7180"/>
      <c r="E9" s="7180"/>
      <c r="F9" s="7180"/>
      <c r="G9" s="7180"/>
      <c r="H9" s="7180"/>
      <c r="I9" s="7180"/>
      <c r="J9" s="7180"/>
      <c r="K9" s="7180"/>
      <c r="L9" s="7180"/>
      <c r="M9" s="7180"/>
      <c r="N9" s="7180"/>
      <c r="O9" s="7180"/>
      <c r="P9" s="1806"/>
    </row>
    <row r="10" spans="1:26" s="1328" customFormat="1" ht="23.25" x14ac:dyDescent="0.25">
      <c r="B10" s="1764"/>
      <c r="C10" s="7202" t="s">
        <v>3734</v>
      </c>
      <c r="D10" s="7202"/>
      <c r="E10" s="1944"/>
      <c r="F10" s="1944"/>
      <c r="G10" s="7203" t="s">
        <v>3735</v>
      </c>
      <c r="H10" s="7203"/>
      <c r="I10" s="7203"/>
      <c r="J10" s="7203"/>
      <c r="K10" s="1944"/>
      <c r="L10" s="7203" t="s">
        <v>3736</v>
      </c>
      <c r="M10" s="7203"/>
      <c r="N10" s="7203"/>
      <c r="O10" s="1944"/>
      <c r="P10" s="1945"/>
    </row>
    <row r="11" spans="1:26" s="1343" customFormat="1" ht="24.75" customHeight="1" x14ac:dyDescent="0.25">
      <c r="B11" s="1807"/>
      <c r="C11" s="1807"/>
      <c r="D11" s="5305" t="s">
        <v>948</v>
      </c>
      <c r="E11" s="5265"/>
      <c r="F11" s="5265"/>
      <c r="G11" s="5265"/>
      <c r="H11" s="5265"/>
      <c r="I11" s="5265"/>
      <c r="J11" s="5265"/>
      <c r="K11" s="5265"/>
      <c r="L11" s="5265"/>
      <c r="M11" s="5265"/>
      <c r="N11" s="5265"/>
      <c r="O11" s="5265"/>
      <c r="P11" s="1807"/>
    </row>
    <row r="12" spans="1:26" s="1343" customFormat="1" ht="220.5" customHeight="1" x14ac:dyDescent="0.25">
      <c r="B12" s="1807"/>
      <c r="C12" s="7201" t="s">
        <v>2984</v>
      </c>
      <c r="D12" s="7201"/>
      <c r="E12" s="7201"/>
      <c r="F12" s="7201"/>
      <c r="G12" s="7201"/>
      <c r="H12" s="7201"/>
      <c r="I12" s="7201"/>
      <c r="J12" s="7201"/>
      <c r="K12" s="7201"/>
      <c r="L12" s="7201"/>
      <c r="M12" s="7201"/>
      <c r="N12" s="7201"/>
      <c r="O12" s="7201"/>
      <c r="P12" s="1807"/>
    </row>
    <row r="13" spans="1:26" s="1343" customFormat="1" ht="61.5" customHeight="1" x14ac:dyDescent="0.25">
      <c r="B13" s="1807"/>
      <c r="C13" s="7179" t="s">
        <v>2915</v>
      </c>
      <c r="D13" s="7179"/>
      <c r="E13" s="7179"/>
      <c r="F13" s="7179"/>
      <c r="G13" s="7179"/>
      <c r="H13" s="7179"/>
      <c r="I13" s="7179"/>
      <c r="J13" s="7179"/>
      <c r="K13" s="7179"/>
      <c r="L13" s="7179"/>
      <c r="M13" s="7179"/>
      <c r="N13" s="7179"/>
      <c r="O13" s="7179"/>
      <c r="P13" s="1807"/>
    </row>
    <row r="14" spans="1:26" x14ac:dyDescent="0.25">
      <c r="B14" s="1341"/>
      <c r="C14" s="1341"/>
      <c r="D14" s="1341"/>
      <c r="E14" s="1808"/>
      <c r="F14" s="1341"/>
      <c r="G14" s="1341"/>
      <c r="H14" s="1341"/>
      <c r="I14" s="1341"/>
      <c r="J14" s="1341"/>
      <c r="K14" s="1341"/>
      <c r="L14" s="1341"/>
      <c r="M14" s="1341"/>
      <c r="N14" s="1341"/>
      <c r="O14" s="1341"/>
      <c r="P14" s="1341"/>
      <c r="R14" s="1341"/>
      <c r="S14" s="1341"/>
      <c r="T14" s="1341"/>
      <c r="U14" s="1341"/>
      <c r="V14" s="1341"/>
      <c r="W14" s="1341"/>
      <c r="X14" s="1341"/>
    </row>
    <row r="15" spans="1:26" ht="26.25" x14ac:dyDescent="0.25">
      <c r="B15" s="1809"/>
      <c r="C15" s="1809"/>
      <c r="D15" s="1810" t="s">
        <v>1946</v>
      </c>
      <c r="E15" s="1810"/>
      <c r="F15" s="1810"/>
      <c r="G15" s="1810"/>
      <c r="H15" s="1810"/>
      <c r="I15" s="1810"/>
      <c r="J15" s="1810"/>
      <c r="K15" s="1810"/>
      <c r="L15" s="1810"/>
      <c r="M15" s="1810"/>
      <c r="N15" s="1810"/>
      <c r="O15" s="1810"/>
      <c r="P15" s="1810"/>
      <c r="R15" s="1811"/>
      <c r="S15" s="1812" t="s">
        <v>1942</v>
      </c>
      <c r="T15" s="1813"/>
      <c r="U15" s="1811"/>
      <c r="V15" s="1811"/>
      <c r="W15" s="1811"/>
      <c r="X15" s="1811"/>
      <c r="Z15" s="3398" t="b">
        <v>0</v>
      </c>
    </row>
    <row r="16" spans="1:26" ht="15" customHeight="1" x14ac:dyDescent="0.25">
      <c r="B16" s="1341"/>
      <c r="C16" s="1341"/>
      <c r="D16" s="1341"/>
      <c r="E16" s="1341"/>
      <c r="F16" s="1341"/>
      <c r="G16" s="1341"/>
      <c r="H16" s="1341"/>
      <c r="I16" s="1341"/>
      <c r="J16" s="1341"/>
      <c r="K16" s="1341"/>
      <c r="L16" s="1341"/>
      <c r="M16" s="1341"/>
      <c r="N16" s="1341"/>
      <c r="O16" s="1341"/>
      <c r="P16" s="1341"/>
      <c r="R16" s="1341"/>
      <c r="S16" s="1341"/>
      <c r="T16" s="1341"/>
      <c r="U16" s="1341"/>
      <c r="V16" s="1341"/>
      <c r="W16" s="1341"/>
      <c r="X16" s="1341"/>
    </row>
    <row r="17" spans="2:24" ht="19.5" customHeight="1" thickBot="1" x14ac:dyDescent="0.3">
      <c r="B17" s="1341"/>
      <c r="C17" s="1341"/>
      <c r="D17" s="1341"/>
      <c r="E17" s="1341"/>
      <c r="F17" s="1341"/>
      <c r="G17" s="1341"/>
      <c r="H17" s="1341"/>
      <c r="I17" s="1341"/>
      <c r="J17" s="1341"/>
      <c r="K17" s="1341"/>
      <c r="L17" s="1341"/>
      <c r="M17" s="1341"/>
      <c r="N17" s="1341"/>
      <c r="O17" s="1341"/>
      <c r="P17" s="1341"/>
      <c r="R17" s="1341"/>
      <c r="S17" s="1814" t="s">
        <v>1941</v>
      </c>
      <c r="T17" s="7204" t="s">
        <v>3929</v>
      </c>
      <c r="U17" s="7204"/>
      <c r="V17" s="7204"/>
      <c r="W17" s="7204"/>
      <c r="X17" s="1808"/>
    </row>
    <row r="18" spans="2:24" ht="15.75" customHeight="1" x14ac:dyDescent="0.25">
      <c r="B18" s="1341"/>
      <c r="C18" s="1954"/>
      <c r="D18" s="1955"/>
      <c r="E18" s="1955"/>
      <c r="F18" s="1955"/>
      <c r="G18" s="1955"/>
      <c r="H18" s="1955"/>
      <c r="I18" s="1955"/>
      <c r="J18" s="1955"/>
      <c r="K18" s="1955"/>
      <c r="L18" s="1955"/>
      <c r="M18" s="1955"/>
      <c r="N18" s="1955"/>
      <c r="O18" s="1956"/>
      <c r="P18" s="1341"/>
      <c r="R18" s="1341"/>
      <c r="S18" s="7193" t="s">
        <v>2093</v>
      </c>
      <c r="T18" s="7194"/>
      <c r="U18" s="7194"/>
      <c r="V18" s="7194"/>
      <c r="W18" s="7194"/>
      <c r="X18" s="1808"/>
    </row>
    <row r="19" spans="2:24" ht="28.5" customHeight="1" x14ac:dyDescent="0.25">
      <c r="B19" s="1341"/>
      <c r="C19" s="1957"/>
      <c r="D19" s="1816" t="s">
        <v>3926</v>
      </c>
      <c r="E19" s="7157" t="s">
        <v>3928</v>
      </c>
      <c r="F19" s="7158"/>
      <c r="G19" s="7158"/>
      <c r="H19" s="7158"/>
      <c r="I19" s="7158"/>
      <c r="J19" s="7158"/>
      <c r="K19" s="7158"/>
      <c r="L19" s="7158"/>
      <c r="M19" s="7158"/>
      <c r="N19" s="7159"/>
      <c r="O19" s="1958"/>
      <c r="P19" s="1341"/>
      <c r="R19" s="1341"/>
      <c r="S19" s="7195" t="s">
        <v>2094</v>
      </c>
      <c r="T19" s="7196"/>
      <c r="U19" s="7196"/>
      <c r="V19" s="7196"/>
      <c r="W19" s="7196"/>
      <c r="X19" s="1808"/>
    </row>
    <row r="20" spans="2:24" ht="19.5" customHeight="1" thickBot="1" x14ac:dyDescent="0.3">
      <c r="B20" s="1341"/>
      <c r="C20" s="1957"/>
      <c r="D20" s="1815"/>
      <c r="E20" s="1815"/>
      <c r="F20" s="1815"/>
      <c r="G20" s="1815"/>
      <c r="H20" s="1815"/>
      <c r="I20" s="1815"/>
      <c r="J20" s="1815"/>
      <c r="K20" s="1815"/>
      <c r="L20" s="1815"/>
      <c r="M20" s="1815"/>
      <c r="N20" s="1815"/>
      <c r="O20" s="1958"/>
      <c r="P20" s="1341"/>
      <c r="R20" s="1341"/>
      <c r="S20" s="1341"/>
      <c r="T20" s="1808"/>
      <c r="U20" s="1808"/>
      <c r="V20" s="1808"/>
      <c r="W20" s="1808"/>
      <c r="X20" s="1341"/>
    </row>
    <row r="21" spans="2:24" ht="15" customHeight="1" x14ac:dyDescent="0.35">
      <c r="B21" s="1341"/>
      <c r="C21" s="1957"/>
      <c r="D21" s="7185" t="s">
        <v>733</v>
      </c>
      <c r="E21" s="7186"/>
      <c r="F21" s="7186"/>
      <c r="G21" s="7187"/>
      <c r="H21" s="1815"/>
      <c r="I21" s="7188" t="s">
        <v>1929</v>
      </c>
      <c r="J21" s="7189"/>
      <c r="K21" s="7189"/>
      <c r="L21" s="7189"/>
      <c r="M21" s="7189"/>
      <c r="N21" s="7190"/>
      <c r="O21" s="1958"/>
      <c r="P21" s="1341"/>
      <c r="R21" s="1341"/>
      <c r="S21" s="1817" t="s">
        <v>795</v>
      </c>
      <c r="T21" s="1818"/>
      <c r="U21" s="1819" t="s">
        <v>947</v>
      </c>
      <c r="V21" s="1852" t="s">
        <v>1036</v>
      </c>
      <c r="W21" s="1820" t="s">
        <v>946</v>
      </c>
      <c r="X21" s="1341"/>
    </row>
    <row r="22" spans="2:24" ht="15.75" x14ac:dyDescent="0.25">
      <c r="B22" s="1341"/>
      <c r="C22" s="1957"/>
      <c r="D22" s="1973"/>
      <c r="E22" s="1821"/>
      <c r="F22" s="1821"/>
      <c r="G22" s="1822"/>
      <c r="H22" s="1815"/>
      <c r="I22" s="1947"/>
      <c r="J22" s="2043" t="s">
        <v>2167</v>
      </c>
      <c r="K22" s="1940"/>
      <c r="L22" s="1948"/>
      <c r="M22" s="2043" t="s">
        <v>2168</v>
      </c>
      <c r="N22" s="1967"/>
      <c r="O22" s="1958"/>
      <c r="P22" s="1341"/>
      <c r="R22" s="1825"/>
      <c r="S22" s="1826" t="s">
        <v>796</v>
      </c>
      <c r="T22" s="1827" t="s">
        <v>18</v>
      </c>
      <c r="U22" s="1828">
        <v>10</v>
      </c>
      <c r="V22" s="6146"/>
      <c r="W22" s="1829">
        <v>10</v>
      </c>
      <c r="X22" s="1825"/>
    </row>
    <row r="23" spans="2:24" x14ac:dyDescent="0.25">
      <c r="B23" s="1341"/>
      <c r="C23" s="1957"/>
      <c r="D23" s="2005" t="s">
        <v>2179</v>
      </c>
      <c r="E23" s="1830" t="s">
        <v>181</v>
      </c>
      <c r="F23" s="1830" t="s">
        <v>1009</v>
      </c>
      <c r="G23" s="1831" t="s">
        <v>183</v>
      </c>
      <c r="H23" s="1815"/>
      <c r="I23" s="1823"/>
      <c r="J23" s="1824"/>
      <c r="K23" s="1824"/>
      <c r="L23" s="1824"/>
      <c r="M23" s="1824"/>
      <c r="N23" s="1968"/>
      <c r="O23" s="1958"/>
      <c r="P23" s="1341"/>
      <c r="R23" s="1825"/>
      <c r="S23" s="1826" t="s">
        <v>797</v>
      </c>
      <c r="T23" s="1827" t="s">
        <v>18</v>
      </c>
      <c r="U23" s="1828">
        <v>10</v>
      </c>
      <c r="V23" s="6146"/>
      <c r="W23" s="1829">
        <v>10</v>
      </c>
      <c r="X23" s="1825"/>
    </row>
    <row r="24" spans="2:24" x14ac:dyDescent="0.25">
      <c r="B24" s="1352"/>
      <c r="C24" s="1959"/>
      <c r="D24" s="1974" t="str">
        <f>CONCATENATE("Start year of Plan - ",'WS calcu'!$E$774)</f>
        <v>Start year of Plan - 2014</v>
      </c>
      <c r="E24" s="1833">
        <f>IFERROR(Population!$J$218,0)</f>
        <v>0</v>
      </c>
      <c r="F24" s="1833">
        <f>IFERROR(Population!$J$233,0)</f>
        <v>0</v>
      </c>
      <c r="G24" s="1834">
        <f>IFERROR(Population!$J$246,0)</f>
        <v>0</v>
      </c>
      <c r="H24" s="1815"/>
      <c r="I24" s="1950"/>
      <c r="J24" s="2046" t="s">
        <v>2993</v>
      </c>
      <c r="K24" s="2045">
        <f>'PIP finance'!$Q909</f>
        <v>99</v>
      </c>
      <c r="L24" s="2044" t="s">
        <v>1940</v>
      </c>
      <c r="M24" s="2045">
        <f>'PIP finance'!$Q915</f>
        <v>0</v>
      </c>
      <c r="N24" s="2038"/>
      <c r="O24" s="1960"/>
      <c r="P24" s="1352"/>
      <c r="R24" s="1341"/>
      <c r="S24" s="1826" t="s">
        <v>2095</v>
      </c>
      <c r="T24" s="1835" t="s">
        <v>74</v>
      </c>
      <c r="U24" s="1828">
        <v>10</v>
      </c>
      <c r="V24" s="6146"/>
      <c r="W24" s="1829">
        <v>8</v>
      </c>
      <c r="X24" s="1341"/>
    </row>
    <row r="25" spans="2:24" x14ac:dyDescent="0.25">
      <c r="B25" s="1341"/>
      <c r="C25" s="1959"/>
      <c r="D25" s="1974" t="str">
        <f>CONCATENATE("End year of Plan - ",'WS calcu'!$O$774)</f>
        <v>End year of Plan - 2024</v>
      </c>
      <c r="E25" s="1833">
        <f>IFERROR(Population!$K$218,0)</f>
        <v>0</v>
      </c>
      <c r="F25" s="1833">
        <f>IFERROR(Population!$K$233,0)</f>
        <v>0</v>
      </c>
      <c r="G25" s="1834">
        <f>IFERROR(Population!$K$246,0)</f>
        <v>0</v>
      </c>
      <c r="H25" s="1832"/>
      <c r="I25" s="2031"/>
      <c r="J25" s="2046" t="s">
        <v>49</v>
      </c>
      <c r="K25" s="2045">
        <f ca="1">'PIP finance'!$Q910</f>
        <v>48.975372000000007</v>
      </c>
      <c r="L25" s="2046" t="s">
        <v>1936</v>
      </c>
      <c r="M25" s="2045">
        <f>'PIP finance'!$Q916</f>
        <v>37</v>
      </c>
      <c r="N25" s="2038"/>
      <c r="O25" s="1960"/>
      <c r="P25" s="1341"/>
      <c r="R25" s="1341"/>
      <c r="S25" s="1836" t="s">
        <v>66</v>
      </c>
      <c r="T25" s="1835" t="s">
        <v>1497</v>
      </c>
      <c r="U25" s="1828">
        <v>10</v>
      </c>
      <c r="V25" s="6146"/>
      <c r="W25" s="1829">
        <v>5</v>
      </c>
      <c r="X25" s="1341"/>
    </row>
    <row r="26" spans="2:24" x14ac:dyDescent="0.25">
      <c r="B26" s="1341"/>
      <c r="C26" s="1957"/>
      <c r="D26" s="2004" t="s">
        <v>2178</v>
      </c>
      <c r="E26" s="1837"/>
      <c r="F26" s="1837"/>
      <c r="G26" s="1838"/>
      <c r="H26" s="1815"/>
      <c r="I26" s="2031"/>
      <c r="J26" s="2046" t="s">
        <v>2998</v>
      </c>
      <c r="K26" s="2045">
        <f ca="1">'PIP finance'!$Q911</f>
        <v>1857.4137636432001</v>
      </c>
      <c r="L26" s="2046" t="s">
        <v>620</v>
      </c>
      <c r="M26" s="2045">
        <f>'PIP finance'!$Q917</f>
        <v>4</v>
      </c>
      <c r="N26" s="2038"/>
      <c r="O26" s="1958"/>
      <c r="P26" s="1341"/>
      <c r="R26" s="1341"/>
      <c r="S26" s="1836" t="s">
        <v>2096</v>
      </c>
      <c r="T26" s="1835" t="s">
        <v>18</v>
      </c>
      <c r="U26" s="1839">
        <v>10</v>
      </c>
      <c r="V26" s="6147"/>
      <c r="W26" s="1829">
        <v>10</v>
      </c>
      <c r="X26" s="1341"/>
    </row>
    <row r="27" spans="2:24" ht="14.25" customHeight="1" x14ac:dyDescent="0.25">
      <c r="B27" s="1341"/>
      <c r="C27" s="1957"/>
      <c r="D27" s="1815"/>
      <c r="E27" s="1815"/>
      <c r="F27" s="1815"/>
      <c r="G27" s="1815"/>
      <c r="H27" s="1815"/>
      <c r="I27" s="2031"/>
      <c r="J27" s="2046" t="s">
        <v>1240</v>
      </c>
      <c r="K27" s="2045">
        <f ca="1">'PIP finance'!$Q912</f>
        <v>36</v>
      </c>
      <c r="L27" s="2046" t="s">
        <v>1937</v>
      </c>
      <c r="M27" s="2045">
        <f>'PIP finance'!$Q918</f>
        <v>434</v>
      </c>
      <c r="N27" s="2038"/>
      <c r="O27" s="1958"/>
      <c r="P27" s="1341"/>
      <c r="R27" s="1341"/>
      <c r="S27" s="1836" t="s">
        <v>800</v>
      </c>
      <c r="T27" s="1835" t="s">
        <v>18</v>
      </c>
      <c r="U27" s="1828">
        <v>10</v>
      </c>
      <c r="V27" s="6146"/>
      <c r="W27" s="1829">
        <v>1</v>
      </c>
      <c r="X27" s="1341"/>
    </row>
    <row r="28" spans="2:24" ht="15.75" x14ac:dyDescent="0.25">
      <c r="B28" s="1341"/>
      <c r="C28" s="1957"/>
      <c r="D28" s="7175" t="s">
        <v>1930</v>
      </c>
      <c r="E28" s="7176"/>
      <c r="F28" s="7176"/>
      <c r="G28" s="7177"/>
      <c r="H28" s="1815"/>
      <c r="I28" s="2031"/>
      <c r="J28" s="2046"/>
      <c r="K28" s="2045"/>
      <c r="L28" s="2047"/>
      <c r="M28" s="2047"/>
      <c r="N28" s="2035"/>
      <c r="O28" s="1958"/>
      <c r="P28" s="1341"/>
      <c r="R28" s="1341"/>
      <c r="S28" s="1836" t="s">
        <v>801</v>
      </c>
      <c r="T28" s="1835" t="s">
        <v>18</v>
      </c>
      <c r="U28" s="1828">
        <v>10</v>
      </c>
      <c r="V28" s="6146"/>
      <c r="W28" s="1829">
        <v>5</v>
      </c>
      <c r="X28" s="1341"/>
    </row>
    <row r="29" spans="2:24" ht="15.75" x14ac:dyDescent="0.25">
      <c r="B29" s="1341"/>
      <c r="C29" s="1957"/>
      <c r="D29" s="1975"/>
      <c r="E29" s="1840"/>
      <c r="F29" s="1840"/>
      <c r="G29" s="1841"/>
      <c r="H29" s="1815"/>
      <c r="I29" s="2031"/>
      <c r="J29" s="2046"/>
      <c r="K29" s="2045"/>
      <c r="L29" s="2047"/>
      <c r="M29" s="2047"/>
      <c r="N29" s="2035"/>
      <c r="O29" s="1958"/>
      <c r="P29" s="1341"/>
      <c r="R29" s="1341"/>
      <c r="S29" s="1836" t="s">
        <v>802</v>
      </c>
      <c r="T29" s="1835" t="s">
        <v>18</v>
      </c>
      <c r="U29" s="1828">
        <v>10</v>
      </c>
      <c r="V29" s="6146"/>
      <c r="W29" s="1829">
        <v>5</v>
      </c>
      <c r="X29" s="1341"/>
    </row>
    <row r="30" spans="2:24" x14ac:dyDescent="0.25">
      <c r="B30" s="1341"/>
      <c r="C30" s="1957"/>
      <c r="D30" s="1976" t="s">
        <v>2177</v>
      </c>
      <c r="E30" s="1842" t="s">
        <v>181</v>
      </c>
      <c r="F30" s="1842" t="s">
        <v>1009</v>
      </c>
      <c r="G30" s="1843" t="s">
        <v>183</v>
      </c>
      <c r="H30" s="1815"/>
      <c r="I30" s="2031"/>
      <c r="J30" s="2032"/>
      <c r="K30" s="2033"/>
      <c r="L30" s="2034"/>
      <c r="M30" s="2034"/>
      <c r="N30" s="2035"/>
      <c r="O30" s="1958"/>
      <c r="P30" s="1341"/>
      <c r="R30" s="1341"/>
      <c r="S30" s="1836" t="s">
        <v>1498</v>
      </c>
      <c r="T30" s="1835" t="s">
        <v>18</v>
      </c>
      <c r="U30" s="1828">
        <v>10</v>
      </c>
      <c r="V30" s="6146"/>
      <c r="W30" s="1829">
        <v>8</v>
      </c>
      <c r="X30" s="1341"/>
    </row>
    <row r="31" spans="2:24" ht="15.75" thickBot="1" x14ac:dyDescent="0.3">
      <c r="B31" s="1341"/>
      <c r="C31" s="1957"/>
      <c r="D31" s="1977" t="s">
        <v>1931</v>
      </c>
      <c r="E31" s="1844">
        <f ca="1">'Activation list'!$AD$24</f>
        <v>0</v>
      </c>
      <c r="F31" s="1844">
        <f ca="1">'Activation list'!$AE$24</f>
        <v>1</v>
      </c>
      <c r="G31" s="1845">
        <f ca="1">'Activation list'!$AF$24</f>
        <v>0</v>
      </c>
      <c r="H31" s="1815"/>
      <c r="I31" s="2027"/>
      <c r="J31" s="2028"/>
      <c r="K31" s="2036"/>
      <c r="L31" s="2028"/>
      <c r="M31" s="2028"/>
      <c r="N31" s="2037"/>
      <c r="O31" s="1958"/>
      <c r="P31" s="1341"/>
      <c r="R31" s="1341"/>
      <c r="S31" s="1846" t="s">
        <v>1329</v>
      </c>
      <c r="T31" s="1847" t="s">
        <v>18</v>
      </c>
      <c r="U31" s="1848">
        <v>10</v>
      </c>
      <c r="V31" s="6148"/>
      <c r="W31" s="1849">
        <v>8</v>
      </c>
      <c r="X31" s="1341"/>
    </row>
    <row r="32" spans="2:24" ht="16.5" thickBot="1" x14ac:dyDescent="0.3">
      <c r="B32" s="1341"/>
      <c r="C32" s="1957"/>
      <c r="D32" s="1977" t="s">
        <v>2089</v>
      </c>
      <c r="E32" s="1844">
        <f ca="1">'Activation list'!$AD$25</f>
        <v>0</v>
      </c>
      <c r="F32" s="1844">
        <f ca="1">'Activation list'!$AE$25</f>
        <v>1</v>
      </c>
      <c r="G32" s="1845">
        <f ca="1">'Activation list'!$AF$25</f>
        <v>0</v>
      </c>
      <c r="H32" s="1815"/>
      <c r="I32" s="2029"/>
      <c r="J32" s="2030"/>
      <c r="K32" s="1953"/>
      <c r="L32" s="2030"/>
      <c r="M32" s="2030"/>
      <c r="N32" s="1969"/>
      <c r="O32" s="1958"/>
      <c r="P32" s="1341"/>
      <c r="R32" s="1341"/>
      <c r="S32" s="1850"/>
      <c r="T32" s="1851"/>
      <c r="U32" s="1352"/>
      <c r="V32" s="1352"/>
      <c r="W32" s="1352"/>
      <c r="X32" s="1341"/>
    </row>
    <row r="33" spans="2:24" ht="15" customHeight="1" x14ac:dyDescent="0.25">
      <c r="B33" s="1341"/>
      <c r="C33" s="1957"/>
      <c r="D33" s="1977" t="s">
        <v>1932</v>
      </c>
      <c r="E33" s="1844">
        <f ca="1">'Activation list'!$AD$26</f>
        <v>0</v>
      </c>
      <c r="F33" s="1844">
        <f ca="1">'Activation list'!$AE$26</f>
        <v>3</v>
      </c>
      <c r="G33" s="1845">
        <f ca="1">'Activation list'!$AF$26</f>
        <v>0</v>
      </c>
      <c r="H33" s="1815"/>
      <c r="I33" s="2027"/>
      <c r="J33" s="2028"/>
      <c r="K33" s="1983"/>
      <c r="L33" s="2028"/>
      <c r="M33" s="2028"/>
      <c r="N33" s="1984"/>
      <c r="O33" s="1958"/>
      <c r="P33" s="1341"/>
      <c r="R33" s="1341"/>
      <c r="S33" s="7197" t="s">
        <v>1058</v>
      </c>
      <c r="T33" s="7198"/>
      <c r="U33" s="1852" t="s">
        <v>947</v>
      </c>
      <c r="V33" s="1852" t="s">
        <v>1036</v>
      </c>
      <c r="W33" s="1820" t="s">
        <v>946</v>
      </c>
      <c r="X33" s="1341"/>
    </row>
    <row r="34" spans="2:24" ht="15" customHeight="1" x14ac:dyDescent="0.25">
      <c r="B34" s="1341"/>
      <c r="C34" s="1957"/>
      <c r="D34" s="1977" t="s">
        <v>780</v>
      </c>
      <c r="E34" s="1844">
        <f ca="1">'Activation list'!$AD$27</f>
        <v>0</v>
      </c>
      <c r="F34" s="1844">
        <f ca="1">'Activation list'!$AE$27</f>
        <v>4</v>
      </c>
      <c r="G34" s="1845">
        <f ca="1">'Activation list'!$AF$27</f>
        <v>0</v>
      </c>
      <c r="H34" s="1815"/>
      <c r="I34" s="1949"/>
      <c r="J34" s="1946"/>
      <c r="K34" s="1946"/>
      <c r="L34" s="1946"/>
      <c r="M34" s="1946"/>
      <c r="N34" s="1970"/>
      <c r="O34" s="1958"/>
      <c r="P34" s="1341"/>
      <c r="R34" s="1341"/>
      <c r="S34" s="1836" t="s">
        <v>1345</v>
      </c>
      <c r="T34" s="1853" t="s">
        <v>18</v>
      </c>
      <c r="U34" s="1854">
        <v>10</v>
      </c>
      <c r="V34" s="6146"/>
      <c r="W34" s="1829">
        <v>10</v>
      </c>
      <c r="X34" s="1341"/>
    </row>
    <row r="35" spans="2:24" ht="15" customHeight="1" x14ac:dyDescent="0.25">
      <c r="B35" s="1855"/>
      <c r="C35" s="1957"/>
      <c r="D35" s="1978"/>
      <c r="E35" s="1840"/>
      <c r="F35" s="1840"/>
      <c r="G35" s="1841"/>
      <c r="H35" s="1815"/>
      <c r="I35" s="7181" t="s">
        <v>2164</v>
      </c>
      <c r="J35" s="7182"/>
      <c r="K35" s="1983" t="str">
        <f ca="1">IF(AND((SUMPRODUCT(('Financing Plan'!$E$61:$N$61="No")*1)=0),(SUMPRODUCT(('Financing Plan'!$X$95:$AG$95&lt;0)*1)=0)),"Yes","No")</f>
        <v>No</v>
      </c>
      <c r="L35" s="7182" t="s">
        <v>2163</v>
      </c>
      <c r="M35" s="7182"/>
      <c r="N35" s="1984" t="str">
        <f ca="1">IF(SUMPRODUCT(('Financing Plan'!$X$61:$AG$61="No")*1)=0,"Yes","No")</f>
        <v>No</v>
      </c>
      <c r="O35" s="1958"/>
      <c r="P35" s="1855"/>
      <c r="R35" s="1341"/>
      <c r="S35" s="1836" t="s">
        <v>1346</v>
      </c>
      <c r="T35" s="1853" t="s">
        <v>18</v>
      </c>
      <c r="U35" s="1854">
        <v>10</v>
      </c>
      <c r="V35" s="6146"/>
      <c r="W35" s="1829">
        <v>10</v>
      </c>
      <c r="X35" s="1341"/>
    </row>
    <row r="36" spans="2:24" x14ac:dyDescent="0.25">
      <c r="B36" s="1364"/>
      <c r="C36" s="1961"/>
      <c r="D36" s="1979" t="s">
        <v>1939</v>
      </c>
      <c r="E36" s="1857" t="s">
        <v>181</v>
      </c>
      <c r="F36" s="1857" t="s">
        <v>1009</v>
      </c>
      <c r="G36" s="1858" t="s">
        <v>183</v>
      </c>
      <c r="H36" s="1856"/>
      <c r="I36" s="7199"/>
      <c r="J36" s="7200"/>
      <c r="K36" s="3391"/>
      <c r="L36" s="3391"/>
      <c r="M36" s="3391"/>
      <c r="N36" s="2039"/>
      <c r="O36" s="1962"/>
      <c r="P36" s="1364"/>
      <c r="R36" s="1341"/>
      <c r="S36" s="1836" t="s">
        <v>1381</v>
      </c>
      <c r="T36" s="1853" t="s">
        <v>18</v>
      </c>
      <c r="U36" s="1854">
        <v>10</v>
      </c>
      <c r="V36" s="6146"/>
      <c r="W36" s="1829">
        <v>0</v>
      </c>
      <c r="X36" s="1341"/>
    </row>
    <row r="37" spans="2:24" x14ac:dyDescent="0.25">
      <c r="B37" s="1364"/>
      <c r="C37" s="1957"/>
      <c r="D37" s="1977" t="s">
        <v>146</v>
      </c>
      <c r="E37" s="1844">
        <f>'PIP finance'!$N$588</f>
        <v>0</v>
      </c>
      <c r="F37" s="1844">
        <f>'PIP finance'!$N$592</f>
        <v>1404.5417689436667</v>
      </c>
      <c r="G37" s="1845">
        <f>'PIP finance'!$N$596</f>
        <v>0</v>
      </c>
      <c r="H37" s="1815"/>
      <c r="I37" s="7183" t="s">
        <v>2092</v>
      </c>
      <c r="J37" s="7184"/>
      <c r="K37" s="3392" t="s">
        <v>206</v>
      </c>
      <c r="L37" s="3392" t="s">
        <v>181</v>
      </c>
      <c r="M37" s="3392" t="s">
        <v>1009</v>
      </c>
      <c r="N37" s="1971" t="s">
        <v>183</v>
      </c>
      <c r="O37" s="1958"/>
      <c r="P37" s="1364"/>
      <c r="R37" s="1341"/>
      <c r="S37" s="1836" t="s">
        <v>1430</v>
      </c>
      <c r="T37" s="1853" t="s">
        <v>18</v>
      </c>
      <c r="U37" s="1854">
        <v>10</v>
      </c>
      <c r="V37" s="6146"/>
      <c r="W37" s="1829">
        <v>8</v>
      </c>
      <c r="X37" s="1341"/>
    </row>
    <row r="38" spans="2:24" x14ac:dyDescent="0.25">
      <c r="B38" s="1364"/>
      <c r="C38" s="1957"/>
      <c r="D38" s="1977" t="s">
        <v>2090</v>
      </c>
      <c r="E38" s="1859">
        <f>'PIP finance'!$N$589/10</f>
        <v>0</v>
      </c>
      <c r="F38" s="1859">
        <f>'PIP finance'!$N$593/10</f>
        <v>25.010211185188044</v>
      </c>
      <c r="G38" s="1860">
        <f>'PIP finance'!$N$597/10</f>
        <v>0</v>
      </c>
      <c r="H38" s="1815"/>
      <c r="I38" s="1951" t="str">
        <f>CONCATENATE("Start year of Plan - ",'WS calcu'!$E$774)</f>
        <v>Start year of Plan - 2014</v>
      </c>
      <c r="J38" s="1952"/>
      <c r="K38" s="1952">
        <f>'Financing Plan'!$W$55</f>
        <v>0</v>
      </c>
      <c r="L38" s="1952">
        <f>'Financing Plan'!$W$56</f>
        <v>0</v>
      </c>
      <c r="M38" s="1952">
        <f>'Financing Plan'!$W$57</f>
        <v>0</v>
      </c>
      <c r="N38" s="1972">
        <f>'Financing Plan'!$W$58</f>
        <v>0</v>
      </c>
      <c r="O38" s="1958"/>
      <c r="P38" s="1364"/>
      <c r="R38" s="1341"/>
      <c r="S38" s="1836" t="s">
        <v>1368</v>
      </c>
      <c r="T38" s="1853" t="s">
        <v>18</v>
      </c>
      <c r="U38" s="1854">
        <v>10</v>
      </c>
      <c r="V38" s="6146"/>
      <c r="W38" s="1829">
        <v>8</v>
      </c>
      <c r="X38" s="1341"/>
    </row>
    <row r="39" spans="2:24" x14ac:dyDescent="0.25">
      <c r="B39" s="1364"/>
      <c r="C39" s="1957"/>
      <c r="D39" s="1980" t="s">
        <v>2091</v>
      </c>
      <c r="E39" s="1981">
        <f>'PIP finance'!$N$590/10</f>
        <v>0</v>
      </c>
      <c r="F39" s="1981">
        <f>'PIP finance'!$N$594/10</f>
        <v>3.8976728279596671</v>
      </c>
      <c r="G39" s="1982">
        <f>'PIP finance'!$N$598/10</f>
        <v>0</v>
      </c>
      <c r="H39" s="1815"/>
      <c r="I39" s="2040" t="str">
        <f>CONCATENATE("End year of Plan - ",'WS calcu'!$O$774)</f>
        <v>End year of Plan - 2024</v>
      </c>
      <c r="J39" s="2041"/>
      <c r="K39" s="2041">
        <f>'Financing Plan'!$AG$55</f>
        <v>0</v>
      </c>
      <c r="L39" s="2041">
        <f>'Financing Plan'!$AG$56</f>
        <v>0</v>
      </c>
      <c r="M39" s="2041">
        <f>'Financing Plan'!$AG$57</f>
        <v>100</v>
      </c>
      <c r="N39" s="2042">
        <f>'Financing Plan'!$AG$58</f>
        <v>0</v>
      </c>
      <c r="O39" s="1958"/>
      <c r="P39" s="1364"/>
      <c r="R39" s="1341"/>
      <c r="S39" s="1836" t="s">
        <v>1139</v>
      </c>
      <c r="T39" s="1853" t="s">
        <v>18</v>
      </c>
      <c r="U39" s="1854">
        <v>10</v>
      </c>
      <c r="V39" s="6146"/>
      <c r="W39" s="1829">
        <v>8</v>
      </c>
      <c r="X39" s="1341"/>
    </row>
    <row r="40" spans="2:24" ht="16.5" thickBot="1" x14ac:dyDescent="0.3">
      <c r="B40" s="1364"/>
      <c r="C40" s="1963"/>
      <c r="D40" s="1964"/>
      <c r="E40" s="1965"/>
      <c r="F40" s="1965"/>
      <c r="G40" s="1965"/>
      <c r="H40" s="1965"/>
      <c r="I40" s="1965"/>
      <c r="J40" s="1965"/>
      <c r="K40" s="1965"/>
      <c r="L40" s="1965"/>
      <c r="M40" s="1965"/>
      <c r="N40" s="1965"/>
      <c r="O40" s="1966"/>
      <c r="P40" s="1364"/>
      <c r="R40" s="1341"/>
      <c r="S40" s="1836" t="s">
        <v>1983</v>
      </c>
      <c r="T40" s="1853" t="s">
        <v>18</v>
      </c>
      <c r="U40" s="1854">
        <v>10</v>
      </c>
      <c r="V40" s="6146"/>
      <c r="W40" s="1829">
        <v>5</v>
      </c>
      <c r="X40" s="1341"/>
    </row>
    <row r="41" spans="2:24" ht="15.75" x14ac:dyDescent="0.25">
      <c r="B41" s="1364"/>
      <c r="C41" s="1364"/>
      <c r="D41" s="1943"/>
      <c r="E41" s="1364"/>
      <c r="F41" s="1364"/>
      <c r="G41" s="1364"/>
      <c r="H41" s="1364"/>
      <c r="I41" s="1364"/>
      <c r="J41" s="1364"/>
      <c r="K41" s="1364"/>
      <c r="L41" s="1364"/>
      <c r="M41" s="1364"/>
      <c r="N41" s="1364"/>
      <c r="O41" s="1364"/>
      <c r="P41" s="1364"/>
      <c r="R41" s="1341"/>
      <c r="S41" s="1836" t="s">
        <v>1117</v>
      </c>
      <c r="T41" s="1853" t="s">
        <v>18</v>
      </c>
      <c r="U41" s="1854">
        <v>10</v>
      </c>
      <c r="V41" s="6146"/>
      <c r="W41" s="1829">
        <v>5</v>
      </c>
      <c r="X41" s="1341"/>
    </row>
    <row r="42" spans="2:24" x14ac:dyDescent="0.25">
      <c r="B42" s="1364"/>
      <c r="C42" s="1364"/>
      <c r="D42" s="1364"/>
      <c r="E42" s="1861"/>
      <c r="F42" s="1364"/>
      <c r="G42" s="1364"/>
      <c r="H42" s="1364"/>
      <c r="I42" s="1364"/>
      <c r="J42" s="1364"/>
      <c r="K42" s="1364"/>
      <c r="L42" s="1364"/>
      <c r="M42" s="1861"/>
      <c r="N42" s="1364"/>
      <c r="O42" s="1364"/>
      <c r="P42" s="1364"/>
      <c r="R42" s="1341"/>
      <c r="S42" s="1836" t="s">
        <v>1436</v>
      </c>
      <c r="T42" s="1853" t="s">
        <v>18</v>
      </c>
      <c r="U42" s="1854">
        <v>10</v>
      </c>
      <c r="V42" s="6146"/>
      <c r="W42" s="1829">
        <v>8</v>
      </c>
      <c r="X42" s="1341"/>
    </row>
    <row r="43" spans="2:24" ht="18" customHeight="1" thickBot="1" x14ac:dyDescent="0.3">
      <c r="B43" s="1364"/>
      <c r="C43" s="1364"/>
      <c r="D43" s="7191" t="s">
        <v>2165</v>
      </c>
      <c r="E43" s="7191"/>
      <c r="F43" s="7191"/>
      <c r="G43" s="1311"/>
      <c r="H43" s="1311"/>
      <c r="I43" s="1311"/>
      <c r="J43" s="1311"/>
      <c r="K43" s="1311"/>
      <c r="L43" s="1311"/>
      <c r="M43" s="1941"/>
      <c r="N43" s="1311"/>
      <c r="O43" s="1364"/>
      <c r="P43" s="1364"/>
      <c r="R43" s="1341"/>
      <c r="S43" s="1846" t="s">
        <v>1119</v>
      </c>
      <c r="T43" s="1862" t="s">
        <v>18</v>
      </c>
      <c r="U43" s="1863">
        <v>10</v>
      </c>
      <c r="V43" s="6148"/>
      <c r="W43" s="1849">
        <v>5</v>
      </c>
      <c r="X43" s="1341"/>
    </row>
    <row r="44" spans="2:24" ht="15.75" customHeight="1" thickBot="1" x14ac:dyDescent="0.3">
      <c r="B44" s="1364"/>
      <c r="C44" s="1364"/>
      <c r="D44" s="7191"/>
      <c r="E44" s="7191"/>
      <c r="F44" s="7191"/>
      <c r="G44" s="1311"/>
      <c r="H44" s="1311"/>
      <c r="I44" s="1311"/>
      <c r="J44" s="1311"/>
      <c r="K44" s="1311"/>
      <c r="L44" s="1311"/>
      <c r="M44" s="1941"/>
      <c r="N44" s="1311"/>
      <c r="O44" s="1364"/>
      <c r="P44" s="1364"/>
      <c r="R44" s="1341"/>
      <c r="S44" s="1850"/>
      <c r="T44" s="1851"/>
      <c r="U44" s="1352"/>
      <c r="V44" s="1352"/>
      <c r="W44" s="1352"/>
      <c r="X44" s="1352"/>
    </row>
    <row r="45" spans="2:24" x14ac:dyDescent="0.25">
      <c r="B45" s="1364"/>
      <c r="C45" s="1364"/>
      <c r="D45" s="7192" t="s">
        <v>2166</v>
      </c>
      <c r="E45" s="7192"/>
      <c r="F45" s="7192"/>
      <c r="G45" s="1311"/>
      <c r="H45" s="1311"/>
      <c r="I45" s="1311"/>
      <c r="J45" s="1311"/>
      <c r="K45" s="1311"/>
      <c r="L45" s="1311"/>
      <c r="M45" s="1941"/>
      <c r="N45" s="1311"/>
      <c r="O45" s="1364"/>
      <c r="P45" s="1364"/>
      <c r="R45" s="1341"/>
      <c r="S45" s="1865" t="s">
        <v>792</v>
      </c>
      <c r="T45" s="1866"/>
      <c r="U45" s="1867" t="s">
        <v>947</v>
      </c>
      <c r="V45" s="1852" t="s">
        <v>1036</v>
      </c>
      <c r="W45" s="1820" t="s">
        <v>946</v>
      </c>
      <c r="X45" s="1341"/>
    </row>
    <row r="46" spans="2:24" x14ac:dyDescent="0.25">
      <c r="B46" s="1364"/>
      <c r="C46" s="1364"/>
      <c r="D46" s="7192"/>
      <c r="E46" s="7192"/>
      <c r="F46" s="7192"/>
      <c r="G46" s="1317"/>
      <c r="H46" s="1317"/>
      <c r="I46" s="1317"/>
      <c r="J46" s="1317"/>
      <c r="K46" s="1317"/>
      <c r="L46" s="1317"/>
      <c r="M46" s="1942"/>
      <c r="N46" s="1317"/>
      <c r="O46" s="1364"/>
      <c r="P46" s="1364"/>
      <c r="Q46" s="1316" t="s">
        <v>2532</v>
      </c>
      <c r="R46" s="1341"/>
      <c r="S46" s="1836" t="s">
        <v>1364</v>
      </c>
      <c r="T46" s="1853" t="s">
        <v>18</v>
      </c>
      <c r="U46" s="1854">
        <v>10</v>
      </c>
      <c r="V46" s="6146"/>
      <c r="W46" s="1829">
        <v>10</v>
      </c>
      <c r="X46" s="1341"/>
    </row>
    <row r="47" spans="2:24" x14ac:dyDescent="0.25">
      <c r="B47" s="1364"/>
      <c r="C47" s="1364"/>
      <c r="D47" s="1861"/>
      <c r="E47" s="1861"/>
      <c r="F47" s="1364"/>
      <c r="G47" s="1364"/>
      <c r="H47" s="1364"/>
      <c r="I47" s="1364"/>
      <c r="J47" s="1364"/>
      <c r="K47" s="1364"/>
      <c r="L47" s="1364"/>
      <c r="M47" s="1861"/>
      <c r="N47" s="1364"/>
      <c r="O47" s="1364"/>
      <c r="P47" s="1364"/>
      <c r="R47" s="1341"/>
      <c r="S47" s="1836" t="s">
        <v>1365</v>
      </c>
      <c r="T47" s="1853" t="s">
        <v>18</v>
      </c>
      <c r="U47" s="1854">
        <v>10</v>
      </c>
      <c r="V47" s="6146"/>
      <c r="W47" s="1829">
        <v>10</v>
      </c>
      <c r="X47" s="1341"/>
    </row>
    <row r="48" spans="2:24" x14ac:dyDescent="0.25">
      <c r="B48" s="1364"/>
      <c r="C48" s="1364"/>
      <c r="D48" s="1364"/>
      <c r="E48" s="1861"/>
      <c r="F48" s="1364"/>
      <c r="G48" s="1364"/>
      <c r="H48" s="1364"/>
      <c r="I48" s="1364"/>
      <c r="J48" s="1364"/>
      <c r="K48" s="1364"/>
      <c r="L48" s="1364"/>
      <c r="M48" s="1861"/>
      <c r="N48" s="1364"/>
      <c r="O48" s="1364"/>
      <c r="P48" s="1364"/>
      <c r="R48" s="1352"/>
      <c r="S48" s="1836" t="s">
        <v>1500</v>
      </c>
      <c r="T48" s="1853" t="s">
        <v>18</v>
      </c>
      <c r="U48" s="1854">
        <v>10</v>
      </c>
      <c r="V48" s="6146"/>
      <c r="W48" s="1829">
        <v>8</v>
      </c>
      <c r="X48" s="1352"/>
    </row>
    <row r="49" spans="2:24" ht="26.25" x14ac:dyDescent="0.25">
      <c r="B49" s="1809"/>
      <c r="C49" s="1809"/>
      <c r="D49" s="1810" t="s">
        <v>3737</v>
      </c>
      <c r="E49" s="1810"/>
      <c r="F49" s="1810"/>
      <c r="G49" s="1810"/>
      <c r="H49" s="1810"/>
      <c r="I49" s="1810"/>
      <c r="J49" s="1810"/>
      <c r="K49" s="1810"/>
      <c r="L49" s="1810"/>
      <c r="M49" s="1810"/>
      <c r="N49" s="1810"/>
      <c r="O49" s="1810"/>
      <c r="P49" s="1809"/>
      <c r="R49" s="1341"/>
      <c r="S49" s="1836" t="s">
        <v>1502</v>
      </c>
      <c r="T49" s="1853" t="s">
        <v>18</v>
      </c>
      <c r="U49" s="1854">
        <v>10</v>
      </c>
      <c r="V49" s="6146"/>
      <c r="W49" s="1829">
        <v>1</v>
      </c>
      <c r="X49" s="1341"/>
    </row>
    <row r="50" spans="2:24" x14ac:dyDescent="0.25">
      <c r="B50" s="1364"/>
      <c r="C50" s="1364"/>
      <c r="D50" s="1364"/>
      <c r="E50" s="1861"/>
      <c r="F50" s="1364"/>
      <c r="G50" s="1364"/>
      <c r="H50" s="1364"/>
      <c r="I50" s="1364"/>
      <c r="J50" s="1364"/>
      <c r="K50" s="1364"/>
      <c r="L50" s="1364"/>
      <c r="M50" s="1861"/>
      <c r="N50" s="1364"/>
      <c r="O50" s="1364"/>
      <c r="P50" s="1364"/>
      <c r="R50" s="1352"/>
      <c r="S50" s="1836" t="s">
        <v>1501</v>
      </c>
      <c r="T50" s="1853" t="s">
        <v>18</v>
      </c>
      <c r="U50" s="1854">
        <v>10</v>
      </c>
      <c r="V50" s="6146"/>
      <c r="W50" s="1829">
        <v>5</v>
      </c>
      <c r="X50" s="1352"/>
    </row>
    <row r="51" spans="2:24" ht="24" thickBot="1" x14ac:dyDescent="0.3">
      <c r="B51" s="1364"/>
      <c r="C51" s="1364"/>
      <c r="D51" s="1864" t="s">
        <v>3927</v>
      </c>
      <c r="E51" s="1861"/>
      <c r="F51" s="1364"/>
      <c r="G51" s="1364"/>
      <c r="H51" s="1364"/>
      <c r="I51" s="1364"/>
      <c r="J51" s="1364"/>
      <c r="K51" s="1364"/>
      <c r="L51" s="1364"/>
      <c r="M51" s="1861"/>
      <c r="N51" s="1364"/>
      <c r="O51" s="1364"/>
      <c r="P51" s="1364"/>
      <c r="R51" s="1341"/>
      <c r="S51" s="1836" t="s">
        <v>1433</v>
      </c>
      <c r="T51" s="1853" t="s">
        <v>18</v>
      </c>
      <c r="U51" s="1854">
        <v>10</v>
      </c>
      <c r="V51" s="6146"/>
      <c r="W51" s="1829">
        <v>5</v>
      </c>
      <c r="X51" s="1341"/>
    </row>
    <row r="52" spans="2:24" s="1343" customFormat="1" x14ac:dyDescent="0.25">
      <c r="B52" s="1364"/>
      <c r="C52" s="3554"/>
      <c r="D52" s="3555"/>
      <c r="E52" s="3555"/>
      <c r="F52" s="3555"/>
      <c r="G52" s="3555"/>
      <c r="H52" s="3555"/>
      <c r="I52" s="3555"/>
      <c r="J52" s="3555"/>
      <c r="K52" s="3555"/>
      <c r="L52" s="3555"/>
      <c r="M52" s="3555"/>
      <c r="N52" s="3555"/>
      <c r="O52" s="3556"/>
      <c r="P52" s="1364"/>
      <c r="R52" s="1341"/>
      <c r="S52" s="1836" t="s">
        <v>1117</v>
      </c>
      <c r="T52" s="1853" t="s">
        <v>18</v>
      </c>
      <c r="U52" s="1854">
        <v>10</v>
      </c>
      <c r="V52" s="6146"/>
      <c r="W52" s="1829">
        <v>5</v>
      </c>
      <c r="X52" s="1341"/>
    </row>
    <row r="53" spans="2:24" ht="29.25" customHeight="1" x14ac:dyDescent="0.25">
      <c r="B53" s="1364"/>
      <c r="C53" s="3557"/>
      <c r="D53" s="3558"/>
      <c r="E53" s="7157"/>
      <c r="F53" s="7158"/>
      <c r="G53" s="7158"/>
      <c r="H53" s="7158"/>
      <c r="I53" s="7158"/>
      <c r="J53" s="7158"/>
      <c r="K53" s="7158"/>
      <c r="L53" s="7158"/>
      <c r="M53" s="7158"/>
      <c r="N53" s="7159"/>
      <c r="O53" s="3559"/>
      <c r="P53" s="1364"/>
      <c r="R53" s="1352"/>
      <c r="S53" s="1836" t="s">
        <v>1434</v>
      </c>
      <c r="T53" s="1853" t="s">
        <v>18</v>
      </c>
      <c r="U53" s="1854">
        <v>10</v>
      </c>
      <c r="V53" s="6146"/>
      <c r="W53" s="1829">
        <v>8</v>
      </c>
      <c r="X53" s="1352"/>
    </row>
    <row r="54" spans="2:24" ht="15.75" thickBot="1" x14ac:dyDescent="0.3">
      <c r="B54" s="1364"/>
      <c r="C54" s="3557"/>
      <c r="D54" s="3560"/>
      <c r="E54" s="3560"/>
      <c r="F54" s="3560"/>
      <c r="G54" s="3560"/>
      <c r="H54" s="3560"/>
      <c r="I54" s="3560"/>
      <c r="J54" s="3560"/>
      <c r="K54" s="3560"/>
      <c r="L54" s="3560"/>
      <c r="M54" s="3560"/>
      <c r="N54" s="3560"/>
      <c r="O54" s="3559"/>
      <c r="P54" s="1364"/>
      <c r="R54" s="1341"/>
      <c r="S54" s="1846" t="s">
        <v>1435</v>
      </c>
      <c r="T54" s="1862" t="s">
        <v>18</v>
      </c>
      <c r="U54" s="1863">
        <v>10</v>
      </c>
      <c r="V54" s="6148"/>
      <c r="W54" s="1849">
        <v>8</v>
      </c>
      <c r="X54" s="1341"/>
    </row>
    <row r="55" spans="2:24" ht="15" customHeight="1" x14ac:dyDescent="0.25">
      <c r="B55" s="1341"/>
      <c r="C55" s="3557"/>
      <c r="D55" s="7160"/>
      <c r="E55" s="7161"/>
      <c r="F55" s="7161"/>
      <c r="G55" s="7162"/>
      <c r="H55" s="3560"/>
      <c r="I55" s="7163"/>
      <c r="J55" s="7164"/>
      <c r="K55" s="7164"/>
      <c r="L55" s="7164"/>
      <c r="M55" s="7164"/>
      <c r="N55" s="7165"/>
      <c r="O55" s="3559"/>
      <c r="P55" s="1341"/>
      <c r="R55" s="1352"/>
      <c r="S55" s="1352"/>
      <c r="T55" s="1352"/>
      <c r="U55" s="1352"/>
      <c r="V55" s="1352"/>
      <c r="W55" s="1352"/>
      <c r="X55" s="1352"/>
    </row>
    <row r="56" spans="2:24" ht="15.75" x14ac:dyDescent="0.25">
      <c r="B56" s="1341"/>
      <c r="C56" s="3557"/>
      <c r="D56" s="3561"/>
      <c r="E56" s="3562"/>
      <c r="F56" s="3562"/>
      <c r="G56" s="3563"/>
      <c r="H56" s="3560"/>
      <c r="I56" s="3564"/>
      <c r="J56" s="3565"/>
      <c r="K56" s="3566"/>
      <c r="L56" s="3567"/>
      <c r="M56" s="3565"/>
      <c r="N56" s="3568"/>
      <c r="O56" s="3559"/>
      <c r="P56" s="1341"/>
    </row>
    <row r="57" spans="2:24" x14ac:dyDescent="0.25">
      <c r="B57" s="1341"/>
      <c r="C57" s="3557"/>
      <c r="D57" s="3569"/>
      <c r="E57" s="3570"/>
      <c r="F57" s="3570"/>
      <c r="G57" s="3571"/>
      <c r="H57" s="3560"/>
      <c r="I57" s="3572"/>
      <c r="J57" s="3573"/>
      <c r="K57" s="3573"/>
      <c r="L57" s="3573"/>
      <c r="M57" s="3573"/>
      <c r="N57" s="3574"/>
      <c r="O57" s="3559"/>
      <c r="P57" s="1341"/>
    </row>
    <row r="58" spans="2:24" x14ac:dyDescent="0.25">
      <c r="B58" s="1352"/>
      <c r="C58" s="3575"/>
      <c r="D58" s="3576"/>
      <c r="E58" s="3577"/>
      <c r="F58" s="3577"/>
      <c r="G58" s="3578"/>
      <c r="H58" s="3560"/>
      <c r="I58" s="3579"/>
      <c r="J58" s="3586"/>
      <c r="K58" s="3581"/>
      <c r="L58" s="3580"/>
      <c r="M58" s="3581"/>
      <c r="N58" s="3582"/>
      <c r="O58" s="3583"/>
      <c r="P58" s="1352"/>
    </row>
    <row r="59" spans="2:24" x14ac:dyDescent="0.25">
      <c r="B59" s="1341"/>
      <c r="C59" s="3575"/>
      <c r="D59" s="3576"/>
      <c r="E59" s="3577"/>
      <c r="F59" s="3577"/>
      <c r="G59" s="3578"/>
      <c r="H59" s="3584"/>
      <c r="I59" s="3585"/>
      <c r="J59" s="3586"/>
      <c r="K59" s="3581"/>
      <c r="L59" s="3586"/>
      <c r="M59" s="3581"/>
      <c r="N59" s="3582"/>
      <c r="O59" s="3583"/>
      <c r="P59" s="1341"/>
    </row>
    <row r="60" spans="2:24" ht="15" customHeight="1" x14ac:dyDescent="0.25">
      <c r="B60" s="1341"/>
      <c r="C60" s="3557"/>
      <c r="D60" s="3587"/>
      <c r="E60" s="3588"/>
      <c r="F60" s="3588"/>
      <c r="G60" s="3589"/>
      <c r="H60" s="3560"/>
      <c r="I60" s="3585"/>
      <c r="J60" s="3586"/>
      <c r="K60" s="3581"/>
      <c r="L60" s="3586"/>
      <c r="M60" s="3581"/>
      <c r="N60" s="3582"/>
      <c r="O60" s="3559"/>
      <c r="P60" s="1341"/>
    </row>
    <row r="61" spans="2:24" ht="14.25" customHeight="1" x14ac:dyDescent="0.25">
      <c r="B61" s="1341"/>
      <c r="C61" s="3557"/>
      <c r="D61" s="3560"/>
      <c r="E61" s="3560"/>
      <c r="F61" s="3560"/>
      <c r="G61" s="3560"/>
      <c r="H61" s="3560"/>
      <c r="I61" s="3585"/>
      <c r="J61" s="3586"/>
      <c r="K61" s="3581"/>
      <c r="L61" s="3586"/>
      <c r="M61" s="3581"/>
      <c r="N61" s="3582"/>
      <c r="O61" s="3559"/>
      <c r="P61" s="1341"/>
    </row>
    <row r="62" spans="2:24" ht="15.75" x14ac:dyDescent="0.25">
      <c r="B62" s="1341"/>
      <c r="C62" s="3557"/>
      <c r="D62" s="7166"/>
      <c r="E62" s="7167"/>
      <c r="F62" s="7167"/>
      <c r="G62" s="7168"/>
      <c r="H62" s="3560"/>
      <c r="I62" s="3585"/>
      <c r="J62" s="3586"/>
      <c r="K62" s="3581"/>
      <c r="L62" s="3590"/>
      <c r="M62" s="3590"/>
      <c r="N62" s="3591"/>
      <c r="O62" s="3559"/>
      <c r="P62" s="1341"/>
    </row>
    <row r="63" spans="2:24" ht="15.75" x14ac:dyDescent="0.25">
      <c r="B63" s="1341"/>
      <c r="C63" s="3557"/>
      <c r="D63" s="3592"/>
      <c r="E63" s="3593"/>
      <c r="F63" s="3593"/>
      <c r="G63" s="3594"/>
      <c r="H63" s="3560"/>
      <c r="I63" s="3585"/>
      <c r="J63" s="3586"/>
      <c r="K63" s="3581"/>
      <c r="L63" s="3590"/>
      <c r="M63" s="3590"/>
      <c r="N63" s="3591"/>
      <c r="O63" s="3559"/>
      <c r="P63" s="1341"/>
    </row>
    <row r="64" spans="2:24" ht="15" customHeight="1" x14ac:dyDescent="0.25">
      <c r="B64" s="1341"/>
      <c r="C64" s="3557"/>
      <c r="D64" s="3595"/>
      <c r="E64" s="3596"/>
      <c r="F64" s="3596"/>
      <c r="G64" s="3597"/>
      <c r="H64" s="3560"/>
      <c r="I64" s="3585"/>
      <c r="J64" s="3598"/>
      <c r="K64" s="3599"/>
      <c r="L64" s="3600"/>
      <c r="M64" s="3600"/>
      <c r="N64" s="3591"/>
      <c r="O64" s="3559"/>
      <c r="P64" s="1341"/>
    </row>
    <row r="65" spans="2:16" x14ac:dyDescent="0.25">
      <c r="B65" s="1341"/>
      <c r="C65" s="3557"/>
      <c r="D65" s="3601"/>
      <c r="E65" s="3602"/>
      <c r="F65" s="3602"/>
      <c r="G65" s="3603"/>
      <c r="H65" s="3560"/>
      <c r="I65" s="3604"/>
      <c r="J65" s="3605"/>
      <c r="K65" s="3606"/>
      <c r="L65" s="3605"/>
      <c r="M65" s="3605"/>
      <c r="N65" s="3607"/>
      <c r="O65" s="3559"/>
      <c r="P65" s="1341"/>
    </row>
    <row r="66" spans="2:16" ht="15" customHeight="1" x14ac:dyDescent="0.25">
      <c r="B66" s="1341"/>
      <c r="C66" s="3557"/>
      <c r="D66" s="3601"/>
      <c r="E66" s="3602"/>
      <c r="F66" s="3602"/>
      <c r="G66" s="3603"/>
      <c r="H66" s="3560"/>
      <c r="I66" s="3608"/>
      <c r="J66" s="3609"/>
      <c r="K66" s="3610"/>
      <c r="L66" s="3609"/>
      <c r="M66" s="3609"/>
      <c r="N66" s="3611"/>
      <c r="O66" s="3559"/>
      <c r="P66" s="1341"/>
    </row>
    <row r="67" spans="2:16" ht="15" customHeight="1" x14ac:dyDescent="0.25">
      <c r="B67" s="1341"/>
      <c r="C67" s="3557"/>
      <c r="D67" s="3601"/>
      <c r="E67" s="3602"/>
      <c r="F67" s="3602"/>
      <c r="G67" s="3603"/>
      <c r="H67" s="3560"/>
      <c r="I67" s="3604"/>
      <c r="J67" s="3605"/>
      <c r="K67" s="3612"/>
      <c r="L67" s="3605"/>
      <c r="M67" s="3605"/>
      <c r="N67" s="3613"/>
      <c r="O67" s="3559"/>
      <c r="P67" s="1341"/>
    </row>
    <row r="68" spans="2:16" ht="15" customHeight="1" x14ac:dyDescent="0.25">
      <c r="B68" s="1341"/>
      <c r="C68" s="3557"/>
      <c r="D68" s="3601"/>
      <c r="E68" s="3602"/>
      <c r="F68" s="3602"/>
      <c r="G68" s="3603"/>
      <c r="H68" s="3560"/>
      <c r="I68" s="3614"/>
      <c r="J68" s="3615"/>
      <c r="K68" s="3615"/>
      <c r="L68" s="3615"/>
      <c r="M68" s="3615"/>
      <c r="N68" s="3616"/>
      <c r="O68" s="3559"/>
      <c r="P68" s="1341"/>
    </row>
    <row r="69" spans="2:16" ht="15" customHeight="1" x14ac:dyDescent="0.25">
      <c r="B69" s="1855"/>
      <c r="C69" s="3557"/>
      <c r="D69" s="3617"/>
      <c r="E69" s="3593"/>
      <c r="F69" s="3593"/>
      <c r="G69" s="3594"/>
      <c r="H69" s="3560"/>
      <c r="I69" s="7119"/>
      <c r="J69" s="7120"/>
      <c r="K69" s="3612"/>
      <c r="L69" s="7120"/>
      <c r="M69" s="7120"/>
      <c r="N69" s="3613"/>
      <c r="O69" s="3559"/>
      <c r="P69" s="1855"/>
    </row>
    <row r="70" spans="2:16" x14ac:dyDescent="0.25">
      <c r="B70" s="1364"/>
      <c r="C70" s="3618"/>
      <c r="D70" s="3619"/>
      <c r="E70" s="3620"/>
      <c r="F70" s="3620"/>
      <c r="G70" s="3621"/>
      <c r="H70" s="3622"/>
      <c r="I70" s="7149"/>
      <c r="J70" s="7150"/>
      <c r="K70" s="5259"/>
      <c r="L70" s="5259"/>
      <c r="M70" s="5259"/>
      <c r="N70" s="3623"/>
      <c r="O70" s="3624"/>
      <c r="P70" s="1364"/>
    </row>
    <row r="71" spans="2:16" x14ac:dyDescent="0.25">
      <c r="B71" s="1364"/>
      <c r="C71" s="3557"/>
      <c r="D71" s="3601"/>
      <c r="E71" s="3602"/>
      <c r="F71" s="3602"/>
      <c r="G71" s="3603"/>
      <c r="H71" s="3560"/>
      <c r="I71" s="7122"/>
      <c r="J71" s="7123"/>
      <c r="K71" s="5258"/>
      <c r="L71" s="5258"/>
      <c r="M71" s="5258"/>
      <c r="N71" s="3625"/>
      <c r="O71" s="3559"/>
      <c r="P71" s="1364"/>
    </row>
    <row r="72" spans="2:16" x14ac:dyDescent="0.25">
      <c r="B72" s="1364"/>
      <c r="C72" s="3557"/>
      <c r="D72" s="3601"/>
      <c r="E72" s="3626"/>
      <c r="F72" s="3626"/>
      <c r="G72" s="3627"/>
      <c r="H72" s="3560"/>
      <c r="I72" s="3628"/>
      <c r="J72" s="3629"/>
      <c r="K72" s="3629"/>
      <c r="L72" s="3629"/>
      <c r="M72" s="3629"/>
      <c r="N72" s="3630"/>
      <c r="O72" s="3559"/>
      <c r="P72" s="1364"/>
    </row>
    <row r="73" spans="2:16" x14ac:dyDescent="0.25">
      <c r="B73" s="1364"/>
      <c r="C73" s="3557"/>
      <c r="D73" s="3631"/>
      <c r="E73" s="3632"/>
      <c r="F73" s="3632"/>
      <c r="G73" s="3633"/>
      <c r="H73" s="3560"/>
      <c r="I73" s="3634"/>
      <c r="J73" s="3635"/>
      <c r="K73" s="3635"/>
      <c r="L73" s="3635"/>
      <c r="M73" s="3635"/>
      <c r="N73" s="3636"/>
      <c r="O73" s="3559"/>
      <c r="P73" s="1364"/>
    </row>
    <row r="74" spans="2:16" ht="16.5" thickBot="1" x14ac:dyDescent="0.3">
      <c r="B74" s="1364"/>
      <c r="C74" s="3637"/>
      <c r="D74" s="3638"/>
      <c r="E74" s="3639"/>
      <c r="F74" s="3639"/>
      <c r="G74" s="3639"/>
      <c r="H74" s="3639"/>
      <c r="I74" s="3639"/>
      <c r="J74" s="3639"/>
      <c r="K74" s="3639"/>
      <c r="L74" s="3639"/>
      <c r="M74" s="3639"/>
      <c r="N74" s="3639"/>
      <c r="O74" s="3640"/>
      <c r="P74" s="1364"/>
    </row>
    <row r="75" spans="2:16" ht="25.5" customHeight="1" thickBot="1" x14ac:dyDescent="0.3">
      <c r="B75" s="1364"/>
      <c r="C75" s="1364"/>
      <c r="D75" s="1864" t="s">
        <v>3100</v>
      </c>
      <c r="E75" s="1861"/>
      <c r="F75" s="1364"/>
      <c r="G75" s="1364"/>
      <c r="H75" s="1364"/>
      <c r="I75" s="1364"/>
      <c r="J75" s="1364"/>
      <c r="K75" s="1364"/>
      <c r="L75" s="1364"/>
      <c r="M75" s="1861"/>
      <c r="N75" s="1364"/>
      <c r="O75" s="1364"/>
      <c r="P75" s="1364"/>
    </row>
    <row r="76" spans="2:16" x14ac:dyDescent="0.25">
      <c r="B76" s="1341"/>
      <c r="C76" s="3554"/>
      <c r="D76" s="3555"/>
      <c r="E76" s="3555"/>
      <c r="F76" s="3555"/>
      <c r="G76" s="3555"/>
      <c r="H76" s="3555"/>
      <c r="I76" s="3555"/>
      <c r="J76" s="3555"/>
      <c r="K76" s="3555"/>
      <c r="L76" s="3555"/>
      <c r="M76" s="3555"/>
      <c r="N76" s="3555"/>
      <c r="O76" s="3556"/>
      <c r="P76" s="1341"/>
    </row>
    <row r="77" spans="2:16" ht="28.5" customHeight="1" x14ac:dyDescent="0.25">
      <c r="B77" s="1341"/>
      <c r="C77" s="3557"/>
      <c r="D77" s="3558"/>
      <c r="E77" s="7157"/>
      <c r="F77" s="7158"/>
      <c r="G77" s="7158"/>
      <c r="H77" s="7158"/>
      <c r="I77" s="7158"/>
      <c r="J77" s="7158"/>
      <c r="K77" s="7158"/>
      <c r="L77" s="7158"/>
      <c r="M77" s="7158"/>
      <c r="N77" s="7159"/>
      <c r="O77" s="3559"/>
      <c r="P77" s="1341"/>
    </row>
    <row r="78" spans="2:16" ht="14.25" customHeight="1" x14ac:dyDescent="0.25">
      <c r="B78" s="1341"/>
      <c r="C78" s="3557"/>
      <c r="D78" s="3560"/>
      <c r="E78" s="3560"/>
      <c r="F78" s="3560"/>
      <c r="G78" s="3560"/>
      <c r="H78" s="3560"/>
      <c r="I78" s="3560"/>
      <c r="J78" s="3560"/>
      <c r="K78" s="3560"/>
      <c r="L78" s="3560"/>
      <c r="M78" s="3560"/>
      <c r="N78" s="3560"/>
      <c r="O78" s="3559"/>
      <c r="P78" s="1341"/>
    </row>
    <row r="79" spans="2:16" ht="15" customHeight="1" x14ac:dyDescent="0.25">
      <c r="B79" s="1341"/>
      <c r="C79" s="3557"/>
      <c r="D79" s="7160"/>
      <c r="E79" s="7161"/>
      <c r="F79" s="7161"/>
      <c r="G79" s="7162"/>
      <c r="H79" s="3560"/>
      <c r="I79" s="7163"/>
      <c r="J79" s="7164"/>
      <c r="K79" s="7164"/>
      <c r="L79" s="7164"/>
      <c r="M79" s="7164"/>
      <c r="N79" s="7165"/>
      <c r="O79" s="3559"/>
      <c r="P79" s="1341"/>
    </row>
    <row r="80" spans="2:16" ht="15.75" x14ac:dyDescent="0.25">
      <c r="B80" s="1341"/>
      <c r="C80" s="3557"/>
      <c r="D80" s="3561"/>
      <c r="E80" s="3562"/>
      <c r="F80" s="3562"/>
      <c r="G80" s="3563"/>
      <c r="H80" s="3560"/>
      <c r="I80" s="3564"/>
      <c r="J80" s="3565"/>
      <c r="K80" s="3566"/>
      <c r="L80" s="3567"/>
      <c r="M80" s="3565"/>
      <c r="N80" s="3568"/>
      <c r="O80" s="3559"/>
      <c r="P80" s="1341"/>
    </row>
    <row r="81" spans="2:16" x14ac:dyDescent="0.25">
      <c r="B81" s="1341"/>
      <c r="C81" s="3557"/>
      <c r="D81" s="3569"/>
      <c r="E81" s="3570"/>
      <c r="F81" s="3570"/>
      <c r="G81" s="3571"/>
      <c r="H81" s="3560"/>
      <c r="I81" s="3572"/>
      <c r="J81" s="3573"/>
      <c r="K81" s="3573"/>
      <c r="L81" s="3573"/>
      <c r="M81" s="3573"/>
      <c r="N81" s="3574"/>
      <c r="O81" s="3559"/>
      <c r="P81" s="1341"/>
    </row>
    <row r="82" spans="2:16" x14ac:dyDescent="0.25">
      <c r="B82" s="1352"/>
      <c r="C82" s="3575"/>
      <c r="D82" s="3576"/>
      <c r="E82" s="3577"/>
      <c r="F82" s="3577"/>
      <c r="G82" s="3578"/>
      <c r="H82" s="3560"/>
      <c r="I82" s="3579"/>
      <c r="J82" s="3580"/>
      <c r="K82" s="3581"/>
      <c r="L82" s="3580"/>
      <c r="M82" s="3581"/>
      <c r="N82" s="3582"/>
      <c r="O82" s="3583"/>
      <c r="P82" s="1352"/>
    </row>
    <row r="83" spans="2:16" x14ac:dyDescent="0.25">
      <c r="B83" s="1341"/>
      <c r="C83" s="3575"/>
      <c r="D83" s="3576"/>
      <c r="E83" s="3577"/>
      <c r="F83" s="3577"/>
      <c r="G83" s="3578"/>
      <c r="H83" s="3584"/>
      <c r="I83" s="3585"/>
      <c r="J83" s="3586"/>
      <c r="K83" s="3581"/>
      <c r="L83" s="3586"/>
      <c r="M83" s="3581"/>
      <c r="N83" s="3582"/>
      <c r="O83" s="3583"/>
      <c r="P83" s="1341"/>
    </row>
    <row r="84" spans="2:16" x14ac:dyDescent="0.25">
      <c r="B84" s="1341"/>
      <c r="C84" s="3557"/>
      <c r="D84" s="3587"/>
      <c r="E84" s="3588"/>
      <c r="F84" s="3588"/>
      <c r="G84" s="3589"/>
      <c r="H84" s="3560"/>
      <c r="I84" s="3585"/>
      <c r="J84" s="3586"/>
      <c r="K84" s="3581"/>
      <c r="L84" s="3586"/>
      <c r="M84" s="3581"/>
      <c r="N84" s="3582"/>
      <c r="O84" s="3559"/>
      <c r="P84" s="1341"/>
    </row>
    <row r="85" spans="2:16" ht="14.25" customHeight="1" x14ac:dyDescent="0.25">
      <c r="B85" s="1341"/>
      <c r="C85" s="3557"/>
      <c r="D85" s="3560"/>
      <c r="E85" s="3560"/>
      <c r="F85" s="3560"/>
      <c r="G85" s="3560"/>
      <c r="H85" s="3560"/>
      <c r="I85" s="3585"/>
      <c r="J85" s="3586"/>
      <c r="K85" s="3581"/>
      <c r="L85" s="3586"/>
      <c r="M85" s="3581"/>
      <c r="N85" s="3582"/>
      <c r="O85" s="3559"/>
      <c r="P85" s="1341"/>
    </row>
    <row r="86" spans="2:16" ht="15.75" x14ac:dyDescent="0.25">
      <c r="B86" s="1341"/>
      <c r="C86" s="3557"/>
      <c r="D86" s="7166"/>
      <c r="E86" s="7167"/>
      <c r="F86" s="7167"/>
      <c r="G86" s="7168"/>
      <c r="H86" s="3560"/>
      <c r="I86" s="3585"/>
      <c r="J86" s="3586"/>
      <c r="K86" s="3581"/>
      <c r="L86" s="3590"/>
      <c r="M86" s="3590"/>
      <c r="N86" s="3591"/>
      <c r="O86" s="3559"/>
      <c r="P86" s="1341"/>
    </row>
    <row r="87" spans="2:16" ht="15.75" x14ac:dyDescent="0.25">
      <c r="B87" s="1341"/>
      <c r="C87" s="3557"/>
      <c r="D87" s="3592"/>
      <c r="E87" s="3593"/>
      <c r="F87" s="3593"/>
      <c r="G87" s="3594"/>
      <c r="H87" s="3560"/>
      <c r="I87" s="3585"/>
      <c r="J87" s="3586"/>
      <c r="K87" s="3581"/>
      <c r="L87" s="3590"/>
      <c r="M87" s="3590"/>
      <c r="N87" s="3591"/>
      <c r="O87" s="3559"/>
      <c r="P87" s="1341"/>
    </row>
    <row r="88" spans="2:16" x14ac:dyDescent="0.25">
      <c r="B88" s="1341"/>
      <c r="C88" s="3557"/>
      <c r="D88" s="3595"/>
      <c r="E88" s="3596"/>
      <c r="F88" s="3596"/>
      <c r="G88" s="3597"/>
      <c r="H88" s="3560"/>
      <c r="I88" s="3585"/>
      <c r="J88" s="3598"/>
      <c r="K88" s="3599"/>
      <c r="L88" s="3600"/>
      <c r="M88" s="3600"/>
      <c r="N88" s="3591"/>
      <c r="O88" s="3559"/>
      <c r="P88" s="1341"/>
    </row>
    <row r="89" spans="2:16" x14ac:dyDescent="0.25">
      <c r="B89" s="1341"/>
      <c r="C89" s="3557"/>
      <c r="D89" s="3601"/>
      <c r="E89" s="3602"/>
      <c r="F89" s="3602"/>
      <c r="G89" s="3603"/>
      <c r="H89" s="3560"/>
      <c r="I89" s="3604"/>
      <c r="J89" s="3605"/>
      <c r="K89" s="3606"/>
      <c r="L89" s="3605"/>
      <c r="M89" s="3605"/>
      <c r="N89" s="3607"/>
      <c r="O89" s="3559"/>
      <c r="P89" s="1341"/>
    </row>
    <row r="90" spans="2:16" ht="15.75" x14ac:dyDescent="0.25">
      <c r="B90" s="1341"/>
      <c r="C90" s="3557"/>
      <c r="D90" s="3601"/>
      <c r="E90" s="3602"/>
      <c r="F90" s="3602"/>
      <c r="G90" s="3603"/>
      <c r="H90" s="3560"/>
      <c r="I90" s="3608"/>
      <c r="J90" s="3609"/>
      <c r="K90" s="3610"/>
      <c r="L90" s="3609"/>
      <c r="M90" s="3609"/>
      <c r="N90" s="3611"/>
      <c r="O90" s="3559"/>
      <c r="P90" s="1341"/>
    </row>
    <row r="91" spans="2:16" ht="15" customHeight="1" x14ac:dyDescent="0.25">
      <c r="B91" s="1341"/>
      <c r="C91" s="3557"/>
      <c r="D91" s="3601"/>
      <c r="E91" s="3602"/>
      <c r="F91" s="3602"/>
      <c r="G91" s="3603"/>
      <c r="H91" s="3560"/>
      <c r="I91" s="3604"/>
      <c r="J91" s="3605"/>
      <c r="K91" s="3612"/>
      <c r="L91" s="3605"/>
      <c r="M91" s="3605"/>
      <c r="N91" s="3613"/>
      <c r="O91" s="3559"/>
      <c r="P91" s="1341"/>
    </row>
    <row r="92" spans="2:16" ht="15" customHeight="1" x14ac:dyDescent="0.25">
      <c r="B92" s="1341"/>
      <c r="C92" s="3557"/>
      <c r="D92" s="3601"/>
      <c r="E92" s="3602"/>
      <c r="F92" s="3602"/>
      <c r="G92" s="3603"/>
      <c r="H92" s="3560"/>
      <c r="I92" s="3614"/>
      <c r="J92" s="3615"/>
      <c r="K92" s="3615"/>
      <c r="L92" s="3615"/>
      <c r="M92" s="3615"/>
      <c r="N92" s="3616"/>
      <c r="O92" s="3559"/>
      <c r="P92" s="1341"/>
    </row>
    <row r="93" spans="2:16" ht="15" customHeight="1" x14ac:dyDescent="0.25">
      <c r="B93" s="1855"/>
      <c r="C93" s="3557"/>
      <c r="D93" s="3617"/>
      <c r="E93" s="3593"/>
      <c r="F93" s="3593"/>
      <c r="G93" s="3594"/>
      <c r="H93" s="3560"/>
      <c r="I93" s="7119"/>
      <c r="J93" s="7120"/>
      <c r="K93" s="3612"/>
      <c r="L93" s="7120"/>
      <c r="M93" s="7120"/>
      <c r="N93" s="3613"/>
      <c r="O93" s="3559"/>
      <c r="P93" s="1855"/>
    </row>
    <row r="94" spans="2:16" x14ac:dyDescent="0.25">
      <c r="B94" s="1364"/>
      <c r="C94" s="3618"/>
      <c r="D94" s="3619"/>
      <c r="E94" s="3620"/>
      <c r="F94" s="3620"/>
      <c r="G94" s="3621"/>
      <c r="H94" s="3622"/>
      <c r="I94" s="7149"/>
      <c r="J94" s="7150"/>
      <c r="K94" s="5257"/>
      <c r="L94" s="5257"/>
      <c r="M94" s="5257"/>
      <c r="N94" s="3623"/>
      <c r="O94" s="3624"/>
      <c r="P94" s="1364"/>
    </row>
    <row r="95" spans="2:16" x14ac:dyDescent="0.25">
      <c r="B95" s="1364"/>
      <c r="C95" s="3557"/>
      <c r="D95" s="3601"/>
      <c r="E95" s="3602"/>
      <c r="F95" s="3602"/>
      <c r="G95" s="3603"/>
      <c r="H95" s="3560"/>
      <c r="I95" s="7122"/>
      <c r="J95" s="7123"/>
      <c r="K95" s="5256"/>
      <c r="L95" s="5256"/>
      <c r="M95" s="5256"/>
      <c r="N95" s="3625"/>
      <c r="O95" s="3559"/>
      <c r="P95" s="1364"/>
    </row>
    <row r="96" spans="2:16" x14ac:dyDescent="0.25">
      <c r="B96" s="1364"/>
      <c r="C96" s="3557"/>
      <c r="D96" s="3601"/>
      <c r="E96" s="3626"/>
      <c r="F96" s="3626"/>
      <c r="G96" s="3627"/>
      <c r="H96" s="3560"/>
      <c r="I96" s="3628"/>
      <c r="J96" s="3629"/>
      <c r="K96" s="3629"/>
      <c r="L96" s="3629"/>
      <c r="M96" s="3629"/>
      <c r="N96" s="3630"/>
      <c r="O96" s="3559"/>
      <c r="P96" s="1364"/>
    </row>
    <row r="97" spans="2:16" x14ac:dyDescent="0.25">
      <c r="B97" s="1364"/>
      <c r="C97" s="3557"/>
      <c r="D97" s="3631"/>
      <c r="E97" s="3632"/>
      <c r="F97" s="3632"/>
      <c r="G97" s="3633"/>
      <c r="H97" s="3560"/>
      <c r="I97" s="3634"/>
      <c r="J97" s="3635"/>
      <c r="K97" s="3635"/>
      <c r="L97" s="3635"/>
      <c r="M97" s="3635"/>
      <c r="N97" s="3636"/>
      <c r="O97" s="3559"/>
      <c r="P97" s="1364"/>
    </row>
    <row r="98" spans="2:16" ht="16.5" thickBot="1" x14ac:dyDescent="0.3">
      <c r="B98" s="1364"/>
      <c r="C98" s="3637"/>
      <c r="D98" s="3638"/>
      <c r="E98" s="3639"/>
      <c r="F98" s="3639"/>
      <c r="G98" s="3639"/>
      <c r="H98" s="3639"/>
      <c r="I98" s="3639"/>
      <c r="J98" s="3639"/>
      <c r="K98" s="3639"/>
      <c r="L98" s="3639"/>
      <c r="M98" s="3639"/>
      <c r="N98" s="3639"/>
      <c r="O98" s="3640"/>
      <c r="P98" s="1364"/>
    </row>
    <row r="99" spans="2:16" ht="25.5" customHeight="1" thickBot="1" x14ac:dyDescent="0.3">
      <c r="B99" s="1364"/>
      <c r="C99" s="1364"/>
      <c r="D99" s="1864" t="s">
        <v>1933</v>
      </c>
      <c r="E99" s="1861"/>
      <c r="F99" s="1364"/>
      <c r="G99" s="1364"/>
      <c r="H99" s="1364"/>
      <c r="I99" s="1364"/>
      <c r="J99" s="1364"/>
      <c r="K99" s="1364"/>
      <c r="L99" s="1364"/>
      <c r="M99" s="1861"/>
      <c r="N99" s="1364"/>
      <c r="O99" s="1364"/>
      <c r="P99" s="1364"/>
    </row>
    <row r="100" spans="2:16" x14ac:dyDescent="0.25">
      <c r="B100" s="1341"/>
      <c r="C100" s="3554"/>
      <c r="D100" s="3555"/>
      <c r="E100" s="3555"/>
      <c r="F100" s="3555"/>
      <c r="G100" s="3555"/>
      <c r="H100" s="3555"/>
      <c r="I100" s="3555"/>
      <c r="J100" s="3555"/>
      <c r="K100" s="3555"/>
      <c r="L100" s="3555"/>
      <c r="M100" s="3555"/>
      <c r="N100" s="3555"/>
      <c r="O100" s="3556"/>
      <c r="P100" s="1341"/>
    </row>
    <row r="101" spans="2:16" ht="28.5" customHeight="1" x14ac:dyDescent="0.25">
      <c r="B101" s="1341"/>
      <c r="C101" s="3557"/>
      <c r="D101" s="3641"/>
      <c r="E101" s="7157"/>
      <c r="F101" s="7158"/>
      <c r="G101" s="7158"/>
      <c r="H101" s="7158"/>
      <c r="I101" s="7158"/>
      <c r="J101" s="7158"/>
      <c r="K101" s="7158"/>
      <c r="L101" s="7158"/>
      <c r="M101" s="7158"/>
      <c r="N101" s="7159"/>
      <c r="O101" s="3559"/>
      <c r="P101" s="1341"/>
    </row>
    <row r="102" spans="2:16" ht="12.75" customHeight="1" x14ac:dyDescent="0.25">
      <c r="B102" s="1341"/>
      <c r="C102" s="3557"/>
      <c r="D102" s="3560"/>
      <c r="E102" s="3560"/>
      <c r="F102" s="3560"/>
      <c r="G102" s="3560"/>
      <c r="H102" s="3560"/>
      <c r="I102" s="3560"/>
      <c r="J102" s="3560"/>
      <c r="K102" s="3560"/>
      <c r="L102" s="3560"/>
      <c r="M102" s="3560"/>
      <c r="N102" s="3560"/>
      <c r="O102" s="3559"/>
      <c r="P102" s="1341"/>
    </row>
    <row r="103" spans="2:16" ht="15" customHeight="1" x14ac:dyDescent="0.25">
      <c r="B103" s="1341"/>
      <c r="C103" s="3557"/>
      <c r="D103" s="7160"/>
      <c r="E103" s="7161"/>
      <c r="F103" s="7161"/>
      <c r="G103" s="7162"/>
      <c r="H103" s="3560"/>
      <c r="I103" s="7163"/>
      <c r="J103" s="7164"/>
      <c r="K103" s="7164"/>
      <c r="L103" s="7164"/>
      <c r="M103" s="7164"/>
      <c r="N103" s="7165"/>
      <c r="O103" s="3559"/>
      <c r="P103" s="1341"/>
    </row>
    <row r="104" spans="2:16" ht="15.75" x14ac:dyDescent="0.25">
      <c r="B104" s="1341"/>
      <c r="C104" s="3557"/>
      <c r="D104" s="3561"/>
      <c r="E104" s="3562"/>
      <c r="F104" s="3562"/>
      <c r="G104" s="3563"/>
      <c r="H104" s="3560"/>
      <c r="I104" s="3564"/>
      <c r="J104" s="3565"/>
      <c r="K104" s="3566"/>
      <c r="L104" s="3567"/>
      <c r="M104" s="3565"/>
      <c r="N104" s="3568"/>
      <c r="O104" s="3559"/>
      <c r="P104" s="1341"/>
    </row>
    <row r="105" spans="2:16" x14ac:dyDescent="0.25">
      <c r="B105" s="1341"/>
      <c r="C105" s="3557"/>
      <c r="D105" s="3569"/>
      <c r="E105" s="3570"/>
      <c r="F105" s="3570"/>
      <c r="G105" s="3571"/>
      <c r="H105" s="3560"/>
      <c r="I105" s="3572"/>
      <c r="J105" s="3573"/>
      <c r="K105" s="3573"/>
      <c r="L105" s="3573"/>
      <c r="M105" s="3573"/>
      <c r="N105" s="3574"/>
      <c r="O105" s="3559"/>
      <c r="P105" s="1341"/>
    </row>
    <row r="106" spans="2:16" x14ac:dyDescent="0.25">
      <c r="B106" s="1352"/>
      <c r="C106" s="3575"/>
      <c r="D106" s="3576"/>
      <c r="E106" s="3577"/>
      <c r="F106" s="3577"/>
      <c r="G106" s="3578"/>
      <c r="H106" s="3560"/>
      <c r="I106" s="3579"/>
      <c r="J106" s="3580"/>
      <c r="K106" s="3581"/>
      <c r="L106" s="3580"/>
      <c r="M106" s="3581"/>
      <c r="N106" s="3582"/>
      <c r="O106" s="3583"/>
      <c r="P106" s="1352"/>
    </row>
    <row r="107" spans="2:16" x14ac:dyDescent="0.25">
      <c r="B107" s="1341"/>
      <c r="C107" s="3575"/>
      <c r="D107" s="3576"/>
      <c r="E107" s="3577"/>
      <c r="F107" s="3577"/>
      <c r="G107" s="3578"/>
      <c r="H107" s="3584"/>
      <c r="I107" s="3585"/>
      <c r="J107" s="3586"/>
      <c r="K107" s="3581"/>
      <c r="L107" s="3586"/>
      <c r="M107" s="3581"/>
      <c r="N107" s="3582"/>
      <c r="O107" s="3583"/>
      <c r="P107" s="1341"/>
    </row>
    <row r="108" spans="2:16" x14ac:dyDescent="0.25">
      <c r="B108" s="1341"/>
      <c r="C108" s="3557"/>
      <c r="D108" s="3587"/>
      <c r="E108" s="3588"/>
      <c r="F108" s="3588"/>
      <c r="G108" s="3589"/>
      <c r="H108" s="3560"/>
      <c r="I108" s="3585"/>
      <c r="J108" s="3586"/>
      <c r="K108" s="3581"/>
      <c r="L108" s="3586"/>
      <c r="M108" s="3581"/>
      <c r="N108" s="3582"/>
      <c r="O108" s="3559"/>
      <c r="P108" s="1341"/>
    </row>
    <row r="109" spans="2:16" ht="14.25" customHeight="1" x14ac:dyDescent="0.25">
      <c r="B109" s="1341"/>
      <c r="C109" s="3557"/>
      <c r="D109" s="3560"/>
      <c r="E109" s="3560"/>
      <c r="F109" s="3560"/>
      <c r="G109" s="3560"/>
      <c r="H109" s="3560"/>
      <c r="I109" s="3585"/>
      <c r="J109" s="3586"/>
      <c r="K109" s="3581"/>
      <c r="L109" s="3586"/>
      <c r="M109" s="3581"/>
      <c r="N109" s="3582"/>
      <c r="O109" s="3559"/>
      <c r="P109" s="1341"/>
    </row>
    <row r="110" spans="2:16" ht="15.75" x14ac:dyDescent="0.25">
      <c r="B110" s="1341"/>
      <c r="C110" s="3557"/>
      <c r="D110" s="7166"/>
      <c r="E110" s="7167"/>
      <c r="F110" s="7167"/>
      <c r="G110" s="7168"/>
      <c r="H110" s="3560"/>
      <c r="I110" s="3585"/>
      <c r="J110" s="3586"/>
      <c r="K110" s="3581"/>
      <c r="L110" s="3590"/>
      <c r="M110" s="3590"/>
      <c r="N110" s="3591"/>
      <c r="O110" s="3559"/>
      <c r="P110" s="1341"/>
    </row>
    <row r="111" spans="2:16" ht="15.75" x14ac:dyDescent="0.25">
      <c r="B111" s="1341"/>
      <c r="C111" s="3557"/>
      <c r="D111" s="3592"/>
      <c r="E111" s="3593"/>
      <c r="F111" s="3593"/>
      <c r="G111" s="3594"/>
      <c r="H111" s="3560"/>
      <c r="I111" s="3585"/>
      <c r="J111" s="3586"/>
      <c r="K111" s="3581"/>
      <c r="L111" s="3590"/>
      <c r="M111" s="3590"/>
      <c r="N111" s="3591"/>
      <c r="O111" s="3559"/>
      <c r="P111" s="1341"/>
    </row>
    <row r="112" spans="2:16" x14ac:dyDescent="0.25">
      <c r="B112" s="1341"/>
      <c r="C112" s="3557"/>
      <c r="D112" s="3595"/>
      <c r="E112" s="3596"/>
      <c r="F112" s="3596"/>
      <c r="G112" s="3597"/>
      <c r="H112" s="3560"/>
      <c r="I112" s="3585"/>
      <c r="J112" s="3598"/>
      <c r="K112" s="3599"/>
      <c r="L112" s="3600"/>
      <c r="M112" s="3600"/>
      <c r="N112" s="3591"/>
      <c r="O112" s="3559"/>
      <c r="P112" s="1341"/>
    </row>
    <row r="113" spans="2:16" x14ac:dyDescent="0.25">
      <c r="B113" s="1341"/>
      <c r="C113" s="3557"/>
      <c r="D113" s="3601"/>
      <c r="E113" s="3602"/>
      <c r="F113" s="3602"/>
      <c r="G113" s="3603"/>
      <c r="H113" s="3560"/>
      <c r="I113" s="3604"/>
      <c r="J113" s="3605"/>
      <c r="K113" s="3606"/>
      <c r="L113" s="3605"/>
      <c r="M113" s="3605"/>
      <c r="N113" s="3607"/>
      <c r="O113" s="3559"/>
      <c r="P113" s="1341"/>
    </row>
    <row r="114" spans="2:16" ht="15.75" x14ac:dyDescent="0.25">
      <c r="B114" s="1341"/>
      <c r="C114" s="3557"/>
      <c r="D114" s="3601"/>
      <c r="E114" s="3602"/>
      <c r="F114" s="3602"/>
      <c r="G114" s="3603"/>
      <c r="H114" s="3560"/>
      <c r="I114" s="3608"/>
      <c r="J114" s="3609"/>
      <c r="K114" s="3610"/>
      <c r="L114" s="3609"/>
      <c r="M114" s="3609"/>
      <c r="N114" s="3611"/>
      <c r="O114" s="3559"/>
      <c r="P114" s="1341"/>
    </row>
    <row r="115" spans="2:16" ht="15" customHeight="1" x14ac:dyDescent="0.25">
      <c r="B115" s="1341"/>
      <c r="C115" s="3557"/>
      <c r="D115" s="3601"/>
      <c r="E115" s="3602"/>
      <c r="F115" s="3602"/>
      <c r="G115" s="3603"/>
      <c r="H115" s="3560"/>
      <c r="I115" s="3604"/>
      <c r="J115" s="3605"/>
      <c r="K115" s="3612"/>
      <c r="L115" s="3605"/>
      <c r="M115" s="3605"/>
      <c r="N115" s="3613"/>
      <c r="O115" s="3559"/>
      <c r="P115" s="1341"/>
    </row>
    <row r="116" spans="2:16" ht="15" customHeight="1" x14ac:dyDescent="0.25">
      <c r="B116" s="1341"/>
      <c r="C116" s="3557"/>
      <c r="D116" s="3601"/>
      <c r="E116" s="3602"/>
      <c r="F116" s="3602"/>
      <c r="G116" s="3603"/>
      <c r="H116" s="3560"/>
      <c r="I116" s="3614"/>
      <c r="J116" s="3615"/>
      <c r="K116" s="3615"/>
      <c r="L116" s="3615"/>
      <c r="M116" s="3615"/>
      <c r="N116" s="3616"/>
      <c r="O116" s="3559"/>
      <c r="P116" s="1341"/>
    </row>
    <row r="117" spans="2:16" ht="15" customHeight="1" x14ac:dyDescent="0.25">
      <c r="B117" s="1855"/>
      <c r="C117" s="3557"/>
      <c r="D117" s="3617"/>
      <c r="E117" s="3593"/>
      <c r="F117" s="3593"/>
      <c r="G117" s="3594"/>
      <c r="H117" s="3560"/>
      <c r="I117" s="7119"/>
      <c r="J117" s="7120"/>
      <c r="K117" s="3612"/>
      <c r="L117" s="7120"/>
      <c r="M117" s="7120"/>
      <c r="N117" s="3613"/>
      <c r="O117" s="3559"/>
      <c r="P117" s="1855"/>
    </row>
    <row r="118" spans="2:16" x14ac:dyDescent="0.25">
      <c r="B118" s="1364"/>
      <c r="C118" s="3618"/>
      <c r="D118" s="3619"/>
      <c r="E118" s="3620"/>
      <c r="F118" s="3620"/>
      <c r="G118" s="3621"/>
      <c r="H118" s="3622"/>
      <c r="I118" s="7149"/>
      <c r="J118" s="7150"/>
      <c r="K118" s="5257"/>
      <c r="L118" s="5257"/>
      <c r="M118" s="5257"/>
      <c r="N118" s="3623"/>
      <c r="O118" s="3624"/>
      <c r="P118" s="1364"/>
    </row>
    <row r="119" spans="2:16" x14ac:dyDescent="0.25">
      <c r="B119" s="1364"/>
      <c r="C119" s="3557"/>
      <c r="D119" s="3601"/>
      <c r="E119" s="3602"/>
      <c r="F119" s="3602"/>
      <c r="G119" s="3603"/>
      <c r="H119" s="3560"/>
      <c r="I119" s="7122"/>
      <c r="J119" s="7123"/>
      <c r="K119" s="5256"/>
      <c r="L119" s="5256"/>
      <c r="M119" s="5256"/>
      <c r="N119" s="3625"/>
      <c r="O119" s="3559"/>
      <c r="P119" s="1364"/>
    </row>
    <row r="120" spans="2:16" x14ac:dyDescent="0.25">
      <c r="B120" s="1364"/>
      <c r="C120" s="3557"/>
      <c r="D120" s="3601"/>
      <c r="E120" s="3626"/>
      <c r="F120" s="3626"/>
      <c r="G120" s="3627"/>
      <c r="H120" s="3560"/>
      <c r="I120" s="3628"/>
      <c r="J120" s="3629"/>
      <c r="K120" s="3629"/>
      <c r="L120" s="3629"/>
      <c r="M120" s="3629"/>
      <c r="N120" s="3630"/>
      <c r="O120" s="3559"/>
      <c r="P120" s="1364"/>
    </row>
    <row r="121" spans="2:16" x14ac:dyDescent="0.25">
      <c r="B121" s="1364"/>
      <c r="C121" s="3557"/>
      <c r="D121" s="3631"/>
      <c r="E121" s="3632"/>
      <c r="F121" s="3632"/>
      <c r="G121" s="3633"/>
      <c r="H121" s="3560"/>
      <c r="I121" s="3634"/>
      <c r="J121" s="3635"/>
      <c r="K121" s="3635"/>
      <c r="L121" s="3635"/>
      <c r="M121" s="3635"/>
      <c r="N121" s="3636"/>
      <c r="O121" s="3559"/>
      <c r="P121" s="1364"/>
    </row>
    <row r="122" spans="2:16" ht="16.5" thickBot="1" x14ac:dyDescent="0.3">
      <c r="B122" s="1364"/>
      <c r="C122" s="3637"/>
      <c r="D122" s="3638"/>
      <c r="E122" s="3639"/>
      <c r="F122" s="3639"/>
      <c r="G122" s="3639"/>
      <c r="H122" s="3639"/>
      <c r="I122" s="3639"/>
      <c r="J122" s="3639"/>
      <c r="K122" s="3639"/>
      <c r="L122" s="3639"/>
      <c r="M122" s="3639"/>
      <c r="N122" s="3639"/>
      <c r="O122" s="3640"/>
      <c r="P122" s="1364"/>
    </row>
    <row r="123" spans="2:16" ht="25.5" customHeight="1" thickBot="1" x14ac:dyDescent="0.3">
      <c r="B123" s="1364"/>
      <c r="C123" s="1364"/>
      <c r="D123" s="1864" t="s">
        <v>1934</v>
      </c>
      <c r="E123" s="1861"/>
      <c r="F123" s="1364"/>
      <c r="G123" s="1364"/>
      <c r="H123" s="1364"/>
      <c r="I123" s="1364"/>
      <c r="J123" s="1364"/>
      <c r="K123" s="1364"/>
      <c r="L123" s="1364"/>
      <c r="M123" s="1861"/>
      <c r="N123" s="1364"/>
      <c r="O123" s="1364"/>
      <c r="P123" s="1364"/>
    </row>
    <row r="124" spans="2:16" x14ac:dyDescent="0.25">
      <c r="B124" s="1341"/>
      <c r="C124" s="3554"/>
      <c r="D124" s="3555"/>
      <c r="E124" s="3555"/>
      <c r="F124" s="3555"/>
      <c r="G124" s="3555"/>
      <c r="H124" s="3555"/>
      <c r="I124" s="3555"/>
      <c r="J124" s="3555"/>
      <c r="K124" s="3555"/>
      <c r="L124" s="3555"/>
      <c r="M124" s="3555"/>
      <c r="N124" s="3555"/>
      <c r="O124" s="3556"/>
      <c r="P124" s="1341"/>
    </row>
    <row r="125" spans="2:16" ht="28.5" customHeight="1" x14ac:dyDescent="0.25">
      <c r="B125" s="1341"/>
      <c r="C125" s="3557"/>
      <c r="D125" s="3641"/>
      <c r="E125" s="7157"/>
      <c r="F125" s="7158"/>
      <c r="G125" s="7158"/>
      <c r="H125" s="7158"/>
      <c r="I125" s="7158"/>
      <c r="J125" s="7158"/>
      <c r="K125" s="7158"/>
      <c r="L125" s="7158"/>
      <c r="M125" s="7158"/>
      <c r="N125" s="7159"/>
      <c r="O125" s="3559"/>
      <c r="P125" s="1341"/>
    </row>
    <row r="126" spans="2:16" ht="14.25" customHeight="1" x14ac:dyDescent="0.25">
      <c r="B126" s="1341"/>
      <c r="C126" s="3557"/>
      <c r="D126" s="3560"/>
      <c r="E126" s="3560"/>
      <c r="F126" s="3560"/>
      <c r="G126" s="3560"/>
      <c r="H126" s="3560"/>
      <c r="I126" s="3560"/>
      <c r="J126" s="3560"/>
      <c r="K126" s="3560"/>
      <c r="L126" s="3560"/>
      <c r="M126" s="3560"/>
      <c r="N126" s="3560"/>
      <c r="O126" s="3559"/>
      <c r="P126" s="1341"/>
    </row>
    <row r="127" spans="2:16" ht="15" customHeight="1" x14ac:dyDescent="0.25">
      <c r="B127" s="1341"/>
      <c r="C127" s="3557"/>
      <c r="D127" s="7160"/>
      <c r="E127" s="7161"/>
      <c r="F127" s="7161"/>
      <c r="G127" s="7162"/>
      <c r="H127" s="3560"/>
      <c r="I127" s="7163"/>
      <c r="J127" s="7164"/>
      <c r="K127" s="7164"/>
      <c r="L127" s="7164"/>
      <c r="M127" s="7164"/>
      <c r="N127" s="7165"/>
      <c r="O127" s="3559"/>
      <c r="P127" s="1341"/>
    </row>
    <row r="128" spans="2:16" ht="15.75" x14ac:dyDescent="0.25">
      <c r="B128" s="1341"/>
      <c r="C128" s="3557"/>
      <c r="D128" s="3561"/>
      <c r="E128" s="3562"/>
      <c r="F128" s="3562"/>
      <c r="G128" s="3563"/>
      <c r="H128" s="3560"/>
      <c r="I128" s="3564"/>
      <c r="J128" s="3565"/>
      <c r="K128" s="3566"/>
      <c r="L128" s="3567"/>
      <c r="M128" s="3565"/>
      <c r="N128" s="3568"/>
      <c r="O128" s="3559"/>
      <c r="P128" s="1341"/>
    </row>
    <row r="129" spans="2:16" x14ac:dyDescent="0.25">
      <c r="B129" s="1341"/>
      <c r="C129" s="3557"/>
      <c r="D129" s="3569"/>
      <c r="E129" s="3570"/>
      <c r="F129" s="3570"/>
      <c r="G129" s="3571"/>
      <c r="H129" s="3560"/>
      <c r="I129" s="3572"/>
      <c r="J129" s="3573"/>
      <c r="K129" s="3573"/>
      <c r="L129" s="3573"/>
      <c r="M129" s="3573"/>
      <c r="N129" s="3574"/>
      <c r="O129" s="3559"/>
      <c r="P129" s="1341"/>
    </row>
    <row r="130" spans="2:16" x14ac:dyDescent="0.25">
      <c r="B130" s="1352"/>
      <c r="C130" s="3575"/>
      <c r="D130" s="3576"/>
      <c r="E130" s="3577"/>
      <c r="F130" s="3577"/>
      <c r="G130" s="3578"/>
      <c r="H130" s="3560"/>
      <c r="I130" s="3579"/>
      <c r="J130" s="3580"/>
      <c r="K130" s="3581"/>
      <c r="L130" s="3580"/>
      <c r="M130" s="3581"/>
      <c r="N130" s="3582"/>
      <c r="O130" s="3583"/>
      <c r="P130" s="1352"/>
    </row>
    <row r="131" spans="2:16" x14ac:dyDescent="0.25">
      <c r="B131" s="1341"/>
      <c r="C131" s="3575"/>
      <c r="D131" s="3576"/>
      <c r="E131" s="3577"/>
      <c r="F131" s="3577"/>
      <c r="G131" s="3578"/>
      <c r="H131" s="3584"/>
      <c r="I131" s="3585"/>
      <c r="J131" s="3586"/>
      <c r="K131" s="3581"/>
      <c r="L131" s="3586"/>
      <c r="M131" s="3581"/>
      <c r="N131" s="3582"/>
      <c r="O131" s="3583"/>
      <c r="P131" s="1341"/>
    </row>
    <row r="132" spans="2:16" x14ac:dyDescent="0.25">
      <c r="B132" s="1341"/>
      <c r="C132" s="3557"/>
      <c r="D132" s="3587"/>
      <c r="E132" s="3588"/>
      <c r="F132" s="3588"/>
      <c r="G132" s="3589"/>
      <c r="H132" s="3560"/>
      <c r="I132" s="3585"/>
      <c r="J132" s="3586"/>
      <c r="K132" s="3581"/>
      <c r="L132" s="3586"/>
      <c r="M132" s="3581"/>
      <c r="N132" s="3582"/>
      <c r="O132" s="3559"/>
      <c r="P132" s="1341"/>
    </row>
    <row r="133" spans="2:16" ht="14.25" customHeight="1" x14ac:dyDescent="0.25">
      <c r="B133" s="1341"/>
      <c r="C133" s="3557"/>
      <c r="D133" s="3560"/>
      <c r="E133" s="3560"/>
      <c r="F133" s="3560"/>
      <c r="G133" s="3560"/>
      <c r="H133" s="3560"/>
      <c r="I133" s="3585"/>
      <c r="J133" s="3586"/>
      <c r="K133" s="3581"/>
      <c r="L133" s="3586"/>
      <c r="M133" s="3581"/>
      <c r="N133" s="3582"/>
      <c r="O133" s="3559"/>
      <c r="P133" s="1341"/>
    </row>
    <row r="134" spans="2:16" ht="15.75" x14ac:dyDescent="0.25">
      <c r="B134" s="1341"/>
      <c r="C134" s="3557"/>
      <c r="D134" s="7166"/>
      <c r="E134" s="7167"/>
      <c r="F134" s="7167"/>
      <c r="G134" s="7168"/>
      <c r="H134" s="3560"/>
      <c r="I134" s="3585"/>
      <c r="J134" s="3586"/>
      <c r="K134" s="3581"/>
      <c r="L134" s="3590"/>
      <c r="M134" s="3590"/>
      <c r="N134" s="3591"/>
      <c r="O134" s="3559"/>
      <c r="P134" s="1341"/>
    </row>
    <row r="135" spans="2:16" ht="15.75" x14ac:dyDescent="0.25">
      <c r="B135" s="1341"/>
      <c r="C135" s="3557"/>
      <c r="D135" s="3592"/>
      <c r="E135" s="3593"/>
      <c r="F135" s="3593"/>
      <c r="G135" s="3594"/>
      <c r="H135" s="3560"/>
      <c r="I135" s="3585"/>
      <c r="J135" s="3586"/>
      <c r="K135" s="3581"/>
      <c r="L135" s="3590"/>
      <c r="M135" s="3590"/>
      <c r="N135" s="3591"/>
      <c r="O135" s="3559"/>
      <c r="P135" s="1341"/>
    </row>
    <row r="136" spans="2:16" x14ac:dyDescent="0.25">
      <c r="B136" s="1341"/>
      <c r="C136" s="3557"/>
      <c r="D136" s="3595"/>
      <c r="E136" s="3596"/>
      <c r="F136" s="3596"/>
      <c r="G136" s="3597"/>
      <c r="H136" s="3560"/>
      <c r="I136" s="3585"/>
      <c r="J136" s="3598"/>
      <c r="K136" s="3599"/>
      <c r="L136" s="3600"/>
      <c r="M136" s="3600"/>
      <c r="N136" s="3591"/>
      <c r="O136" s="3559"/>
      <c r="P136" s="1341"/>
    </row>
    <row r="137" spans="2:16" x14ac:dyDescent="0.25">
      <c r="B137" s="1341"/>
      <c r="C137" s="3557"/>
      <c r="D137" s="3601"/>
      <c r="E137" s="3602"/>
      <c r="F137" s="3602"/>
      <c r="G137" s="3603"/>
      <c r="H137" s="3560"/>
      <c r="I137" s="3604"/>
      <c r="J137" s="3605"/>
      <c r="K137" s="3606"/>
      <c r="L137" s="3605"/>
      <c r="M137" s="3605"/>
      <c r="N137" s="3607"/>
      <c r="O137" s="3559"/>
      <c r="P137" s="1341"/>
    </row>
    <row r="138" spans="2:16" ht="15.75" x14ac:dyDescent="0.25">
      <c r="B138" s="1341"/>
      <c r="C138" s="3557"/>
      <c r="D138" s="3601"/>
      <c r="E138" s="3602"/>
      <c r="F138" s="3602"/>
      <c r="G138" s="3603"/>
      <c r="H138" s="3560"/>
      <c r="I138" s="3608"/>
      <c r="J138" s="3609"/>
      <c r="K138" s="3610"/>
      <c r="L138" s="3609"/>
      <c r="M138" s="3609"/>
      <c r="N138" s="3611"/>
      <c r="O138" s="3559"/>
      <c r="P138" s="1341"/>
    </row>
    <row r="139" spans="2:16" ht="15" customHeight="1" x14ac:dyDescent="0.25">
      <c r="B139" s="1341"/>
      <c r="C139" s="3557"/>
      <c r="D139" s="3601"/>
      <c r="E139" s="3602"/>
      <c r="F139" s="3602"/>
      <c r="G139" s="3603"/>
      <c r="H139" s="3560"/>
      <c r="I139" s="3604"/>
      <c r="J139" s="3605"/>
      <c r="K139" s="3612"/>
      <c r="L139" s="3605"/>
      <c r="M139" s="3605"/>
      <c r="N139" s="3613"/>
      <c r="O139" s="3559"/>
      <c r="P139" s="1341"/>
    </row>
    <row r="140" spans="2:16" ht="15" customHeight="1" x14ac:dyDescent="0.25">
      <c r="B140" s="1341"/>
      <c r="C140" s="3557"/>
      <c r="D140" s="3601"/>
      <c r="E140" s="3602"/>
      <c r="F140" s="3602"/>
      <c r="G140" s="3603"/>
      <c r="H140" s="3560"/>
      <c r="I140" s="3614"/>
      <c r="J140" s="3615"/>
      <c r="K140" s="3615"/>
      <c r="L140" s="3615"/>
      <c r="M140" s="3615"/>
      <c r="N140" s="3616"/>
      <c r="O140" s="3559"/>
      <c r="P140" s="1341"/>
    </row>
    <row r="141" spans="2:16" ht="15" customHeight="1" x14ac:dyDescent="0.25">
      <c r="B141" s="1855"/>
      <c r="C141" s="3557"/>
      <c r="D141" s="3617"/>
      <c r="E141" s="3593"/>
      <c r="F141" s="3593"/>
      <c r="G141" s="3594"/>
      <c r="H141" s="3560"/>
      <c r="I141" s="7119"/>
      <c r="J141" s="7120"/>
      <c r="K141" s="3612"/>
      <c r="L141" s="7120"/>
      <c r="M141" s="7120"/>
      <c r="N141" s="3613"/>
      <c r="O141" s="3559"/>
      <c r="P141" s="1855"/>
    </row>
    <row r="142" spans="2:16" x14ac:dyDescent="0.25">
      <c r="B142" s="1364"/>
      <c r="C142" s="3618"/>
      <c r="D142" s="3619"/>
      <c r="E142" s="3620"/>
      <c r="F142" s="3620"/>
      <c r="G142" s="3621"/>
      <c r="H142" s="3622"/>
      <c r="I142" s="7149"/>
      <c r="J142" s="7150"/>
      <c r="K142" s="5257"/>
      <c r="L142" s="5257"/>
      <c r="M142" s="5257"/>
      <c r="N142" s="3623"/>
      <c r="O142" s="3624"/>
      <c r="P142" s="1364"/>
    </row>
    <row r="143" spans="2:16" x14ac:dyDescent="0.25">
      <c r="B143" s="1364"/>
      <c r="C143" s="3557"/>
      <c r="D143" s="3601"/>
      <c r="E143" s="3602"/>
      <c r="F143" s="3602"/>
      <c r="G143" s="3603"/>
      <c r="H143" s="3560"/>
      <c r="I143" s="7122"/>
      <c r="J143" s="7123"/>
      <c r="K143" s="5256"/>
      <c r="L143" s="5256"/>
      <c r="M143" s="5256"/>
      <c r="N143" s="3625"/>
      <c r="O143" s="3559"/>
      <c r="P143" s="1364"/>
    </row>
    <row r="144" spans="2:16" x14ac:dyDescent="0.25">
      <c r="B144" s="1364"/>
      <c r="C144" s="3557"/>
      <c r="D144" s="3601"/>
      <c r="E144" s="3626"/>
      <c r="F144" s="3626"/>
      <c r="G144" s="3627"/>
      <c r="H144" s="3560"/>
      <c r="I144" s="3628"/>
      <c r="J144" s="3629"/>
      <c r="K144" s="3629"/>
      <c r="L144" s="3629"/>
      <c r="M144" s="3629"/>
      <c r="N144" s="3630"/>
      <c r="O144" s="3559"/>
      <c r="P144" s="1364"/>
    </row>
    <row r="145" spans="2:16" x14ac:dyDescent="0.25">
      <c r="B145" s="1364"/>
      <c r="C145" s="3557"/>
      <c r="D145" s="3631"/>
      <c r="E145" s="3632"/>
      <c r="F145" s="3632"/>
      <c r="G145" s="3633"/>
      <c r="H145" s="3560"/>
      <c r="I145" s="3634"/>
      <c r="J145" s="3635"/>
      <c r="K145" s="3635"/>
      <c r="L145" s="3635"/>
      <c r="M145" s="3635"/>
      <c r="N145" s="3636"/>
      <c r="O145" s="3559"/>
      <c r="P145" s="1364"/>
    </row>
    <row r="146" spans="2:16" ht="16.5" thickBot="1" x14ac:dyDescent="0.3">
      <c r="B146" s="1364"/>
      <c r="C146" s="3637"/>
      <c r="D146" s="3638"/>
      <c r="E146" s="3639"/>
      <c r="F146" s="3639"/>
      <c r="G146" s="3639"/>
      <c r="H146" s="3639"/>
      <c r="I146" s="3639"/>
      <c r="J146" s="3639"/>
      <c r="K146" s="3639"/>
      <c r="L146" s="3639"/>
      <c r="M146" s="3639"/>
      <c r="N146" s="3639"/>
      <c r="O146" s="3640"/>
      <c r="P146" s="1364"/>
    </row>
    <row r="147" spans="2:16" ht="25.5" customHeight="1" thickBot="1" x14ac:dyDescent="0.3">
      <c r="B147" s="1364"/>
      <c r="C147" s="1364"/>
      <c r="D147" s="1864" t="s">
        <v>1935</v>
      </c>
      <c r="E147" s="1861"/>
      <c r="F147" s="1364"/>
      <c r="G147" s="1364"/>
      <c r="H147" s="1364"/>
      <c r="I147" s="1364"/>
      <c r="J147" s="1364"/>
      <c r="K147" s="1364"/>
      <c r="L147" s="1364"/>
      <c r="M147" s="1861"/>
      <c r="N147" s="1364"/>
      <c r="O147" s="1364"/>
      <c r="P147" s="1364"/>
    </row>
    <row r="148" spans="2:16" ht="15.75" customHeight="1" x14ac:dyDescent="0.25">
      <c r="B148" s="1341"/>
      <c r="C148" s="3554"/>
      <c r="D148" s="3555"/>
      <c r="E148" s="3555"/>
      <c r="F148" s="3555"/>
      <c r="G148" s="3555"/>
      <c r="H148" s="3555"/>
      <c r="I148" s="3555"/>
      <c r="J148" s="3555"/>
      <c r="K148" s="3555"/>
      <c r="L148" s="3555"/>
      <c r="M148" s="3555"/>
      <c r="N148" s="3555"/>
      <c r="O148" s="3556"/>
      <c r="P148" s="1341"/>
    </row>
    <row r="149" spans="2:16" ht="28.5" customHeight="1" x14ac:dyDescent="0.25">
      <c r="B149" s="1341"/>
      <c r="C149" s="3557"/>
      <c r="D149" s="3641"/>
      <c r="E149" s="7157"/>
      <c r="F149" s="7158"/>
      <c r="G149" s="7158"/>
      <c r="H149" s="7158"/>
      <c r="I149" s="7158"/>
      <c r="J149" s="7158"/>
      <c r="K149" s="7158"/>
      <c r="L149" s="7158"/>
      <c r="M149" s="7158"/>
      <c r="N149" s="7159"/>
      <c r="O149" s="3559"/>
      <c r="P149" s="1341"/>
    </row>
    <row r="150" spans="2:16" ht="12.75" customHeight="1" x14ac:dyDescent="0.25">
      <c r="B150" s="1341"/>
      <c r="C150" s="3557"/>
      <c r="D150" s="3560"/>
      <c r="E150" s="3560"/>
      <c r="F150" s="3560"/>
      <c r="G150" s="3560"/>
      <c r="H150" s="3560"/>
      <c r="I150" s="3560"/>
      <c r="J150" s="3560"/>
      <c r="K150" s="3560"/>
      <c r="L150" s="3560"/>
      <c r="M150" s="3560"/>
      <c r="N150" s="3560"/>
      <c r="O150" s="3559"/>
      <c r="P150" s="1341"/>
    </row>
    <row r="151" spans="2:16" ht="15" customHeight="1" x14ac:dyDescent="0.25">
      <c r="B151" s="1341"/>
      <c r="C151" s="3557"/>
      <c r="D151" s="7160"/>
      <c r="E151" s="7161"/>
      <c r="F151" s="7161"/>
      <c r="G151" s="7162"/>
      <c r="H151" s="3560"/>
      <c r="I151" s="7163"/>
      <c r="J151" s="7164"/>
      <c r="K151" s="7164"/>
      <c r="L151" s="7164"/>
      <c r="M151" s="7164"/>
      <c r="N151" s="7165"/>
      <c r="O151" s="3559"/>
      <c r="P151" s="1341"/>
    </row>
    <row r="152" spans="2:16" ht="15.75" x14ac:dyDescent="0.25">
      <c r="B152" s="1341"/>
      <c r="C152" s="3557"/>
      <c r="D152" s="3561"/>
      <c r="E152" s="3562"/>
      <c r="F152" s="3562"/>
      <c r="G152" s="3563"/>
      <c r="H152" s="3560"/>
      <c r="I152" s="3564"/>
      <c r="J152" s="3565"/>
      <c r="K152" s="3566"/>
      <c r="L152" s="3567"/>
      <c r="M152" s="3565"/>
      <c r="N152" s="3568"/>
      <c r="O152" s="3559"/>
      <c r="P152" s="1341"/>
    </row>
    <row r="153" spans="2:16" x14ac:dyDescent="0.25">
      <c r="B153" s="1341"/>
      <c r="C153" s="3557"/>
      <c r="D153" s="3569"/>
      <c r="E153" s="3570"/>
      <c r="F153" s="3570"/>
      <c r="G153" s="3571"/>
      <c r="H153" s="3560"/>
      <c r="I153" s="3572"/>
      <c r="J153" s="3573"/>
      <c r="K153" s="3573"/>
      <c r="L153" s="3573"/>
      <c r="M153" s="3573"/>
      <c r="N153" s="3574"/>
      <c r="O153" s="3559"/>
      <c r="P153" s="1341"/>
    </row>
    <row r="154" spans="2:16" x14ac:dyDescent="0.25">
      <c r="B154" s="1352"/>
      <c r="C154" s="3575"/>
      <c r="D154" s="3576"/>
      <c r="E154" s="3577"/>
      <c r="F154" s="3577"/>
      <c r="G154" s="3578"/>
      <c r="H154" s="3560"/>
      <c r="I154" s="3579"/>
      <c r="J154" s="3580"/>
      <c r="K154" s="3581"/>
      <c r="L154" s="3580"/>
      <c r="M154" s="3581"/>
      <c r="N154" s="3582"/>
      <c r="O154" s="3583"/>
      <c r="P154" s="1352"/>
    </row>
    <row r="155" spans="2:16" x14ac:dyDescent="0.25">
      <c r="B155" s="1341"/>
      <c r="C155" s="3575"/>
      <c r="D155" s="3576"/>
      <c r="E155" s="3577"/>
      <c r="F155" s="3577"/>
      <c r="G155" s="3578"/>
      <c r="H155" s="3584"/>
      <c r="I155" s="3585"/>
      <c r="J155" s="3586"/>
      <c r="K155" s="3581"/>
      <c r="L155" s="3586"/>
      <c r="M155" s="3581"/>
      <c r="N155" s="3582"/>
      <c r="O155" s="3583"/>
      <c r="P155" s="1341"/>
    </row>
    <row r="156" spans="2:16" x14ac:dyDescent="0.25">
      <c r="B156" s="1341"/>
      <c r="C156" s="3557"/>
      <c r="D156" s="3587"/>
      <c r="E156" s="3588"/>
      <c r="F156" s="3588"/>
      <c r="G156" s="3589"/>
      <c r="H156" s="3560"/>
      <c r="I156" s="3585"/>
      <c r="J156" s="3586"/>
      <c r="K156" s="3581"/>
      <c r="L156" s="3586"/>
      <c r="M156" s="3581"/>
      <c r="N156" s="3582"/>
      <c r="O156" s="3559"/>
      <c r="P156" s="1341"/>
    </row>
    <row r="157" spans="2:16" ht="14.25" customHeight="1" x14ac:dyDescent="0.25">
      <c r="B157" s="1341"/>
      <c r="C157" s="3557"/>
      <c r="D157" s="3560"/>
      <c r="E157" s="3560"/>
      <c r="F157" s="3560"/>
      <c r="G157" s="3560"/>
      <c r="H157" s="3560"/>
      <c r="I157" s="3585"/>
      <c r="J157" s="3586"/>
      <c r="K157" s="3581"/>
      <c r="L157" s="3586"/>
      <c r="M157" s="3581"/>
      <c r="N157" s="3582"/>
      <c r="O157" s="3559"/>
      <c r="P157" s="1341"/>
    </row>
    <row r="158" spans="2:16" ht="15.75" x14ac:dyDescent="0.25">
      <c r="B158" s="1341"/>
      <c r="C158" s="3557"/>
      <c r="D158" s="7166"/>
      <c r="E158" s="7167"/>
      <c r="F158" s="7167"/>
      <c r="G158" s="7168"/>
      <c r="H158" s="3560"/>
      <c r="I158" s="3585"/>
      <c r="J158" s="3586"/>
      <c r="K158" s="3581"/>
      <c r="L158" s="3590"/>
      <c r="M158" s="3590"/>
      <c r="N158" s="3591"/>
      <c r="O158" s="3559"/>
      <c r="P158" s="1341"/>
    </row>
    <row r="159" spans="2:16" ht="15.75" x14ac:dyDescent="0.25">
      <c r="B159" s="1341"/>
      <c r="C159" s="3557"/>
      <c r="D159" s="3592"/>
      <c r="E159" s="3593"/>
      <c r="F159" s="3593"/>
      <c r="G159" s="3594"/>
      <c r="H159" s="3560"/>
      <c r="I159" s="3585"/>
      <c r="J159" s="3586"/>
      <c r="K159" s="3581"/>
      <c r="L159" s="3590"/>
      <c r="M159" s="3590"/>
      <c r="N159" s="3591"/>
      <c r="O159" s="3559"/>
      <c r="P159" s="1341"/>
    </row>
    <row r="160" spans="2:16" x14ac:dyDescent="0.25">
      <c r="B160" s="1341"/>
      <c r="C160" s="3557"/>
      <c r="D160" s="3595"/>
      <c r="E160" s="3596"/>
      <c r="F160" s="3596"/>
      <c r="G160" s="3597"/>
      <c r="H160" s="3560"/>
      <c r="I160" s="3585"/>
      <c r="J160" s="3598"/>
      <c r="K160" s="3599"/>
      <c r="L160" s="3600"/>
      <c r="M160" s="3600"/>
      <c r="N160" s="3591"/>
      <c r="O160" s="3559"/>
      <c r="P160" s="1341"/>
    </row>
    <row r="161" spans="2:16" x14ac:dyDescent="0.25">
      <c r="B161" s="1341"/>
      <c r="C161" s="3557"/>
      <c r="D161" s="3601"/>
      <c r="E161" s="3602"/>
      <c r="F161" s="3602"/>
      <c r="G161" s="3603"/>
      <c r="H161" s="3560"/>
      <c r="I161" s="3604"/>
      <c r="J161" s="3605"/>
      <c r="K161" s="3606"/>
      <c r="L161" s="3605"/>
      <c r="M161" s="3605"/>
      <c r="N161" s="3607"/>
      <c r="O161" s="3559"/>
      <c r="P161" s="1341"/>
    </row>
    <row r="162" spans="2:16" ht="15.75" x14ac:dyDescent="0.25">
      <c r="B162" s="1341"/>
      <c r="C162" s="3557"/>
      <c r="D162" s="3601"/>
      <c r="E162" s="3602"/>
      <c r="F162" s="3602"/>
      <c r="G162" s="3603"/>
      <c r="H162" s="3560"/>
      <c r="I162" s="3608"/>
      <c r="J162" s="3609"/>
      <c r="K162" s="3610"/>
      <c r="L162" s="3609"/>
      <c r="M162" s="3609"/>
      <c r="N162" s="3611"/>
      <c r="O162" s="3559"/>
      <c r="P162" s="1341"/>
    </row>
    <row r="163" spans="2:16" ht="15" customHeight="1" x14ac:dyDescent="0.25">
      <c r="B163" s="1341"/>
      <c r="C163" s="3557"/>
      <c r="D163" s="3601"/>
      <c r="E163" s="3602"/>
      <c r="F163" s="3602"/>
      <c r="G163" s="3603"/>
      <c r="H163" s="3560"/>
      <c r="I163" s="3604"/>
      <c r="J163" s="3605"/>
      <c r="K163" s="3612"/>
      <c r="L163" s="3605"/>
      <c r="M163" s="3605"/>
      <c r="N163" s="3613"/>
      <c r="O163" s="3559"/>
      <c r="P163" s="1341"/>
    </row>
    <row r="164" spans="2:16" ht="15" customHeight="1" x14ac:dyDescent="0.25">
      <c r="B164" s="1341"/>
      <c r="C164" s="3557"/>
      <c r="D164" s="3601"/>
      <c r="E164" s="3602"/>
      <c r="F164" s="3602"/>
      <c r="G164" s="3603"/>
      <c r="H164" s="3560"/>
      <c r="I164" s="3614"/>
      <c r="J164" s="3615"/>
      <c r="K164" s="3615"/>
      <c r="L164" s="3615"/>
      <c r="M164" s="3615"/>
      <c r="N164" s="3616"/>
      <c r="O164" s="3559"/>
      <c r="P164" s="1341"/>
    </row>
    <row r="165" spans="2:16" ht="15" customHeight="1" x14ac:dyDescent="0.25">
      <c r="B165" s="1855"/>
      <c r="C165" s="3557"/>
      <c r="D165" s="3617"/>
      <c r="E165" s="3593"/>
      <c r="F165" s="3593"/>
      <c r="G165" s="3594"/>
      <c r="H165" s="3560"/>
      <c r="I165" s="7119"/>
      <c r="J165" s="7120"/>
      <c r="K165" s="3612"/>
      <c r="L165" s="7120"/>
      <c r="M165" s="7120"/>
      <c r="N165" s="3613"/>
      <c r="O165" s="3559"/>
      <c r="P165" s="1855"/>
    </row>
    <row r="166" spans="2:16" x14ac:dyDescent="0.25">
      <c r="B166" s="1364"/>
      <c r="C166" s="3618"/>
      <c r="D166" s="3619"/>
      <c r="E166" s="3620"/>
      <c r="F166" s="3620"/>
      <c r="G166" s="3621"/>
      <c r="H166" s="3622"/>
      <c r="I166" s="7149"/>
      <c r="J166" s="7150"/>
      <c r="K166" s="5257"/>
      <c r="L166" s="5257"/>
      <c r="M166" s="5257"/>
      <c r="N166" s="3623"/>
      <c r="O166" s="3624"/>
      <c r="P166" s="1364"/>
    </row>
    <row r="167" spans="2:16" x14ac:dyDescent="0.25">
      <c r="B167" s="1364"/>
      <c r="C167" s="3557"/>
      <c r="D167" s="3601"/>
      <c r="E167" s="3602"/>
      <c r="F167" s="3602"/>
      <c r="G167" s="3603"/>
      <c r="H167" s="3560"/>
      <c r="I167" s="7122"/>
      <c r="J167" s="7123"/>
      <c r="K167" s="5256"/>
      <c r="L167" s="5256"/>
      <c r="M167" s="5256"/>
      <c r="N167" s="3625"/>
      <c r="O167" s="3559"/>
      <c r="P167" s="1364"/>
    </row>
    <row r="168" spans="2:16" x14ac:dyDescent="0.25">
      <c r="B168" s="1364"/>
      <c r="C168" s="3557"/>
      <c r="D168" s="3601"/>
      <c r="E168" s="3626"/>
      <c r="F168" s="3626"/>
      <c r="G168" s="3627"/>
      <c r="H168" s="3560"/>
      <c r="I168" s="3628"/>
      <c r="J168" s="3629"/>
      <c r="K168" s="3629"/>
      <c r="L168" s="3629"/>
      <c r="M168" s="3629"/>
      <c r="N168" s="3630"/>
      <c r="O168" s="3559"/>
      <c r="P168" s="1364"/>
    </row>
    <row r="169" spans="2:16" x14ac:dyDescent="0.25">
      <c r="B169" s="1364"/>
      <c r="C169" s="3557"/>
      <c r="D169" s="3631"/>
      <c r="E169" s="3632"/>
      <c r="F169" s="3632"/>
      <c r="G169" s="3633"/>
      <c r="H169" s="3560"/>
      <c r="I169" s="3634"/>
      <c r="J169" s="3635"/>
      <c r="K169" s="3635"/>
      <c r="L169" s="3635"/>
      <c r="M169" s="3635"/>
      <c r="N169" s="3636"/>
      <c r="O169" s="3559"/>
      <c r="P169" s="1364"/>
    </row>
    <row r="170" spans="2:16" ht="15.75" customHeight="1" thickBot="1" x14ac:dyDescent="0.3">
      <c r="B170" s="1364"/>
      <c r="C170" s="3637"/>
      <c r="D170" s="3638"/>
      <c r="E170" s="3639"/>
      <c r="F170" s="3639"/>
      <c r="G170" s="3639"/>
      <c r="H170" s="3639"/>
      <c r="I170" s="3639"/>
      <c r="J170" s="3639"/>
      <c r="K170" s="3639"/>
      <c r="L170" s="3639"/>
      <c r="M170" s="3639"/>
      <c r="N170" s="3639"/>
      <c r="O170" s="3640"/>
      <c r="P170" s="1364"/>
    </row>
    <row r="171" spans="2:16" s="1937" customFormat="1" ht="11.25" customHeight="1" x14ac:dyDescent="0.25">
      <c r="B171" s="1364"/>
      <c r="C171" s="1364"/>
      <c r="D171" s="1861"/>
      <c r="E171" s="1861"/>
      <c r="F171" s="1364"/>
      <c r="G171" s="1364"/>
      <c r="H171" s="1364"/>
      <c r="I171" s="1364"/>
      <c r="J171" s="1364"/>
      <c r="K171" s="1364"/>
      <c r="L171" s="1364"/>
      <c r="M171" s="1861"/>
      <c r="N171" s="1364"/>
      <c r="O171" s="1364"/>
      <c r="P171" s="1364"/>
    </row>
    <row r="172" spans="2:16" ht="26.25" x14ac:dyDescent="0.25">
      <c r="B172" s="1809"/>
      <c r="C172" s="1809"/>
      <c r="D172" s="1810" t="s">
        <v>2147</v>
      </c>
      <c r="E172" s="1810"/>
      <c r="F172" s="1810"/>
      <c r="G172" s="1810"/>
      <c r="H172" s="1810"/>
      <c r="I172" s="1810"/>
      <c r="J172" s="1810"/>
      <c r="K172" s="1810"/>
      <c r="L172" s="1810"/>
      <c r="M172" s="1810"/>
      <c r="N172" s="1810"/>
      <c r="O172" s="1810"/>
      <c r="P172" s="1809"/>
    </row>
    <row r="173" spans="2:16" ht="23.25" customHeight="1" x14ac:dyDescent="0.25">
      <c r="B173" s="1341"/>
      <c r="C173" s="1341"/>
      <c r="D173" s="1341"/>
      <c r="E173" s="1808"/>
      <c r="F173" s="1341"/>
      <c r="G173" s="1341"/>
      <c r="H173" s="1341"/>
      <c r="I173" s="1341"/>
      <c r="J173" s="1341"/>
      <c r="K173" s="1341"/>
      <c r="L173" s="1341"/>
      <c r="M173" s="1808"/>
      <c r="N173" s="1987" t="s">
        <v>2176</v>
      </c>
      <c r="O173" s="1341"/>
      <c r="P173" s="1341"/>
    </row>
    <row r="174" spans="2:16" ht="15.75" thickBot="1" x14ac:dyDescent="0.3">
      <c r="B174" s="1341"/>
      <c r="C174" s="1933"/>
      <c r="D174" s="1933"/>
      <c r="E174" s="1934"/>
      <c r="F174" s="1933"/>
      <c r="G174" s="1933"/>
      <c r="H174" s="1933"/>
      <c r="I174" s="1933"/>
      <c r="J174" s="1933"/>
      <c r="K174" s="1933"/>
      <c r="L174" s="1933"/>
      <c r="M174" s="1934"/>
      <c r="N174" s="1933"/>
      <c r="O174" s="1933"/>
      <c r="P174" s="1341"/>
    </row>
    <row r="175" spans="2:16" s="1937" customFormat="1" ht="17.25" customHeight="1" x14ac:dyDescent="0.25">
      <c r="B175" s="1341"/>
      <c r="C175" s="1933"/>
      <c r="D175" s="7171" t="s">
        <v>2154</v>
      </c>
      <c r="E175" s="7169" t="s">
        <v>2148</v>
      </c>
      <c r="F175" s="2015" t="s">
        <v>2149</v>
      </c>
      <c r="G175" s="7156" t="s">
        <v>2150</v>
      </c>
      <c r="H175" s="7156"/>
      <c r="I175" s="2015" t="s">
        <v>2151</v>
      </c>
      <c r="J175" s="2015" t="s">
        <v>2152</v>
      </c>
      <c r="K175" s="2015" t="s">
        <v>2153</v>
      </c>
      <c r="L175" s="7124" t="s">
        <v>2156</v>
      </c>
      <c r="M175" s="7125"/>
      <c r="N175" s="7126"/>
      <c r="O175" s="1933"/>
      <c r="P175" s="1341"/>
    </row>
    <row r="176" spans="2:16" s="1343" customFormat="1" ht="59.25" customHeight="1" x14ac:dyDescent="0.25">
      <c r="B176" s="1352"/>
      <c r="C176" s="1985"/>
      <c r="D176" s="7172"/>
      <c r="E176" s="7170"/>
      <c r="F176" s="1988">
        <f>E53</f>
        <v>0</v>
      </c>
      <c r="G176" s="7173">
        <f>E77</f>
        <v>0</v>
      </c>
      <c r="H176" s="7174"/>
      <c r="I176" s="1988">
        <f>E101</f>
        <v>0</v>
      </c>
      <c r="J176" s="1988">
        <f>E125</f>
        <v>0</v>
      </c>
      <c r="K176" s="1988">
        <f>E149</f>
        <v>0</v>
      </c>
      <c r="L176" s="7127"/>
      <c r="M176" s="7128"/>
      <c r="N176" s="7129"/>
      <c r="O176" s="1985"/>
      <c r="P176" s="1352"/>
    </row>
    <row r="177" spans="2:28" ht="23.25" customHeight="1" x14ac:dyDescent="0.25">
      <c r="B177" s="1935"/>
      <c r="C177" s="1936"/>
      <c r="D177" s="1986" t="s">
        <v>2155</v>
      </c>
      <c r="E177" s="1938"/>
      <c r="F177" s="1938"/>
      <c r="G177" s="1938"/>
      <c r="H177" s="1938"/>
      <c r="I177" s="1938"/>
      <c r="J177" s="1938"/>
      <c r="K177" s="1938"/>
      <c r="L177" s="1938"/>
      <c r="M177" s="1938"/>
      <c r="N177" s="1939"/>
      <c r="O177" s="1936"/>
      <c r="P177" s="1935"/>
    </row>
    <row r="178" spans="2:28" ht="15.75" x14ac:dyDescent="0.25">
      <c r="B178" s="1341"/>
      <c r="C178" s="1933"/>
      <c r="D178" s="1991" t="s">
        <v>927</v>
      </c>
      <c r="E178" s="1992">
        <f>E24</f>
        <v>0</v>
      </c>
      <c r="F178" s="2017">
        <f>E59</f>
        <v>0</v>
      </c>
      <c r="G178" s="7139">
        <f>E83</f>
        <v>0</v>
      </c>
      <c r="H178" s="7140"/>
      <c r="I178" s="2017">
        <f>E107</f>
        <v>0</v>
      </c>
      <c r="J178" s="2017">
        <f>E131</f>
        <v>0</v>
      </c>
      <c r="K178" s="2017">
        <f>E155</f>
        <v>0</v>
      </c>
      <c r="L178" s="7130"/>
      <c r="M178" s="7131"/>
      <c r="N178" s="7132"/>
      <c r="O178" s="1933"/>
      <c r="P178" s="1341"/>
      <c r="R178" s="1990"/>
      <c r="Z178" s="3743"/>
      <c r="AA178" s="1990"/>
      <c r="AB178" s="1990"/>
    </row>
    <row r="179" spans="2:28" s="1937" customFormat="1" ht="17.25" x14ac:dyDescent="0.25">
      <c r="B179" s="1341"/>
      <c r="C179" s="1933"/>
      <c r="D179" s="1995" t="s">
        <v>2157</v>
      </c>
      <c r="E179" s="1996">
        <f>F24</f>
        <v>0</v>
      </c>
      <c r="F179" s="2018">
        <f>F59</f>
        <v>0</v>
      </c>
      <c r="G179" s="7141">
        <f>F83</f>
        <v>0</v>
      </c>
      <c r="H179" s="7142"/>
      <c r="I179" s="2018">
        <f>F107</f>
        <v>0</v>
      </c>
      <c r="J179" s="2018">
        <f>F131</f>
        <v>0</v>
      </c>
      <c r="K179" s="1997">
        <f>F155</f>
        <v>0</v>
      </c>
      <c r="L179" s="7133"/>
      <c r="M179" s="7134"/>
      <c r="N179" s="7135"/>
      <c r="O179" s="1933"/>
      <c r="P179" s="1341"/>
    </row>
    <row r="180" spans="2:28" ht="15.75" x14ac:dyDescent="0.25">
      <c r="B180" s="1341"/>
      <c r="C180" s="1933"/>
      <c r="D180" s="1993" t="s">
        <v>2158</v>
      </c>
      <c r="E180" s="1994">
        <f>G24</f>
        <v>0</v>
      </c>
      <c r="F180" s="2019">
        <f>G59</f>
        <v>0</v>
      </c>
      <c r="G180" s="7143">
        <f>G83</f>
        <v>0</v>
      </c>
      <c r="H180" s="7144"/>
      <c r="I180" s="2019">
        <f>G107</f>
        <v>0</v>
      </c>
      <c r="J180" s="2019">
        <f>G131</f>
        <v>0</v>
      </c>
      <c r="K180" s="2019">
        <f>G155</f>
        <v>0</v>
      </c>
      <c r="L180" s="7136"/>
      <c r="M180" s="7137"/>
      <c r="N180" s="7138"/>
      <c r="O180" s="1933"/>
      <c r="P180" s="1341"/>
    </row>
    <row r="181" spans="2:28" ht="23.25" customHeight="1" x14ac:dyDescent="0.25">
      <c r="B181" s="1935"/>
      <c r="C181" s="1936"/>
      <c r="D181" s="1986" t="s">
        <v>2172</v>
      </c>
      <c r="E181" s="1938"/>
      <c r="F181" s="1989"/>
      <c r="G181" s="1989"/>
      <c r="H181" s="1989"/>
      <c r="I181" s="1989"/>
      <c r="J181" s="1989"/>
      <c r="K181" s="1989"/>
      <c r="L181" s="1938"/>
      <c r="M181" s="1938"/>
      <c r="N181" s="1939"/>
      <c r="O181" s="1936"/>
      <c r="P181" s="1935"/>
    </row>
    <row r="182" spans="2:28" ht="15.75" x14ac:dyDescent="0.25">
      <c r="B182" s="1341"/>
      <c r="C182" s="1933"/>
      <c r="D182" s="1991" t="s">
        <v>2171</v>
      </c>
      <c r="E182" s="1998" t="s">
        <v>1520</v>
      </c>
      <c r="F182" s="2013">
        <f>SUM(E71:G71)</f>
        <v>0</v>
      </c>
      <c r="G182" s="7145">
        <f>SUM(E95:G95)</f>
        <v>0</v>
      </c>
      <c r="H182" s="7145"/>
      <c r="I182" s="2013">
        <f>SUM(E119:G119)</f>
        <v>0</v>
      </c>
      <c r="J182" s="2013">
        <f>SUM(E143:G143)</f>
        <v>0</v>
      </c>
      <c r="K182" s="2013">
        <f>SUM(E167:G167)</f>
        <v>0</v>
      </c>
      <c r="L182" s="7130"/>
      <c r="M182" s="7131"/>
      <c r="N182" s="7132"/>
      <c r="O182" s="1933"/>
      <c r="P182" s="1341"/>
    </row>
    <row r="183" spans="2:28" ht="15.75" x14ac:dyDescent="0.25">
      <c r="B183" s="1341"/>
      <c r="C183" s="1933"/>
      <c r="D183" s="1995" t="s">
        <v>2169</v>
      </c>
      <c r="E183" s="2000" t="s">
        <v>1520</v>
      </c>
      <c r="F183" s="2014">
        <f>SUM(E72:G72)</f>
        <v>0</v>
      </c>
      <c r="G183" s="7121">
        <f>SUM(E96:G96)</f>
        <v>0</v>
      </c>
      <c r="H183" s="7121"/>
      <c r="I183" s="2014">
        <f>SUM(E120:G120)</f>
        <v>0</v>
      </c>
      <c r="J183" s="2014">
        <f>SUM(E144:G144)</f>
        <v>0</v>
      </c>
      <c r="K183" s="2014">
        <f>SUM(E168:G168)</f>
        <v>0</v>
      </c>
      <c r="L183" s="7133"/>
      <c r="M183" s="7134"/>
      <c r="N183" s="7135"/>
      <c r="O183" s="1933"/>
      <c r="P183" s="1341"/>
    </row>
    <row r="184" spans="2:28" ht="15.75" x14ac:dyDescent="0.25">
      <c r="B184" s="1341"/>
      <c r="C184" s="1933"/>
      <c r="D184" s="1993" t="s">
        <v>2170</v>
      </c>
      <c r="E184" s="1999" t="s">
        <v>1520</v>
      </c>
      <c r="F184" s="2016">
        <f>SUM(E73:G73)</f>
        <v>0</v>
      </c>
      <c r="G184" s="7152">
        <f>SUM(E97:G97)</f>
        <v>0</v>
      </c>
      <c r="H184" s="7152"/>
      <c r="I184" s="2016">
        <f>SUM(E121:G121)</f>
        <v>0</v>
      </c>
      <c r="J184" s="2016">
        <f>SUM(E145:G145)</f>
        <v>0</v>
      </c>
      <c r="K184" s="2016">
        <f>SUM(E169:G169)</f>
        <v>0</v>
      </c>
      <c r="L184" s="7136"/>
      <c r="M184" s="7137"/>
      <c r="N184" s="7138"/>
      <c r="O184" s="1933"/>
      <c r="P184" s="1341"/>
    </row>
    <row r="185" spans="2:28" ht="23.25" customHeight="1" x14ac:dyDescent="0.25">
      <c r="B185" s="1935"/>
      <c r="C185" s="1936"/>
      <c r="D185" s="1986" t="s">
        <v>2174</v>
      </c>
      <c r="E185" s="1938"/>
      <c r="F185" s="1989"/>
      <c r="G185" s="1989"/>
      <c r="H185" s="1989"/>
      <c r="I185" s="1989"/>
      <c r="J185" s="1989"/>
      <c r="K185" s="1989"/>
      <c r="L185" s="1938"/>
      <c r="M185" s="1938"/>
      <c r="N185" s="1939"/>
      <c r="O185" s="1936"/>
      <c r="P185" s="1935"/>
    </row>
    <row r="186" spans="2:28" s="1937" customFormat="1" ht="17.25" x14ac:dyDescent="0.25">
      <c r="B186" s="1341"/>
      <c r="C186" s="1933"/>
      <c r="D186" s="1991" t="s">
        <v>2994</v>
      </c>
      <c r="E186" s="1998" t="s">
        <v>1520</v>
      </c>
      <c r="F186" s="2013">
        <f>K58</f>
        <v>0</v>
      </c>
      <c r="G186" s="7121">
        <f>K82</f>
        <v>0</v>
      </c>
      <c r="H186" s="7121"/>
      <c r="I186" s="2013">
        <f>K106</f>
        <v>0</v>
      </c>
      <c r="J186" s="2013">
        <f>K130</f>
        <v>0</v>
      </c>
      <c r="K186" s="2013">
        <f>K154</f>
        <v>0</v>
      </c>
      <c r="L186" s="7130"/>
      <c r="M186" s="7131"/>
      <c r="N186" s="7132"/>
      <c r="O186" s="1933"/>
      <c r="P186" s="1341"/>
      <c r="Q186" s="2020"/>
      <c r="S186" s="2023"/>
      <c r="T186" s="2021"/>
      <c r="U186" s="2021"/>
      <c r="V186" s="2021"/>
      <c r="W186" s="2021"/>
      <c r="X186" s="2021"/>
    </row>
    <row r="187" spans="2:28" ht="17.25" x14ac:dyDescent="0.25">
      <c r="B187" s="1341"/>
      <c r="C187" s="1933"/>
      <c r="D187" s="1995" t="s">
        <v>1112</v>
      </c>
      <c r="E187" s="2000" t="s">
        <v>1520</v>
      </c>
      <c r="F187" s="2014">
        <f>K59</f>
        <v>0</v>
      </c>
      <c r="G187" s="7121">
        <f>K83</f>
        <v>0</v>
      </c>
      <c r="H187" s="7121"/>
      <c r="I187" s="2014">
        <f>K107</f>
        <v>0</v>
      </c>
      <c r="J187" s="2014">
        <f>K131</f>
        <v>0</v>
      </c>
      <c r="K187" s="2014">
        <f>K155</f>
        <v>0</v>
      </c>
      <c r="L187" s="7133"/>
      <c r="M187" s="7134"/>
      <c r="N187" s="7135"/>
      <c r="O187" s="1933"/>
      <c r="P187" s="1341"/>
      <c r="S187" s="2023"/>
      <c r="T187" s="2021"/>
      <c r="U187" s="2021"/>
      <c r="V187" s="2021"/>
      <c r="W187" s="2021"/>
      <c r="X187" s="2021"/>
    </row>
    <row r="188" spans="2:28" ht="17.25" x14ac:dyDescent="0.25">
      <c r="B188" s="1341"/>
      <c r="C188" s="1933"/>
      <c r="D188" s="1995" t="s">
        <v>1522</v>
      </c>
      <c r="E188" s="2000" t="s">
        <v>1520</v>
      </c>
      <c r="F188" s="2014">
        <f>K60</f>
        <v>0</v>
      </c>
      <c r="G188" s="7121">
        <f>K84</f>
        <v>0</v>
      </c>
      <c r="H188" s="7121"/>
      <c r="I188" s="2014">
        <f>K108</f>
        <v>0</v>
      </c>
      <c r="J188" s="2014">
        <f>K132</f>
        <v>0</v>
      </c>
      <c r="K188" s="2014">
        <f>K156</f>
        <v>0</v>
      </c>
      <c r="L188" s="7133"/>
      <c r="M188" s="7134"/>
      <c r="N188" s="7135"/>
      <c r="O188" s="1933"/>
      <c r="P188" s="1341"/>
      <c r="S188" s="2023"/>
      <c r="T188" s="2021"/>
      <c r="U188" s="2021"/>
      <c r="V188" s="2021"/>
      <c r="W188" s="2021"/>
      <c r="X188" s="2021"/>
    </row>
    <row r="189" spans="2:28" ht="17.25" x14ac:dyDescent="0.25">
      <c r="B189" s="1341"/>
      <c r="C189" s="1933"/>
      <c r="D189" s="1995" t="s">
        <v>2159</v>
      </c>
      <c r="E189" s="2000" t="s">
        <v>1520</v>
      </c>
      <c r="F189" s="2014">
        <f>K61</f>
        <v>0</v>
      </c>
      <c r="G189" s="7121">
        <f>K85</f>
        <v>0</v>
      </c>
      <c r="H189" s="7121"/>
      <c r="I189" s="2014">
        <f>K109</f>
        <v>0</v>
      </c>
      <c r="J189" s="2014">
        <f>K133</f>
        <v>0</v>
      </c>
      <c r="K189" s="2014">
        <f>K157</f>
        <v>0</v>
      </c>
      <c r="L189" s="7133"/>
      <c r="M189" s="7134"/>
      <c r="N189" s="7135"/>
      <c r="O189" s="1933"/>
      <c r="P189" s="1341"/>
      <c r="S189" s="2023"/>
      <c r="T189" s="2021"/>
      <c r="U189" s="2021"/>
      <c r="V189" s="2021"/>
      <c r="W189" s="2021"/>
      <c r="X189" s="2021"/>
    </row>
    <row r="190" spans="2:28" s="1937" customFormat="1" ht="17.25" x14ac:dyDescent="0.25">
      <c r="B190" s="1341"/>
      <c r="C190" s="1933"/>
      <c r="D190" s="2006" t="s">
        <v>16</v>
      </c>
      <c r="E190" s="2010" t="s">
        <v>1520</v>
      </c>
      <c r="F190" s="2011">
        <f>SUM(F186:F189)</f>
        <v>0</v>
      </c>
      <c r="G190" s="7151">
        <f>SUM(G186:H189)</f>
        <v>0</v>
      </c>
      <c r="H190" s="7151"/>
      <c r="I190" s="2011">
        <f>SUM(I186:I189)</f>
        <v>0</v>
      </c>
      <c r="J190" s="2011">
        <f>SUM(J186:J189)</f>
        <v>0</v>
      </c>
      <c r="K190" s="2011">
        <f>SUM(K186:K189)</f>
        <v>0</v>
      </c>
      <c r="L190" s="7136"/>
      <c r="M190" s="7137"/>
      <c r="N190" s="7138"/>
      <c r="O190" s="1933"/>
      <c r="P190" s="1341"/>
      <c r="S190" s="2024"/>
    </row>
    <row r="191" spans="2:28" ht="23.25" customHeight="1" x14ac:dyDescent="0.25">
      <c r="B191" s="1935"/>
      <c r="C191" s="1936"/>
      <c r="D191" s="1986" t="s">
        <v>2173</v>
      </c>
      <c r="E191" s="1938"/>
      <c r="F191" s="1989"/>
      <c r="G191" s="1989"/>
      <c r="H191" s="1989"/>
      <c r="I191" s="1989"/>
      <c r="J191" s="1989"/>
      <c r="K191" s="1989"/>
      <c r="L191" s="1938"/>
      <c r="M191" s="1938"/>
      <c r="N191" s="1939"/>
      <c r="O191" s="1936"/>
      <c r="P191" s="1935"/>
      <c r="S191" s="2025"/>
    </row>
    <row r="192" spans="2:28" ht="15.75" x14ac:dyDescent="0.25">
      <c r="B192" s="1341"/>
      <c r="C192" s="1933"/>
      <c r="D192" s="1991" t="s">
        <v>1455</v>
      </c>
      <c r="E192" s="1998" t="s">
        <v>1520</v>
      </c>
      <c r="F192" s="2013">
        <f>M58</f>
        <v>0</v>
      </c>
      <c r="G192" s="7145">
        <f>M82</f>
        <v>0</v>
      </c>
      <c r="H192" s="7145"/>
      <c r="I192" s="2013">
        <f>M106</f>
        <v>0</v>
      </c>
      <c r="J192" s="2013">
        <f>M130</f>
        <v>0</v>
      </c>
      <c r="K192" s="2013">
        <f>M154</f>
        <v>0</v>
      </c>
      <c r="L192" s="7130"/>
      <c r="M192" s="7131"/>
      <c r="N192" s="7132"/>
      <c r="O192" s="1933"/>
      <c r="P192" s="1341"/>
      <c r="S192" s="2026"/>
      <c r="T192" s="2022"/>
      <c r="U192" s="2022"/>
      <c r="V192" s="2022"/>
      <c r="W192" s="2022"/>
      <c r="X192" s="2022"/>
    </row>
    <row r="193" spans="2:24" ht="31.5" x14ac:dyDescent="0.25">
      <c r="B193" s="1341"/>
      <c r="C193" s="1933"/>
      <c r="D193" s="2001" t="s">
        <v>2162</v>
      </c>
      <c r="E193" s="2000" t="s">
        <v>1520</v>
      </c>
      <c r="F193" s="2048">
        <f>M59</f>
        <v>0</v>
      </c>
      <c r="G193" s="7153">
        <f>M83</f>
        <v>0</v>
      </c>
      <c r="H193" s="7154"/>
      <c r="I193" s="2014">
        <f>M107</f>
        <v>0</v>
      </c>
      <c r="J193" s="2014">
        <f>M131</f>
        <v>0</v>
      </c>
      <c r="K193" s="2014">
        <f>M155</f>
        <v>0</v>
      </c>
      <c r="L193" s="7133"/>
      <c r="M193" s="7134"/>
      <c r="N193" s="7135"/>
      <c r="O193" s="1933"/>
      <c r="P193" s="1341"/>
      <c r="S193" s="2026"/>
      <c r="T193" s="2022"/>
      <c r="U193" s="2022"/>
      <c r="V193" s="2022"/>
      <c r="W193" s="2022"/>
      <c r="X193" s="2022"/>
    </row>
    <row r="194" spans="2:24" ht="31.5" x14ac:dyDescent="0.25">
      <c r="B194" s="1341"/>
      <c r="C194" s="1933"/>
      <c r="D194" s="2001" t="s">
        <v>2160</v>
      </c>
      <c r="E194" s="2000" t="s">
        <v>1520</v>
      </c>
      <c r="F194" s="2048">
        <f>M60</f>
        <v>0</v>
      </c>
      <c r="G194" s="7153">
        <f>M84</f>
        <v>0</v>
      </c>
      <c r="H194" s="7154"/>
      <c r="I194" s="2014">
        <f>M108</f>
        <v>0</v>
      </c>
      <c r="J194" s="2014">
        <f>M132</f>
        <v>0</v>
      </c>
      <c r="K194" s="2014">
        <f>M156</f>
        <v>0</v>
      </c>
      <c r="L194" s="7133"/>
      <c r="M194" s="7134"/>
      <c r="N194" s="7135"/>
      <c r="O194" s="1933"/>
      <c r="P194" s="1341"/>
      <c r="S194" s="2026"/>
      <c r="T194" s="2022"/>
      <c r="U194" s="2022"/>
      <c r="V194" s="2022"/>
      <c r="W194" s="2022"/>
      <c r="X194" s="2022"/>
    </row>
    <row r="195" spans="2:24" ht="31.5" x14ac:dyDescent="0.25">
      <c r="B195" s="1341"/>
      <c r="C195" s="1933"/>
      <c r="D195" s="2001" t="s">
        <v>2161</v>
      </c>
      <c r="E195" s="2000" t="s">
        <v>1520</v>
      </c>
      <c r="F195" s="2048">
        <f>M61</f>
        <v>0</v>
      </c>
      <c r="G195" s="7153">
        <f>M85</f>
        <v>0</v>
      </c>
      <c r="H195" s="7154"/>
      <c r="I195" s="2014">
        <f>M109</f>
        <v>0</v>
      </c>
      <c r="J195" s="2014">
        <f>M133</f>
        <v>0</v>
      </c>
      <c r="K195" s="2014">
        <f>M157</f>
        <v>0</v>
      </c>
      <c r="L195" s="7133"/>
      <c r="M195" s="7134"/>
      <c r="N195" s="7135"/>
      <c r="O195" s="1933"/>
      <c r="P195" s="1341"/>
      <c r="S195" s="2026"/>
      <c r="T195" s="2022"/>
      <c r="U195" s="2022"/>
      <c r="V195" s="2022"/>
      <c r="W195" s="2022"/>
      <c r="X195" s="2022"/>
    </row>
    <row r="196" spans="2:24" ht="15.75" x14ac:dyDescent="0.25">
      <c r="B196" s="1341"/>
      <c r="C196" s="1933"/>
      <c r="D196" s="2006" t="s">
        <v>16</v>
      </c>
      <c r="E196" s="2010" t="s">
        <v>1520</v>
      </c>
      <c r="F196" s="2011">
        <f>SUM(F192:F195)</f>
        <v>0</v>
      </c>
      <c r="G196" s="7151">
        <f>SUM(G192:H195)</f>
        <v>0</v>
      </c>
      <c r="H196" s="7151"/>
      <c r="I196" s="2011">
        <f>SUM(I192:I195)</f>
        <v>0</v>
      </c>
      <c r="J196" s="2011">
        <f>SUM(J192:J195)</f>
        <v>0</v>
      </c>
      <c r="K196" s="2011">
        <f>SUM(K192:K195)</f>
        <v>0</v>
      </c>
      <c r="L196" s="7136"/>
      <c r="M196" s="7137"/>
      <c r="N196" s="7138"/>
      <c r="O196" s="1933"/>
      <c r="P196" s="1341"/>
    </row>
    <row r="197" spans="2:24" ht="23.25" customHeight="1" x14ac:dyDescent="0.25">
      <c r="B197" s="1935"/>
      <c r="C197" s="1936"/>
      <c r="D197" s="1986" t="s">
        <v>2175</v>
      </c>
      <c r="E197" s="1938"/>
      <c r="F197" s="1989"/>
      <c r="G197" s="1989"/>
      <c r="H197" s="1989"/>
      <c r="I197" s="1989"/>
      <c r="J197" s="1989"/>
      <c r="K197" s="1989"/>
      <c r="L197" s="1938"/>
      <c r="M197" s="1938"/>
      <c r="N197" s="1939"/>
      <c r="O197" s="1936"/>
      <c r="P197" s="1935"/>
    </row>
    <row r="198" spans="2:24" ht="15.75" x14ac:dyDescent="0.25">
      <c r="B198" s="1341"/>
      <c r="C198" s="1933"/>
      <c r="D198" s="1991" t="s">
        <v>206</v>
      </c>
      <c r="E198" s="2002">
        <f>K38</f>
        <v>0</v>
      </c>
      <c r="F198" s="2013">
        <f>K73</f>
        <v>0</v>
      </c>
      <c r="G198" s="7145">
        <f>K97</f>
        <v>0</v>
      </c>
      <c r="H198" s="7145"/>
      <c r="I198" s="2013">
        <f>K121</f>
        <v>0</v>
      </c>
      <c r="J198" s="2013">
        <f>K145</f>
        <v>0</v>
      </c>
      <c r="K198" s="2013">
        <f>K169</f>
        <v>0</v>
      </c>
      <c r="L198" s="7130"/>
      <c r="M198" s="7131"/>
      <c r="N198" s="7132"/>
      <c r="O198" s="1933"/>
      <c r="P198" s="1341"/>
    </row>
    <row r="199" spans="2:24" ht="15.75" x14ac:dyDescent="0.25">
      <c r="B199" s="1341"/>
      <c r="C199" s="1933"/>
      <c r="D199" s="1995" t="s">
        <v>181</v>
      </c>
      <c r="E199" s="2003">
        <f>L38</f>
        <v>0</v>
      </c>
      <c r="F199" s="2014">
        <f>L73</f>
        <v>0</v>
      </c>
      <c r="G199" s="7121">
        <f>L97</f>
        <v>0</v>
      </c>
      <c r="H199" s="7121"/>
      <c r="I199" s="2014">
        <f>L121</f>
        <v>0</v>
      </c>
      <c r="J199" s="2014">
        <f>L145</f>
        <v>0</v>
      </c>
      <c r="K199" s="2014">
        <f>L169</f>
        <v>0</v>
      </c>
      <c r="L199" s="7133"/>
      <c r="M199" s="7134"/>
      <c r="N199" s="7135"/>
      <c r="O199" s="1933"/>
      <c r="P199" s="1341"/>
    </row>
    <row r="200" spans="2:24" ht="15.75" x14ac:dyDescent="0.25">
      <c r="B200" s="1341"/>
      <c r="C200" s="1933"/>
      <c r="D200" s="1995" t="s">
        <v>182</v>
      </c>
      <c r="E200" s="2003">
        <f>M38</f>
        <v>0</v>
      </c>
      <c r="F200" s="2014">
        <f>M73</f>
        <v>0</v>
      </c>
      <c r="G200" s="7121">
        <f>M97</f>
        <v>0</v>
      </c>
      <c r="H200" s="7121"/>
      <c r="I200" s="2014">
        <f>M121</f>
        <v>0</v>
      </c>
      <c r="J200" s="2014">
        <f>M145</f>
        <v>0</v>
      </c>
      <c r="K200" s="2014">
        <f>M169</f>
        <v>0</v>
      </c>
      <c r="L200" s="7133"/>
      <c r="M200" s="7134"/>
      <c r="N200" s="7135"/>
      <c r="O200" s="1933"/>
      <c r="P200" s="1341"/>
    </row>
    <row r="201" spans="2:24" ht="15.75" x14ac:dyDescent="0.25">
      <c r="B201" s="1341"/>
      <c r="C201" s="1933"/>
      <c r="D201" s="1995" t="s">
        <v>183</v>
      </c>
      <c r="E201" s="2003">
        <f>N38</f>
        <v>0</v>
      </c>
      <c r="F201" s="2014">
        <f>N73</f>
        <v>0</v>
      </c>
      <c r="G201" s="7121">
        <f>N97</f>
        <v>0</v>
      </c>
      <c r="H201" s="7121"/>
      <c r="I201" s="2014">
        <f>N121</f>
        <v>0</v>
      </c>
      <c r="J201" s="2014">
        <f>N145</f>
        <v>0</v>
      </c>
      <c r="K201" s="2014">
        <f>N169</f>
        <v>0</v>
      </c>
      <c r="L201" s="7133"/>
      <c r="M201" s="7134"/>
      <c r="N201" s="7135"/>
      <c r="O201" s="1933"/>
      <c r="P201" s="1341"/>
    </row>
    <row r="202" spans="2:24" s="1468" customFormat="1" ht="16.5" thickBot="1" x14ac:dyDescent="0.3">
      <c r="B202" s="2008"/>
      <c r="C202" s="2009"/>
      <c r="D202" s="2007" t="s">
        <v>16</v>
      </c>
      <c r="E202" s="2049">
        <f>SUM(E198:E201)</f>
        <v>0</v>
      </c>
      <c r="F202" s="2012">
        <f>SUM(F198:F201)</f>
        <v>0</v>
      </c>
      <c r="G202" s="7155">
        <f>SUM(G198:H201)</f>
        <v>0</v>
      </c>
      <c r="H202" s="7155"/>
      <c r="I202" s="2012">
        <f>SUM(I198:I201)</f>
        <v>0</v>
      </c>
      <c r="J202" s="2012">
        <f>SUM(J198:J201)</f>
        <v>0</v>
      </c>
      <c r="K202" s="2012">
        <f>SUM(K198:K201)</f>
        <v>0</v>
      </c>
      <c r="L202" s="7146"/>
      <c r="M202" s="7147"/>
      <c r="N202" s="7148"/>
      <c r="O202" s="2009"/>
      <c r="P202" s="2008"/>
    </row>
    <row r="203" spans="2:24" x14ac:dyDescent="0.25">
      <c r="B203" s="1341"/>
      <c r="C203" s="1933"/>
      <c r="D203" s="1933"/>
      <c r="E203" s="1934"/>
      <c r="F203" s="1933"/>
      <c r="G203" s="1933"/>
      <c r="H203" s="1933"/>
      <c r="I203" s="1933"/>
      <c r="J203" s="1933"/>
      <c r="K203" s="1933"/>
      <c r="L203" s="1933"/>
      <c r="M203" s="1934"/>
      <c r="N203" s="1933"/>
      <c r="O203" s="1933"/>
      <c r="P203" s="1341"/>
    </row>
    <row r="204" spans="2:24" x14ac:dyDescent="0.25">
      <c r="B204" s="1341"/>
      <c r="C204" s="1341"/>
      <c r="D204" s="1341"/>
      <c r="E204" s="1808"/>
      <c r="F204" s="1341"/>
      <c r="G204" s="1341"/>
      <c r="H204" s="1341"/>
      <c r="I204" s="1341"/>
      <c r="J204" s="1341"/>
      <c r="K204" s="1341"/>
      <c r="L204" s="1341"/>
      <c r="M204" s="1808"/>
      <c r="N204" s="1341"/>
      <c r="O204" s="1341"/>
      <c r="P204" s="1341"/>
    </row>
    <row r="206" spans="2:24" x14ac:dyDescent="0.25">
      <c r="F206" s="1990"/>
      <c r="G206" s="1990"/>
      <c r="H206" s="1990"/>
      <c r="I206" s="1990"/>
      <c r="J206" s="1990"/>
      <c r="K206" s="1990"/>
    </row>
    <row r="207" spans="2:24" x14ac:dyDescent="0.25">
      <c r="F207" s="1990"/>
      <c r="G207" s="1990"/>
      <c r="H207" s="1990"/>
      <c r="I207" s="1990"/>
      <c r="J207" s="1990"/>
      <c r="K207" s="1990"/>
    </row>
  </sheetData>
  <sheetProtection selectLockedCells="1"/>
  <mergeCells count="94">
    <mergeCell ref="C12:O12"/>
    <mergeCell ref="C10:D10"/>
    <mergeCell ref="G10:J10"/>
    <mergeCell ref="L10:N10"/>
    <mergeCell ref="T17:W17"/>
    <mergeCell ref="S18:W18"/>
    <mergeCell ref="S19:W19"/>
    <mergeCell ref="E19:N19"/>
    <mergeCell ref="S33:T33"/>
    <mergeCell ref="I55:N55"/>
    <mergeCell ref="D55:G55"/>
    <mergeCell ref="I36:J36"/>
    <mergeCell ref="I79:N79"/>
    <mergeCell ref="D43:F44"/>
    <mergeCell ref="D45:F46"/>
    <mergeCell ref="I69:J69"/>
    <mergeCell ref="L69:M69"/>
    <mergeCell ref="I71:J71"/>
    <mergeCell ref="E77:N77"/>
    <mergeCell ref="D86:G86"/>
    <mergeCell ref="D28:G28"/>
    <mergeCell ref="C2:L2"/>
    <mergeCell ref="C4:O4"/>
    <mergeCell ref="C6:O6"/>
    <mergeCell ref="E53:N53"/>
    <mergeCell ref="D62:G62"/>
    <mergeCell ref="C13:O13"/>
    <mergeCell ref="C9:O9"/>
    <mergeCell ref="I35:J35"/>
    <mergeCell ref="L35:M35"/>
    <mergeCell ref="I37:J37"/>
    <mergeCell ref="I70:J70"/>
    <mergeCell ref="D21:G21"/>
    <mergeCell ref="I21:N21"/>
    <mergeCell ref="D79:G79"/>
    <mergeCell ref="D103:G103"/>
    <mergeCell ref="I103:N103"/>
    <mergeCell ref="D110:G110"/>
    <mergeCell ref="E175:E176"/>
    <mergeCell ref="D175:D176"/>
    <mergeCell ref="G176:H176"/>
    <mergeCell ref="E149:N149"/>
    <mergeCell ref="D151:G151"/>
    <mergeCell ref="I151:N151"/>
    <mergeCell ref="D158:G158"/>
    <mergeCell ref="I127:N127"/>
    <mergeCell ref="D134:G134"/>
    <mergeCell ref="D127:G127"/>
    <mergeCell ref="I117:J117"/>
    <mergeCell ref="L117:M117"/>
    <mergeCell ref="I119:J119"/>
    <mergeCell ref="I94:J94"/>
    <mergeCell ref="I93:J93"/>
    <mergeCell ref="L93:M93"/>
    <mergeCell ref="I95:J95"/>
    <mergeCell ref="E101:N101"/>
    <mergeCell ref="I142:J142"/>
    <mergeCell ref="I141:J141"/>
    <mergeCell ref="L141:M141"/>
    <mergeCell ref="I143:J143"/>
    <mergeCell ref="I118:J118"/>
    <mergeCell ref="E125:N125"/>
    <mergeCell ref="L192:N196"/>
    <mergeCell ref="L198:N202"/>
    <mergeCell ref="I166:J166"/>
    <mergeCell ref="G190:H190"/>
    <mergeCell ref="G196:H196"/>
    <mergeCell ref="G201:H201"/>
    <mergeCell ref="G184:H184"/>
    <mergeCell ref="G195:H195"/>
    <mergeCell ref="G198:H198"/>
    <mergeCell ref="G199:H199"/>
    <mergeCell ref="G200:H200"/>
    <mergeCell ref="G192:H192"/>
    <mergeCell ref="G193:H193"/>
    <mergeCell ref="G194:H194"/>
    <mergeCell ref="G202:H202"/>
    <mergeCell ref="G175:H175"/>
    <mergeCell ref="I165:J165"/>
    <mergeCell ref="G186:H186"/>
    <mergeCell ref="L165:M165"/>
    <mergeCell ref="I167:J167"/>
    <mergeCell ref="L175:N176"/>
    <mergeCell ref="L178:N180"/>
    <mergeCell ref="L182:N184"/>
    <mergeCell ref="L186:N190"/>
    <mergeCell ref="G187:H187"/>
    <mergeCell ref="G188:H188"/>
    <mergeCell ref="G189:H189"/>
    <mergeCell ref="G178:H178"/>
    <mergeCell ref="G179:H179"/>
    <mergeCell ref="G180:H180"/>
    <mergeCell ref="G182:H182"/>
    <mergeCell ref="G183:H183"/>
  </mergeCells>
  <conditionalFormatting sqref="R14:X55">
    <cfRule type="expression" dxfId="38" priority="305">
      <formula>$Z$15&lt;&gt;TRUE</formula>
    </cfRule>
  </conditionalFormatting>
  <dataValidations count="1">
    <dataValidation type="list" allowBlank="1" showInputMessage="1" showErrorMessage="1" promptTitle="Customise weightages" prompt="Customise weightages to define a scoring pattern based on your city's priorities. Provide weightages to each KPI in a scale of 1 to 10." sqref="T17:W17">
      <formula1>"I. EQUAL WEIGHTAGE, II. CUSTOMISE WEIGHTAGE"</formula1>
    </dataValidation>
  </dataValidations>
  <hyperlinks>
    <hyperlink ref="C10:D10" location="'PIP options'!D15" display="Key aspects of PIP "/>
    <hyperlink ref="G10:J10" location="'PIP options'!D49" display="Summary of PIP options"/>
    <hyperlink ref="L10:N10" location="'PIP options'!D172" display="Comparison of PIP options"/>
  </hyperlinks>
  <printOptions horizontalCentered="1"/>
  <pageMargins left="0.19685039370078741" right="0.11811023622047245" top="0.11811023622047245" bottom="0.11811023622047245" header="0.11811023622047245" footer="0.11811023622047245"/>
  <pageSetup paperSize="9" scale="52" fitToHeight="0" orientation="portrait" r:id="rId1"/>
  <rowBreaks count="2" manualBreakCount="2">
    <brk id="74" min="1" max="15" man="1"/>
    <brk id="171" min="1" max="15" man="1"/>
  </rowBreaks>
  <colBreaks count="1" manualBreakCount="1">
    <brk id="16" max="203" man="1"/>
  </colBreaks>
  <drawing r:id="rId2"/>
  <legacyDrawing r:id="rId3"/>
  <mc:AlternateContent xmlns:mc="http://schemas.openxmlformats.org/markup-compatibility/2006">
    <mc:Choice Requires="x14">
      <controls>
        <mc:AlternateContent xmlns:mc="http://schemas.openxmlformats.org/markup-compatibility/2006">
          <mc:Choice Requires="x14">
            <control shapeId="140307" r:id="rId4" name="Check Box 19">
              <controlPr locked="0" defaultSize="0" autoFill="0" autoLine="0" autoPict="0">
                <anchor moveWithCells="1">
                  <from>
                    <xdr:col>3</xdr:col>
                    <xdr:colOff>28575</xdr:colOff>
                    <xdr:row>15</xdr:row>
                    <xdr:rowOff>76200</xdr:rowOff>
                  </from>
                  <to>
                    <xdr:col>11</xdr:col>
                    <xdr:colOff>428625</xdr:colOff>
                    <xdr:row>16</xdr:row>
                    <xdr:rowOff>152400</xdr:rowOff>
                  </to>
                </anchor>
              </controlPr>
            </control>
          </mc:Choice>
        </mc:AlternateContent>
        <mc:AlternateContent xmlns:mc="http://schemas.openxmlformats.org/markup-compatibility/2006">
          <mc:Choice Requires="x14">
            <control shapeId="140309" r:id="rId5" name="Button 21">
              <controlPr defaultSize="0" print="0" autoFill="0" autoPict="0" macro="[0]!Print_Sheet" altText="Print this page">
                <anchor moveWithCells="1" sizeWithCells="1">
                  <from>
                    <xdr:col>13</xdr:col>
                    <xdr:colOff>219075</xdr:colOff>
                    <xdr:row>5</xdr:row>
                    <xdr:rowOff>28575</xdr:rowOff>
                  </from>
                  <to>
                    <xdr:col>14</xdr:col>
                    <xdr:colOff>219075</xdr:colOff>
                    <xdr:row>5</xdr:row>
                    <xdr:rowOff>285750</xdr:rowOff>
                  </to>
                </anchor>
              </controlPr>
            </control>
          </mc:Choice>
        </mc:AlternateContent>
        <mc:AlternateContent xmlns:mc="http://schemas.openxmlformats.org/markup-compatibility/2006">
          <mc:Choice Requires="x14">
            <control shapeId="140310" r:id="rId6" name="Button 22">
              <controlPr defaultSize="0" print="0" autoFill="0" autoPict="0" macro="[0]!ResetInputCells" altText="Print this page">
                <anchor moveWithCells="1" sizeWithCells="1">
                  <from>
                    <xdr:col>12</xdr:col>
                    <xdr:colOff>85725</xdr:colOff>
                    <xdr:row>5</xdr:row>
                    <xdr:rowOff>28575</xdr:rowOff>
                  </from>
                  <to>
                    <xdr:col>13</xdr:col>
                    <xdr:colOff>85725</xdr:colOff>
                    <xdr:row>5</xdr:row>
                    <xdr:rowOff>285750</xdr:rowOff>
                  </to>
                </anchor>
              </controlPr>
            </control>
          </mc:Choice>
        </mc:AlternateContent>
        <mc:AlternateContent xmlns:mc="http://schemas.openxmlformats.org/markup-compatibility/2006">
          <mc:Choice Requires="x14">
            <control shapeId="140312" r:id="rId7" name="Button 24">
              <controlPr defaultSize="0" print="0" autoFill="0" autoPict="0" macro="[0]!Print_PIP" altText="Print this page">
                <anchor moveWithCells="1" sizeWithCells="1">
                  <from>
                    <xdr:col>12</xdr:col>
                    <xdr:colOff>76200</xdr:colOff>
                    <xdr:row>7</xdr:row>
                    <xdr:rowOff>133350</xdr:rowOff>
                  </from>
                  <to>
                    <xdr:col>14</xdr:col>
                    <xdr:colOff>228600</xdr:colOff>
                    <xdr:row>7</xdr:row>
                    <xdr:rowOff>428625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1" tint="0.499984740745262"/>
    <pageSetUpPr fitToPage="1"/>
  </sheetPr>
  <dimension ref="A1:L194"/>
  <sheetViews>
    <sheetView zoomScale="60" zoomScaleNormal="60" zoomScaleSheetLayoutView="40" workbookViewId="0">
      <pane xSplit="1" ySplit="12" topLeftCell="B127" activePane="bottomRight" state="frozen"/>
      <selection pane="topRight" activeCell="B1" sqref="B1"/>
      <selection pane="bottomLeft" activeCell="A13" sqref="A13"/>
      <selection pane="bottomRight" activeCell="H132" sqref="H132"/>
    </sheetView>
  </sheetViews>
  <sheetFormatPr defaultRowHeight="15" x14ac:dyDescent="0.25"/>
  <cols>
    <col min="1" max="1" width="5.7109375" style="1316" customWidth="1"/>
    <col min="2" max="2" width="7" style="1316" customWidth="1"/>
    <col min="3" max="3" width="11" style="1316" customWidth="1"/>
    <col min="4" max="4" width="33.7109375" style="1316" customWidth="1"/>
    <col min="5" max="5" width="54.28515625" style="1759" customWidth="1"/>
    <col min="6" max="6" width="85.7109375" style="1759" customWidth="1"/>
    <col min="7" max="7" width="56.5703125" style="1316" customWidth="1"/>
    <col min="8" max="8" width="56.7109375" style="1316" customWidth="1"/>
    <col min="9" max="9" width="13.5703125" style="3724" customWidth="1"/>
    <col min="10" max="10" width="6.85546875" style="1316" customWidth="1"/>
    <col min="11" max="11" width="5.7109375" style="1316" customWidth="1"/>
    <col min="12" max="16384" width="9.140625" style="1316"/>
  </cols>
  <sheetData>
    <row r="1" spans="1:12" s="1311" customFormat="1" ht="7.5" customHeight="1" x14ac:dyDescent="0.25">
      <c r="I1" s="3648"/>
      <c r="L1" s="1312"/>
    </row>
    <row r="2" spans="1:12" s="1311" customFormat="1" ht="58.5" customHeight="1" x14ac:dyDescent="0.8">
      <c r="B2" s="1313"/>
      <c r="C2" s="6831" t="s">
        <v>2088</v>
      </c>
      <c r="D2" s="6831"/>
      <c r="E2" s="6831"/>
      <c r="F2" s="6831"/>
      <c r="G2" s="6831"/>
      <c r="H2" s="5834"/>
      <c r="I2" s="3650"/>
      <c r="J2" s="1869"/>
      <c r="L2" s="1312"/>
    </row>
    <row r="3" spans="1:12" s="1311" customFormat="1" ht="5.25" customHeight="1" x14ac:dyDescent="0.25">
      <c r="B3" s="1318"/>
      <c r="C3" s="1322"/>
      <c r="D3" s="1322"/>
      <c r="E3" s="1322"/>
      <c r="F3" s="1322"/>
      <c r="G3" s="1322"/>
      <c r="H3" s="1322"/>
      <c r="I3" s="3718"/>
      <c r="J3" s="803"/>
      <c r="L3" s="1312"/>
    </row>
    <row r="4" spans="1:12" s="1311" customFormat="1" ht="31.5" x14ac:dyDescent="0.25">
      <c r="B4" s="1318"/>
      <c r="C4" s="6852" t="s">
        <v>3084</v>
      </c>
      <c r="D4" s="6852"/>
      <c r="E4" s="6852"/>
      <c r="F4" s="6852"/>
      <c r="G4" s="6852"/>
      <c r="H4" s="5835"/>
      <c r="I4" s="3649"/>
      <c r="J4" s="803"/>
      <c r="L4" s="1312"/>
    </row>
    <row r="5" spans="1:12" s="1311" customFormat="1" ht="6.75" customHeight="1" x14ac:dyDescent="0.25">
      <c r="B5" s="1318"/>
      <c r="C5" s="1322"/>
      <c r="D5" s="1322"/>
      <c r="E5" s="1322"/>
      <c r="F5" s="1322"/>
      <c r="G5" s="1322"/>
      <c r="H5" s="1322"/>
      <c r="I5" s="3718"/>
      <c r="J5" s="803"/>
      <c r="L5" s="1312"/>
    </row>
    <row r="6" spans="1:12" s="1324" customFormat="1" ht="28.5" x14ac:dyDescent="0.25">
      <c r="B6" s="7211"/>
      <c r="C6" s="6185"/>
      <c r="D6" s="7208" t="s">
        <v>734</v>
      </c>
      <c r="E6" s="7208"/>
      <c r="F6" s="7208"/>
      <c r="G6" s="7208"/>
      <c r="H6" s="5836"/>
      <c r="I6" s="3651"/>
      <c r="J6" s="803"/>
      <c r="K6" s="1311"/>
      <c r="L6" s="1592"/>
    </row>
    <row r="7" spans="1:12" s="1324" customFormat="1" ht="9.75" customHeight="1" x14ac:dyDescent="0.25">
      <c r="B7" s="3396"/>
      <c r="C7" s="3386"/>
      <c r="D7" s="3387"/>
      <c r="E7" s="3387"/>
      <c r="F7" s="3387"/>
      <c r="G7" s="3387"/>
      <c r="H7" s="5831"/>
      <c r="I7" s="3646"/>
      <c r="J7" s="813"/>
      <c r="K7" s="1311"/>
      <c r="L7" s="1592"/>
    </row>
    <row r="8" spans="1:12" s="1328" customFormat="1" ht="30.75" customHeight="1" x14ac:dyDescent="0.25">
      <c r="B8" s="1329"/>
      <c r="C8" s="6350" t="s">
        <v>876</v>
      </c>
      <c r="D8" s="6350"/>
      <c r="E8" s="6350"/>
      <c r="F8" s="6350"/>
      <c r="G8" s="6350"/>
      <c r="H8" s="5832"/>
      <c r="I8" s="3647"/>
      <c r="J8" s="1331"/>
      <c r="K8" s="1311"/>
      <c r="L8" s="1312"/>
    </row>
    <row r="9" spans="1:12" s="1328" customFormat="1" ht="27.75" customHeight="1" x14ac:dyDescent="0.25">
      <c r="A9" s="5468" t="s">
        <v>184</v>
      </c>
      <c r="B9" s="1764"/>
      <c r="C9" s="815"/>
      <c r="D9" s="6470" t="s">
        <v>181</v>
      </c>
      <c r="E9" s="6470"/>
      <c r="F9" s="5311" t="s">
        <v>1009</v>
      </c>
      <c r="G9" s="5311" t="s">
        <v>83</v>
      </c>
      <c r="H9" s="5833"/>
      <c r="I9" s="3652"/>
      <c r="J9" s="814"/>
      <c r="K9" s="1311"/>
      <c r="L9" s="1312"/>
    </row>
    <row r="10" spans="1:12" s="1328" customFormat="1" ht="70.5" customHeight="1" x14ac:dyDescent="0.25">
      <c r="B10" s="7210" t="s">
        <v>766</v>
      </c>
      <c r="C10" s="7210"/>
      <c r="D10" s="6298" t="s">
        <v>1972</v>
      </c>
      <c r="E10" s="7209"/>
      <c r="F10" s="7209"/>
      <c r="G10" s="7209"/>
      <c r="H10" s="7209"/>
      <c r="I10" s="7209"/>
      <c r="J10" s="7209"/>
      <c r="K10" s="1311"/>
      <c r="L10" s="1312"/>
    </row>
    <row r="11" spans="1:12" s="1311" customFormat="1" x14ac:dyDescent="0.25">
      <c r="B11" s="1364"/>
      <c r="C11" s="1364"/>
      <c r="D11" s="1364"/>
      <c r="E11" s="1380"/>
      <c r="F11" s="1380"/>
      <c r="G11" s="1364"/>
      <c r="H11" s="1364"/>
      <c r="I11" s="3502"/>
      <c r="J11" s="1364"/>
    </row>
    <row r="12" spans="1:12" s="1311" customFormat="1" ht="21" x14ac:dyDescent="0.35">
      <c r="B12" s="1364"/>
      <c r="C12" s="1871" t="s">
        <v>1018</v>
      </c>
      <c r="D12" s="1871" t="s">
        <v>697</v>
      </c>
      <c r="E12" s="1872" t="s">
        <v>698</v>
      </c>
      <c r="F12" s="1872" t="s">
        <v>699</v>
      </c>
      <c r="G12" s="7216" t="s">
        <v>700</v>
      </c>
      <c r="H12" s="7216"/>
      <c r="I12" s="1871" t="s">
        <v>878</v>
      </c>
      <c r="J12" s="1364"/>
    </row>
    <row r="13" spans="1:12" s="1311" customFormat="1" x14ac:dyDescent="0.25">
      <c r="B13" s="1364"/>
      <c r="C13" s="1364"/>
      <c r="D13" s="1364"/>
      <c r="E13" s="1380"/>
      <c r="F13" s="1380"/>
      <c r="G13" s="1364"/>
      <c r="H13" s="1364"/>
      <c r="I13" s="3502"/>
      <c r="J13" s="1364"/>
    </row>
    <row r="14" spans="1:12" s="1870" customFormat="1" ht="34.5" customHeight="1" x14ac:dyDescent="0.6">
      <c r="B14" s="3393"/>
      <c r="C14" s="7223" t="s">
        <v>84</v>
      </c>
      <c r="D14" s="7223"/>
      <c r="E14" s="7223"/>
      <c r="F14" s="7223"/>
      <c r="G14" s="7223"/>
      <c r="H14" s="7223"/>
      <c r="I14" s="7223"/>
      <c r="J14" s="7223"/>
    </row>
    <row r="15" spans="1:12" s="1311" customFormat="1" x14ac:dyDescent="0.25">
      <c r="B15" s="1364"/>
      <c r="C15" s="1364"/>
      <c r="D15" s="1364"/>
      <c r="E15" s="1380"/>
      <c r="F15" s="1380"/>
      <c r="G15" s="1364"/>
      <c r="H15" s="1364"/>
      <c r="I15" s="3502"/>
      <c r="J15" s="1364"/>
    </row>
    <row r="16" spans="1:12" ht="25.5" customHeight="1" x14ac:dyDescent="0.25">
      <c r="A16" s="1311"/>
      <c r="B16" s="1364"/>
      <c r="C16" s="1873"/>
      <c r="D16" s="1874" t="s">
        <v>570</v>
      </c>
      <c r="E16" s="1875"/>
      <c r="F16" s="1875"/>
      <c r="G16" s="1874"/>
      <c r="H16" s="1874"/>
      <c r="I16" s="3719"/>
      <c r="J16" s="1364"/>
    </row>
    <row r="17" spans="1:10" ht="56.25" customHeight="1" x14ac:dyDescent="0.25">
      <c r="A17" s="1311"/>
      <c r="B17" s="1364"/>
      <c r="C17" s="1876" t="s">
        <v>3159</v>
      </c>
      <c r="D17" s="1877" t="s">
        <v>3613</v>
      </c>
      <c r="E17" s="1878" t="str">
        <f>'WS Plan'!F22</f>
        <v xml:space="preserve">Household survey to assess water supply services </v>
      </c>
      <c r="F17" s="1880" t="s">
        <v>3624</v>
      </c>
      <c r="G17" s="1879" t="s">
        <v>3608</v>
      </c>
      <c r="H17" s="5837"/>
      <c r="I17" s="2916" t="s">
        <v>877</v>
      </c>
      <c r="J17" s="1364"/>
    </row>
    <row r="18" spans="1:10" ht="36.75" customHeight="1" x14ac:dyDescent="0.25">
      <c r="A18" s="1311"/>
      <c r="B18" s="1364"/>
      <c r="C18" s="1876" t="s">
        <v>3160</v>
      </c>
      <c r="D18" s="1879" t="s">
        <v>3613</v>
      </c>
      <c r="E18" s="1878" t="str">
        <f>'WS Plan'!F28</f>
        <v>Computerise water supply records</v>
      </c>
      <c r="F18" s="1880" t="s">
        <v>3660</v>
      </c>
      <c r="G18" s="1878" t="s">
        <v>3609</v>
      </c>
      <c r="H18" s="5838"/>
      <c r="I18" s="2916" t="s">
        <v>877</v>
      </c>
      <c r="J18" s="1364"/>
    </row>
    <row r="19" spans="1:10" ht="69" customHeight="1" x14ac:dyDescent="0.25">
      <c r="A19" s="1311"/>
      <c r="B19" s="1364"/>
      <c r="C19" s="1876" t="s">
        <v>3161</v>
      </c>
      <c r="D19" s="1878" t="s">
        <v>3614</v>
      </c>
      <c r="E19" s="1878" t="str">
        <f>'WS Plan'!F34</f>
        <v>Process improvement for new water supply connection applications</v>
      </c>
      <c r="F19" s="1880" t="s">
        <v>3662</v>
      </c>
      <c r="G19" s="1879" t="s">
        <v>869</v>
      </c>
      <c r="H19" s="5837"/>
      <c r="I19" s="2916" t="s">
        <v>877</v>
      </c>
      <c r="J19" s="1364"/>
    </row>
    <row r="20" spans="1:10" ht="39" customHeight="1" x14ac:dyDescent="0.25">
      <c r="A20" s="1311"/>
      <c r="B20" s="1364"/>
      <c r="C20" s="1876" t="s">
        <v>3162</v>
      </c>
      <c r="D20" s="1878" t="s">
        <v>3614</v>
      </c>
      <c r="E20" s="1878" t="str">
        <f>'WS Plan'!F35</f>
        <v>Policy for providing individual water connections in slums</v>
      </c>
      <c r="F20" s="1880" t="s">
        <v>875</v>
      </c>
      <c r="G20" s="1879" t="s">
        <v>869</v>
      </c>
      <c r="H20" s="5837"/>
      <c r="I20" s="2916" t="s">
        <v>877</v>
      </c>
      <c r="J20" s="1364"/>
    </row>
    <row r="21" spans="1:10" ht="73.5" customHeight="1" x14ac:dyDescent="0.25">
      <c r="A21" s="1311"/>
      <c r="B21" s="1364"/>
      <c r="C21" s="1876" t="s">
        <v>3163</v>
      </c>
      <c r="D21" s="1878" t="s">
        <v>3615</v>
      </c>
      <c r="E21" s="1878" t="str">
        <f>'WS Plan'!F39</f>
        <v>Regularise unauthorised water supply connections</v>
      </c>
      <c r="F21" s="1880" t="s">
        <v>3625</v>
      </c>
      <c r="G21" s="1879" t="s">
        <v>871</v>
      </c>
      <c r="H21" s="5837"/>
      <c r="I21" s="2916" t="s">
        <v>877</v>
      </c>
      <c r="J21" s="1364"/>
    </row>
    <row r="22" spans="1:10" ht="54.75" customHeight="1" x14ac:dyDescent="0.25">
      <c r="A22" s="1311"/>
      <c r="B22" s="1364"/>
      <c r="C22" s="1876" t="s">
        <v>3164</v>
      </c>
      <c r="D22" s="1878" t="s">
        <v>3615</v>
      </c>
      <c r="E22" s="1878" t="str">
        <f>'WS Plan'!F44</f>
        <v>Increase connections using existing water supply distribution network</v>
      </c>
      <c r="F22" s="1880" t="s">
        <v>3626</v>
      </c>
      <c r="G22" s="1879" t="s">
        <v>870</v>
      </c>
      <c r="H22" s="5837"/>
      <c r="I22" s="2916" t="s">
        <v>877</v>
      </c>
      <c r="J22" s="1364"/>
    </row>
    <row r="23" spans="1:10" ht="58.5" customHeight="1" x14ac:dyDescent="0.25">
      <c r="A23" s="1311"/>
      <c r="B23" s="1364"/>
      <c r="C23" s="1876" t="s">
        <v>3165</v>
      </c>
      <c r="D23" s="1878" t="s">
        <v>3615</v>
      </c>
      <c r="E23" s="1878" t="str">
        <f>'WS Plan'!F49</f>
        <v>Convert stand posts/public taps into group connections</v>
      </c>
      <c r="F23" s="1880" t="s">
        <v>3627</v>
      </c>
      <c r="G23" s="1879" t="s">
        <v>870</v>
      </c>
      <c r="H23" s="5837"/>
      <c r="I23" s="2916" t="s">
        <v>877</v>
      </c>
      <c r="J23" s="1364"/>
    </row>
    <row r="24" spans="1:10" ht="57.75" customHeight="1" x14ac:dyDescent="0.25">
      <c r="A24" s="1311"/>
      <c r="B24" s="1364"/>
      <c r="C24" s="1876" t="s">
        <v>3166</v>
      </c>
      <c r="D24" s="1878" t="s">
        <v>208</v>
      </c>
      <c r="E24" s="1878" t="str">
        <f>'WS Plan'!F55</f>
        <v>Lay new water supply distribution network</v>
      </c>
      <c r="F24" s="1880" t="s">
        <v>3628</v>
      </c>
      <c r="G24" s="1878" t="s">
        <v>3695</v>
      </c>
      <c r="H24" s="5837"/>
      <c r="I24" s="2916" t="s">
        <v>877</v>
      </c>
      <c r="J24" s="1364"/>
    </row>
    <row r="25" spans="1:10" ht="39.75" customHeight="1" x14ac:dyDescent="0.25">
      <c r="A25" s="1311"/>
      <c r="B25" s="1364"/>
      <c r="C25" s="1876" t="s">
        <v>3167</v>
      </c>
      <c r="D25" s="1878" t="s">
        <v>208</v>
      </c>
      <c r="E25" s="1878" t="str">
        <f>'WS Plan'!F64</f>
        <v>Lay internal infrastructure of water supply lines in slums</v>
      </c>
      <c r="F25" s="1880" t="s">
        <v>3631</v>
      </c>
      <c r="G25" s="1878" t="s">
        <v>3695</v>
      </c>
      <c r="H25" s="5837"/>
      <c r="I25" s="2916" t="s">
        <v>877</v>
      </c>
      <c r="J25" s="1364"/>
    </row>
    <row r="26" spans="1:10" ht="25.5" customHeight="1" x14ac:dyDescent="0.25">
      <c r="A26" s="1311"/>
      <c r="B26" s="1364"/>
      <c r="C26" s="1873"/>
      <c r="D26" s="1874" t="s">
        <v>679</v>
      </c>
      <c r="E26" s="1875"/>
      <c r="F26" s="1875"/>
      <c r="G26" s="1874"/>
      <c r="H26" s="1874"/>
      <c r="I26" s="3719"/>
      <c r="J26" s="1364"/>
    </row>
    <row r="27" spans="1:10" ht="57" customHeight="1" x14ac:dyDescent="0.25">
      <c r="A27" s="1311"/>
      <c r="B27" s="1364"/>
      <c r="C27" s="1876" t="s">
        <v>3168</v>
      </c>
      <c r="D27" s="1878" t="s">
        <v>3614</v>
      </c>
      <c r="E27" s="1878" t="str">
        <f>'WS Plan'!F76</f>
        <v>Improve water supply quality surveillance</v>
      </c>
      <c r="F27" s="1880" t="s">
        <v>3629</v>
      </c>
      <c r="G27" s="1619" t="s">
        <v>3610</v>
      </c>
      <c r="H27" s="5837"/>
      <c r="I27" s="2916" t="s">
        <v>877</v>
      </c>
      <c r="J27" s="1364"/>
    </row>
    <row r="28" spans="1:10" ht="51" customHeight="1" x14ac:dyDescent="0.25">
      <c r="A28" s="1311"/>
      <c r="B28" s="1364"/>
      <c r="C28" s="1876" t="s">
        <v>3169</v>
      </c>
      <c r="D28" s="1878" t="s">
        <v>3615</v>
      </c>
      <c r="E28" s="1878" t="str">
        <f>'WS Plan'!F80</f>
        <v>Increase continuity of water supply services</v>
      </c>
      <c r="F28" s="1880" t="s">
        <v>3630</v>
      </c>
      <c r="G28" s="1619"/>
      <c r="H28" s="5837"/>
      <c r="I28" s="2916" t="s">
        <v>877</v>
      </c>
      <c r="J28" s="1364"/>
    </row>
    <row r="29" spans="1:10" ht="36" customHeight="1" x14ac:dyDescent="0.25">
      <c r="A29" s="1311"/>
      <c r="B29" s="1364"/>
      <c r="C29" s="1876" t="s">
        <v>3170</v>
      </c>
      <c r="D29" s="1878" t="s">
        <v>3615</v>
      </c>
      <c r="E29" s="1878" t="str">
        <f>'WS Plan'!F87</f>
        <v>Repair existing water treatment plant to improve water quality</v>
      </c>
      <c r="F29" s="1880" t="s">
        <v>2917</v>
      </c>
      <c r="G29" s="1619"/>
      <c r="H29" s="5837"/>
      <c r="I29" s="2916" t="s">
        <v>877</v>
      </c>
      <c r="J29" s="1364"/>
    </row>
    <row r="30" spans="1:10" ht="36" customHeight="1" x14ac:dyDescent="0.25">
      <c r="A30" s="1311"/>
      <c r="B30" s="1364"/>
      <c r="C30" s="1876" t="s">
        <v>3171</v>
      </c>
      <c r="D30" s="1878" t="s">
        <v>3615</v>
      </c>
      <c r="E30" s="1878" t="str">
        <f>'WS Plan'!F94</f>
        <v>Treatment of untreated supply ground water</v>
      </c>
      <c r="F30" s="1880" t="s">
        <v>2104</v>
      </c>
      <c r="G30" s="1619"/>
      <c r="H30" s="5837"/>
      <c r="I30" s="2916" t="s">
        <v>877</v>
      </c>
      <c r="J30" s="1364"/>
    </row>
    <row r="31" spans="1:10" ht="36" customHeight="1" x14ac:dyDescent="0.25">
      <c r="A31" s="1311"/>
      <c r="B31" s="1364"/>
      <c r="C31" s="1876" t="s">
        <v>3172</v>
      </c>
      <c r="D31" s="1878" t="s">
        <v>208</v>
      </c>
      <c r="E31" s="1878" t="str">
        <f>'WS Plan'!F103</f>
        <v>Augment water supply - Own surface water</v>
      </c>
      <c r="F31" s="1880" t="s">
        <v>873</v>
      </c>
      <c r="G31" s="1619"/>
      <c r="H31" s="5837"/>
      <c r="I31" s="2916" t="s">
        <v>877</v>
      </c>
      <c r="J31" s="1364"/>
    </row>
    <row r="32" spans="1:10" ht="36" customHeight="1" x14ac:dyDescent="0.25">
      <c r="A32" s="1311"/>
      <c r="B32" s="1364"/>
      <c r="C32" s="1876" t="s">
        <v>3173</v>
      </c>
      <c r="D32" s="1878" t="s">
        <v>208</v>
      </c>
      <c r="E32" s="1878" t="str">
        <f>'WS Plan'!F108</f>
        <v>Augment water supply - Ground water</v>
      </c>
      <c r="F32" s="1880" t="s">
        <v>3632</v>
      </c>
      <c r="G32" s="1619"/>
      <c r="H32" s="5837"/>
      <c r="I32" s="2916" t="s">
        <v>877</v>
      </c>
      <c r="J32" s="1364"/>
    </row>
    <row r="33" spans="1:10" ht="56.25" customHeight="1" x14ac:dyDescent="0.25">
      <c r="A33" s="1311"/>
      <c r="B33" s="1364"/>
      <c r="C33" s="1876" t="s">
        <v>3174</v>
      </c>
      <c r="D33" s="1878" t="s">
        <v>208</v>
      </c>
      <c r="E33" s="1878" t="str">
        <f>'WS Plan'!F113</f>
        <v xml:space="preserve">Augment water supply - Buy additional treated bulk water </v>
      </c>
      <c r="F33" s="1880" t="s">
        <v>3633</v>
      </c>
      <c r="G33" s="1619"/>
      <c r="H33" s="5837"/>
      <c r="I33" s="2916" t="s">
        <v>877</v>
      </c>
      <c r="J33" s="1364"/>
    </row>
    <row r="34" spans="1:10" ht="51.75" customHeight="1" x14ac:dyDescent="0.25">
      <c r="A34" s="1311"/>
      <c r="B34" s="1364"/>
      <c r="C34" s="1876" t="s">
        <v>3175</v>
      </c>
      <c r="D34" s="1878" t="s">
        <v>208</v>
      </c>
      <c r="E34" s="1878" t="str">
        <f>'WS Plan'!F119</f>
        <v xml:space="preserve">Augment water supply - Buy additional raw bulk water </v>
      </c>
      <c r="F34" s="1880" t="s">
        <v>3634</v>
      </c>
      <c r="G34" s="1619"/>
      <c r="H34" s="5837"/>
      <c r="I34" s="2916" t="s">
        <v>877</v>
      </c>
      <c r="J34" s="1364"/>
    </row>
    <row r="35" spans="1:10" ht="36" customHeight="1" x14ac:dyDescent="0.25">
      <c r="A35" s="1311"/>
      <c r="B35" s="1364"/>
      <c r="C35" s="1876" t="s">
        <v>3177</v>
      </c>
      <c r="D35" s="1878" t="s">
        <v>208</v>
      </c>
      <c r="E35" s="1878" t="str">
        <f>'WS Plan'!F125</f>
        <v>Expand/replace water supply transmission network</v>
      </c>
      <c r="F35" s="1880" t="s">
        <v>872</v>
      </c>
      <c r="G35" s="1619"/>
      <c r="H35" s="5837"/>
      <c r="I35" s="2916" t="s">
        <v>877</v>
      </c>
      <c r="J35" s="1364"/>
    </row>
    <row r="36" spans="1:10" ht="36" customHeight="1" x14ac:dyDescent="0.25">
      <c r="A36" s="1311"/>
      <c r="B36" s="1364"/>
      <c r="C36" s="1876" t="s">
        <v>3176</v>
      </c>
      <c r="D36" s="1878" t="s">
        <v>208</v>
      </c>
      <c r="E36" s="1878" t="str">
        <f>'WS Plan'!F129</f>
        <v>Construct/augment water treatment plant</v>
      </c>
      <c r="F36" s="1880" t="s">
        <v>3635</v>
      </c>
      <c r="G36" s="1619"/>
      <c r="H36" s="5837"/>
      <c r="I36" s="2916" t="s">
        <v>877</v>
      </c>
      <c r="J36" s="1364"/>
    </row>
    <row r="37" spans="1:10" ht="36" customHeight="1" x14ac:dyDescent="0.25">
      <c r="A37" s="1311"/>
      <c r="B37" s="1364"/>
      <c r="C37" s="1876" t="s">
        <v>3178</v>
      </c>
      <c r="D37" s="1878" t="s">
        <v>208</v>
      </c>
      <c r="E37" s="1878" t="str">
        <f>'WS Plan'!F135</f>
        <v>Construct/augment water storage capacity</v>
      </c>
      <c r="F37" s="1880" t="s">
        <v>3636</v>
      </c>
      <c r="G37" s="1619"/>
      <c r="H37" s="5837"/>
      <c r="I37" s="2916" t="s">
        <v>877</v>
      </c>
      <c r="J37" s="1364"/>
    </row>
    <row r="38" spans="1:10" ht="25.5" customHeight="1" x14ac:dyDescent="0.25">
      <c r="A38" s="1311"/>
      <c r="B38" s="1364"/>
      <c r="C38" s="1873"/>
      <c r="D38" s="1874" t="s">
        <v>702</v>
      </c>
      <c r="E38" s="1875"/>
      <c r="F38" s="1875"/>
      <c r="G38" s="1874"/>
      <c r="H38" s="1874"/>
      <c r="I38" s="3719"/>
      <c r="J38" s="1364"/>
    </row>
    <row r="39" spans="1:10" ht="91.5" customHeight="1" x14ac:dyDescent="0.25">
      <c r="A39" s="1311"/>
      <c r="B39" s="1364"/>
      <c r="C39" s="1876" t="s">
        <v>3179</v>
      </c>
      <c r="D39" s="1878" t="s">
        <v>3613</v>
      </c>
      <c r="E39" s="1878" t="str">
        <f>'WS Plan'!F147</f>
        <v>Conduct water audit</v>
      </c>
      <c r="F39" s="1880" t="s">
        <v>3637</v>
      </c>
      <c r="G39" s="1881" t="s">
        <v>3611</v>
      </c>
      <c r="H39" s="5838"/>
      <c r="I39" s="2916" t="s">
        <v>877</v>
      </c>
      <c r="J39" s="1364"/>
    </row>
    <row r="40" spans="1:10" ht="89.25" customHeight="1" x14ac:dyDescent="0.25">
      <c r="A40" s="1311"/>
      <c r="B40" s="1364"/>
      <c r="C40" s="1876" t="s">
        <v>3180</v>
      </c>
      <c r="D40" s="1878" t="s">
        <v>3613</v>
      </c>
      <c r="E40" s="1878" t="str">
        <f>'WS Plan'!F149</f>
        <v>Conduct energy audit</v>
      </c>
      <c r="F40" s="1880" t="s">
        <v>1031</v>
      </c>
      <c r="G40" s="1878"/>
      <c r="H40" s="5838"/>
      <c r="I40" s="2916" t="s">
        <v>877</v>
      </c>
      <c r="J40" s="1364"/>
    </row>
    <row r="41" spans="1:10" ht="65.25" customHeight="1" x14ac:dyDescent="0.25">
      <c r="A41" s="1311"/>
      <c r="B41" s="1364"/>
      <c r="C41" s="1876" t="s">
        <v>3181</v>
      </c>
      <c r="D41" s="1878" t="s">
        <v>3613</v>
      </c>
      <c r="E41" s="1878" t="str">
        <f>'WS Plan'!F151</f>
        <v>Install bulk flow meters</v>
      </c>
      <c r="F41" s="1880" t="s">
        <v>874</v>
      </c>
      <c r="G41" s="1878" t="s">
        <v>3612</v>
      </c>
      <c r="H41" s="5838"/>
      <c r="I41" s="2916" t="s">
        <v>877</v>
      </c>
      <c r="J41" s="1364"/>
    </row>
    <row r="42" spans="1:10" ht="62.25" customHeight="1" x14ac:dyDescent="0.25">
      <c r="A42" s="1311"/>
      <c r="B42" s="1364"/>
      <c r="C42" s="1876" t="s">
        <v>3182</v>
      </c>
      <c r="D42" s="1878" t="s">
        <v>3613</v>
      </c>
      <c r="E42" s="1878" t="str">
        <f>'WS Plan'!F155</f>
        <v>Map water supply and wastewater network</v>
      </c>
      <c r="F42" s="1880" t="s">
        <v>3638</v>
      </c>
      <c r="G42" s="1881" t="s">
        <v>1049</v>
      </c>
      <c r="H42" s="5839"/>
      <c r="I42" s="2916" t="s">
        <v>877</v>
      </c>
      <c r="J42" s="1364"/>
    </row>
    <row r="43" spans="1:10" ht="62.25" customHeight="1" x14ac:dyDescent="0.25">
      <c r="A43" s="1311"/>
      <c r="B43" s="1364"/>
      <c r="C43" s="1876" t="s">
        <v>3183</v>
      </c>
      <c r="D43" s="1878" t="s">
        <v>3613</v>
      </c>
      <c r="E43" s="1878" t="str">
        <f>'WS Plan'!F159</f>
        <v>Conduct Hydraulic modelling</v>
      </c>
      <c r="F43" s="1880" t="s">
        <v>3639</v>
      </c>
      <c r="G43" s="1881" t="s">
        <v>1049</v>
      </c>
      <c r="H43" s="5839"/>
      <c r="I43" s="2916" t="s">
        <v>877</v>
      </c>
      <c r="J43" s="1364"/>
    </row>
    <row r="44" spans="1:10" ht="69.75" customHeight="1" x14ac:dyDescent="0.25">
      <c r="A44" s="1311"/>
      <c r="B44" s="1364"/>
      <c r="C44" s="1876" t="s">
        <v>3184</v>
      </c>
      <c r="D44" s="1878" t="s">
        <v>3613</v>
      </c>
      <c r="E44" s="1878" t="str">
        <f>'WS Plan'!F161</f>
        <v>Conduct Utilities survey (asset mapping)</v>
      </c>
      <c r="F44" s="1880" t="s">
        <v>3640</v>
      </c>
      <c r="G44" s="1879"/>
      <c r="H44" s="5837"/>
      <c r="I44" s="2916" t="s">
        <v>877</v>
      </c>
      <c r="J44" s="1364"/>
    </row>
    <row r="45" spans="1:10" ht="60" customHeight="1" x14ac:dyDescent="0.25">
      <c r="A45" s="1311"/>
      <c r="B45" s="1364"/>
      <c r="C45" s="1876" t="s">
        <v>3185</v>
      </c>
      <c r="D45" s="1878" t="s">
        <v>3614</v>
      </c>
      <c r="E45" s="1878" t="str">
        <f>'WS Plan'!F168</f>
        <v>Improve processes for regular checking of water losses</v>
      </c>
      <c r="F45" s="1880" t="s">
        <v>1032</v>
      </c>
      <c r="G45" s="1879" t="s">
        <v>869</v>
      </c>
      <c r="H45" s="5837"/>
      <c r="I45" s="2916" t="s">
        <v>877</v>
      </c>
      <c r="J45" s="1364"/>
    </row>
    <row r="46" spans="1:10" ht="45" customHeight="1" x14ac:dyDescent="0.25">
      <c r="A46" s="1311"/>
      <c r="B46" s="1364"/>
      <c r="C46" s="1876" t="s">
        <v>3186</v>
      </c>
      <c r="D46" s="1878" t="s">
        <v>3614</v>
      </c>
      <c r="E46" s="1878" t="str">
        <f>'WS Plan'!F169</f>
        <v>Policy to introduce universal consumer meters</v>
      </c>
      <c r="F46" s="1880" t="s">
        <v>3641</v>
      </c>
      <c r="G46" s="1879" t="s">
        <v>869</v>
      </c>
      <c r="H46" s="5837"/>
      <c r="I46" s="2916" t="s">
        <v>877</v>
      </c>
      <c r="J46" s="1364"/>
    </row>
    <row r="47" spans="1:10" ht="53.25" customHeight="1" x14ac:dyDescent="0.25">
      <c r="A47" s="1311"/>
      <c r="B47" s="1364"/>
      <c r="C47" s="1876" t="s">
        <v>3187</v>
      </c>
      <c r="D47" s="1878" t="s">
        <v>3614</v>
      </c>
      <c r="E47" s="1878" t="str">
        <f>'WS Plan'!F170</f>
        <v>Improve processes for management of consumer complaints</v>
      </c>
      <c r="F47" s="1880" t="s">
        <v>3642</v>
      </c>
      <c r="G47" s="1879"/>
      <c r="H47" s="5837"/>
      <c r="I47" s="2916" t="s">
        <v>877</v>
      </c>
      <c r="J47" s="1364"/>
    </row>
    <row r="48" spans="1:10" ht="69.75" customHeight="1" x14ac:dyDescent="0.25">
      <c r="A48" s="1311"/>
      <c r="B48" s="1364"/>
      <c r="C48" s="1876" t="s">
        <v>3188</v>
      </c>
      <c r="D48" s="1878" t="s">
        <v>3615</v>
      </c>
      <c r="E48" s="1878" t="str">
        <f>'WS Plan'!F174</f>
        <v>Reduce losses in trunk main transmission network</v>
      </c>
      <c r="F48" s="1880" t="s">
        <v>3644</v>
      </c>
      <c r="G48" s="1882" t="s">
        <v>3616</v>
      </c>
      <c r="H48" s="5840"/>
      <c r="I48" s="2916" t="s">
        <v>877</v>
      </c>
      <c r="J48" s="1364"/>
    </row>
    <row r="49" spans="1:10" ht="58.5" customHeight="1" x14ac:dyDescent="0.25">
      <c r="A49" s="1311"/>
      <c r="B49" s="1364"/>
      <c r="C49" s="1876" t="s">
        <v>3189</v>
      </c>
      <c r="D49" s="1878" t="s">
        <v>3615</v>
      </c>
      <c r="E49" s="1878" t="str">
        <f>'WS Plan'!F178</f>
        <v>Reduce losses at water treatment plant</v>
      </c>
      <c r="F49" s="1880" t="s">
        <v>3643</v>
      </c>
      <c r="G49" s="1879"/>
      <c r="H49" s="5837"/>
      <c r="I49" s="2916" t="s">
        <v>877</v>
      </c>
      <c r="J49" s="1364"/>
    </row>
    <row r="50" spans="1:10" ht="46.5" customHeight="1" x14ac:dyDescent="0.25">
      <c r="A50" s="1311"/>
      <c r="B50" s="1364"/>
      <c r="C50" s="1876" t="s">
        <v>3190</v>
      </c>
      <c r="D50" s="1878" t="s">
        <v>3615</v>
      </c>
      <c r="E50" s="1878" t="str">
        <f>'WS Plan'!F182</f>
        <v>Reduce losses in treated water transmission network</v>
      </c>
      <c r="F50" s="1880" t="s">
        <v>3645</v>
      </c>
      <c r="G50" s="1879"/>
      <c r="H50" s="5837"/>
      <c r="I50" s="2916" t="s">
        <v>877</v>
      </c>
      <c r="J50" s="1364"/>
    </row>
    <row r="51" spans="1:10" ht="60" customHeight="1" x14ac:dyDescent="0.25">
      <c r="A51" s="1311"/>
      <c r="B51" s="1364"/>
      <c r="C51" s="1876" t="s">
        <v>3191</v>
      </c>
      <c r="D51" s="1878" t="s">
        <v>3615</v>
      </c>
      <c r="E51" s="1878" t="str">
        <f>'WS Plan'!F189</f>
        <v>Refurbishment of water storage reservoirs</v>
      </c>
      <c r="F51" s="1880" t="s">
        <v>3646</v>
      </c>
      <c r="G51" s="1878" t="s">
        <v>3652</v>
      </c>
      <c r="H51" s="5838"/>
      <c r="I51" s="2916" t="s">
        <v>877</v>
      </c>
      <c r="J51" s="1364"/>
    </row>
    <row r="52" spans="1:10" ht="43.5" customHeight="1" x14ac:dyDescent="0.25">
      <c r="A52" s="1311"/>
      <c r="B52" s="1364"/>
      <c r="C52" s="1876" t="s">
        <v>3192</v>
      </c>
      <c r="D52" s="1878" t="s">
        <v>3615</v>
      </c>
      <c r="E52" s="1878" t="str">
        <f>'WS Plan'!F192</f>
        <v>Improvement in water supply distribution network</v>
      </c>
      <c r="F52" s="1880" t="s">
        <v>3649</v>
      </c>
      <c r="G52" s="1879"/>
      <c r="H52" s="5837"/>
      <c r="I52" s="2916" t="s">
        <v>877</v>
      </c>
      <c r="J52" s="1364"/>
    </row>
    <row r="53" spans="1:10" ht="54.75" customHeight="1" x14ac:dyDescent="0.25">
      <c r="A53" s="1311"/>
      <c r="B53" s="1364"/>
      <c r="C53" s="1876" t="s">
        <v>3193</v>
      </c>
      <c r="D53" s="1878" t="s">
        <v>3615</v>
      </c>
      <c r="E53" s="1878" t="str">
        <f>'WS Plan'!F195</f>
        <v>Plugging of leakages at valves</v>
      </c>
      <c r="F53" s="1880" t="s">
        <v>3650</v>
      </c>
      <c r="G53" s="1879"/>
      <c r="H53" s="5837"/>
      <c r="I53" s="2916" t="s">
        <v>877</v>
      </c>
      <c r="J53" s="1364"/>
    </row>
    <row r="54" spans="1:10" ht="56.25" customHeight="1" x14ac:dyDescent="0.25">
      <c r="A54" s="1311"/>
      <c r="B54" s="1364"/>
      <c r="C54" s="1876" t="s">
        <v>3194</v>
      </c>
      <c r="D54" s="1878" t="s">
        <v>3615</v>
      </c>
      <c r="E54" s="1878" t="str">
        <f>'WS Plan'!F198</f>
        <v>Replacement of service line connections</v>
      </c>
      <c r="F54" s="1880" t="s">
        <v>3651</v>
      </c>
      <c r="G54" s="1879" t="s">
        <v>3617</v>
      </c>
      <c r="H54" s="5837"/>
      <c r="I54" s="2916" t="s">
        <v>877</v>
      </c>
      <c r="J54" s="1364"/>
    </row>
    <row r="55" spans="1:10" ht="57.75" customHeight="1" x14ac:dyDescent="0.25">
      <c r="A55" s="1311"/>
      <c r="B55" s="1364"/>
      <c r="C55" s="1876" t="s">
        <v>3195</v>
      </c>
      <c r="D55" s="1878" t="s">
        <v>3615</v>
      </c>
      <c r="E55" s="1878" t="str">
        <f>'WS Plan'!F202</f>
        <v>Reduce free water supply</v>
      </c>
      <c r="F55" s="1880" t="s">
        <v>3653</v>
      </c>
      <c r="G55" s="1879" t="s">
        <v>869</v>
      </c>
      <c r="H55" s="5837"/>
      <c r="I55" s="2916" t="s">
        <v>877</v>
      </c>
      <c r="J55" s="1364"/>
    </row>
    <row r="56" spans="1:10" ht="57.75" customHeight="1" x14ac:dyDescent="0.25">
      <c r="A56" s="1311"/>
      <c r="B56" s="1364"/>
      <c r="C56" s="1876" t="s">
        <v>3196</v>
      </c>
      <c r="D56" s="1878" t="s">
        <v>3615</v>
      </c>
      <c r="E56" s="1878" t="str">
        <f>'WS Plan'!F206</f>
        <v>Repair non-functional metered water supply connections</v>
      </c>
      <c r="F56" s="1880" t="s">
        <v>3654</v>
      </c>
      <c r="G56" s="1878"/>
      <c r="H56" s="5838"/>
      <c r="I56" s="2916" t="s">
        <v>877</v>
      </c>
      <c r="J56" s="1364"/>
    </row>
    <row r="57" spans="1:10" ht="45" customHeight="1" x14ac:dyDescent="0.25">
      <c r="A57" s="1311"/>
      <c r="B57" s="1364"/>
      <c r="C57" s="1876" t="s">
        <v>3197</v>
      </c>
      <c r="D57" s="1878" t="s">
        <v>3615</v>
      </c>
      <c r="E57" s="1878" t="str">
        <f>'WS Plan'!F215</f>
        <v>Improve consumer grievance redressal system</v>
      </c>
      <c r="F57" s="1880" t="s">
        <v>1033</v>
      </c>
      <c r="G57" s="1879"/>
      <c r="H57" s="5837"/>
      <c r="I57" s="2916" t="s">
        <v>877</v>
      </c>
      <c r="J57" s="1364"/>
    </row>
    <row r="58" spans="1:10" ht="65.25" customHeight="1" x14ac:dyDescent="0.25">
      <c r="A58" s="1311"/>
      <c r="B58" s="1364"/>
      <c r="C58" s="1876" t="s">
        <v>3198</v>
      </c>
      <c r="D58" s="1878" t="s">
        <v>208</v>
      </c>
      <c r="E58" s="1878" t="str">
        <f>'WS Plan'!F222</f>
        <v>Metering of consumer water supply connections</v>
      </c>
      <c r="F58" s="1880" t="s">
        <v>3655</v>
      </c>
      <c r="G58" s="1878" t="s">
        <v>3696</v>
      </c>
      <c r="H58" s="5838"/>
      <c r="I58" s="2916" t="s">
        <v>877</v>
      </c>
      <c r="J58" s="1364"/>
    </row>
    <row r="59" spans="1:10" ht="25.5" customHeight="1" x14ac:dyDescent="0.25">
      <c r="A59" s="1311"/>
      <c r="B59" s="1364"/>
      <c r="C59" s="1873"/>
      <c r="D59" s="1874" t="s">
        <v>677</v>
      </c>
      <c r="E59" s="1875"/>
      <c r="F59" s="1875"/>
      <c r="G59" s="1874"/>
      <c r="H59" s="1874"/>
      <c r="I59" s="3719"/>
      <c r="J59" s="1364"/>
    </row>
    <row r="60" spans="1:10" ht="72" customHeight="1" x14ac:dyDescent="0.25">
      <c r="A60" s="1311"/>
      <c r="B60" s="1364"/>
      <c r="C60" s="1876" t="s">
        <v>3199</v>
      </c>
      <c r="D60" s="1878" t="s">
        <v>3614</v>
      </c>
      <c r="E60" s="1878" t="str">
        <f>'WS Plan'!F258</f>
        <v>Improve billing and collection of water supply bills</v>
      </c>
      <c r="F60" s="1880" t="s">
        <v>3684</v>
      </c>
      <c r="G60" s="1879"/>
      <c r="H60" s="5837"/>
      <c r="I60" s="2916" t="s">
        <v>877</v>
      </c>
      <c r="J60" s="1364"/>
    </row>
    <row r="61" spans="1:10" ht="78" customHeight="1" x14ac:dyDescent="0.25">
      <c r="A61" s="1311"/>
      <c r="B61" s="1364"/>
      <c r="C61" s="1876" t="s">
        <v>3200</v>
      </c>
      <c r="D61" s="1878" t="s">
        <v>3615</v>
      </c>
      <c r="E61" s="1878" t="str">
        <f>'WS Plan'!F262</f>
        <v>Improve collection efficiency of water supply charges and taxes</v>
      </c>
      <c r="F61" s="1880" t="s">
        <v>2105</v>
      </c>
      <c r="G61" s="1879"/>
      <c r="H61" s="5837"/>
      <c r="I61" s="2916" t="s">
        <v>877</v>
      </c>
      <c r="J61" s="1364"/>
    </row>
    <row r="62" spans="1:10" ht="39.75" customHeight="1" x14ac:dyDescent="0.25">
      <c r="A62" s="1311"/>
      <c r="B62" s="1364"/>
      <c r="C62" s="1876" t="s">
        <v>3201</v>
      </c>
      <c r="D62" s="1878" t="s">
        <v>3615</v>
      </c>
      <c r="E62" s="1878" t="str">
        <f>'WS Plan'!F268</f>
        <v>Replace pumping machinery</v>
      </c>
      <c r="F62" s="1880" t="s">
        <v>3656</v>
      </c>
      <c r="G62" s="1879"/>
      <c r="H62" s="5837"/>
      <c r="I62" s="2916" t="s">
        <v>877</v>
      </c>
      <c r="J62" s="1364"/>
    </row>
    <row r="63" spans="1:10" ht="60" customHeight="1" x14ac:dyDescent="0.25">
      <c r="A63" s="1311"/>
      <c r="B63" s="1364"/>
      <c r="C63" s="1876" t="s">
        <v>3202</v>
      </c>
      <c r="D63" s="1878" t="s">
        <v>3615</v>
      </c>
      <c r="E63" s="1878" t="str">
        <f>'WS Plan'!F274</f>
        <v>Other measures to optimise power and energy expenses</v>
      </c>
      <c r="F63" s="1880" t="s">
        <v>3657</v>
      </c>
      <c r="G63" s="1879"/>
      <c r="H63" s="5837"/>
      <c r="I63" s="2916" t="s">
        <v>877</v>
      </c>
      <c r="J63" s="1364"/>
    </row>
    <row r="64" spans="1:10" x14ac:dyDescent="0.25">
      <c r="A64" s="1311"/>
      <c r="B64" s="1364"/>
      <c r="C64" s="1364"/>
      <c r="D64" s="1364"/>
      <c r="E64" s="1380"/>
      <c r="F64" s="1380"/>
      <c r="G64" s="1364"/>
      <c r="H64" s="1364"/>
      <c r="I64" s="3502"/>
      <c r="J64" s="1364"/>
    </row>
    <row r="65" spans="1:10" x14ac:dyDescent="0.25">
      <c r="A65" s="1311"/>
      <c r="B65" s="1364"/>
      <c r="C65" s="1364"/>
      <c r="D65" s="1364"/>
      <c r="E65" s="1380"/>
      <c r="F65" s="1380"/>
      <c r="G65" s="1364"/>
      <c r="H65" s="1364"/>
      <c r="I65" s="3502"/>
      <c r="J65" s="1364"/>
    </row>
    <row r="66" spans="1:10" s="1870" customFormat="1" ht="34.5" customHeight="1" x14ac:dyDescent="0.6">
      <c r="B66" s="3393"/>
      <c r="C66" s="7223" t="s">
        <v>1024</v>
      </c>
      <c r="D66" s="7223" t="s">
        <v>85</v>
      </c>
      <c r="E66" s="7223"/>
      <c r="F66" s="7223"/>
      <c r="G66" s="7223"/>
      <c r="H66" s="7223"/>
      <c r="I66" s="7223"/>
      <c r="J66" s="7223"/>
    </row>
    <row r="67" spans="1:10" s="1311" customFormat="1" x14ac:dyDescent="0.25">
      <c r="B67" s="1364"/>
      <c r="C67" s="1364"/>
      <c r="D67" s="1364"/>
      <c r="E67" s="1380"/>
      <c r="F67" s="1380"/>
      <c r="G67" s="1364"/>
      <c r="H67" s="1364"/>
      <c r="I67" s="3502"/>
      <c r="J67" s="1364"/>
    </row>
    <row r="68" spans="1:10" s="1311" customFormat="1" ht="21" x14ac:dyDescent="0.35">
      <c r="B68" s="1364"/>
      <c r="C68" s="1871" t="s">
        <v>701</v>
      </c>
      <c r="D68" s="1871" t="s">
        <v>697</v>
      </c>
      <c r="E68" s="1872" t="s">
        <v>698</v>
      </c>
      <c r="F68" s="1872" t="s">
        <v>699</v>
      </c>
      <c r="G68" s="1871" t="s">
        <v>700</v>
      </c>
      <c r="H68" s="1871"/>
      <c r="I68" s="1871" t="s">
        <v>878</v>
      </c>
      <c r="J68" s="1364"/>
    </row>
    <row r="69" spans="1:10" ht="25.5" customHeight="1" x14ac:dyDescent="0.25">
      <c r="A69" s="1311"/>
      <c r="B69" s="1364"/>
      <c r="C69" s="1873"/>
      <c r="D69" s="1874" t="s">
        <v>570</v>
      </c>
      <c r="E69" s="1875"/>
      <c r="F69" s="1875"/>
      <c r="G69" s="1874"/>
      <c r="H69" s="1874"/>
      <c r="I69" s="3719"/>
      <c r="J69" s="1364"/>
    </row>
    <row r="70" spans="1:10" ht="75" x14ac:dyDescent="0.25">
      <c r="A70" s="1311"/>
      <c r="B70" s="1364"/>
      <c r="C70" s="1876" t="s">
        <v>3120</v>
      </c>
      <c r="D70" s="1882" t="s">
        <v>3613</v>
      </c>
      <c r="E70" s="1878" t="str">
        <f>'WW Plan'!F22</f>
        <v>Household survey to assess wastewater services</v>
      </c>
      <c r="F70" s="1883" t="s">
        <v>3658</v>
      </c>
      <c r="G70" s="1884" t="str">
        <f>G17</f>
        <v>INR 35  to 50 per household</v>
      </c>
      <c r="H70" s="5841"/>
      <c r="I70" s="2916" t="s">
        <v>877</v>
      </c>
      <c r="J70" s="1364"/>
    </row>
    <row r="71" spans="1:10" ht="60" x14ac:dyDescent="0.25">
      <c r="A71" s="1311"/>
      <c r="B71" s="1364"/>
      <c r="C71" s="1876" t="s">
        <v>3121</v>
      </c>
      <c r="D71" s="1882" t="s">
        <v>3613</v>
      </c>
      <c r="E71" s="1878" t="str">
        <f>'WW Plan'!F28</f>
        <v>Surveys and monitoring of open defecation sites</v>
      </c>
      <c r="F71" s="1883" t="s">
        <v>3659</v>
      </c>
      <c r="G71" s="1884" t="s">
        <v>3618</v>
      </c>
      <c r="H71" s="5841"/>
      <c r="I71" s="2916" t="s">
        <v>877</v>
      </c>
      <c r="J71" s="1364"/>
    </row>
    <row r="72" spans="1:10" ht="63" customHeight="1" x14ac:dyDescent="0.25">
      <c r="A72" s="1311"/>
      <c r="B72" s="1364"/>
      <c r="C72" s="1876" t="s">
        <v>3122</v>
      </c>
      <c r="D72" s="1882" t="s">
        <v>3613</v>
      </c>
      <c r="E72" s="1878" t="str">
        <f>'WW Plan'!F32</f>
        <v>Computerise wastewater records</v>
      </c>
      <c r="F72" s="1883" t="s">
        <v>3661</v>
      </c>
      <c r="G72" s="1883" t="str">
        <f>G18</f>
        <v>Cost of software development  and hardware procurement is around INR 0.5-1 Million</v>
      </c>
      <c r="H72" s="5840"/>
      <c r="I72" s="2916" t="s">
        <v>877</v>
      </c>
      <c r="J72" s="1364"/>
    </row>
    <row r="73" spans="1:10" ht="54.75" customHeight="1" x14ac:dyDescent="0.25">
      <c r="A73" s="1311"/>
      <c r="B73" s="1364"/>
      <c r="C73" s="1876" t="s">
        <v>3123</v>
      </c>
      <c r="D73" s="1882" t="s">
        <v>3614</v>
      </c>
      <c r="E73" s="1878" t="str">
        <f>'WW Plan'!F38</f>
        <v>Policy for providing sanitation services in slums</v>
      </c>
      <c r="F73" s="1883" t="s">
        <v>3663</v>
      </c>
      <c r="G73" s="1884" t="s">
        <v>869</v>
      </c>
      <c r="H73" s="5841"/>
      <c r="I73" s="2916" t="s">
        <v>877</v>
      </c>
      <c r="J73" s="1364"/>
    </row>
    <row r="74" spans="1:10" ht="93.75" customHeight="1" x14ac:dyDescent="0.25">
      <c r="A74" s="1311"/>
      <c r="B74" s="1364"/>
      <c r="C74" s="1876" t="s">
        <v>3124</v>
      </c>
      <c r="D74" s="1887" t="s">
        <v>3615</v>
      </c>
      <c r="E74" s="3383" t="str">
        <f>'WW Plan'!F42</f>
        <v>Improve condition of existing individual toilets by providing safe sanitation disposal system</v>
      </c>
      <c r="F74" s="3383" t="s">
        <v>3664</v>
      </c>
      <c r="G74" s="2948" t="s">
        <v>3620</v>
      </c>
      <c r="H74" s="5842"/>
      <c r="I74" s="5329" t="s">
        <v>877</v>
      </c>
      <c r="J74" s="1364"/>
    </row>
    <row r="75" spans="1:10" ht="69.75" customHeight="1" x14ac:dyDescent="0.25">
      <c r="A75" s="1311"/>
      <c r="B75" s="1364"/>
      <c r="C75" s="1876" t="s">
        <v>3125</v>
      </c>
      <c r="D75" s="1882" t="s">
        <v>3615</v>
      </c>
      <c r="E75" s="1880" t="str">
        <f>'WW Plan'!F57</f>
        <v>Improve condition of existing Community toilets</v>
      </c>
      <c r="F75" s="1883" t="s">
        <v>3665</v>
      </c>
      <c r="G75" s="1883" t="s">
        <v>3619</v>
      </c>
      <c r="H75" s="5840"/>
      <c r="I75" s="2916" t="s">
        <v>877</v>
      </c>
      <c r="J75" s="1364"/>
    </row>
    <row r="76" spans="1:10" ht="75" customHeight="1" x14ac:dyDescent="0.25">
      <c r="A76" s="1311"/>
      <c r="B76" s="1364"/>
      <c r="C76" s="1876" t="s">
        <v>3126</v>
      </c>
      <c r="D76" s="1882" t="s">
        <v>3615</v>
      </c>
      <c r="E76" s="1880" t="str">
        <f>'WW Plan'!F79</f>
        <v>Improve condition of existing Public toilets</v>
      </c>
      <c r="F76" s="1883" t="s">
        <v>3666</v>
      </c>
      <c r="G76" s="1883" t="s">
        <v>3621</v>
      </c>
      <c r="H76" s="5840"/>
      <c r="I76" s="2916" t="s">
        <v>877</v>
      </c>
      <c r="J76" s="1364"/>
    </row>
    <row r="77" spans="1:10" ht="58.5" customHeight="1" x14ac:dyDescent="0.25">
      <c r="A77" s="1311"/>
      <c r="B77" s="1364"/>
      <c r="C77" s="1876" t="s">
        <v>3127</v>
      </c>
      <c r="D77" s="1887" t="s">
        <v>3615</v>
      </c>
      <c r="E77" s="3383" t="str">
        <f>'WW Plan'!F97</f>
        <v>Refurbishment of exisiting septic tanks in city</v>
      </c>
      <c r="F77" s="6036" t="s">
        <v>2106</v>
      </c>
      <c r="G77" s="1885" t="s">
        <v>3694</v>
      </c>
      <c r="H77" s="5843"/>
      <c r="I77" s="2916" t="s">
        <v>877</v>
      </c>
      <c r="J77" s="1364"/>
    </row>
    <row r="78" spans="1:10" ht="60" customHeight="1" x14ac:dyDescent="0.25">
      <c r="A78" s="1311"/>
      <c r="B78" s="1364"/>
      <c r="C78" s="1876" t="s">
        <v>3128</v>
      </c>
      <c r="D78" s="1882" t="s">
        <v>3615</v>
      </c>
      <c r="E78" s="1880" t="str">
        <f>'WW Plan'!F106</f>
        <v>Information, education and communication (IEC) campaigns for sanitation awareness</v>
      </c>
      <c r="F78" s="1883" t="s">
        <v>3667</v>
      </c>
      <c r="G78" s="1884" t="s">
        <v>3622</v>
      </c>
      <c r="H78" s="5841"/>
      <c r="I78" s="2916" t="s">
        <v>877</v>
      </c>
      <c r="J78" s="1364"/>
    </row>
    <row r="79" spans="1:10" ht="46.5" customHeight="1" x14ac:dyDescent="0.25">
      <c r="A79" s="1311"/>
      <c r="B79" s="1364"/>
      <c r="C79" s="1876" t="s">
        <v>3129</v>
      </c>
      <c r="D79" s="1887" t="s">
        <v>208</v>
      </c>
      <c r="E79" s="1880" t="str">
        <f>'WW Plan'!F111</f>
        <v>Construct new individual toilets</v>
      </c>
      <c r="F79" s="1883" t="s">
        <v>3668</v>
      </c>
      <c r="G79" s="1885" t="s">
        <v>3693</v>
      </c>
      <c r="H79" s="5843"/>
      <c r="I79" s="2916" t="s">
        <v>877</v>
      </c>
      <c r="J79" s="1364"/>
    </row>
    <row r="80" spans="1:10" ht="87" customHeight="1" x14ac:dyDescent="0.25">
      <c r="A80" s="1311"/>
      <c r="B80" s="1364"/>
      <c r="C80" s="1876" t="s">
        <v>3130</v>
      </c>
      <c r="D80" s="3383" t="s">
        <v>208</v>
      </c>
      <c r="E80" s="1880" t="str">
        <f>'WW Plan'!F137</f>
        <v>Construct new group toilets</v>
      </c>
      <c r="F80" s="1883" t="s">
        <v>3669</v>
      </c>
      <c r="G80" s="1883" t="s">
        <v>3623</v>
      </c>
      <c r="H80" s="5843"/>
      <c r="I80" s="2916" t="s">
        <v>877</v>
      </c>
      <c r="J80" s="1364"/>
    </row>
    <row r="81" spans="1:10" ht="62.25" customHeight="1" x14ac:dyDescent="0.25">
      <c r="A81" s="1311"/>
      <c r="B81" s="1364"/>
      <c r="C81" s="1876" t="s">
        <v>3131</v>
      </c>
      <c r="D81" s="1882" t="s">
        <v>208</v>
      </c>
      <c r="E81" s="1880" t="str">
        <f>'WW Plan'!F161</f>
        <v>Construct new community toilet blocks</v>
      </c>
      <c r="F81" s="1883" t="s">
        <v>3670</v>
      </c>
      <c r="G81" s="1883" t="s">
        <v>3690</v>
      </c>
      <c r="H81" s="5840"/>
      <c r="I81" s="2916" t="s">
        <v>877</v>
      </c>
      <c r="J81" s="1364"/>
    </row>
    <row r="82" spans="1:10" ht="60" customHeight="1" x14ac:dyDescent="0.25">
      <c r="A82" s="1311"/>
      <c r="B82" s="1364"/>
      <c r="C82" s="1876" t="s">
        <v>3132</v>
      </c>
      <c r="D82" s="1882" t="s">
        <v>208</v>
      </c>
      <c r="E82" s="1880" t="str">
        <f>'WW Plan'!F182</f>
        <v>Construct new public toilet blocks</v>
      </c>
      <c r="F82" s="1883" t="s">
        <v>2905</v>
      </c>
      <c r="G82" s="1883" t="str">
        <f>G81</f>
        <v>INR 20,000 to 30,000 per toilet seat (for Gujarat) and INR 35,000 to 1,00,000 per toilet seat (for Maharashtra), the cost includes cost of superstructure and septic tanks</v>
      </c>
      <c r="H82" s="5840"/>
      <c r="I82" s="2916" t="s">
        <v>877</v>
      </c>
      <c r="J82" s="1364"/>
    </row>
    <row r="83" spans="1:10" ht="25.5" customHeight="1" x14ac:dyDescent="0.25">
      <c r="A83" s="1311"/>
      <c r="B83" s="1364"/>
      <c r="C83" s="1873"/>
      <c r="D83" s="1874" t="s">
        <v>1437</v>
      </c>
      <c r="E83" s="1875"/>
      <c r="F83" s="1875"/>
      <c r="G83" s="1874"/>
      <c r="H83" s="1874"/>
      <c r="I83" s="3719"/>
      <c r="J83" s="1364"/>
    </row>
    <row r="84" spans="1:10" ht="78.75" customHeight="1" x14ac:dyDescent="0.25">
      <c r="A84" s="1311"/>
      <c r="B84" s="1364"/>
      <c r="C84" s="1876" t="s">
        <v>3133</v>
      </c>
      <c r="D84" s="1878" t="s">
        <v>3614</v>
      </c>
      <c r="E84" s="1878" t="str">
        <f>'WW Plan'!F208</f>
        <v>Process improvement for new sewerage connection applications</v>
      </c>
      <c r="F84" s="1883" t="s">
        <v>3647</v>
      </c>
      <c r="G84" s="1884" t="s">
        <v>869</v>
      </c>
      <c r="H84" s="5841"/>
      <c r="I84" s="2916" t="s">
        <v>877</v>
      </c>
      <c r="J84" s="1364"/>
    </row>
    <row r="85" spans="1:10" ht="74.25" customHeight="1" x14ac:dyDescent="0.25">
      <c r="A85" s="1311"/>
      <c r="B85" s="1364"/>
      <c r="C85" s="1876" t="s">
        <v>3134</v>
      </c>
      <c r="D85" s="1878" t="s">
        <v>3614</v>
      </c>
      <c r="E85" s="1878" t="str">
        <f>'WW Plan'!F209</f>
        <v>Improve processes for regular cleaning of drains and sewers</v>
      </c>
      <c r="F85" s="1880" t="s">
        <v>3648</v>
      </c>
      <c r="G85" s="1619"/>
      <c r="H85" s="5837"/>
      <c r="I85" s="2916" t="s">
        <v>877</v>
      </c>
      <c r="J85" s="1364"/>
    </row>
    <row r="86" spans="1:10" ht="92.25" customHeight="1" x14ac:dyDescent="0.25">
      <c r="A86" s="1311"/>
      <c r="B86" s="1364"/>
      <c r="C86" s="1876" t="s">
        <v>3135</v>
      </c>
      <c r="D86" s="1880" t="s">
        <v>3615</v>
      </c>
      <c r="E86" s="1880" t="str">
        <f>'WW Plan'!F213</f>
        <v xml:space="preserve">Regularise unauthorised sewerage connections </v>
      </c>
      <c r="F86" s="1883" t="s">
        <v>3625</v>
      </c>
      <c r="G86" s="1884" t="s">
        <v>2109</v>
      </c>
      <c r="H86" s="5841"/>
      <c r="I86" s="2916" t="s">
        <v>877</v>
      </c>
      <c r="J86" s="1364"/>
    </row>
    <row r="87" spans="1:10" ht="72.75" customHeight="1" x14ac:dyDescent="0.25">
      <c r="A87" s="1311"/>
      <c r="B87" s="1364"/>
      <c r="C87" s="1876" t="s">
        <v>3136</v>
      </c>
      <c r="D87" s="1880" t="s">
        <v>3615</v>
      </c>
      <c r="E87" s="1880" t="str">
        <f>'WW Plan'!F217</f>
        <v>Increase connections using existing sewerage network</v>
      </c>
      <c r="F87" s="1883" t="s">
        <v>3671</v>
      </c>
      <c r="G87" s="1884" t="s">
        <v>2109</v>
      </c>
      <c r="H87" s="5841"/>
      <c r="I87" s="2916" t="s">
        <v>877</v>
      </c>
      <c r="J87" s="1364"/>
    </row>
    <row r="88" spans="1:10" ht="61.5" customHeight="1" x14ac:dyDescent="0.25">
      <c r="A88" s="1311"/>
      <c r="B88" s="1364"/>
      <c r="C88" s="1876" t="s">
        <v>3137</v>
      </c>
      <c r="D88" s="1878" t="s">
        <v>3615</v>
      </c>
      <c r="E88" s="1883" t="str">
        <f>'WW Plan'!F225</f>
        <v>Improve existing sewerage network and plug leakages</v>
      </c>
      <c r="F88" s="1883" t="s">
        <v>3672</v>
      </c>
      <c r="G88" s="1883" t="s">
        <v>3676</v>
      </c>
      <c r="H88" s="5841"/>
      <c r="I88" s="2916" t="s">
        <v>877</v>
      </c>
      <c r="J88" s="1364"/>
    </row>
    <row r="89" spans="1:10" ht="135" customHeight="1" x14ac:dyDescent="0.25">
      <c r="A89" s="1311"/>
      <c r="B89" s="1364"/>
      <c r="C89" s="1876" t="s">
        <v>3138</v>
      </c>
      <c r="D89" s="1880" t="s">
        <v>3615</v>
      </c>
      <c r="E89" s="1883" t="str">
        <f>'WW Plan'!F231</f>
        <v>Increase septage collection with existing suction emptier trucks</v>
      </c>
      <c r="F89" s="1883" t="s">
        <v>2110</v>
      </c>
      <c r="G89" s="1883" t="s">
        <v>3677</v>
      </c>
      <c r="H89" s="5840"/>
      <c r="I89" s="2916" t="s">
        <v>877</v>
      </c>
      <c r="J89" s="1364"/>
    </row>
    <row r="90" spans="1:10" ht="131.25" customHeight="1" x14ac:dyDescent="0.25">
      <c r="A90" s="1311"/>
      <c r="B90" s="1364"/>
      <c r="C90" s="1876" t="s">
        <v>3139</v>
      </c>
      <c r="D90" s="1878" t="s">
        <v>3615</v>
      </c>
      <c r="E90" s="1883" t="str">
        <f>'WW Plan'!F241</f>
        <v>Increase efficiency of all existing treatment plants</v>
      </c>
      <c r="F90" s="1883" t="s">
        <v>3859</v>
      </c>
      <c r="G90" s="1884"/>
      <c r="H90" s="5841"/>
      <c r="I90" s="2916" t="s">
        <v>877</v>
      </c>
      <c r="J90" s="1364"/>
    </row>
    <row r="91" spans="1:10" ht="86.25" customHeight="1" x14ac:dyDescent="0.25">
      <c r="A91" s="1311"/>
      <c r="B91" s="1364"/>
      <c r="C91" s="1876" t="s">
        <v>3140</v>
      </c>
      <c r="D91" s="1878" t="s">
        <v>3615</v>
      </c>
      <c r="E91" s="1878" t="str">
        <f>'WW Plan'!F256</f>
        <v>Upgrade open surface drains to closed drains for storm water drainage</v>
      </c>
      <c r="F91" s="1883" t="s">
        <v>3673</v>
      </c>
      <c r="G91" s="1884"/>
      <c r="H91" s="5841"/>
      <c r="I91" s="2916" t="s">
        <v>877</v>
      </c>
      <c r="J91" s="1364"/>
    </row>
    <row r="92" spans="1:10" ht="129" customHeight="1" x14ac:dyDescent="0.25">
      <c r="A92" s="1311"/>
      <c r="B92" s="1364"/>
      <c r="C92" s="1876" t="s">
        <v>3141</v>
      </c>
      <c r="D92" s="1880" t="s">
        <v>3615</v>
      </c>
      <c r="E92" s="1880" t="str">
        <f>'WW Plan'!F264</f>
        <v>Reduce water logging/flooding in city</v>
      </c>
      <c r="F92" s="1883" t="s">
        <v>3674</v>
      </c>
      <c r="G92" s="1884"/>
      <c r="H92" s="5841"/>
      <c r="I92" s="2916" t="s">
        <v>877</v>
      </c>
      <c r="J92" s="1364"/>
    </row>
    <row r="93" spans="1:10" ht="122.25" customHeight="1" x14ac:dyDescent="0.25">
      <c r="A93" s="1311"/>
      <c r="B93" s="1364"/>
      <c r="C93" s="1876" t="s">
        <v>3142</v>
      </c>
      <c r="D93" s="1878" t="s">
        <v>208</v>
      </c>
      <c r="E93" s="1883" t="str">
        <f>'WW Plan'!F275</f>
        <v xml:space="preserve">Provide soak pits for wastewater disposal </v>
      </c>
      <c r="F93" s="1883" t="s">
        <v>2906</v>
      </c>
      <c r="G93" s="1883" t="s">
        <v>3691</v>
      </c>
      <c r="H93" s="5841"/>
      <c r="I93" s="2916" t="s">
        <v>877</v>
      </c>
      <c r="J93" s="1364"/>
    </row>
    <row r="94" spans="1:10" ht="214.5" customHeight="1" x14ac:dyDescent="0.25">
      <c r="A94" s="1311"/>
      <c r="B94" s="1364"/>
      <c r="C94" s="1876" t="s">
        <v>3143</v>
      </c>
      <c r="D94" s="1878" t="s">
        <v>208</v>
      </c>
      <c r="E94" s="1883" t="str">
        <f>'WW Plan'!F282</f>
        <v>Lay new settled sewer for wastewater conveyance</v>
      </c>
      <c r="F94" s="1883" t="s">
        <v>3675</v>
      </c>
      <c r="G94" s="1883" t="s">
        <v>3692</v>
      </c>
      <c r="H94" s="5840"/>
      <c r="I94" s="2916" t="s">
        <v>877</v>
      </c>
      <c r="J94" s="1364"/>
    </row>
    <row r="95" spans="1:10" ht="80.25" customHeight="1" x14ac:dyDescent="0.25">
      <c r="A95" s="1311"/>
      <c r="B95" s="1364"/>
      <c r="C95" s="1876" t="s">
        <v>3144</v>
      </c>
      <c r="D95" s="3395" t="s">
        <v>208</v>
      </c>
      <c r="E95" s="3384" t="str">
        <f>'WW Plan'!F293</f>
        <v>Expand or lay new sewerage network for wastewater conveyance</v>
      </c>
      <c r="F95" s="6037" t="s">
        <v>3678</v>
      </c>
      <c r="G95" s="1883" t="s">
        <v>3676</v>
      </c>
      <c r="H95" s="5842"/>
      <c r="I95" s="2916" t="s">
        <v>877</v>
      </c>
      <c r="J95" s="1364"/>
    </row>
    <row r="96" spans="1:10" ht="121.5" customHeight="1" x14ac:dyDescent="0.25">
      <c r="A96" s="1311"/>
      <c r="B96" s="1364"/>
      <c r="C96" s="1876" t="s">
        <v>3145</v>
      </c>
      <c r="D96" s="1878" t="s">
        <v>208</v>
      </c>
      <c r="E96" s="1878" t="str">
        <f>'WW Plan'!F308</f>
        <v>Procure new suction emptier trucks</v>
      </c>
      <c r="F96" s="1883" t="s">
        <v>3681</v>
      </c>
      <c r="G96" s="1883" t="s">
        <v>3677</v>
      </c>
      <c r="H96" s="5840"/>
      <c r="I96" s="2916" t="s">
        <v>877</v>
      </c>
      <c r="J96" s="1364"/>
    </row>
    <row r="97" spans="1:10" ht="96.75" customHeight="1" x14ac:dyDescent="0.25">
      <c r="A97" s="1311"/>
      <c r="B97" s="1364"/>
      <c r="C97" s="1876" t="s">
        <v>3146</v>
      </c>
      <c r="D97" s="1878" t="s">
        <v>208</v>
      </c>
      <c r="E97" s="1878" t="str">
        <f>'WW Plan'!F323</f>
        <v>Construct/augment fecal sludge treatment plant</v>
      </c>
      <c r="F97" s="1883" t="s">
        <v>3682</v>
      </c>
      <c r="G97" s="1884"/>
      <c r="H97" s="5841"/>
      <c r="I97" s="2916" t="s">
        <v>877</v>
      </c>
      <c r="J97" s="1364"/>
    </row>
    <row r="98" spans="1:10" ht="90" customHeight="1" x14ac:dyDescent="0.25">
      <c r="A98" s="1311"/>
      <c r="B98" s="1364"/>
      <c r="C98" s="1876" t="s">
        <v>3147</v>
      </c>
      <c r="D98" s="1878" t="s">
        <v>208</v>
      </c>
      <c r="E98" s="1883" t="str">
        <f>'WW Plan'!F332</f>
        <v xml:space="preserve">Construct/augment treatment plant for effluent and sullage </v>
      </c>
      <c r="F98" s="1883" t="s">
        <v>2907</v>
      </c>
      <c r="G98" s="1883" t="s">
        <v>3679</v>
      </c>
      <c r="H98" s="5840"/>
      <c r="I98" s="2916" t="s">
        <v>877</v>
      </c>
      <c r="J98" s="1364"/>
    </row>
    <row r="99" spans="1:10" ht="120" customHeight="1" x14ac:dyDescent="0.25">
      <c r="A99" s="1311"/>
      <c r="B99" s="1364"/>
      <c r="C99" s="1876" t="s">
        <v>3148</v>
      </c>
      <c r="D99" s="1878" t="s">
        <v>208</v>
      </c>
      <c r="E99" s="1883" t="str">
        <f>'WW Plan'!F341</f>
        <v xml:space="preserve">Construct/augment sewage treatment plant </v>
      </c>
      <c r="F99" s="1883" t="s">
        <v>2908</v>
      </c>
      <c r="G99" s="1884" t="s">
        <v>3680</v>
      </c>
      <c r="H99" s="5841"/>
      <c r="I99" s="2916" t="s">
        <v>877</v>
      </c>
      <c r="J99" s="1364"/>
    </row>
    <row r="100" spans="1:10" ht="78.75" customHeight="1" x14ac:dyDescent="0.25">
      <c r="A100" s="1311"/>
      <c r="B100" s="1364"/>
      <c r="C100" s="1876" t="s">
        <v>3149</v>
      </c>
      <c r="D100" s="1878" t="s">
        <v>208</v>
      </c>
      <c r="E100" s="1878" t="str">
        <f>'WW Plan'!F353</f>
        <v>Construct closed surface drains for storm water drainage</v>
      </c>
      <c r="F100" s="1883" t="s">
        <v>2111</v>
      </c>
      <c r="G100" s="1884"/>
      <c r="H100" s="5841"/>
      <c r="I100" s="2916" t="s">
        <v>877</v>
      </c>
      <c r="J100" s="1364"/>
    </row>
    <row r="101" spans="1:10" ht="25.5" customHeight="1" x14ac:dyDescent="0.25">
      <c r="A101" s="1311"/>
      <c r="B101" s="1364"/>
      <c r="C101" s="1873"/>
      <c r="D101" s="1874" t="s">
        <v>702</v>
      </c>
      <c r="E101" s="1875"/>
      <c r="F101" s="1875"/>
      <c r="G101" s="1874"/>
      <c r="H101" s="1874"/>
      <c r="I101" s="3719"/>
      <c r="J101" s="1364"/>
    </row>
    <row r="102" spans="1:10" ht="42.75" customHeight="1" x14ac:dyDescent="0.25">
      <c r="A102" s="1311"/>
      <c r="B102" s="1364"/>
      <c r="C102" s="1876" t="s">
        <v>3150</v>
      </c>
      <c r="D102" s="1878" t="s">
        <v>3614</v>
      </c>
      <c r="E102" s="1878" t="str">
        <f>'WW Plan'!F366</f>
        <v>Improve wastewater and septage quality surveillance</v>
      </c>
      <c r="F102" s="1883" t="s">
        <v>3689</v>
      </c>
      <c r="G102" s="1884" t="s">
        <v>2107</v>
      </c>
      <c r="H102" s="5841"/>
      <c r="I102" s="2916" t="s">
        <v>877</v>
      </c>
      <c r="J102" s="1364"/>
    </row>
    <row r="103" spans="1:10" ht="86.25" customHeight="1" x14ac:dyDescent="0.25">
      <c r="A103" s="1311"/>
      <c r="B103" s="1364"/>
      <c r="C103" s="1876" t="s">
        <v>3151</v>
      </c>
      <c r="D103" s="1878" t="s">
        <v>3614</v>
      </c>
      <c r="E103" s="1878" t="str">
        <f>'WW Plan'!F367</f>
        <v>Improve processes for management of consumer complaints</v>
      </c>
      <c r="F103" s="1883" t="s">
        <v>1056</v>
      </c>
      <c r="G103" s="1884" t="s">
        <v>2107</v>
      </c>
      <c r="H103" s="5841"/>
      <c r="I103" s="2916" t="s">
        <v>877</v>
      </c>
      <c r="J103" s="1364"/>
    </row>
    <row r="104" spans="1:10" ht="30" x14ac:dyDescent="0.25">
      <c r="A104" s="1311"/>
      <c r="B104" s="1364"/>
      <c r="C104" s="7220" t="s">
        <v>3152</v>
      </c>
      <c r="D104" s="7217" t="s">
        <v>3615</v>
      </c>
      <c r="E104" s="1886" t="str">
        <f>'WW Plan'!F371</f>
        <v>Increase in reuse/recycling of treated wastewater and septage</v>
      </c>
      <c r="F104" s="3383"/>
      <c r="G104" s="6038"/>
      <c r="H104" s="5844"/>
      <c r="I104" s="7224" t="s">
        <v>877</v>
      </c>
      <c r="J104" s="1364"/>
    </row>
    <row r="105" spans="1:10" ht="78.75" customHeight="1" x14ac:dyDescent="0.25">
      <c r="A105" s="1311"/>
      <c r="B105" s="1364"/>
      <c r="C105" s="7221"/>
      <c r="D105" s="7218"/>
      <c r="E105" s="1888" t="str">
        <f>CONCATENATE("- ",'WW Plan'!F372)</f>
        <v>- Reuse of manure derived from faecal sludge treatment facility</v>
      </c>
      <c r="F105" s="6037" t="s">
        <v>3687</v>
      </c>
      <c r="G105" s="6039"/>
      <c r="H105" s="5845"/>
      <c r="I105" s="7225"/>
      <c r="J105" s="1364"/>
    </row>
    <row r="106" spans="1:10" ht="60" customHeight="1" x14ac:dyDescent="0.25">
      <c r="A106" s="1311"/>
      <c r="B106" s="1364"/>
      <c r="C106" s="7221"/>
      <c r="D106" s="7218"/>
      <c r="E106" s="2949" t="str">
        <f>CONCATENATE("- ",'WW Plan'!F379)</f>
        <v>- Reuse of wastewater derived from effluent and sullage treatment plant</v>
      </c>
      <c r="F106" s="6040" t="s">
        <v>3688</v>
      </c>
      <c r="G106" s="6041"/>
      <c r="H106" s="5846"/>
      <c r="I106" s="7225"/>
      <c r="J106" s="1364"/>
    </row>
    <row r="107" spans="1:10" ht="63.75" customHeight="1" x14ac:dyDescent="0.25">
      <c r="A107" s="1311"/>
      <c r="B107" s="1364"/>
      <c r="C107" s="7222"/>
      <c r="D107" s="7219"/>
      <c r="E107" s="1888" t="str">
        <f>CONCATENATE("- ",'WW Plan'!F386)</f>
        <v>- Reuse of sewage derived from sewage treatment plant</v>
      </c>
      <c r="F107" s="6037" t="s">
        <v>3686</v>
      </c>
      <c r="G107" s="6039"/>
      <c r="H107" s="5845"/>
      <c r="I107" s="7226"/>
      <c r="J107" s="1364"/>
    </row>
    <row r="108" spans="1:10" ht="72.75" customHeight="1" x14ac:dyDescent="0.25">
      <c r="A108" s="1311"/>
      <c r="B108" s="1364"/>
      <c r="C108" s="1876" t="s">
        <v>3153</v>
      </c>
      <c r="D108" s="1878" t="s">
        <v>3615</v>
      </c>
      <c r="E108" s="1880" t="str">
        <f>'WW Plan'!F393</f>
        <v>Conduct regular wastewater and septage quality tests at laboratory, if not done</v>
      </c>
      <c r="F108" s="1883" t="s">
        <v>3685</v>
      </c>
      <c r="G108" s="1884"/>
      <c r="H108" s="5841"/>
      <c r="I108" s="2916" t="s">
        <v>877</v>
      </c>
      <c r="J108" s="1364"/>
    </row>
    <row r="109" spans="1:10" ht="77.25" customHeight="1" x14ac:dyDescent="0.25">
      <c r="A109" s="1311"/>
      <c r="B109" s="1364"/>
      <c r="C109" s="1876" t="s">
        <v>3154</v>
      </c>
      <c r="D109" s="1878" t="s">
        <v>3615</v>
      </c>
      <c r="E109" s="1878" t="str">
        <f>'WW Plan'!F397</f>
        <v>Improve consumer grievance redressal system</v>
      </c>
      <c r="F109" s="1880" t="s">
        <v>863</v>
      </c>
      <c r="G109" s="1884"/>
      <c r="H109" s="5841"/>
      <c r="I109" s="2916" t="s">
        <v>877</v>
      </c>
      <c r="J109" s="1364"/>
    </row>
    <row r="110" spans="1:10" ht="25.5" customHeight="1" x14ac:dyDescent="0.25">
      <c r="A110" s="1311"/>
      <c r="B110" s="1364"/>
      <c r="C110" s="1873"/>
      <c r="D110" s="1874" t="s">
        <v>677</v>
      </c>
      <c r="E110" s="1875"/>
      <c r="F110" s="6035"/>
      <c r="G110" s="6042"/>
      <c r="H110" s="1874"/>
      <c r="I110" s="3719"/>
      <c r="J110" s="1364"/>
    </row>
    <row r="111" spans="1:10" ht="77.25" customHeight="1" x14ac:dyDescent="0.25">
      <c r="A111" s="1311"/>
      <c r="B111" s="1364"/>
      <c r="C111" s="1876" t="s">
        <v>3155</v>
      </c>
      <c r="D111" s="1878" t="s">
        <v>3614</v>
      </c>
      <c r="E111" s="1878" t="str">
        <f>'WW Plan'!F407</f>
        <v>Improve billing and collection of wastewater bills</v>
      </c>
      <c r="F111" s="1880" t="s">
        <v>3684</v>
      </c>
      <c r="G111" s="1884" t="s">
        <v>869</v>
      </c>
      <c r="H111" s="5841"/>
      <c r="I111" s="2916" t="s">
        <v>877</v>
      </c>
      <c r="J111" s="1364"/>
    </row>
    <row r="112" spans="1:10" ht="78" customHeight="1" x14ac:dyDescent="0.25">
      <c r="A112" s="1311"/>
      <c r="B112" s="1364"/>
      <c r="C112" s="1876" t="s">
        <v>3156</v>
      </c>
      <c r="D112" s="1878" t="s">
        <v>3615</v>
      </c>
      <c r="E112" s="1878" t="str">
        <f>'WW Plan'!F411</f>
        <v>Improve collection efficiency of wastewater charges and taxes</v>
      </c>
      <c r="F112" s="1883" t="s">
        <v>2105</v>
      </c>
      <c r="G112" s="1897" t="s">
        <v>3683</v>
      </c>
      <c r="H112" s="5847"/>
      <c r="I112" s="2916" t="s">
        <v>877</v>
      </c>
      <c r="J112" s="1364"/>
    </row>
    <row r="113" spans="1:10" x14ac:dyDescent="0.25">
      <c r="A113" s="1311"/>
      <c r="B113" s="1364"/>
      <c r="C113" s="1364"/>
      <c r="D113" s="1364"/>
      <c r="E113" s="1380"/>
      <c r="F113" s="1380"/>
      <c r="G113" s="1364"/>
      <c r="H113" s="1364"/>
      <c r="I113" s="3502"/>
      <c r="J113" s="1364"/>
    </row>
    <row r="114" spans="1:10" x14ac:dyDescent="0.25">
      <c r="A114" s="1311"/>
      <c r="B114" s="1364"/>
      <c r="C114" s="1364"/>
      <c r="D114" s="1364"/>
      <c r="E114" s="1380"/>
      <c r="F114" s="1380"/>
      <c r="G114" s="1364"/>
      <c r="H114" s="1364"/>
      <c r="I114" s="3502"/>
      <c r="J114" s="1364"/>
    </row>
    <row r="115" spans="1:10" s="1870" customFormat="1" ht="34.5" customHeight="1" x14ac:dyDescent="0.6">
      <c r="B115" s="3393"/>
      <c r="C115" s="7223" t="s">
        <v>86</v>
      </c>
      <c r="D115" s="7223"/>
      <c r="E115" s="7223"/>
      <c r="F115" s="7223"/>
      <c r="G115" s="7223"/>
      <c r="H115" s="7223"/>
      <c r="I115" s="7223"/>
      <c r="J115" s="7223"/>
    </row>
    <row r="116" spans="1:10" s="1311" customFormat="1" x14ac:dyDescent="0.25">
      <c r="B116" s="1364"/>
      <c r="C116" s="1364"/>
      <c r="D116" s="1364"/>
      <c r="E116" s="1380"/>
      <c r="F116" s="1380"/>
      <c r="G116" s="1364"/>
      <c r="H116" s="1364"/>
      <c r="I116" s="3502"/>
      <c r="J116" s="1364"/>
    </row>
    <row r="117" spans="1:10" s="1889" customFormat="1" ht="21" x14ac:dyDescent="0.35">
      <c r="B117" s="1890"/>
      <c r="C117" s="1891" t="s">
        <v>1018</v>
      </c>
      <c r="D117" s="1891" t="s">
        <v>697</v>
      </c>
      <c r="E117" s="1891" t="s">
        <v>698</v>
      </c>
      <c r="F117" s="1891" t="s">
        <v>699</v>
      </c>
      <c r="G117" s="1891" t="s">
        <v>700</v>
      </c>
      <c r="H117" s="1891"/>
      <c r="I117" s="1892" t="s">
        <v>878</v>
      </c>
      <c r="J117" s="1890"/>
    </row>
    <row r="118" spans="1:10" ht="25.5" customHeight="1" x14ac:dyDescent="0.25">
      <c r="A118" s="1311"/>
      <c r="B118" s="1364"/>
      <c r="C118" s="1873"/>
      <c r="D118" s="1874" t="s">
        <v>570</v>
      </c>
      <c r="E118" s="1875"/>
      <c r="F118" s="1875"/>
      <c r="G118" s="1874"/>
      <c r="H118" s="1874"/>
      <c r="I118" s="3719"/>
      <c r="J118" s="1364"/>
    </row>
    <row r="119" spans="1:10" s="1894" customFormat="1" ht="92.25" customHeight="1" x14ac:dyDescent="0.25">
      <c r="A119" s="1889"/>
      <c r="B119" s="1890"/>
      <c r="C119" s="1893" t="s">
        <v>3203</v>
      </c>
      <c r="D119" s="1878" t="s">
        <v>3613</v>
      </c>
      <c r="E119" s="1878" t="str">
        <f>'SW Plan'!F22</f>
        <v>Household survey to assess solid waste services</v>
      </c>
      <c r="F119" s="1897" t="s">
        <v>3697</v>
      </c>
      <c r="G119" s="1897" t="str">
        <f>G17</f>
        <v>INR 35  to 50 per household</v>
      </c>
      <c r="H119" s="5847"/>
      <c r="I119" s="2916" t="s">
        <v>877</v>
      </c>
      <c r="J119" s="1890"/>
    </row>
    <row r="120" spans="1:10" s="1894" customFormat="1" ht="75" customHeight="1" x14ac:dyDescent="0.25">
      <c r="A120" s="1889"/>
      <c r="B120" s="1890"/>
      <c r="C120" s="1893" t="s">
        <v>3204</v>
      </c>
      <c r="D120" s="1878" t="s">
        <v>3613</v>
      </c>
      <c r="E120" s="1878" t="str">
        <f>'SW Plan'!F28</f>
        <v>Computerise solid waste records</v>
      </c>
      <c r="F120" s="1883" t="s">
        <v>3698</v>
      </c>
      <c r="G120" s="1897" t="s">
        <v>3699</v>
      </c>
      <c r="H120" s="5847"/>
      <c r="I120" s="2916" t="s">
        <v>877</v>
      </c>
      <c r="J120" s="1890"/>
    </row>
    <row r="121" spans="1:10" s="1894" customFormat="1" ht="45" customHeight="1" x14ac:dyDescent="0.25">
      <c r="A121" s="1889"/>
      <c r="B121" s="1890"/>
      <c r="C121" s="1893" t="s">
        <v>3205</v>
      </c>
      <c r="D121" s="1878" t="s">
        <v>3614</v>
      </c>
      <c r="E121" s="1878" t="str">
        <f>'SW Plan'!F34</f>
        <v>Prepare management plan to efficiently deploy manpower and resources</v>
      </c>
      <c r="F121" s="1897" t="s">
        <v>3701</v>
      </c>
      <c r="G121" s="1897"/>
      <c r="H121" s="5847"/>
      <c r="I121" s="2916" t="s">
        <v>877</v>
      </c>
      <c r="J121" s="1890"/>
    </row>
    <row r="122" spans="1:10" s="1894" customFormat="1" ht="58.5" customHeight="1" x14ac:dyDescent="0.25">
      <c r="A122" s="1889"/>
      <c r="B122" s="1890"/>
      <c r="C122" s="1893" t="s">
        <v>3206</v>
      </c>
      <c r="D122" s="1895" t="s">
        <v>3615</v>
      </c>
      <c r="E122" s="1878" t="str">
        <f>'SW Plan'!F38</f>
        <v>Procure equipments for street sweeping and drain cleaning</v>
      </c>
      <c r="F122" s="7227" t="s">
        <v>3702</v>
      </c>
      <c r="G122" s="7227" t="s">
        <v>3700</v>
      </c>
      <c r="H122" s="5847"/>
      <c r="I122" s="2916" t="s">
        <v>877</v>
      </c>
      <c r="J122" s="1890"/>
    </row>
    <row r="123" spans="1:10" s="1894" customFormat="1" ht="58.5" customHeight="1" x14ac:dyDescent="0.25">
      <c r="A123" s="1889"/>
      <c r="B123" s="1890"/>
      <c r="C123" s="1893" t="s">
        <v>3207</v>
      </c>
      <c r="D123" s="1895" t="s">
        <v>3615</v>
      </c>
      <c r="E123" s="1878" t="str">
        <f>'SW Plan'!F45</f>
        <v xml:space="preserve">Procure equipments for door to door solid waste collection (collection bins, ghantagaadis, containerised cycle rickshaw, handcarts etc.) </v>
      </c>
      <c r="F123" s="7227"/>
      <c r="G123" s="7227"/>
      <c r="H123" s="5847"/>
      <c r="I123" s="2916" t="s">
        <v>877</v>
      </c>
      <c r="J123" s="1890"/>
    </row>
    <row r="124" spans="1:10" s="1894" customFormat="1" ht="105" customHeight="1" x14ac:dyDescent="0.25">
      <c r="A124" s="1889"/>
      <c r="B124" s="1890"/>
      <c r="C124" s="1893" t="s">
        <v>3208</v>
      </c>
      <c r="D124" s="1895" t="s">
        <v>3615</v>
      </c>
      <c r="E124" s="1878" t="str">
        <f>'SW Plan'!F54</f>
        <v>Information, education and communication (IEC) campaign for awareness of solid waste management</v>
      </c>
      <c r="F124" s="1897" t="s">
        <v>3703</v>
      </c>
      <c r="G124" s="1897" t="s">
        <v>3704</v>
      </c>
      <c r="H124" s="5847"/>
      <c r="I124" s="2916" t="s">
        <v>877</v>
      </c>
      <c r="J124" s="1890"/>
    </row>
    <row r="125" spans="1:10" s="1894" customFormat="1" ht="73.5" customHeight="1" x14ac:dyDescent="0.25">
      <c r="A125" s="1889"/>
      <c r="B125" s="1890"/>
      <c r="C125" s="1893" t="s">
        <v>3209</v>
      </c>
      <c r="D125" s="1895" t="s">
        <v>208</v>
      </c>
      <c r="E125" s="1878" t="str">
        <f>'SW Plan'!F59</f>
        <v>Employ additional staff on contract for improving solid waste service delivery</v>
      </c>
      <c r="F125" s="7227" t="s">
        <v>1051</v>
      </c>
      <c r="G125" s="7227"/>
      <c r="H125" s="5847"/>
      <c r="I125" s="2916" t="s">
        <v>877</v>
      </c>
      <c r="J125" s="1890"/>
    </row>
    <row r="126" spans="1:10" s="1894" customFormat="1" ht="73.5" customHeight="1" x14ac:dyDescent="0.25">
      <c r="A126" s="1889"/>
      <c r="B126" s="1890"/>
      <c r="C126" s="1893" t="s">
        <v>3210</v>
      </c>
      <c r="D126" s="1895" t="s">
        <v>208</v>
      </c>
      <c r="E126" s="1878" t="str">
        <f>'SW Plan'!F70</f>
        <v>Engage with private service providers to provide solid waste services</v>
      </c>
      <c r="F126" s="7227"/>
      <c r="G126" s="7227"/>
      <c r="H126" s="5847"/>
      <c r="I126" s="2916" t="s">
        <v>877</v>
      </c>
      <c r="J126" s="1890"/>
    </row>
    <row r="127" spans="1:10" ht="25.5" customHeight="1" x14ac:dyDescent="0.25">
      <c r="A127" s="1311"/>
      <c r="B127" s="1364"/>
      <c r="C127" s="1873"/>
      <c r="D127" s="1874" t="s">
        <v>679</v>
      </c>
      <c r="E127" s="1875"/>
      <c r="F127" s="1875"/>
      <c r="G127" s="1896"/>
      <c r="H127" s="1896"/>
      <c r="I127" s="3719"/>
      <c r="J127" s="1364"/>
    </row>
    <row r="128" spans="1:10" s="1894" customFormat="1" ht="50.25" customHeight="1" x14ac:dyDescent="0.25">
      <c r="A128" s="1889"/>
      <c r="B128" s="1890"/>
      <c r="C128" s="1893" t="s">
        <v>3211</v>
      </c>
      <c r="D128" s="1878" t="s">
        <v>3613</v>
      </c>
      <c r="E128" s="1878" t="str">
        <f>'SW Plan'!F90</f>
        <v>Track movement of solid waste transportation vehicles to achieve optimum operational efficiency</v>
      </c>
      <c r="F128" s="1882" t="s">
        <v>2112</v>
      </c>
      <c r="G128" s="3394" t="s">
        <v>864</v>
      </c>
      <c r="H128" s="5847"/>
      <c r="I128" s="2916" t="s">
        <v>877</v>
      </c>
      <c r="J128" s="1890"/>
    </row>
    <row r="129" spans="1:10" s="1894" customFormat="1" ht="46.5" customHeight="1" x14ac:dyDescent="0.25">
      <c r="A129" s="1889"/>
      <c r="B129" s="1890"/>
      <c r="C129" s="1893" t="s">
        <v>3212</v>
      </c>
      <c r="D129" s="1895" t="s">
        <v>3614</v>
      </c>
      <c r="E129" s="1878" t="str">
        <f>'SW Plan'!F96</f>
        <v>Improve processes for maintaining daily logs of solid waste across SWM value chain</v>
      </c>
      <c r="F129" s="1882" t="s">
        <v>1052</v>
      </c>
      <c r="G129" s="3394"/>
      <c r="H129" s="5847"/>
      <c r="I129" s="2916" t="s">
        <v>877</v>
      </c>
      <c r="J129" s="1890"/>
    </row>
    <row r="130" spans="1:10" s="1894" customFormat="1" ht="53.25" customHeight="1" x14ac:dyDescent="0.25">
      <c r="A130" s="1889"/>
      <c r="B130" s="1890"/>
      <c r="C130" s="1893" t="s">
        <v>3213</v>
      </c>
      <c r="D130" s="1895" t="s">
        <v>3614</v>
      </c>
      <c r="E130" s="1878" t="str">
        <f>'SW Plan'!F97</f>
        <v>Process for periodic estimation of recyclable material collected by recyclers</v>
      </c>
      <c r="F130" s="1882" t="s">
        <v>868</v>
      </c>
      <c r="G130" s="3394"/>
      <c r="H130" s="5847"/>
      <c r="I130" s="2916" t="s">
        <v>877</v>
      </c>
      <c r="J130" s="1890"/>
    </row>
    <row r="131" spans="1:10" s="1894" customFormat="1" ht="73.5" customHeight="1" x14ac:dyDescent="0.25">
      <c r="A131" s="1889"/>
      <c r="B131" s="1890"/>
      <c r="C131" s="1893" t="s">
        <v>3214</v>
      </c>
      <c r="D131" s="1886" t="s">
        <v>3615</v>
      </c>
      <c r="E131" s="1880" t="str">
        <f>'SW Plan'!F101</f>
        <v xml:space="preserve">Segregation of collection and transportation of solid waste </v>
      </c>
      <c r="F131" s="1897" t="s">
        <v>1050</v>
      </c>
      <c r="G131" s="1897" t="s">
        <v>2113</v>
      </c>
      <c r="H131" s="5847"/>
      <c r="I131" s="2916" t="s">
        <v>877</v>
      </c>
      <c r="J131" s="1890"/>
    </row>
    <row r="132" spans="1:10" s="1894" customFormat="1" ht="156.75" customHeight="1" x14ac:dyDescent="0.25">
      <c r="A132" s="1889"/>
      <c r="B132" s="1890"/>
      <c r="C132" s="1893" t="s">
        <v>3215</v>
      </c>
      <c r="D132" s="1895" t="s">
        <v>3615</v>
      </c>
      <c r="E132" s="1878" t="str">
        <f>'SW Plan'!F106</f>
        <v>Improve solid waste collection through secondary storage bins</v>
      </c>
      <c r="F132" s="1882" t="s">
        <v>1053</v>
      </c>
      <c r="G132" s="3394" t="s">
        <v>1054</v>
      </c>
      <c r="H132" s="5847"/>
      <c r="I132" s="2916" t="s">
        <v>877</v>
      </c>
      <c r="J132" s="1890"/>
    </row>
    <row r="133" spans="1:10" s="1894" customFormat="1" ht="48.75" customHeight="1" x14ac:dyDescent="0.25">
      <c r="A133" s="1889"/>
      <c r="B133" s="1890"/>
      <c r="C133" s="1893" t="s">
        <v>3216</v>
      </c>
      <c r="D133" s="1895" t="s">
        <v>3615</v>
      </c>
      <c r="E133" s="1878" t="str">
        <f>'SW Plan'!F119</f>
        <v>Install litter bins at public places</v>
      </c>
      <c r="F133" s="1882" t="s">
        <v>867</v>
      </c>
      <c r="G133" s="3394" t="s">
        <v>866</v>
      </c>
      <c r="H133" s="5847"/>
      <c r="I133" s="2916" t="s">
        <v>877</v>
      </c>
      <c r="J133" s="1890"/>
    </row>
    <row r="134" spans="1:10" s="1894" customFormat="1" ht="60" customHeight="1" x14ac:dyDescent="0.25">
      <c r="A134" s="1889"/>
      <c r="B134" s="1890"/>
      <c r="C134" s="1893" t="s">
        <v>3217</v>
      </c>
      <c r="D134" s="1886" t="s">
        <v>3615</v>
      </c>
      <c r="E134" s="1880" t="str">
        <f>'SW Plan'!F123</f>
        <v>Improve collection efficiency of solid waste with existing vehicles</v>
      </c>
      <c r="F134" s="1883" t="s">
        <v>2114</v>
      </c>
      <c r="G134" s="1897"/>
      <c r="H134" s="5847"/>
      <c r="I134" s="2916" t="s">
        <v>877</v>
      </c>
      <c r="J134" s="1890"/>
    </row>
    <row r="135" spans="1:10" s="1894" customFormat="1" ht="47.25" customHeight="1" x14ac:dyDescent="0.25">
      <c r="A135" s="1889"/>
      <c r="B135" s="1890"/>
      <c r="C135" s="1893" t="s">
        <v>3218</v>
      </c>
      <c r="D135" s="1895" t="s">
        <v>3615</v>
      </c>
      <c r="E135" s="1878" t="str">
        <f>'SW Plan'!F135</f>
        <v>Repair existing solid waste processing plant</v>
      </c>
      <c r="F135" s="1882" t="s">
        <v>2115</v>
      </c>
      <c r="G135" s="3394"/>
      <c r="H135" s="5847"/>
      <c r="I135" s="2916" t="s">
        <v>877</v>
      </c>
      <c r="J135" s="1890"/>
    </row>
    <row r="136" spans="1:10" s="1894" customFormat="1" ht="159" customHeight="1" x14ac:dyDescent="0.25">
      <c r="A136" s="1889"/>
      <c r="B136" s="1890"/>
      <c r="C136" s="1893" t="s">
        <v>3219</v>
      </c>
      <c r="D136" s="1895" t="s">
        <v>208</v>
      </c>
      <c r="E136" s="1878" t="str">
        <f>'SW Plan'!F146</f>
        <v>Procure new vehicles for solid waste collection and transportation</v>
      </c>
      <c r="F136" s="1882" t="s">
        <v>2116</v>
      </c>
      <c r="G136" s="3394" t="s">
        <v>2117</v>
      </c>
      <c r="H136" s="5847"/>
      <c r="I136" s="2916" t="s">
        <v>877</v>
      </c>
      <c r="J136" s="1890"/>
    </row>
    <row r="137" spans="1:10" s="1894" customFormat="1" ht="135.75" customHeight="1" x14ac:dyDescent="0.25">
      <c r="A137" s="1889"/>
      <c r="B137" s="1890"/>
      <c r="C137" s="1893" t="s">
        <v>3220</v>
      </c>
      <c r="D137" s="1895" t="s">
        <v>208</v>
      </c>
      <c r="E137" s="1878" t="str">
        <f>'SW Plan'!F164</f>
        <v>Construct new solid waste transfer station</v>
      </c>
      <c r="F137" s="1878" t="s">
        <v>1055</v>
      </c>
      <c r="G137" s="1898" t="s">
        <v>1423</v>
      </c>
      <c r="H137" s="5848"/>
      <c r="I137" s="2916" t="s">
        <v>877</v>
      </c>
      <c r="J137" s="1890"/>
    </row>
    <row r="138" spans="1:10" s="1894" customFormat="1" ht="51" customHeight="1" x14ac:dyDescent="0.25">
      <c r="A138" s="1889"/>
      <c r="B138" s="1890"/>
      <c r="C138" s="1893" t="s">
        <v>3221</v>
      </c>
      <c r="D138" s="1895" t="s">
        <v>208</v>
      </c>
      <c r="E138" s="1878" t="str">
        <f>'SW Plan'!F171</f>
        <v>Install weigh bridges to quantify solid waste collected and transported</v>
      </c>
      <c r="F138" s="1878" t="s">
        <v>2108</v>
      </c>
      <c r="G138" s="1898" t="s">
        <v>865</v>
      </c>
      <c r="H138" s="5848"/>
      <c r="I138" s="2916" t="s">
        <v>877</v>
      </c>
      <c r="J138" s="1890"/>
    </row>
    <row r="139" spans="1:10" s="1894" customFormat="1" ht="78.75" customHeight="1" x14ac:dyDescent="0.25">
      <c r="A139" s="1889"/>
      <c r="B139" s="1890"/>
      <c r="C139" s="1893" t="s">
        <v>3222</v>
      </c>
      <c r="D139" s="1895" t="s">
        <v>208</v>
      </c>
      <c r="E139" s="1878" t="str">
        <f>'SW Plan'!F175</f>
        <v>Construct new solid waste processing plant</v>
      </c>
      <c r="F139" s="1882" t="s">
        <v>1425</v>
      </c>
      <c r="G139" s="3394" t="s">
        <v>2118</v>
      </c>
      <c r="H139" s="5847"/>
      <c r="I139" s="2916" t="s">
        <v>877</v>
      </c>
      <c r="J139" s="1890"/>
    </row>
    <row r="140" spans="1:10" ht="25.5" customHeight="1" x14ac:dyDescent="0.25">
      <c r="A140" s="1311"/>
      <c r="B140" s="1364"/>
      <c r="C140" s="1873"/>
      <c r="D140" s="1874" t="s">
        <v>702</v>
      </c>
      <c r="E140" s="1875"/>
      <c r="F140" s="1875"/>
      <c r="G140" s="1896"/>
      <c r="H140" s="1896"/>
      <c r="I140" s="3719"/>
      <c r="J140" s="1364"/>
    </row>
    <row r="141" spans="1:10" s="1894" customFormat="1" ht="91.5" customHeight="1" x14ac:dyDescent="0.25">
      <c r="A141" s="1889"/>
      <c r="B141" s="1890"/>
      <c r="C141" s="1893" t="s">
        <v>3223</v>
      </c>
      <c r="D141" s="1895" t="s">
        <v>3614</v>
      </c>
      <c r="E141" s="1878" t="str">
        <f>'SW Plan'!F195</f>
        <v>Improve processes for management of consumer complaints</v>
      </c>
      <c r="F141" s="1878" t="s">
        <v>1056</v>
      </c>
      <c r="G141" s="1898"/>
      <c r="H141" s="5848"/>
      <c r="I141" s="2916" t="s">
        <v>877</v>
      </c>
      <c r="J141" s="1890"/>
    </row>
    <row r="142" spans="1:10" s="1894" customFormat="1" ht="54.75" customHeight="1" x14ac:dyDescent="0.25">
      <c r="A142" s="1889"/>
      <c r="B142" s="1890"/>
      <c r="C142" s="1893" t="s">
        <v>3224</v>
      </c>
      <c r="D142" s="1895" t="s">
        <v>3614</v>
      </c>
      <c r="E142" s="1878" t="str">
        <f>'SW Plan'!F196</f>
        <v>Process for allotment of government land for processing and disposal of solid waste</v>
      </c>
      <c r="F142" s="7217" t="s">
        <v>1424</v>
      </c>
      <c r="G142" s="7217"/>
      <c r="H142" s="5848"/>
      <c r="I142" s="2916" t="s">
        <v>877</v>
      </c>
      <c r="J142" s="1890"/>
    </row>
    <row r="143" spans="1:10" s="1894" customFormat="1" ht="54.75" customHeight="1" x14ac:dyDescent="0.25">
      <c r="A143" s="1889"/>
      <c r="B143" s="1890"/>
      <c r="C143" s="1893" t="s">
        <v>3225</v>
      </c>
      <c r="D143" s="1895" t="s">
        <v>3614</v>
      </c>
      <c r="E143" s="1878" t="str">
        <f>'SW Plan'!F197</f>
        <v xml:space="preserve">Process to obtain authorisation from concerned authorities and furnish annual report of compliance </v>
      </c>
      <c r="F143" s="7219"/>
      <c r="G143" s="7219"/>
      <c r="H143" s="5849"/>
      <c r="I143" s="2916" t="s">
        <v>877</v>
      </c>
      <c r="J143" s="1890"/>
    </row>
    <row r="144" spans="1:10" s="1894" customFormat="1" ht="62.25" customHeight="1" x14ac:dyDescent="0.25">
      <c r="A144" s="1889"/>
      <c r="B144" s="1890"/>
      <c r="C144" s="1893" t="s">
        <v>3226</v>
      </c>
      <c r="D144" s="1895" t="s">
        <v>3614</v>
      </c>
      <c r="E144" s="1878" t="str">
        <f>'SW Plan'!F198</f>
        <v>Review of operating practices at scientific landfill sites to ensure compliance with MSW Rules 2000</v>
      </c>
      <c r="F144" s="1878" t="s">
        <v>1057</v>
      </c>
      <c r="G144" s="1898"/>
      <c r="H144" s="5848"/>
      <c r="I144" s="2916" t="s">
        <v>877</v>
      </c>
      <c r="J144" s="1890"/>
    </row>
    <row r="145" spans="1:10" s="1894" customFormat="1" ht="75.75" customHeight="1" x14ac:dyDescent="0.25">
      <c r="A145" s="1889"/>
      <c r="B145" s="1890"/>
      <c r="C145" s="1893" t="s">
        <v>3227</v>
      </c>
      <c r="D145" s="1895" t="s">
        <v>3615</v>
      </c>
      <c r="E145" s="1878" t="str">
        <f>'SW Plan'!F202</f>
        <v>Improve consumer grievance redressal system</v>
      </c>
      <c r="F145" s="1883" t="s">
        <v>863</v>
      </c>
      <c r="G145" s="1897"/>
      <c r="H145" s="5847"/>
      <c r="I145" s="2916" t="s">
        <v>877</v>
      </c>
      <c r="J145" s="1890"/>
    </row>
    <row r="146" spans="1:10" s="1894" customFormat="1" ht="114.75" customHeight="1" x14ac:dyDescent="0.25">
      <c r="A146" s="1889"/>
      <c r="B146" s="1890"/>
      <c r="C146" s="1893" t="s">
        <v>3228</v>
      </c>
      <c r="D146" s="1895" t="s">
        <v>208</v>
      </c>
      <c r="E146" s="1878" t="str">
        <f>'SW Plan'!F209</f>
        <v>Construct sanitary landfill facility for solid waste disposal</v>
      </c>
      <c r="F146" s="1883" t="s">
        <v>2119</v>
      </c>
      <c r="G146" s="1897" t="s">
        <v>1035</v>
      </c>
      <c r="H146" s="5847"/>
      <c r="I146" s="2916" t="s">
        <v>877</v>
      </c>
      <c r="J146" s="1890"/>
    </row>
    <row r="147" spans="1:10" s="1894" customFormat="1" ht="41.25" customHeight="1" x14ac:dyDescent="0.25">
      <c r="A147" s="1889"/>
      <c r="B147" s="1890"/>
      <c r="C147" s="1893" t="s">
        <v>3229</v>
      </c>
      <c r="D147" s="1895" t="s">
        <v>208</v>
      </c>
      <c r="E147" s="1878" t="str">
        <f>'SW Plan'!F215</f>
        <v>Closure of existing dumping site in scientific manner as prescribed by MSW Rules 2000</v>
      </c>
      <c r="F147" s="1883" t="s">
        <v>862</v>
      </c>
      <c r="G147" s="1897" t="s">
        <v>861</v>
      </c>
      <c r="H147" s="5847"/>
      <c r="I147" s="2916" t="s">
        <v>877</v>
      </c>
      <c r="J147" s="1890"/>
    </row>
    <row r="148" spans="1:10" ht="25.5" customHeight="1" x14ac:dyDescent="0.25">
      <c r="A148" s="1311"/>
      <c r="B148" s="1364"/>
      <c r="C148" s="1873"/>
      <c r="D148" s="1874" t="s">
        <v>677</v>
      </c>
      <c r="E148" s="1875"/>
      <c r="F148" s="1875"/>
      <c r="G148" s="1896"/>
      <c r="H148" s="1896"/>
      <c r="I148" s="3719"/>
      <c r="J148" s="1364"/>
    </row>
    <row r="149" spans="1:10" s="1894" customFormat="1" ht="78.75" customHeight="1" x14ac:dyDescent="0.25">
      <c r="A149" s="1889"/>
      <c r="B149" s="1890"/>
      <c r="C149" s="1893" t="s">
        <v>3230</v>
      </c>
      <c r="D149" s="1878" t="s">
        <v>3614</v>
      </c>
      <c r="E149" s="1878" t="str">
        <f>'SW Plan'!F223</f>
        <v>Improve billing and collection of solid waste bills</v>
      </c>
      <c r="F149" s="1883" t="s">
        <v>1038</v>
      </c>
      <c r="G149" s="1884" t="s">
        <v>869</v>
      </c>
      <c r="H149" s="5841"/>
      <c r="I149" s="2916" t="s">
        <v>877</v>
      </c>
      <c r="J149" s="1890"/>
    </row>
    <row r="150" spans="1:10" s="1894" customFormat="1" ht="75.75" customHeight="1" x14ac:dyDescent="0.25">
      <c r="A150" s="1889"/>
      <c r="B150" s="1890"/>
      <c r="C150" s="1893" t="s">
        <v>3231</v>
      </c>
      <c r="D150" s="1878" t="s">
        <v>3615</v>
      </c>
      <c r="E150" s="1878" t="str">
        <f>'SW Plan'!F227</f>
        <v>Improve collection efficiency of solid waste charges and taxes</v>
      </c>
      <c r="F150" s="1883" t="s">
        <v>2105</v>
      </c>
      <c r="G150" s="1897" t="s">
        <v>860</v>
      </c>
      <c r="H150" s="5847"/>
      <c r="I150" s="2916" t="s">
        <v>877</v>
      </c>
      <c r="J150" s="1890"/>
    </row>
    <row r="151" spans="1:10" s="1894" customFormat="1" x14ac:dyDescent="0.25">
      <c r="A151" s="1889"/>
      <c r="B151" s="1890"/>
      <c r="C151" s="1890"/>
      <c r="D151" s="1890"/>
      <c r="E151" s="1890"/>
      <c r="F151" s="1890"/>
      <c r="G151" s="1890"/>
      <c r="H151" s="1890"/>
      <c r="I151" s="3720"/>
      <c r="J151" s="1890"/>
    </row>
    <row r="152" spans="1:10" s="1894" customFormat="1" x14ac:dyDescent="0.25">
      <c r="B152" s="1850"/>
      <c r="C152" s="1850"/>
      <c r="D152" s="1850"/>
      <c r="E152" s="1850"/>
      <c r="F152" s="1850"/>
      <c r="G152" s="1850"/>
      <c r="H152" s="1850"/>
      <c r="I152" s="3721"/>
      <c r="J152" s="1850"/>
    </row>
    <row r="153" spans="1:10" s="1894" customFormat="1" ht="23.25" x14ac:dyDescent="0.25">
      <c r="B153" s="1850"/>
      <c r="C153" s="7212" t="s">
        <v>1415</v>
      </c>
      <c r="D153" s="7212"/>
      <c r="E153" s="7212"/>
      <c r="F153" s="7212"/>
      <c r="G153" s="1850"/>
      <c r="H153" s="1850"/>
      <c r="I153" s="3721"/>
      <c r="J153" s="1850"/>
    </row>
    <row r="154" spans="1:10" s="1894" customFormat="1" ht="20.25" customHeight="1" x14ac:dyDescent="0.25">
      <c r="B154" s="1850"/>
      <c r="C154" s="1899" t="s">
        <v>859</v>
      </c>
      <c r="D154" s="1899"/>
      <c r="E154" s="1900" t="s">
        <v>1428</v>
      </c>
      <c r="F154" s="1900" t="s">
        <v>1429</v>
      </c>
      <c r="G154" s="1850"/>
      <c r="H154" s="1850"/>
      <c r="I154" s="3721"/>
      <c r="J154" s="1850"/>
    </row>
    <row r="155" spans="1:10" s="1894" customFormat="1" ht="17.25" customHeight="1" x14ac:dyDescent="0.25">
      <c r="B155" s="1850"/>
      <c r="C155" s="7213" t="s">
        <v>858</v>
      </c>
      <c r="D155" s="7214"/>
      <c r="E155" s="7214"/>
      <c r="F155" s="7215"/>
      <c r="G155" s="1850"/>
      <c r="H155" s="1850"/>
      <c r="I155" s="3721"/>
      <c r="J155" s="1850"/>
    </row>
    <row r="156" spans="1:10" s="1894" customFormat="1" ht="20.25" customHeight="1" x14ac:dyDescent="0.25">
      <c r="B156" s="1850"/>
      <c r="C156" s="7207" t="s">
        <v>856</v>
      </c>
      <c r="D156" s="7206"/>
      <c r="E156" s="1901" t="s">
        <v>847</v>
      </c>
      <c r="F156" s="1902">
        <v>850000</v>
      </c>
      <c r="G156" s="1850"/>
      <c r="H156" s="1850"/>
      <c r="I156" s="3721"/>
      <c r="J156" s="1850"/>
    </row>
    <row r="157" spans="1:10" s="1894" customFormat="1" ht="32.25" customHeight="1" x14ac:dyDescent="0.25">
      <c r="B157" s="1850"/>
      <c r="C157" s="7205" t="s">
        <v>855</v>
      </c>
      <c r="D157" s="7206"/>
      <c r="E157" s="1901" t="s">
        <v>845</v>
      </c>
      <c r="F157" s="1902">
        <v>30000</v>
      </c>
      <c r="G157" s="1850"/>
      <c r="H157" s="1850"/>
      <c r="I157" s="3721"/>
      <c r="J157" s="1850"/>
    </row>
    <row r="158" spans="1:10" s="1894" customFormat="1" ht="17.25" customHeight="1" x14ac:dyDescent="0.25">
      <c r="B158" s="1850"/>
      <c r="C158" s="7205" t="s">
        <v>854</v>
      </c>
      <c r="D158" s="7206"/>
      <c r="E158" s="1901" t="s">
        <v>847</v>
      </c>
      <c r="F158" s="1902">
        <v>1600000</v>
      </c>
      <c r="G158" s="1850"/>
      <c r="H158" s="1850"/>
      <c r="I158" s="3721"/>
      <c r="J158" s="1850"/>
    </row>
    <row r="159" spans="1:10" s="1894" customFormat="1" ht="32.25" customHeight="1" x14ac:dyDescent="0.25">
      <c r="B159" s="1850"/>
      <c r="C159" s="7205" t="s">
        <v>853</v>
      </c>
      <c r="D159" s="7206"/>
      <c r="E159" s="1901" t="s">
        <v>845</v>
      </c>
      <c r="F159" s="1902">
        <v>25000</v>
      </c>
      <c r="G159" s="1850"/>
      <c r="H159" s="1850"/>
      <c r="I159" s="3721"/>
      <c r="J159" s="1850"/>
    </row>
    <row r="160" spans="1:10" s="1894" customFormat="1" ht="17.25" customHeight="1" x14ac:dyDescent="0.25">
      <c r="B160" s="1850"/>
      <c r="C160" s="7205" t="s">
        <v>852</v>
      </c>
      <c r="D160" s="7206"/>
      <c r="E160" s="1901" t="s">
        <v>847</v>
      </c>
      <c r="F160" s="1902">
        <v>2850000</v>
      </c>
      <c r="G160" s="1850"/>
      <c r="H160" s="1850"/>
      <c r="I160" s="3721"/>
      <c r="J160" s="1850"/>
    </row>
    <row r="161" spans="2:10" s="1894" customFormat="1" ht="34.5" customHeight="1" x14ac:dyDescent="0.25">
      <c r="B161" s="1850"/>
      <c r="C161" s="7205" t="s">
        <v>851</v>
      </c>
      <c r="D161" s="7206"/>
      <c r="E161" s="1901" t="s">
        <v>845</v>
      </c>
      <c r="F161" s="1902">
        <v>20000</v>
      </c>
      <c r="G161" s="1850"/>
      <c r="H161" s="1850"/>
      <c r="I161" s="3721"/>
      <c r="J161" s="1850"/>
    </row>
    <row r="162" spans="2:10" s="1894" customFormat="1" ht="19.5" customHeight="1" x14ac:dyDescent="0.25">
      <c r="B162" s="1850"/>
      <c r="C162" s="7205" t="s">
        <v>850</v>
      </c>
      <c r="D162" s="7206"/>
      <c r="E162" s="1901" t="s">
        <v>847</v>
      </c>
      <c r="F162" s="1902">
        <v>3850000</v>
      </c>
      <c r="G162" s="1850"/>
      <c r="H162" s="1850"/>
      <c r="I162" s="3721"/>
      <c r="J162" s="1850"/>
    </row>
    <row r="163" spans="2:10" s="1894" customFormat="1" ht="34.5" customHeight="1" x14ac:dyDescent="0.25">
      <c r="B163" s="1850"/>
      <c r="C163" s="7205" t="s">
        <v>849</v>
      </c>
      <c r="D163" s="7206"/>
      <c r="E163" s="1901" t="s">
        <v>845</v>
      </c>
      <c r="F163" s="1902">
        <v>17000</v>
      </c>
      <c r="G163" s="1850"/>
      <c r="H163" s="1850"/>
      <c r="I163" s="3721"/>
      <c r="J163" s="1850"/>
    </row>
    <row r="164" spans="2:10" s="1894" customFormat="1" ht="19.5" customHeight="1" x14ac:dyDescent="0.25">
      <c r="B164" s="1850"/>
      <c r="C164" s="7205" t="s">
        <v>848</v>
      </c>
      <c r="D164" s="7206"/>
      <c r="E164" s="1901" t="s">
        <v>847</v>
      </c>
      <c r="F164" s="1902">
        <v>4700000</v>
      </c>
      <c r="G164" s="1850"/>
      <c r="H164" s="1850"/>
      <c r="I164" s="3721"/>
      <c r="J164" s="1850"/>
    </row>
    <row r="165" spans="2:10" s="1894" customFormat="1" ht="19.5" customHeight="1" x14ac:dyDescent="0.25">
      <c r="B165" s="1850"/>
      <c r="C165" s="7205" t="s">
        <v>846</v>
      </c>
      <c r="D165" s="7206"/>
      <c r="E165" s="1901" t="s">
        <v>845</v>
      </c>
      <c r="F165" s="1902">
        <f>F163-(F161-F163)+1000</f>
        <v>15000</v>
      </c>
      <c r="G165" s="1850"/>
      <c r="H165" s="1850"/>
      <c r="I165" s="3721"/>
      <c r="J165" s="1850"/>
    </row>
    <row r="166" spans="2:10" s="1894" customFormat="1" ht="17.25" customHeight="1" x14ac:dyDescent="0.25">
      <c r="B166" s="1850"/>
      <c r="C166" s="7213" t="s">
        <v>857</v>
      </c>
      <c r="D166" s="7214"/>
      <c r="E166" s="7214"/>
      <c r="F166" s="7215"/>
      <c r="G166" s="1850"/>
      <c r="H166" s="1850"/>
      <c r="I166" s="3721"/>
      <c r="J166" s="1850"/>
    </row>
    <row r="167" spans="2:10" s="1894" customFormat="1" ht="19.5" customHeight="1" x14ac:dyDescent="0.25">
      <c r="B167" s="1850"/>
      <c r="C167" s="7207" t="s">
        <v>856</v>
      </c>
      <c r="D167" s="7206"/>
      <c r="E167" s="1901" t="s">
        <v>847</v>
      </c>
      <c r="F167" s="1902">
        <v>630000</v>
      </c>
      <c r="G167" s="1850"/>
      <c r="H167" s="1850"/>
      <c r="I167" s="3721"/>
      <c r="J167" s="1850"/>
    </row>
    <row r="168" spans="2:10" s="1894" customFormat="1" ht="33" customHeight="1" x14ac:dyDescent="0.25">
      <c r="B168" s="1850"/>
      <c r="C168" s="7205" t="s">
        <v>855</v>
      </c>
      <c r="D168" s="7206"/>
      <c r="E168" s="1901" t="s">
        <v>845</v>
      </c>
      <c r="F168" s="1902">
        <v>21320</v>
      </c>
      <c r="G168" s="1850"/>
      <c r="H168" s="1850"/>
      <c r="I168" s="3721"/>
      <c r="J168" s="1850"/>
    </row>
    <row r="169" spans="2:10" ht="18" customHeight="1" x14ac:dyDescent="0.25">
      <c r="B169" s="1341"/>
      <c r="C169" s="7205" t="s">
        <v>854</v>
      </c>
      <c r="D169" s="7206"/>
      <c r="E169" s="1901" t="s">
        <v>847</v>
      </c>
      <c r="F169" s="1902">
        <v>1163000</v>
      </c>
      <c r="G169" s="1341"/>
      <c r="H169" s="1341"/>
      <c r="I169" s="3722"/>
      <c r="J169" s="1341"/>
    </row>
    <row r="170" spans="2:10" s="1894" customFormat="1" ht="30.75" customHeight="1" x14ac:dyDescent="0.25">
      <c r="B170" s="1850"/>
      <c r="C170" s="7205" t="s">
        <v>853</v>
      </c>
      <c r="D170" s="7206"/>
      <c r="E170" s="1901" t="s">
        <v>845</v>
      </c>
      <c r="F170" s="1902">
        <v>16740</v>
      </c>
      <c r="G170" s="1850"/>
      <c r="H170" s="1850"/>
      <c r="I170" s="3721"/>
      <c r="J170" s="1850"/>
    </row>
    <row r="171" spans="2:10" ht="19.5" customHeight="1" x14ac:dyDescent="0.25">
      <c r="B171" s="1341"/>
      <c r="C171" s="7205" t="s">
        <v>852</v>
      </c>
      <c r="D171" s="7206"/>
      <c r="E171" s="1901" t="s">
        <v>847</v>
      </c>
      <c r="F171" s="1902">
        <v>2000000</v>
      </c>
      <c r="G171" s="1341"/>
      <c r="H171" s="1341"/>
      <c r="I171" s="3722"/>
      <c r="J171" s="1341"/>
    </row>
    <row r="172" spans="2:10" s="1894" customFormat="1" ht="30.75" customHeight="1" x14ac:dyDescent="0.25">
      <c r="B172" s="1850"/>
      <c r="C172" s="7205" t="s">
        <v>851</v>
      </c>
      <c r="D172" s="7206"/>
      <c r="E172" s="1901" t="s">
        <v>845</v>
      </c>
      <c r="F172" s="1902">
        <v>12000</v>
      </c>
      <c r="G172" s="1850"/>
      <c r="H172" s="1850"/>
      <c r="I172" s="3721"/>
      <c r="J172" s="1850"/>
    </row>
    <row r="173" spans="2:10" ht="18" customHeight="1" x14ac:dyDescent="0.25">
      <c r="B173" s="1341"/>
      <c r="C173" s="7205" t="s">
        <v>850</v>
      </c>
      <c r="D173" s="7206"/>
      <c r="E173" s="1901" t="s">
        <v>847</v>
      </c>
      <c r="F173" s="1902">
        <v>2600000</v>
      </c>
      <c r="G173" s="1341"/>
      <c r="H173" s="1341"/>
      <c r="I173" s="3722"/>
      <c r="J173" s="1341"/>
    </row>
    <row r="174" spans="2:10" s="1894" customFormat="1" ht="30.75" customHeight="1" x14ac:dyDescent="0.25">
      <c r="B174" s="1850"/>
      <c r="C174" s="7205" t="s">
        <v>849</v>
      </c>
      <c r="D174" s="7206"/>
      <c r="E174" s="1901" t="s">
        <v>845</v>
      </c>
      <c r="F174" s="1902">
        <v>8000</v>
      </c>
      <c r="G174" s="1850"/>
      <c r="H174" s="1850"/>
      <c r="I174" s="3721"/>
      <c r="J174" s="1850"/>
    </row>
    <row r="175" spans="2:10" ht="17.25" customHeight="1" x14ac:dyDescent="0.25">
      <c r="B175" s="1341"/>
      <c r="C175" s="7205" t="s">
        <v>848</v>
      </c>
      <c r="D175" s="7206"/>
      <c r="E175" s="1901" t="s">
        <v>847</v>
      </c>
      <c r="F175" s="1902">
        <v>3000000</v>
      </c>
      <c r="G175" s="1341"/>
      <c r="H175" s="1341"/>
      <c r="I175" s="3722"/>
      <c r="J175" s="1341"/>
    </row>
    <row r="176" spans="2:10" ht="17.25" customHeight="1" x14ac:dyDescent="0.25">
      <c r="B176" s="1341"/>
      <c r="C176" s="7205" t="s">
        <v>846</v>
      </c>
      <c r="D176" s="7206"/>
      <c r="E176" s="1901" t="s">
        <v>845</v>
      </c>
      <c r="F176" s="1902">
        <v>4000</v>
      </c>
      <c r="G176" s="1341"/>
      <c r="H176" s="1341"/>
      <c r="I176" s="3722"/>
      <c r="J176" s="1341"/>
    </row>
    <row r="177" spans="2:10" s="1894" customFormat="1" ht="20.25" customHeight="1" x14ac:dyDescent="0.25">
      <c r="B177" s="1850"/>
      <c r="C177" s="1899" t="s">
        <v>844</v>
      </c>
      <c r="D177" s="1899"/>
      <c r="E177" s="1900"/>
      <c r="F177" s="1900"/>
      <c r="G177" s="1850"/>
      <c r="H177" s="1850"/>
      <c r="I177" s="3721"/>
      <c r="J177" s="1850"/>
    </row>
    <row r="178" spans="2:10" ht="15.75" customHeight="1" x14ac:dyDescent="0.25">
      <c r="B178" s="1341"/>
      <c r="C178" s="7207" t="s">
        <v>843</v>
      </c>
      <c r="D178" s="7206"/>
      <c r="E178" s="1901" t="s">
        <v>842</v>
      </c>
      <c r="F178" s="1902">
        <v>195000</v>
      </c>
      <c r="G178" s="1341"/>
      <c r="H178" s="1341"/>
      <c r="I178" s="3722"/>
      <c r="J178" s="1341"/>
    </row>
    <row r="179" spans="2:10" ht="15.75" customHeight="1" x14ac:dyDescent="0.25">
      <c r="B179" s="1341"/>
      <c r="C179" s="7205" t="s">
        <v>1426</v>
      </c>
      <c r="D179" s="7206"/>
      <c r="E179" s="1901"/>
      <c r="F179" s="1902"/>
      <c r="G179" s="1341"/>
      <c r="H179" s="1341"/>
      <c r="I179" s="3722"/>
      <c r="J179" s="1341"/>
    </row>
    <row r="180" spans="2:10" ht="15.75" customHeight="1" x14ac:dyDescent="0.25">
      <c r="B180" s="1341"/>
      <c r="C180" s="7205" t="s">
        <v>841</v>
      </c>
      <c r="D180" s="7206"/>
      <c r="E180" s="1901" t="s">
        <v>840</v>
      </c>
      <c r="F180" s="1903">
        <v>90000</v>
      </c>
      <c r="G180" s="1341"/>
      <c r="H180" s="1341"/>
      <c r="I180" s="3722"/>
      <c r="J180" s="1341"/>
    </row>
    <row r="181" spans="2:10" ht="15.75" customHeight="1" x14ac:dyDescent="0.25">
      <c r="B181" s="1341"/>
      <c r="C181" s="7205" t="s">
        <v>839</v>
      </c>
      <c r="D181" s="7206"/>
      <c r="E181" s="1901" t="s">
        <v>838</v>
      </c>
      <c r="F181" s="1903">
        <v>1350</v>
      </c>
      <c r="G181" s="1341"/>
      <c r="H181" s="1341"/>
      <c r="I181" s="3722"/>
      <c r="J181" s="1341"/>
    </row>
    <row r="182" spans="2:10" ht="15.75" customHeight="1" x14ac:dyDescent="0.25">
      <c r="B182" s="1341"/>
      <c r="C182" s="7205" t="s">
        <v>1037</v>
      </c>
      <c r="D182" s="7206"/>
      <c r="E182" s="1901" t="s">
        <v>838</v>
      </c>
      <c r="F182" s="1902">
        <v>6250</v>
      </c>
      <c r="G182" s="1341"/>
      <c r="H182" s="1341"/>
      <c r="I182" s="3722"/>
      <c r="J182" s="1341"/>
    </row>
    <row r="183" spans="2:10" ht="15.75" customHeight="1" x14ac:dyDescent="0.25">
      <c r="B183" s="1341"/>
      <c r="C183" s="7205" t="s">
        <v>837</v>
      </c>
      <c r="D183" s="7206"/>
      <c r="E183" s="1901"/>
      <c r="F183" s="1902"/>
      <c r="G183" s="1341"/>
      <c r="H183" s="1341"/>
      <c r="I183" s="3722"/>
      <c r="J183" s="1341"/>
    </row>
    <row r="184" spans="2:10" ht="15.75" customHeight="1" x14ac:dyDescent="0.25">
      <c r="B184" s="1341"/>
      <c r="C184" s="7205" t="s">
        <v>836</v>
      </c>
      <c r="D184" s="7206"/>
      <c r="E184" s="1901" t="s">
        <v>80</v>
      </c>
      <c r="F184" s="1903">
        <v>1500</v>
      </c>
      <c r="G184" s="1341"/>
      <c r="H184" s="1341"/>
      <c r="I184" s="3722"/>
      <c r="J184" s="1341"/>
    </row>
    <row r="185" spans="2:10" ht="15.75" customHeight="1" x14ac:dyDescent="0.25">
      <c r="B185" s="1341"/>
      <c r="C185" s="7205" t="s">
        <v>835</v>
      </c>
      <c r="D185" s="7206"/>
      <c r="E185" s="1901"/>
      <c r="F185" s="1903"/>
      <c r="G185" s="1341"/>
      <c r="H185" s="1341"/>
      <c r="I185" s="3722"/>
      <c r="J185" s="1341"/>
    </row>
    <row r="186" spans="2:10" s="1894" customFormat="1" ht="36" customHeight="1" x14ac:dyDescent="0.25">
      <c r="B186" s="1850"/>
      <c r="C186" s="7205" t="s">
        <v>834</v>
      </c>
      <c r="D186" s="7206"/>
      <c r="E186" s="1901" t="s">
        <v>80</v>
      </c>
      <c r="F186" s="1902">
        <v>1500</v>
      </c>
      <c r="G186" s="1850"/>
      <c r="H186" s="1850"/>
      <c r="I186" s="3721"/>
      <c r="J186" s="1850"/>
    </row>
    <row r="187" spans="2:10" ht="17.25" x14ac:dyDescent="0.25">
      <c r="B187" s="1341"/>
      <c r="C187" s="7205" t="s">
        <v>833</v>
      </c>
      <c r="D187" s="7206"/>
      <c r="E187" s="1901" t="s">
        <v>832</v>
      </c>
      <c r="F187" s="1903">
        <v>500</v>
      </c>
      <c r="G187" s="1341"/>
      <c r="H187" s="1341"/>
      <c r="I187" s="3722"/>
      <c r="J187" s="1341"/>
    </row>
    <row r="188" spans="2:10" s="1894" customFormat="1" ht="20.25" customHeight="1" x14ac:dyDescent="0.25">
      <c r="B188" s="1850"/>
      <c r="C188" s="1899" t="s">
        <v>831</v>
      </c>
      <c r="D188" s="1899"/>
      <c r="E188" s="1900"/>
      <c r="F188" s="1900"/>
      <c r="G188" s="1850"/>
      <c r="H188" s="1850"/>
      <c r="I188" s="3721"/>
      <c r="J188" s="1850"/>
    </row>
    <row r="189" spans="2:10" s="1894" customFormat="1" ht="35.25" customHeight="1" x14ac:dyDescent="0.25">
      <c r="B189" s="1850"/>
      <c r="C189" s="7205" t="s">
        <v>830</v>
      </c>
      <c r="D189" s="7206"/>
      <c r="E189" s="1901"/>
      <c r="F189" s="1902"/>
      <c r="G189" s="1850"/>
      <c r="H189" s="1850"/>
      <c r="I189" s="3721"/>
      <c r="J189" s="1850"/>
    </row>
    <row r="190" spans="2:10" s="1894" customFormat="1" ht="17.25" customHeight="1" x14ac:dyDescent="0.25">
      <c r="B190" s="1850"/>
      <c r="C190" s="7207" t="s">
        <v>829</v>
      </c>
      <c r="D190" s="7206"/>
      <c r="E190" s="1901" t="s">
        <v>77</v>
      </c>
      <c r="F190" s="1902">
        <v>450000</v>
      </c>
      <c r="G190" s="1850"/>
      <c r="H190" s="1850"/>
      <c r="I190" s="3721"/>
      <c r="J190" s="1850"/>
    </row>
    <row r="191" spans="2:10" s="1894" customFormat="1" ht="53.25" customHeight="1" x14ac:dyDescent="0.25">
      <c r="B191" s="1850"/>
      <c r="C191" s="7207" t="s">
        <v>1427</v>
      </c>
      <c r="D191" s="7206"/>
      <c r="E191" s="1901" t="s">
        <v>828</v>
      </c>
      <c r="F191" s="1902">
        <v>600</v>
      </c>
      <c r="G191" s="1850"/>
      <c r="H191" s="1850"/>
      <c r="I191" s="3721"/>
      <c r="J191" s="1850"/>
    </row>
    <row r="192" spans="2:10" s="1908" customFormat="1" ht="20.25" customHeight="1" x14ac:dyDescent="0.25">
      <c r="B192" s="1904"/>
      <c r="C192" s="1905" t="s">
        <v>827</v>
      </c>
      <c r="D192" s="1905"/>
      <c r="E192" s="1906"/>
      <c r="F192" s="1907"/>
      <c r="G192" s="1904"/>
      <c r="H192" s="1904"/>
      <c r="I192" s="3723"/>
      <c r="J192" s="1904"/>
    </row>
    <row r="193" spans="2:10" x14ac:dyDescent="0.25">
      <c r="B193" s="1341"/>
      <c r="C193" s="1341"/>
      <c r="D193" s="1341"/>
      <c r="E193" s="1909"/>
      <c r="F193" s="1909"/>
      <c r="G193" s="1341"/>
      <c r="H193" s="1341"/>
      <c r="I193" s="3722"/>
      <c r="J193" s="1341"/>
    </row>
    <row r="194" spans="2:10" x14ac:dyDescent="0.25">
      <c r="B194" s="1341"/>
      <c r="C194" s="1341"/>
      <c r="D194" s="1341"/>
      <c r="E194" s="1909"/>
      <c r="F194" s="1909"/>
      <c r="G194" s="1341"/>
      <c r="H194" s="1341"/>
      <c r="I194" s="3722"/>
      <c r="J194" s="1341"/>
    </row>
  </sheetData>
  <sheetProtection password="DBDC" sheet="1" objects="1" scenarios="1"/>
  <mergeCells count="57">
    <mergeCell ref="C173:D173"/>
    <mergeCell ref="C174:D174"/>
    <mergeCell ref="C164:D164"/>
    <mergeCell ref="I104:I107"/>
    <mergeCell ref="C160:D160"/>
    <mergeCell ref="C115:J115"/>
    <mergeCell ref="F122:F123"/>
    <mergeCell ref="G122:G123"/>
    <mergeCell ref="C171:D171"/>
    <mergeCell ref="F125:F126"/>
    <mergeCell ref="G125:G126"/>
    <mergeCell ref="F142:F143"/>
    <mergeCell ref="G142:G143"/>
    <mergeCell ref="G12:H12"/>
    <mergeCell ref="D104:D107"/>
    <mergeCell ref="C104:C107"/>
    <mergeCell ref="C170:D170"/>
    <mergeCell ref="C161:D161"/>
    <mergeCell ref="C14:J14"/>
    <mergeCell ref="C66:J66"/>
    <mergeCell ref="C165:D165"/>
    <mergeCell ref="C167:D167"/>
    <mergeCell ref="C168:D168"/>
    <mergeCell ref="C169:D169"/>
    <mergeCell ref="C163:D163"/>
    <mergeCell ref="C191:D191"/>
    <mergeCell ref="C153:F153"/>
    <mergeCell ref="C189:D189"/>
    <mergeCell ref="C190:D190"/>
    <mergeCell ref="C156:D156"/>
    <mergeCell ref="C157:D157"/>
    <mergeCell ref="C158:D158"/>
    <mergeCell ref="C159:D159"/>
    <mergeCell ref="C187:D187"/>
    <mergeCell ref="C155:F155"/>
    <mergeCell ref="C166:F166"/>
    <mergeCell ref="C181:D181"/>
    <mergeCell ref="C182:D182"/>
    <mergeCell ref="C172:D172"/>
    <mergeCell ref="C162:D162"/>
    <mergeCell ref="C186:D186"/>
    <mergeCell ref="C8:G8"/>
    <mergeCell ref="C2:G2"/>
    <mergeCell ref="C4:G4"/>
    <mergeCell ref="D6:G6"/>
    <mergeCell ref="D10:J10"/>
    <mergeCell ref="B10:C10"/>
    <mergeCell ref="B6:C6"/>
    <mergeCell ref="D9:E9"/>
    <mergeCell ref="C184:D184"/>
    <mergeCell ref="C185:D185"/>
    <mergeCell ref="C175:D175"/>
    <mergeCell ref="C178:D178"/>
    <mergeCell ref="C180:D180"/>
    <mergeCell ref="C183:D183"/>
    <mergeCell ref="C176:D176"/>
    <mergeCell ref="C179:D179"/>
  </mergeCells>
  <hyperlinks>
    <hyperlink ref="D9:E9" location="Annexure!E12" display="Water supply"/>
    <hyperlink ref="F9" location="Annexure!E65" display="Wastewater"/>
    <hyperlink ref="G9" location="Annexure!D114" display="Solid Waste"/>
    <hyperlink ref="I17" location="'WS Plan'!D22" display="Back to Action"/>
    <hyperlink ref="I18" location="'WS Plan'!D28" display="Back to Action"/>
    <hyperlink ref="I19" location="'WS Plan'!D34" display="Back to Action"/>
    <hyperlink ref="I20" location="'WS Plan'!D35" display="Back to Action"/>
    <hyperlink ref="I21" location="'WS Plan'!D39" display="Back to Action"/>
    <hyperlink ref="I22" location="'WS Plan'!D44" display="Back to Action"/>
    <hyperlink ref="I23" location="'WS Plan'!E49" display="Back to Action"/>
    <hyperlink ref="I24" location="'WS Plan'!D55" display="Back to Action"/>
    <hyperlink ref="I25" location="'WS Plan'!D64" display="Back to Action"/>
    <hyperlink ref="I27" location="'WS Plan'!D76" display="Back to Action"/>
    <hyperlink ref="I28" location="'WS Plan'!D80" display="Back to Action"/>
    <hyperlink ref="I29" location="'WS Plan'!D87" display="Back to Action"/>
    <hyperlink ref="I30" location="'WS Plan'!D94" display="Back to Action"/>
    <hyperlink ref="I31" location="'WS Plan'!D103" display="Back to Action"/>
    <hyperlink ref="I32" location="'WS Plan'!D108" display="Back to Action"/>
    <hyperlink ref="I33" location="'WS Plan'!D113" display="Back to Action"/>
    <hyperlink ref="I34" location="'WS Plan'!D119" display="Back to Action"/>
    <hyperlink ref="I35" location="'WS Plan'!D125" display="Back to Action"/>
    <hyperlink ref="I36" location="'WS Plan'!D129" display="Back to Action"/>
    <hyperlink ref="I37" location="'WS Plan'!D135" display="Back to Action"/>
    <hyperlink ref="I39" location="'WS Plan'!D147" display="Back to Action"/>
    <hyperlink ref="I40" location="'WS Plan'!D149" display="Back to Action"/>
    <hyperlink ref="I41" location="'WS Plan'!D151" display="Back to Action"/>
    <hyperlink ref="I42" location="'WS Plan'!D155" display="Back to Action"/>
    <hyperlink ref="I43" location="'WS Plan'!D159" display="Back to Action"/>
    <hyperlink ref="I44" location="'WS Plan'!D161" display="Back to Action"/>
    <hyperlink ref="I45" location="'WS Plan'!D168" display="Back to Action"/>
    <hyperlink ref="I46" location="'WS Plan'!D169" display="Back to Action"/>
    <hyperlink ref="I47" location="'WS Plan'!D170" display="Back to Action"/>
    <hyperlink ref="I48" location="'WS Plan'!D174" display="Back to Action"/>
    <hyperlink ref="I49" location="'WS Plan'!D178" display="Back to Action"/>
    <hyperlink ref="I50" location="'WS Plan'!D182" display="Back to Action"/>
    <hyperlink ref="I51" location="'WS Plan'!D189" display="Back to Action"/>
    <hyperlink ref="I52" location="'WS Plan'!D192" display="Back to Action"/>
    <hyperlink ref="I53" location="'WS Plan'!D195" display="Back to Action"/>
    <hyperlink ref="I54" location="'WS Plan'!D198" display="Back to Action"/>
    <hyperlink ref="I55" location="'WS Plan'!D202" display="Back to Action"/>
    <hyperlink ref="I56" location="'WS Plan'!D206" display="Back to Action"/>
    <hyperlink ref="I57" location="'WS Plan'!D215" display="Back to Action"/>
    <hyperlink ref="I58" location="'WS Plan'!D222" display="Back to Action"/>
    <hyperlink ref="I60" location="'WS Plan'!D258" display="Back to Action"/>
    <hyperlink ref="I61" location="'WS Plan'!D262" display="Back to Action"/>
    <hyperlink ref="I62" location="'WS Plan'!D268" display="Back to Action"/>
    <hyperlink ref="I63" location="'WS Plan'!D274" display="Back to Action"/>
    <hyperlink ref="I70" location="'WW Plan'!D22" display="Back to Action"/>
    <hyperlink ref="I71" location="'WW Plan'!D28" display="Back to Action"/>
    <hyperlink ref="I72" location="'WW Plan'!D32" display="Back to Action"/>
    <hyperlink ref="I73" location="'WW Plan'!D38" display="Back to Action"/>
    <hyperlink ref="I74" location="'WW Plan'!D42" display="Back to Action"/>
    <hyperlink ref="I75" location="'WW Plan'!D57" display="Back to Action"/>
    <hyperlink ref="I76" location="'WW Plan'!D79" display="Back to Action"/>
    <hyperlink ref="I77" location="'WW Plan'!D97" display="Back to Action"/>
    <hyperlink ref="I78" location="'WW Plan'!D106" display="Back to Action"/>
    <hyperlink ref="I79" location="'WW Plan'!D111" display="Back to Action"/>
    <hyperlink ref="I80" location="'WW Plan'!D137" display="Back to Action"/>
    <hyperlink ref="I81" location="'WW Plan'!D161" display="Back to Action"/>
    <hyperlink ref="I82" location="'WW Plan'!D182" display="Back to Action"/>
    <hyperlink ref="I84" location="'WW Plan'!D208" display="Back to Action"/>
    <hyperlink ref="I85" location="'WW Plan'!D209" display="Back to Action"/>
    <hyperlink ref="I86" location="'WW Plan'!D213" display="Back to Action"/>
    <hyperlink ref="I87" location="'WW Plan'!D217" display="Back to Action"/>
    <hyperlink ref="I88" location="'WW Plan'!D225" display="Back to Action"/>
    <hyperlink ref="I89" location="'WW Plan'!D231" display="Back to Action"/>
    <hyperlink ref="I90" location="'WW Plan'!D241" display="Back to Action"/>
    <hyperlink ref="I91" location="'WW Plan'!D256" display="Back to Action"/>
    <hyperlink ref="I92" location="'WW Plan'!D264" display="Back to Action"/>
    <hyperlink ref="I93" location="'WW Plan'!D275" display="Back to Action"/>
    <hyperlink ref="I94" location="'WW Plan'!D282" display="Back to Action"/>
    <hyperlink ref="I95" location="'WW Plan'!D293" display="Back to Action"/>
    <hyperlink ref="I96" location="'WW Plan'!D308" display="Back to Action"/>
    <hyperlink ref="I97" location="'WW Plan'!D323" display="Back to Action"/>
    <hyperlink ref="I98" location="'WW Plan'!D332" display="Back to Action"/>
    <hyperlink ref="I99" location="'WW Plan'!D341" display="Back to Action"/>
    <hyperlink ref="I100" location="'WW Plan'!D353" display="Back to Action"/>
    <hyperlink ref="I102" location="'WW Plan'!D366" display="Back to Action"/>
    <hyperlink ref="I103" location="'WW Plan'!D367" display="Back to Action"/>
    <hyperlink ref="I104:I107" location="'WW Plan'!D371" display="Back to Action"/>
    <hyperlink ref="I108" location="'WW Plan'!D393" display="Back to Action"/>
    <hyperlink ref="I109" location="'WW Plan'!D397" display="Back to Action"/>
    <hyperlink ref="I111" location="'WW Plan'!D407" display="Back to Action"/>
    <hyperlink ref="I112" location="'WW Plan'!D411" display="Back to Action"/>
    <hyperlink ref="I119" location="'SW Plan'!D22" display="Back to Action"/>
    <hyperlink ref="I120" location="'SW Plan'!D28" display="Back to Action"/>
    <hyperlink ref="I121" location="'SW Plan'!D34" display="Back to Action"/>
    <hyperlink ref="I122" location="'SW Plan'!D38" display="Back to Action"/>
    <hyperlink ref="I123" location="'SW Plan'!D45" display="Back to Action"/>
    <hyperlink ref="I124" location="'SW Plan'!D54" display="Back to Action"/>
    <hyperlink ref="I125" location="'SW Plan'!D59" display="Back to Action"/>
    <hyperlink ref="I126" location="'SW Plan'!D70" display="Back to Action"/>
    <hyperlink ref="I128" location="'SW Plan'!D90" display="Back to Action"/>
    <hyperlink ref="I129" location="'SW Plan'!D96" display="Back to Action"/>
    <hyperlink ref="I130" location="'SW Plan'!D97" display="Back to Action"/>
    <hyperlink ref="I131" location="'SW Plan'!D101" display="Back to Action"/>
    <hyperlink ref="I132" location="'SW Plan'!D106" display="Back to Action"/>
    <hyperlink ref="I133" location="'SW Plan'!D119" display="Back to Action"/>
    <hyperlink ref="I134" location="'SW Plan'!D123" display="Back to Action"/>
    <hyperlink ref="I135" location="'SW Plan'!D135" display="Back to Action"/>
    <hyperlink ref="I136" location="'SW Plan'!D146" display="Back to Action"/>
    <hyperlink ref="I137" location="'SW Plan'!D164" display="Back to Action"/>
    <hyperlink ref="I138" location="'SW Plan'!D171" display="Back to Action"/>
    <hyperlink ref="I139" location="'SW Plan'!D175" display="Back to Action"/>
    <hyperlink ref="I141" location="'SW Plan'!D195" display="Back to Action"/>
    <hyperlink ref="I142" location="'SW Plan'!D196" display="Back to Action"/>
    <hyperlink ref="I143" location="'SW Plan'!D197" display="Back to Action"/>
    <hyperlink ref="I144" location="'SW Plan'!D198" display="Back to Action"/>
    <hyperlink ref="I145" location="'SW Plan'!D202" display="Back to Action"/>
    <hyperlink ref="I146" location="'SW Plan'!D209" display="Back to Action"/>
    <hyperlink ref="I147" location="'SW Plan'!D215" display="Back to Action"/>
    <hyperlink ref="I149" location="'SW Plan'!D223" display="Back to Action"/>
    <hyperlink ref="I150" location="'SW Plan'!D227" display="Back to Action"/>
  </hyperlinks>
  <pageMargins left="0.19685039370078741" right="0.11811023622047245" top="0.11811023622047245" bottom="0.11811023622047245" header="0.11811023622047245" footer="0.11811023622047245"/>
  <pageSetup paperSize="9" scale="50" fitToHeight="0" orientation="landscape" verticalDpi="300" r:id="rId1"/>
  <rowBreaks count="8" manualBreakCount="8">
    <brk id="32" min="1" max="8" man="1"/>
    <brk id="53" min="1" max="8" man="1"/>
    <brk id="75" min="1" max="8" man="1"/>
    <brk id="90" min="1" max="8" man="1"/>
    <brk id="100" min="1" max="8" man="1"/>
    <brk id="121" min="1" max="8" man="1"/>
    <brk id="136" min="1" max="8" man="1"/>
    <brk id="152" min="1" max="8" man="1"/>
  </rowBreaks>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93540" r:id="rId4" name="Button 4">
              <controlPr defaultSize="0" print="0" autoFill="0" autoPict="0" macro="[0]!Print_Sheet" altText="Print this page">
                <anchor moveWithCells="1" sizeWithCells="1">
                  <from>
                    <xdr:col>7</xdr:col>
                    <xdr:colOff>0</xdr:colOff>
                    <xdr:row>5</xdr:row>
                    <xdr:rowOff>66675</xdr:rowOff>
                  </from>
                  <to>
                    <xdr:col>7</xdr:col>
                    <xdr:colOff>904875</xdr:colOff>
                    <xdr:row>6</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Z190"/>
  <sheetViews>
    <sheetView showGridLines="0" topLeftCell="A10" zoomScale="80" zoomScaleNormal="80" workbookViewId="0">
      <selection activeCell="C31" sqref="C31:L31"/>
    </sheetView>
  </sheetViews>
  <sheetFormatPr defaultRowHeight="15" x14ac:dyDescent="0.25"/>
  <cols>
    <col min="1" max="1" width="5" style="4179" customWidth="1"/>
    <col min="2" max="2" width="45.140625" style="4179" customWidth="1"/>
    <col min="3" max="12" width="7.5703125" style="4179" customWidth="1"/>
    <col min="13" max="13" width="4.42578125" style="4179" customWidth="1"/>
    <col min="14" max="14" width="9.140625" style="4179"/>
    <col min="15" max="15" width="9.140625" style="5389"/>
    <col min="16" max="16" width="11.140625" style="5389" bestFit="1" customWidth="1"/>
    <col min="17" max="17" width="9.140625" style="5389"/>
    <col min="18" max="18" width="11.28515625" style="5389" bestFit="1" customWidth="1"/>
    <col min="19" max="16384" width="9.140625" style="4179"/>
  </cols>
  <sheetData>
    <row r="1" spans="1:13" s="5389" customFormat="1" ht="18" customHeight="1" x14ac:dyDescent="0.25">
      <c r="A1" s="5386"/>
      <c r="B1" s="5387"/>
      <c r="C1" s="5387"/>
      <c r="D1" s="5387"/>
      <c r="E1" s="5387"/>
      <c r="F1" s="5387"/>
      <c r="G1" s="5387"/>
      <c r="H1" s="5387"/>
      <c r="I1" s="5387"/>
      <c r="J1" s="5387"/>
      <c r="K1" s="5387"/>
      <c r="L1" s="5387"/>
      <c r="M1" s="5388"/>
    </row>
    <row r="2" spans="1:13" s="5389" customFormat="1" ht="33" customHeight="1" x14ac:dyDescent="0.3">
      <c r="A2" s="5390"/>
      <c r="B2" s="7241" t="s">
        <v>3233</v>
      </c>
      <c r="C2" s="7241"/>
      <c r="D2" s="7241"/>
      <c r="E2" s="7241"/>
      <c r="F2" s="7241"/>
      <c r="G2" s="7241"/>
      <c r="H2" s="7241"/>
      <c r="I2" s="7241"/>
      <c r="J2" s="7241"/>
      <c r="K2" s="7241"/>
      <c r="L2" s="7241"/>
      <c r="M2" s="5391"/>
    </row>
    <row r="3" spans="1:13" s="5389" customFormat="1" ht="7.5" customHeight="1" x14ac:dyDescent="0.25">
      <c r="A3" s="5390"/>
      <c r="B3" s="3552"/>
      <c r="C3" s="3552"/>
      <c r="D3" s="3552"/>
      <c r="E3" s="3552"/>
      <c r="F3" s="3552"/>
      <c r="G3" s="3552"/>
      <c r="H3" s="3552"/>
      <c r="I3" s="3552"/>
      <c r="J3" s="3552"/>
      <c r="K3" s="3552"/>
      <c r="L3" s="3552"/>
      <c r="M3" s="5392"/>
    </row>
    <row r="4" spans="1:13" s="5389" customFormat="1" ht="24" customHeight="1" x14ac:dyDescent="0.25">
      <c r="A4" s="5390"/>
      <c r="B4" s="7230" t="s">
        <v>3044</v>
      </c>
      <c r="C4" s="7230"/>
      <c r="D4" s="7230"/>
      <c r="E4" s="7230"/>
      <c r="F4" s="7230"/>
      <c r="G4" s="7230"/>
      <c r="H4" s="7230"/>
      <c r="I4" s="7230"/>
      <c r="J4" s="7230"/>
      <c r="K4" s="7230"/>
      <c r="L4" s="7230"/>
      <c r="M4" s="5392"/>
    </row>
    <row r="5" spans="1:13" s="5389" customFormat="1" ht="7.5" customHeight="1" x14ac:dyDescent="0.25">
      <c r="A5" s="5390"/>
      <c r="B5" s="3552"/>
      <c r="C5" s="3552"/>
      <c r="D5" s="3552"/>
      <c r="E5" s="3552"/>
      <c r="F5" s="3552"/>
      <c r="G5" s="3552"/>
      <c r="H5" s="3552"/>
      <c r="I5" s="3552"/>
      <c r="J5" s="3552"/>
      <c r="K5" s="3552"/>
      <c r="L5" s="3552"/>
      <c r="M5" s="5392"/>
    </row>
    <row r="6" spans="1:13" s="5389" customFormat="1" ht="18" customHeight="1" x14ac:dyDescent="0.3">
      <c r="A6" s="5390"/>
      <c r="B6" s="5393" t="s">
        <v>3045</v>
      </c>
      <c r="C6" s="3552"/>
      <c r="D6" s="3552"/>
      <c r="E6" s="3552"/>
      <c r="F6" s="3552"/>
      <c r="G6" s="3552"/>
      <c r="H6" s="3552"/>
      <c r="I6" s="3552"/>
      <c r="J6" s="3552"/>
      <c r="K6" s="3552"/>
      <c r="L6" s="3552"/>
      <c r="M6" s="5392"/>
    </row>
    <row r="7" spans="1:13" s="5389" customFormat="1" ht="18" customHeight="1" x14ac:dyDescent="0.25">
      <c r="A7" s="5394">
        <v>1</v>
      </c>
      <c r="B7" s="7238" t="str">
        <f>'Summary of PIP'!C89</f>
        <v>Coverage of households with improved sanitation facility in city</v>
      </c>
      <c r="C7" s="7238"/>
      <c r="D7" s="7238"/>
      <c r="E7" s="7238"/>
      <c r="F7" s="7238"/>
      <c r="G7" s="7238"/>
      <c r="H7" s="7238"/>
      <c r="I7" s="7238"/>
      <c r="J7" s="7239" t="s">
        <v>3046</v>
      </c>
      <c r="K7" s="7240"/>
      <c r="L7" s="7240"/>
      <c r="M7" s="5392"/>
    </row>
    <row r="8" spans="1:13" s="5389" customFormat="1" ht="18" customHeight="1" x14ac:dyDescent="0.25">
      <c r="A8" s="5394">
        <v>2</v>
      </c>
      <c r="B8" s="7238" t="str">
        <f>'Summary of PIP'!C112</f>
        <v xml:space="preserve">Septic tanks cleaned annually in city </v>
      </c>
      <c r="C8" s="7238"/>
      <c r="D8" s="7238"/>
      <c r="E8" s="7238"/>
      <c r="F8" s="7238"/>
      <c r="G8" s="7238"/>
      <c r="H8" s="7238"/>
      <c r="I8" s="7238"/>
      <c r="J8" s="7239"/>
      <c r="K8" s="7240"/>
      <c r="L8" s="7240"/>
      <c r="M8" s="5392"/>
    </row>
    <row r="9" spans="1:13" s="5389" customFormat="1" ht="18" customHeight="1" x14ac:dyDescent="0.25">
      <c r="A9" s="5394">
        <v>3</v>
      </c>
      <c r="B9" s="7238" t="str">
        <f>'Summary of PIP'!C118</f>
        <v>Adequacy of septage treatment capacity</v>
      </c>
      <c r="C9" s="7238"/>
      <c r="D9" s="7238"/>
      <c r="E9" s="7238"/>
      <c r="F9" s="7238"/>
      <c r="G9" s="7238"/>
      <c r="H9" s="7238"/>
      <c r="I9" s="7238"/>
      <c r="J9" s="7239"/>
      <c r="K9" s="7240"/>
      <c r="L9" s="7240"/>
      <c r="M9" s="5392"/>
    </row>
    <row r="10" spans="1:13" s="5389" customFormat="1" ht="18" customHeight="1" x14ac:dyDescent="0.25">
      <c r="A10" s="5390"/>
      <c r="B10" s="3552"/>
      <c r="C10" s="3552"/>
      <c r="D10" s="3552"/>
      <c r="E10" s="3552"/>
      <c r="F10" s="3552"/>
      <c r="G10" s="3552"/>
      <c r="H10" s="3552"/>
      <c r="I10" s="3552"/>
      <c r="J10" s="3552"/>
      <c r="K10" s="3552"/>
      <c r="L10" s="3552"/>
      <c r="M10" s="5392"/>
    </row>
    <row r="11" spans="1:13" s="5389" customFormat="1" ht="18" customHeight="1" x14ac:dyDescent="0.3">
      <c r="A11" s="5390"/>
      <c r="B11" s="5393" t="s">
        <v>3047</v>
      </c>
      <c r="C11" s="3552"/>
      <c r="D11" s="3552"/>
      <c r="E11" s="3552"/>
      <c r="F11" s="3552"/>
      <c r="G11" s="3552"/>
      <c r="H11" s="3552"/>
      <c r="I11" s="3552"/>
      <c r="J11" s="3552"/>
      <c r="K11" s="3552"/>
      <c r="L11" s="3552"/>
      <c r="M11" s="5392"/>
    </row>
    <row r="12" spans="1:13" s="5389" customFormat="1" ht="18" customHeight="1" x14ac:dyDescent="0.25">
      <c r="A12" s="5394">
        <v>1</v>
      </c>
      <c r="B12" s="7238" t="str">
        <f ca="1">'Action Plan finance'!C56</f>
        <v>Household survey to assess wastewater services</v>
      </c>
      <c r="C12" s="7238"/>
      <c r="D12" s="7238"/>
      <c r="E12" s="7238"/>
      <c r="F12" s="7238"/>
      <c r="G12" s="7238"/>
      <c r="H12" s="7238"/>
      <c r="I12" s="7238"/>
      <c r="J12" s="7239" t="s">
        <v>3048</v>
      </c>
      <c r="K12" s="7240"/>
      <c r="L12" s="7240"/>
      <c r="M12" s="5392"/>
    </row>
    <row r="13" spans="1:13" s="5389" customFormat="1" ht="18" customHeight="1" x14ac:dyDescent="0.25">
      <c r="A13" s="5394">
        <v>2</v>
      </c>
      <c r="B13" s="7238" t="str">
        <f ca="1">'Action Plan finance'!C57</f>
        <v>Policy for providing sanitation services in slums</v>
      </c>
      <c r="C13" s="7238"/>
      <c r="D13" s="7238"/>
      <c r="E13" s="7238"/>
      <c r="F13" s="7238"/>
      <c r="G13" s="7238"/>
      <c r="H13" s="7238"/>
      <c r="I13" s="7238"/>
      <c r="J13" s="7239"/>
      <c r="K13" s="7240"/>
      <c r="L13" s="7240"/>
      <c r="M13" s="5392"/>
    </row>
    <row r="14" spans="1:13" s="5389" customFormat="1" ht="18" customHeight="1" x14ac:dyDescent="0.25">
      <c r="A14" s="5394">
        <v>3</v>
      </c>
      <c r="B14" s="7238" t="str">
        <f ca="1">'Action Plan finance'!C58</f>
        <v>Improve condition of existing individual toilets by providing safe sanitation disposal system</v>
      </c>
      <c r="C14" s="7238"/>
      <c r="D14" s="7238"/>
      <c r="E14" s="7238"/>
      <c r="F14" s="7238"/>
      <c r="G14" s="7238"/>
      <c r="H14" s="7238"/>
      <c r="I14" s="7238"/>
      <c r="J14" s="7239"/>
      <c r="K14" s="7240"/>
      <c r="L14" s="7240"/>
      <c r="M14" s="5392"/>
    </row>
    <row r="15" spans="1:13" s="5389" customFormat="1" ht="18" customHeight="1" x14ac:dyDescent="0.25">
      <c r="A15" s="5394">
        <v>4</v>
      </c>
      <c r="B15" s="7238" t="str">
        <f ca="1">'Action Plan finance'!C59</f>
        <v>Improve condition of existing Community toilets</v>
      </c>
      <c r="C15" s="7238"/>
      <c r="D15" s="7238"/>
      <c r="E15" s="7238"/>
      <c r="F15" s="7238"/>
      <c r="G15" s="7238"/>
      <c r="H15" s="7238"/>
      <c r="I15" s="7238"/>
      <c r="J15" s="7239"/>
      <c r="K15" s="7240"/>
      <c r="L15" s="7240"/>
      <c r="M15" s="5392"/>
    </row>
    <row r="16" spans="1:13" s="5389" customFormat="1" ht="18" customHeight="1" x14ac:dyDescent="0.25">
      <c r="A16" s="5394">
        <v>5</v>
      </c>
      <c r="B16" s="7238" t="str">
        <f ca="1">'Action Plan finance'!C60</f>
        <v>Construct new individual toilets</v>
      </c>
      <c r="C16" s="7238"/>
      <c r="D16" s="7238"/>
      <c r="E16" s="7238"/>
      <c r="F16" s="7238"/>
      <c r="G16" s="7238"/>
      <c r="H16" s="7238"/>
      <c r="I16" s="7238"/>
      <c r="J16" s="7239"/>
      <c r="K16" s="7240"/>
      <c r="L16" s="7240"/>
      <c r="M16" s="5392"/>
    </row>
    <row r="17" spans="1:18" s="5389" customFormat="1" ht="18" customHeight="1" x14ac:dyDescent="0.25">
      <c r="A17" s="5394">
        <v>6</v>
      </c>
      <c r="B17" s="7238" t="str">
        <f ca="1">'Action Plan finance'!C61</f>
        <v>Construct new public toilet blocks</v>
      </c>
      <c r="C17" s="7238"/>
      <c r="D17" s="7238"/>
      <c r="E17" s="7238"/>
      <c r="F17" s="7238"/>
      <c r="G17" s="7238"/>
      <c r="H17" s="7238"/>
      <c r="I17" s="7238"/>
      <c r="J17" s="7239"/>
      <c r="K17" s="7240"/>
      <c r="L17" s="7240"/>
      <c r="M17" s="5392"/>
    </row>
    <row r="18" spans="1:18" s="5389" customFormat="1" ht="18" customHeight="1" x14ac:dyDescent="0.25">
      <c r="A18" s="5394">
        <v>7</v>
      </c>
      <c r="B18" s="7238" t="str">
        <f ca="1">'Action Plan finance'!C62</f>
        <v>Increase septage collection with existing suction emptier trucks</v>
      </c>
      <c r="C18" s="7238"/>
      <c r="D18" s="7238"/>
      <c r="E18" s="7238"/>
      <c r="F18" s="7238"/>
      <c r="G18" s="7238"/>
      <c r="H18" s="7238"/>
      <c r="I18" s="7238"/>
      <c r="J18" s="7239"/>
      <c r="K18" s="7240"/>
      <c r="L18" s="7240"/>
      <c r="M18" s="5392"/>
    </row>
    <row r="19" spans="1:18" s="5389" customFormat="1" ht="18" customHeight="1" x14ac:dyDescent="0.25">
      <c r="A19" s="5394">
        <v>8</v>
      </c>
      <c r="B19" s="7238" t="str">
        <f ca="1">'Action Plan finance'!C63</f>
        <v>Procure new suction emptier trucks</v>
      </c>
      <c r="C19" s="7238"/>
      <c r="D19" s="7238"/>
      <c r="E19" s="7238"/>
      <c r="F19" s="7238"/>
      <c r="G19" s="7238"/>
      <c r="H19" s="7238"/>
      <c r="I19" s="7238"/>
      <c r="J19" s="7239"/>
      <c r="K19" s="7240"/>
      <c r="L19" s="7240"/>
      <c r="M19" s="5392"/>
    </row>
    <row r="20" spans="1:18" s="5389" customFormat="1" ht="18" customHeight="1" x14ac:dyDescent="0.25">
      <c r="A20" s="5394">
        <v>9</v>
      </c>
      <c r="B20" s="7238" t="str">
        <f ca="1">'Action Plan finance'!C64</f>
        <v>Construct/augment fecal sludge treatment plant</v>
      </c>
      <c r="C20" s="7238"/>
      <c r="D20" s="7238"/>
      <c r="E20" s="7238"/>
      <c r="F20" s="7238"/>
      <c r="G20" s="7238"/>
      <c r="H20" s="7238"/>
      <c r="I20" s="7238"/>
      <c r="J20" s="7239"/>
      <c r="K20" s="7240"/>
      <c r="L20" s="7240"/>
      <c r="M20" s="5392"/>
    </row>
    <row r="21" spans="1:18" s="5389" customFormat="1" ht="18" customHeight="1" x14ac:dyDescent="0.25">
      <c r="A21" s="5394">
        <v>10</v>
      </c>
      <c r="B21" s="7238" t="str">
        <f ca="1">'Action Plan finance'!C65</f>
        <v/>
      </c>
      <c r="C21" s="7238"/>
      <c r="D21" s="7238"/>
      <c r="E21" s="7238"/>
      <c r="F21" s="7238"/>
      <c r="G21" s="7238"/>
      <c r="H21" s="7238"/>
      <c r="I21" s="7238"/>
      <c r="J21" s="7239"/>
      <c r="K21" s="7240"/>
      <c r="L21" s="7240"/>
      <c r="M21" s="5392"/>
    </row>
    <row r="22" spans="1:18" s="5389" customFormat="1" ht="18" customHeight="1" x14ac:dyDescent="0.25">
      <c r="A22" s="5394">
        <v>11</v>
      </c>
      <c r="B22" s="7238" t="str">
        <f ca="1">'Action Plan finance'!C66</f>
        <v/>
      </c>
      <c r="C22" s="7238"/>
      <c r="D22" s="7238"/>
      <c r="E22" s="7238"/>
      <c r="F22" s="7238"/>
      <c r="G22" s="7238"/>
      <c r="H22" s="7238"/>
      <c r="I22" s="7238"/>
      <c r="J22" s="7239"/>
      <c r="K22" s="7240"/>
      <c r="L22" s="7240"/>
      <c r="M22" s="5392"/>
    </row>
    <row r="23" spans="1:18" s="5389" customFormat="1" ht="18" customHeight="1" x14ac:dyDescent="0.25">
      <c r="A23" s="5394">
        <v>12</v>
      </c>
      <c r="B23" s="7238" t="str">
        <f ca="1">'Action Plan finance'!C67</f>
        <v/>
      </c>
      <c r="C23" s="7238"/>
      <c r="D23" s="7238"/>
      <c r="E23" s="7238"/>
      <c r="F23" s="7238"/>
      <c r="G23" s="7238"/>
      <c r="H23" s="7238"/>
      <c r="I23" s="7238"/>
      <c r="J23" s="7239"/>
      <c r="K23" s="7240"/>
      <c r="L23" s="7240"/>
      <c r="M23" s="5392"/>
    </row>
    <row r="24" spans="1:18" s="5389" customFormat="1" ht="18" customHeight="1" x14ac:dyDescent="0.25">
      <c r="A24" s="5394">
        <v>13</v>
      </c>
      <c r="B24" s="7238" t="str">
        <f ca="1">'Action Plan finance'!C68</f>
        <v/>
      </c>
      <c r="C24" s="7238"/>
      <c r="D24" s="7238"/>
      <c r="E24" s="7238"/>
      <c r="F24" s="7238"/>
      <c r="G24" s="7238"/>
      <c r="H24" s="7238"/>
      <c r="I24" s="7238"/>
      <c r="J24" s="7239"/>
      <c r="K24" s="7240"/>
      <c r="L24" s="7240"/>
      <c r="M24" s="5392"/>
    </row>
    <row r="25" spans="1:18" s="5389" customFormat="1" ht="18" customHeight="1" x14ac:dyDescent="0.25">
      <c r="A25" s="5394">
        <v>14</v>
      </c>
      <c r="B25" s="7238" t="str">
        <f ca="1">'Action Plan finance'!C69</f>
        <v/>
      </c>
      <c r="C25" s="7238"/>
      <c r="D25" s="7238"/>
      <c r="E25" s="7238"/>
      <c r="F25" s="7238"/>
      <c r="G25" s="7238"/>
      <c r="H25" s="7238"/>
      <c r="I25" s="7238"/>
      <c r="J25" s="7239"/>
      <c r="K25" s="7240"/>
      <c r="L25" s="7240"/>
      <c r="M25" s="5392"/>
    </row>
    <row r="26" spans="1:18" s="5389" customFormat="1" ht="18" customHeight="1" x14ac:dyDescent="0.25">
      <c r="A26" s="5394">
        <v>15</v>
      </c>
      <c r="B26" s="7238" t="str">
        <f ca="1">'Action Plan finance'!C70</f>
        <v/>
      </c>
      <c r="C26" s="7238"/>
      <c r="D26" s="7238"/>
      <c r="E26" s="7238"/>
      <c r="F26" s="7238"/>
      <c r="G26" s="7238"/>
      <c r="H26" s="7238"/>
      <c r="I26" s="7238"/>
      <c r="J26" s="7239"/>
      <c r="K26" s="7240"/>
      <c r="L26" s="7240"/>
      <c r="M26" s="5392"/>
    </row>
    <row r="27" spans="1:18" s="5389" customFormat="1" ht="18" customHeight="1" x14ac:dyDescent="0.25">
      <c r="A27" s="5390"/>
      <c r="B27" s="3552"/>
      <c r="C27" s="3552"/>
      <c r="D27" s="3552"/>
      <c r="E27" s="3552"/>
      <c r="F27" s="3552"/>
      <c r="G27" s="3552"/>
      <c r="H27" s="3552"/>
      <c r="I27" s="3552"/>
      <c r="J27" s="3552"/>
      <c r="K27" s="3552"/>
      <c r="L27" s="3552"/>
      <c r="M27" s="5392"/>
    </row>
    <row r="28" spans="1:18" ht="18" customHeight="1" x14ac:dyDescent="0.25">
      <c r="A28" s="5395"/>
      <c r="B28" s="1815"/>
      <c r="C28" s="1815"/>
      <c r="D28" s="1815"/>
      <c r="E28" s="1815"/>
      <c r="F28" s="1815"/>
      <c r="G28" s="1815"/>
      <c r="H28" s="1815"/>
      <c r="I28" s="1815"/>
      <c r="J28" s="1815"/>
      <c r="K28" s="1815"/>
      <c r="L28" s="1815"/>
      <c r="M28" s="5396"/>
    </row>
    <row r="29" spans="1:18" s="5389" customFormat="1" ht="24" customHeight="1" x14ac:dyDescent="0.35">
      <c r="A29" s="5397"/>
      <c r="B29" s="7230" t="s">
        <v>3234</v>
      </c>
      <c r="C29" s="7230"/>
      <c r="D29" s="7230"/>
      <c r="E29" s="7230"/>
      <c r="F29" s="7230"/>
      <c r="G29" s="7230"/>
      <c r="H29" s="7230"/>
      <c r="I29" s="7230"/>
      <c r="J29" s="7230"/>
      <c r="K29" s="7230"/>
      <c r="L29" s="7230" t="s">
        <v>3102</v>
      </c>
      <c r="M29" s="5398"/>
    </row>
    <row r="30" spans="1:18" ht="18" customHeight="1" x14ac:dyDescent="0.35">
      <c r="A30" s="5397"/>
      <c r="B30" s="5399"/>
      <c r="C30" s="5400"/>
      <c r="D30" s="5400"/>
      <c r="E30" s="5400"/>
      <c r="F30" s="5400"/>
      <c r="G30" s="5400"/>
      <c r="H30" s="5401"/>
      <c r="I30" s="5402"/>
      <c r="J30" s="5402"/>
      <c r="K30" s="5402"/>
      <c r="L30" s="5402"/>
      <c r="M30" s="5398"/>
    </row>
    <row r="31" spans="1:18" ht="21" customHeight="1" x14ac:dyDescent="0.35">
      <c r="A31" s="5397"/>
      <c r="B31" s="5403" t="s">
        <v>3049</v>
      </c>
      <c r="C31" s="7231" t="s">
        <v>2149</v>
      </c>
      <c r="D31" s="7232"/>
      <c r="E31" s="7232"/>
      <c r="F31" s="7232"/>
      <c r="G31" s="7232"/>
      <c r="H31" s="7232"/>
      <c r="I31" s="7232"/>
      <c r="J31" s="7232"/>
      <c r="K31" s="7232"/>
      <c r="L31" s="7233"/>
      <c r="M31" s="5398"/>
    </row>
    <row r="32" spans="1:18" s="5407" customFormat="1" ht="15.75" customHeight="1" x14ac:dyDescent="0.25">
      <c r="A32" s="5404"/>
      <c r="B32" s="5405"/>
      <c r="C32" s="5405"/>
      <c r="D32" s="5405"/>
      <c r="E32" s="5405"/>
      <c r="F32" s="5405"/>
      <c r="G32" s="5405"/>
      <c r="H32" s="5405"/>
      <c r="I32" s="5405"/>
      <c r="J32" s="5405"/>
      <c r="K32" s="5405"/>
      <c r="L32" s="5405"/>
      <c r="M32" s="5406"/>
      <c r="O32" s="5389"/>
      <c r="P32" s="5389"/>
      <c r="Q32" s="5389"/>
      <c r="R32" s="5389"/>
    </row>
    <row r="33" spans="1:26" ht="15.75" x14ac:dyDescent="0.25">
      <c r="A33" s="5408"/>
      <c r="B33" s="5409" t="s">
        <v>146</v>
      </c>
      <c r="C33" s="7234" t="str">
        <f>CONCATENATE('General info'!E43," ",ROUND(SUM('PIP options'!E37:G37),0)," ",'General info'!G43)</f>
        <v>INR 1405 Lakhs</v>
      </c>
      <c r="D33" s="7234"/>
      <c r="E33" s="7234"/>
      <c r="F33" s="7234"/>
      <c r="G33" s="7234"/>
      <c r="H33" s="7234"/>
      <c r="I33" s="7234"/>
      <c r="J33" s="7234"/>
      <c r="K33" s="7234"/>
      <c r="L33" s="7234"/>
      <c r="M33" s="5410"/>
      <c r="O33" s="5389" t="s">
        <v>3050</v>
      </c>
      <c r="P33" s="5411">
        <f>SUM('PIP options'!E37:G37)</f>
        <v>1404.5417689436667</v>
      </c>
    </row>
    <row r="34" spans="1:26" ht="15.75" x14ac:dyDescent="0.25">
      <c r="A34" s="5408"/>
      <c r="B34" s="5409" t="s">
        <v>3051</v>
      </c>
      <c r="C34" s="7235" t="str">
        <f>CONCATENATE('General info'!E43," ",ROUND(SUM('PIP options'!E38:G38),2)," ",'General info'!G43,"/annum")</f>
        <v>INR 25.01 Lakhs/annum</v>
      </c>
      <c r="D34" s="7235"/>
      <c r="E34" s="7235"/>
      <c r="F34" s="7235"/>
      <c r="G34" s="7235"/>
      <c r="H34" s="7235"/>
      <c r="I34" s="7235"/>
      <c r="J34" s="7235"/>
      <c r="K34" s="7235"/>
      <c r="L34" s="7235"/>
      <c r="M34" s="5410"/>
      <c r="O34" s="5389" t="s">
        <v>3052</v>
      </c>
      <c r="P34" s="5411">
        <f>SUM('PIP options'!E38:G38)</f>
        <v>25.010211185188044</v>
      </c>
    </row>
    <row r="35" spans="1:26" ht="15.75" x14ac:dyDescent="0.25">
      <c r="A35" s="5408"/>
      <c r="B35" s="5409" t="s">
        <v>3053</v>
      </c>
      <c r="C35" s="7236" t="str">
        <f>CONCATENATE('General info'!E43," ",ROUND(SUM('PIP options'!E39:G39),2)," ",'General info'!G43,"/annum")</f>
        <v>INR 3.9 Lakhs/annum</v>
      </c>
      <c r="D35" s="7236"/>
      <c r="E35" s="7236"/>
      <c r="F35" s="7236"/>
      <c r="G35" s="7236"/>
      <c r="H35" s="7236"/>
      <c r="I35" s="7236"/>
      <c r="J35" s="7236"/>
      <c r="K35" s="7236"/>
      <c r="L35" s="7236"/>
      <c r="M35" s="5410"/>
      <c r="O35" s="5389" t="s">
        <v>3054</v>
      </c>
      <c r="P35" s="5411">
        <f>SUM('PIP options'!E39:G39)</f>
        <v>3.8976728279596671</v>
      </c>
    </row>
    <row r="36" spans="1:26" ht="15" customHeight="1" x14ac:dyDescent="0.25">
      <c r="A36" s="5412"/>
      <c r="B36" s="5413"/>
      <c r="C36" s="5414"/>
      <c r="D36" s="5414"/>
      <c r="E36" s="5414"/>
      <c r="F36" s="5414"/>
      <c r="G36" s="5414"/>
      <c r="H36" s="5414"/>
      <c r="I36" s="5414"/>
      <c r="J36" s="5414"/>
      <c r="K36" s="5414"/>
      <c r="L36" s="5414"/>
      <c r="M36" s="5415"/>
    </row>
    <row r="37" spans="1:26" x14ac:dyDescent="0.25">
      <c r="A37" s="5408"/>
      <c r="B37" s="5414"/>
      <c r="C37" s="5414"/>
      <c r="D37" s="5414"/>
      <c r="E37" s="5414"/>
      <c r="F37" s="5414"/>
      <c r="G37" s="5414"/>
      <c r="H37" s="5414"/>
      <c r="I37" s="5414"/>
      <c r="J37" s="5414"/>
      <c r="K37" s="5414"/>
      <c r="L37" s="5414"/>
      <c r="M37" s="5415"/>
      <c r="P37" s="5416">
        <f>'Summary of PIP'!D83</f>
        <v>2014</v>
      </c>
      <c r="Q37" s="5416">
        <f>'Summary of PIP'!E83</f>
        <v>2015</v>
      </c>
      <c r="R37" s="5416">
        <f>'Summary of PIP'!F83</f>
        <v>2016</v>
      </c>
      <c r="S37" s="5416">
        <f>'Summary of PIP'!G83</f>
        <v>2017</v>
      </c>
      <c r="T37" s="5416">
        <f>'Summary of PIP'!H83</f>
        <v>2018</v>
      </c>
      <c r="U37" s="5416">
        <f>'Summary of PIP'!I83</f>
        <v>2019</v>
      </c>
      <c r="V37" s="5416">
        <f>'Summary of PIP'!J83</f>
        <v>2020</v>
      </c>
      <c r="W37" s="5416">
        <f>'Summary of PIP'!K83</f>
        <v>2021</v>
      </c>
      <c r="X37" s="5416">
        <f>'Summary of PIP'!L83</f>
        <v>2022</v>
      </c>
      <c r="Y37" s="5416">
        <f>'Summary of PIP'!M83</f>
        <v>2023</v>
      </c>
      <c r="Z37" s="5416">
        <f>'Summary of PIP'!N83</f>
        <v>2024</v>
      </c>
    </row>
    <row r="38" spans="1:26" ht="15" customHeight="1" x14ac:dyDescent="0.25">
      <c r="A38" s="5408"/>
      <c r="B38" s="5417" t="s">
        <v>3055</v>
      </c>
      <c r="C38" s="5414"/>
      <c r="D38" s="5414"/>
      <c r="E38" s="5414"/>
      <c r="F38" s="5414"/>
      <c r="G38" s="5414"/>
      <c r="H38" s="5414"/>
      <c r="I38" s="5414"/>
      <c r="J38" s="5414"/>
      <c r="K38" s="5414"/>
      <c r="L38" s="5414"/>
      <c r="M38" s="5415"/>
      <c r="O38" s="5418" t="str">
        <f>'PIP finance'!R244</f>
        <v>Coverage of households with improved sanitation facility in city</v>
      </c>
      <c r="P38" s="5418">
        <f>'PIP finance'!S244</f>
        <v>0</v>
      </c>
      <c r="Q38" s="5418">
        <f>'PIP finance'!T244</f>
        <v>0</v>
      </c>
      <c r="R38" s="5418">
        <f>'PIP finance'!U244</f>
        <v>0</v>
      </c>
      <c r="S38" s="5418">
        <f>'PIP finance'!V244</f>
        <v>0</v>
      </c>
      <c r="T38" s="5418">
        <f>'PIP finance'!W244</f>
        <v>0</v>
      </c>
      <c r="U38" s="5418">
        <f>'PIP finance'!X244</f>
        <v>0</v>
      </c>
      <c r="V38" s="5418">
        <f>'PIP finance'!Y244</f>
        <v>0</v>
      </c>
      <c r="W38" s="5418">
        <f>'PIP finance'!Z244</f>
        <v>0</v>
      </c>
      <c r="X38" s="5418">
        <f>'PIP finance'!AA244</f>
        <v>0</v>
      </c>
      <c r="Y38" s="5418">
        <f>'PIP finance'!AB244</f>
        <v>0</v>
      </c>
      <c r="Z38" s="5418">
        <f>'PIP finance'!AC244</f>
        <v>0</v>
      </c>
    </row>
    <row r="39" spans="1:26" ht="15" customHeight="1" x14ac:dyDescent="0.25">
      <c r="A39" s="5408"/>
      <c r="B39" s="5417"/>
      <c r="C39" s="5414"/>
      <c r="D39" s="5414"/>
      <c r="E39" s="5414"/>
      <c r="F39" s="5414"/>
      <c r="G39" s="5414"/>
      <c r="H39" s="5414"/>
      <c r="I39" s="5414"/>
      <c r="J39" s="5414"/>
      <c r="K39" s="5414"/>
      <c r="L39" s="5414"/>
      <c r="M39" s="5415"/>
      <c r="O39" s="5418" t="str">
        <f>'PIP finance'!R245</f>
        <v xml:space="preserve">Septic tanks cleaned annually in city </v>
      </c>
      <c r="P39" s="5418">
        <f>'PIP finance'!S245</f>
        <v>0</v>
      </c>
      <c r="Q39" s="5418">
        <f>'PIP finance'!T245</f>
        <v>0</v>
      </c>
      <c r="R39" s="5418">
        <f>'PIP finance'!U245</f>
        <v>0</v>
      </c>
      <c r="S39" s="5418">
        <f>'PIP finance'!V245</f>
        <v>0</v>
      </c>
      <c r="T39" s="5418">
        <f>'PIP finance'!W245</f>
        <v>0</v>
      </c>
      <c r="U39" s="5418">
        <f>'PIP finance'!X245</f>
        <v>0</v>
      </c>
      <c r="V39" s="5418">
        <f>'PIP finance'!Y245</f>
        <v>0</v>
      </c>
      <c r="W39" s="5418">
        <f>'PIP finance'!Z245</f>
        <v>0</v>
      </c>
      <c r="X39" s="5418">
        <f>'PIP finance'!AA245</f>
        <v>0</v>
      </c>
      <c r="Y39" s="5418">
        <f>'PIP finance'!AB245</f>
        <v>0</v>
      </c>
      <c r="Z39" s="5418">
        <f>'PIP finance'!AC245</f>
        <v>0</v>
      </c>
    </row>
    <row r="40" spans="1:26" ht="15" customHeight="1" x14ac:dyDescent="0.25">
      <c r="A40" s="5408"/>
      <c r="B40" s="5417"/>
      <c r="C40" s="5414"/>
      <c r="D40" s="5414"/>
      <c r="E40" s="5414"/>
      <c r="F40" s="5414"/>
      <c r="G40" s="5414"/>
      <c r="H40" s="5414"/>
      <c r="I40" s="5414"/>
      <c r="J40" s="5414"/>
      <c r="K40" s="5414"/>
      <c r="L40" s="5414"/>
      <c r="M40" s="5415"/>
      <c r="O40" s="5418" t="str">
        <f>'PIP finance'!R246</f>
        <v>Adequacy of septage treatment capacity</v>
      </c>
      <c r="P40" s="5418">
        <f>'PIP finance'!S246</f>
        <v>0</v>
      </c>
      <c r="Q40" s="5418">
        <f>'PIP finance'!T246</f>
        <v>0</v>
      </c>
      <c r="R40" s="5418">
        <f>'PIP finance'!U246</f>
        <v>0</v>
      </c>
      <c r="S40" s="5418">
        <f>'PIP finance'!V246</f>
        <v>0</v>
      </c>
      <c r="T40" s="5418">
        <f>'PIP finance'!W246</f>
        <v>0</v>
      </c>
      <c r="U40" s="5418">
        <f>'PIP finance'!X246</f>
        <v>0</v>
      </c>
      <c r="V40" s="5418">
        <f>'PIP finance'!Y246</f>
        <v>0</v>
      </c>
      <c r="W40" s="5418">
        <f>'PIP finance'!Z246</f>
        <v>0</v>
      </c>
      <c r="X40" s="5418">
        <f>'PIP finance'!AA246</f>
        <v>0</v>
      </c>
      <c r="Y40" s="5418">
        <f>'PIP finance'!AB246</f>
        <v>0</v>
      </c>
      <c r="Z40" s="5418">
        <f>'PIP finance'!AC246</f>
        <v>0</v>
      </c>
    </row>
    <row r="41" spans="1:26" ht="15" customHeight="1" x14ac:dyDescent="0.25">
      <c r="A41" s="5408"/>
      <c r="B41" s="5417"/>
      <c r="C41" s="5414"/>
      <c r="D41" s="5414"/>
      <c r="E41" s="5414"/>
      <c r="F41" s="5414"/>
      <c r="G41" s="5414"/>
      <c r="H41" s="5414"/>
      <c r="I41" s="5414"/>
      <c r="J41" s="5414"/>
      <c r="K41" s="5414"/>
      <c r="L41" s="5414"/>
      <c r="M41" s="5415"/>
    </row>
    <row r="42" spans="1:26" ht="15" customHeight="1" x14ac:dyDescent="0.25">
      <c r="A42" s="5408"/>
      <c r="B42" s="5417"/>
      <c r="C42" s="5414"/>
      <c r="D42" s="5414"/>
      <c r="E42" s="5414"/>
      <c r="F42" s="5414"/>
      <c r="G42" s="5414"/>
      <c r="H42" s="5414"/>
      <c r="I42" s="5414"/>
      <c r="J42" s="5414"/>
      <c r="K42" s="5414"/>
      <c r="L42" s="5414"/>
      <c r="M42" s="5415"/>
    </row>
    <row r="43" spans="1:26" ht="15.75" customHeight="1" x14ac:dyDescent="0.25">
      <c r="A43" s="5408"/>
      <c r="B43" s="5417"/>
      <c r="C43" s="5414"/>
      <c r="D43" s="5414"/>
      <c r="E43" s="5414"/>
      <c r="F43" s="5414"/>
      <c r="G43" s="5414"/>
      <c r="H43" s="5414"/>
      <c r="I43" s="5414"/>
      <c r="J43" s="5414"/>
      <c r="K43" s="5414"/>
      <c r="L43" s="5414"/>
      <c r="M43" s="5415"/>
    </row>
    <row r="44" spans="1:26" ht="15" customHeight="1" x14ac:dyDescent="0.25">
      <c r="A44" s="5408"/>
      <c r="B44" s="5417"/>
      <c r="C44" s="5414"/>
      <c r="D44" s="5414"/>
      <c r="E44" s="5414"/>
      <c r="F44" s="5414"/>
      <c r="G44" s="5414"/>
      <c r="H44" s="5414"/>
      <c r="I44" s="5414"/>
      <c r="J44" s="5414"/>
      <c r="K44" s="5414"/>
      <c r="L44" s="5414"/>
      <c r="M44" s="5415"/>
    </row>
    <row r="45" spans="1:26" ht="15" customHeight="1" x14ac:dyDescent="0.25">
      <c r="A45" s="5408"/>
      <c r="B45" s="5417"/>
      <c r="C45" s="5414"/>
      <c r="D45" s="5414"/>
      <c r="E45" s="5414"/>
      <c r="F45" s="5414"/>
      <c r="G45" s="5414"/>
      <c r="H45" s="5414"/>
      <c r="I45" s="5414"/>
      <c r="J45" s="5414"/>
      <c r="K45" s="5414"/>
      <c r="L45" s="5414"/>
      <c r="M45" s="5415"/>
    </row>
    <row r="46" spans="1:26" x14ac:dyDescent="0.25">
      <c r="A46" s="5408"/>
      <c r="B46" s="5414"/>
      <c r="C46" s="5414"/>
      <c r="D46" s="5414"/>
      <c r="E46" s="5414"/>
      <c r="F46" s="5414"/>
      <c r="G46" s="5414"/>
      <c r="H46" s="5414"/>
      <c r="I46" s="5414"/>
      <c r="J46" s="5414"/>
      <c r="K46" s="5414"/>
      <c r="L46" s="5414"/>
      <c r="M46" s="5415"/>
    </row>
    <row r="47" spans="1:26" x14ac:dyDescent="0.25">
      <c r="A47" s="5408"/>
      <c r="B47" s="5414"/>
      <c r="C47" s="5414"/>
      <c r="D47" s="5414"/>
      <c r="E47" s="5414"/>
      <c r="F47" s="5414"/>
      <c r="G47" s="5414"/>
      <c r="H47" s="5414"/>
      <c r="I47" s="5414"/>
      <c r="J47" s="5414"/>
      <c r="K47" s="5414"/>
      <c r="L47" s="5414"/>
      <c r="M47" s="5415"/>
    </row>
    <row r="48" spans="1:26" x14ac:dyDescent="0.25">
      <c r="A48" s="5408"/>
      <c r="B48" s="5414"/>
      <c r="C48" s="5414"/>
      <c r="D48" s="5414"/>
      <c r="E48" s="5414"/>
      <c r="F48" s="5414"/>
      <c r="G48" s="5414"/>
      <c r="H48" s="5414"/>
      <c r="I48" s="5414"/>
      <c r="J48" s="5414"/>
      <c r="K48" s="5414"/>
      <c r="L48" s="5414"/>
      <c r="M48" s="5415"/>
    </row>
    <row r="49" spans="1:19" x14ac:dyDescent="0.25">
      <c r="A49" s="5408"/>
      <c r="B49" s="5414"/>
      <c r="C49" s="5414"/>
      <c r="D49" s="5414"/>
      <c r="E49" s="5414"/>
      <c r="F49" s="5414"/>
      <c r="G49" s="5414"/>
      <c r="H49" s="5414"/>
      <c r="I49" s="5414"/>
      <c r="J49" s="5414"/>
      <c r="K49" s="5414"/>
      <c r="L49" s="5414"/>
      <c r="M49" s="5415"/>
    </row>
    <row r="50" spans="1:19" ht="15" customHeight="1" x14ac:dyDescent="0.25">
      <c r="A50" s="5408"/>
      <c r="B50" s="7237" t="s">
        <v>3056</v>
      </c>
      <c r="C50" s="5414"/>
      <c r="D50" s="5414"/>
      <c r="E50" s="5414"/>
      <c r="F50" s="5414"/>
      <c r="G50" s="5414"/>
      <c r="H50" s="5414"/>
      <c r="I50" s="5414"/>
      <c r="J50" s="5414"/>
      <c r="K50" s="5414"/>
      <c r="L50" s="5414"/>
      <c r="M50" s="5415"/>
      <c r="O50" s="5389" t="s">
        <v>3057</v>
      </c>
    </row>
    <row r="51" spans="1:19" x14ac:dyDescent="0.25">
      <c r="A51" s="5408"/>
      <c r="B51" s="7237"/>
      <c r="C51" s="5414"/>
      <c r="D51" s="5414"/>
      <c r="E51" s="5414"/>
      <c r="F51" s="5414"/>
      <c r="G51" s="5414"/>
      <c r="H51" s="5414"/>
      <c r="I51" s="5414"/>
      <c r="J51" s="5414"/>
      <c r="K51" s="5414"/>
      <c r="L51" s="5414"/>
      <c r="M51" s="5415"/>
      <c r="O51" s="5389" t="s">
        <v>2992</v>
      </c>
      <c r="P51" s="5411">
        <f>'Financing Plan'!O55+'Financing Plan'!O56</f>
        <v>99</v>
      </c>
    </row>
    <row r="52" spans="1:19" x14ac:dyDescent="0.25">
      <c r="A52" s="5408"/>
      <c r="B52" s="7237"/>
      <c r="C52" s="5414"/>
      <c r="D52" s="5414"/>
      <c r="E52" s="5414"/>
      <c r="F52" s="5414"/>
      <c r="G52" s="5414"/>
      <c r="H52" s="5414"/>
      <c r="I52" s="5414"/>
      <c r="J52" s="5414"/>
      <c r="K52" s="5414"/>
      <c r="L52" s="5414"/>
      <c r="M52" s="5415"/>
      <c r="O52" s="5389" t="s">
        <v>49</v>
      </c>
      <c r="P52" s="5411">
        <f ca="1">'Financing Plan'!O57</f>
        <v>48.975372000000007</v>
      </c>
    </row>
    <row r="53" spans="1:19" x14ac:dyDescent="0.25">
      <c r="A53" s="5408"/>
      <c r="B53" s="7237"/>
      <c r="C53" s="5414"/>
      <c r="D53" s="5414"/>
      <c r="E53" s="5414"/>
      <c r="F53" s="5414"/>
      <c r="G53" s="5414"/>
      <c r="H53" s="5414"/>
      <c r="I53" s="5414"/>
      <c r="J53" s="5414"/>
      <c r="K53" s="5414"/>
      <c r="L53" s="5414"/>
      <c r="M53" s="5415"/>
      <c r="O53" s="5389" t="s">
        <v>2998</v>
      </c>
      <c r="P53" s="5411">
        <f ca="1">'Financing Plan'!O58</f>
        <v>1857.4137636432001</v>
      </c>
    </row>
    <row r="54" spans="1:19" x14ac:dyDescent="0.25">
      <c r="A54" s="5408"/>
      <c r="B54" s="7237"/>
      <c r="C54" s="5414"/>
      <c r="D54" s="5414"/>
      <c r="E54" s="5414"/>
      <c r="F54" s="5414"/>
      <c r="G54" s="5414"/>
      <c r="H54" s="5414"/>
      <c r="I54" s="5414"/>
      <c r="J54" s="5414"/>
      <c r="K54" s="5414"/>
      <c r="L54" s="5414"/>
      <c r="M54" s="5415"/>
      <c r="O54" s="5389" t="s">
        <v>1240</v>
      </c>
      <c r="P54" s="5411">
        <f ca="1">'Financing Plan'!O59</f>
        <v>36</v>
      </c>
    </row>
    <row r="55" spans="1:19" ht="15.75" customHeight="1" x14ac:dyDescent="0.25">
      <c r="A55" s="5408"/>
      <c r="B55" s="7237"/>
      <c r="C55" s="5414"/>
      <c r="D55" s="5414"/>
      <c r="E55" s="5414"/>
      <c r="F55" s="5414"/>
      <c r="G55" s="5414"/>
      <c r="H55" s="5414"/>
      <c r="I55" s="5414"/>
      <c r="J55" s="5414"/>
      <c r="K55" s="5414"/>
      <c r="L55" s="5414"/>
      <c r="M55" s="5415"/>
      <c r="P55" s="5411"/>
    </row>
    <row r="56" spans="1:19" x14ac:dyDescent="0.25">
      <c r="A56" s="5408"/>
      <c r="B56" s="7237"/>
      <c r="C56" s="5414"/>
      <c r="D56" s="5414"/>
      <c r="E56" s="5414"/>
      <c r="F56" s="5414"/>
      <c r="G56" s="5414"/>
      <c r="H56" s="5414"/>
      <c r="I56" s="5414"/>
      <c r="J56" s="5414"/>
      <c r="K56" s="5414"/>
      <c r="L56" s="5414"/>
      <c r="M56" s="5415"/>
      <c r="O56" s="5389" t="s">
        <v>3058</v>
      </c>
      <c r="P56" s="5411"/>
    </row>
    <row r="57" spans="1:19" ht="18.75" customHeight="1" x14ac:dyDescent="0.25">
      <c r="A57" s="5408"/>
      <c r="B57" s="7237"/>
      <c r="C57" s="5414"/>
      <c r="D57" s="5414"/>
      <c r="E57" s="5414"/>
      <c r="F57" s="5414"/>
      <c r="G57" s="5414"/>
      <c r="H57" s="5414"/>
      <c r="I57" s="5414"/>
      <c r="J57" s="5414"/>
      <c r="K57" s="5414"/>
      <c r="L57" s="5414"/>
      <c r="M57" s="5415"/>
      <c r="O57" s="5389" t="s">
        <v>3059</v>
      </c>
      <c r="P57" s="5411">
        <f>'Financing Plan'!W59</f>
        <v>0</v>
      </c>
      <c r="S57" s="5419"/>
    </row>
    <row r="58" spans="1:19" ht="15.75" customHeight="1" x14ac:dyDescent="0.25">
      <c r="A58" s="5408"/>
      <c r="B58" s="5414"/>
      <c r="C58" s="5414"/>
      <c r="D58" s="5414"/>
      <c r="E58" s="5414"/>
      <c r="F58" s="5414"/>
      <c r="G58" s="5414"/>
      <c r="H58" s="5414"/>
      <c r="I58" s="5414"/>
      <c r="J58" s="5414"/>
      <c r="K58" s="5414"/>
      <c r="L58" s="5414"/>
      <c r="M58" s="5415"/>
      <c r="O58" s="5389" t="s">
        <v>3060</v>
      </c>
      <c r="P58" s="5411">
        <f>'Financing Plan'!AG59-'Financing Plan'!W59</f>
        <v>100</v>
      </c>
      <c r="S58" s="5419"/>
    </row>
    <row r="59" spans="1:19" ht="15" customHeight="1" x14ac:dyDescent="0.3">
      <c r="A59" s="5408"/>
      <c r="B59" s="7228" t="str">
        <f>'Action Plan finance'!K51</f>
        <v>SUMMARY OF CAPITAL EXPENDITURE</v>
      </c>
      <c r="C59" s="7228"/>
      <c r="D59" s="7228"/>
      <c r="E59" s="7228"/>
      <c r="F59" s="7228"/>
      <c r="G59" s="7228"/>
      <c r="H59" s="7228"/>
      <c r="I59" s="7228"/>
      <c r="J59" s="7228"/>
      <c r="K59" s="5420"/>
      <c r="L59" s="5420"/>
      <c r="M59" s="5415"/>
      <c r="S59" s="5419"/>
    </row>
    <row r="60" spans="1:19" ht="15" customHeight="1" x14ac:dyDescent="0.3">
      <c r="A60" s="5408"/>
      <c r="B60" s="7229"/>
      <c r="C60" s="7229"/>
      <c r="D60" s="7229"/>
      <c r="E60" s="7229"/>
      <c r="F60" s="7229"/>
      <c r="G60" s="7229"/>
      <c r="H60" s="7229"/>
      <c r="I60" s="7229"/>
      <c r="J60" s="7229"/>
      <c r="K60" s="5421"/>
      <c r="L60" s="6073" t="str">
        <f>CONCATENATE('General info'!E43," ",'General info'!G43)</f>
        <v>INR Lakhs</v>
      </c>
      <c r="M60" s="5415"/>
      <c r="S60" s="5419"/>
    </row>
    <row r="61" spans="1:19" ht="15" customHeight="1" x14ac:dyDescent="0.25">
      <c r="A61" s="5408"/>
      <c r="B61" s="5422" t="s">
        <v>3061</v>
      </c>
      <c r="C61" s="5423">
        <f>'Financing Plan'!E54</f>
        <v>2015</v>
      </c>
      <c r="D61" s="5423">
        <f>'Financing Plan'!F54</f>
        <v>2016</v>
      </c>
      <c r="E61" s="5423">
        <f>'Financing Plan'!G54</f>
        <v>2017</v>
      </c>
      <c r="F61" s="5423">
        <f>'Financing Plan'!H54</f>
        <v>2018</v>
      </c>
      <c r="G61" s="5423">
        <f>'Financing Plan'!I54</f>
        <v>2019</v>
      </c>
      <c r="H61" s="5423">
        <f>'Financing Plan'!J54</f>
        <v>2020</v>
      </c>
      <c r="I61" s="5423">
        <f>'Financing Plan'!K54</f>
        <v>2021</v>
      </c>
      <c r="J61" s="5423">
        <f>'Financing Plan'!L54</f>
        <v>2022</v>
      </c>
      <c r="K61" s="5423">
        <f>'Financing Plan'!M54</f>
        <v>2023</v>
      </c>
      <c r="L61" s="5442">
        <f>'Financing Plan'!N54</f>
        <v>2024</v>
      </c>
      <c r="M61" s="5415"/>
    </row>
    <row r="62" spans="1:19" ht="15.75" customHeight="1" x14ac:dyDescent="0.25">
      <c r="A62" s="5408"/>
      <c r="B62" s="5424" t="str">
        <f ca="1">B12</f>
        <v>Household survey to assess wastewater services</v>
      </c>
      <c r="C62" s="5425">
        <f ca="1">IFERROR(VLOOKUP($B62,'Action Plan finance'!$C$56:$T$171,9,FALSE),0)</f>
        <v>0</v>
      </c>
      <c r="D62" s="5425">
        <f ca="1">IFERROR(VLOOKUP($B62,'Action Plan finance'!$C$56:$T$171,10,FALSE),0)</f>
        <v>0</v>
      </c>
      <c r="E62" s="5425">
        <f ca="1">IFERROR(VLOOKUP($B62,'Action Plan finance'!$C$56:$T$171,11,FALSE),0)</f>
        <v>0</v>
      </c>
      <c r="F62" s="5425">
        <f ca="1">IFERROR(VLOOKUP($B62,'Action Plan finance'!$C$56:$T$171,12,FALSE),0)</f>
        <v>0</v>
      </c>
      <c r="G62" s="5425">
        <f ca="1">IFERROR(VLOOKUP($B62,'Action Plan finance'!$C$56:$T$171,13,FALSE),0)</f>
        <v>0</v>
      </c>
      <c r="H62" s="5425">
        <f ca="1">IFERROR(VLOOKUP($B62,'Action Plan finance'!$C$56:$T$171,14,FALSE),0)</f>
        <v>0</v>
      </c>
      <c r="I62" s="5425">
        <f ca="1">IFERROR(VLOOKUP($B62,'Action Plan finance'!$C$56:$T$171,15,FALSE),0)</f>
        <v>0</v>
      </c>
      <c r="J62" s="5425">
        <f ca="1">IFERROR(VLOOKUP($B62,'Action Plan finance'!$C$56:$T$171,16,FALSE),0)</f>
        <v>0</v>
      </c>
      <c r="K62" s="5425">
        <f ca="1">IFERROR(VLOOKUP($B62,'Action Plan finance'!$C$56:$T$171,17,FALSE),0)</f>
        <v>0</v>
      </c>
      <c r="L62" s="5426">
        <f ca="1">IFERROR(VLOOKUP($B62,'Action Plan finance'!$C$56:$T$171,18,FALSE),0)</f>
        <v>0</v>
      </c>
      <c r="M62" s="5415"/>
    </row>
    <row r="63" spans="1:19" x14ac:dyDescent="0.25">
      <c r="A63" s="5408"/>
      <c r="B63" s="5427" t="str">
        <f t="shared" ref="B63:B76" ca="1" si="0">B13</f>
        <v>Policy for providing sanitation services in slums</v>
      </c>
      <c r="C63" s="5428">
        <f ca="1">IFERROR(VLOOKUP($B63,'Action Plan finance'!$C$56:$T$171,9,FALSE),0)</f>
        <v>0</v>
      </c>
      <c r="D63" s="5428">
        <f ca="1">IFERROR(VLOOKUP($B63,'Action Plan finance'!$C$56:$T$171,10,FALSE),0)</f>
        <v>0</v>
      </c>
      <c r="E63" s="5428">
        <f ca="1">IFERROR(VLOOKUP($B63,'Action Plan finance'!$C$56:$T$171,11,FALSE),0)</f>
        <v>0</v>
      </c>
      <c r="F63" s="5428">
        <f ca="1">IFERROR(VLOOKUP($B63,'Action Plan finance'!$C$56:$T$171,12,FALSE),0)</f>
        <v>0</v>
      </c>
      <c r="G63" s="5428">
        <f ca="1">IFERROR(VLOOKUP($B63,'Action Plan finance'!$C$56:$T$171,13,FALSE),0)</f>
        <v>0</v>
      </c>
      <c r="H63" s="5428">
        <f ca="1">IFERROR(VLOOKUP($B63,'Action Plan finance'!$C$56:$T$171,14,FALSE),0)</f>
        <v>0</v>
      </c>
      <c r="I63" s="5428">
        <f ca="1">IFERROR(VLOOKUP($B63,'Action Plan finance'!$C$56:$T$171,15,FALSE),0)</f>
        <v>0</v>
      </c>
      <c r="J63" s="5428">
        <f ca="1">IFERROR(VLOOKUP($B63,'Action Plan finance'!$C$56:$T$171,16,FALSE),0)</f>
        <v>0</v>
      </c>
      <c r="K63" s="5428">
        <f ca="1">IFERROR(VLOOKUP($B63,'Action Plan finance'!$C$56:$T$171,17,FALSE),0)</f>
        <v>0</v>
      </c>
      <c r="L63" s="5429">
        <f ca="1">IFERROR(VLOOKUP($B63,'Action Plan finance'!$C$56:$T$171,18,FALSE),0)</f>
        <v>0</v>
      </c>
      <c r="M63" s="5415"/>
    </row>
    <row r="64" spans="1:19" ht="15" customHeight="1" x14ac:dyDescent="0.25">
      <c r="A64" s="5408"/>
      <c r="B64" s="5427" t="str">
        <f t="shared" ca="1" si="0"/>
        <v>Improve condition of existing individual toilets by providing safe sanitation disposal system</v>
      </c>
      <c r="C64" s="5428">
        <f ca="1">IFERROR(VLOOKUP($B64,'Action Plan finance'!$C$56:$T$171,9,FALSE),0)</f>
        <v>63.9</v>
      </c>
      <c r="D64" s="5428">
        <f ca="1">IFERROR(VLOOKUP($B64,'Action Plan finance'!$C$56:$T$171,10,FALSE),0)</f>
        <v>0</v>
      </c>
      <c r="E64" s="5428">
        <f ca="1">IFERROR(VLOOKUP($B64,'Action Plan finance'!$C$56:$T$171,11,FALSE),0)</f>
        <v>0</v>
      </c>
      <c r="F64" s="5428">
        <f ca="1">IFERROR(VLOOKUP($B64,'Action Plan finance'!$C$56:$T$171,12,FALSE),0)</f>
        <v>0</v>
      </c>
      <c r="G64" s="5428">
        <f ca="1">IFERROR(VLOOKUP($B64,'Action Plan finance'!$C$56:$T$171,13,FALSE),0)</f>
        <v>0</v>
      </c>
      <c r="H64" s="5428">
        <f ca="1">IFERROR(VLOOKUP($B64,'Action Plan finance'!$C$56:$T$171,14,FALSE),0)</f>
        <v>0</v>
      </c>
      <c r="I64" s="5428">
        <f ca="1">IFERROR(VLOOKUP($B64,'Action Plan finance'!$C$56:$T$171,15,FALSE),0)</f>
        <v>0</v>
      </c>
      <c r="J64" s="5428">
        <f ca="1">IFERROR(VLOOKUP($B64,'Action Plan finance'!$C$56:$T$171,16,FALSE),0)</f>
        <v>0</v>
      </c>
      <c r="K64" s="5428">
        <f ca="1">IFERROR(VLOOKUP($B64,'Action Plan finance'!$C$56:$T$171,17,FALSE),0)</f>
        <v>0</v>
      </c>
      <c r="L64" s="5429">
        <f ca="1">IFERROR(VLOOKUP($B64,'Action Plan finance'!$C$56:$T$171,18,FALSE),0)</f>
        <v>0</v>
      </c>
      <c r="M64" s="5415"/>
    </row>
    <row r="65" spans="1:18" ht="15" customHeight="1" x14ac:dyDescent="0.25">
      <c r="A65" s="5408"/>
      <c r="B65" s="5427" t="str">
        <f t="shared" ca="1" si="0"/>
        <v>Improve condition of existing Community toilets</v>
      </c>
      <c r="C65" s="5428">
        <f ca="1">IFERROR(VLOOKUP($B65,'Action Plan finance'!$C$56:$T$171,9,FALSE),0)</f>
        <v>23</v>
      </c>
      <c r="D65" s="5428">
        <f ca="1">IFERROR(VLOOKUP($B65,'Action Plan finance'!$C$56:$T$171,10,FALSE),0)</f>
        <v>24.610000000000003</v>
      </c>
      <c r="E65" s="5428">
        <f ca="1">IFERROR(VLOOKUP($B65,'Action Plan finance'!$C$56:$T$171,11,FALSE),0)</f>
        <v>26.332699999999999</v>
      </c>
      <c r="F65" s="5428">
        <f ca="1">IFERROR(VLOOKUP($B65,'Action Plan finance'!$C$56:$T$171,12,FALSE),0)</f>
        <v>0</v>
      </c>
      <c r="G65" s="5428">
        <f ca="1">IFERROR(VLOOKUP($B65,'Action Plan finance'!$C$56:$T$171,13,FALSE),0)</f>
        <v>0</v>
      </c>
      <c r="H65" s="5428">
        <f ca="1">IFERROR(VLOOKUP($B65,'Action Plan finance'!$C$56:$T$171,14,FALSE),0)</f>
        <v>0</v>
      </c>
      <c r="I65" s="5428">
        <f ca="1">IFERROR(VLOOKUP($B65,'Action Plan finance'!$C$56:$T$171,15,FALSE),0)</f>
        <v>0</v>
      </c>
      <c r="J65" s="5428">
        <f ca="1">IFERROR(VLOOKUP($B65,'Action Plan finance'!$C$56:$T$171,16,FALSE),0)</f>
        <v>0</v>
      </c>
      <c r="K65" s="5428">
        <f ca="1">IFERROR(VLOOKUP($B65,'Action Plan finance'!$C$56:$T$171,17,FALSE),0)</f>
        <v>0</v>
      </c>
      <c r="L65" s="5429">
        <f ca="1">IFERROR(VLOOKUP($B65,'Action Plan finance'!$C$56:$T$171,18,FALSE),0)</f>
        <v>0</v>
      </c>
      <c r="M65" s="5415"/>
    </row>
    <row r="66" spans="1:18" ht="15" customHeight="1" x14ac:dyDescent="0.25">
      <c r="A66" s="5408"/>
      <c r="B66" s="5427" t="str">
        <f t="shared" ca="1" si="0"/>
        <v>Construct new individual toilets</v>
      </c>
      <c r="C66" s="5428">
        <f ca="1">IFERROR(VLOOKUP($B66,'Action Plan finance'!$C$56:$T$171,9,FALSE),0)</f>
        <v>197.7</v>
      </c>
      <c r="D66" s="5428">
        <f ca="1">IFERROR(VLOOKUP($B66,'Action Plan finance'!$C$56:$T$171,10,FALSE),0)</f>
        <v>211.53899999999999</v>
      </c>
      <c r="E66" s="5428">
        <f ca="1">IFERROR(VLOOKUP($B66,'Action Plan finance'!$C$56:$T$171,11,FALSE),0)</f>
        <v>226.34672999999998</v>
      </c>
      <c r="F66" s="5428">
        <f ca="1">IFERROR(VLOOKUP($B66,'Action Plan finance'!$C$56:$T$171,12,FALSE),0)</f>
        <v>242.19100109999999</v>
      </c>
      <c r="G66" s="5428">
        <f ca="1">IFERROR(VLOOKUP($B66,'Action Plan finance'!$C$56:$T$171,13,FALSE),0)</f>
        <v>259.14437117700004</v>
      </c>
      <c r="H66" s="5428">
        <f ca="1">IFERROR(VLOOKUP($B66,'Action Plan finance'!$C$56:$T$171,14,FALSE),0)</f>
        <v>0</v>
      </c>
      <c r="I66" s="5428">
        <f ca="1">IFERROR(VLOOKUP($B66,'Action Plan finance'!$C$56:$T$171,15,FALSE),0)</f>
        <v>0</v>
      </c>
      <c r="J66" s="5428">
        <f ca="1">IFERROR(VLOOKUP($B66,'Action Plan finance'!$C$56:$T$171,16,FALSE),0)</f>
        <v>0</v>
      </c>
      <c r="K66" s="5428">
        <f ca="1">IFERROR(VLOOKUP($B66,'Action Plan finance'!$C$56:$T$171,17,FALSE),0)</f>
        <v>0</v>
      </c>
      <c r="L66" s="5429">
        <f ca="1">IFERROR(VLOOKUP($B66,'Action Plan finance'!$C$56:$T$171,18,FALSE),0)</f>
        <v>0</v>
      </c>
      <c r="M66" s="5415"/>
    </row>
    <row r="67" spans="1:18" ht="15" customHeight="1" x14ac:dyDescent="0.25">
      <c r="A67" s="5408"/>
      <c r="B67" s="5427" t="str">
        <f t="shared" ca="1" si="0"/>
        <v>Construct new public toilet blocks</v>
      </c>
      <c r="C67" s="5428">
        <f ca="1">IFERROR(VLOOKUP($B67,'Action Plan finance'!$C$56:$T$171,9,FALSE),0)</f>
        <v>3.6666666666666661</v>
      </c>
      <c r="D67" s="5428">
        <f ca="1">IFERROR(VLOOKUP($B67,'Action Plan finance'!$C$56:$T$171,10,FALSE),0)</f>
        <v>3.9233333333333329</v>
      </c>
      <c r="E67" s="5428">
        <f ca="1">IFERROR(VLOOKUP($B67,'Action Plan finance'!$C$56:$T$171,11,FALSE),0)</f>
        <v>4.197966666666666</v>
      </c>
      <c r="F67" s="5428">
        <f ca="1">IFERROR(VLOOKUP($B67,'Action Plan finance'!$C$56:$T$171,12,FALSE),0)</f>
        <v>0</v>
      </c>
      <c r="G67" s="5428">
        <f ca="1">IFERROR(VLOOKUP($B67,'Action Plan finance'!$C$56:$T$171,13,FALSE),0)</f>
        <v>0</v>
      </c>
      <c r="H67" s="5428">
        <f ca="1">IFERROR(VLOOKUP($B67,'Action Plan finance'!$C$56:$T$171,14,FALSE),0)</f>
        <v>0</v>
      </c>
      <c r="I67" s="5428">
        <f ca="1">IFERROR(VLOOKUP($B67,'Action Plan finance'!$C$56:$T$171,15,FALSE),0)</f>
        <v>0</v>
      </c>
      <c r="J67" s="5428">
        <f ca="1">IFERROR(VLOOKUP($B67,'Action Plan finance'!$C$56:$T$171,16,FALSE),0)</f>
        <v>0</v>
      </c>
      <c r="K67" s="5428">
        <f ca="1">IFERROR(VLOOKUP($B67,'Action Plan finance'!$C$56:$T$171,17,FALSE),0)</f>
        <v>0</v>
      </c>
      <c r="L67" s="5429">
        <f ca="1">IFERROR(VLOOKUP($B67,'Action Plan finance'!$C$56:$T$171,18,FALSE),0)</f>
        <v>0</v>
      </c>
      <c r="M67" s="5415"/>
    </row>
    <row r="68" spans="1:18" ht="15.75" customHeight="1" x14ac:dyDescent="0.25">
      <c r="A68" s="5408"/>
      <c r="B68" s="5427" t="str">
        <f t="shared" ca="1" si="0"/>
        <v>Increase septage collection with existing suction emptier trucks</v>
      </c>
      <c r="C68" s="5428">
        <f ca="1">IFERROR(VLOOKUP($B68,'Action Plan finance'!$C$56:$T$171,9,FALSE),0)</f>
        <v>0</v>
      </c>
      <c r="D68" s="5428">
        <f ca="1">IFERROR(VLOOKUP($B68,'Action Plan finance'!$C$56:$T$171,10,FALSE),0)</f>
        <v>0</v>
      </c>
      <c r="E68" s="5428">
        <f ca="1">IFERROR(VLOOKUP($B68,'Action Plan finance'!$C$56:$T$171,11,FALSE),0)</f>
        <v>0</v>
      </c>
      <c r="F68" s="5428">
        <f ca="1">IFERROR(VLOOKUP($B68,'Action Plan finance'!$C$56:$T$171,12,FALSE),0)</f>
        <v>0</v>
      </c>
      <c r="G68" s="5428">
        <f ca="1">IFERROR(VLOOKUP($B68,'Action Plan finance'!$C$56:$T$171,13,FALSE),0)</f>
        <v>0</v>
      </c>
      <c r="H68" s="5428">
        <f ca="1">IFERROR(VLOOKUP($B68,'Action Plan finance'!$C$56:$T$171,14,FALSE),0)</f>
        <v>0</v>
      </c>
      <c r="I68" s="5428">
        <f ca="1">IFERROR(VLOOKUP($B68,'Action Plan finance'!$C$56:$T$171,15,FALSE),0)</f>
        <v>0</v>
      </c>
      <c r="J68" s="5428">
        <f ca="1">IFERROR(VLOOKUP($B68,'Action Plan finance'!$C$56:$T$171,16,FALSE),0)</f>
        <v>0</v>
      </c>
      <c r="K68" s="5428">
        <f ca="1">IFERROR(VLOOKUP($B68,'Action Plan finance'!$C$56:$T$171,17,FALSE),0)</f>
        <v>0</v>
      </c>
      <c r="L68" s="5429">
        <f ca="1">IFERROR(VLOOKUP($B68,'Action Plan finance'!$C$56:$T$171,18,FALSE),0)</f>
        <v>0</v>
      </c>
      <c r="M68" s="5415"/>
    </row>
    <row r="69" spans="1:18" ht="15.75" customHeight="1" x14ac:dyDescent="0.25">
      <c r="A69" s="5408"/>
      <c r="B69" s="5427" t="str">
        <f t="shared" ca="1" si="0"/>
        <v>Procure new suction emptier trucks</v>
      </c>
      <c r="C69" s="5428">
        <f ca="1">IFERROR(VLOOKUP($B69,'Action Plan finance'!$C$56:$T$171,9,FALSE),0)</f>
        <v>12</v>
      </c>
      <c r="D69" s="5428">
        <f ca="1">IFERROR(VLOOKUP($B69,'Action Plan finance'!$C$56:$T$171,10,FALSE),0)</f>
        <v>12.84</v>
      </c>
      <c r="E69" s="5428">
        <f ca="1">IFERROR(VLOOKUP($B69,'Action Plan finance'!$C$56:$T$171,11,FALSE),0)</f>
        <v>0</v>
      </c>
      <c r="F69" s="5428">
        <f ca="1">IFERROR(VLOOKUP($B69,'Action Plan finance'!$C$56:$T$171,12,FALSE),0)</f>
        <v>0</v>
      </c>
      <c r="G69" s="5428">
        <f ca="1">IFERROR(VLOOKUP($B69,'Action Plan finance'!$C$56:$T$171,13,FALSE),0)</f>
        <v>0</v>
      </c>
      <c r="H69" s="5428">
        <f ca="1">IFERROR(VLOOKUP($B69,'Action Plan finance'!$C$56:$T$171,14,FALSE),0)</f>
        <v>0</v>
      </c>
      <c r="I69" s="5428">
        <f ca="1">IFERROR(VLOOKUP($B69,'Action Plan finance'!$C$56:$T$171,15,FALSE),0)</f>
        <v>0</v>
      </c>
      <c r="J69" s="5428">
        <f ca="1">IFERROR(VLOOKUP($B69,'Action Plan finance'!$C$56:$T$171,16,FALSE),0)</f>
        <v>0</v>
      </c>
      <c r="K69" s="5428">
        <f ca="1">IFERROR(VLOOKUP($B69,'Action Plan finance'!$C$56:$T$171,17,FALSE),0)</f>
        <v>0</v>
      </c>
      <c r="L69" s="5429">
        <f ca="1">IFERROR(VLOOKUP($B69,'Action Plan finance'!$C$56:$T$171,18,FALSE),0)</f>
        <v>0</v>
      </c>
      <c r="M69" s="5415"/>
    </row>
    <row r="70" spans="1:18" ht="15" customHeight="1" x14ac:dyDescent="0.25">
      <c r="A70" s="5408"/>
      <c r="B70" s="5427" t="str">
        <f t="shared" ca="1" si="0"/>
        <v>Construct/augment fecal sludge treatment plant</v>
      </c>
      <c r="C70" s="5428">
        <f ca="1">IFERROR(VLOOKUP($B70,'Action Plan finance'!$C$56:$T$171,9,FALSE),0)</f>
        <v>45</v>
      </c>
      <c r="D70" s="5428">
        <f ca="1">IFERROR(VLOOKUP($B70,'Action Plan finance'!$C$56:$T$171,10,FALSE),0)</f>
        <v>48.15</v>
      </c>
      <c r="E70" s="5428">
        <f ca="1">IFERROR(VLOOKUP($B70,'Action Plan finance'!$C$56:$T$171,11,FALSE),0)</f>
        <v>0</v>
      </c>
      <c r="F70" s="5428">
        <f ca="1">IFERROR(VLOOKUP($B70,'Action Plan finance'!$C$56:$T$171,12,FALSE),0)</f>
        <v>0</v>
      </c>
      <c r="G70" s="5428">
        <f ca="1">IFERROR(VLOOKUP($B70,'Action Plan finance'!$C$56:$T$171,13,FALSE),0)</f>
        <v>0</v>
      </c>
      <c r="H70" s="5428">
        <f ca="1">IFERROR(VLOOKUP($B70,'Action Plan finance'!$C$56:$T$171,14,FALSE),0)</f>
        <v>0</v>
      </c>
      <c r="I70" s="5428">
        <f ca="1">IFERROR(VLOOKUP($B70,'Action Plan finance'!$C$56:$T$171,15,FALSE),0)</f>
        <v>0</v>
      </c>
      <c r="J70" s="5428">
        <f ca="1">IFERROR(VLOOKUP($B70,'Action Plan finance'!$C$56:$T$171,16,FALSE),0)</f>
        <v>0</v>
      </c>
      <c r="K70" s="5428">
        <f ca="1">IFERROR(VLOOKUP($B70,'Action Plan finance'!$C$56:$T$171,17,FALSE),0)</f>
        <v>0</v>
      </c>
      <c r="L70" s="5429">
        <f ca="1">IFERROR(VLOOKUP($B70,'Action Plan finance'!$C$56:$T$171,18,FALSE),0)</f>
        <v>0</v>
      </c>
      <c r="M70" s="5415"/>
    </row>
    <row r="71" spans="1:18" ht="15" customHeight="1" x14ac:dyDescent="0.25">
      <c r="A71" s="5408"/>
      <c r="B71" s="5427" t="str">
        <f t="shared" ca="1" si="0"/>
        <v/>
      </c>
      <c r="C71" s="5428" t="str">
        <f ca="1">IFERROR(VLOOKUP($B71,'Action Plan finance'!$C$56:$T$171,9,FALSE),0)</f>
        <v/>
      </c>
      <c r="D71" s="5428" t="str">
        <f ca="1">IFERROR(VLOOKUP($B71,'Action Plan finance'!$C$56:$T$171,10,FALSE),0)</f>
        <v/>
      </c>
      <c r="E71" s="5428" t="str">
        <f ca="1">IFERROR(VLOOKUP($B71,'Action Plan finance'!$C$56:$T$171,11,FALSE),0)</f>
        <v/>
      </c>
      <c r="F71" s="5428" t="str">
        <f ca="1">IFERROR(VLOOKUP($B71,'Action Plan finance'!$C$56:$T$171,12,FALSE),0)</f>
        <v/>
      </c>
      <c r="G71" s="5428" t="str">
        <f ca="1">IFERROR(VLOOKUP($B71,'Action Plan finance'!$C$56:$T$171,13,FALSE),0)</f>
        <v/>
      </c>
      <c r="H71" s="5428" t="str">
        <f ca="1">IFERROR(VLOOKUP($B71,'Action Plan finance'!$C$56:$T$171,14,FALSE),0)</f>
        <v/>
      </c>
      <c r="I71" s="5428" t="str">
        <f ca="1">IFERROR(VLOOKUP($B71,'Action Plan finance'!$C$56:$T$171,15,FALSE),0)</f>
        <v/>
      </c>
      <c r="J71" s="5428" t="str">
        <f ca="1">IFERROR(VLOOKUP($B71,'Action Plan finance'!$C$56:$T$171,16,FALSE),0)</f>
        <v/>
      </c>
      <c r="K71" s="5428" t="str">
        <f ca="1">IFERROR(VLOOKUP($B71,'Action Plan finance'!$C$56:$T$171,17,FALSE),0)</f>
        <v/>
      </c>
      <c r="L71" s="5429" t="str">
        <f ca="1">IFERROR(VLOOKUP($B71,'Action Plan finance'!$C$56:$T$171,18,FALSE),0)</f>
        <v/>
      </c>
      <c r="M71" s="5415"/>
    </row>
    <row r="72" spans="1:18" ht="15" customHeight="1" x14ac:dyDescent="0.25">
      <c r="A72" s="5408"/>
      <c r="B72" s="5427" t="str">
        <f t="shared" ca="1" si="0"/>
        <v/>
      </c>
      <c r="C72" s="5428" t="str">
        <f ca="1">IFERROR(VLOOKUP($B72,'Action Plan finance'!$C$56:$T$171,9,FALSE),0)</f>
        <v/>
      </c>
      <c r="D72" s="5428" t="str">
        <f ca="1">IFERROR(VLOOKUP($B72,'Action Plan finance'!$C$56:$T$171,10,FALSE),0)</f>
        <v/>
      </c>
      <c r="E72" s="5428" t="str">
        <f ca="1">IFERROR(VLOOKUP($B72,'Action Plan finance'!$C$56:$T$171,11,FALSE),0)</f>
        <v/>
      </c>
      <c r="F72" s="5428" t="str">
        <f ca="1">IFERROR(VLOOKUP($B72,'Action Plan finance'!$C$56:$T$171,12,FALSE),0)</f>
        <v/>
      </c>
      <c r="G72" s="5428" t="str">
        <f ca="1">IFERROR(VLOOKUP($B72,'Action Plan finance'!$C$56:$T$171,13,FALSE),0)</f>
        <v/>
      </c>
      <c r="H72" s="5428" t="str">
        <f ca="1">IFERROR(VLOOKUP($B72,'Action Plan finance'!$C$56:$T$171,14,FALSE),0)</f>
        <v/>
      </c>
      <c r="I72" s="5428" t="str">
        <f ca="1">IFERROR(VLOOKUP($B72,'Action Plan finance'!$C$56:$T$171,15,FALSE),0)</f>
        <v/>
      </c>
      <c r="J72" s="5428" t="str">
        <f ca="1">IFERROR(VLOOKUP($B72,'Action Plan finance'!$C$56:$T$171,16,FALSE),0)</f>
        <v/>
      </c>
      <c r="K72" s="5428" t="str">
        <f ca="1">IFERROR(VLOOKUP($B72,'Action Plan finance'!$C$56:$T$171,17,FALSE),0)</f>
        <v/>
      </c>
      <c r="L72" s="5429" t="str">
        <f ca="1">IFERROR(VLOOKUP($B72,'Action Plan finance'!$C$56:$T$171,18,FALSE),0)</f>
        <v/>
      </c>
      <c r="M72" s="5415"/>
    </row>
    <row r="73" spans="1:18" ht="15.75" customHeight="1" x14ac:dyDescent="0.25">
      <c r="A73" s="5408"/>
      <c r="B73" s="5427" t="str">
        <f t="shared" ca="1" si="0"/>
        <v/>
      </c>
      <c r="C73" s="5428" t="str">
        <f ca="1">IFERROR(VLOOKUP($B73,'Action Plan finance'!$C$56:$T$171,9,FALSE),0)</f>
        <v/>
      </c>
      <c r="D73" s="5428" t="str">
        <f ca="1">IFERROR(VLOOKUP($B73,'Action Plan finance'!$C$56:$T$171,10,FALSE),0)</f>
        <v/>
      </c>
      <c r="E73" s="5428" t="str">
        <f ca="1">IFERROR(VLOOKUP($B73,'Action Plan finance'!$C$56:$T$171,11,FALSE),0)</f>
        <v/>
      </c>
      <c r="F73" s="5428" t="str">
        <f ca="1">IFERROR(VLOOKUP($B73,'Action Plan finance'!$C$56:$T$171,12,FALSE),0)</f>
        <v/>
      </c>
      <c r="G73" s="5428" t="str">
        <f ca="1">IFERROR(VLOOKUP($B73,'Action Plan finance'!$C$56:$T$171,13,FALSE),0)</f>
        <v/>
      </c>
      <c r="H73" s="5428" t="str">
        <f ca="1">IFERROR(VLOOKUP($B73,'Action Plan finance'!$C$56:$T$171,14,FALSE),0)</f>
        <v/>
      </c>
      <c r="I73" s="5428" t="str">
        <f ca="1">IFERROR(VLOOKUP($B73,'Action Plan finance'!$C$56:$T$171,15,FALSE),0)</f>
        <v/>
      </c>
      <c r="J73" s="5428" t="str">
        <f ca="1">IFERROR(VLOOKUP($B73,'Action Plan finance'!$C$56:$T$171,16,FALSE),0)</f>
        <v/>
      </c>
      <c r="K73" s="5428" t="str">
        <f ca="1">IFERROR(VLOOKUP($B73,'Action Plan finance'!$C$56:$T$171,17,FALSE),0)</f>
        <v/>
      </c>
      <c r="L73" s="5429" t="str">
        <f ca="1">IFERROR(VLOOKUP($B73,'Action Plan finance'!$C$56:$T$171,18,FALSE),0)</f>
        <v/>
      </c>
      <c r="M73" s="5415"/>
    </row>
    <row r="74" spans="1:18" s="5419" customFormat="1" ht="16.5" customHeight="1" x14ac:dyDescent="0.25">
      <c r="A74" s="5408"/>
      <c r="B74" s="5427" t="str">
        <f t="shared" ca="1" si="0"/>
        <v/>
      </c>
      <c r="C74" s="5428" t="str">
        <f ca="1">IFERROR(VLOOKUP($B74,'Action Plan finance'!$C$56:$T$171,9,FALSE),0)</f>
        <v/>
      </c>
      <c r="D74" s="5428" t="str">
        <f ca="1">IFERROR(VLOOKUP($B74,'Action Plan finance'!$C$56:$T$171,10,FALSE),0)</f>
        <v/>
      </c>
      <c r="E74" s="5428" t="str">
        <f ca="1">IFERROR(VLOOKUP($B74,'Action Plan finance'!$C$56:$T$171,11,FALSE),0)</f>
        <v/>
      </c>
      <c r="F74" s="5428" t="str">
        <f ca="1">IFERROR(VLOOKUP($B74,'Action Plan finance'!$C$56:$T$171,12,FALSE),0)</f>
        <v/>
      </c>
      <c r="G74" s="5428" t="str">
        <f ca="1">IFERROR(VLOOKUP($B74,'Action Plan finance'!$C$56:$T$171,13,FALSE),0)</f>
        <v/>
      </c>
      <c r="H74" s="5428" t="str">
        <f ca="1">IFERROR(VLOOKUP($B74,'Action Plan finance'!$C$56:$T$171,14,FALSE),0)</f>
        <v/>
      </c>
      <c r="I74" s="5428" t="str">
        <f ca="1">IFERROR(VLOOKUP($B74,'Action Plan finance'!$C$56:$T$171,15,FALSE),0)</f>
        <v/>
      </c>
      <c r="J74" s="5428" t="str">
        <f ca="1">IFERROR(VLOOKUP($B74,'Action Plan finance'!$C$56:$T$171,16,FALSE),0)</f>
        <v/>
      </c>
      <c r="K74" s="5428" t="str">
        <f ca="1">IFERROR(VLOOKUP($B74,'Action Plan finance'!$C$56:$T$171,17,FALSE),0)</f>
        <v/>
      </c>
      <c r="L74" s="5429" t="str">
        <f ca="1">IFERROR(VLOOKUP($B74,'Action Plan finance'!$C$56:$T$171,18,FALSE),0)</f>
        <v/>
      </c>
      <c r="M74" s="5415"/>
      <c r="O74" s="5389"/>
      <c r="P74" s="5389"/>
      <c r="Q74" s="5389"/>
      <c r="R74" s="5389"/>
    </row>
    <row r="75" spans="1:18" s="5419" customFormat="1" ht="16.5" customHeight="1" x14ac:dyDescent="0.25">
      <c r="A75" s="5408"/>
      <c r="B75" s="5430" t="str">
        <f t="shared" ca="1" si="0"/>
        <v/>
      </c>
      <c r="C75" s="5431" t="str">
        <f ca="1">IFERROR(VLOOKUP($B75,'Action Plan finance'!$C$56:$T$171,9,FALSE),0)</f>
        <v/>
      </c>
      <c r="D75" s="5431" t="str">
        <f ca="1">IFERROR(VLOOKUP($B75,'Action Plan finance'!$C$56:$T$171,10,FALSE),0)</f>
        <v/>
      </c>
      <c r="E75" s="5431" t="str">
        <f ca="1">IFERROR(VLOOKUP($B75,'Action Plan finance'!$C$56:$T$171,11,FALSE),0)</f>
        <v/>
      </c>
      <c r="F75" s="5431" t="str">
        <f ca="1">IFERROR(VLOOKUP($B75,'Action Plan finance'!$C$56:$T$171,12,FALSE),0)</f>
        <v/>
      </c>
      <c r="G75" s="5431" t="str">
        <f ca="1">IFERROR(VLOOKUP($B75,'Action Plan finance'!$C$56:$T$171,13,FALSE),0)</f>
        <v/>
      </c>
      <c r="H75" s="5431" t="str">
        <f ca="1">IFERROR(VLOOKUP($B75,'Action Plan finance'!$C$56:$T$171,14,FALSE),0)</f>
        <v/>
      </c>
      <c r="I75" s="5431" t="str">
        <f ca="1">IFERROR(VLOOKUP($B75,'Action Plan finance'!$C$56:$T$171,15,FALSE),0)</f>
        <v/>
      </c>
      <c r="J75" s="5431" t="str">
        <f ca="1">IFERROR(VLOOKUP($B75,'Action Plan finance'!$C$56:$T$171,16,FALSE),0)</f>
        <v/>
      </c>
      <c r="K75" s="5431" t="str">
        <f ca="1">IFERROR(VLOOKUP($B75,'Action Plan finance'!$C$56:$T$171,17,FALSE),0)</f>
        <v/>
      </c>
      <c r="L75" s="5432" t="str">
        <f ca="1">IFERROR(VLOOKUP($B75,'Action Plan finance'!$C$56:$T$171,18,FALSE),0)</f>
        <v/>
      </c>
      <c r="M75" s="5415"/>
      <c r="O75" s="5389"/>
      <c r="P75" s="5389"/>
      <c r="Q75" s="5389"/>
      <c r="R75" s="5389"/>
    </row>
    <row r="76" spans="1:18" s="5419" customFormat="1" ht="15.75" customHeight="1" x14ac:dyDescent="0.25">
      <c r="A76" s="5408"/>
      <c r="B76" s="5433" t="str">
        <f t="shared" ca="1" si="0"/>
        <v/>
      </c>
      <c r="C76" s="5434" t="str">
        <f ca="1">IFERROR(VLOOKUP($B76,'Action Plan finance'!$C$56:$T$171,9,FALSE),0)</f>
        <v/>
      </c>
      <c r="D76" s="5434" t="str">
        <f ca="1">IFERROR(VLOOKUP($B76,'Action Plan finance'!$C$56:$T$171,10,FALSE),0)</f>
        <v/>
      </c>
      <c r="E76" s="5434" t="str">
        <f ca="1">IFERROR(VLOOKUP($B76,'Action Plan finance'!$C$56:$T$171,11,FALSE),0)</f>
        <v/>
      </c>
      <c r="F76" s="5434" t="str">
        <f ca="1">IFERROR(VLOOKUP($B76,'Action Plan finance'!$C$56:$T$171,12,FALSE),0)</f>
        <v/>
      </c>
      <c r="G76" s="5434" t="str">
        <f ca="1">IFERROR(VLOOKUP($B76,'Action Plan finance'!$C$56:$T$171,13,FALSE),0)</f>
        <v/>
      </c>
      <c r="H76" s="5434" t="str">
        <f ca="1">IFERROR(VLOOKUP($B76,'Action Plan finance'!$C$56:$T$171,14,FALSE),0)</f>
        <v/>
      </c>
      <c r="I76" s="5434" t="str">
        <f ca="1">IFERROR(VLOOKUP($B76,'Action Plan finance'!$C$56:$T$171,15,FALSE),0)</f>
        <v/>
      </c>
      <c r="J76" s="5434" t="str">
        <f ca="1">IFERROR(VLOOKUP($B76,'Action Plan finance'!$C$56:$T$171,16,FALSE),0)</f>
        <v/>
      </c>
      <c r="K76" s="5434" t="str">
        <f ca="1">IFERROR(VLOOKUP($B76,'Action Plan finance'!$C$56:$T$171,17,FALSE),0)</f>
        <v/>
      </c>
      <c r="L76" s="5435" t="str">
        <f ca="1">IFERROR(VLOOKUP($B76,'Action Plan finance'!$C$56:$T$171,18,FALSE),0)</f>
        <v/>
      </c>
      <c r="M76" s="5415"/>
      <c r="O76" s="5389"/>
      <c r="P76" s="5389"/>
      <c r="Q76" s="5389"/>
      <c r="R76" s="5389"/>
    </row>
    <row r="77" spans="1:18" s="5419" customFormat="1" ht="15.75" customHeight="1" thickBot="1" x14ac:dyDescent="0.3">
      <c r="A77" s="5436"/>
      <c r="B77" s="5437"/>
      <c r="C77" s="5437"/>
      <c r="D77" s="5437"/>
      <c r="E77" s="5437"/>
      <c r="F77" s="5437"/>
      <c r="G77" s="5437"/>
      <c r="H77" s="5437"/>
      <c r="I77" s="5437"/>
      <c r="J77" s="5437"/>
      <c r="K77" s="5437"/>
      <c r="L77" s="5437"/>
      <c r="M77" s="5438"/>
      <c r="O77" s="5389"/>
      <c r="P77" s="5389"/>
      <c r="Q77" s="5389"/>
      <c r="R77" s="5389"/>
    </row>
    <row r="78" spans="1:18" s="5419" customFormat="1" ht="15.75" customHeight="1" x14ac:dyDescent="0.25">
      <c r="O78" s="5389"/>
      <c r="P78" s="5389"/>
      <c r="Q78" s="5389"/>
      <c r="R78" s="5389"/>
    </row>
    <row r="79" spans="1:18" s="5419" customFormat="1" ht="19.5" customHeight="1" x14ac:dyDescent="0.25">
      <c r="O79" s="5389"/>
      <c r="P79" s="5389"/>
      <c r="Q79" s="5389"/>
      <c r="R79" s="5389"/>
    </row>
    <row r="80" spans="1:18" s="5419" customFormat="1" ht="18" customHeight="1" x14ac:dyDescent="0.25">
      <c r="O80" s="5389"/>
      <c r="P80" s="5389"/>
      <c r="Q80" s="5389"/>
      <c r="R80" s="5389"/>
    </row>
    <row r="81" spans="3:18" s="5419" customFormat="1" ht="15" customHeight="1" x14ac:dyDescent="0.25">
      <c r="O81" s="5389"/>
      <c r="P81" s="5389"/>
      <c r="Q81" s="5389"/>
      <c r="R81" s="5389"/>
    </row>
    <row r="83" spans="3:18" ht="21" x14ac:dyDescent="0.35">
      <c r="C83" s="5439"/>
      <c r="D83" s="5439"/>
      <c r="E83" s="5439"/>
      <c r="F83" s="5439"/>
      <c r="G83" s="5439"/>
      <c r="H83" s="5439"/>
      <c r="I83" s="5439"/>
      <c r="J83" s="5439"/>
    </row>
    <row r="86" spans="3:18" s="5440" customFormat="1" ht="21" x14ac:dyDescent="0.35">
      <c r="O86" s="5441"/>
      <c r="P86" s="5441"/>
      <c r="Q86" s="5441"/>
      <c r="R86" s="5441"/>
    </row>
    <row r="87" spans="3:18" s="5440" customFormat="1" ht="18" customHeight="1" x14ac:dyDescent="0.35">
      <c r="O87" s="5441"/>
      <c r="P87" s="5441"/>
      <c r="Q87" s="5441"/>
      <c r="R87" s="5441"/>
    </row>
    <row r="88" spans="3:18" ht="18" customHeight="1" x14ac:dyDescent="0.25"/>
    <row r="89" spans="3:18" s="5419" customFormat="1" ht="15.75" customHeight="1" x14ac:dyDescent="0.25">
      <c r="O89" s="5389"/>
      <c r="P89" s="5389"/>
      <c r="Q89" s="5389"/>
      <c r="R89" s="5389"/>
    </row>
    <row r="90" spans="3:18" s="5419" customFormat="1" x14ac:dyDescent="0.25">
      <c r="O90" s="5389"/>
      <c r="P90" s="5389"/>
      <c r="Q90" s="5389"/>
      <c r="R90" s="5389"/>
    </row>
    <row r="91" spans="3:18" s="5419" customFormat="1" x14ac:dyDescent="0.25">
      <c r="O91" s="5389"/>
      <c r="P91" s="5389"/>
      <c r="Q91" s="5389"/>
      <c r="R91" s="5389"/>
    </row>
    <row r="92" spans="3:18" s="5419" customFormat="1" x14ac:dyDescent="0.25">
      <c r="O92" s="5389"/>
      <c r="P92" s="5389"/>
      <c r="Q92" s="5389"/>
      <c r="R92" s="5389"/>
    </row>
    <row r="93" spans="3:18" s="5419" customFormat="1" x14ac:dyDescent="0.25">
      <c r="O93" s="5389"/>
      <c r="P93" s="5389"/>
      <c r="Q93" s="5389"/>
      <c r="R93" s="5389"/>
    </row>
    <row r="94" spans="3:18" s="5419" customFormat="1" x14ac:dyDescent="0.25">
      <c r="O94" s="5389"/>
      <c r="P94" s="5389"/>
      <c r="Q94" s="5389"/>
      <c r="R94" s="5389"/>
    </row>
    <row r="95" spans="3:18" s="5419" customFormat="1" x14ac:dyDescent="0.25">
      <c r="O95" s="5389"/>
      <c r="P95" s="5389"/>
      <c r="Q95" s="5389"/>
      <c r="R95" s="5389"/>
    </row>
    <row r="96" spans="3:18" s="5419" customFormat="1" x14ac:dyDescent="0.25">
      <c r="O96" s="5389"/>
      <c r="P96" s="5389"/>
      <c r="Q96" s="5389"/>
      <c r="R96" s="5389"/>
    </row>
    <row r="97" spans="1:18" s="5419" customFormat="1" x14ac:dyDescent="0.25">
      <c r="O97" s="5389"/>
      <c r="P97" s="5389"/>
      <c r="Q97" s="5389"/>
      <c r="R97" s="5389"/>
    </row>
    <row r="98" spans="1:18" s="5419" customFormat="1" x14ac:dyDescent="0.25">
      <c r="O98" s="5389"/>
      <c r="P98" s="5389"/>
      <c r="Q98" s="5389"/>
      <c r="R98" s="5389"/>
    </row>
    <row r="99" spans="1:18" s="5419" customFormat="1" x14ac:dyDescent="0.25">
      <c r="O99" s="5389"/>
      <c r="P99" s="5389"/>
      <c r="Q99" s="5389"/>
      <c r="R99" s="5389"/>
    </row>
    <row r="100" spans="1:18" s="5419" customFormat="1" x14ac:dyDescent="0.25">
      <c r="A100" s="4179"/>
      <c r="B100" s="4179"/>
      <c r="C100" s="4179"/>
      <c r="D100" s="4179"/>
      <c r="E100" s="4179"/>
      <c r="F100" s="4179"/>
      <c r="G100" s="4179"/>
      <c r="H100" s="4179"/>
      <c r="I100" s="4179"/>
      <c r="J100" s="4179"/>
      <c r="K100" s="4179"/>
      <c r="L100" s="4179"/>
      <c r="M100" s="4179"/>
      <c r="O100" s="5389"/>
      <c r="P100" s="5389"/>
      <c r="Q100" s="5389"/>
      <c r="R100" s="5389"/>
    </row>
    <row r="189" ht="15" customHeight="1" x14ac:dyDescent="0.25"/>
    <row r="190" ht="15" customHeight="1" x14ac:dyDescent="0.25"/>
  </sheetData>
  <sheetProtection algorithmName="SHA-512" hashValue="T+nsYq/IpW0uIr7YFYl4s6u4e+AGCrgb7i95Ydq6hMAagydG8kvibl69m9aQ6hqQNGWXca62mruQITc3+6ekfw==" saltValue="Aih9CDlkBNVN4p+B84GYzA==" spinCount="100000" sheet="1"/>
  <mergeCells count="29">
    <mergeCell ref="B2:L2"/>
    <mergeCell ref="B4:L4"/>
    <mergeCell ref="B7:I7"/>
    <mergeCell ref="J7:L9"/>
    <mergeCell ref="B8:I8"/>
    <mergeCell ref="B9:I9"/>
    <mergeCell ref="B26:I26"/>
    <mergeCell ref="B12:I12"/>
    <mergeCell ref="J12:L26"/>
    <mergeCell ref="B13:I13"/>
    <mergeCell ref="B14:I14"/>
    <mergeCell ref="B15:I15"/>
    <mergeCell ref="B16:I16"/>
    <mergeCell ref="B17:I17"/>
    <mergeCell ref="B18:I18"/>
    <mergeCell ref="B19:I19"/>
    <mergeCell ref="B20:I20"/>
    <mergeCell ref="B21:I21"/>
    <mergeCell ref="B22:I22"/>
    <mergeCell ref="B23:I23"/>
    <mergeCell ref="B24:I24"/>
    <mergeCell ref="B25:I25"/>
    <mergeCell ref="B59:J60"/>
    <mergeCell ref="B29:L29"/>
    <mergeCell ref="C31:L31"/>
    <mergeCell ref="C33:L33"/>
    <mergeCell ref="C34:L34"/>
    <mergeCell ref="C35:L35"/>
    <mergeCell ref="B50:B57"/>
  </mergeCells>
  <conditionalFormatting sqref="C62:L76">
    <cfRule type="expression" dxfId="37" priority="1">
      <formula>AND(C62&gt;0,C62&lt;&gt;"")</formula>
    </cfRule>
  </conditionalFormatting>
  <pageMargins left="0.24" right="0.24" top="0.2" bottom="0.2" header="0.2" footer="0.2"/>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0705" r:id="rId4" name="Group Box 1">
              <controlPr defaultSize="0" autoFill="0" autoPict="0">
                <anchor moveWithCells="1">
                  <from>
                    <xdr:col>15</xdr:col>
                    <xdr:colOff>0</xdr:colOff>
                    <xdr:row>186</xdr:row>
                    <xdr:rowOff>180975</xdr:rowOff>
                  </from>
                  <to>
                    <xdr:col>20</xdr:col>
                    <xdr:colOff>152400</xdr:colOff>
                    <xdr:row>193</xdr:row>
                    <xdr:rowOff>104775</xdr:rowOff>
                  </to>
                </anchor>
              </controlPr>
            </control>
          </mc:Choice>
        </mc:AlternateContent>
        <mc:AlternateContent xmlns:mc="http://schemas.openxmlformats.org/markup-compatibility/2006">
          <mc:Choice Requires="x14">
            <control shapeId="200706" r:id="rId5" name="Option Button 2">
              <controlPr defaultSize="0" autoFill="0" autoLine="0" autoPict="0">
                <anchor moveWithCells="1">
                  <from>
                    <xdr:col>15</xdr:col>
                    <xdr:colOff>0</xdr:colOff>
                    <xdr:row>190</xdr:row>
                    <xdr:rowOff>171450</xdr:rowOff>
                  </from>
                  <to>
                    <xdr:col>15</xdr:col>
                    <xdr:colOff>371475</xdr:colOff>
                    <xdr:row>192</xdr:row>
                    <xdr:rowOff>38100</xdr:rowOff>
                  </to>
                </anchor>
              </controlPr>
            </control>
          </mc:Choice>
        </mc:AlternateContent>
        <mc:AlternateContent xmlns:mc="http://schemas.openxmlformats.org/markup-compatibility/2006">
          <mc:Choice Requires="x14">
            <control shapeId="200707" r:id="rId6" name="Group Box 3">
              <controlPr defaultSize="0" autoFill="0" autoPict="0">
                <anchor moveWithCells="1">
                  <from>
                    <xdr:col>15</xdr:col>
                    <xdr:colOff>0</xdr:colOff>
                    <xdr:row>187</xdr:row>
                    <xdr:rowOff>0</xdr:rowOff>
                  </from>
                  <to>
                    <xdr:col>20</xdr:col>
                    <xdr:colOff>200025</xdr:colOff>
                    <xdr:row>193</xdr:row>
                    <xdr:rowOff>104775</xdr:rowOff>
                  </to>
                </anchor>
              </controlPr>
            </control>
          </mc:Choice>
        </mc:AlternateContent>
        <mc:AlternateContent xmlns:mc="http://schemas.openxmlformats.org/markup-compatibility/2006">
          <mc:Choice Requires="x14">
            <control shapeId="200708" r:id="rId7" name="Option Button 4">
              <controlPr defaultSize="0" autoFill="0" autoLine="0" autoPict="0">
                <anchor moveWithCells="1">
                  <from>
                    <xdr:col>15</xdr:col>
                    <xdr:colOff>0</xdr:colOff>
                    <xdr:row>191</xdr:row>
                    <xdr:rowOff>161925</xdr:rowOff>
                  </from>
                  <to>
                    <xdr:col>15</xdr:col>
                    <xdr:colOff>371475</xdr:colOff>
                    <xdr:row>193</xdr:row>
                    <xdr:rowOff>0</xdr:rowOff>
                  </to>
                </anchor>
              </controlPr>
            </control>
          </mc:Choice>
        </mc:AlternateContent>
        <mc:AlternateContent xmlns:mc="http://schemas.openxmlformats.org/markup-compatibility/2006">
          <mc:Choice Requires="x14">
            <control shapeId="200709" r:id="rId8" name="Option Button 5">
              <controlPr defaultSize="0" autoFill="0" autoLine="0" autoPict="0">
                <anchor moveWithCells="1">
                  <from>
                    <xdr:col>15</xdr:col>
                    <xdr:colOff>0</xdr:colOff>
                    <xdr:row>189</xdr:row>
                    <xdr:rowOff>171450</xdr:rowOff>
                  </from>
                  <to>
                    <xdr:col>15</xdr:col>
                    <xdr:colOff>371475</xdr:colOff>
                    <xdr:row>191</xdr:row>
                    <xdr:rowOff>38100</xdr:rowOff>
                  </to>
                </anchor>
              </controlPr>
            </control>
          </mc:Choice>
        </mc:AlternateContent>
        <mc:AlternateContent xmlns:mc="http://schemas.openxmlformats.org/markup-compatibility/2006">
          <mc:Choice Requires="x14">
            <control shapeId="200710" r:id="rId9" name="Option Button 6">
              <controlPr defaultSize="0" autoFill="0" autoLine="0" autoPict="0">
                <anchor moveWithCells="1">
                  <from>
                    <xdr:col>15</xdr:col>
                    <xdr:colOff>0</xdr:colOff>
                    <xdr:row>190</xdr:row>
                    <xdr:rowOff>171450</xdr:rowOff>
                  </from>
                  <to>
                    <xdr:col>15</xdr:col>
                    <xdr:colOff>371475</xdr:colOff>
                    <xdr:row>192</xdr:row>
                    <xdr:rowOff>38100</xdr:rowOff>
                  </to>
                </anchor>
              </controlPr>
            </control>
          </mc:Choice>
        </mc:AlternateContent>
        <mc:AlternateContent xmlns:mc="http://schemas.openxmlformats.org/markup-compatibility/2006">
          <mc:Choice Requires="x14">
            <control shapeId="200711" r:id="rId10" name="Option Button 7">
              <controlPr defaultSize="0" autoFill="0" autoLine="0" autoPict="0">
                <anchor moveWithCells="1">
                  <from>
                    <xdr:col>15</xdr:col>
                    <xdr:colOff>0</xdr:colOff>
                    <xdr:row>191</xdr:row>
                    <xdr:rowOff>171450</xdr:rowOff>
                  </from>
                  <to>
                    <xdr:col>15</xdr:col>
                    <xdr:colOff>371475</xdr:colOff>
                    <xdr:row>193</xdr:row>
                    <xdr:rowOff>38100</xdr:rowOff>
                  </to>
                </anchor>
              </controlPr>
            </control>
          </mc:Choice>
        </mc:AlternateContent>
        <mc:AlternateContent xmlns:mc="http://schemas.openxmlformats.org/markup-compatibility/2006">
          <mc:Choice Requires="x14">
            <control shapeId="200712" r:id="rId11" name="Option Button 8">
              <controlPr defaultSize="0" autoFill="0" autoLine="0" autoPict="0">
                <anchor moveWithCells="1">
                  <from>
                    <xdr:col>15</xdr:col>
                    <xdr:colOff>0</xdr:colOff>
                    <xdr:row>189</xdr:row>
                    <xdr:rowOff>171450</xdr:rowOff>
                  </from>
                  <to>
                    <xdr:col>15</xdr:col>
                    <xdr:colOff>371475</xdr:colOff>
                    <xdr:row>191</xdr:row>
                    <xdr:rowOff>38100</xdr:rowOff>
                  </to>
                </anchor>
              </controlPr>
            </control>
          </mc:Choice>
        </mc:AlternateContent>
        <mc:AlternateContent xmlns:mc="http://schemas.openxmlformats.org/markup-compatibility/2006">
          <mc:Choice Requires="x14">
            <control shapeId="200713" r:id="rId12" name="Option Button 9">
              <controlPr defaultSize="0" autoFill="0" autoLine="0" autoPict="0">
                <anchor moveWithCells="1">
                  <from>
                    <xdr:col>15</xdr:col>
                    <xdr:colOff>0</xdr:colOff>
                    <xdr:row>190</xdr:row>
                    <xdr:rowOff>171450</xdr:rowOff>
                  </from>
                  <to>
                    <xdr:col>15</xdr:col>
                    <xdr:colOff>371475</xdr:colOff>
                    <xdr:row>192</xdr:row>
                    <xdr:rowOff>38100</xdr:rowOff>
                  </to>
                </anchor>
              </controlPr>
            </control>
          </mc:Choice>
        </mc:AlternateContent>
        <mc:AlternateContent xmlns:mc="http://schemas.openxmlformats.org/markup-compatibility/2006">
          <mc:Choice Requires="x14">
            <control shapeId="200714" r:id="rId13" name="Option Button 10">
              <controlPr defaultSize="0" autoFill="0" autoLine="0" autoPict="0">
                <anchor moveWithCells="1">
                  <from>
                    <xdr:col>15</xdr:col>
                    <xdr:colOff>0</xdr:colOff>
                    <xdr:row>191</xdr:row>
                    <xdr:rowOff>171450</xdr:rowOff>
                  </from>
                  <to>
                    <xdr:col>15</xdr:col>
                    <xdr:colOff>371475</xdr:colOff>
                    <xdr:row>193</xdr:row>
                    <xdr:rowOff>38100</xdr:rowOff>
                  </to>
                </anchor>
              </controlPr>
            </control>
          </mc:Choice>
        </mc:AlternateContent>
        <mc:AlternateContent xmlns:mc="http://schemas.openxmlformats.org/markup-compatibility/2006">
          <mc:Choice Requires="x14">
            <control shapeId="200715" r:id="rId14" name="Option Button 11">
              <controlPr defaultSize="0" autoFill="0" autoLine="0" autoPict="0">
                <anchor moveWithCells="1">
                  <from>
                    <xdr:col>15</xdr:col>
                    <xdr:colOff>0</xdr:colOff>
                    <xdr:row>190</xdr:row>
                    <xdr:rowOff>171450</xdr:rowOff>
                  </from>
                  <to>
                    <xdr:col>15</xdr:col>
                    <xdr:colOff>381000</xdr:colOff>
                    <xdr:row>192</xdr:row>
                    <xdr:rowOff>38100</xdr:rowOff>
                  </to>
                </anchor>
              </controlPr>
            </control>
          </mc:Choice>
        </mc:AlternateContent>
        <mc:AlternateContent xmlns:mc="http://schemas.openxmlformats.org/markup-compatibility/2006">
          <mc:Choice Requires="x14">
            <control shapeId="200716" r:id="rId15" name="Option Button 12">
              <controlPr defaultSize="0" autoFill="0" autoLine="0" autoPict="0">
                <anchor moveWithCells="1">
                  <from>
                    <xdr:col>15</xdr:col>
                    <xdr:colOff>0</xdr:colOff>
                    <xdr:row>191</xdr:row>
                    <xdr:rowOff>171450</xdr:rowOff>
                  </from>
                  <to>
                    <xdr:col>15</xdr:col>
                    <xdr:colOff>381000</xdr:colOff>
                    <xdr:row>193</xdr:row>
                    <xdr:rowOff>38100</xdr:rowOff>
                  </to>
                </anchor>
              </controlPr>
            </control>
          </mc:Choice>
        </mc:AlternateContent>
        <mc:AlternateContent xmlns:mc="http://schemas.openxmlformats.org/markup-compatibility/2006">
          <mc:Choice Requires="x14">
            <control shapeId="200717" r:id="rId16" name="Option Button 13">
              <controlPr defaultSize="0" autoFill="0" autoLine="0" autoPict="0">
                <anchor moveWithCells="1">
                  <from>
                    <xdr:col>15</xdr:col>
                    <xdr:colOff>0</xdr:colOff>
                    <xdr:row>189</xdr:row>
                    <xdr:rowOff>171450</xdr:rowOff>
                  </from>
                  <to>
                    <xdr:col>15</xdr:col>
                    <xdr:colOff>371475</xdr:colOff>
                    <xdr:row>191</xdr:row>
                    <xdr:rowOff>38100</xdr:rowOff>
                  </to>
                </anchor>
              </controlPr>
            </control>
          </mc:Choice>
        </mc:AlternateContent>
        <mc:AlternateContent xmlns:mc="http://schemas.openxmlformats.org/markup-compatibility/2006">
          <mc:Choice Requires="x14">
            <control shapeId="200718" r:id="rId17" name="Option Button 14">
              <controlPr defaultSize="0" autoFill="0" autoLine="0" autoPict="0">
                <anchor moveWithCells="1">
                  <from>
                    <xdr:col>15</xdr:col>
                    <xdr:colOff>0</xdr:colOff>
                    <xdr:row>190</xdr:row>
                    <xdr:rowOff>161925</xdr:rowOff>
                  </from>
                  <to>
                    <xdr:col>15</xdr:col>
                    <xdr:colOff>371475</xdr:colOff>
                    <xdr:row>192</xdr:row>
                    <xdr:rowOff>0</xdr:rowOff>
                  </to>
                </anchor>
              </controlPr>
            </control>
          </mc:Choice>
        </mc:AlternateContent>
        <mc:AlternateContent xmlns:mc="http://schemas.openxmlformats.org/markup-compatibility/2006">
          <mc:Choice Requires="x14">
            <control shapeId="200719" r:id="rId18" name="Option Button 15">
              <controlPr defaultSize="0" autoFill="0" autoLine="0" autoPict="0">
                <anchor moveWithCells="1">
                  <from>
                    <xdr:col>15</xdr:col>
                    <xdr:colOff>0</xdr:colOff>
                    <xdr:row>191</xdr:row>
                    <xdr:rowOff>171450</xdr:rowOff>
                  </from>
                  <to>
                    <xdr:col>15</xdr:col>
                    <xdr:colOff>371475</xdr:colOff>
                    <xdr:row>193</xdr:row>
                    <xdr:rowOff>38100</xdr:rowOff>
                  </to>
                </anchor>
              </controlPr>
            </control>
          </mc:Choice>
        </mc:AlternateContent>
        <mc:AlternateContent xmlns:mc="http://schemas.openxmlformats.org/markup-compatibility/2006">
          <mc:Choice Requires="x14">
            <control shapeId="200720" r:id="rId19" name="Option Button 16">
              <controlPr defaultSize="0" autoFill="0" autoLine="0" autoPict="0">
                <anchor moveWithCells="1">
                  <from>
                    <xdr:col>15</xdr:col>
                    <xdr:colOff>0</xdr:colOff>
                    <xdr:row>189</xdr:row>
                    <xdr:rowOff>161925</xdr:rowOff>
                  </from>
                  <to>
                    <xdr:col>15</xdr:col>
                    <xdr:colOff>371475</xdr:colOff>
                    <xdr:row>191</xdr:row>
                    <xdr:rowOff>0</xdr:rowOff>
                  </to>
                </anchor>
              </controlPr>
            </control>
          </mc:Choice>
        </mc:AlternateContent>
        <mc:AlternateContent xmlns:mc="http://schemas.openxmlformats.org/markup-compatibility/2006">
          <mc:Choice Requires="x14">
            <control shapeId="200721" r:id="rId20" name="Option Button 17">
              <controlPr defaultSize="0" autoFill="0" autoLine="0" autoPict="0">
                <anchor moveWithCells="1">
                  <from>
                    <xdr:col>15</xdr:col>
                    <xdr:colOff>0</xdr:colOff>
                    <xdr:row>190</xdr:row>
                    <xdr:rowOff>161925</xdr:rowOff>
                  </from>
                  <to>
                    <xdr:col>15</xdr:col>
                    <xdr:colOff>381000</xdr:colOff>
                    <xdr:row>192</xdr:row>
                    <xdr:rowOff>0</xdr:rowOff>
                  </to>
                </anchor>
              </controlPr>
            </control>
          </mc:Choice>
        </mc:AlternateContent>
        <mc:AlternateContent xmlns:mc="http://schemas.openxmlformats.org/markup-compatibility/2006">
          <mc:Choice Requires="x14">
            <control shapeId="200722" r:id="rId21" name="Option Button 18">
              <controlPr defaultSize="0" autoFill="0" autoLine="0" autoPict="0">
                <anchor moveWithCells="1">
                  <from>
                    <xdr:col>15</xdr:col>
                    <xdr:colOff>0</xdr:colOff>
                    <xdr:row>191</xdr:row>
                    <xdr:rowOff>180975</xdr:rowOff>
                  </from>
                  <to>
                    <xdr:col>15</xdr:col>
                    <xdr:colOff>371475</xdr:colOff>
                    <xdr:row>193</xdr:row>
                    <xdr:rowOff>38100</xdr:rowOff>
                  </to>
                </anchor>
              </controlPr>
            </control>
          </mc:Choice>
        </mc:AlternateContent>
        <mc:AlternateContent xmlns:mc="http://schemas.openxmlformats.org/markup-compatibility/2006">
          <mc:Choice Requires="x14">
            <control shapeId="200723" r:id="rId22" name="Option Button 19">
              <controlPr defaultSize="0" autoFill="0" autoLine="0" autoPict="0">
                <anchor moveWithCells="1">
                  <from>
                    <xdr:col>15</xdr:col>
                    <xdr:colOff>0</xdr:colOff>
                    <xdr:row>189</xdr:row>
                    <xdr:rowOff>161925</xdr:rowOff>
                  </from>
                  <to>
                    <xdr:col>15</xdr:col>
                    <xdr:colOff>371475</xdr:colOff>
                    <xdr:row>191</xdr:row>
                    <xdr:rowOff>0</xdr:rowOff>
                  </to>
                </anchor>
              </controlPr>
            </control>
          </mc:Choice>
        </mc:AlternateContent>
        <mc:AlternateContent xmlns:mc="http://schemas.openxmlformats.org/markup-compatibility/2006">
          <mc:Choice Requires="x14">
            <control shapeId="200724" r:id="rId23" name="Option Button 20">
              <controlPr defaultSize="0" autoFill="0" autoLine="0" autoPict="0">
                <anchor moveWithCells="1">
                  <from>
                    <xdr:col>15</xdr:col>
                    <xdr:colOff>0</xdr:colOff>
                    <xdr:row>190</xdr:row>
                    <xdr:rowOff>171450</xdr:rowOff>
                  </from>
                  <to>
                    <xdr:col>15</xdr:col>
                    <xdr:colOff>371475</xdr:colOff>
                    <xdr:row>192</xdr:row>
                    <xdr:rowOff>38100</xdr:rowOff>
                  </to>
                </anchor>
              </controlPr>
            </control>
          </mc:Choice>
        </mc:AlternateContent>
        <mc:AlternateContent xmlns:mc="http://schemas.openxmlformats.org/markup-compatibility/2006">
          <mc:Choice Requires="x14">
            <control shapeId="200725" r:id="rId24" name="Option Button 21">
              <controlPr defaultSize="0" autoFill="0" autoLine="0" autoPict="0">
                <anchor moveWithCells="1">
                  <from>
                    <xdr:col>15</xdr:col>
                    <xdr:colOff>0</xdr:colOff>
                    <xdr:row>191</xdr:row>
                    <xdr:rowOff>171450</xdr:rowOff>
                  </from>
                  <to>
                    <xdr:col>15</xdr:col>
                    <xdr:colOff>371475</xdr:colOff>
                    <xdr:row>193</xdr:row>
                    <xdr:rowOff>38100</xdr:rowOff>
                  </to>
                </anchor>
              </controlPr>
            </control>
          </mc:Choice>
        </mc:AlternateContent>
        <mc:AlternateContent xmlns:mc="http://schemas.openxmlformats.org/markup-compatibility/2006">
          <mc:Choice Requires="x14">
            <control shapeId="200726" r:id="rId25" name="Option Button 22">
              <controlPr defaultSize="0" autoFill="0" autoLine="0" autoPict="0">
                <anchor moveWithCells="1">
                  <from>
                    <xdr:col>15</xdr:col>
                    <xdr:colOff>0</xdr:colOff>
                    <xdr:row>189</xdr:row>
                    <xdr:rowOff>171450</xdr:rowOff>
                  </from>
                  <to>
                    <xdr:col>15</xdr:col>
                    <xdr:colOff>371475</xdr:colOff>
                    <xdr:row>191</xdr:row>
                    <xdr:rowOff>38100</xdr:rowOff>
                  </to>
                </anchor>
              </controlPr>
            </control>
          </mc:Choice>
        </mc:AlternateContent>
        <mc:AlternateContent xmlns:mc="http://schemas.openxmlformats.org/markup-compatibility/2006">
          <mc:Choice Requires="x14">
            <control shapeId="200727" r:id="rId26" name="Option Button 23">
              <controlPr defaultSize="0" autoFill="0" autoLine="0" autoPict="0">
                <anchor moveWithCells="1">
                  <from>
                    <xdr:col>15</xdr:col>
                    <xdr:colOff>0</xdr:colOff>
                    <xdr:row>190</xdr:row>
                    <xdr:rowOff>180975</xdr:rowOff>
                  </from>
                  <to>
                    <xdr:col>15</xdr:col>
                    <xdr:colOff>371475</xdr:colOff>
                    <xdr:row>192</xdr:row>
                    <xdr:rowOff>38100</xdr:rowOff>
                  </to>
                </anchor>
              </controlPr>
            </control>
          </mc:Choice>
        </mc:AlternateContent>
        <mc:AlternateContent xmlns:mc="http://schemas.openxmlformats.org/markup-compatibility/2006">
          <mc:Choice Requires="x14">
            <control shapeId="200728" r:id="rId27" name="Option Button 24">
              <controlPr defaultSize="0" autoFill="0" autoLine="0" autoPict="0">
                <anchor moveWithCells="1">
                  <from>
                    <xdr:col>15</xdr:col>
                    <xdr:colOff>0</xdr:colOff>
                    <xdr:row>191</xdr:row>
                    <xdr:rowOff>171450</xdr:rowOff>
                  </from>
                  <to>
                    <xdr:col>15</xdr:col>
                    <xdr:colOff>371475</xdr:colOff>
                    <xdr:row>193</xdr:row>
                    <xdr:rowOff>38100</xdr:rowOff>
                  </to>
                </anchor>
              </controlPr>
            </control>
          </mc:Choice>
        </mc:AlternateContent>
        <mc:AlternateContent xmlns:mc="http://schemas.openxmlformats.org/markup-compatibility/2006">
          <mc:Choice Requires="x14">
            <control shapeId="200729" r:id="rId28" name="Button 25">
              <controlPr defaultSize="0" print="0" autoFill="0" autoPict="0" macro="[0]!SaveDashboard">
                <anchor moveWithCells="1" sizeWithCells="1">
                  <from>
                    <xdr:col>13</xdr:col>
                    <xdr:colOff>342900</xdr:colOff>
                    <xdr:row>6</xdr:row>
                    <xdr:rowOff>76200</xdr:rowOff>
                  </from>
                  <to>
                    <xdr:col>15</xdr:col>
                    <xdr:colOff>723900</xdr:colOff>
                    <xdr:row>8</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4.9989318521683403E-2"/>
    <pageSetUpPr fitToPage="1"/>
  </sheetPr>
  <dimension ref="A2:AI481"/>
  <sheetViews>
    <sheetView zoomScale="70" zoomScaleNormal="70" workbookViewId="0">
      <selection activeCell="O59" sqref="O59"/>
    </sheetView>
  </sheetViews>
  <sheetFormatPr defaultRowHeight="15" x14ac:dyDescent="0.25"/>
  <cols>
    <col min="1" max="1" width="7.5703125" style="4076" customWidth="1"/>
    <col min="2" max="2" width="9.42578125" style="4076" customWidth="1"/>
    <col min="3" max="3" width="50.42578125" style="4076" customWidth="1"/>
    <col min="4" max="4" width="14.28515625" style="4076" customWidth="1"/>
    <col min="5" max="5" width="14" style="4076" customWidth="1"/>
    <col min="6" max="6" width="16.28515625" style="4076" customWidth="1"/>
    <col min="7" max="7" width="14.5703125" style="4076" customWidth="1"/>
    <col min="8" max="8" width="12.42578125" style="4076" customWidth="1"/>
    <col min="9" max="11" width="14.5703125" style="4076" customWidth="1"/>
    <col min="12" max="12" width="13.140625" style="4076" customWidth="1"/>
    <col min="13" max="13" width="11.140625" style="4076" customWidth="1"/>
    <col min="14" max="45" width="14.5703125" style="4076" customWidth="1"/>
    <col min="46" max="16384" width="9.140625" style="4076"/>
  </cols>
  <sheetData>
    <row r="2" spans="1:35" x14ac:dyDescent="0.25">
      <c r="A2" s="4751" t="s">
        <v>65</v>
      </c>
      <c r="B2" s="4751" t="s">
        <v>88</v>
      </c>
      <c r="C2" s="4752"/>
    </row>
    <row r="3" spans="1:35" x14ac:dyDescent="0.25">
      <c r="B3" s="4753" t="s">
        <v>3</v>
      </c>
      <c r="C3" s="4753" t="s">
        <v>4</v>
      </c>
      <c r="D3" s="4753" t="s">
        <v>33</v>
      </c>
      <c r="E3" s="4753">
        <v>2001</v>
      </c>
      <c r="F3" s="4753">
        <f>E3+1</f>
        <v>2002</v>
      </c>
      <c r="G3" s="4753">
        <f t="shared" ref="G3:AI3" si="0">F3+1</f>
        <v>2003</v>
      </c>
      <c r="H3" s="4753">
        <f t="shared" si="0"/>
        <v>2004</v>
      </c>
      <c r="I3" s="4753">
        <f t="shared" si="0"/>
        <v>2005</v>
      </c>
      <c r="J3" s="4753">
        <f t="shared" si="0"/>
        <v>2006</v>
      </c>
      <c r="K3" s="4753">
        <f t="shared" si="0"/>
        <v>2007</v>
      </c>
      <c r="L3" s="4753">
        <f t="shared" si="0"/>
        <v>2008</v>
      </c>
      <c r="M3" s="4753">
        <f t="shared" si="0"/>
        <v>2009</v>
      </c>
      <c r="N3" s="4753">
        <f t="shared" si="0"/>
        <v>2010</v>
      </c>
      <c r="O3" s="4753">
        <f>N3+1</f>
        <v>2011</v>
      </c>
      <c r="P3" s="4753">
        <f t="shared" si="0"/>
        <v>2012</v>
      </c>
      <c r="Q3" s="4753">
        <f t="shared" si="0"/>
        <v>2013</v>
      </c>
      <c r="R3" s="4753">
        <f t="shared" si="0"/>
        <v>2014</v>
      </c>
      <c r="S3" s="4753">
        <f t="shared" si="0"/>
        <v>2015</v>
      </c>
      <c r="T3" s="4753">
        <f t="shared" si="0"/>
        <v>2016</v>
      </c>
      <c r="U3" s="4753">
        <f t="shared" si="0"/>
        <v>2017</v>
      </c>
      <c r="V3" s="4753">
        <f t="shared" si="0"/>
        <v>2018</v>
      </c>
      <c r="W3" s="4753">
        <f t="shared" si="0"/>
        <v>2019</v>
      </c>
      <c r="X3" s="4753">
        <f t="shared" si="0"/>
        <v>2020</v>
      </c>
      <c r="Y3" s="4753">
        <f t="shared" si="0"/>
        <v>2021</v>
      </c>
      <c r="Z3" s="4753">
        <f t="shared" si="0"/>
        <v>2022</v>
      </c>
      <c r="AA3" s="4753">
        <f t="shared" si="0"/>
        <v>2023</v>
      </c>
      <c r="AB3" s="4753">
        <f t="shared" si="0"/>
        <v>2024</v>
      </c>
      <c r="AC3" s="4753">
        <f t="shared" si="0"/>
        <v>2025</v>
      </c>
      <c r="AD3" s="4753">
        <f t="shared" si="0"/>
        <v>2026</v>
      </c>
      <c r="AE3" s="4753">
        <f t="shared" si="0"/>
        <v>2027</v>
      </c>
      <c r="AF3" s="4753">
        <f t="shared" si="0"/>
        <v>2028</v>
      </c>
      <c r="AG3" s="4753">
        <f t="shared" si="0"/>
        <v>2029</v>
      </c>
      <c r="AH3" s="4753">
        <f t="shared" si="0"/>
        <v>2030</v>
      </c>
      <c r="AI3" s="4753">
        <f t="shared" si="0"/>
        <v>2031</v>
      </c>
    </row>
    <row r="4" spans="1:35" x14ac:dyDescent="0.25">
      <c r="B4" s="4754">
        <v>1</v>
      </c>
      <c r="C4" s="4755" t="s">
        <v>89</v>
      </c>
      <c r="D4" s="4754" t="s">
        <v>77</v>
      </c>
      <c r="E4" s="4756"/>
      <c r="F4" s="4757">
        <f>IFERROR('WSS Profile'!$G$25/10,0)</f>
        <v>0</v>
      </c>
      <c r="G4" s="4757">
        <f>IFERROR('WSS Profile'!$G$25/10,0)</f>
        <v>0</v>
      </c>
      <c r="H4" s="4757">
        <f>IFERROR('WSS Profile'!$G$25/10,0)</f>
        <v>0</v>
      </c>
      <c r="I4" s="4757">
        <f>IFERROR('WSS Profile'!$G$25/10,0)</f>
        <v>0</v>
      </c>
      <c r="J4" s="4757">
        <f>IFERROR('WSS Profile'!$G$25/10,0)</f>
        <v>0</v>
      </c>
      <c r="K4" s="4757">
        <f>IFERROR('WSS Profile'!$G$25/10,0)</f>
        <v>0</v>
      </c>
      <c r="L4" s="4757">
        <f>IFERROR('WSS Profile'!$G$25/10,0)</f>
        <v>0</v>
      </c>
      <c r="M4" s="4757">
        <f>IFERROR('WSS Profile'!$G$25/10,0)</f>
        <v>0</v>
      </c>
      <c r="N4" s="4757">
        <f>IFERROR('WSS Profile'!$G$25/10,0)</f>
        <v>0</v>
      </c>
      <c r="O4" s="4756">
        <f>IFERROR('WSS Profile'!$G$25/10,0)</f>
        <v>0</v>
      </c>
      <c r="P4" s="4757">
        <f>IFERROR('WSS Profile'!$G$26/10,0)</f>
        <v>0</v>
      </c>
      <c r="Q4" s="4757">
        <f>IFERROR('WSS Profile'!$G$26/10,0)</f>
        <v>0</v>
      </c>
      <c r="R4" s="4757">
        <f>IFERROR('WSS Profile'!$G$26/10,0)</f>
        <v>0</v>
      </c>
      <c r="S4" s="4757">
        <f>IFERROR('WSS Profile'!$G$26/10,0)</f>
        <v>0</v>
      </c>
      <c r="T4" s="4757">
        <f>IFERROR('WSS Profile'!$G$26/10,0)</f>
        <v>0</v>
      </c>
      <c r="U4" s="4757">
        <f>IFERROR('WSS Profile'!$G$26/10,0)</f>
        <v>0</v>
      </c>
      <c r="V4" s="4757">
        <f>IFERROR('WSS Profile'!$G$26/10,0)</f>
        <v>0</v>
      </c>
      <c r="W4" s="4757">
        <f>IFERROR('WSS Profile'!$G$26/10,0)</f>
        <v>0</v>
      </c>
      <c r="X4" s="4757">
        <f>IFERROR('WSS Profile'!$G$26/10,0)</f>
        <v>0</v>
      </c>
      <c r="Y4" s="4756">
        <f>IFERROR('WSS Profile'!$G$26/10,0)</f>
        <v>0</v>
      </c>
      <c r="Z4" s="4757">
        <f>IFERROR('WSS Profile'!$G$26/10,0)</f>
        <v>0</v>
      </c>
      <c r="AA4" s="4757">
        <f>IFERROR('WSS Profile'!$G$26/10,0)</f>
        <v>0</v>
      </c>
      <c r="AB4" s="4757">
        <f>IFERROR('WSS Profile'!$G$26/10,0)</f>
        <v>0</v>
      </c>
      <c r="AC4" s="4757">
        <f>IFERROR('WSS Profile'!$G$26/10,0)</f>
        <v>0</v>
      </c>
      <c r="AD4" s="4757">
        <f>IFERROR('WSS Profile'!$G$26/10,0)</f>
        <v>0</v>
      </c>
      <c r="AE4" s="4757">
        <f>IFERROR('WSS Profile'!$G$26/10,0)</f>
        <v>0</v>
      </c>
      <c r="AF4" s="4757">
        <f>IFERROR('WSS Profile'!$G$26/10,0)</f>
        <v>0</v>
      </c>
      <c r="AG4" s="4757">
        <f>IFERROR('WSS Profile'!$G$26/10,0)</f>
        <v>0</v>
      </c>
      <c r="AH4" s="4757">
        <f>IFERROR('WSS Profile'!$G$26/10,0)</f>
        <v>0</v>
      </c>
      <c r="AI4" s="4756">
        <f>IFERROR('WSS Profile'!$G$26/10,0)</f>
        <v>0</v>
      </c>
    </row>
    <row r="5" spans="1:35" x14ac:dyDescent="0.25">
      <c r="B5" s="4754">
        <v>2</v>
      </c>
      <c r="C5" s="4755" t="s">
        <v>5</v>
      </c>
      <c r="D5" s="4754" t="s">
        <v>77</v>
      </c>
      <c r="E5" s="4758">
        <f>'WSS Profile'!$F$18</f>
        <v>0</v>
      </c>
      <c r="F5" s="4759">
        <f>IFERROR(($O$5-$E$5)/10,0)+E5</f>
        <v>0</v>
      </c>
      <c r="G5" s="4759">
        <f>IFERROR(($O$5-$E$5)/10,0)+F5</f>
        <v>0</v>
      </c>
      <c r="H5" s="4759">
        <f t="shared" ref="H5:N5" si="1">IFERROR(($O$5-$E$5)/10,0)+G5</f>
        <v>0</v>
      </c>
      <c r="I5" s="4759">
        <f t="shared" si="1"/>
        <v>0</v>
      </c>
      <c r="J5" s="4759">
        <f t="shared" si="1"/>
        <v>0</v>
      </c>
      <c r="K5" s="4759">
        <f t="shared" si="1"/>
        <v>0</v>
      </c>
      <c r="L5" s="4759">
        <f t="shared" si="1"/>
        <v>0</v>
      </c>
      <c r="M5" s="4759">
        <f t="shared" si="1"/>
        <v>0</v>
      </c>
      <c r="N5" s="4759">
        <f t="shared" si="1"/>
        <v>0</v>
      </c>
      <c r="O5" s="4758">
        <f>'WSS Profile'!$G$18</f>
        <v>0</v>
      </c>
      <c r="P5" s="4759">
        <f>IFERROR(($Y$5-$O$5)/10,0)+O5</f>
        <v>0</v>
      </c>
      <c r="Q5" s="4759">
        <f t="shared" ref="Q5:X5" si="2">IFERROR(($Y$5-$O$5)/10,0)+P5</f>
        <v>0</v>
      </c>
      <c r="R5" s="4759">
        <f t="shared" si="2"/>
        <v>0</v>
      </c>
      <c r="S5" s="4759">
        <f t="shared" si="2"/>
        <v>0</v>
      </c>
      <c r="T5" s="4759">
        <f t="shared" si="2"/>
        <v>0</v>
      </c>
      <c r="U5" s="4759">
        <f t="shared" si="2"/>
        <v>0</v>
      </c>
      <c r="V5" s="4759">
        <f t="shared" si="2"/>
        <v>0</v>
      </c>
      <c r="W5" s="4759">
        <f t="shared" si="2"/>
        <v>0</v>
      </c>
      <c r="X5" s="4759">
        <f t="shared" si="2"/>
        <v>0</v>
      </c>
      <c r="Y5" s="4758">
        <f>O5*(1+'WSS Profile'!$G$26)</f>
        <v>0</v>
      </c>
      <c r="Z5" s="4759">
        <f>IFERROR(($AI$5-$Y$5)/10,0)+Y5</f>
        <v>0</v>
      </c>
      <c r="AA5" s="4759">
        <f t="shared" ref="AA5:AH5" si="3">IFERROR(($AI$5-$Y$5)/10,0)+Z5</f>
        <v>0</v>
      </c>
      <c r="AB5" s="4759">
        <f t="shared" si="3"/>
        <v>0</v>
      </c>
      <c r="AC5" s="4759">
        <f t="shared" si="3"/>
        <v>0</v>
      </c>
      <c r="AD5" s="4759">
        <f t="shared" si="3"/>
        <v>0</v>
      </c>
      <c r="AE5" s="4759">
        <f t="shared" si="3"/>
        <v>0</v>
      </c>
      <c r="AF5" s="4759">
        <f t="shared" si="3"/>
        <v>0</v>
      </c>
      <c r="AG5" s="4759">
        <f t="shared" si="3"/>
        <v>0</v>
      </c>
      <c r="AH5" s="4759">
        <f t="shared" si="3"/>
        <v>0</v>
      </c>
      <c r="AI5" s="4758">
        <f>Y5*(1+'WSS Profile'!$G$26)</f>
        <v>0</v>
      </c>
    </row>
    <row r="6" spans="1:35" x14ac:dyDescent="0.25">
      <c r="B6" s="4754">
        <v>3</v>
      </c>
      <c r="C6" s="4755" t="s">
        <v>90</v>
      </c>
      <c r="D6" s="4754" t="s">
        <v>77</v>
      </c>
      <c r="E6" s="4758">
        <f>E5-E7</f>
        <v>0</v>
      </c>
      <c r="F6" s="4759">
        <f>IFERROR(($O$6-$E$6)/10,0)+E6</f>
        <v>0</v>
      </c>
      <c r="G6" s="4759">
        <f t="shared" ref="G6:N6" si="4">IFERROR(($O$6-$E$6)/10,0)+F6</f>
        <v>0</v>
      </c>
      <c r="H6" s="4759">
        <f t="shared" si="4"/>
        <v>0</v>
      </c>
      <c r="I6" s="4759">
        <f t="shared" si="4"/>
        <v>0</v>
      </c>
      <c r="J6" s="4759">
        <f t="shared" si="4"/>
        <v>0</v>
      </c>
      <c r="K6" s="4759">
        <f t="shared" si="4"/>
        <v>0</v>
      </c>
      <c r="L6" s="4759">
        <f t="shared" si="4"/>
        <v>0</v>
      </c>
      <c r="M6" s="4759">
        <f t="shared" si="4"/>
        <v>0</v>
      </c>
      <c r="N6" s="4759">
        <f t="shared" si="4"/>
        <v>0</v>
      </c>
      <c r="O6" s="4758">
        <f>O5-O7</f>
        <v>0</v>
      </c>
      <c r="P6" s="4759">
        <f>IFERROR(($Y$6-$O$6)/10,0)+O6</f>
        <v>0</v>
      </c>
      <c r="Q6" s="4759">
        <f t="shared" ref="Q6:X6" si="5">IFERROR(($Y$6-$O$6)/10,0)+P6</f>
        <v>0</v>
      </c>
      <c r="R6" s="4759">
        <f t="shared" si="5"/>
        <v>0</v>
      </c>
      <c r="S6" s="4759">
        <f t="shared" si="5"/>
        <v>0</v>
      </c>
      <c r="T6" s="4759">
        <f t="shared" si="5"/>
        <v>0</v>
      </c>
      <c r="U6" s="4759">
        <f t="shared" si="5"/>
        <v>0</v>
      </c>
      <c r="V6" s="4759">
        <f t="shared" si="5"/>
        <v>0</v>
      </c>
      <c r="W6" s="4759">
        <f t="shared" si="5"/>
        <v>0</v>
      </c>
      <c r="X6" s="4759">
        <f t="shared" si="5"/>
        <v>0</v>
      </c>
      <c r="Y6" s="4758">
        <f>O6*(1+'WSS Profile'!$G$26)</f>
        <v>0</v>
      </c>
      <c r="Z6" s="4759">
        <f>IFERROR(($AI$6-$Y$6)/10,0)+Y6</f>
        <v>0</v>
      </c>
      <c r="AA6" s="4759">
        <f t="shared" ref="AA6:AH6" si="6">IFERROR(($AI$6-$Y$6)/10,0)+Z6</f>
        <v>0</v>
      </c>
      <c r="AB6" s="4759">
        <f t="shared" si="6"/>
        <v>0</v>
      </c>
      <c r="AC6" s="4759">
        <f t="shared" si="6"/>
        <v>0</v>
      </c>
      <c r="AD6" s="4759">
        <f t="shared" si="6"/>
        <v>0</v>
      </c>
      <c r="AE6" s="4759">
        <f t="shared" si="6"/>
        <v>0</v>
      </c>
      <c r="AF6" s="4759">
        <f t="shared" si="6"/>
        <v>0</v>
      </c>
      <c r="AG6" s="4759">
        <f t="shared" si="6"/>
        <v>0</v>
      </c>
      <c r="AH6" s="4759">
        <f t="shared" si="6"/>
        <v>0</v>
      </c>
      <c r="AI6" s="4758">
        <f>Y6*(1+'WSS Profile'!$G$26)</f>
        <v>0</v>
      </c>
    </row>
    <row r="7" spans="1:35" x14ac:dyDescent="0.25">
      <c r="B7" s="4754">
        <v>4</v>
      </c>
      <c r="C7" s="4755" t="s">
        <v>27</v>
      </c>
      <c r="D7" s="4754" t="s">
        <v>77</v>
      </c>
      <c r="E7" s="4758">
        <f>'WSS Profile'!$F$19</f>
        <v>0</v>
      </c>
      <c r="F7" s="4759">
        <f>IFERROR(($O$7-$E$7)/10,0)+E7</f>
        <v>0</v>
      </c>
      <c r="G7" s="4759">
        <f t="shared" ref="G7:N7" si="7">IFERROR(($O$7-$E$7)/10,0)+F7</f>
        <v>0</v>
      </c>
      <c r="H7" s="4759">
        <f t="shared" si="7"/>
        <v>0</v>
      </c>
      <c r="I7" s="4759">
        <f t="shared" si="7"/>
        <v>0</v>
      </c>
      <c r="J7" s="4759">
        <f t="shared" si="7"/>
        <v>0</v>
      </c>
      <c r="K7" s="4759">
        <f t="shared" si="7"/>
        <v>0</v>
      </c>
      <c r="L7" s="4759">
        <f t="shared" si="7"/>
        <v>0</v>
      </c>
      <c r="M7" s="4759">
        <f t="shared" si="7"/>
        <v>0</v>
      </c>
      <c r="N7" s="4759">
        <f t="shared" si="7"/>
        <v>0</v>
      </c>
      <c r="O7" s="4758">
        <f>'WSS Profile'!$G$19</f>
        <v>0</v>
      </c>
      <c r="P7" s="4759">
        <f>IFERROR(($Y$7-$O$7)/10,0)+O7</f>
        <v>0</v>
      </c>
      <c r="Q7" s="4759">
        <f t="shared" ref="Q7:X7" si="8">IFERROR(($Y$7-$O$7)/10,0)+P7</f>
        <v>0</v>
      </c>
      <c r="R7" s="4759">
        <f t="shared" si="8"/>
        <v>0</v>
      </c>
      <c r="S7" s="4759">
        <f t="shared" si="8"/>
        <v>0</v>
      </c>
      <c r="T7" s="4759">
        <f t="shared" si="8"/>
        <v>0</v>
      </c>
      <c r="U7" s="4759">
        <f t="shared" si="8"/>
        <v>0</v>
      </c>
      <c r="V7" s="4759">
        <f t="shared" si="8"/>
        <v>0</v>
      </c>
      <c r="W7" s="4759">
        <f t="shared" si="8"/>
        <v>0</v>
      </c>
      <c r="X7" s="4759">
        <f t="shared" si="8"/>
        <v>0</v>
      </c>
      <c r="Y7" s="4758">
        <f>O7*(1+'WSS Profile'!$G$26)</f>
        <v>0</v>
      </c>
      <c r="Z7" s="4759">
        <f>IFERROR(($AI$7-$Y$7)/10,0)+Y7</f>
        <v>0</v>
      </c>
      <c r="AA7" s="4759">
        <f t="shared" ref="AA7:AH7" si="9">IFERROR(($AI$7-$Y$7)/10,0)+Z7</f>
        <v>0</v>
      </c>
      <c r="AB7" s="4759">
        <f t="shared" si="9"/>
        <v>0</v>
      </c>
      <c r="AC7" s="4759">
        <f t="shared" si="9"/>
        <v>0</v>
      </c>
      <c r="AD7" s="4759">
        <f t="shared" si="9"/>
        <v>0</v>
      </c>
      <c r="AE7" s="4759">
        <f t="shared" si="9"/>
        <v>0</v>
      </c>
      <c r="AF7" s="4759">
        <f t="shared" si="9"/>
        <v>0</v>
      </c>
      <c r="AG7" s="4759">
        <f t="shared" si="9"/>
        <v>0</v>
      </c>
      <c r="AH7" s="4759">
        <f t="shared" si="9"/>
        <v>0</v>
      </c>
      <c r="AI7" s="4758">
        <f>Y7*(1+'WSS Profile'!$G$26)</f>
        <v>0</v>
      </c>
    </row>
    <row r="8" spans="1:35" x14ac:dyDescent="0.25">
      <c r="E8" s="4760"/>
      <c r="F8" s="4761"/>
      <c r="G8" s="4761"/>
      <c r="H8" s="4761"/>
      <c r="I8" s="4761"/>
      <c r="J8" s="4761"/>
      <c r="K8" s="4761"/>
      <c r="L8" s="4761"/>
      <c r="M8" s="4761"/>
      <c r="N8" s="4761"/>
      <c r="O8" s="4761"/>
      <c r="P8" s="4761"/>
      <c r="Q8" s="4761"/>
      <c r="R8" s="4761"/>
      <c r="S8" s="4761"/>
      <c r="T8" s="4761"/>
      <c r="U8" s="4761"/>
      <c r="V8" s="4761"/>
      <c r="W8" s="4761"/>
    </row>
    <row r="9" spans="1:35" x14ac:dyDescent="0.25">
      <c r="A9" s="4751" t="s">
        <v>8</v>
      </c>
      <c r="B9" s="4751" t="s">
        <v>91</v>
      </c>
      <c r="C9" s="4752"/>
      <c r="F9" s="4760"/>
      <c r="G9" s="4760"/>
      <c r="H9" s="4760"/>
      <c r="I9" s="4760"/>
      <c r="J9" s="4760"/>
      <c r="K9" s="4760"/>
      <c r="L9" s="4760"/>
      <c r="M9" s="4760"/>
      <c r="N9" s="4760"/>
      <c r="O9" s="4760"/>
    </row>
    <row r="10" spans="1:35" x14ac:dyDescent="0.25">
      <c r="B10" s="4753" t="s">
        <v>3</v>
      </c>
      <c r="C10" s="4753" t="s">
        <v>4</v>
      </c>
      <c r="D10" s="4753" t="s">
        <v>33</v>
      </c>
      <c r="E10" s="4753">
        <v>2001</v>
      </c>
      <c r="F10" s="4753">
        <f>E10+1</f>
        <v>2002</v>
      </c>
      <c r="G10" s="4753">
        <f t="shared" ref="G10:AI10" si="10">F10+1</f>
        <v>2003</v>
      </c>
      <c r="H10" s="4753">
        <f t="shared" si="10"/>
        <v>2004</v>
      </c>
      <c r="I10" s="4753">
        <f t="shared" si="10"/>
        <v>2005</v>
      </c>
      <c r="J10" s="4753">
        <f t="shared" si="10"/>
        <v>2006</v>
      </c>
      <c r="K10" s="4753">
        <f t="shared" si="10"/>
        <v>2007</v>
      </c>
      <c r="L10" s="4753">
        <f t="shared" si="10"/>
        <v>2008</v>
      </c>
      <c r="M10" s="4753">
        <f t="shared" si="10"/>
        <v>2009</v>
      </c>
      <c r="N10" s="4753">
        <f t="shared" si="10"/>
        <v>2010</v>
      </c>
      <c r="O10" s="4753">
        <f>N10+1</f>
        <v>2011</v>
      </c>
      <c r="P10" s="4753">
        <f t="shared" si="10"/>
        <v>2012</v>
      </c>
      <c r="Q10" s="4753">
        <f t="shared" si="10"/>
        <v>2013</v>
      </c>
      <c r="R10" s="4753">
        <f t="shared" si="10"/>
        <v>2014</v>
      </c>
      <c r="S10" s="4753">
        <f t="shared" si="10"/>
        <v>2015</v>
      </c>
      <c r="T10" s="4753">
        <f t="shared" si="10"/>
        <v>2016</v>
      </c>
      <c r="U10" s="4753">
        <f t="shared" si="10"/>
        <v>2017</v>
      </c>
      <c r="V10" s="4753">
        <f t="shared" si="10"/>
        <v>2018</v>
      </c>
      <c r="W10" s="4753">
        <f t="shared" si="10"/>
        <v>2019</v>
      </c>
      <c r="X10" s="4753">
        <f t="shared" si="10"/>
        <v>2020</v>
      </c>
      <c r="Y10" s="4753">
        <f t="shared" si="10"/>
        <v>2021</v>
      </c>
      <c r="Z10" s="4753">
        <f t="shared" si="10"/>
        <v>2022</v>
      </c>
      <c r="AA10" s="4753">
        <f t="shared" si="10"/>
        <v>2023</v>
      </c>
      <c r="AB10" s="4753">
        <f t="shared" si="10"/>
        <v>2024</v>
      </c>
      <c r="AC10" s="4753">
        <f t="shared" si="10"/>
        <v>2025</v>
      </c>
      <c r="AD10" s="4753">
        <f t="shared" si="10"/>
        <v>2026</v>
      </c>
      <c r="AE10" s="4753">
        <f t="shared" si="10"/>
        <v>2027</v>
      </c>
      <c r="AF10" s="4753">
        <f t="shared" si="10"/>
        <v>2028</v>
      </c>
      <c r="AG10" s="4753">
        <f t="shared" si="10"/>
        <v>2029</v>
      </c>
      <c r="AH10" s="4753">
        <f t="shared" si="10"/>
        <v>2030</v>
      </c>
      <c r="AI10" s="4753">
        <f t="shared" si="10"/>
        <v>2031</v>
      </c>
    </row>
    <row r="11" spans="1:35" x14ac:dyDescent="0.25">
      <c r="B11" s="4754">
        <v>1</v>
      </c>
      <c r="C11" s="4755" t="s">
        <v>90</v>
      </c>
      <c r="D11" s="4754" t="s">
        <v>92</v>
      </c>
      <c r="E11" s="4762">
        <f>E13-E12</f>
        <v>0</v>
      </c>
      <c r="F11" s="4759">
        <f>IFERROR(($O$11-$E$11)/10,0)+E11</f>
        <v>0</v>
      </c>
      <c r="G11" s="4759">
        <f t="shared" ref="G11:N11" si="11">IFERROR(($O$11-$E$11)/10,0)+F11</f>
        <v>0</v>
      </c>
      <c r="H11" s="4759">
        <f t="shared" si="11"/>
        <v>0</v>
      </c>
      <c r="I11" s="4759">
        <f t="shared" si="11"/>
        <v>0</v>
      </c>
      <c r="J11" s="4759">
        <f t="shared" si="11"/>
        <v>0</v>
      </c>
      <c r="K11" s="4759">
        <f t="shared" si="11"/>
        <v>0</v>
      </c>
      <c r="L11" s="4759">
        <f t="shared" si="11"/>
        <v>0</v>
      </c>
      <c r="M11" s="4759">
        <f t="shared" si="11"/>
        <v>0</v>
      </c>
      <c r="N11" s="4759">
        <f t="shared" si="11"/>
        <v>0</v>
      </c>
      <c r="O11" s="4762">
        <f>O13-O12</f>
        <v>0</v>
      </c>
      <c r="P11" s="4293">
        <f>IFERROR(P$6*O11/O$6,0)</f>
        <v>0</v>
      </c>
      <c r="Q11" s="4293">
        <f t="shared" ref="Q11:AI11" si="12">IFERROR(Q$6*P11/P$6,0)</f>
        <v>0</v>
      </c>
      <c r="R11" s="4293">
        <f t="shared" si="12"/>
        <v>0</v>
      </c>
      <c r="S11" s="4293">
        <f t="shared" si="12"/>
        <v>0</v>
      </c>
      <c r="T11" s="4293">
        <f t="shared" si="12"/>
        <v>0</v>
      </c>
      <c r="U11" s="4293">
        <f t="shared" si="12"/>
        <v>0</v>
      </c>
      <c r="V11" s="4293">
        <f t="shared" si="12"/>
        <v>0</v>
      </c>
      <c r="W11" s="4293">
        <f t="shared" si="12"/>
        <v>0</v>
      </c>
      <c r="X11" s="4293">
        <f t="shared" si="12"/>
        <v>0</v>
      </c>
      <c r="Y11" s="4762">
        <f t="shared" si="12"/>
        <v>0</v>
      </c>
      <c r="Z11" s="4293">
        <f t="shared" si="12"/>
        <v>0</v>
      </c>
      <c r="AA11" s="4293">
        <f t="shared" si="12"/>
        <v>0</v>
      </c>
      <c r="AB11" s="4293">
        <f t="shared" si="12"/>
        <v>0</v>
      </c>
      <c r="AC11" s="4293">
        <f t="shared" si="12"/>
        <v>0</v>
      </c>
      <c r="AD11" s="4293">
        <f t="shared" si="12"/>
        <v>0</v>
      </c>
      <c r="AE11" s="4293">
        <f t="shared" si="12"/>
        <v>0</v>
      </c>
      <c r="AF11" s="4293">
        <f t="shared" si="12"/>
        <v>0</v>
      </c>
      <c r="AG11" s="4293">
        <f t="shared" si="12"/>
        <v>0</v>
      </c>
      <c r="AH11" s="4293">
        <f t="shared" si="12"/>
        <v>0</v>
      </c>
      <c r="AI11" s="4762">
        <f t="shared" si="12"/>
        <v>0</v>
      </c>
    </row>
    <row r="12" spans="1:35" x14ac:dyDescent="0.25">
      <c r="B12" s="4754">
        <v>2</v>
      </c>
      <c r="C12" s="4755" t="s">
        <v>27</v>
      </c>
      <c r="D12" s="4754" t="s">
        <v>92</v>
      </c>
      <c r="E12" s="4762">
        <f>'WSS Profile'!$F$21</f>
        <v>0</v>
      </c>
      <c r="F12" s="4759">
        <f>IFERROR(($O$12-$E$12)/10,0)+E12</f>
        <v>0</v>
      </c>
      <c r="G12" s="4759">
        <f t="shared" ref="G12:N12" si="13">IFERROR(($O$12-$E$12)/10,0)+F12</f>
        <v>0</v>
      </c>
      <c r="H12" s="4759">
        <f t="shared" si="13"/>
        <v>0</v>
      </c>
      <c r="I12" s="4759">
        <f t="shared" si="13"/>
        <v>0</v>
      </c>
      <c r="J12" s="4759">
        <f t="shared" si="13"/>
        <v>0</v>
      </c>
      <c r="K12" s="4759">
        <f t="shared" si="13"/>
        <v>0</v>
      </c>
      <c r="L12" s="4759">
        <f t="shared" si="13"/>
        <v>0</v>
      </c>
      <c r="M12" s="4759">
        <f t="shared" si="13"/>
        <v>0</v>
      </c>
      <c r="N12" s="4759">
        <f t="shared" si="13"/>
        <v>0</v>
      </c>
      <c r="O12" s="4762">
        <f>'WSS Profile'!$G$21</f>
        <v>0</v>
      </c>
      <c r="P12" s="4293">
        <f>IFERROR(P$7*O12/O$7,0)</f>
        <v>0</v>
      </c>
      <c r="Q12" s="4293">
        <f t="shared" ref="Q12:AI12" si="14">IFERROR(Q$7*P12/P$7,0)</f>
        <v>0</v>
      </c>
      <c r="R12" s="4293">
        <f t="shared" si="14"/>
        <v>0</v>
      </c>
      <c r="S12" s="4293">
        <f t="shared" si="14"/>
        <v>0</v>
      </c>
      <c r="T12" s="4293">
        <f t="shared" si="14"/>
        <v>0</v>
      </c>
      <c r="U12" s="4293">
        <f t="shared" si="14"/>
        <v>0</v>
      </c>
      <c r="V12" s="4293">
        <f t="shared" si="14"/>
        <v>0</v>
      </c>
      <c r="W12" s="4293">
        <f t="shared" si="14"/>
        <v>0</v>
      </c>
      <c r="X12" s="4293">
        <f t="shared" si="14"/>
        <v>0</v>
      </c>
      <c r="Y12" s="4762">
        <f t="shared" si="14"/>
        <v>0</v>
      </c>
      <c r="Z12" s="4293">
        <f t="shared" si="14"/>
        <v>0</v>
      </c>
      <c r="AA12" s="4293">
        <f t="shared" si="14"/>
        <v>0</v>
      </c>
      <c r="AB12" s="4293">
        <f t="shared" si="14"/>
        <v>0</v>
      </c>
      <c r="AC12" s="4293">
        <f t="shared" si="14"/>
        <v>0</v>
      </c>
      <c r="AD12" s="4293">
        <f t="shared" si="14"/>
        <v>0</v>
      </c>
      <c r="AE12" s="4293">
        <f t="shared" si="14"/>
        <v>0</v>
      </c>
      <c r="AF12" s="4293">
        <f t="shared" si="14"/>
        <v>0</v>
      </c>
      <c r="AG12" s="4293">
        <f t="shared" si="14"/>
        <v>0</v>
      </c>
      <c r="AH12" s="4293">
        <f t="shared" si="14"/>
        <v>0</v>
      </c>
      <c r="AI12" s="4762">
        <f t="shared" si="14"/>
        <v>0</v>
      </c>
    </row>
    <row r="13" spans="1:35" x14ac:dyDescent="0.25">
      <c r="B13" s="4754">
        <v>3</v>
      </c>
      <c r="C13" s="4755" t="s">
        <v>16</v>
      </c>
      <c r="D13" s="4754" t="s">
        <v>92</v>
      </c>
      <c r="E13" s="4762">
        <f>'WSS Profile'!$F$20</f>
        <v>0</v>
      </c>
      <c r="F13" s="4759">
        <f>IFERROR(($O$13-$E$13)/10,0)+E13</f>
        <v>0</v>
      </c>
      <c r="G13" s="4759">
        <f t="shared" ref="G13:N13" si="15">IFERROR(($O$13-$E$13)/10,0)+F13</f>
        <v>0</v>
      </c>
      <c r="H13" s="4759">
        <f t="shared" si="15"/>
        <v>0</v>
      </c>
      <c r="I13" s="4759">
        <f t="shared" si="15"/>
        <v>0</v>
      </c>
      <c r="J13" s="4759">
        <f t="shared" si="15"/>
        <v>0</v>
      </c>
      <c r="K13" s="4759">
        <f t="shared" si="15"/>
        <v>0</v>
      </c>
      <c r="L13" s="4759">
        <f t="shared" si="15"/>
        <v>0</v>
      </c>
      <c r="M13" s="4759">
        <f t="shared" si="15"/>
        <v>0</v>
      </c>
      <c r="N13" s="4759">
        <f t="shared" si="15"/>
        <v>0</v>
      </c>
      <c r="O13" s="4762">
        <f>'WSS Profile'!$G$20</f>
        <v>0</v>
      </c>
      <c r="P13" s="4293">
        <f t="shared" ref="P13:AI13" si="16">SUM(P11:P12)</f>
        <v>0</v>
      </c>
      <c r="Q13" s="4293">
        <f t="shared" si="16"/>
        <v>0</v>
      </c>
      <c r="R13" s="4293">
        <f t="shared" si="16"/>
        <v>0</v>
      </c>
      <c r="S13" s="4293">
        <f t="shared" si="16"/>
        <v>0</v>
      </c>
      <c r="T13" s="4293">
        <f t="shared" si="16"/>
        <v>0</v>
      </c>
      <c r="U13" s="4293">
        <f t="shared" si="16"/>
        <v>0</v>
      </c>
      <c r="V13" s="4293">
        <f t="shared" si="16"/>
        <v>0</v>
      </c>
      <c r="W13" s="4293">
        <f t="shared" si="16"/>
        <v>0</v>
      </c>
      <c r="X13" s="4293">
        <f t="shared" si="16"/>
        <v>0</v>
      </c>
      <c r="Y13" s="4762">
        <f t="shared" si="16"/>
        <v>0</v>
      </c>
      <c r="Z13" s="4293">
        <f t="shared" si="16"/>
        <v>0</v>
      </c>
      <c r="AA13" s="4293">
        <f t="shared" si="16"/>
        <v>0</v>
      </c>
      <c r="AB13" s="4293">
        <f t="shared" si="16"/>
        <v>0</v>
      </c>
      <c r="AC13" s="4293">
        <f t="shared" si="16"/>
        <v>0</v>
      </c>
      <c r="AD13" s="4293">
        <f t="shared" si="16"/>
        <v>0</v>
      </c>
      <c r="AE13" s="4293">
        <f t="shared" si="16"/>
        <v>0</v>
      </c>
      <c r="AF13" s="4293">
        <f t="shared" si="16"/>
        <v>0</v>
      </c>
      <c r="AG13" s="4293">
        <f t="shared" si="16"/>
        <v>0</v>
      </c>
      <c r="AH13" s="4293">
        <f t="shared" si="16"/>
        <v>0</v>
      </c>
      <c r="AI13" s="4762">
        <f t="shared" si="16"/>
        <v>0</v>
      </c>
    </row>
    <row r="14" spans="1:35" x14ac:dyDescent="0.25">
      <c r="B14" s="4754">
        <v>4</v>
      </c>
      <c r="C14" s="4755" t="s">
        <v>93</v>
      </c>
      <c r="D14" s="4754" t="s">
        <v>94</v>
      </c>
      <c r="E14" s="4763">
        <f>IFERROR(E6/E11,0)</f>
        <v>0</v>
      </c>
      <c r="F14" s="4755">
        <f>IFERROR(F6/F11,0)</f>
        <v>0</v>
      </c>
      <c r="G14" s="4755">
        <f t="shared" ref="G14:AI14" si="17">IFERROR(G6/G11,0)</f>
        <v>0</v>
      </c>
      <c r="H14" s="4755">
        <f t="shared" si="17"/>
        <v>0</v>
      </c>
      <c r="I14" s="4755">
        <f t="shared" si="17"/>
        <v>0</v>
      </c>
      <c r="J14" s="4755">
        <f t="shared" si="17"/>
        <v>0</v>
      </c>
      <c r="K14" s="4755">
        <f t="shared" si="17"/>
        <v>0</v>
      </c>
      <c r="L14" s="4755">
        <f t="shared" si="17"/>
        <v>0</v>
      </c>
      <c r="M14" s="4755">
        <f t="shared" si="17"/>
        <v>0</v>
      </c>
      <c r="N14" s="4755">
        <f t="shared" si="17"/>
        <v>0</v>
      </c>
      <c r="O14" s="4763">
        <f t="shared" si="17"/>
        <v>0</v>
      </c>
      <c r="P14" s="4755">
        <f t="shared" si="17"/>
        <v>0</v>
      </c>
      <c r="Q14" s="4755">
        <f t="shared" si="17"/>
        <v>0</v>
      </c>
      <c r="R14" s="4755">
        <f t="shared" si="17"/>
        <v>0</v>
      </c>
      <c r="S14" s="4755">
        <f t="shared" si="17"/>
        <v>0</v>
      </c>
      <c r="T14" s="4755">
        <f t="shared" si="17"/>
        <v>0</v>
      </c>
      <c r="U14" s="4755">
        <f t="shared" si="17"/>
        <v>0</v>
      </c>
      <c r="V14" s="4755">
        <f t="shared" si="17"/>
        <v>0</v>
      </c>
      <c r="W14" s="4755">
        <f t="shared" si="17"/>
        <v>0</v>
      </c>
      <c r="X14" s="4755">
        <f t="shared" si="17"/>
        <v>0</v>
      </c>
      <c r="Y14" s="4763">
        <f t="shared" si="17"/>
        <v>0</v>
      </c>
      <c r="Z14" s="4755">
        <f t="shared" si="17"/>
        <v>0</v>
      </c>
      <c r="AA14" s="4755">
        <f t="shared" si="17"/>
        <v>0</v>
      </c>
      <c r="AB14" s="4755">
        <f t="shared" si="17"/>
        <v>0</v>
      </c>
      <c r="AC14" s="4755">
        <f t="shared" si="17"/>
        <v>0</v>
      </c>
      <c r="AD14" s="4755">
        <f t="shared" si="17"/>
        <v>0</v>
      </c>
      <c r="AE14" s="4755">
        <f t="shared" si="17"/>
        <v>0</v>
      </c>
      <c r="AF14" s="4755">
        <f t="shared" si="17"/>
        <v>0</v>
      </c>
      <c r="AG14" s="4755">
        <f t="shared" si="17"/>
        <v>0</v>
      </c>
      <c r="AH14" s="4755">
        <f t="shared" si="17"/>
        <v>0</v>
      </c>
      <c r="AI14" s="4763">
        <f t="shared" si="17"/>
        <v>0</v>
      </c>
    </row>
    <row r="15" spans="1:35" x14ac:dyDescent="0.25">
      <c r="B15" s="4754">
        <v>5</v>
      </c>
      <c r="C15" s="4755" t="s">
        <v>95</v>
      </c>
      <c r="D15" s="4754" t="s">
        <v>77</v>
      </c>
      <c r="E15" s="4763">
        <f>IFERROR(E7/E12,0)</f>
        <v>0</v>
      </c>
      <c r="F15" s="4755">
        <f>IFERROR(F7/F12,0)</f>
        <v>0</v>
      </c>
      <c r="G15" s="4755">
        <f t="shared" ref="G15:AI15" si="18">IFERROR(G7/G12,0)</f>
        <v>0</v>
      </c>
      <c r="H15" s="4755">
        <f t="shared" si="18"/>
        <v>0</v>
      </c>
      <c r="I15" s="4755">
        <f t="shared" si="18"/>
        <v>0</v>
      </c>
      <c r="J15" s="4755">
        <f t="shared" si="18"/>
        <v>0</v>
      </c>
      <c r="K15" s="4755">
        <f t="shared" si="18"/>
        <v>0</v>
      </c>
      <c r="L15" s="4755">
        <f t="shared" si="18"/>
        <v>0</v>
      </c>
      <c r="M15" s="4755">
        <f t="shared" si="18"/>
        <v>0</v>
      </c>
      <c r="N15" s="4755">
        <f t="shared" si="18"/>
        <v>0</v>
      </c>
      <c r="O15" s="4763">
        <f t="shared" si="18"/>
        <v>0</v>
      </c>
      <c r="P15" s="4755">
        <f t="shared" si="18"/>
        <v>0</v>
      </c>
      <c r="Q15" s="4755">
        <f t="shared" si="18"/>
        <v>0</v>
      </c>
      <c r="R15" s="4755">
        <f t="shared" si="18"/>
        <v>0</v>
      </c>
      <c r="S15" s="4755">
        <f t="shared" si="18"/>
        <v>0</v>
      </c>
      <c r="T15" s="4755">
        <f t="shared" si="18"/>
        <v>0</v>
      </c>
      <c r="U15" s="4755">
        <f t="shared" si="18"/>
        <v>0</v>
      </c>
      <c r="V15" s="4755">
        <f t="shared" si="18"/>
        <v>0</v>
      </c>
      <c r="W15" s="4755">
        <f t="shared" si="18"/>
        <v>0</v>
      </c>
      <c r="X15" s="4755">
        <f t="shared" si="18"/>
        <v>0</v>
      </c>
      <c r="Y15" s="4763">
        <f t="shared" si="18"/>
        <v>0</v>
      </c>
      <c r="Z15" s="4755">
        <f t="shared" si="18"/>
        <v>0</v>
      </c>
      <c r="AA15" s="4755">
        <f t="shared" si="18"/>
        <v>0</v>
      </c>
      <c r="AB15" s="4755">
        <f t="shared" si="18"/>
        <v>0</v>
      </c>
      <c r="AC15" s="4755">
        <f t="shared" si="18"/>
        <v>0</v>
      </c>
      <c r="AD15" s="4755">
        <f t="shared" si="18"/>
        <v>0</v>
      </c>
      <c r="AE15" s="4755">
        <f t="shared" si="18"/>
        <v>0</v>
      </c>
      <c r="AF15" s="4755">
        <f t="shared" si="18"/>
        <v>0</v>
      </c>
      <c r="AG15" s="4755">
        <f t="shared" si="18"/>
        <v>0</v>
      </c>
      <c r="AH15" s="4755">
        <f t="shared" si="18"/>
        <v>0</v>
      </c>
      <c r="AI15" s="4763">
        <f t="shared" si="18"/>
        <v>0</v>
      </c>
    </row>
    <row r="16" spans="1:35" x14ac:dyDescent="0.25">
      <c r="B16" s="4754">
        <v>6</v>
      </c>
      <c r="C16" s="4755" t="s">
        <v>96</v>
      </c>
      <c r="D16" s="4754" t="s">
        <v>77</v>
      </c>
      <c r="E16" s="4763">
        <f>IFERROR(E5/E13,0)</f>
        <v>0</v>
      </c>
      <c r="F16" s="4755">
        <f>IFERROR(F5/F13,0)</f>
        <v>0</v>
      </c>
      <c r="G16" s="4755">
        <f t="shared" ref="G16:AI16" si="19">IFERROR(G5/G13,0)</f>
        <v>0</v>
      </c>
      <c r="H16" s="4755">
        <f t="shared" si="19"/>
        <v>0</v>
      </c>
      <c r="I16" s="4755">
        <f t="shared" si="19"/>
        <v>0</v>
      </c>
      <c r="J16" s="4755">
        <f t="shared" si="19"/>
        <v>0</v>
      </c>
      <c r="K16" s="4755">
        <f t="shared" si="19"/>
        <v>0</v>
      </c>
      <c r="L16" s="4755">
        <f t="shared" si="19"/>
        <v>0</v>
      </c>
      <c r="M16" s="4755">
        <f t="shared" si="19"/>
        <v>0</v>
      </c>
      <c r="N16" s="4755">
        <f t="shared" si="19"/>
        <v>0</v>
      </c>
      <c r="O16" s="4763">
        <f t="shared" si="19"/>
        <v>0</v>
      </c>
      <c r="P16" s="4755">
        <f t="shared" si="19"/>
        <v>0</v>
      </c>
      <c r="Q16" s="4755">
        <f t="shared" si="19"/>
        <v>0</v>
      </c>
      <c r="R16" s="4755">
        <f t="shared" si="19"/>
        <v>0</v>
      </c>
      <c r="S16" s="4755">
        <f t="shared" si="19"/>
        <v>0</v>
      </c>
      <c r="T16" s="4755">
        <f t="shared" si="19"/>
        <v>0</v>
      </c>
      <c r="U16" s="4755">
        <f t="shared" si="19"/>
        <v>0</v>
      </c>
      <c r="V16" s="4755">
        <f t="shared" si="19"/>
        <v>0</v>
      </c>
      <c r="W16" s="4755">
        <f t="shared" si="19"/>
        <v>0</v>
      </c>
      <c r="X16" s="4755">
        <f t="shared" si="19"/>
        <v>0</v>
      </c>
      <c r="Y16" s="4763">
        <f t="shared" si="19"/>
        <v>0</v>
      </c>
      <c r="Z16" s="4755">
        <f t="shared" si="19"/>
        <v>0</v>
      </c>
      <c r="AA16" s="4755">
        <f t="shared" si="19"/>
        <v>0</v>
      </c>
      <c r="AB16" s="4755">
        <f t="shared" si="19"/>
        <v>0</v>
      </c>
      <c r="AC16" s="4755">
        <f t="shared" si="19"/>
        <v>0</v>
      </c>
      <c r="AD16" s="4755">
        <f t="shared" si="19"/>
        <v>0</v>
      </c>
      <c r="AE16" s="4755">
        <f t="shared" si="19"/>
        <v>0</v>
      </c>
      <c r="AF16" s="4755">
        <f t="shared" si="19"/>
        <v>0</v>
      </c>
      <c r="AG16" s="4755">
        <f t="shared" si="19"/>
        <v>0</v>
      </c>
      <c r="AH16" s="4755">
        <f t="shared" si="19"/>
        <v>0</v>
      </c>
      <c r="AI16" s="4763">
        <f t="shared" si="19"/>
        <v>0</v>
      </c>
    </row>
    <row r="17" spans="1:35" x14ac:dyDescent="0.25">
      <c r="B17" s="4754"/>
      <c r="C17" s="4764" t="s">
        <v>914</v>
      </c>
      <c r="D17" s="4754"/>
      <c r="E17" s="4763"/>
      <c r="F17" s="4765">
        <f>IFERROR((F13-E13)/E13,0)</f>
        <v>0</v>
      </c>
      <c r="G17" s="4765">
        <f t="shared" ref="G17:AI17" si="20">IFERROR((G13-F13)/F13,0)</f>
        <v>0</v>
      </c>
      <c r="H17" s="4765">
        <f t="shared" si="20"/>
        <v>0</v>
      </c>
      <c r="I17" s="4765">
        <f t="shared" si="20"/>
        <v>0</v>
      </c>
      <c r="J17" s="4765">
        <f t="shared" si="20"/>
        <v>0</v>
      </c>
      <c r="K17" s="4765">
        <f t="shared" si="20"/>
        <v>0</v>
      </c>
      <c r="L17" s="4765">
        <f t="shared" si="20"/>
        <v>0</v>
      </c>
      <c r="M17" s="4765">
        <f t="shared" si="20"/>
        <v>0</v>
      </c>
      <c r="N17" s="4765">
        <f t="shared" si="20"/>
        <v>0</v>
      </c>
      <c r="O17" s="4766">
        <f t="shared" si="20"/>
        <v>0</v>
      </c>
      <c r="P17" s="4765">
        <f t="shared" si="20"/>
        <v>0</v>
      </c>
      <c r="Q17" s="4765">
        <f t="shared" si="20"/>
        <v>0</v>
      </c>
      <c r="R17" s="4765">
        <f t="shared" si="20"/>
        <v>0</v>
      </c>
      <c r="S17" s="4765">
        <f t="shared" si="20"/>
        <v>0</v>
      </c>
      <c r="T17" s="4765">
        <f t="shared" si="20"/>
        <v>0</v>
      </c>
      <c r="U17" s="4765">
        <f t="shared" si="20"/>
        <v>0</v>
      </c>
      <c r="V17" s="4765">
        <f t="shared" si="20"/>
        <v>0</v>
      </c>
      <c r="W17" s="4765">
        <f t="shared" si="20"/>
        <v>0</v>
      </c>
      <c r="X17" s="4765">
        <f t="shared" si="20"/>
        <v>0</v>
      </c>
      <c r="Y17" s="4766">
        <f t="shared" si="20"/>
        <v>0</v>
      </c>
      <c r="Z17" s="4765">
        <f t="shared" si="20"/>
        <v>0</v>
      </c>
      <c r="AA17" s="4765">
        <f t="shared" si="20"/>
        <v>0</v>
      </c>
      <c r="AB17" s="4765">
        <f t="shared" si="20"/>
        <v>0</v>
      </c>
      <c r="AC17" s="4765">
        <f t="shared" si="20"/>
        <v>0</v>
      </c>
      <c r="AD17" s="4765">
        <f t="shared" si="20"/>
        <v>0</v>
      </c>
      <c r="AE17" s="4765">
        <f t="shared" si="20"/>
        <v>0</v>
      </c>
      <c r="AF17" s="4765">
        <f t="shared" si="20"/>
        <v>0</v>
      </c>
      <c r="AG17" s="4765">
        <f t="shared" si="20"/>
        <v>0</v>
      </c>
      <c r="AH17" s="4765">
        <f t="shared" si="20"/>
        <v>0</v>
      </c>
      <c r="AI17" s="4766">
        <f t="shared" si="20"/>
        <v>0</v>
      </c>
    </row>
    <row r="18" spans="1:35" x14ac:dyDescent="0.25">
      <c r="B18" s="4754"/>
      <c r="C18" s="4764" t="s">
        <v>913</v>
      </c>
      <c r="D18" s="4754"/>
      <c r="E18" s="4763"/>
      <c r="F18" s="4765">
        <f>IFERROR((F12-E12)/E12,0)</f>
        <v>0</v>
      </c>
      <c r="G18" s="4765">
        <f t="shared" ref="G18:AI18" si="21">IFERROR((G12-F12)/F12,0)</f>
        <v>0</v>
      </c>
      <c r="H18" s="4765">
        <f t="shared" si="21"/>
        <v>0</v>
      </c>
      <c r="I18" s="4765">
        <f t="shared" si="21"/>
        <v>0</v>
      </c>
      <c r="J18" s="4765">
        <f t="shared" si="21"/>
        <v>0</v>
      </c>
      <c r="K18" s="4765">
        <f t="shared" si="21"/>
        <v>0</v>
      </c>
      <c r="L18" s="4765">
        <f t="shared" si="21"/>
        <v>0</v>
      </c>
      <c r="M18" s="4765">
        <f t="shared" si="21"/>
        <v>0</v>
      </c>
      <c r="N18" s="4765">
        <f t="shared" si="21"/>
        <v>0</v>
      </c>
      <c r="O18" s="4766">
        <f t="shared" si="21"/>
        <v>0</v>
      </c>
      <c r="P18" s="4765">
        <f t="shared" si="21"/>
        <v>0</v>
      </c>
      <c r="Q18" s="4765">
        <f t="shared" si="21"/>
        <v>0</v>
      </c>
      <c r="R18" s="4765">
        <f t="shared" si="21"/>
        <v>0</v>
      </c>
      <c r="S18" s="4765">
        <f t="shared" si="21"/>
        <v>0</v>
      </c>
      <c r="T18" s="4765">
        <f t="shared" si="21"/>
        <v>0</v>
      </c>
      <c r="U18" s="4765">
        <f t="shared" si="21"/>
        <v>0</v>
      </c>
      <c r="V18" s="4765">
        <f t="shared" si="21"/>
        <v>0</v>
      </c>
      <c r="W18" s="4765">
        <f t="shared" si="21"/>
        <v>0</v>
      </c>
      <c r="X18" s="4765">
        <f t="shared" si="21"/>
        <v>0</v>
      </c>
      <c r="Y18" s="4766">
        <f t="shared" si="21"/>
        <v>0</v>
      </c>
      <c r="Z18" s="4765">
        <f t="shared" si="21"/>
        <v>0</v>
      </c>
      <c r="AA18" s="4765">
        <f t="shared" si="21"/>
        <v>0</v>
      </c>
      <c r="AB18" s="4765">
        <f t="shared" si="21"/>
        <v>0</v>
      </c>
      <c r="AC18" s="4765">
        <f t="shared" si="21"/>
        <v>0</v>
      </c>
      <c r="AD18" s="4765">
        <f t="shared" si="21"/>
        <v>0</v>
      </c>
      <c r="AE18" s="4765">
        <f t="shared" si="21"/>
        <v>0</v>
      </c>
      <c r="AF18" s="4765">
        <f t="shared" si="21"/>
        <v>0</v>
      </c>
      <c r="AG18" s="4765">
        <f t="shared" si="21"/>
        <v>0</v>
      </c>
      <c r="AH18" s="4765">
        <f t="shared" si="21"/>
        <v>0</v>
      </c>
      <c r="AI18" s="4766">
        <f t="shared" si="21"/>
        <v>0</v>
      </c>
    </row>
    <row r="19" spans="1:35" x14ac:dyDescent="0.25">
      <c r="E19" s="4760"/>
      <c r="F19" s="4767"/>
      <c r="G19" s="4767"/>
      <c r="H19" s="4767"/>
      <c r="I19" s="4767"/>
      <c r="J19" s="4767"/>
      <c r="K19" s="4767"/>
      <c r="L19" s="4767"/>
      <c r="M19" s="4767"/>
      <c r="N19" s="4767"/>
      <c r="O19" s="4767"/>
      <c r="P19" s="4767"/>
      <c r="Q19" s="4767"/>
      <c r="R19" s="4767"/>
      <c r="S19" s="4767"/>
      <c r="T19" s="4767"/>
      <c r="U19" s="4767"/>
      <c r="V19" s="4767"/>
      <c r="W19" s="4767"/>
      <c r="X19" s="4767"/>
      <c r="Y19" s="4767"/>
      <c r="Z19" s="4767"/>
      <c r="AA19" s="4767"/>
      <c r="AB19" s="4767"/>
      <c r="AC19" s="4767"/>
      <c r="AD19" s="4767"/>
      <c r="AE19" s="4767"/>
      <c r="AF19" s="4767"/>
      <c r="AG19" s="4767"/>
      <c r="AH19" s="4767"/>
      <c r="AI19" s="4767"/>
    </row>
    <row r="20" spans="1:35" x14ac:dyDescent="0.25">
      <c r="A20" s="4751" t="s">
        <v>12</v>
      </c>
      <c r="B20" s="4751" t="s">
        <v>97</v>
      </c>
      <c r="C20" s="4752"/>
    </row>
    <row r="21" spans="1:35" x14ac:dyDescent="0.25">
      <c r="B21" s="4753" t="s">
        <v>3</v>
      </c>
      <c r="C21" s="4753" t="s">
        <v>4</v>
      </c>
      <c r="D21" s="4753" t="s">
        <v>33</v>
      </c>
      <c r="E21" s="4753">
        <f>'General info'!$E$20</f>
        <v>2014</v>
      </c>
      <c r="F21" s="4753">
        <f>IF(AND(E21+1&lt;2051,E21&lt;&gt;0),E21+1,0)</f>
        <v>2015</v>
      </c>
      <c r="G21" s="4753">
        <f t="shared" ref="G21:O21" si="22">IF(AND(F21+1&lt;2051,F21&lt;&gt;0),F21+1,0)</f>
        <v>2016</v>
      </c>
      <c r="H21" s="4753">
        <f t="shared" si="22"/>
        <v>2017</v>
      </c>
      <c r="I21" s="4753">
        <f t="shared" si="22"/>
        <v>2018</v>
      </c>
      <c r="J21" s="4753">
        <f t="shared" si="22"/>
        <v>2019</v>
      </c>
      <c r="K21" s="4753">
        <f t="shared" si="22"/>
        <v>2020</v>
      </c>
      <c r="L21" s="4753">
        <f t="shared" si="22"/>
        <v>2021</v>
      </c>
      <c r="M21" s="4753">
        <f t="shared" si="22"/>
        <v>2022</v>
      </c>
      <c r="N21" s="4753">
        <f t="shared" si="22"/>
        <v>2023</v>
      </c>
      <c r="O21" s="4753">
        <f t="shared" si="22"/>
        <v>2024</v>
      </c>
    </row>
    <row r="22" spans="1:35" x14ac:dyDescent="0.25">
      <c r="B22" s="4754">
        <v>1</v>
      </c>
      <c r="C22" s="4755" t="str">
        <f>C11</f>
        <v>Domestic (non slum)</v>
      </c>
      <c r="D22" s="4754" t="s">
        <v>77</v>
      </c>
      <c r="E22" s="4759">
        <f>ROUND(IF(E21&lt;&gt;0,HLOOKUP(E$21,$E$3:$AI$7,4),0),0)</f>
        <v>0</v>
      </c>
      <c r="F22" s="4759">
        <f t="shared" ref="F22:O22" si="23">ROUND(IF(F21&lt;&gt;0,HLOOKUP(F$21,$E$3:$AI$7,4),0),0)</f>
        <v>0</v>
      </c>
      <c r="G22" s="4759">
        <f t="shared" si="23"/>
        <v>0</v>
      </c>
      <c r="H22" s="4759">
        <f t="shared" si="23"/>
        <v>0</v>
      </c>
      <c r="I22" s="4759">
        <f t="shared" si="23"/>
        <v>0</v>
      </c>
      <c r="J22" s="4759">
        <f t="shared" si="23"/>
        <v>0</v>
      </c>
      <c r="K22" s="4759">
        <f t="shared" si="23"/>
        <v>0</v>
      </c>
      <c r="L22" s="4759">
        <f t="shared" si="23"/>
        <v>0</v>
      </c>
      <c r="M22" s="4759">
        <f t="shared" si="23"/>
        <v>0</v>
      </c>
      <c r="N22" s="4759">
        <f t="shared" si="23"/>
        <v>0</v>
      </c>
      <c r="O22" s="4759">
        <f t="shared" si="23"/>
        <v>0</v>
      </c>
    </row>
    <row r="23" spans="1:35" x14ac:dyDescent="0.25">
      <c r="B23" s="4754">
        <v>2</v>
      </c>
      <c r="C23" s="4755" t="str">
        <f>C12</f>
        <v>Slum</v>
      </c>
      <c r="D23" s="4754" t="s">
        <v>77</v>
      </c>
      <c r="E23" s="4759">
        <f>ROUND(IF(E21&lt;&gt;0,HLOOKUP(E$21,$E$3:$AI$7,5),0),0)</f>
        <v>0</v>
      </c>
      <c r="F23" s="4759">
        <f t="shared" ref="F23:O23" si="24">ROUND(IF(F21&lt;&gt;0,HLOOKUP(F$21,$E$3:$AI$7,5),0),0)</f>
        <v>0</v>
      </c>
      <c r="G23" s="4759">
        <f t="shared" si="24"/>
        <v>0</v>
      </c>
      <c r="H23" s="4759">
        <f t="shared" si="24"/>
        <v>0</v>
      </c>
      <c r="I23" s="4759">
        <f t="shared" si="24"/>
        <v>0</v>
      </c>
      <c r="J23" s="4759">
        <f t="shared" si="24"/>
        <v>0</v>
      </c>
      <c r="K23" s="4759">
        <f t="shared" si="24"/>
        <v>0</v>
      </c>
      <c r="L23" s="4759">
        <f t="shared" si="24"/>
        <v>0</v>
      </c>
      <c r="M23" s="4759">
        <f t="shared" si="24"/>
        <v>0</v>
      </c>
      <c r="N23" s="4759">
        <f t="shared" si="24"/>
        <v>0</v>
      </c>
      <c r="O23" s="4759">
        <f t="shared" si="24"/>
        <v>0</v>
      </c>
    </row>
    <row r="24" spans="1:35" x14ac:dyDescent="0.25">
      <c r="B24" s="4754">
        <v>3</v>
      </c>
      <c r="C24" s="4755" t="str">
        <f>C13</f>
        <v>Total</v>
      </c>
      <c r="D24" s="4754" t="s">
        <v>77</v>
      </c>
      <c r="E24" s="4759">
        <f t="shared" ref="E24:O24" si="25">SUM(E22:E23)</f>
        <v>0</v>
      </c>
      <c r="F24" s="4759">
        <f t="shared" si="25"/>
        <v>0</v>
      </c>
      <c r="G24" s="4759">
        <f t="shared" si="25"/>
        <v>0</v>
      </c>
      <c r="H24" s="4759">
        <f t="shared" si="25"/>
        <v>0</v>
      </c>
      <c r="I24" s="4759">
        <f t="shared" si="25"/>
        <v>0</v>
      </c>
      <c r="J24" s="4759">
        <f t="shared" si="25"/>
        <v>0</v>
      </c>
      <c r="K24" s="4759">
        <f t="shared" si="25"/>
        <v>0</v>
      </c>
      <c r="L24" s="4759">
        <f t="shared" si="25"/>
        <v>0</v>
      </c>
      <c r="M24" s="4759">
        <f t="shared" si="25"/>
        <v>0</v>
      </c>
      <c r="N24" s="4759">
        <f t="shared" si="25"/>
        <v>0</v>
      </c>
      <c r="O24" s="4759">
        <f t="shared" si="25"/>
        <v>0</v>
      </c>
    </row>
    <row r="25" spans="1:35" x14ac:dyDescent="0.25">
      <c r="B25" s="4754">
        <v>4</v>
      </c>
      <c r="C25" s="4764" t="s">
        <v>252</v>
      </c>
      <c r="D25" s="4754" t="s">
        <v>77</v>
      </c>
      <c r="E25" s="4765">
        <f>IFERROR(IF(E21&lt;&gt;0,HLOOKUP(E$21,$E$3:$AI$7,2),0),0)</f>
        <v>0</v>
      </c>
      <c r="F25" s="4765">
        <f>IF(F21&lt;&gt;0,HLOOKUP(F$21,$E$3:$AI$7,2),0)</f>
        <v>0</v>
      </c>
      <c r="G25" s="4765">
        <f t="shared" ref="G25:O25" si="26">IF(G21&lt;&gt;0,HLOOKUP(G$21,$E$3:$AI$7,2),0)</f>
        <v>0</v>
      </c>
      <c r="H25" s="4765">
        <f t="shared" si="26"/>
        <v>0</v>
      </c>
      <c r="I25" s="4765">
        <f t="shared" si="26"/>
        <v>0</v>
      </c>
      <c r="J25" s="4765">
        <f t="shared" si="26"/>
        <v>0</v>
      </c>
      <c r="K25" s="4765">
        <f t="shared" si="26"/>
        <v>0</v>
      </c>
      <c r="L25" s="4765">
        <f t="shared" si="26"/>
        <v>0</v>
      </c>
      <c r="M25" s="4765">
        <f t="shared" si="26"/>
        <v>0</v>
      </c>
      <c r="N25" s="4765">
        <f t="shared" si="26"/>
        <v>0</v>
      </c>
      <c r="O25" s="4765">
        <f t="shared" si="26"/>
        <v>0</v>
      </c>
    </row>
    <row r="27" spans="1:35" x14ac:dyDescent="0.25">
      <c r="A27" s="4751" t="s">
        <v>13</v>
      </c>
      <c r="B27" s="4751" t="s">
        <v>98</v>
      </c>
      <c r="C27" s="4752"/>
    </row>
    <row r="28" spans="1:35" x14ac:dyDescent="0.25">
      <c r="B28" s="4753" t="s">
        <v>3</v>
      </c>
      <c r="C28" s="4753" t="s">
        <v>4</v>
      </c>
      <c r="D28" s="4753" t="s">
        <v>33</v>
      </c>
      <c r="E28" s="4753">
        <f>E21</f>
        <v>2014</v>
      </c>
      <c r="F28" s="4753">
        <f t="shared" ref="F28:O28" si="27">F21</f>
        <v>2015</v>
      </c>
      <c r="G28" s="4753">
        <f t="shared" si="27"/>
        <v>2016</v>
      </c>
      <c r="H28" s="4753">
        <f t="shared" si="27"/>
        <v>2017</v>
      </c>
      <c r="I28" s="4753">
        <f t="shared" si="27"/>
        <v>2018</v>
      </c>
      <c r="J28" s="4753">
        <f t="shared" si="27"/>
        <v>2019</v>
      </c>
      <c r="K28" s="4753">
        <f t="shared" si="27"/>
        <v>2020</v>
      </c>
      <c r="L28" s="4753">
        <f t="shared" si="27"/>
        <v>2021</v>
      </c>
      <c r="M28" s="4753">
        <f t="shared" si="27"/>
        <v>2022</v>
      </c>
      <c r="N28" s="4753">
        <f t="shared" si="27"/>
        <v>2023</v>
      </c>
      <c r="O28" s="4753">
        <f t="shared" si="27"/>
        <v>2024</v>
      </c>
    </row>
    <row r="29" spans="1:35" x14ac:dyDescent="0.25">
      <c r="B29" s="4754">
        <v>1</v>
      </c>
      <c r="C29" s="4755" t="str">
        <f>C22</f>
        <v>Domestic (non slum)</v>
      </c>
      <c r="D29" s="4754" t="s">
        <v>77</v>
      </c>
      <c r="E29" s="4759">
        <f>ROUND(IFERROR(IF(E21&lt;&gt;0,HLOOKUP(E$28,$E$10:$AI$13,2),0),0),0)</f>
        <v>0</v>
      </c>
      <c r="F29" s="4759">
        <f t="shared" ref="F29:O29" si="28">ROUND(IFERROR(IF(F21&lt;&gt;0,HLOOKUP(F$28,$E$10:$AI$13,2),0),0),0)</f>
        <v>0</v>
      </c>
      <c r="G29" s="4759">
        <f t="shared" si="28"/>
        <v>0</v>
      </c>
      <c r="H29" s="4759">
        <f t="shared" si="28"/>
        <v>0</v>
      </c>
      <c r="I29" s="4759">
        <f t="shared" si="28"/>
        <v>0</v>
      </c>
      <c r="J29" s="4759">
        <f t="shared" si="28"/>
        <v>0</v>
      </c>
      <c r="K29" s="4759">
        <f t="shared" si="28"/>
        <v>0</v>
      </c>
      <c r="L29" s="4759">
        <f t="shared" si="28"/>
        <v>0</v>
      </c>
      <c r="M29" s="4759">
        <f t="shared" si="28"/>
        <v>0</v>
      </c>
      <c r="N29" s="4759">
        <f t="shared" si="28"/>
        <v>0</v>
      </c>
      <c r="O29" s="4759">
        <f t="shared" si="28"/>
        <v>0</v>
      </c>
    </row>
    <row r="30" spans="1:35" x14ac:dyDescent="0.25">
      <c r="B30" s="4754">
        <v>2</v>
      </c>
      <c r="C30" s="4755" t="str">
        <f>C23</f>
        <v>Slum</v>
      </c>
      <c r="D30" s="4754" t="s">
        <v>77</v>
      </c>
      <c r="E30" s="4759">
        <f>ROUND(IFERROR(IF(E21&lt;&gt;0,HLOOKUP(E$28,$E$10:$AI$13,3),0),0),0)</f>
        <v>0</v>
      </c>
      <c r="F30" s="4759">
        <f t="shared" ref="F30:O30" si="29">ROUND(IFERROR(IF(F21&lt;&gt;0,HLOOKUP(F$28,$E$10:$AI$13,3),0),0),0)</f>
        <v>0</v>
      </c>
      <c r="G30" s="4759">
        <f t="shared" si="29"/>
        <v>0</v>
      </c>
      <c r="H30" s="4759">
        <f t="shared" si="29"/>
        <v>0</v>
      </c>
      <c r="I30" s="4759">
        <f t="shared" si="29"/>
        <v>0</v>
      </c>
      <c r="J30" s="4759">
        <f t="shared" si="29"/>
        <v>0</v>
      </c>
      <c r="K30" s="4759">
        <f t="shared" si="29"/>
        <v>0</v>
      </c>
      <c r="L30" s="4759">
        <f t="shared" si="29"/>
        <v>0</v>
      </c>
      <c r="M30" s="4759">
        <f t="shared" si="29"/>
        <v>0</v>
      </c>
      <c r="N30" s="4759">
        <f t="shared" si="29"/>
        <v>0</v>
      </c>
      <c r="O30" s="4759">
        <f t="shared" si="29"/>
        <v>0</v>
      </c>
    </row>
    <row r="31" spans="1:35" x14ac:dyDescent="0.25">
      <c r="B31" s="4754">
        <v>5</v>
      </c>
      <c r="C31" s="4755" t="str">
        <f>C24</f>
        <v>Total</v>
      </c>
      <c r="D31" s="4754" t="s">
        <v>77</v>
      </c>
      <c r="E31" s="4759">
        <f>SUM(E29:E30)</f>
        <v>0</v>
      </c>
      <c r="F31" s="4759">
        <f t="shared" ref="F31:O31" si="30">SUM(F29:F30)</f>
        <v>0</v>
      </c>
      <c r="G31" s="4759">
        <f t="shared" si="30"/>
        <v>0</v>
      </c>
      <c r="H31" s="4759">
        <f t="shared" si="30"/>
        <v>0</v>
      </c>
      <c r="I31" s="4759">
        <f t="shared" si="30"/>
        <v>0</v>
      </c>
      <c r="J31" s="4759">
        <f t="shared" si="30"/>
        <v>0</v>
      </c>
      <c r="K31" s="4759">
        <f t="shared" si="30"/>
        <v>0</v>
      </c>
      <c r="L31" s="4759">
        <f t="shared" si="30"/>
        <v>0</v>
      </c>
      <c r="M31" s="4759">
        <f t="shared" si="30"/>
        <v>0</v>
      </c>
      <c r="N31" s="4759">
        <f t="shared" si="30"/>
        <v>0</v>
      </c>
      <c r="O31" s="4759">
        <f t="shared" si="30"/>
        <v>0</v>
      </c>
    </row>
    <row r="32" spans="1:35" x14ac:dyDescent="0.25">
      <c r="B32" s="4754"/>
      <c r="C32" s="4764" t="s">
        <v>914</v>
      </c>
      <c r="D32" s="4754" t="s">
        <v>18</v>
      </c>
      <c r="E32" s="4765">
        <f>IFERROR(IF(E28&lt;&gt;0,HLOOKUP(E$28,$E$10:$AI$17,8),0),0)</f>
        <v>0</v>
      </c>
      <c r="F32" s="4765">
        <f>IFERROR(IF(F28&lt;&gt;0,HLOOKUP(F$28,$E$10:$AI$17,8),0),0)</f>
        <v>0</v>
      </c>
      <c r="G32" s="4765">
        <f>IFERROR(IF(G28&lt;&gt;0,HLOOKUP(G$28,$E$10:$AI$17,8),0),0)</f>
        <v>0</v>
      </c>
      <c r="H32" s="4765">
        <f t="shared" ref="H32:O32" si="31">IFERROR(IF(H28&lt;&gt;0,HLOOKUP(H$28,$E$10:$AI$17,8),0),0)</f>
        <v>0</v>
      </c>
      <c r="I32" s="4765">
        <f t="shared" si="31"/>
        <v>0</v>
      </c>
      <c r="J32" s="4765">
        <f t="shared" si="31"/>
        <v>0</v>
      </c>
      <c r="K32" s="4765">
        <f t="shared" si="31"/>
        <v>0</v>
      </c>
      <c r="L32" s="4765">
        <f t="shared" si="31"/>
        <v>0</v>
      </c>
      <c r="M32" s="4765">
        <f t="shared" si="31"/>
        <v>0</v>
      </c>
      <c r="N32" s="4765">
        <f t="shared" si="31"/>
        <v>0</v>
      </c>
      <c r="O32" s="4765">
        <f t="shared" si="31"/>
        <v>0</v>
      </c>
    </row>
    <row r="33" spans="1:15" x14ac:dyDescent="0.25">
      <c r="B33" s="4754"/>
      <c r="C33" s="4764" t="s">
        <v>913</v>
      </c>
      <c r="D33" s="4754"/>
      <c r="E33" s="4765">
        <f>IFERROR(IF(E28&lt;&gt;0,HLOOKUP(E$28,$E$10:$AI$18,9),0),0)</f>
        <v>0</v>
      </c>
      <c r="F33" s="4765">
        <f t="shared" ref="F33:O33" si="32">IFERROR(IF(F28&lt;&gt;0,HLOOKUP(F$28,$E$10:$AI$18,9),0),0)</f>
        <v>0</v>
      </c>
      <c r="G33" s="4765">
        <f t="shared" si="32"/>
        <v>0</v>
      </c>
      <c r="H33" s="4765">
        <f t="shared" si="32"/>
        <v>0</v>
      </c>
      <c r="I33" s="4765">
        <f t="shared" si="32"/>
        <v>0</v>
      </c>
      <c r="J33" s="4765">
        <f t="shared" si="32"/>
        <v>0</v>
      </c>
      <c r="K33" s="4765">
        <f t="shared" si="32"/>
        <v>0</v>
      </c>
      <c r="L33" s="4765">
        <f t="shared" si="32"/>
        <v>0</v>
      </c>
      <c r="M33" s="4765">
        <f t="shared" si="32"/>
        <v>0</v>
      </c>
      <c r="N33" s="4765">
        <f t="shared" si="32"/>
        <v>0</v>
      </c>
      <c r="O33" s="4765">
        <f t="shared" si="32"/>
        <v>0</v>
      </c>
    </row>
    <row r="34" spans="1:15" x14ac:dyDescent="0.25">
      <c r="B34" s="4754"/>
      <c r="C34" s="4755" t="s">
        <v>300</v>
      </c>
      <c r="D34" s="4754"/>
      <c r="E34" s="4768">
        <f>IFERROR(IF(E28&lt;&gt;0,HLOOKUP(E$28,$E$10:$AI$17,7),0),0)</f>
        <v>0</v>
      </c>
      <c r="F34" s="4768">
        <f>IFERROR(IF(F28&lt;&gt;0,HLOOKUP(F$28,$E$10:$AI$17,7),0),0)</f>
        <v>0</v>
      </c>
      <c r="G34" s="4768">
        <f>IFERROR(IF(G28&lt;&gt;0,HLOOKUP(G$28,$E$10:$AI$17,7),0),0)</f>
        <v>0</v>
      </c>
      <c r="H34" s="4768">
        <f t="shared" ref="H34:O34" si="33">IFERROR(IF(H28&lt;&gt;0,HLOOKUP(H$28,$E$10:$AI$17,7),0),0)</f>
        <v>0</v>
      </c>
      <c r="I34" s="4768">
        <f t="shared" si="33"/>
        <v>0</v>
      </c>
      <c r="J34" s="4768">
        <f t="shared" si="33"/>
        <v>0</v>
      </c>
      <c r="K34" s="4768">
        <f t="shared" si="33"/>
        <v>0</v>
      </c>
      <c r="L34" s="4768">
        <f t="shared" si="33"/>
        <v>0</v>
      </c>
      <c r="M34" s="4768">
        <f t="shared" si="33"/>
        <v>0</v>
      </c>
      <c r="N34" s="4768">
        <f t="shared" si="33"/>
        <v>0</v>
      </c>
      <c r="O34" s="4768">
        <f t="shared" si="33"/>
        <v>0</v>
      </c>
    </row>
    <row r="35" spans="1:15" x14ac:dyDescent="0.25">
      <c r="B35" s="4754"/>
      <c r="C35" s="4755" t="s">
        <v>301</v>
      </c>
      <c r="D35" s="4754"/>
      <c r="E35" s="4768">
        <f>IFERROR(IF(E28&lt;&gt;0,HLOOKUP(E$28,$E$10:$AI$17,6),0),0)</f>
        <v>0</v>
      </c>
      <c r="F35" s="4768">
        <f>IFERROR(IF(F28&lt;&gt;0,HLOOKUP(F$28,$E$10:$AI$17,6),0),0)</f>
        <v>0</v>
      </c>
      <c r="G35" s="4768">
        <f>IFERROR(IF(G28&lt;&gt;0,HLOOKUP(G$28,$E$10:$AI$17,6),0),0)</f>
        <v>0</v>
      </c>
      <c r="H35" s="4768">
        <f t="shared" ref="H35:O35" si="34">IFERROR(IF(H28&lt;&gt;0,HLOOKUP(H$28,$E$10:$AI$17,6),0),0)</f>
        <v>0</v>
      </c>
      <c r="I35" s="4768">
        <f t="shared" si="34"/>
        <v>0</v>
      </c>
      <c r="J35" s="4768">
        <f t="shared" si="34"/>
        <v>0</v>
      </c>
      <c r="K35" s="4768">
        <f t="shared" si="34"/>
        <v>0</v>
      </c>
      <c r="L35" s="4768">
        <f t="shared" si="34"/>
        <v>0</v>
      </c>
      <c r="M35" s="4768">
        <f t="shared" si="34"/>
        <v>0</v>
      </c>
      <c r="N35" s="4768">
        <f t="shared" si="34"/>
        <v>0</v>
      </c>
      <c r="O35" s="4768">
        <f t="shared" si="34"/>
        <v>0</v>
      </c>
    </row>
    <row r="37" spans="1:15" x14ac:dyDescent="0.25">
      <c r="A37" s="4751" t="s">
        <v>22</v>
      </c>
      <c r="B37" s="4769" t="s">
        <v>213</v>
      </c>
      <c r="C37" s="4770"/>
    </row>
    <row r="38" spans="1:15" x14ac:dyDescent="0.25">
      <c r="B38" s="4753" t="s">
        <v>3</v>
      </c>
      <c r="C38" s="4753" t="s">
        <v>4</v>
      </c>
      <c r="D38" s="4753" t="s">
        <v>33</v>
      </c>
      <c r="E38" s="4753">
        <f t="shared" ref="E38:O38" si="35">E21</f>
        <v>2014</v>
      </c>
      <c r="F38" s="4753">
        <f t="shared" si="35"/>
        <v>2015</v>
      </c>
      <c r="G38" s="4753">
        <f t="shared" si="35"/>
        <v>2016</v>
      </c>
      <c r="H38" s="4753">
        <f t="shared" si="35"/>
        <v>2017</v>
      </c>
      <c r="I38" s="4753">
        <f t="shared" si="35"/>
        <v>2018</v>
      </c>
      <c r="J38" s="4753">
        <f t="shared" si="35"/>
        <v>2019</v>
      </c>
      <c r="K38" s="4753">
        <f t="shared" si="35"/>
        <v>2020</v>
      </c>
      <c r="L38" s="4753">
        <f t="shared" si="35"/>
        <v>2021</v>
      </c>
      <c r="M38" s="4753">
        <f t="shared" si="35"/>
        <v>2022</v>
      </c>
      <c r="N38" s="4753">
        <f t="shared" si="35"/>
        <v>2023</v>
      </c>
      <c r="O38" s="4753">
        <f t="shared" si="35"/>
        <v>2024</v>
      </c>
    </row>
    <row r="39" spans="1:15" x14ac:dyDescent="0.25">
      <c r="B39" s="4754">
        <v>1</v>
      </c>
      <c r="C39" s="4764" t="s">
        <v>214</v>
      </c>
      <c r="D39" s="4754" t="s">
        <v>77</v>
      </c>
      <c r="E39" s="4771">
        <f>'WSS Profile'!F30</f>
        <v>0</v>
      </c>
      <c r="F39" s="4759">
        <f>ROUND(E39*(1+$E$43),0)</f>
        <v>0</v>
      </c>
      <c r="G39" s="4759">
        <f t="shared" ref="G39:O39" si="36">ROUND(F39*(1+$E$43),0)</f>
        <v>0</v>
      </c>
      <c r="H39" s="4759">
        <f t="shared" si="36"/>
        <v>0</v>
      </c>
      <c r="I39" s="4759">
        <f t="shared" si="36"/>
        <v>0</v>
      </c>
      <c r="J39" s="4759">
        <f t="shared" si="36"/>
        <v>0</v>
      </c>
      <c r="K39" s="4759">
        <f t="shared" si="36"/>
        <v>0</v>
      </c>
      <c r="L39" s="4759">
        <f t="shared" si="36"/>
        <v>0</v>
      </c>
      <c r="M39" s="4759">
        <f t="shared" si="36"/>
        <v>0</v>
      </c>
      <c r="N39" s="4759">
        <f t="shared" si="36"/>
        <v>0</v>
      </c>
      <c r="O39" s="4759">
        <f t="shared" si="36"/>
        <v>0</v>
      </c>
    </row>
    <row r="40" spans="1:15" x14ac:dyDescent="0.25">
      <c r="B40" s="4754">
        <v>2</v>
      </c>
      <c r="C40" s="4764" t="s">
        <v>215</v>
      </c>
      <c r="D40" s="4754" t="s">
        <v>77</v>
      </c>
      <c r="E40" s="4771">
        <f>'WSS Profile'!G30</f>
        <v>0</v>
      </c>
      <c r="F40" s="4759">
        <f>ROUND(E40*(1+$E$42),0)</f>
        <v>0</v>
      </c>
      <c r="G40" s="4759">
        <f t="shared" ref="G40:O40" si="37">ROUND(F40*(1+$E$42),0)</f>
        <v>0</v>
      </c>
      <c r="H40" s="4759">
        <f t="shared" si="37"/>
        <v>0</v>
      </c>
      <c r="I40" s="4759">
        <f t="shared" si="37"/>
        <v>0</v>
      </c>
      <c r="J40" s="4759">
        <f t="shared" si="37"/>
        <v>0</v>
      </c>
      <c r="K40" s="4759">
        <f t="shared" si="37"/>
        <v>0</v>
      </c>
      <c r="L40" s="4759">
        <f t="shared" si="37"/>
        <v>0</v>
      </c>
      <c r="M40" s="4759">
        <f t="shared" si="37"/>
        <v>0</v>
      </c>
      <c r="N40" s="4759">
        <f t="shared" si="37"/>
        <v>0</v>
      </c>
      <c r="O40" s="4759">
        <f t="shared" si="37"/>
        <v>0</v>
      </c>
    </row>
    <row r="41" spans="1:15" x14ac:dyDescent="0.25">
      <c r="B41" s="4754">
        <v>3</v>
      </c>
      <c r="C41" s="4764" t="s">
        <v>216</v>
      </c>
      <c r="D41" s="4754" t="s">
        <v>77</v>
      </c>
      <c r="E41" s="4771">
        <f>E39+E40</f>
        <v>0</v>
      </c>
      <c r="F41" s="4771">
        <f t="shared" ref="F41:O41" si="38">F39+F40</f>
        <v>0</v>
      </c>
      <c r="G41" s="4771">
        <f t="shared" si="38"/>
        <v>0</v>
      </c>
      <c r="H41" s="4771">
        <f t="shared" si="38"/>
        <v>0</v>
      </c>
      <c r="I41" s="4771">
        <f t="shared" si="38"/>
        <v>0</v>
      </c>
      <c r="J41" s="4771">
        <f t="shared" si="38"/>
        <v>0</v>
      </c>
      <c r="K41" s="4771">
        <f t="shared" si="38"/>
        <v>0</v>
      </c>
      <c r="L41" s="4771">
        <f t="shared" si="38"/>
        <v>0</v>
      </c>
      <c r="M41" s="4771">
        <f t="shared" si="38"/>
        <v>0</v>
      </c>
      <c r="N41" s="4771">
        <f t="shared" si="38"/>
        <v>0</v>
      </c>
      <c r="O41" s="4771">
        <f t="shared" si="38"/>
        <v>0</v>
      </c>
    </row>
    <row r="42" spans="1:15" x14ac:dyDescent="0.25">
      <c r="B42" s="4754"/>
      <c r="C42" s="4764" t="s">
        <v>1450</v>
      </c>
      <c r="D42" s="4754" t="s">
        <v>77</v>
      </c>
      <c r="E42" s="4772">
        <f>'WSS Profile'!G31</f>
        <v>0</v>
      </c>
    </row>
    <row r="43" spans="1:15" x14ac:dyDescent="0.25">
      <c r="B43" s="4754"/>
      <c r="C43" s="4764" t="s">
        <v>696</v>
      </c>
      <c r="D43" s="4754" t="s">
        <v>77</v>
      </c>
      <c r="E43" s="4772">
        <f>'WSS Profile'!F31</f>
        <v>0</v>
      </c>
    </row>
    <row r="45" spans="1:15" x14ac:dyDescent="0.25">
      <c r="A45" s="4751" t="s">
        <v>30</v>
      </c>
      <c r="B45" s="4769" t="s">
        <v>704</v>
      </c>
      <c r="C45" s="4770"/>
    </row>
    <row r="46" spans="1:15" x14ac:dyDescent="0.25">
      <c r="B46" s="4753" t="s">
        <v>3</v>
      </c>
      <c r="C46" s="4753" t="s">
        <v>4</v>
      </c>
      <c r="D46" s="4753" t="s">
        <v>33</v>
      </c>
      <c r="E46" s="4753">
        <f>E28</f>
        <v>2014</v>
      </c>
      <c r="F46" s="4753">
        <f t="shared" ref="F46:O46" si="39">F28</f>
        <v>2015</v>
      </c>
      <c r="G46" s="4753">
        <f t="shared" si="39"/>
        <v>2016</v>
      </c>
      <c r="H46" s="4753">
        <f t="shared" si="39"/>
        <v>2017</v>
      </c>
      <c r="I46" s="4753">
        <f t="shared" si="39"/>
        <v>2018</v>
      </c>
      <c r="J46" s="4753">
        <f t="shared" si="39"/>
        <v>2019</v>
      </c>
      <c r="K46" s="4753">
        <f t="shared" si="39"/>
        <v>2020</v>
      </c>
      <c r="L46" s="4753">
        <f t="shared" si="39"/>
        <v>2021</v>
      </c>
      <c r="M46" s="4753">
        <f t="shared" si="39"/>
        <v>2022</v>
      </c>
      <c r="N46" s="4753">
        <f t="shared" si="39"/>
        <v>2023</v>
      </c>
      <c r="O46" s="4753">
        <f t="shared" si="39"/>
        <v>2024</v>
      </c>
    </row>
    <row r="47" spans="1:15" x14ac:dyDescent="0.25">
      <c r="B47" s="4754"/>
      <c r="C47" s="4764" t="s">
        <v>705</v>
      </c>
      <c r="D47" s="4754" t="s">
        <v>77</v>
      </c>
      <c r="E47" s="4773">
        <f>IFERROR(E48/E41,0)</f>
        <v>0</v>
      </c>
      <c r="F47" s="4773">
        <f>E47+IF(AND(F46&gt;='Financing Plan'!$L$128,F46&lt;'Financing Plan'!$N$128+1),('Financing Plan'!$J$128-$E$47)/('Financing Plan'!$N$128+1-'Financing Plan'!$L$128),0)</f>
        <v>0.32666666666666666</v>
      </c>
      <c r="G47" s="4773">
        <f>F47+IF(AND(G46&gt;='Financing Plan'!$L$128,G46&lt;'Financing Plan'!$N$128+1),('Financing Plan'!$J$128-$E$47)/('Financing Plan'!$N$128+1-'Financing Plan'!$L$128),0)</f>
        <v>0.65333333333333332</v>
      </c>
      <c r="H47" s="4773">
        <f>G47+IF(AND(H46&gt;='Financing Plan'!$L$128,H46&lt;'Financing Plan'!$N$128+1),('Financing Plan'!$J$128-$E$47)/('Financing Plan'!$N$128+1-'Financing Plan'!$L$128),0)</f>
        <v>0.98</v>
      </c>
      <c r="I47" s="4773">
        <f>H47+IF(AND(I46&gt;='Financing Plan'!$L$128,I46&lt;'Financing Plan'!$N$128+1),('Financing Plan'!$J$128-$E$47)/('Financing Plan'!$N$128+1-'Financing Plan'!$L$128),0)</f>
        <v>0.98</v>
      </c>
      <c r="J47" s="4773">
        <f>I47+IF(AND(J46&gt;='Financing Plan'!$L$128,J46&lt;'Financing Plan'!$N$128+1),('Financing Plan'!$J$128-$E$47)/('Financing Plan'!$N$128+1-'Financing Plan'!$L$128),0)</f>
        <v>0.98</v>
      </c>
      <c r="K47" s="4773">
        <f>J47+IF(AND(K46&gt;='Financing Plan'!$L$128,K46&lt;'Financing Plan'!$N$128+1),('Financing Plan'!$J$128-$E$47)/('Financing Plan'!$N$128+1-'Financing Plan'!$L$128),0)</f>
        <v>0.98</v>
      </c>
      <c r="L47" s="4773">
        <f>K47+IF(AND(L46&gt;='Financing Plan'!$L$128,L46&lt;'Financing Plan'!$N$128+1),('Financing Plan'!$J$128-$E$47)/('Financing Plan'!$N$128+1-'Financing Plan'!$L$128),0)</f>
        <v>0.98</v>
      </c>
      <c r="M47" s="4773">
        <f>L47+IF(AND(M46&gt;='Financing Plan'!$L$128,M46&lt;'Financing Plan'!$N$128+1),('Financing Plan'!$J$128-$E$47)/('Financing Plan'!$N$128+1-'Financing Plan'!$L$128),0)</f>
        <v>0.98</v>
      </c>
      <c r="N47" s="4773">
        <f>M47+IF(AND(N46&gt;='Financing Plan'!$L$128,N46&lt;'Financing Plan'!$N$128+1),('Financing Plan'!$J$128-$E$47)/('Financing Plan'!$N$128+1-'Financing Plan'!$L$128),0)</f>
        <v>0.98</v>
      </c>
      <c r="O47" s="4773">
        <f>N47+IF(AND(O46&gt;='Financing Plan'!$L$128,O46&lt;'Financing Plan'!$N$128+1),('Financing Plan'!$J$128-$E$47)/('Financing Plan'!$N$128+1-'Financing Plan'!$L$128),0)</f>
        <v>0.98</v>
      </c>
    </row>
    <row r="48" spans="1:15" x14ac:dyDescent="0.25">
      <c r="B48" s="4754"/>
      <c r="C48" s="4764" t="s">
        <v>706</v>
      </c>
      <c r="D48" s="4754" t="s">
        <v>77</v>
      </c>
      <c r="E48" s="4759">
        <f>'WSS Profile'!F32+'WSS Profile'!G32</f>
        <v>0</v>
      </c>
      <c r="F48" s="4759">
        <f t="shared" ref="F48:O48" si="40">ROUND($E$47*F41,0)</f>
        <v>0</v>
      </c>
      <c r="G48" s="4759">
        <f>ROUND($E$47*G41,0)</f>
        <v>0</v>
      </c>
      <c r="H48" s="4759">
        <f t="shared" si="40"/>
        <v>0</v>
      </c>
      <c r="I48" s="4759">
        <f t="shared" si="40"/>
        <v>0</v>
      </c>
      <c r="J48" s="4759">
        <f t="shared" si="40"/>
        <v>0</v>
      </c>
      <c r="K48" s="4759">
        <f t="shared" si="40"/>
        <v>0</v>
      </c>
      <c r="L48" s="4759">
        <f t="shared" si="40"/>
        <v>0</v>
      </c>
      <c r="M48" s="4759">
        <f t="shared" si="40"/>
        <v>0</v>
      </c>
      <c r="N48" s="4759">
        <f t="shared" si="40"/>
        <v>0</v>
      </c>
      <c r="O48" s="4759">
        <f t="shared" si="40"/>
        <v>0</v>
      </c>
    </row>
    <row r="49" spans="1:15" x14ac:dyDescent="0.25">
      <c r="B49" s="4754"/>
      <c r="C49" s="4764" t="s">
        <v>707</v>
      </c>
      <c r="D49" s="4754" t="s">
        <v>77</v>
      </c>
      <c r="E49" s="4759">
        <f>E41*E47</f>
        <v>0</v>
      </c>
      <c r="F49" s="4759">
        <f t="shared" ref="F49:O49" si="41">ROUND(F41*F47,0)</f>
        <v>0</v>
      </c>
      <c r="G49" s="4759">
        <f t="shared" si="41"/>
        <v>0</v>
      </c>
      <c r="H49" s="4759">
        <f t="shared" si="41"/>
        <v>0</v>
      </c>
      <c r="I49" s="4759">
        <f t="shared" si="41"/>
        <v>0</v>
      </c>
      <c r="J49" s="4759">
        <f t="shared" si="41"/>
        <v>0</v>
      </c>
      <c r="K49" s="4759">
        <f t="shared" si="41"/>
        <v>0</v>
      </c>
      <c r="L49" s="4759">
        <f t="shared" si="41"/>
        <v>0</v>
      </c>
      <c r="M49" s="4759">
        <f t="shared" si="41"/>
        <v>0</v>
      </c>
      <c r="N49" s="4759">
        <f t="shared" si="41"/>
        <v>0</v>
      </c>
      <c r="O49" s="4759">
        <f t="shared" si="41"/>
        <v>0</v>
      </c>
    </row>
    <row r="50" spans="1:15" x14ac:dyDescent="0.25">
      <c r="F50" s="4774"/>
      <c r="G50" s="4767"/>
      <c r="H50" s="4774"/>
      <c r="I50" s="4760"/>
      <c r="J50" s="4775"/>
    </row>
    <row r="51" spans="1:15" ht="15.75" customHeight="1" x14ac:dyDescent="0.25">
      <c r="F51" s="4776"/>
      <c r="G51" s="4767"/>
      <c r="I51" s="4760"/>
    </row>
    <row r="52" spans="1:15" s="4779" customFormat="1" x14ac:dyDescent="0.25">
      <c r="A52" s="4777" t="s">
        <v>30</v>
      </c>
      <c r="B52" s="4777" t="s">
        <v>904</v>
      </c>
      <c r="C52" s="4778"/>
    </row>
    <row r="53" spans="1:15" ht="15" customHeight="1" x14ac:dyDescent="0.25">
      <c r="G53" s="7242" t="s">
        <v>74</v>
      </c>
      <c r="H53" s="7242"/>
      <c r="I53" s="7242"/>
      <c r="J53" s="7242"/>
      <c r="K53" s="7242"/>
    </row>
    <row r="54" spans="1:15" ht="15" customHeight="1" x14ac:dyDescent="0.25">
      <c r="D54" s="4076" t="s">
        <v>824</v>
      </c>
      <c r="E54" s="4076" t="s">
        <v>70</v>
      </c>
      <c r="F54" s="4076" t="s">
        <v>825</v>
      </c>
      <c r="G54" s="4076">
        <v>135</v>
      </c>
      <c r="H54" s="4076">
        <v>100</v>
      </c>
      <c r="I54" s="4076">
        <v>100</v>
      </c>
      <c r="J54" s="4076">
        <v>100</v>
      </c>
      <c r="K54" s="4076">
        <v>100</v>
      </c>
    </row>
    <row r="55" spans="1:15" ht="19.5" customHeight="1" thickBot="1" x14ac:dyDescent="0.35">
      <c r="C55" s="4228" t="s">
        <v>820</v>
      </c>
      <c r="D55" s="4076" t="str">
        <f>'General info'!E35</f>
        <v>Class C</v>
      </c>
      <c r="E55" s="4076" t="str">
        <f>'General info'!E33</f>
        <v>Maharashtra</v>
      </c>
      <c r="F55" s="4780" t="str">
        <f>IF('WSS Profile'!$G$228=0,"No","Yes")</f>
        <v>No</v>
      </c>
      <c r="G55" s="4760">
        <v>100</v>
      </c>
      <c r="H55" s="4760">
        <v>70</v>
      </c>
      <c r="I55" s="4760">
        <v>70</v>
      </c>
      <c r="J55" s="4760">
        <v>70</v>
      </c>
      <c r="K55" s="4760">
        <v>70</v>
      </c>
      <c r="N55" s="4774">
        <v>0.9</v>
      </c>
    </row>
    <row r="56" spans="1:15" ht="33.75" customHeight="1" x14ac:dyDescent="0.25">
      <c r="B56" s="4076">
        <v>1</v>
      </c>
      <c r="C56" s="4781" t="s">
        <v>815</v>
      </c>
      <c r="D56" s="4782" t="s">
        <v>582</v>
      </c>
      <c r="E56" s="4783" t="s">
        <v>816</v>
      </c>
      <c r="F56" s="4784" t="s">
        <v>70</v>
      </c>
      <c r="G56" s="4782" t="s">
        <v>71</v>
      </c>
      <c r="H56" s="4783" t="s">
        <v>11</v>
      </c>
      <c r="I56" s="4783" t="s">
        <v>72</v>
      </c>
      <c r="J56" s="4783" t="s">
        <v>73</v>
      </c>
      <c r="K56" s="4784" t="s">
        <v>814</v>
      </c>
      <c r="L56" s="4782" t="s">
        <v>817</v>
      </c>
      <c r="M56" s="4783" t="s">
        <v>819</v>
      </c>
      <c r="N56" s="4784" t="s">
        <v>818</v>
      </c>
    </row>
    <row r="57" spans="1:15" s="1877" customFormat="1" ht="23.25" customHeight="1" x14ac:dyDescent="0.25">
      <c r="B57" s="1877">
        <v>2</v>
      </c>
      <c r="C57" s="4785" t="s">
        <v>795</v>
      </c>
      <c r="D57" s="4786"/>
      <c r="E57" s="4787"/>
      <c r="F57" s="4788"/>
      <c r="G57" s="4786"/>
      <c r="H57" s="4787"/>
      <c r="I57" s="4787"/>
      <c r="J57" s="4787"/>
      <c r="K57" s="4788"/>
      <c r="L57" s="4789"/>
      <c r="M57" s="4787"/>
      <c r="N57" s="4790"/>
    </row>
    <row r="58" spans="1:15" ht="15.75" customHeight="1" x14ac:dyDescent="0.25">
      <c r="B58" s="4791">
        <v>3</v>
      </c>
      <c r="C58" s="4792" t="s">
        <v>796</v>
      </c>
      <c r="D58" s="4793">
        <v>1</v>
      </c>
      <c r="E58" s="4794">
        <f t="shared" ref="E58:E69" si="42">HLOOKUP($D$55,$F$56:$K$102,B58,FALSE)</f>
        <v>0.72439772727272744</v>
      </c>
      <c r="F58" s="4795">
        <v>0.72558433734939742</v>
      </c>
      <c r="G58" s="4796">
        <v>0.74522499999999992</v>
      </c>
      <c r="H58" s="4797">
        <v>0.67706111111111111</v>
      </c>
      <c r="I58" s="4797">
        <v>0.7399363636363635</v>
      </c>
      <c r="J58" s="4798">
        <v>0.72439772727272744</v>
      </c>
      <c r="K58" s="4795">
        <v>0.73026507936507967</v>
      </c>
      <c r="L58" s="4799"/>
      <c r="M58" s="4800">
        <f>E58</f>
        <v>0.72439772727272744</v>
      </c>
      <c r="N58" s="4801">
        <f>D58*$N$55</f>
        <v>0.9</v>
      </c>
    </row>
    <row r="59" spans="1:15" ht="15.75" customHeight="1" x14ac:dyDescent="0.25">
      <c r="B59" s="4791">
        <v>4</v>
      </c>
      <c r="C59" s="4802" t="s">
        <v>798</v>
      </c>
      <c r="D59" s="4803">
        <f>IF(AND($D$55="Municipal Corporation",$F$55="Yes"),$G$54,IF(AND($D$55="Municipal Corporation",$F$55="No"),$G$55,IF($F$55="Yes",$H$54,$H$55)))</f>
        <v>70</v>
      </c>
      <c r="E59" s="4804">
        <f t="shared" si="42"/>
        <v>79.503636363636375</v>
      </c>
      <c r="F59" s="4805">
        <v>87.931325301204851</v>
      </c>
      <c r="G59" s="4806">
        <v>116.68249999999999</v>
      </c>
      <c r="H59" s="4807">
        <v>89.057777777777758</v>
      </c>
      <c r="I59" s="4807">
        <v>91.541212121212112</v>
      </c>
      <c r="J59" s="4808">
        <v>79.503636363636375</v>
      </c>
      <c r="K59" s="4805">
        <v>87.953650793650795</v>
      </c>
      <c r="L59" s="4809"/>
      <c r="M59" s="4810">
        <f t="shared" ref="M59:M102" si="43">E59</f>
        <v>79.503636363636375</v>
      </c>
      <c r="N59" s="4811">
        <f>D59*$N$55</f>
        <v>63</v>
      </c>
    </row>
    <row r="60" spans="1:15" ht="15.75" customHeight="1" x14ac:dyDescent="0.25">
      <c r="B60" s="4791">
        <v>5</v>
      </c>
      <c r="C60" s="4802" t="s">
        <v>800</v>
      </c>
      <c r="D60" s="4812">
        <v>1</v>
      </c>
      <c r="E60" s="4813">
        <f t="shared" si="42"/>
        <v>0.01</v>
      </c>
      <c r="F60" s="4814">
        <v>9.1199999999999996E-3</v>
      </c>
      <c r="G60" s="4815">
        <v>9.8249999999999987E-3</v>
      </c>
      <c r="H60" s="4816">
        <v>0.01</v>
      </c>
      <c r="I60" s="4816">
        <v>6.3E-3</v>
      </c>
      <c r="J60" s="4817">
        <v>0.01</v>
      </c>
      <c r="K60" s="4814">
        <v>0.01</v>
      </c>
      <c r="L60" s="4809"/>
      <c r="M60" s="4818">
        <f>E60</f>
        <v>0.01</v>
      </c>
      <c r="N60" s="4819">
        <f>D60*$N$55</f>
        <v>0.9</v>
      </c>
    </row>
    <row r="61" spans="1:15" ht="15.75" customHeight="1" x14ac:dyDescent="0.25">
      <c r="B61" s="4791">
        <v>6</v>
      </c>
      <c r="C61" s="4802" t="s">
        <v>799</v>
      </c>
      <c r="D61" s="4812">
        <v>0.15</v>
      </c>
      <c r="E61" s="4813">
        <f t="shared" si="42"/>
        <v>0.20435476190476198</v>
      </c>
      <c r="F61" s="4814">
        <v>0.20531052631578944</v>
      </c>
      <c r="G61" s="4815">
        <v>0.23491428571428571</v>
      </c>
      <c r="H61" s="4816">
        <v>0.22284705882352937</v>
      </c>
      <c r="I61" s="4816">
        <v>0.17209032258064522</v>
      </c>
      <c r="J61" s="4817">
        <v>0.20435476190476198</v>
      </c>
      <c r="K61" s="4814">
        <v>0.21557636363636365</v>
      </c>
      <c r="L61" s="4809"/>
      <c r="M61" s="4818">
        <f>E61</f>
        <v>0.20435476190476198</v>
      </c>
      <c r="N61" s="4819">
        <f>D61*$N$55</f>
        <v>0.13500000000000001</v>
      </c>
    </row>
    <row r="62" spans="1:15" ht="15.75" customHeight="1" x14ac:dyDescent="0.25">
      <c r="B62" s="4791">
        <v>7</v>
      </c>
      <c r="C62" s="4802" t="s">
        <v>66</v>
      </c>
      <c r="D62" s="4803">
        <v>24</v>
      </c>
      <c r="E62" s="4804">
        <f t="shared" si="42"/>
        <v>1.0688636363636361</v>
      </c>
      <c r="F62" s="4805">
        <v>1.3206626506024097</v>
      </c>
      <c r="G62" s="4806">
        <v>1.2850000000000001</v>
      </c>
      <c r="H62" s="4807">
        <v>1.5655555555555554</v>
      </c>
      <c r="I62" s="4807">
        <v>1.153939393939394</v>
      </c>
      <c r="J62" s="4808">
        <v>1.0688636363636361</v>
      </c>
      <c r="K62" s="4805">
        <v>1.5184126984126987</v>
      </c>
      <c r="L62" s="4809"/>
      <c r="M62" s="4810">
        <f t="shared" si="43"/>
        <v>1.0688636363636361</v>
      </c>
      <c r="N62" s="4811">
        <f t="shared" ref="N62:N99" si="44">D62*$N$55</f>
        <v>21.6</v>
      </c>
    </row>
    <row r="63" spans="1:15" ht="15.75" customHeight="1" x14ac:dyDescent="0.25">
      <c r="B63" s="4791">
        <v>8</v>
      </c>
      <c r="C63" s="4802" t="s">
        <v>802</v>
      </c>
      <c r="D63" s="4812">
        <v>0.8</v>
      </c>
      <c r="E63" s="4813">
        <f t="shared" si="42"/>
        <v>0.92217045454545454</v>
      </c>
      <c r="F63" s="4814">
        <v>0.91963493975903632</v>
      </c>
      <c r="G63" s="4815">
        <v>0.72433750000000008</v>
      </c>
      <c r="H63" s="4816">
        <v>0.91865555555555545</v>
      </c>
      <c r="I63" s="4816">
        <v>0.90006060606060601</v>
      </c>
      <c r="J63" s="4817">
        <v>0.92217045454545454</v>
      </c>
      <c r="K63" s="4814">
        <v>0.95319682539682526</v>
      </c>
      <c r="L63" s="4809"/>
      <c r="M63" s="4818">
        <f>E63</f>
        <v>0.92217045454545454</v>
      </c>
      <c r="N63" s="4819">
        <f t="shared" si="44"/>
        <v>0.72000000000000008</v>
      </c>
    </row>
    <row r="64" spans="1:15" ht="15.75" customHeight="1" x14ac:dyDescent="0.25">
      <c r="B64" s="4791">
        <v>9</v>
      </c>
      <c r="C64" s="4802" t="s">
        <v>801</v>
      </c>
      <c r="D64" s="4812">
        <v>1</v>
      </c>
      <c r="E64" s="4813">
        <f t="shared" si="42"/>
        <v>0.97101951219512206</v>
      </c>
      <c r="F64" s="4814">
        <v>0.96986250000000007</v>
      </c>
      <c r="G64" s="4815">
        <v>0.87313750000000001</v>
      </c>
      <c r="H64" s="4816">
        <v>0.95851666666666657</v>
      </c>
      <c r="I64" s="4816">
        <v>0.97225000000000006</v>
      </c>
      <c r="J64" s="4817">
        <v>0.97101951219512206</v>
      </c>
      <c r="K64" s="4814">
        <v>0.98386557377049177</v>
      </c>
      <c r="L64" s="4809"/>
      <c r="M64" s="4818">
        <f t="shared" si="43"/>
        <v>0.97101951219512206</v>
      </c>
      <c r="N64" s="4819">
        <f t="shared" si="44"/>
        <v>0.9</v>
      </c>
    </row>
    <row r="65" spans="2:14" ht="15.75" customHeight="1" x14ac:dyDescent="0.25">
      <c r="B65" s="4791">
        <v>10</v>
      </c>
      <c r="C65" s="4802" t="s">
        <v>803</v>
      </c>
      <c r="D65" s="4820">
        <v>0.9</v>
      </c>
      <c r="E65" s="4813">
        <f t="shared" si="42"/>
        <v>0.63955454545454549</v>
      </c>
      <c r="F65" s="4814">
        <v>0.5998316770186336</v>
      </c>
      <c r="G65" s="4815">
        <v>0.41021428571428564</v>
      </c>
      <c r="H65" s="4816">
        <v>0.49658888888888897</v>
      </c>
      <c r="I65" s="4816">
        <v>0.66549696969696981</v>
      </c>
      <c r="J65" s="4817">
        <v>0.63955454545454549</v>
      </c>
      <c r="K65" s="4814">
        <v>0.58747457627118627</v>
      </c>
      <c r="L65" s="4809"/>
      <c r="M65" s="4818">
        <f t="shared" si="43"/>
        <v>0.63955454545454549</v>
      </c>
      <c r="N65" s="4819">
        <f t="shared" si="44"/>
        <v>0.81</v>
      </c>
    </row>
    <row r="66" spans="2:14" ht="15.75" customHeight="1" x14ac:dyDescent="0.25">
      <c r="B66" s="4791">
        <v>11</v>
      </c>
      <c r="C66" s="4821" t="s">
        <v>804</v>
      </c>
      <c r="D66" s="4822">
        <v>1</v>
      </c>
      <c r="E66" s="4823">
        <f t="shared" si="42"/>
        <v>0.67548333333333332</v>
      </c>
      <c r="F66" s="4824">
        <v>0.68112756410256381</v>
      </c>
      <c r="G66" s="4825">
        <v>0.26562857142857149</v>
      </c>
      <c r="H66" s="4826">
        <v>0.66112941176470597</v>
      </c>
      <c r="I66" s="4826">
        <v>0.64878787878787858</v>
      </c>
      <c r="J66" s="4827">
        <v>0.67548333333333332</v>
      </c>
      <c r="K66" s="4824">
        <v>0.76100000000000012</v>
      </c>
      <c r="L66" s="4828"/>
      <c r="M66" s="4829">
        <f>E66</f>
        <v>0.67548333333333332</v>
      </c>
      <c r="N66" s="4830">
        <f>D66*$N$55</f>
        <v>0.9</v>
      </c>
    </row>
    <row r="67" spans="2:14" ht="30.75" customHeight="1" x14ac:dyDescent="0.25">
      <c r="B67" s="4831">
        <v>12</v>
      </c>
      <c r="C67" s="4832" t="s">
        <v>1366</v>
      </c>
      <c r="D67" s="4833">
        <v>1</v>
      </c>
      <c r="E67" s="4834">
        <f t="shared" si="42"/>
        <v>0.54082702702702701</v>
      </c>
      <c r="F67" s="4795">
        <v>0.57948625954198485</v>
      </c>
      <c r="G67" s="4796">
        <v>0.35202</v>
      </c>
      <c r="H67" s="4797">
        <v>0.55491428571428569</v>
      </c>
      <c r="I67" s="4797">
        <v>0.594923076923077</v>
      </c>
      <c r="J67" s="4798">
        <v>0.54082702702702701</v>
      </c>
      <c r="K67" s="4795">
        <v>0.63071836734693865</v>
      </c>
      <c r="L67" s="4799"/>
      <c r="M67" s="4800">
        <f>E67</f>
        <v>0.54082702702702701</v>
      </c>
      <c r="N67" s="4801">
        <f>N58</f>
        <v>0.9</v>
      </c>
    </row>
    <row r="68" spans="2:14" s="4776" customFormat="1" x14ac:dyDescent="0.25">
      <c r="B68" s="4835">
        <v>13</v>
      </c>
      <c r="C68" s="4836" t="s">
        <v>756</v>
      </c>
      <c r="D68" s="4837">
        <f>D59</f>
        <v>70</v>
      </c>
      <c r="E68" s="4838">
        <f t="shared" si="42"/>
        <v>110.64390433145422</v>
      </c>
      <c r="F68" s="4839">
        <v>122.17138151946635</v>
      </c>
      <c r="G68" s="4840">
        <v>152.79865782738901</v>
      </c>
      <c r="H68" s="4841">
        <v>138.0220803635525</v>
      </c>
      <c r="I68" s="4841">
        <v>123.37222645542262</v>
      </c>
      <c r="J68" s="4842">
        <v>110.64390433145422</v>
      </c>
      <c r="K68" s="4839">
        <v>121.64478479876077</v>
      </c>
      <c r="L68" s="4809"/>
      <c r="M68" s="4810">
        <f>E68</f>
        <v>110.64390433145422</v>
      </c>
      <c r="N68" s="4811">
        <f>N59</f>
        <v>63</v>
      </c>
    </row>
    <row r="69" spans="2:14" x14ac:dyDescent="0.25">
      <c r="B69" s="4831">
        <v>14</v>
      </c>
      <c r="C69" s="4843" t="s">
        <v>1462</v>
      </c>
      <c r="D69" s="4822">
        <v>0.15</v>
      </c>
      <c r="E69" s="4823">
        <f t="shared" si="42"/>
        <v>0.20110622592149888</v>
      </c>
      <c r="F69" s="4824">
        <v>0.21058748732226307</v>
      </c>
      <c r="G69" s="4825">
        <v>0.28515414667158856</v>
      </c>
      <c r="H69" s="4826">
        <v>0.23987714946456681</v>
      </c>
      <c r="I69" s="4826">
        <v>0.18313879098130381</v>
      </c>
      <c r="J69" s="4827">
        <v>0.20110622592149888</v>
      </c>
      <c r="K69" s="4824">
        <v>0.21725153489589327</v>
      </c>
      <c r="L69" s="4828"/>
      <c r="M69" s="4829">
        <f>E69</f>
        <v>0.20110622592149888</v>
      </c>
      <c r="N69" s="4830">
        <f>N61</f>
        <v>0.13500000000000001</v>
      </c>
    </row>
    <row r="70" spans="2:14" s="1877" customFormat="1" ht="23.25" customHeight="1" x14ac:dyDescent="0.25">
      <c r="B70" s="1877">
        <v>15</v>
      </c>
      <c r="C70" s="4785" t="s">
        <v>794</v>
      </c>
      <c r="D70" s="4786"/>
      <c r="E70" s="4787"/>
      <c r="F70" s="4788"/>
      <c r="G70" s="4786"/>
      <c r="H70" s="4787"/>
      <c r="I70" s="4787"/>
      <c r="J70" s="4787"/>
      <c r="K70" s="4788"/>
      <c r="L70" s="4789"/>
      <c r="M70" s="4787"/>
      <c r="N70" s="4790"/>
    </row>
    <row r="71" spans="2:14" x14ac:dyDescent="0.25">
      <c r="B71" s="4791">
        <v>16</v>
      </c>
      <c r="C71" s="4844" t="s">
        <v>1330</v>
      </c>
      <c r="D71" s="4833">
        <v>1</v>
      </c>
      <c r="E71" s="4834">
        <f t="shared" ref="E71:E87" si="45">HLOOKUP($D$55,$F$56:$K$102,B71,FALSE)</f>
        <v>0.72067555555555562</v>
      </c>
      <c r="F71" s="4845">
        <v>0.74649760479041882</v>
      </c>
      <c r="G71" s="4846">
        <v>0.77196249999999988</v>
      </c>
      <c r="H71" s="4797">
        <v>0.77069444444444446</v>
      </c>
      <c r="I71" s="4797">
        <v>0.77453333333333352</v>
      </c>
      <c r="J71" s="4797">
        <v>0.72067555555555562</v>
      </c>
      <c r="K71" s="4845">
        <v>0.74010952380952366</v>
      </c>
      <c r="L71" s="4847"/>
      <c r="M71" s="4848">
        <f>E71</f>
        <v>0.72067555555555562</v>
      </c>
      <c r="N71" s="4849">
        <f>D71*$N$55</f>
        <v>0.9</v>
      </c>
    </row>
    <row r="72" spans="2:14" ht="15" customHeight="1" x14ac:dyDescent="0.25">
      <c r="B72" s="4791">
        <v>17</v>
      </c>
      <c r="C72" s="4850" t="s">
        <v>1384</v>
      </c>
      <c r="D72" s="4820">
        <v>1</v>
      </c>
      <c r="E72" s="4813">
        <f t="shared" si="45"/>
        <v>0.37242352941176465</v>
      </c>
      <c r="F72" s="4851">
        <v>0.4154032258064515</v>
      </c>
      <c r="G72" s="4852">
        <v>0.61781428571428576</v>
      </c>
      <c r="H72" s="4816">
        <v>0.44597272727272724</v>
      </c>
      <c r="I72" s="4816">
        <v>0.38582777777777788</v>
      </c>
      <c r="J72" s="4816">
        <v>0.37242352941176465</v>
      </c>
      <c r="K72" s="4851">
        <v>0.36094444444444451</v>
      </c>
      <c r="L72" s="4853"/>
      <c r="M72" s="4854">
        <f>E72</f>
        <v>0.37242352941176465</v>
      </c>
      <c r="N72" s="4855">
        <f>D72*$N$55</f>
        <v>0.9</v>
      </c>
    </row>
    <row r="73" spans="2:14" x14ac:dyDescent="0.25">
      <c r="B73" s="4791">
        <v>18</v>
      </c>
      <c r="C73" s="4802" t="s">
        <v>805</v>
      </c>
      <c r="D73" s="4820">
        <v>1</v>
      </c>
      <c r="E73" s="4813">
        <f t="shared" si="45"/>
        <v>0.90410000000000013</v>
      </c>
      <c r="F73" s="4851">
        <v>0.81067500000000015</v>
      </c>
      <c r="G73" s="4852">
        <v>0.77655999999999992</v>
      </c>
      <c r="H73" s="4816">
        <v>0.90302499999999997</v>
      </c>
      <c r="I73" s="4816">
        <v>0.82750000000000001</v>
      </c>
      <c r="J73" s="4816">
        <v>0.90410000000000013</v>
      </c>
      <c r="K73" s="4851">
        <v>0.55430000000000001</v>
      </c>
      <c r="L73" s="4853"/>
      <c r="M73" s="4854">
        <f t="shared" si="43"/>
        <v>0.90410000000000013</v>
      </c>
      <c r="N73" s="4855">
        <f t="shared" si="44"/>
        <v>0.9</v>
      </c>
    </row>
    <row r="74" spans="2:14" x14ac:dyDescent="0.25">
      <c r="B74" s="4791">
        <v>19</v>
      </c>
      <c r="C74" s="4802" t="s">
        <v>159</v>
      </c>
      <c r="D74" s="4820">
        <v>1</v>
      </c>
      <c r="E74" s="4813">
        <f t="shared" si="45"/>
        <v>0.9</v>
      </c>
      <c r="F74" s="4851">
        <v>0.96313333333333329</v>
      </c>
      <c r="G74" s="4852">
        <v>0.97633999999999999</v>
      </c>
      <c r="H74" s="4816">
        <v>0.8970999999999999</v>
      </c>
      <c r="I74" s="4816">
        <v>0.9</v>
      </c>
      <c r="J74" s="4816">
        <v>0.9</v>
      </c>
      <c r="K74" s="4851">
        <v>0.9</v>
      </c>
      <c r="L74" s="4853"/>
      <c r="M74" s="4854">
        <f t="shared" si="43"/>
        <v>0.9</v>
      </c>
      <c r="N74" s="4855">
        <f t="shared" si="44"/>
        <v>0.9</v>
      </c>
    </row>
    <row r="75" spans="2:14" x14ac:dyDescent="0.25">
      <c r="B75" s="4791">
        <v>20</v>
      </c>
      <c r="C75" s="4802" t="s">
        <v>806</v>
      </c>
      <c r="D75" s="4820">
        <v>0.2</v>
      </c>
      <c r="E75" s="4813">
        <f t="shared" si="45"/>
        <v>0</v>
      </c>
      <c r="F75" s="4851">
        <v>5.4624999999999986E-3</v>
      </c>
      <c r="G75" s="4852">
        <v>7.2833333333333318E-3</v>
      </c>
      <c r="H75" s="4816">
        <v>0</v>
      </c>
      <c r="I75" s="4816">
        <v>0</v>
      </c>
      <c r="J75" s="4816">
        <v>0</v>
      </c>
      <c r="K75" s="4851">
        <v>0</v>
      </c>
      <c r="L75" s="4853"/>
      <c r="M75" s="4854">
        <f>E75</f>
        <v>0</v>
      </c>
      <c r="N75" s="4855">
        <f>D75*$N$55</f>
        <v>0.18000000000000002</v>
      </c>
    </row>
    <row r="76" spans="2:14" x14ac:dyDescent="0.25">
      <c r="B76" s="4791">
        <v>21</v>
      </c>
      <c r="C76" s="4856" t="s">
        <v>38</v>
      </c>
      <c r="D76" s="4820">
        <v>1</v>
      </c>
      <c r="E76" s="4813">
        <f t="shared" si="45"/>
        <v>0</v>
      </c>
      <c r="F76" s="4851">
        <v>0.70402500000000001</v>
      </c>
      <c r="G76" s="4852">
        <v>0.77203333333333335</v>
      </c>
      <c r="H76" s="4816">
        <v>1</v>
      </c>
      <c r="I76" s="4816">
        <v>0</v>
      </c>
      <c r="J76" s="4816">
        <v>0</v>
      </c>
      <c r="K76" s="4851">
        <v>0</v>
      </c>
      <c r="L76" s="4853"/>
      <c r="M76" s="4854">
        <f t="shared" si="43"/>
        <v>0</v>
      </c>
      <c r="N76" s="4855">
        <f t="shared" si="44"/>
        <v>0.9</v>
      </c>
    </row>
    <row r="77" spans="2:14" x14ac:dyDescent="0.25">
      <c r="B77" s="4791">
        <v>22</v>
      </c>
      <c r="C77" s="4802" t="s">
        <v>807</v>
      </c>
      <c r="D77" s="4820">
        <v>0.8</v>
      </c>
      <c r="E77" s="4813">
        <f t="shared" si="45"/>
        <v>0.94871499999999997</v>
      </c>
      <c r="F77" s="4851">
        <v>0.94023541666666643</v>
      </c>
      <c r="G77" s="4852">
        <v>0.75107142857142861</v>
      </c>
      <c r="H77" s="4816">
        <v>0.91914117647058802</v>
      </c>
      <c r="I77" s="4816">
        <v>0.95760322580645152</v>
      </c>
      <c r="J77" s="4816">
        <v>0.94871499999999997</v>
      </c>
      <c r="K77" s="4851">
        <v>0.95666734693877553</v>
      </c>
      <c r="L77" s="4853"/>
      <c r="M77" s="4854">
        <f t="shared" si="43"/>
        <v>0.94871499999999997</v>
      </c>
      <c r="N77" s="4855">
        <f t="shared" si="44"/>
        <v>0.72000000000000008</v>
      </c>
    </row>
    <row r="78" spans="2:14" x14ac:dyDescent="0.25">
      <c r="B78" s="4791">
        <v>23</v>
      </c>
      <c r="C78" s="4802" t="s">
        <v>808</v>
      </c>
      <c r="D78" s="4812">
        <v>0.9</v>
      </c>
      <c r="E78" s="4813">
        <f t="shared" si="45"/>
        <v>0.60994705882352951</v>
      </c>
      <c r="F78" s="4851">
        <v>0.61897343750000011</v>
      </c>
      <c r="G78" s="4852">
        <v>0.63900000000000001</v>
      </c>
      <c r="H78" s="4816">
        <v>0.52087272727272738</v>
      </c>
      <c r="I78" s="4816">
        <v>0.66708000000000001</v>
      </c>
      <c r="J78" s="4816">
        <v>0.60994705882352951</v>
      </c>
      <c r="K78" s="4851">
        <v>0.63445454545454549</v>
      </c>
      <c r="L78" s="4853"/>
      <c r="M78" s="4854">
        <f t="shared" si="43"/>
        <v>0.60994705882352951</v>
      </c>
      <c r="N78" s="4855">
        <f t="shared" si="44"/>
        <v>0.81</v>
      </c>
    </row>
    <row r="79" spans="2:14" x14ac:dyDescent="0.25">
      <c r="B79" s="4791">
        <v>24</v>
      </c>
      <c r="C79" s="4821" t="s">
        <v>809</v>
      </c>
      <c r="D79" s="4857">
        <v>1</v>
      </c>
      <c r="E79" s="4823">
        <f t="shared" si="45"/>
        <v>0.42751875</v>
      </c>
      <c r="F79" s="4858">
        <v>0.5849868852459017</v>
      </c>
      <c r="G79" s="4859">
        <v>0.60387999999999997</v>
      </c>
      <c r="H79" s="4826">
        <v>0.81751818181818181</v>
      </c>
      <c r="I79" s="4826">
        <v>0.58823333333333327</v>
      </c>
      <c r="J79" s="4826">
        <v>0.42751875</v>
      </c>
      <c r="K79" s="4858">
        <v>0.56759999999999988</v>
      </c>
      <c r="L79" s="4860"/>
      <c r="M79" s="4861">
        <f t="shared" si="43"/>
        <v>0.42751875</v>
      </c>
      <c r="N79" s="4862">
        <f t="shared" si="44"/>
        <v>0.9</v>
      </c>
    </row>
    <row r="80" spans="2:14" x14ac:dyDescent="0.25">
      <c r="B80" s="4831">
        <v>25</v>
      </c>
      <c r="C80" s="4832" t="s">
        <v>1345</v>
      </c>
      <c r="D80" s="4793">
        <v>1</v>
      </c>
      <c r="E80" s="4834">
        <f t="shared" si="45"/>
        <v>0.64299933372045925</v>
      </c>
      <c r="F80" s="4845">
        <v>0.59127742155863938</v>
      </c>
      <c r="G80" s="4846">
        <v>0.38629139170462673</v>
      </c>
      <c r="H80" s="4797">
        <v>0.50984138446184601</v>
      </c>
      <c r="I80" s="4797">
        <v>0.52164637921387458</v>
      </c>
      <c r="J80" s="4797">
        <v>0.64299933372045925</v>
      </c>
      <c r="K80" s="4845">
        <v>0.63685026642873077</v>
      </c>
      <c r="L80" s="4847"/>
      <c r="M80" s="4848">
        <f t="shared" si="43"/>
        <v>0.64299933372045925</v>
      </c>
      <c r="N80" s="4849">
        <f>N71</f>
        <v>0.9</v>
      </c>
    </row>
    <row r="81" spans="2:14" x14ac:dyDescent="0.25">
      <c r="B81" s="4831">
        <v>26</v>
      </c>
      <c r="C81" s="4856" t="s">
        <v>1346</v>
      </c>
      <c r="D81" s="4812">
        <v>1</v>
      </c>
      <c r="E81" s="4813">
        <f t="shared" si="45"/>
        <v>0.64824736842105268</v>
      </c>
      <c r="F81" s="4851">
        <v>0.64579925925925952</v>
      </c>
      <c r="G81" s="4852">
        <v>0.48148000000000002</v>
      </c>
      <c r="H81" s="4816">
        <v>0.5764307692307693</v>
      </c>
      <c r="I81" s="4816">
        <v>0.67090000000000005</v>
      </c>
      <c r="J81" s="4816">
        <v>0.64824736842105268</v>
      </c>
      <c r="K81" s="4851">
        <v>0.66398627450980419</v>
      </c>
      <c r="L81" s="4853"/>
      <c r="M81" s="4854">
        <f t="shared" si="43"/>
        <v>0.64824736842105268</v>
      </c>
      <c r="N81" s="4855">
        <f>N71</f>
        <v>0.9</v>
      </c>
    </row>
    <row r="82" spans="2:14" ht="30" x14ac:dyDescent="0.25">
      <c r="B82" s="4831">
        <v>27</v>
      </c>
      <c r="C82" s="4856" t="s">
        <v>1381</v>
      </c>
      <c r="D82" s="4812">
        <v>1</v>
      </c>
      <c r="E82" s="4813">
        <f t="shared" si="45"/>
        <v>0.28863363137209175</v>
      </c>
      <c r="F82" s="4851">
        <v>0.33926074005473417</v>
      </c>
      <c r="G82" s="4852">
        <v>0.81226088988725853</v>
      </c>
      <c r="H82" s="4816">
        <v>0.57388694763556991</v>
      </c>
      <c r="I82" s="4816">
        <v>0.45068711819608737</v>
      </c>
      <c r="J82" s="4816">
        <v>0.28863363137209175</v>
      </c>
      <c r="K82" s="4851">
        <v>0.20796777606864325</v>
      </c>
      <c r="L82" s="4853"/>
      <c r="M82" s="4854">
        <f t="shared" si="43"/>
        <v>0.28863363137209175</v>
      </c>
      <c r="N82" s="4855">
        <f>N71</f>
        <v>0.9</v>
      </c>
    </row>
    <row r="83" spans="2:14" ht="30" x14ac:dyDescent="0.25">
      <c r="B83" s="4831">
        <v>28</v>
      </c>
      <c r="C83" s="4856" t="s">
        <v>1430</v>
      </c>
      <c r="D83" s="4812">
        <v>1</v>
      </c>
      <c r="E83" s="4813">
        <f t="shared" si="45"/>
        <v>0</v>
      </c>
      <c r="F83" s="4851"/>
      <c r="G83" s="4852"/>
      <c r="H83" s="4816"/>
      <c r="I83" s="4816"/>
      <c r="J83" s="4816"/>
      <c r="K83" s="4851"/>
      <c r="L83" s="4853"/>
      <c r="M83" s="4854">
        <f t="shared" si="43"/>
        <v>0</v>
      </c>
      <c r="N83" s="4855">
        <f>N73</f>
        <v>0.9</v>
      </c>
    </row>
    <row r="84" spans="2:14" ht="30" x14ac:dyDescent="0.25">
      <c r="B84" s="4831">
        <v>29</v>
      </c>
      <c r="C84" s="4856" t="s">
        <v>1368</v>
      </c>
      <c r="D84" s="4812">
        <v>1</v>
      </c>
      <c r="E84" s="4813">
        <f t="shared" si="45"/>
        <v>0</v>
      </c>
      <c r="F84" s="4851"/>
      <c r="G84" s="4852"/>
      <c r="H84" s="4816"/>
      <c r="I84" s="4816"/>
      <c r="J84" s="4816"/>
      <c r="K84" s="4851"/>
      <c r="L84" s="4853"/>
      <c r="M84" s="4854">
        <f t="shared" si="43"/>
        <v>0</v>
      </c>
      <c r="N84" s="4855">
        <f>N74</f>
        <v>0.9</v>
      </c>
    </row>
    <row r="85" spans="2:14" ht="30" x14ac:dyDescent="0.25">
      <c r="B85" s="4831">
        <v>30</v>
      </c>
      <c r="C85" s="4856" t="s">
        <v>1363</v>
      </c>
      <c r="D85" s="4812">
        <v>0.2</v>
      </c>
      <c r="E85" s="4813">
        <f t="shared" si="45"/>
        <v>0</v>
      </c>
      <c r="F85" s="4851"/>
      <c r="G85" s="4852"/>
      <c r="H85" s="4816"/>
      <c r="I85" s="4816"/>
      <c r="J85" s="4816"/>
      <c r="K85" s="4851"/>
      <c r="L85" s="4853"/>
      <c r="M85" s="4854">
        <f t="shared" si="43"/>
        <v>0</v>
      </c>
      <c r="N85" s="4855">
        <f>N75</f>
        <v>0.18000000000000002</v>
      </c>
    </row>
    <row r="86" spans="2:14" x14ac:dyDescent="0.25">
      <c r="B86" s="4831">
        <v>31</v>
      </c>
      <c r="C86" s="4856" t="s">
        <v>1139</v>
      </c>
      <c r="D86" s="4812">
        <v>1</v>
      </c>
      <c r="E86" s="4813">
        <f t="shared" si="45"/>
        <v>0</v>
      </c>
      <c r="F86" s="4851"/>
      <c r="G86" s="4852"/>
      <c r="H86" s="4816"/>
      <c r="I86" s="4816"/>
      <c r="J86" s="4816"/>
      <c r="K86" s="4851"/>
      <c r="L86" s="4853"/>
      <c r="M86" s="4854">
        <f t="shared" si="43"/>
        <v>0</v>
      </c>
      <c r="N86" s="4855">
        <f>N76</f>
        <v>0.9</v>
      </c>
    </row>
    <row r="87" spans="2:14" ht="30" x14ac:dyDescent="0.25">
      <c r="B87" s="4831">
        <v>32</v>
      </c>
      <c r="C87" s="4843" t="s">
        <v>1436</v>
      </c>
      <c r="D87" s="4857">
        <v>0.9</v>
      </c>
      <c r="E87" s="4823">
        <f t="shared" si="45"/>
        <v>0.60994705882352951</v>
      </c>
      <c r="F87" s="4858">
        <f t="shared" ref="F87:K87" si="46">F78</f>
        <v>0.61897343750000011</v>
      </c>
      <c r="G87" s="4859">
        <f t="shared" si="46"/>
        <v>0.63900000000000001</v>
      </c>
      <c r="H87" s="4826">
        <f t="shared" si="46"/>
        <v>0.52087272727272738</v>
      </c>
      <c r="I87" s="4826">
        <f t="shared" si="46"/>
        <v>0.66708000000000001</v>
      </c>
      <c r="J87" s="4826">
        <f t="shared" si="46"/>
        <v>0.60994705882352951</v>
      </c>
      <c r="K87" s="4858">
        <f t="shared" si="46"/>
        <v>0.63445454545454549</v>
      </c>
      <c r="L87" s="4860"/>
      <c r="M87" s="4861">
        <f>E87</f>
        <v>0.60994705882352951</v>
      </c>
      <c r="N87" s="4862">
        <f>N78</f>
        <v>0.81</v>
      </c>
    </row>
    <row r="88" spans="2:14" s="1877" customFormat="1" ht="23.25" customHeight="1" x14ac:dyDescent="0.25">
      <c r="B88" s="1877">
        <v>33</v>
      </c>
      <c r="C88" s="4785" t="s">
        <v>1136</v>
      </c>
      <c r="D88" s="4786"/>
      <c r="E88" s="4787"/>
      <c r="F88" s="4788"/>
      <c r="G88" s="4786"/>
      <c r="H88" s="4787"/>
      <c r="I88" s="4787"/>
      <c r="J88" s="4787"/>
      <c r="K88" s="4788"/>
      <c r="L88" s="4789"/>
      <c r="M88" s="4787"/>
      <c r="N88" s="4790"/>
    </row>
    <row r="89" spans="2:14" ht="15" customHeight="1" x14ac:dyDescent="0.25">
      <c r="B89" s="4791">
        <v>34</v>
      </c>
      <c r="C89" s="4863" t="s">
        <v>1331</v>
      </c>
      <c r="D89" s="4864">
        <v>1</v>
      </c>
      <c r="E89" s="4865">
        <f>HLOOKUP($D$55,$F$56:$K$102,B89,FALSE)</f>
        <v>9.5959459459459454E-2</v>
      </c>
      <c r="F89" s="4866">
        <v>0.16188914728682177</v>
      </c>
      <c r="G89" s="4867">
        <v>0.25213749999999996</v>
      </c>
      <c r="H89" s="4868">
        <v>0.28728750000000003</v>
      </c>
      <c r="I89" s="4868">
        <v>0.15006923076923073</v>
      </c>
      <c r="J89" s="4869">
        <v>9.5959459459459454E-2</v>
      </c>
      <c r="K89" s="4866">
        <v>0.16232619047619046</v>
      </c>
      <c r="L89" s="4870"/>
      <c r="M89" s="4871">
        <f>E89</f>
        <v>9.5959459459459454E-2</v>
      </c>
      <c r="N89" s="4872">
        <f t="shared" si="44"/>
        <v>0.9</v>
      </c>
    </row>
    <row r="90" spans="2:14" ht="15" customHeight="1" x14ac:dyDescent="0.25">
      <c r="B90" s="4791">
        <v>35</v>
      </c>
      <c r="C90" s="4873" t="s">
        <v>1122</v>
      </c>
      <c r="D90" s="4874">
        <v>0</v>
      </c>
      <c r="E90" s="4875">
        <f>HLOOKUP($D$55,$F$56:$K$102,B90,FALSE)</f>
        <v>2.8222222222222224</v>
      </c>
      <c r="F90" s="4876">
        <v>5.6467065868263475</v>
      </c>
      <c r="G90" s="4877">
        <v>30.75</v>
      </c>
      <c r="H90" s="4878">
        <v>13.888888888888889</v>
      </c>
      <c r="I90" s="4878">
        <v>5.666666666666667</v>
      </c>
      <c r="J90" s="4879">
        <v>2.8222222222222224</v>
      </c>
      <c r="K90" s="4876">
        <v>2.1111111111111112</v>
      </c>
      <c r="L90" s="4880"/>
      <c r="M90" s="4881">
        <f>E90</f>
        <v>2.8222222222222224</v>
      </c>
      <c r="N90" s="4882">
        <v>0</v>
      </c>
    </row>
    <row r="91" spans="2:14" s="1877" customFormat="1" ht="23.25" customHeight="1" x14ac:dyDescent="0.25">
      <c r="B91" s="1877">
        <v>36</v>
      </c>
      <c r="C91" s="4785" t="s">
        <v>792</v>
      </c>
      <c r="D91" s="4786"/>
      <c r="E91" s="4787"/>
      <c r="F91" s="4788"/>
      <c r="G91" s="4786"/>
      <c r="H91" s="4787"/>
      <c r="I91" s="4787"/>
      <c r="J91" s="4787"/>
      <c r="K91" s="4788"/>
      <c r="L91" s="4789"/>
      <c r="M91" s="4787"/>
      <c r="N91" s="4790"/>
    </row>
    <row r="92" spans="2:14" ht="15" customHeight="1" x14ac:dyDescent="0.25">
      <c r="B92" s="4791">
        <v>37</v>
      </c>
      <c r="C92" s="4792" t="s">
        <v>793</v>
      </c>
      <c r="D92" s="4833">
        <v>1</v>
      </c>
      <c r="E92" s="4834">
        <f t="shared" ref="E92:E102" si="47">HLOOKUP($D$55,$F$56:$K$102,B92,FALSE)</f>
        <v>0.8850266666666663</v>
      </c>
      <c r="F92" s="4845">
        <v>0.84348802395209577</v>
      </c>
      <c r="G92" s="4846">
        <v>0.74323749999999988</v>
      </c>
      <c r="H92" s="4797">
        <v>0.85561666666666669</v>
      </c>
      <c r="I92" s="4797">
        <v>0.80695454545454537</v>
      </c>
      <c r="J92" s="4797">
        <v>0.8850266666666663</v>
      </c>
      <c r="K92" s="4845">
        <v>0.84221904761904742</v>
      </c>
      <c r="L92" s="4847"/>
      <c r="M92" s="4848">
        <f t="shared" si="43"/>
        <v>0.8850266666666663</v>
      </c>
      <c r="N92" s="4849">
        <f t="shared" si="44"/>
        <v>0.9</v>
      </c>
    </row>
    <row r="93" spans="2:14" ht="15" customHeight="1" x14ac:dyDescent="0.25">
      <c r="B93" s="4791">
        <v>38</v>
      </c>
      <c r="C93" s="4883" t="s">
        <v>810</v>
      </c>
      <c r="D93" s="4820">
        <v>1</v>
      </c>
      <c r="E93" s="4813">
        <f t="shared" si="47"/>
        <v>0.92829333333333319</v>
      </c>
      <c r="F93" s="4851">
        <v>0.93644550898203571</v>
      </c>
      <c r="G93" s="4852">
        <v>0.83148750000000005</v>
      </c>
      <c r="H93" s="4816">
        <v>0.95291666666666675</v>
      </c>
      <c r="I93" s="4816">
        <v>0.95021212121212117</v>
      </c>
      <c r="J93" s="4816">
        <v>0.92829333333333319</v>
      </c>
      <c r="K93" s="4851">
        <v>0.94367936507936501</v>
      </c>
      <c r="L93" s="4853"/>
      <c r="M93" s="4854">
        <f t="shared" si="43"/>
        <v>0.92829333333333319</v>
      </c>
      <c r="N93" s="4855">
        <f t="shared" si="44"/>
        <v>0.9</v>
      </c>
    </row>
    <row r="94" spans="2:14" ht="15" customHeight="1" x14ac:dyDescent="0.25">
      <c r="B94" s="4791">
        <v>39</v>
      </c>
      <c r="C94" s="4883" t="s">
        <v>442</v>
      </c>
      <c r="D94" s="4820">
        <v>1</v>
      </c>
      <c r="E94" s="4813">
        <f t="shared" si="47"/>
        <v>5.3933333333333333E-3</v>
      </c>
      <c r="F94" s="4851">
        <v>7.5225609756097555E-3</v>
      </c>
      <c r="G94" s="4852">
        <v>5.7571428571428572E-2</v>
      </c>
      <c r="H94" s="4816">
        <v>4.329411764705882E-3</v>
      </c>
      <c r="I94" s="4816">
        <v>8.542424242424242E-3</v>
      </c>
      <c r="J94" s="4816">
        <v>5.3933333333333333E-3</v>
      </c>
      <c r="K94" s="4851">
        <v>3.7499999999999999E-3</v>
      </c>
      <c r="L94" s="4853"/>
      <c r="M94" s="4854">
        <f t="shared" si="43"/>
        <v>5.3933333333333333E-3</v>
      </c>
      <c r="N94" s="4855">
        <f t="shared" si="44"/>
        <v>0.9</v>
      </c>
    </row>
    <row r="95" spans="2:14" ht="15" customHeight="1" x14ac:dyDescent="0.25">
      <c r="B95" s="4791">
        <v>40</v>
      </c>
      <c r="C95" s="4883" t="s">
        <v>685</v>
      </c>
      <c r="D95" s="4820">
        <v>0.8</v>
      </c>
      <c r="E95" s="4813">
        <f t="shared" si="47"/>
        <v>0.44094137931034483</v>
      </c>
      <c r="F95" s="4851">
        <v>0.40684444444444445</v>
      </c>
      <c r="G95" s="4852">
        <v>0.49662500000000009</v>
      </c>
      <c r="H95" s="4816">
        <v>0.173675</v>
      </c>
      <c r="I95" s="4816">
        <v>0.33108999999999994</v>
      </c>
      <c r="J95" s="4816">
        <v>0.44094137931034483</v>
      </c>
      <c r="K95" s="4851">
        <v>0.40628333333333339</v>
      </c>
      <c r="L95" s="4853"/>
      <c r="M95" s="4854">
        <f t="shared" si="43"/>
        <v>0.44094137931034483</v>
      </c>
      <c r="N95" s="4855">
        <f t="shared" si="44"/>
        <v>0.72000000000000008</v>
      </c>
    </row>
    <row r="96" spans="2:14" ht="15" customHeight="1" x14ac:dyDescent="0.25">
      <c r="B96" s="4791">
        <v>41</v>
      </c>
      <c r="C96" s="4883" t="s">
        <v>686</v>
      </c>
      <c r="D96" s="4820">
        <v>1</v>
      </c>
      <c r="E96" s="4813">
        <f t="shared" si="47"/>
        <v>0</v>
      </c>
      <c r="F96" s="4851">
        <v>0.28952857142857147</v>
      </c>
      <c r="G96" s="4852">
        <v>0.40534000000000003</v>
      </c>
      <c r="H96" s="4816">
        <v>0</v>
      </c>
      <c r="I96" s="4816">
        <v>0</v>
      </c>
      <c r="J96" s="4816">
        <v>0</v>
      </c>
      <c r="K96" s="4851">
        <v>0</v>
      </c>
      <c r="L96" s="4853"/>
      <c r="M96" s="4854">
        <f t="shared" si="43"/>
        <v>0</v>
      </c>
      <c r="N96" s="4855">
        <f t="shared" si="44"/>
        <v>0.9</v>
      </c>
    </row>
    <row r="97" spans="2:14" ht="15" customHeight="1" x14ac:dyDescent="0.25">
      <c r="B97" s="4791">
        <v>42</v>
      </c>
      <c r="C97" s="4883" t="s">
        <v>802</v>
      </c>
      <c r="D97" s="4820">
        <v>0.8</v>
      </c>
      <c r="E97" s="4813">
        <f t="shared" si="47"/>
        <v>0.95677111111111102</v>
      </c>
      <c r="F97" s="4851">
        <v>0.95653374233128841</v>
      </c>
      <c r="G97" s="4852">
        <v>0.83578571428571424</v>
      </c>
      <c r="H97" s="4816">
        <v>0.94348333333333334</v>
      </c>
      <c r="I97" s="4816">
        <v>0.9477575757575758</v>
      </c>
      <c r="J97" s="4816">
        <v>0.95677111111111102</v>
      </c>
      <c r="K97" s="4851">
        <v>0.97918499999999997</v>
      </c>
      <c r="L97" s="4853"/>
      <c r="M97" s="4854">
        <f t="shared" si="43"/>
        <v>0.95677111111111102</v>
      </c>
      <c r="N97" s="4855">
        <f t="shared" si="44"/>
        <v>0.72000000000000008</v>
      </c>
    </row>
    <row r="98" spans="2:14" ht="15" customHeight="1" x14ac:dyDescent="0.25">
      <c r="B98" s="4791">
        <v>43</v>
      </c>
      <c r="C98" s="4883" t="s">
        <v>811</v>
      </c>
      <c r="D98" s="4812">
        <v>0.9</v>
      </c>
      <c r="E98" s="4813">
        <f t="shared" si="47"/>
        <v>0.61099999999999999</v>
      </c>
      <c r="F98" s="4851">
        <v>0.57430522875816992</v>
      </c>
      <c r="G98" s="4852">
        <v>0.41753333333333331</v>
      </c>
      <c r="H98" s="4816">
        <v>0.55631666666666668</v>
      </c>
      <c r="I98" s="4816">
        <v>0.64681</v>
      </c>
      <c r="J98" s="4816">
        <v>0.61099999999999999</v>
      </c>
      <c r="K98" s="4851">
        <v>0.52986607142857145</v>
      </c>
      <c r="L98" s="4853"/>
      <c r="M98" s="4854">
        <f t="shared" si="43"/>
        <v>0.61099999999999999</v>
      </c>
      <c r="N98" s="4855">
        <f t="shared" si="44"/>
        <v>0.81</v>
      </c>
    </row>
    <row r="99" spans="2:14" x14ac:dyDescent="0.25">
      <c r="B99" s="4791">
        <v>44</v>
      </c>
      <c r="C99" s="4884" t="s">
        <v>812</v>
      </c>
      <c r="D99" s="4857">
        <v>1</v>
      </c>
      <c r="E99" s="4823">
        <f t="shared" si="47"/>
        <v>0.15652727272727274</v>
      </c>
      <c r="F99" s="4858">
        <v>0.18172767295597481</v>
      </c>
      <c r="G99" s="4859">
        <v>0.17712857142857141</v>
      </c>
      <c r="H99" s="4826">
        <v>0.21868333333333331</v>
      </c>
      <c r="I99" s="4826">
        <v>0.16477878787878783</v>
      </c>
      <c r="J99" s="4826">
        <v>0.15652727272727274</v>
      </c>
      <c r="K99" s="4858">
        <v>0.19988771929824559</v>
      </c>
      <c r="L99" s="4860"/>
      <c r="M99" s="4861">
        <f t="shared" si="43"/>
        <v>0.15652727272727274</v>
      </c>
      <c r="N99" s="4862">
        <f t="shared" si="44"/>
        <v>0.9</v>
      </c>
    </row>
    <row r="100" spans="2:14" ht="30" x14ac:dyDescent="0.25">
      <c r="B100" s="4791">
        <v>45</v>
      </c>
      <c r="C100" s="1491" t="s">
        <v>1364</v>
      </c>
      <c r="D100" s="4793">
        <v>1</v>
      </c>
      <c r="E100" s="4834">
        <f t="shared" si="47"/>
        <v>0.8708852497231041</v>
      </c>
      <c r="F100" s="4845">
        <v>0.85342877223280067</v>
      </c>
      <c r="G100" s="4846">
        <v>0.86237817520423832</v>
      </c>
      <c r="H100" s="4797">
        <v>0.88335839340944555</v>
      </c>
      <c r="I100" s="4797">
        <v>0.82759383862790625</v>
      </c>
      <c r="J100" s="4797">
        <v>0.8708852497231041</v>
      </c>
      <c r="K100" s="4845">
        <v>0.84494674556483562</v>
      </c>
      <c r="L100" s="4847"/>
      <c r="M100" s="4848">
        <f t="shared" si="43"/>
        <v>0.8708852497231041</v>
      </c>
      <c r="N100" s="4849">
        <f>N92</f>
        <v>0.9</v>
      </c>
    </row>
    <row r="101" spans="2:14" ht="30" x14ac:dyDescent="0.25">
      <c r="B101" s="4791">
        <v>46</v>
      </c>
      <c r="C101" s="1492" t="s">
        <v>1365</v>
      </c>
      <c r="D101" s="4812">
        <v>1</v>
      </c>
      <c r="E101" s="4813">
        <f t="shared" si="47"/>
        <v>0.68705897435897423</v>
      </c>
      <c r="F101" s="4851">
        <v>0.69563194444444465</v>
      </c>
      <c r="G101" s="4852">
        <v>0.61026666666666662</v>
      </c>
      <c r="H101" s="4816">
        <v>0.68309375000000006</v>
      </c>
      <c r="I101" s="4816">
        <v>0.75005714285714276</v>
      </c>
      <c r="J101" s="4816">
        <v>0.68705897435897423</v>
      </c>
      <c r="K101" s="4851">
        <v>0.68696363636363633</v>
      </c>
      <c r="L101" s="4853"/>
      <c r="M101" s="4854">
        <f t="shared" si="43"/>
        <v>0.68705897435897423</v>
      </c>
      <c r="N101" s="4855">
        <f>N92</f>
        <v>0.9</v>
      </c>
    </row>
    <row r="102" spans="2:14" ht="30.75" thickBot="1" x14ac:dyDescent="0.3">
      <c r="B102" s="4791">
        <v>47</v>
      </c>
      <c r="C102" s="1493" t="s">
        <v>1434</v>
      </c>
      <c r="D102" s="4885">
        <v>0.9</v>
      </c>
      <c r="E102" s="4886">
        <f t="shared" si="47"/>
        <v>0.61099999999999999</v>
      </c>
      <c r="F102" s="4887">
        <f t="shared" ref="F102:K102" si="48">F98</f>
        <v>0.57430522875816992</v>
      </c>
      <c r="G102" s="4888">
        <f t="shared" si="48"/>
        <v>0.41753333333333331</v>
      </c>
      <c r="H102" s="4889">
        <f t="shared" si="48"/>
        <v>0.55631666666666668</v>
      </c>
      <c r="I102" s="4889">
        <f t="shared" si="48"/>
        <v>0.64681</v>
      </c>
      <c r="J102" s="4889">
        <f t="shared" si="48"/>
        <v>0.61099999999999999</v>
      </c>
      <c r="K102" s="4887">
        <f t="shared" si="48"/>
        <v>0.52986607142857145</v>
      </c>
      <c r="L102" s="4890"/>
      <c r="M102" s="4891">
        <f t="shared" si="43"/>
        <v>0.61099999999999999</v>
      </c>
      <c r="N102" s="4892">
        <f>N98</f>
        <v>0.81</v>
      </c>
    </row>
    <row r="103" spans="2:14" x14ac:dyDescent="0.25">
      <c r="E103" s="4078"/>
      <c r="F103" s="4078"/>
      <c r="I103" s="4078"/>
    </row>
    <row r="104" spans="2:14" x14ac:dyDescent="0.25">
      <c r="E104" s="4078"/>
      <c r="F104" s="4078"/>
      <c r="G104" s="4078"/>
      <c r="H104" s="4078"/>
      <c r="I104" s="4078"/>
      <c r="J104" s="4078"/>
      <c r="K104" s="4078"/>
    </row>
    <row r="105" spans="2:14" ht="19.5" thickBot="1" x14ac:dyDescent="0.35">
      <c r="C105" s="4228" t="s">
        <v>821</v>
      </c>
      <c r="F105" s="4078"/>
      <c r="G105" s="4078"/>
      <c r="H105" s="4078"/>
      <c r="I105" s="4078"/>
      <c r="J105" s="4078"/>
      <c r="K105" s="4078"/>
    </row>
    <row r="106" spans="2:14" ht="33.75" customHeight="1" x14ac:dyDescent="0.25">
      <c r="B106" s="4076">
        <v>1</v>
      </c>
      <c r="C106" s="4781" t="s">
        <v>815</v>
      </c>
      <c r="D106" s="4782" t="s">
        <v>582</v>
      </c>
      <c r="E106" s="4783" t="s">
        <v>816</v>
      </c>
      <c r="F106" s="4784" t="s">
        <v>70</v>
      </c>
      <c r="G106" s="4782" t="s">
        <v>71</v>
      </c>
      <c r="H106" s="4783" t="s">
        <v>11</v>
      </c>
      <c r="I106" s="4783" t="s">
        <v>72</v>
      </c>
      <c r="J106" s="4783" t="s">
        <v>73</v>
      </c>
      <c r="K106" s="4784" t="s">
        <v>823</v>
      </c>
      <c r="L106" s="4782" t="s">
        <v>817</v>
      </c>
      <c r="M106" s="4783" t="s">
        <v>819</v>
      </c>
      <c r="N106" s="4784" t="s">
        <v>818</v>
      </c>
    </row>
    <row r="107" spans="2:14" s="1877" customFormat="1" ht="23.25" customHeight="1" x14ac:dyDescent="0.25">
      <c r="B107" s="1877">
        <v>2</v>
      </c>
      <c r="C107" s="4785" t="s">
        <v>795</v>
      </c>
      <c r="D107" s="4786"/>
      <c r="E107" s="4787"/>
      <c r="F107" s="4788"/>
      <c r="G107" s="4786"/>
      <c r="H107" s="4787"/>
      <c r="I107" s="4787"/>
      <c r="J107" s="4787"/>
      <c r="K107" s="4788"/>
      <c r="L107" s="4789"/>
      <c r="M107" s="4787"/>
      <c r="N107" s="4790"/>
    </row>
    <row r="108" spans="2:14" x14ac:dyDescent="0.25">
      <c r="B108" s="4076">
        <v>3</v>
      </c>
      <c r="C108" s="4792" t="s">
        <v>796</v>
      </c>
      <c r="D108" s="4893">
        <v>1</v>
      </c>
      <c r="E108" s="4894">
        <f t="shared" ref="E108:E119" si="49">HLOOKUP($D$55,$F$106:$K$152,B108,FALSE)</f>
        <v>0.60734726027397268</v>
      </c>
      <c r="F108" s="4895">
        <v>0.60722073170731705</v>
      </c>
      <c r="G108" s="4896">
        <v>0.69417058823529421</v>
      </c>
      <c r="H108" s="4897">
        <v>0.59499999999999997</v>
      </c>
      <c r="I108" s="4897">
        <v>0.61093898305084737</v>
      </c>
      <c r="J108" s="4898">
        <v>0.60734726027397268</v>
      </c>
      <c r="K108" s="4895">
        <v>0.43692222222222227</v>
      </c>
      <c r="L108" s="4899"/>
      <c r="M108" s="4900">
        <f t="shared" ref="M108:M119" si="50">E108</f>
        <v>0.60734726027397268</v>
      </c>
      <c r="N108" s="4901">
        <f>N58</f>
        <v>0.9</v>
      </c>
    </row>
    <row r="109" spans="2:14" x14ac:dyDescent="0.25">
      <c r="B109" s="4076">
        <v>4</v>
      </c>
      <c r="C109" s="4802" t="s">
        <v>798</v>
      </c>
      <c r="D109" s="4902">
        <f>IF(AND($D$55="Municipal Corporation",$F$55="Yes"),$G$54,IF(AND($D$55="Municipal Corporation",$F$55="No"),$G$55,IF($F$55="Yes",$H$54,$H$55)))</f>
        <v>70</v>
      </c>
      <c r="E109" s="4903">
        <f t="shared" si="49"/>
        <v>74.421724137931051</v>
      </c>
      <c r="F109" s="4904">
        <v>81.572377049180304</v>
      </c>
      <c r="G109" s="4905">
        <v>127.07875</v>
      </c>
      <c r="H109" s="4906">
        <v>104.34399999999999</v>
      </c>
      <c r="I109" s="4906">
        <v>84.098813559322053</v>
      </c>
      <c r="J109" s="4907">
        <v>74.421724137931051</v>
      </c>
      <c r="K109" s="4904">
        <v>61.362222222222222</v>
      </c>
      <c r="L109" s="4908"/>
      <c r="M109" s="4909">
        <f t="shared" si="50"/>
        <v>74.421724137931051</v>
      </c>
      <c r="N109" s="4910">
        <f t="shared" ref="N109:N152" si="51">N59</f>
        <v>63</v>
      </c>
    </row>
    <row r="110" spans="2:14" x14ac:dyDescent="0.25">
      <c r="B110" s="4076">
        <v>5</v>
      </c>
      <c r="C110" s="4802" t="s">
        <v>800</v>
      </c>
      <c r="D110" s="4911">
        <v>1</v>
      </c>
      <c r="E110" s="4912">
        <f t="shared" si="49"/>
        <v>0.3313581395348838</v>
      </c>
      <c r="F110" s="4913">
        <v>0.3306680851063829</v>
      </c>
      <c r="G110" s="4914">
        <v>0.33861333333333343</v>
      </c>
      <c r="H110" s="4915">
        <v>0.42825555555555556</v>
      </c>
      <c r="I110" s="4915">
        <v>0.27493199999999995</v>
      </c>
      <c r="J110" s="4916">
        <v>0.3313581395348838</v>
      </c>
      <c r="K110" s="4913">
        <v>0.51380000000000003</v>
      </c>
      <c r="L110" s="4917"/>
      <c r="M110" s="4918">
        <f t="shared" si="50"/>
        <v>0.3313581395348838</v>
      </c>
      <c r="N110" s="4919">
        <f t="shared" si="51"/>
        <v>0.9</v>
      </c>
    </row>
    <row r="111" spans="2:14" x14ac:dyDescent="0.25">
      <c r="B111" s="4076">
        <v>6</v>
      </c>
      <c r="C111" s="4802" t="s">
        <v>799</v>
      </c>
      <c r="D111" s="4911">
        <v>0.15</v>
      </c>
      <c r="E111" s="4912">
        <f t="shared" si="49"/>
        <v>0.23634137931034491</v>
      </c>
      <c r="F111" s="4913">
        <v>0.25550979591836737</v>
      </c>
      <c r="G111" s="4914">
        <v>0.3121882352941176</v>
      </c>
      <c r="H111" s="4915">
        <v>0.3163266666666667</v>
      </c>
      <c r="I111" s="4915">
        <v>0.27002033898305094</v>
      </c>
      <c r="J111" s="4916">
        <v>0.23634137931034491</v>
      </c>
      <c r="K111" s="4913">
        <v>0.26078888888888896</v>
      </c>
      <c r="L111" s="4917"/>
      <c r="M111" s="4918">
        <f t="shared" si="50"/>
        <v>0.23634137931034491</v>
      </c>
      <c r="N111" s="4919">
        <f t="shared" si="51"/>
        <v>0.13500000000000001</v>
      </c>
    </row>
    <row r="112" spans="2:14" x14ac:dyDescent="0.25">
      <c r="B112" s="4076">
        <v>7</v>
      </c>
      <c r="C112" s="4802" t="s">
        <v>66</v>
      </c>
      <c r="D112" s="4902">
        <v>24</v>
      </c>
      <c r="E112" s="4920">
        <f t="shared" si="49"/>
        <v>0.99452054794520561</v>
      </c>
      <c r="F112" s="4921">
        <v>1.2884959349593494</v>
      </c>
      <c r="G112" s="4922">
        <v>3.4035294117647057</v>
      </c>
      <c r="H112" s="4923">
        <v>1.4406666666666665</v>
      </c>
      <c r="I112" s="4923">
        <v>1.0791525423728812</v>
      </c>
      <c r="J112" s="4924">
        <v>0.99452054794520561</v>
      </c>
      <c r="K112" s="4921">
        <v>3.181111111111111</v>
      </c>
      <c r="L112" s="4925"/>
      <c r="M112" s="4909">
        <f t="shared" si="50"/>
        <v>0.99452054794520561</v>
      </c>
      <c r="N112" s="4910">
        <f t="shared" si="51"/>
        <v>21.6</v>
      </c>
    </row>
    <row r="113" spans="2:14" x14ac:dyDescent="0.25">
      <c r="B113" s="4076">
        <v>8</v>
      </c>
      <c r="C113" s="4802" t="s">
        <v>802</v>
      </c>
      <c r="D113" s="4911">
        <v>0.8</v>
      </c>
      <c r="E113" s="4912">
        <f t="shared" si="49"/>
        <v>0.85606137931034487</v>
      </c>
      <c r="F113" s="4913">
        <v>0.8511155102040816</v>
      </c>
      <c r="G113" s="4914">
        <v>0.84150588235294121</v>
      </c>
      <c r="H113" s="4915">
        <v>0.88494666666666655</v>
      </c>
      <c r="I113" s="4915">
        <v>0.82816610169491511</v>
      </c>
      <c r="J113" s="4916">
        <v>0.85606137931034487</v>
      </c>
      <c r="K113" s="4913">
        <v>0.88364444444444445</v>
      </c>
      <c r="L113" s="4917"/>
      <c r="M113" s="4918">
        <f t="shared" si="50"/>
        <v>0.85606137931034487</v>
      </c>
      <c r="N113" s="4919">
        <f t="shared" si="51"/>
        <v>0.72000000000000008</v>
      </c>
    </row>
    <row r="114" spans="2:14" x14ac:dyDescent="0.25">
      <c r="B114" s="4076">
        <v>9</v>
      </c>
      <c r="C114" s="4802" t="s">
        <v>801</v>
      </c>
      <c r="D114" s="4911">
        <v>1</v>
      </c>
      <c r="E114" s="4912">
        <f t="shared" si="49"/>
        <v>0.9377075342465756</v>
      </c>
      <c r="F114" s="4913">
        <v>0.93937195121951245</v>
      </c>
      <c r="G114" s="4914">
        <v>0.95127647058823539</v>
      </c>
      <c r="H114" s="4915">
        <v>0.95209333333333324</v>
      </c>
      <c r="I114" s="4915">
        <v>0.93589999999999984</v>
      </c>
      <c r="J114" s="4916">
        <v>0.9377075342465756</v>
      </c>
      <c r="K114" s="4913">
        <v>0.94544444444444453</v>
      </c>
      <c r="L114" s="4917"/>
      <c r="M114" s="4918">
        <f t="shared" si="50"/>
        <v>0.9377075342465756</v>
      </c>
      <c r="N114" s="4919">
        <f t="shared" si="51"/>
        <v>0.9</v>
      </c>
    </row>
    <row r="115" spans="2:14" x14ac:dyDescent="0.25">
      <c r="B115" s="4076">
        <v>10</v>
      </c>
      <c r="C115" s="4802" t="s">
        <v>803</v>
      </c>
      <c r="D115" s="4926">
        <v>0.9</v>
      </c>
      <c r="E115" s="4912">
        <f t="shared" si="49"/>
        <v>0.5982034246575344</v>
      </c>
      <c r="F115" s="4913">
        <v>0.58144979591836721</v>
      </c>
      <c r="G115" s="4914">
        <v>0.6469117647058823</v>
      </c>
      <c r="H115" s="4915">
        <v>0.5214066666666668</v>
      </c>
      <c r="I115" s="4915">
        <v>0.54893728813559328</v>
      </c>
      <c r="J115" s="4916">
        <v>0.5982034246575344</v>
      </c>
      <c r="K115" s="4913">
        <v>0.48894999999999994</v>
      </c>
      <c r="L115" s="4917"/>
      <c r="M115" s="4918">
        <f t="shared" si="50"/>
        <v>0.5982034246575344</v>
      </c>
      <c r="N115" s="4919">
        <f t="shared" si="51"/>
        <v>0.81</v>
      </c>
    </row>
    <row r="116" spans="2:14" x14ac:dyDescent="0.25">
      <c r="B116" s="4076">
        <v>11</v>
      </c>
      <c r="C116" s="4821" t="s">
        <v>804</v>
      </c>
      <c r="D116" s="4927">
        <v>1</v>
      </c>
      <c r="E116" s="4928">
        <f t="shared" si="49"/>
        <v>0.60343904109589031</v>
      </c>
      <c r="F116" s="4929">
        <v>0.67311020408163236</v>
      </c>
      <c r="G116" s="4930">
        <v>0.76478235294117658</v>
      </c>
      <c r="H116" s="4931">
        <v>0.72851999999999995</v>
      </c>
      <c r="I116" s="4931">
        <v>0.81652033898305088</v>
      </c>
      <c r="J116" s="4932">
        <v>0.60343904109589031</v>
      </c>
      <c r="K116" s="4929">
        <v>0.58826250000000002</v>
      </c>
      <c r="L116" s="4933"/>
      <c r="M116" s="4934">
        <f t="shared" si="50"/>
        <v>0.60343904109589031</v>
      </c>
      <c r="N116" s="4935">
        <f t="shared" si="51"/>
        <v>0.9</v>
      </c>
    </row>
    <row r="117" spans="2:14" ht="30.75" customHeight="1" x14ac:dyDescent="0.25">
      <c r="B117" s="4076">
        <v>12</v>
      </c>
      <c r="C117" s="4832" t="s">
        <v>1366</v>
      </c>
      <c r="D117" s="4936">
        <v>1</v>
      </c>
      <c r="E117" s="4894">
        <f t="shared" si="49"/>
        <v>0.33219473684210526</v>
      </c>
      <c r="F117" s="4895">
        <v>0.32042758620689649</v>
      </c>
      <c r="G117" s="4896">
        <v>0.27525333333333335</v>
      </c>
      <c r="H117" s="4897">
        <v>0.35918571428571433</v>
      </c>
      <c r="I117" s="4897">
        <v>0.2930036363636363</v>
      </c>
      <c r="J117" s="4898">
        <v>0.33219473684210526</v>
      </c>
      <c r="K117" s="4895">
        <v>0.38079999999999997</v>
      </c>
      <c r="L117" s="4937"/>
      <c r="M117" s="4900">
        <f t="shared" si="50"/>
        <v>0.33219473684210526</v>
      </c>
      <c r="N117" s="4901">
        <f t="shared" si="51"/>
        <v>0.9</v>
      </c>
    </row>
    <row r="118" spans="2:14" x14ac:dyDescent="0.25">
      <c r="B118" s="4076">
        <v>13</v>
      </c>
      <c r="C118" s="4856" t="s">
        <v>756</v>
      </c>
      <c r="D118" s="4938">
        <f>D109</f>
        <v>70</v>
      </c>
      <c r="E118" s="4903">
        <f t="shared" si="49"/>
        <v>123.75698264083056</v>
      </c>
      <c r="F118" s="4904">
        <v>136.49840301223711</v>
      </c>
      <c r="G118" s="4905">
        <v>190.54344183484304</v>
      </c>
      <c r="H118" s="4906">
        <v>182.64060407333304</v>
      </c>
      <c r="I118" s="4906">
        <v>138.06481973541347</v>
      </c>
      <c r="J118" s="4907">
        <v>123.75698264083056</v>
      </c>
      <c r="K118" s="4904">
        <v>157.10865964968193</v>
      </c>
      <c r="L118" s="4939"/>
      <c r="M118" s="4909">
        <f t="shared" si="50"/>
        <v>123.75698264083056</v>
      </c>
      <c r="N118" s="4910">
        <f t="shared" si="51"/>
        <v>63</v>
      </c>
    </row>
    <row r="119" spans="2:14" x14ac:dyDescent="0.25">
      <c r="B119" s="4076">
        <v>14</v>
      </c>
      <c r="C119" s="4843" t="s">
        <v>1462</v>
      </c>
      <c r="D119" s="4927">
        <v>0.15</v>
      </c>
      <c r="E119" s="4928">
        <f t="shared" si="49"/>
        <v>0.28906770275891686</v>
      </c>
      <c r="F119" s="4929">
        <v>0.30130977600054676</v>
      </c>
      <c r="G119" s="4930">
        <v>0.31482178551106627</v>
      </c>
      <c r="H119" s="4931">
        <v>0.36951759067489187</v>
      </c>
      <c r="I119" s="4931">
        <v>0.30930590573588274</v>
      </c>
      <c r="J119" s="4932">
        <v>0.28906770275891686</v>
      </c>
      <c r="K119" s="4929">
        <v>0.30625170686114056</v>
      </c>
      <c r="L119" s="4940"/>
      <c r="M119" s="4934">
        <f t="shared" si="50"/>
        <v>0.28906770275891686</v>
      </c>
      <c r="N119" s="4935">
        <f t="shared" si="51"/>
        <v>0.13500000000000001</v>
      </c>
    </row>
    <row r="120" spans="2:14" s="1877" customFormat="1" ht="23.25" customHeight="1" x14ac:dyDescent="0.25">
      <c r="B120" s="1877">
        <v>15</v>
      </c>
      <c r="C120" s="4785" t="s">
        <v>794</v>
      </c>
      <c r="D120" s="4786"/>
      <c r="E120" s="4787"/>
      <c r="F120" s="4788"/>
      <c r="G120" s="4786"/>
      <c r="H120" s="4787"/>
      <c r="I120" s="4787"/>
      <c r="J120" s="4787"/>
      <c r="K120" s="4788"/>
      <c r="L120" s="4789"/>
      <c r="M120" s="4787"/>
      <c r="N120" s="4790"/>
    </row>
    <row r="121" spans="2:14" x14ac:dyDescent="0.25">
      <c r="B121" s="4076">
        <v>16</v>
      </c>
      <c r="C121" s="4844" t="s">
        <v>1330</v>
      </c>
      <c r="D121" s="4936">
        <v>1</v>
      </c>
      <c r="E121" s="4941">
        <f t="shared" ref="E121:E137" si="52">HLOOKUP($D$55,$F$106:$K$152,B121,FALSE)</f>
        <v>0.76514041095890439</v>
      </c>
      <c r="F121" s="4942">
        <v>0.7798516260162609</v>
      </c>
      <c r="G121" s="4943">
        <v>0.88060588235294124</v>
      </c>
      <c r="H121" s="4897">
        <v>0.82694666666666672</v>
      </c>
      <c r="I121" s="4897">
        <v>0.77573898305084743</v>
      </c>
      <c r="J121" s="4897">
        <v>0.76514041095890439</v>
      </c>
      <c r="K121" s="4942">
        <v>0.77665555555555554</v>
      </c>
      <c r="L121" s="4944"/>
      <c r="M121" s="4945">
        <f t="shared" ref="M121:M129" si="53">E121</f>
        <v>0.76514041095890439</v>
      </c>
      <c r="N121" s="4946">
        <f t="shared" si="51"/>
        <v>0.9</v>
      </c>
    </row>
    <row r="122" spans="2:14" x14ac:dyDescent="0.25">
      <c r="B122" s="4076">
        <v>17</v>
      </c>
      <c r="C122" s="4850" t="s">
        <v>1384</v>
      </c>
      <c r="D122" s="4926">
        <v>1</v>
      </c>
      <c r="E122" s="4947">
        <f t="shared" si="52"/>
        <v>0.52537500000000004</v>
      </c>
      <c r="F122" s="4948">
        <v>0.43749615384615376</v>
      </c>
      <c r="G122" s="4949">
        <v>0.50140714285714294</v>
      </c>
      <c r="H122" s="4915">
        <v>0.18632500000000005</v>
      </c>
      <c r="I122" s="4915">
        <v>0.37709999999999994</v>
      </c>
      <c r="J122" s="4915">
        <v>0.52537500000000004</v>
      </c>
      <c r="K122" s="4948">
        <v>0</v>
      </c>
      <c r="L122" s="4950"/>
      <c r="M122" s="4951">
        <f t="shared" si="53"/>
        <v>0.52537500000000004</v>
      </c>
      <c r="N122" s="4952">
        <f t="shared" si="51"/>
        <v>0.9</v>
      </c>
    </row>
    <row r="123" spans="2:14" x14ac:dyDescent="0.25">
      <c r="B123" s="4076">
        <v>18</v>
      </c>
      <c r="C123" s="4802" t="s">
        <v>805</v>
      </c>
      <c r="D123" s="4926">
        <v>1</v>
      </c>
      <c r="E123" s="4947">
        <f t="shared" si="52"/>
        <v>0.34087499999999998</v>
      </c>
      <c r="F123" s="4948">
        <v>0.33501739130434788</v>
      </c>
      <c r="G123" s="4949">
        <v>0.3843727272727272</v>
      </c>
      <c r="H123" s="4915">
        <v>0.32150000000000001</v>
      </c>
      <c r="I123" s="4915">
        <v>0.20695</v>
      </c>
      <c r="J123" s="4915">
        <v>0.34087499999999998</v>
      </c>
      <c r="K123" s="4948">
        <v>0</v>
      </c>
      <c r="L123" s="4950"/>
      <c r="M123" s="4951">
        <f t="shared" si="53"/>
        <v>0.34087499999999998</v>
      </c>
      <c r="N123" s="4952">
        <f t="shared" si="51"/>
        <v>0.9</v>
      </c>
    </row>
    <row r="124" spans="2:14" x14ac:dyDescent="0.25">
      <c r="B124" s="4076">
        <v>19</v>
      </c>
      <c r="C124" s="4802" t="s">
        <v>159</v>
      </c>
      <c r="D124" s="4926">
        <v>1</v>
      </c>
      <c r="E124" s="4947">
        <f t="shared" si="52"/>
        <v>0.89210000000000012</v>
      </c>
      <c r="F124" s="4948">
        <v>0.57774666666666663</v>
      </c>
      <c r="G124" s="4949">
        <v>0.53925000000000001</v>
      </c>
      <c r="H124" s="4915">
        <v>0.77634999999999987</v>
      </c>
      <c r="I124" s="4915">
        <v>0.33843333333333336</v>
      </c>
      <c r="J124" s="4915">
        <v>0.89210000000000012</v>
      </c>
      <c r="K124" s="4948">
        <v>0</v>
      </c>
      <c r="L124" s="4950"/>
      <c r="M124" s="4951">
        <f t="shared" si="53"/>
        <v>0.89210000000000012</v>
      </c>
      <c r="N124" s="4952">
        <f t="shared" si="51"/>
        <v>0.9</v>
      </c>
    </row>
    <row r="125" spans="2:14" x14ac:dyDescent="0.25">
      <c r="B125" s="4076">
        <v>20</v>
      </c>
      <c r="C125" s="4953" t="s">
        <v>806</v>
      </c>
      <c r="D125" s="4926">
        <v>0.2</v>
      </c>
      <c r="E125" s="4947">
        <f t="shared" si="52"/>
        <v>0</v>
      </c>
      <c r="F125" s="4948">
        <v>0.17069999999999999</v>
      </c>
      <c r="G125" s="4949">
        <v>0.13187142857142858</v>
      </c>
      <c r="H125" s="4915">
        <v>0.43335000000000001</v>
      </c>
      <c r="I125" s="4915">
        <v>0.2</v>
      </c>
      <c r="J125" s="4915">
        <v>0</v>
      </c>
      <c r="K125" s="4948">
        <v>0</v>
      </c>
      <c r="L125" s="4950"/>
      <c r="M125" s="4951">
        <f t="shared" si="53"/>
        <v>0</v>
      </c>
      <c r="N125" s="4952">
        <f t="shared" si="51"/>
        <v>0.18000000000000002</v>
      </c>
    </row>
    <row r="126" spans="2:14" x14ac:dyDescent="0.25">
      <c r="B126" s="4076">
        <v>21</v>
      </c>
      <c r="C126" s="4856" t="s">
        <v>38</v>
      </c>
      <c r="D126" s="4926">
        <v>1</v>
      </c>
      <c r="E126" s="4947">
        <f t="shared" si="52"/>
        <v>1</v>
      </c>
      <c r="F126" s="4948">
        <v>0.98359375000000004</v>
      </c>
      <c r="G126" s="4949">
        <v>0.97083333333333333</v>
      </c>
      <c r="H126" s="4915">
        <v>1</v>
      </c>
      <c r="I126" s="4915">
        <v>1</v>
      </c>
      <c r="J126" s="4915">
        <v>1</v>
      </c>
      <c r="K126" s="4948">
        <v>0</v>
      </c>
      <c r="L126" s="4950"/>
      <c r="M126" s="4951">
        <f t="shared" si="53"/>
        <v>1</v>
      </c>
      <c r="N126" s="4952">
        <f t="shared" si="51"/>
        <v>0.9</v>
      </c>
    </row>
    <row r="127" spans="2:14" x14ac:dyDescent="0.25">
      <c r="B127" s="4076">
        <v>22</v>
      </c>
      <c r="C127" s="4802" t="s">
        <v>807</v>
      </c>
      <c r="D127" s="4926">
        <v>0.8</v>
      </c>
      <c r="E127" s="4947">
        <f t="shared" si="52"/>
        <v>0.89400208333333353</v>
      </c>
      <c r="F127" s="4948">
        <v>0.88855040983606548</v>
      </c>
      <c r="G127" s="4949">
        <v>0.90168888888888898</v>
      </c>
      <c r="H127" s="4915">
        <v>0.88393999999999995</v>
      </c>
      <c r="I127" s="4915">
        <v>0.8737593220338985</v>
      </c>
      <c r="J127" s="4915">
        <v>0.89400208333333353</v>
      </c>
      <c r="K127" s="4948">
        <v>0.87858749999999997</v>
      </c>
      <c r="L127" s="4950"/>
      <c r="M127" s="4951">
        <f t="shared" si="53"/>
        <v>0.89400208333333353</v>
      </c>
      <c r="N127" s="4952">
        <f t="shared" si="51"/>
        <v>0.72000000000000008</v>
      </c>
    </row>
    <row r="128" spans="2:14" x14ac:dyDescent="0.25">
      <c r="B128" s="4076">
        <v>23</v>
      </c>
      <c r="C128" s="4802" t="s">
        <v>808</v>
      </c>
      <c r="D128" s="4911">
        <v>0.9</v>
      </c>
      <c r="E128" s="4947">
        <f t="shared" si="52"/>
        <v>0.77250444444444455</v>
      </c>
      <c r="F128" s="4948">
        <v>0.77096355140186901</v>
      </c>
      <c r="G128" s="4949">
        <v>0.7334705882352941</v>
      </c>
      <c r="H128" s="4915">
        <v>0.57574999999999998</v>
      </c>
      <c r="I128" s="4915">
        <v>0.84101470588235283</v>
      </c>
      <c r="J128" s="4915">
        <v>0.77250444444444455</v>
      </c>
      <c r="K128" s="4948">
        <v>0.90939999999999999</v>
      </c>
      <c r="L128" s="4950"/>
      <c r="M128" s="4951">
        <f t="shared" si="53"/>
        <v>0.77250444444444455</v>
      </c>
      <c r="N128" s="4952">
        <f t="shared" si="51"/>
        <v>0.81</v>
      </c>
    </row>
    <row r="129" spans="2:14" x14ac:dyDescent="0.25">
      <c r="B129" s="4076">
        <v>24</v>
      </c>
      <c r="C129" s="4821" t="s">
        <v>809</v>
      </c>
      <c r="D129" s="4954">
        <v>1</v>
      </c>
      <c r="E129" s="4955">
        <f t="shared" si="52"/>
        <v>6.2333793103448276E-2</v>
      </c>
      <c r="F129" s="4956">
        <v>0.1276514403292181</v>
      </c>
      <c r="G129" s="4957">
        <v>0.66979411764705876</v>
      </c>
      <c r="H129" s="4931">
        <v>0.24431428571428573</v>
      </c>
      <c r="I129" s="4931">
        <v>0.11536271186440679</v>
      </c>
      <c r="J129" s="4931">
        <v>6.2333793103448276E-2</v>
      </c>
      <c r="K129" s="4956">
        <v>4.5949999999999998E-2</v>
      </c>
      <c r="L129" s="4958"/>
      <c r="M129" s="4959">
        <f t="shared" si="53"/>
        <v>6.2333793103448276E-2</v>
      </c>
      <c r="N129" s="4960">
        <f t="shared" si="51"/>
        <v>0.9</v>
      </c>
    </row>
    <row r="130" spans="2:14" x14ac:dyDescent="0.25">
      <c r="B130" s="4076">
        <v>25</v>
      </c>
      <c r="C130" s="4832" t="s">
        <v>1345</v>
      </c>
      <c r="D130" s="4893">
        <v>1</v>
      </c>
      <c r="E130" s="4941">
        <f t="shared" si="52"/>
        <v>0.56492495020200584</v>
      </c>
      <c r="F130" s="4942">
        <v>0.56698110004660596</v>
      </c>
      <c r="G130" s="4943">
        <v>0.46526397677449371</v>
      </c>
      <c r="H130" s="4897">
        <v>0.62099757428005053</v>
      </c>
      <c r="I130" s="4897">
        <v>0.5850277565754185</v>
      </c>
      <c r="J130" s="4897">
        <v>0.56492495020200584</v>
      </c>
      <c r="K130" s="4942">
        <v>0.58413544718392729</v>
      </c>
      <c r="L130" s="4961"/>
      <c r="M130" s="4945">
        <f t="shared" ref="M130:M137" si="54">E130</f>
        <v>0.56492495020200584</v>
      </c>
      <c r="N130" s="4946">
        <f t="shared" si="51"/>
        <v>0.9</v>
      </c>
    </row>
    <row r="131" spans="2:14" x14ac:dyDescent="0.25">
      <c r="B131" s="4076">
        <v>26</v>
      </c>
      <c r="C131" s="4856" t="s">
        <v>1346</v>
      </c>
      <c r="D131" s="4911">
        <v>1</v>
      </c>
      <c r="E131" s="4947">
        <f t="shared" si="52"/>
        <v>0.16737719298245612</v>
      </c>
      <c r="F131" s="4948">
        <v>0.19538535353535363</v>
      </c>
      <c r="G131" s="4949">
        <v>0.1993307692307692</v>
      </c>
      <c r="H131" s="4915">
        <v>0.26774999999999999</v>
      </c>
      <c r="I131" s="4915">
        <v>0.23166730769230756</v>
      </c>
      <c r="J131" s="4915">
        <v>0.16737719298245612</v>
      </c>
      <c r="K131" s="4948">
        <v>0.24375999999999998</v>
      </c>
      <c r="L131" s="4962"/>
      <c r="M131" s="4951">
        <f t="shared" si="54"/>
        <v>0.16737719298245612</v>
      </c>
      <c r="N131" s="4952">
        <f t="shared" si="51"/>
        <v>0.9</v>
      </c>
    </row>
    <row r="132" spans="2:14" ht="30" x14ac:dyDescent="0.25">
      <c r="B132" s="4076">
        <v>27</v>
      </c>
      <c r="C132" s="4856" t="s">
        <v>1381</v>
      </c>
      <c r="D132" s="4911">
        <v>1</v>
      </c>
      <c r="E132" s="4947">
        <f t="shared" si="52"/>
        <v>0.55911394561163019</v>
      </c>
      <c r="F132" s="4948">
        <v>0.58645641366802903</v>
      </c>
      <c r="G132" s="4949">
        <v>0.67687916764802214</v>
      </c>
      <c r="H132" s="4915">
        <v>0.65472447493283725</v>
      </c>
      <c r="I132" s="4915">
        <v>0.60379156093249986</v>
      </c>
      <c r="J132" s="4915">
        <v>0.55911394561163019</v>
      </c>
      <c r="K132" s="4948">
        <v>0.6475107066913347</v>
      </c>
      <c r="L132" s="4962"/>
      <c r="M132" s="4951">
        <f t="shared" si="54"/>
        <v>0.55911394561163019</v>
      </c>
      <c r="N132" s="4952">
        <f t="shared" si="51"/>
        <v>0.9</v>
      </c>
    </row>
    <row r="133" spans="2:14" ht="30" x14ac:dyDescent="0.25">
      <c r="B133" s="4076">
        <v>28</v>
      </c>
      <c r="C133" s="4856" t="s">
        <v>1430</v>
      </c>
      <c r="D133" s="4911">
        <v>1</v>
      </c>
      <c r="E133" s="4947">
        <f t="shared" si="52"/>
        <v>0</v>
      </c>
      <c r="F133" s="4948"/>
      <c r="G133" s="4949"/>
      <c r="H133" s="4915"/>
      <c r="I133" s="4915"/>
      <c r="J133" s="4915"/>
      <c r="K133" s="4948"/>
      <c r="L133" s="4962"/>
      <c r="M133" s="4951">
        <f t="shared" si="54"/>
        <v>0</v>
      </c>
      <c r="N133" s="4952">
        <f t="shared" si="51"/>
        <v>0.9</v>
      </c>
    </row>
    <row r="134" spans="2:14" ht="30" x14ac:dyDescent="0.25">
      <c r="B134" s="4076">
        <v>29</v>
      </c>
      <c r="C134" s="4856" t="s">
        <v>1368</v>
      </c>
      <c r="D134" s="4911">
        <v>1</v>
      </c>
      <c r="E134" s="4947">
        <f t="shared" si="52"/>
        <v>0</v>
      </c>
      <c r="F134" s="4948"/>
      <c r="G134" s="4949"/>
      <c r="H134" s="4915"/>
      <c r="I134" s="4915"/>
      <c r="J134" s="4915"/>
      <c r="K134" s="4948"/>
      <c r="L134" s="4962"/>
      <c r="M134" s="4951">
        <f t="shared" si="54"/>
        <v>0</v>
      </c>
      <c r="N134" s="4952">
        <f t="shared" si="51"/>
        <v>0.9</v>
      </c>
    </row>
    <row r="135" spans="2:14" ht="30" x14ac:dyDescent="0.25">
      <c r="B135" s="4076">
        <v>30</v>
      </c>
      <c r="C135" s="4856" t="s">
        <v>1363</v>
      </c>
      <c r="D135" s="4911">
        <v>0.2</v>
      </c>
      <c r="E135" s="4947">
        <f t="shared" si="52"/>
        <v>0</v>
      </c>
      <c r="F135" s="4948"/>
      <c r="G135" s="4949"/>
      <c r="H135" s="4915"/>
      <c r="I135" s="4915"/>
      <c r="J135" s="4915"/>
      <c r="K135" s="4948"/>
      <c r="L135" s="4962"/>
      <c r="M135" s="4951">
        <f t="shared" si="54"/>
        <v>0</v>
      </c>
      <c r="N135" s="4952">
        <f t="shared" si="51"/>
        <v>0.18000000000000002</v>
      </c>
    </row>
    <row r="136" spans="2:14" x14ac:dyDescent="0.25">
      <c r="B136" s="4076">
        <v>31</v>
      </c>
      <c r="C136" s="4856" t="s">
        <v>1139</v>
      </c>
      <c r="D136" s="4911">
        <v>1</v>
      </c>
      <c r="E136" s="4947">
        <f t="shared" si="52"/>
        <v>0</v>
      </c>
      <c r="F136" s="4948"/>
      <c r="G136" s="4949"/>
      <c r="H136" s="4915"/>
      <c r="I136" s="4915"/>
      <c r="J136" s="4915"/>
      <c r="K136" s="4948"/>
      <c r="L136" s="4962"/>
      <c r="M136" s="4951">
        <f t="shared" si="54"/>
        <v>0</v>
      </c>
      <c r="N136" s="4952">
        <f t="shared" si="51"/>
        <v>0.9</v>
      </c>
    </row>
    <row r="137" spans="2:14" ht="30" x14ac:dyDescent="0.25">
      <c r="B137" s="4076">
        <v>32</v>
      </c>
      <c r="C137" s="4843" t="s">
        <v>1436</v>
      </c>
      <c r="D137" s="4954">
        <v>0.9</v>
      </c>
      <c r="E137" s="4955">
        <f t="shared" si="52"/>
        <v>0.77250444444444455</v>
      </c>
      <c r="F137" s="4956">
        <f t="shared" ref="F137:K137" si="55">F128</f>
        <v>0.77096355140186901</v>
      </c>
      <c r="G137" s="4957">
        <f t="shared" si="55"/>
        <v>0.7334705882352941</v>
      </c>
      <c r="H137" s="4931">
        <f t="shared" si="55"/>
        <v>0.57574999999999998</v>
      </c>
      <c r="I137" s="4931">
        <f t="shared" si="55"/>
        <v>0.84101470588235283</v>
      </c>
      <c r="J137" s="4931">
        <f t="shared" si="55"/>
        <v>0.77250444444444455</v>
      </c>
      <c r="K137" s="4956">
        <f t="shared" si="55"/>
        <v>0.90939999999999999</v>
      </c>
      <c r="L137" s="4963"/>
      <c r="M137" s="4959">
        <f t="shared" si="54"/>
        <v>0.77250444444444455</v>
      </c>
      <c r="N137" s="4960">
        <f t="shared" si="51"/>
        <v>0.81</v>
      </c>
    </row>
    <row r="138" spans="2:14" s="1877" customFormat="1" ht="23.25" customHeight="1" x14ac:dyDescent="0.25">
      <c r="B138" s="1877">
        <v>33</v>
      </c>
      <c r="C138" s="4785" t="s">
        <v>1136</v>
      </c>
      <c r="D138" s="4786"/>
      <c r="E138" s="4787"/>
      <c r="F138" s="4788"/>
      <c r="G138" s="4786"/>
      <c r="H138" s="4787"/>
      <c r="I138" s="4787"/>
      <c r="J138" s="4787"/>
      <c r="K138" s="4788"/>
      <c r="L138" s="4789"/>
      <c r="M138" s="4787"/>
      <c r="N138" s="4790"/>
    </row>
    <row r="139" spans="2:14" x14ac:dyDescent="0.25">
      <c r="B139" s="4076">
        <v>34</v>
      </c>
      <c r="C139" s="4863" t="s">
        <v>1331</v>
      </c>
      <c r="D139" s="4964">
        <v>1</v>
      </c>
      <c r="E139" s="4965">
        <f>HLOOKUP($D$55,$F$106:$K$152,B139,FALSE)</f>
        <v>0.40007222222222233</v>
      </c>
      <c r="F139" s="4966">
        <v>0.36055413533834596</v>
      </c>
      <c r="G139" s="4967">
        <v>0.46413333333333334</v>
      </c>
      <c r="H139" s="4968">
        <v>0.26840000000000003</v>
      </c>
      <c r="I139" s="4968">
        <v>0.27575833333333338</v>
      </c>
      <c r="J139" s="4969">
        <v>0.40007222222222233</v>
      </c>
      <c r="K139" s="4966">
        <v>0.1268</v>
      </c>
      <c r="L139" s="4970"/>
      <c r="M139" s="4971">
        <f>E139</f>
        <v>0.40007222222222233</v>
      </c>
      <c r="N139" s="4972">
        <f t="shared" si="51"/>
        <v>0.9</v>
      </c>
    </row>
    <row r="140" spans="2:14" x14ac:dyDescent="0.25">
      <c r="B140" s="4076">
        <v>35</v>
      </c>
      <c r="C140" s="4873" t="s">
        <v>1122</v>
      </c>
      <c r="D140" s="4973">
        <v>0</v>
      </c>
      <c r="E140" s="4974">
        <f>HLOOKUP($D$55,$F$106:$K$152,B140,FALSE)</f>
        <v>1.4657534246575343</v>
      </c>
      <c r="F140" s="4975">
        <v>3.0674603174603177</v>
      </c>
      <c r="G140" s="4976">
        <v>15.086956521739131</v>
      </c>
      <c r="H140" s="4977">
        <v>2.8666666666666667</v>
      </c>
      <c r="I140" s="4977">
        <v>2.7796610169491527</v>
      </c>
      <c r="J140" s="4978">
        <v>1.4657534246575343</v>
      </c>
      <c r="K140" s="4975">
        <v>0.55555555555555558</v>
      </c>
      <c r="L140" s="4979"/>
      <c r="M140" s="4980">
        <f>E140</f>
        <v>1.4657534246575343</v>
      </c>
      <c r="N140" s="4981">
        <f t="shared" si="51"/>
        <v>0</v>
      </c>
    </row>
    <row r="141" spans="2:14" s="1877" customFormat="1" ht="23.25" customHeight="1" x14ac:dyDescent="0.25">
      <c r="B141" s="1877">
        <v>36</v>
      </c>
      <c r="C141" s="4785" t="s">
        <v>792</v>
      </c>
      <c r="D141" s="4786"/>
      <c r="E141" s="4787"/>
      <c r="F141" s="4788"/>
      <c r="G141" s="4786"/>
      <c r="H141" s="4787"/>
      <c r="I141" s="4787"/>
      <c r="J141" s="4787"/>
      <c r="K141" s="4788"/>
      <c r="L141" s="4789"/>
      <c r="M141" s="4787"/>
      <c r="N141" s="4790"/>
    </row>
    <row r="142" spans="2:14" x14ac:dyDescent="0.25">
      <c r="B142" s="4076">
        <v>37</v>
      </c>
      <c r="C142" s="4844" t="s">
        <v>793</v>
      </c>
      <c r="D142" s="4936">
        <v>1</v>
      </c>
      <c r="E142" s="4941">
        <f t="shared" ref="E142:E152" si="56">HLOOKUP($D$55,$F$106:$K$152,B142,FALSE)</f>
        <v>0.73453999999999964</v>
      </c>
      <c r="F142" s="4942">
        <v>0.71702798353909492</v>
      </c>
      <c r="G142" s="4943">
        <v>0.74758750000000007</v>
      </c>
      <c r="H142" s="4897">
        <v>0.62625999999999993</v>
      </c>
      <c r="I142" s="4897">
        <v>0.69754237288135601</v>
      </c>
      <c r="J142" s="4897">
        <v>0.73453999999999964</v>
      </c>
      <c r="K142" s="4942">
        <v>0.65240000000000009</v>
      </c>
      <c r="L142" s="4944"/>
      <c r="M142" s="4945">
        <f t="shared" ref="M142:M152" si="57">E142</f>
        <v>0.73453999999999964</v>
      </c>
      <c r="N142" s="4946">
        <f t="shared" si="51"/>
        <v>0.9</v>
      </c>
    </row>
    <row r="143" spans="2:14" x14ac:dyDescent="0.25">
      <c r="B143" s="4076">
        <v>38</v>
      </c>
      <c r="C143" s="4802" t="s">
        <v>810</v>
      </c>
      <c r="D143" s="4926">
        <v>1</v>
      </c>
      <c r="E143" s="4947">
        <f t="shared" si="56"/>
        <v>0.93143767123287668</v>
      </c>
      <c r="F143" s="4948">
        <v>0.92313483606557378</v>
      </c>
      <c r="G143" s="4949">
        <v>0.90784374999999995</v>
      </c>
      <c r="H143" s="4915">
        <v>0.87679999999999991</v>
      </c>
      <c r="I143" s="4915">
        <v>0.91580677966101731</v>
      </c>
      <c r="J143" s="4915">
        <v>0.93143767123287668</v>
      </c>
      <c r="K143" s="4948">
        <v>0.94311250000000002</v>
      </c>
      <c r="L143" s="4950"/>
      <c r="M143" s="4951">
        <f t="shared" si="57"/>
        <v>0.93143767123287668</v>
      </c>
      <c r="N143" s="4952">
        <f t="shared" si="51"/>
        <v>0.9</v>
      </c>
    </row>
    <row r="144" spans="2:14" x14ac:dyDescent="0.25">
      <c r="B144" s="4076">
        <v>39</v>
      </c>
      <c r="C144" s="4802" t="s">
        <v>442</v>
      </c>
      <c r="D144" s="4926">
        <v>1</v>
      </c>
      <c r="E144" s="4947">
        <f t="shared" si="56"/>
        <v>0.14832407407407405</v>
      </c>
      <c r="F144" s="4948">
        <v>0.13237117117117114</v>
      </c>
      <c r="G144" s="4949">
        <v>0.14071333333333333</v>
      </c>
      <c r="H144" s="4915">
        <v>6.3355555555555554E-2</v>
      </c>
      <c r="I144" s="4915">
        <v>0.12546451612903226</v>
      </c>
      <c r="J144" s="4915">
        <v>0.14832407407407405</v>
      </c>
      <c r="K144" s="4948">
        <v>5.67E-2</v>
      </c>
      <c r="L144" s="4950"/>
      <c r="M144" s="4951">
        <f t="shared" si="57"/>
        <v>0.14832407407407405</v>
      </c>
      <c r="N144" s="4952">
        <f t="shared" si="51"/>
        <v>0.9</v>
      </c>
    </row>
    <row r="145" spans="1:17" x14ac:dyDescent="0.25">
      <c r="B145" s="4076">
        <v>40</v>
      </c>
      <c r="C145" s="4802" t="s">
        <v>685</v>
      </c>
      <c r="D145" s="4926">
        <v>0.8</v>
      </c>
      <c r="E145" s="4947">
        <f t="shared" si="56"/>
        <v>0.18650781250000004</v>
      </c>
      <c r="F145" s="4948">
        <v>0.19444710743801649</v>
      </c>
      <c r="G145" s="4949">
        <v>0.38820666666666659</v>
      </c>
      <c r="H145" s="4915">
        <v>0.11322222222222222</v>
      </c>
      <c r="I145" s="4915">
        <v>0.14987741935483875</v>
      </c>
      <c r="J145" s="4915">
        <v>0.18650781250000004</v>
      </c>
      <c r="K145" s="4948">
        <v>5.1650000000000001E-2</v>
      </c>
      <c r="L145" s="4950"/>
      <c r="M145" s="4951">
        <f t="shared" si="57"/>
        <v>0.18650781250000004</v>
      </c>
      <c r="N145" s="4952">
        <f t="shared" si="51"/>
        <v>0.72000000000000008</v>
      </c>
    </row>
    <row r="146" spans="1:17" x14ac:dyDescent="0.25">
      <c r="B146" s="4076">
        <v>41</v>
      </c>
      <c r="C146" s="4802" t="s">
        <v>686</v>
      </c>
      <c r="D146" s="4926">
        <v>1</v>
      </c>
      <c r="E146" s="4947">
        <f t="shared" si="56"/>
        <v>0.17850000000000002</v>
      </c>
      <c r="F146" s="4948">
        <v>0.59363750000000015</v>
      </c>
      <c r="G146" s="4949">
        <v>0.68602000000000007</v>
      </c>
      <c r="H146" s="4915">
        <v>0.41920000000000002</v>
      </c>
      <c r="I146" s="4915">
        <v>0.72129999999999994</v>
      </c>
      <c r="J146" s="4915">
        <v>0.17850000000000002</v>
      </c>
      <c r="K146" s="4948">
        <v>0</v>
      </c>
      <c r="L146" s="4950"/>
      <c r="M146" s="4951">
        <f t="shared" si="57"/>
        <v>0.17850000000000002</v>
      </c>
      <c r="N146" s="4952">
        <f t="shared" si="51"/>
        <v>0.9</v>
      </c>
    </row>
    <row r="147" spans="1:17" x14ac:dyDescent="0.25">
      <c r="B147" s="4076">
        <v>42</v>
      </c>
      <c r="C147" s="4802" t="s">
        <v>802</v>
      </c>
      <c r="D147" s="4926">
        <v>0.8</v>
      </c>
      <c r="E147" s="4947">
        <f t="shared" si="56"/>
        <v>0.89969379310344832</v>
      </c>
      <c r="F147" s="4948">
        <v>0.895779423868313</v>
      </c>
      <c r="G147" s="4949">
        <v>0.91151875000000016</v>
      </c>
      <c r="H147" s="4915">
        <v>0.8985333333333333</v>
      </c>
      <c r="I147" s="4915">
        <v>0.88162372881355933</v>
      </c>
      <c r="J147" s="4915">
        <v>0.89969379310344832</v>
      </c>
      <c r="K147" s="4948">
        <v>0.89258749999999987</v>
      </c>
      <c r="L147" s="4950"/>
      <c r="M147" s="4951">
        <f t="shared" si="57"/>
        <v>0.89969379310344832</v>
      </c>
      <c r="N147" s="4952">
        <f t="shared" si="51"/>
        <v>0.72000000000000008</v>
      </c>
    </row>
    <row r="148" spans="1:17" x14ac:dyDescent="0.25">
      <c r="B148" s="4076">
        <v>43</v>
      </c>
      <c r="C148" s="4802" t="s">
        <v>811</v>
      </c>
      <c r="D148" s="4911">
        <v>0.9</v>
      </c>
      <c r="E148" s="4947">
        <f t="shared" si="56"/>
        <v>0.64219999999999999</v>
      </c>
      <c r="F148" s="4948">
        <v>0.64933829787234065</v>
      </c>
      <c r="G148" s="4949">
        <v>0.70241428571428588</v>
      </c>
      <c r="H148" s="4915">
        <v>0.37922499999999998</v>
      </c>
      <c r="I148" s="4915">
        <v>0.70268888888888881</v>
      </c>
      <c r="J148" s="4915">
        <v>0.64219999999999999</v>
      </c>
      <c r="K148" s="4948">
        <v>0</v>
      </c>
      <c r="L148" s="4950"/>
      <c r="M148" s="4951">
        <f t="shared" si="57"/>
        <v>0.64219999999999999</v>
      </c>
      <c r="N148" s="4952">
        <f t="shared" si="51"/>
        <v>0.81</v>
      </c>
    </row>
    <row r="149" spans="1:17" x14ac:dyDescent="0.25">
      <c r="B149" s="4076">
        <v>44</v>
      </c>
      <c r="C149" s="4821" t="s">
        <v>812</v>
      </c>
      <c r="D149" s="4954">
        <v>1</v>
      </c>
      <c r="E149" s="4955">
        <f t="shared" si="56"/>
        <v>1.3018493150684934E-2</v>
      </c>
      <c r="F149" s="4956">
        <v>3.4727459016393437E-2</v>
      </c>
      <c r="G149" s="4957">
        <v>0.28112500000000007</v>
      </c>
      <c r="H149" s="4931">
        <v>6.4033333333333345E-2</v>
      </c>
      <c r="I149" s="4931">
        <v>1.8886440677966104E-2</v>
      </c>
      <c r="J149" s="4931">
        <v>1.3018493150684934E-2</v>
      </c>
      <c r="K149" s="4956">
        <v>0</v>
      </c>
      <c r="L149" s="4958"/>
      <c r="M149" s="4959">
        <f t="shared" si="57"/>
        <v>1.3018493150684934E-2</v>
      </c>
      <c r="N149" s="4960">
        <f t="shared" si="51"/>
        <v>0.9</v>
      </c>
    </row>
    <row r="150" spans="1:17" ht="30" x14ac:dyDescent="0.25">
      <c r="B150" s="4076">
        <v>45</v>
      </c>
      <c r="C150" s="1491" t="s">
        <v>1364</v>
      </c>
      <c r="D150" s="4893">
        <v>1</v>
      </c>
      <c r="E150" s="4941">
        <f t="shared" si="56"/>
        <v>0.69450897736802064</v>
      </c>
      <c r="F150" s="4942">
        <v>0.69260273150017682</v>
      </c>
      <c r="G150" s="4943">
        <v>0.79408587636892447</v>
      </c>
      <c r="H150" s="4897">
        <v>0.64698600985372834</v>
      </c>
      <c r="I150" s="4897">
        <v>0.68974420102033251</v>
      </c>
      <c r="J150" s="4897">
        <v>0.69450897736802064</v>
      </c>
      <c r="K150" s="4942">
        <v>0.56169875078394516</v>
      </c>
      <c r="L150" s="4961"/>
      <c r="M150" s="4945">
        <f t="shared" si="57"/>
        <v>0.69450897736802064</v>
      </c>
      <c r="N150" s="4946">
        <f t="shared" si="51"/>
        <v>0.9</v>
      </c>
    </row>
    <row r="151" spans="1:17" ht="30" x14ac:dyDescent="0.25">
      <c r="B151" s="4076">
        <v>46</v>
      </c>
      <c r="C151" s="1492" t="s">
        <v>1365</v>
      </c>
      <c r="D151" s="4911">
        <v>1</v>
      </c>
      <c r="E151" s="4947">
        <f t="shared" si="56"/>
        <v>0.64169487179487172</v>
      </c>
      <c r="F151" s="4948">
        <v>0.64991067961165072</v>
      </c>
      <c r="G151" s="4949">
        <v>0.76295714285714278</v>
      </c>
      <c r="H151" s="4915">
        <v>0.61032666666666668</v>
      </c>
      <c r="I151" s="4915">
        <v>0.6758909090909091</v>
      </c>
      <c r="J151" s="4915">
        <v>0.64169487179487172</v>
      </c>
      <c r="K151" s="4948">
        <v>0.35859999999999997</v>
      </c>
      <c r="L151" s="4962"/>
      <c r="M151" s="4951">
        <f t="shared" si="57"/>
        <v>0.64169487179487172</v>
      </c>
      <c r="N151" s="4952">
        <f t="shared" si="51"/>
        <v>0.9</v>
      </c>
    </row>
    <row r="152" spans="1:17" ht="30.75" thickBot="1" x14ac:dyDescent="0.3">
      <c r="B152" s="4076">
        <v>47</v>
      </c>
      <c r="C152" s="1493" t="s">
        <v>1434</v>
      </c>
      <c r="D152" s="4982">
        <v>0.9</v>
      </c>
      <c r="E152" s="4983">
        <f t="shared" si="56"/>
        <v>0.64219999999999999</v>
      </c>
      <c r="F152" s="4984">
        <f t="shared" ref="F152:K152" si="58">F148</f>
        <v>0.64933829787234065</v>
      </c>
      <c r="G152" s="4985">
        <f t="shared" si="58"/>
        <v>0.70241428571428588</v>
      </c>
      <c r="H152" s="4986">
        <f t="shared" si="58"/>
        <v>0.37922499999999998</v>
      </c>
      <c r="I152" s="4986">
        <f t="shared" si="58"/>
        <v>0.70268888888888881</v>
      </c>
      <c r="J152" s="4986">
        <f t="shared" si="58"/>
        <v>0.64219999999999999</v>
      </c>
      <c r="K152" s="4984">
        <f t="shared" si="58"/>
        <v>0</v>
      </c>
      <c r="L152" s="4987"/>
      <c r="M152" s="4988">
        <f t="shared" si="57"/>
        <v>0.64219999999999999</v>
      </c>
      <c r="N152" s="4989">
        <f t="shared" si="51"/>
        <v>0.81</v>
      </c>
    </row>
    <row r="154" spans="1:17" x14ac:dyDescent="0.25">
      <c r="D154" s="4076" t="s">
        <v>70</v>
      </c>
      <c r="G154" s="4076">
        <f>IF($D$155=$C$55,E58,E108)*$G$155</f>
        <v>60.734726027397265</v>
      </c>
    </row>
    <row r="155" spans="1:17" ht="19.5" thickBot="1" x14ac:dyDescent="0.35">
      <c r="C155" s="4228" t="s">
        <v>826</v>
      </c>
      <c r="D155" s="4076" t="str">
        <f>$E$55</f>
        <v>Maharashtra</v>
      </c>
      <c r="G155" s="4076">
        <v>100</v>
      </c>
      <c r="L155" s="4743"/>
      <c r="M155" s="4990"/>
      <c r="N155" s="4991"/>
      <c r="O155" s="4991"/>
      <c r="P155" s="4991"/>
      <c r="Q155" s="4743"/>
    </row>
    <row r="156" spans="1:17" s="5001" customFormat="1" ht="30.75" customHeight="1" x14ac:dyDescent="0.25">
      <c r="B156" s="4992"/>
      <c r="C156" s="4993" t="s">
        <v>795</v>
      </c>
      <c r="D156" s="4994" t="s">
        <v>582</v>
      </c>
      <c r="E156" s="4995">
        <f>'Perf assessment'!H21</f>
        <v>0</v>
      </c>
      <c r="F156" s="4996">
        <f>'Perf assessment'!I21</f>
        <v>0</v>
      </c>
      <c r="G156" s="4997" t="str">
        <f>IF(ULB="","City",ULB)</f>
        <v>Wai</v>
      </c>
      <c r="H156" s="4998" t="s">
        <v>817</v>
      </c>
      <c r="I156" s="4999" t="s">
        <v>819</v>
      </c>
      <c r="J156" s="5000" t="s">
        <v>818</v>
      </c>
      <c r="K156" s="4076" t="e">
        <f>MATCH(E156,'Indicator info'!$C$13:$L$13,0)</f>
        <v>#N/A</v>
      </c>
      <c r="L156" s="4076" t="e">
        <f>MATCH(F156,'Indicator info'!$C$13:$L$13,0)</f>
        <v>#N/A</v>
      </c>
      <c r="M156" s="5003"/>
      <c r="N156" s="5003"/>
      <c r="O156" s="5003"/>
      <c r="P156" s="5003"/>
      <c r="Q156" s="5002"/>
    </row>
    <row r="157" spans="1:17" x14ac:dyDescent="0.25">
      <c r="A157" s="4076">
        <f>'Indicator info'!B15</f>
        <v>3</v>
      </c>
      <c r="B157" s="5004" t="s">
        <v>1538</v>
      </c>
      <c r="C157" s="5005" t="s">
        <v>1478</v>
      </c>
      <c r="D157" s="5918">
        <f>INDEX('Indicator info'!$C$13:$L$93,$A157,3)</f>
        <v>100</v>
      </c>
      <c r="E157" s="5919" t="e">
        <f>INDEX('Indicator info'!$C$13:$L$93,$A157,$K$156)</f>
        <v>#N/A</v>
      </c>
      <c r="F157" s="5920" t="e">
        <f>INDEX('Indicator info'!$C$13:$L$93,$A157,$L$156)</f>
        <v>#N/A</v>
      </c>
      <c r="G157" s="5006">
        <f>'Summary of PIP'!D201*$G$155</f>
        <v>0</v>
      </c>
      <c r="H157" s="6058">
        <v>0</v>
      </c>
      <c r="I157" s="6052" t="e">
        <f>F157</f>
        <v>#N/A</v>
      </c>
      <c r="J157" s="6054">
        <v>90</v>
      </c>
      <c r="K157" s="5651"/>
      <c r="L157" s="5652"/>
      <c r="M157" s="5652"/>
      <c r="N157" s="5652"/>
      <c r="O157" s="5652"/>
      <c r="P157" s="5007"/>
      <c r="Q157" s="4743"/>
    </row>
    <row r="158" spans="1:17" x14ac:dyDescent="0.25">
      <c r="A158" s="4076">
        <f>'Indicator info'!B17</f>
        <v>5</v>
      </c>
      <c r="B158" s="5008" t="s">
        <v>1471</v>
      </c>
      <c r="C158" s="5009" t="s">
        <v>1479</v>
      </c>
      <c r="D158" s="5011">
        <f>INDEX('Indicator info'!$C$13:$L$93,$A158,3)</f>
        <v>100</v>
      </c>
      <c r="E158" s="5653" t="e">
        <f>INDEX('Indicator info'!$C$13:$L$93,$A158,$K$156)</f>
        <v>#N/A</v>
      </c>
      <c r="F158" s="5654" t="e">
        <f>INDEX('Indicator info'!$C$13:$L$93,$A158,$L$156)</f>
        <v>#N/A</v>
      </c>
      <c r="G158" s="5010">
        <f>'Summary of PIP'!D26*$G$155</f>
        <v>0</v>
      </c>
      <c r="H158" s="6059">
        <v>0</v>
      </c>
      <c r="I158" s="6049" t="e">
        <f t="shared" ref="I158:I199" si="59">F158</f>
        <v>#N/A</v>
      </c>
      <c r="J158" s="6055">
        <v>90</v>
      </c>
      <c r="K158" s="5651"/>
      <c r="L158" s="5652"/>
      <c r="M158" s="5652"/>
      <c r="N158" s="5652"/>
      <c r="O158" s="5652"/>
      <c r="P158" s="5007"/>
      <c r="Q158" s="4743"/>
    </row>
    <row r="159" spans="1:17" x14ac:dyDescent="0.25">
      <c r="A159" s="4076">
        <f>'Indicator info'!B19</f>
        <v>7</v>
      </c>
      <c r="B159" s="5008" t="s">
        <v>1471</v>
      </c>
      <c r="C159" s="5009" t="s">
        <v>1474</v>
      </c>
      <c r="D159" s="5011">
        <f>INDEX('Indicator info'!$C$13:$L$93,$A159,3)</f>
        <v>70</v>
      </c>
      <c r="E159" s="5653" t="e">
        <f>INDEX('Indicator info'!$C$13:$L$93,$A159,$K$156)</f>
        <v>#N/A</v>
      </c>
      <c r="F159" s="5654" t="e">
        <f>INDEX('Indicator info'!$C$13:$L$93,$A159,$L$156)</f>
        <v>#N/A</v>
      </c>
      <c r="G159" s="5010">
        <f>'Summary of PIP'!D35</f>
        <v>0</v>
      </c>
      <c r="H159" s="6060">
        <v>0</v>
      </c>
      <c r="I159" s="6053" t="e">
        <f t="shared" si="59"/>
        <v>#N/A</v>
      </c>
      <c r="J159" s="6056">
        <v>63</v>
      </c>
      <c r="K159" s="5651"/>
      <c r="L159" s="5655"/>
      <c r="M159" s="5655"/>
      <c r="N159" s="5655"/>
      <c r="O159" s="5656"/>
      <c r="P159" s="5012"/>
      <c r="Q159" s="4743"/>
    </row>
    <row r="160" spans="1:17" x14ac:dyDescent="0.25">
      <c r="A160" s="4076">
        <f>'Indicator info'!B25</f>
        <v>13</v>
      </c>
      <c r="B160" s="5008" t="s">
        <v>1538</v>
      </c>
      <c r="C160" s="5013" t="s">
        <v>1475</v>
      </c>
      <c r="D160" s="5915">
        <f>INDEX('Indicator info'!$C$13:$L$93,$A160,3)</f>
        <v>24</v>
      </c>
      <c r="E160" s="5916" t="e">
        <f>INDEX('Indicator info'!$C$13:$L$93,$A160,$K$156)</f>
        <v>#N/A</v>
      </c>
      <c r="F160" s="5917" t="e">
        <f>INDEX('Indicator info'!$C$13:$L$93,$A160,$L$156)</f>
        <v>#N/A</v>
      </c>
      <c r="G160" s="5014">
        <f>'Summary of PIP'!D209</f>
        <v>0</v>
      </c>
      <c r="H160" s="6060">
        <v>0</v>
      </c>
      <c r="I160" s="6053" t="e">
        <f t="shared" si="59"/>
        <v>#N/A</v>
      </c>
      <c r="J160" s="6056">
        <v>22</v>
      </c>
      <c r="K160" s="5651"/>
      <c r="L160" s="5655"/>
      <c r="M160" s="5657"/>
      <c r="N160" s="5657"/>
      <c r="O160" s="5656"/>
      <c r="P160" s="5007"/>
      <c r="Q160" s="4743"/>
    </row>
    <row r="161" spans="1:17" x14ac:dyDescent="0.25">
      <c r="A161" s="4076">
        <f>'Indicator info'!B23</f>
        <v>11</v>
      </c>
      <c r="B161" s="5008" t="s">
        <v>1471</v>
      </c>
      <c r="C161" s="5009" t="s">
        <v>1476</v>
      </c>
      <c r="D161" s="5011">
        <f>INDEX('Indicator info'!$C$13:$L$93,$A161,3)</f>
        <v>15</v>
      </c>
      <c r="E161" s="5653" t="e">
        <f>INDEX('Indicator info'!$C$13:$L$93,$A161,$K$156)</f>
        <v>#N/A</v>
      </c>
      <c r="F161" s="5654" t="e">
        <f>INDEX('Indicator info'!$C$13:$L$93,$A161,$L$156)</f>
        <v>#N/A</v>
      </c>
      <c r="G161" s="5010">
        <f>'Summary of PIP'!D50*$G$155</f>
        <v>0</v>
      </c>
      <c r="H161" s="6059" t="e">
        <f>I161</f>
        <v>#N/A</v>
      </c>
      <c r="I161" s="6049" t="e">
        <f t="shared" si="59"/>
        <v>#N/A</v>
      </c>
      <c r="J161" s="6055">
        <v>14</v>
      </c>
      <c r="K161" s="5651"/>
      <c r="L161" s="5652"/>
      <c r="M161" s="5652"/>
      <c r="N161" s="5652"/>
      <c r="O161" s="5652"/>
      <c r="P161" s="5007"/>
      <c r="Q161" s="4743"/>
    </row>
    <row r="162" spans="1:17" x14ac:dyDescent="0.25">
      <c r="A162" s="4076">
        <f>'Indicator info'!B21</f>
        <v>9</v>
      </c>
      <c r="B162" s="5008" t="s">
        <v>1538</v>
      </c>
      <c r="C162" s="5013" t="s">
        <v>1477</v>
      </c>
      <c r="D162" s="5011">
        <f>INDEX('Indicator info'!$C$13:$L$93,$A162,3)</f>
        <v>100</v>
      </c>
      <c r="E162" s="5653" t="e">
        <f>INDEX('Indicator info'!$C$13:$L$93,$A162,$K$156)</f>
        <v>#N/A</v>
      </c>
      <c r="F162" s="5654" t="e">
        <f>INDEX('Indicator info'!$C$13:$L$93,$A162,$L$156)</f>
        <v>#N/A</v>
      </c>
      <c r="G162" s="5010">
        <f>'Summary of PIP'!D205*$G$155</f>
        <v>0</v>
      </c>
      <c r="H162" s="6059">
        <v>0</v>
      </c>
      <c r="I162" s="6049" t="e">
        <f t="shared" si="59"/>
        <v>#N/A</v>
      </c>
      <c r="J162" s="6055">
        <v>90</v>
      </c>
      <c r="K162" s="5651"/>
      <c r="L162" s="5652"/>
      <c r="M162" s="5652"/>
      <c r="N162" s="5652"/>
      <c r="O162" s="5652"/>
      <c r="P162" s="5007"/>
      <c r="Q162" s="4743"/>
    </row>
    <row r="163" spans="1:17" x14ac:dyDescent="0.25">
      <c r="A163" s="4076">
        <f>'Indicator info'!B29</f>
        <v>17</v>
      </c>
      <c r="B163" s="5008" t="s">
        <v>1538</v>
      </c>
      <c r="C163" s="5013" t="s">
        <v>801</v>
      </c>
      <c r="D163" s="5011">
        <f>INDEX('Indicator info'!$C$13:$L$93,$A163,3)</f>
        <v>100</v>
      </c>
      <c r="E163" s="5653" t="e">
        <f>INDEX('Indicator info'!$C$13:$L$93,$A163,$K$156)</f>
        <v>#N/A</v>
      </c>
      <c r="F163" s="5654" t="e">
        <f>INDEX('Indicator info'!$C$13:$L$93,$A163,$L$156)</f>
        <v>#N/A</v>
      </c>
      <c r="G163" s="5010">
        <f>'Summary of PIP'!D211*$G$155</f>
        <v>0</v>
      </c>
      <c r="H163" s="6059">
        <v>0</v>
      </c>
      <c r="I163" s="6049" t="e">
        <f t="shared" si="59"/>
        <v>#N/A</v>
      </c>
      <c r="J163" s="6055">
        <v>90</v>
      </c>
      <c r="K163" s="5651"/>
      <c r="L163" s="5652"/>
      <c r="M163" s="5652"/>
      <c r="N163" s="5652"/>
      <c r="O163" s="5652"/>
      <c r="P163" s="5007"/>
      <c r="Q163" s="4743"/>
    </row>
    <row r="164" spans="1:17" x14ac:dyDescent="0.25">
      <c r="A164" s="4076">
        <f>'Indicator info'!B27</f>
        <v>15</v>
      </c>
      <c r="B164" s="5008" t="s">
        <v>1538</v>
      </c>
      <c r="C164" s="5013" t="s">
        <v>3418</v>
      </c>
      <c r="D164" s="5011">
        <f>INDEX('Indicator info'!$C$13:$L$93,$A164,3)</f>
        <v>80</v>
      </c>
      <c r="E164" s="5653" t="e">
        <f>INDEX('Indicator info'!$C$13:$L$93,$A164,$K$156)</f>
        <v>#N/A</v>
      </c>
      <c r="F164" s="5654" t="e">
        <f>INDEX('Indicator info'!$C$13:$L$93,$A164,$L$156)</f>
        <v>#N/A</v>
      </c>
      <c r="G164" s="5010">
        <f>'Summary of PIP'!D213*$G$155</f>
        <v>0</v>
      </c>
      <c r="H164" s="6059">
        <v>0</v>
      </c>
      <c r="I164" s="6049" t="e">
        <f t="shared" si="59"/>
        <v>#N/A</v>
      </c>
      <c r="J164" s="6055">
        <v>72</v>
      </c>
      <c r="K164" s="5651"/>
      <c r="L164" s="5652"/>
      <c r="M164" s="5652"/>
      <c r="N164" s="5652"/>
      <c r="O164" s="5652"/>
      <c r="P164" s="5007"/>
      <c r="Q164" s="4743"/>
    </row>
    <row r="165" spans="1:17" x14ac:dyDescent="0.25">
      <c r="A165" s="4076">
        <f>'Indicator info'!B31</f>
        <v>19</v>
      </c>
      <c r="B165" s="5008" t="s">
        <v>1538</v>
      </c>
      <c r="C165" s="5013" t="s">
        <v>1480</v>
      </c>
      <c r="D165" s="5011">
        <f>INDEX('Indicator info'!$C$13:$L$93,$A165,3)</f>
        <v>90</v>
      </c>
      <c r="E165" s="5653" t="e">
        <f>INDEX('Indicator info'!$C$13:$L$93,$A165,$K$156)</f>
        <v>#N/A</v>
      </c>
      <c r="F165" s="5654" t="e">
        <f>INDEX('Indicator info'!$C$13:$L$93,$A165,$L$156)</f>
        <v>#N/A</v>
      </c>
      <c r="G165" s="5010">
        <f>'Summary of PIP'!D217*$G$155</f>
        <v>0</v>
      </c>
      <c r="H165" s="6059">
        <v>0</v>
      </c>
      <c r="I165" s="6049" t="e">
        <f t="shared" si="59"/>
        <v>#N/A</v>
      </c>
      <c r="J165" s="6055">
        <v>81</v>
      </c>
      <c r="K165" s="5651"/>
      <c r="L165" s="5652"/>
      <c r="M165" s="5652"/>
      <c r="N165" s="5652"/>
      <c r="O165" s="5652"/>
      <c r="P165" s="5007"/>
      <c r="Q165" s="4743"/>
    </row>
    <row r="166" spans="1:17" ht="15.75" thickBot="1" x14ac:dyDescent="0.3">
      <c r="A166" s="4076">
        <f>'Indicator info'!B33</f>
        <v>21</v>
      </c>
      <c r="B166" s="5015" t="s">
        <v>1538</v>
      </c>
      <c r="C166" s="5016" t="s">
        <v>3419</v>
      </c>
      <c r="D166" s="5921">
        <f>INDEX('Indicator info'!$C$13:$L$93,$A166,3)</f>
        <v>100</v>
      </c>
      <c r="E166" s="5922" t="e">
        <f>INDEX('Indicator info'!$C$13:$L$93,$A166,$K$156)</f>
        <v>#N/A</v>
      </c>
      <c r="F166" s="5923" t="e">
        <f>INDEX('Indicator info'!$C$13:$L$93,$A166,$L$156)</f>
        <v>#N/A</v>
      </c>
      <c r="G166" s="5017">
        <f>'Summary of PIP'!D215*$G$155</f>
        <v>0</v>
      </c>
      <c r="H166" s="6061">
        <v>0</v>
      </c>
      <c r="I166" s="6050" t="e">
        <f t="shared" si="59"/>
        <v>#N/A</v>
      </c>
      <c r="J166" s="6057">
        <v>90</v>
      </c>
      <c r="K166" s="5651"/>
      <c r="L166" s="5652"/>
      <c r="M166" s="5652"/>
      <c r="N166" s="5652"/>
      <c r="O166" s="5652"/>
      <c r="P166" s="4743"/>
      <c r="Q166" s="4743"/>
    </row>
    <row r="167" spans="1:17" s="5001" customFormat="1" ht="30.75" customHeight="1" x14ac:dyDescent="0.25">
      <c r="B167" s="4992"/>
      <c r="C167" s="4993" t="s">
        <v>794</v>
      </c>
      <c r="D167" s="4994" t="s">
        <v>582</v>
      </c>
      <c r="E167" s="4995" t="str">
        <f>'Perf assessment'!H110</f>
        <v>City 2</v>
      </c>
      <c r="F167" s="4996" t="str">
        <f>'Perf assessment'!I110</f>
        <v>ABC</v>
      </c>
      <c r="G167" s="4997" t="str">
        <f>G156</f>
        <v>Wai</v>
      </c>
      <c r="H167" s="4998" t="s">
        <v>817</v>
      </c>
      <c r="I167" s="4999" t="s">
        <v>819</v>
      </c>
      <c r="J167" s="5000" t="s">
        <v>818</v>
      </c>
      <c r="K167" s="4076">
        <f>MATCH(E167,'Indicator info'!$C$13:$L$13,0)</f>
        <v>8</v>
      </c>
      <c r="L167" s="4076">
        <f>MATCH(F167,'Indicator info'!$C$13:$L$13,0)</f>
        <v>9</v>
      </c>
      <c r="M167" s="5652"/>
      <c r="N167" s="5652"/>
      <c r="O167" s="5652"/>
      <c r="P167" s="5003"/>
      <c r="Q167" s="5002"/>
    </row>
    <row r="168" spans="1:17" x14ac:dyDescent="0.25">
      <c r="A168" s="4076">
        <f>'Indicator info'!B54</f>
        <v>42</v>
      </c>
      <c r="B168" s="5018" t="s">
        <v>1471</v>
      </c>
      <c r="C168" s="5019" t="s">
        <v>1481</v>
      </c>
      <c r="D168" s="5924">
        <f>INDEX('Indicator info'!$C$13:$L$93,$A168,3)</f>
        <v>100</v>
      </c>
      <c r="E168" s="5924">
        <f>INDEX('Indicator info'!$C$13:$L$93,$A168,$K$167)</f>
        <v>52</v>
      </c>
      <c r="F168" s="5924">
        <f>INDEX('Indicator info'!$C$13:$L$93,$A168,$L$167)</f>
        <v>64</v>
      </c>
      <c r="G168" s="5927">
        <f>'Summary of PIP'!D85*100</f>
        <v>0</v>
      </c>
      <c r="H168" s="5924">
        <v>0</v>
      </c>
      <c r="I168" s="6048">
        <f t="shared" si="59"/>
        <v>64</v>
      </c>
      <c r="J168" s="6062">
        <v>90</v>
      </c>
      <c r="K168" s="5651"/>
      <c r="L168" s="5652"/>
      <c r="M168" s="5652"/>
      <c r="N168" s="5652"/>
      <c r="O168" s="5652"/>
      <c r="P168" s="5020"/>
    </row>
    <row r="169" spans="1:17" x14ac:dyDescent="0.25">
      <c r="A169" s="4076">
        <f>'Indicator info'!B56</f>
        <v>44</v>
      </c>
      <c r="B169" s="5008" t="s">
        <v>1471</v>
      </c>
      <c r="C169" s="5009" t="s">
        <v>1482</v>
      </c>
      <c r="D169" s="5925">
        <f>INDEX('Indicator info'!$C$13:$L$93,$A169,3)</f>
        <v>100</v>
      </c>
      <c r="E169" s="5925">
        <f>INDEX('Indicator info'!$C$13:$L$93,$A169,$K$167)</f>
        <v>67</v>
      </c>
      <c r="F169" s="5925">
        <f>INDEX('Indicator info'!$C$13:$L$93,$A169,$L$167)</f>
        <v>65</v>
      </c>
      <c r="G169" s="5928">
        <f>'Summary of PIP'!D87*100</f>
        <v>0</v>
      </c>
      <c r="H169" s="5925">
        <v>0</v>
      </c>
      <c r="I169" s="6049">
        <f t="shared" si="59"/>
        <v>65</v>
      </c>
      <c r="J169" s="6062">
        <v>90</v>
      </c>
      <c r="K169" s="5651"/>
      <c r="L169" s="5652"/>
      <c r="M169" s="5652"/>
      <c r="N169" s="5652"/>
      <c r="O169" s="5652"/>
      <c r="P169" s="5020"/>
    </row>
    <row r="170" spans="1:17" x14ac:dyDescent="0.25">
      <c r="A170" s="4076">
        <f>'Indicator info'!B58</f>
        <v>46</v>
      </c>
      <c r="B170" s="5008" t="s">
        <v>1471</v>
      </c>
      <c r="C170" s="5009" t="s">
        <v>1483</v>
      </c>
      <c r="D170" s="5925">
        <f>INDEX('Indicator info'!$C$13:$L$93,$A170,3)</f>
        <v>100</v>
      </c>
      <c r="E170" s="5925">
        <f>INDEX('Indicator info'!$C$13:$L$93,$A170,$K$167)</f>
        <v>45</v>
      </c>
      <c r="F170" s="5925">
        <f>INDEX('Indicator info'!$C$13:$L$93,$A170,$L$167)</f>
        <v>29</v>
      </c>
      <c r="G170" s="5928">
        <f>'Summary of PIP'!D98*100</f>
        <v>0</v>
      </c>
      <c r="H170" s="5925">
        <v>0</v>
      </c>
      <c r="I170" s="6049">
        <f t="shared" si="59"/>
        <v>29</v>
      </c>
      <c r="J170" s="6062">
        <v>90</v>
      </c>
      <c r="K170" s="5651"/>
      <c r="L170" s="5652"/>
      <c r="M170" s="5652"/>
      <c r="N170" s="5652"/>
      <c r="O170" s="5652"/>
      <c r="P170" s="5020"/>
    </row>
    <row r="171" spans="1:17" x14ac:dyDescent="0.25">
      <c r="A171" s="4076">
        <f>'Indicator info'!B60</f>
        <v>48</v>
      </c>
      <c r="B171" s="5008" t="s">
        <v>1471</v>
      </c>
      <c r="C171" s="5009" t="s">
        <v>1484</v>
      </c>
      <c r="D171" s="5925">
        <f>INDEX('Indicator info'!$C$13:$L$93,$A171,3)</f>
        <v>100</v>
      </c>
      <c r="E171" s="5925">
        <f>INDEX('Indicator info'!$C$13:$L$93,$A171,$K$167)</f>
        <v>20</v>
      </c>
      <c r="F171" s="5925">
        <f>INDEX('Indicator info'!$C$13:$L$93,$A171,$L$167)</f>
        <v>29</v>
      </c>
      <c r="G171" s="5928">
        <f>'Summary of PIP'!D100*100</f>
        <v>0</v>
      </c>
      <c r="H171" s="5925">
        <v>0</v>
      </c>
      <c r="I171" s="6049">
        <f t="shared" si="59"/>
        <v>29</v>
      </c>
      <c r="J171" s="6062">
        <v>90</v>
      </c>
      <c r="K171" s="5651"/>
      <c r="L171" s="5652"/>
      <c r="M171" s="5652"/>
      <c r="N171" s="5652"/>
      <c r="O171" s="5652"/>
      <c r="P171" s="5020"/>
    </row>
    <row r="172" spans="1:17" x14ac:dyDescent="0.25">
      <c r="A172" s="4076">
        <f>'Indicator info'!B62</f>
        <v>50</v>
      </c>
      <c r="B172" s="5008" t="s">
        <v>1471</v>
      </c>
      <c r="C172" s="5009" t="s">
        <v>1485</v>
      </c>
      <c r="D172" s="5925">
        <f>INDEX('Indicator info'!$C$13:$L$93,$A172,3)</f>
        <v>100</v>
      </c>
      <c r="E172" s="5925">
        <f>INDEX('Indicator info'!$C$13:$L$93,$A172,$K$167)</f>
        <v>100</v>
      </c>
      <c r="F172" s="5925">
        <f>INDEX('Indicator info'!$C$13:$L$93,$A172,$L$167)</f>
        <v>0</v>
      </c>
      <c r="G172" s="5928">
        <f>'Summary of PIP'!D102*100</f>
        <v>0</v>
      </c>
      <c r="H172" s="5925">
        <v>0</v>
      </c>
      <c r="I172" s="6049">
        <f t="shared" si="59"/>
        <v>0</v>
      </c>
      <c r="J172" s="6062">
        <v>90</v>
      </c>
      <c r="K172" s="5651"/>
      <c r="L172" s="5652"/>
      <c r="M172" s="5652"/>
      <c r="N172" s="5652"/>
      <c r="O172" s="5652"/>
      <c r="P172" s="5020"/>
    </row>
    <row r="173" spans="1:17" x14ac:dyDescent="0.25">
      <c r="A173" s="4076">
        <f>'Indicator info'!B66</f>
        <v>54</v>
      </c>
      <c r="B173" s="5008" t="s">
        <v>1471</v>
      </c>
      <c r="C173" s="5009" t="s">
        <v>1486</v>
      </c>
      <c r="D173" s="5925">
        <f>INDEX('Indicator info'!$C$13:$L$93,$A173,3)</f>
        <v>100</v>
      </c>
      <c r="E173" s="5925">
        <f>INDEX('Indicator info'!$C$13:$L$93,$A173,$K$167)</f>
        <v>48</v>
      </c>
      <c r="F173" s="5925">
        <f>INDEX('Indicator info'!$C$13:$L$93,$A173,$L$167)</f>
        <v>52</v>
      </c>
      <c r="G173" s="5928">
        <f>'Summary of PIP'!D123*100</f>
        <v>0</v>
      </c>
      <c r="H173" s="5925">
        <v>0</v>
      </c>
      <c r="I173" s="6049">
        <f t="shared" si="59"/>
        <v>52</v>
      </c>
      <c r="J173" s="6062">
        <v>90</v>
      </c>
      <c r="K173" s="5651"/>
      <c r="L173" s="5652"/>
      <c r="M173" s="5652"/>
      <c r="N173" s="5652"/>
      <c r="O173" s="5652"/>
      <c r="P173" s="5020"/>
    </row>
    <row r="174" spans="1:17" x14ac:dyDescent="0.25">
      <c r="A174" s="4076">
        <f>'Indicator info'!B64</f>
        <v>52</v>
      </c>
      <c r="B174" s="5008" t="s">
        <v>1471</v>
      </c>
      <c r="C174" s="5009" t="s">
        <v>1487</v>
      </c>
      <c r="D174" s="5925">
        <f>INDEX('Indicator info'!$C$13:$L$93,$A174,3)</f>
        <v>20</v>
      </c>
      <c r="E174" s="5925">
        <f>INDEX('Indicator info'!$C$13:$L$93,$A174,$K$167)</f>
        <v>6</v>
      </c>
      <c r="F174" s="5925">
        <f>INDEX('Indicator info'!$C$13:$L$93,$A174,$L$167)</f>
        <v>0</v>
      </c>
      <c r="G174" s="5928">
        <f>'Summary of PIP'!D121*100</f>
        <v>0</v>
      </c>
      <c r="H174" s="5925">
        <v>0</v>
      </c>
      <c r="I174" s="6049">
        <f t="shared" si="59"/>
        <v>0</v>
      </c>
      <c r="J174" s="6055">
        <v>18</v>
      </c>
      <c r="K174" s="5651"/>
      <c r="L174" s="5652"/>
      <c r="M174" s="5652"/>
      <c r="N174" s="5652"/>
      <c r="O174" s="5652"/>
      <c r="P174" s="5020"/>
    </row>
    <row r="175" spans="1:17" x14ac:dyDescent="0.25">
      <c r="A175" s="4076">
        <f>'Indicator info'!B48</f>
        <v>36</v>
      </c>
      <c r="B175" s="5008" t="s">
        <v>1538</v>
      </c>
      <c r="C175" s="5013" t="s">
        <v>3420</v>
      </c>
      <c r="D175" s="5925">
        <f>INDEX('Indicator info'!$C$13:$L$93,$A175,3)</f>
        <v>80</v>
      </c>
      <c r="E175" s="5925">
        <f>INDEX('Indicator info'!$C$13:$L$93,$A175,$K$167)</f>
        <v>96</v>
      </c>
      <c r="F175" s="5925">
        <f>INDEX('Indicator info'!$C$13:$L$93,$A175,$L$167)</f>
        <v>95</v>
      </c>
      <c r="G175" s="5928">
        <f>'Summary of PIP'!D233*100</f>
        <v>100</v>
      </c>
      <c r="H175" s="5925">
        <v>0</v>
      </c>
      <c r="I175" s="6049">
        <f t="shared" si="59"/>
        <v>95</v>
      </c>
      <c r="J175" s="6055">
        <v>72</v>
      </c>
      <c r="K175" s="5651"/>
      <c r="L175" s="5652"/>
      <c r="M175" s="5652"/>
      <c r="N175" s="5652"/>
      <c r="O175" s="5652"/>
      <c r="P175" s="5020"/>
    </row>
    <row r="176" spans="1:17" x14ac:dyDescent="0.25">
      <c r="A176" s="4173">
        <f>'Indicator info'!B50</f>
        <v>38</v>
      </c>
      <c r="B176" s="5008" t="s">
        <v>1471</v>
      </c>
      <c r="C176" s="5009" t="s">
        <v>1488</v>
      </c>
      <c r="D176" s="5925">
        <f>INDEX('Indicator info'!$C$13:$L$93,$A176,3)</f>
        <v>90</v>
      </c>
      <c r="E176" s="5925">
        <f>INDEX('Indicator info'!$C$13:$L$93,$A176,$K$167)</f>
        <v>67</v>
      </c>
      <c r="F176" s="5925">
        <f>INDEX('Indicator info'!$C$13:$L$93,$A176,$L$167)</f>
        <v>61</v>
      </c>
      <c r="G176" s="5928">
        <f>'Summary of PIP'!D134*100</f>
        <v>0</v>
      </c>
      <c r="H176" s="5925">
        <v>0</v>
      </c>
      <c r="I176" s="6049">
        <f t="shared" si="59"/>
        <v>61</v>
      </c>
      <c r="J176" s="6055">
        <v>81</v>
      </c>
      <c r="K176" s="5651"/>
      <c r="L176" s="5652"/>
      <c r="M176" s="5652"/>
      <c r="N176" s="5652"/>
      <c r="O176" s="5652"/>
      <c r="P176" s="5020"/>
    </row>
    <row r="177" spans="1:17" x14ac:dyDescent="0.25">
      <c r="A177" s="4173">
        <f>'Indicator info'!B52</f>
        <v>40</v>
      </c>
      <c r="B177" s="5021" t="s">
        <v>1538</v>
      </c>
      <c r="C177" s="5022" t="s">
        <v>3421</v>
      </c>
      <c r="D177" s="5926">
        <f>INDEX('Indicator info'!$C$13:$L$93,$A177,3)</f>
        <v>100</v>
      </c>
      <c r="E177" s="5926">
        <f>INDEX('Indicator info'!$C$13:$L$93,$A177,$K$167)</f>
        <v>59</v>
      </c>
      <c r="F177" s="5926">
        <f>INDEX('Indicator info'!$C$13:$L$93,$A177,$L$167)</f>
        <v>43</v>
      </c>
      <c r="G177" s="5929">
        <f>'Summary of PIP'!D237*100</f>
        <v>0</v>
      </c>
      <c r="H177" s="5926">
        <v>0</v>
      </c>
      <c r="I177" s="6051">
        <f t="shared" si="59"/>
        <v>43</v>
      </c>
      <c r="J177" s="6063">
        <v>90</v>
      </c>
      <c r="K177" s="5651"/>
      <c r="L177" s="5652"/>
      <c r="M177" s="5652"/>
      <c r="N177" s="5652"/>
      <c r="O177" s="5652"/>
      <c r="P177" s="5020"/>
    </row>
    <row r="178" spans="1:17" x14ac:dyDescent="0.25">
      <c r="A178" s="4076">
        <f>'Indicator info'!B36</f>
        <v>24</v>
      </c>
      <c r="B178" s="5018" t="s">
        <v>1470</v>
      </c>
      <c r="C178" s="5019" t="s">
        <v>1330</v>
      </c>
      <c r="D178" s="5924">
        <f>INDEX('Indicator info'!$C$13:$L$93,$A178,3)</f>
        <v>100</v>
      </c>
      <c r="E178" s="5924">
        <f>INDEX('Indicator info'!$C$13:$L$93,$A178,$K$167)</f>
        <v>77</v>
      </c>
      <c r="F178" s="5924">
        <f>INDEX('Indicator info'!$C$13:$L$93,$A178,$L$167)</f>
        <v>72</v>
      </c>
      <c r="G178" s="5927">
        <f>'Summary of PIP'!D221*100</f>
        <v>0</v>
      </c>
      <c r="H178" s="5924">
        <v>0</v>
      </c>
      <c r="I178" s="6048">
        <f t="shared" si="59"/>
        <v>72</v>
      </c>
      <c r="J178" s="6063">
        <v>90</v>
      </c>
      <c r="K178" s="5651"/>
      <c r="L178" s="5652"/>
      <c r="M178" s="5652"/>
      <c r="N178" s="5652"/>
      <c r="O178" s="5652"/>
      <c r="P178" s="4743"/>
    </row>
    <row r="179" spans="1:17" ht="15.75" customHeight="1" x14ac:dyDescent="0.25">
      <c r="A179" s="4076">
        <f>'Indicator info'!B38</f>
        <v>26</v>
      </c>
      <c r="B179" s="5023" t="s">
        <v>1470</v>
      </c>
      <c r="C179" s="5024" t="s">
        <v>1384</v>
      </c>
      <c r="D179" s="5925">
        <f>INDEX('Indicator info'!$C$13:$L$93,$A179,3)</f>
        <v>100</v>
      </c>
      <c r="E179" s="5925">
        <f>INDEX('Indicator info'!$C$13:$L$93,$A179,$K$167)</f>
        <v>39</v>
      </c>
      <c r="F179" s="5925">
        <f>INDEX('Indicator info'!$C$13:$L$93,$A179,$L$167)</f>
        <v>37</v>
      </c>
      <c r="G179" s="5928">
        <f>'Summary of PIP'!D223*100</f>
        <v>0</v>
      </c>
      <c r="H179" s="5925">
        <v>0</v>
      </c>
      <c r="I179" s="6049">
        <f t="shared" si="59"/>
        <v>37</v>
      </c>
      <c r="J179" s="6063">
        <v>90</v>
      </c>
      <c r="K179" s="5651"/>
      <c r="L179" s="5652"/>
      <c r="M179" s="5652"/>
      <c r="N179" s="5652"/>
      <c r="O179" s="5652"/>
      <c r="P179" s="4743"/>
    </row>
    <row r="180" spans="1:17" x14ac:dyDescent="0.25">
      <c r="A180" s="4076">
        <f>'Indicator info'!B40</f>
        <v>28</v>
      </c>
      <c r="B180" s="5008" t="s">
        <v>1470</v>
      </c>
      <c r="C180" s="5013" t="s">
        <v>805</v>
      </c>
      <c r="D180" s="5925">
        <f>INDEX('Indicator info'!$C$13:$L$93,$A180,3)</f>
        <v>100</v>
      </c>
      <c r="E180" s="5925">
        <f>INDEX('Indicator info'!$C$13:$L$93,$A180,$K$167)</f>
        <v>83</v>
      </c>
      <c r="F180" s="5925">
        <f>INDEX('Indicator info'!$C$13:$L$93,$A180,$L$167)</f>
        <v>90</v>
      </c>
      <c r="G180" s="5928">
        <f>'Summary of PIP'!D225*100</f>
        <v>0</v>
      </c>
      <c r="H180" s="5925">
        <v>0</v>
      </c>
      <c r="I180" s="6049">
        <f t="shared" si="59"/>
        <v>90</v>
      </c>
      <c r="J180" s="6063">
        <v>90</v>
      </c>
      <c r="K180" s="5651"/>
      <c r="L180" s="5652"/>
      <c r="M180" s="5652"/>
      <c r="N180" s="5652"/>
      <c r="O180" s="5652"/>
    </row>
    <row r="181" spans="1:17" x14ac:dyDescent="0.25">
      <c r="A181" s="4076">
        <f>'Indicator info'!B42</f>
        <v>30</v>
      </c>
      <c r="B181" s="5008" t="s">
        <v>1470</v>
      </c>
      <c r="C181" s="5013" t="s">
        <v>159</v>
      </c>
      <c r="D181" s="5925">
        <f>INDEX('Indicator info'!$C$13:$L$93,$A181,3)</f>
        <v>100</v>
      </c>
      <c r="E181" s="5925">
        <f>INDEX('Indicator info'!$C$13:$L$93,$A181,$K$167)</f>
        <v>91</v>
      </c>
      <c r="F181" s="5925">
        <f>INDEX('Indicator info'!$C$13:$L$93,$A181,$L$167)</f>
        <v>93</v>
      </c>
      <c r="G181" s="5928">
        <f>'Summary of PIP'!D227*100</f>
        <v>0</v>
      </c>
      <c r="H181" s="5925">
        <v>0</v>
      </c>
      <c r="I181" s="6049">
        <f t="shared" si="59"/>
        <v>93</v>
      </c>
      <c r="J181" s="6063">
        <v>90</v>
      </c>
      <c r="K181" s="5651"/>
      <c r="L181" s="5652"/>
      <c r="M181" s="5652"/>
      <c r="N181" s="5652"/>
      <c r="O181" s="5652"/>
    </row>
    <row r="182" spans="1:17" x14ac:dyDescent="0.25">
      <c r="A182" s="4076">
        <f>'Indicator info'!B44</f>
        <v>32</v>
      </c>
      <c r="B182" s="5025" t="s">
        <v>1470</v>
      </c>
      <c r="C182" s="5026" t="s">
        <v>806</v>
      </c>
      <c r="D182" s="5925">
        <f>INDEX('Indicator info'!$C$13:$L$93,$A182,3)</f>
        <v>20</v>
      </c>
      <c r="E182" s="5925">
        <f>INDEX('Indicator info'!$C$13:$L$93,$A182,$K$167)</f>
        <v>5</v>
      </c>
      <c r="F182" s="5925">
        <f>INDEX('Indicator info'!$C$13:$L$93,$A182,$L$167)</f>
        <v>7</v>
      </c>
      <c r="G182" s="5928">
        <f>'Summary of PIP'!D231*100</f>
        <v>0</v>
      </c>
      <c r="H182" s="5925">
        <v>0</v>
      </c>
      <c r="I182" s="6049">
        <f t="shared" si="59"/>
        <v>7</v>
      </c>
      <c r="J182" s="6055">
        <v>18</v>
      </c>
      <c r="K182" s="5651"/>
      <c r="L182" s="5652"/>
      <c r="M182" s="5652"/>
      <c r="N182" s="5652"/>
      <c r="O182" s="5652"/>
    </row>
    <row r="183" spans="1:17" x14ac:dyDescent="0.25">
      <c r="A183" s="4076">
        <f>'Indicator info'!B46</f>
        <v>34</v>
      </c>
      <c r="B183" s="5008" t="s">
        <v>1470</v>
      </c>
      <c r="C183" s="5013" t="s">
        <v>38</v>
      </c>
      <c r="D183" s="5925">
        <f>INDEX('Indicator info'!$C$13:$L$93,$A183,3)</f>
        <v>100</v>
      </c>
      <c r="E183" s="5925">
        <f>INDEX('Indicator info'!$C$13:$L$93,$A183,$K$167)</f>
        <v>70</v>
      </c>
      <c r="F183" s="5925">
        <f>INDEX('Indicator info'!$C$13:$L$93,$A183,$L$167)</f>
        <v>67</v>
      </c>
      <c r="G183" s="5928">
        <f>'Summary of PIP'!D229*100</f>
        <v>0</v>
      </c>
      <c r="H183" s="5925">
        <v>0</v>
      </c>
      <c r="I183" s="6049">
        <f t="shared" si="59"/>
        <v>67</v>
      </c>
      <c r="J183" s="6055">
        <v>90</v>
      </c>
      <c r="K183" s="5651"/>
      <c r="L183" s="5652"/>
      <c r="M183" s="5652"/>
      <c r="N183" s="5652"/>
      <c r="O183" s="5652"/>
    </row>
    <row r="184" spans="1:17" ht="15.75" thickBot="1" x14ac:dyDescent="0.3">
      <c r="A184" s="5660">
        <f>A176</f>
        <v>38</v>
      </c>
      <c r="B184" s="5015" t="s">
        <v>1470</v>
      </c>
      <c r="C184" s="5016" t="s">
        <v>808</v>
      </c>
      <c r="D184" s="5926">
        <f>INDEX('Indicator info'!$C$13:$L$93,$A184,3)</f>
        <v>90</v>
      </c>
      <c r="E184" s="5926">
        <f>INDEX('Indicator info'!$C$13:$L$93,$A184,$K$167)</f>
        <v>67</v>
      </c>
      <c r="F184" s="5926">
        <f>INDEX('Indicator info'!$C$13:$L$93,$A184,$L$167)</f>
        <v>61</v>
      </c>
      <c r="G184" s="5930">
        <f>'Summary of PIP'!D235*100</f>
        <v>0</v>
      </c>
      <c r="H184" s="5926">
        <v>0</v>
      </c>
      <c r="I184" s="6051">
        <f t="shared" si="59"/>
        <v>61</v>
      </c>
      <c r="J184" s="6063">
        <v>81</v>
      </c>
      <c r="K184" s="5651"/>
      <c r="L184" s="5652"/>
      <c r="M184" s="5652"/>
      <c r="N184" s="5652"/>
      <c r="O184" s="5652"/>
    </row>
    <row r="185" spans="1:17" s="5001" customFormat="1" ht="30.75" customHeight="1" x14ac:dyDescent="0.25">
      <c r="B185" s="4992"/>
      <c r="C185" s="4993" t="s">
        <v>1414</v>
      </c>
      <c r="D185" s="4994" t="s">
        <v>582</v>
      </c>
      <c r="E185" s="4995" t="str">
        <f>E167</f>
        <v>City 2</v>
      </c>
      <c r="F185" s="4996" t="str">
        <f>F167</f>
        <v>ABC</v>
      </c>
      <c r="G185" s="4997" t="str">
        <f>G156</f>
        <v>Wai</v>
      </c>
      <c r="H185" s="4998" t="s">
        <v>817</v>
      </c>
      <c r="I185" s="4999" t="s">
        <v>819</v>
      </c>
      <c r="J185" s="5000" t="s">
        <v>818</v>
      </c>
      <c r="K185" s="4076">
        <f>MATCH(E185,'Indicator info'!$C$13:$L$13,0)</f>
        <v>8</v>
      </c>
      <c r="L185" s="4076">
        <f>MATCH(F185,'Indicator info'!$C$13:$L$13,0)</f>
        <v>9</v>
      </c>
      <c r="M185" s="5652"/>
      <c r="N185" s="5652"/>
      <c r="O185" s="5652"/>
      <c r="P185" s="5003"/>
      <c r="Q185" s="5002"/>
    </row>
    <row r="186" spans="1:17" x14ac:dyDescent="0.25">
      <c r="A186" s="4076">
        <f>'Indicator info'!B69</f>
        <v>57</v>
      </c>
      <c r="B186" s="5027" t="s">
        <v>1470</v>
      </c>
      <c r="C186" s="5028" t="s">
        <v>1331</v>
      </c>
      <c r="D186" s="6045">
        <f>INDEX('Indicator info'!$C$13:$L$93,$A186,3)</f>
        <v>100</v>
      </c>
      <c r="E186" s="6046">
        <f>INDEX('Indicator info'!$C$13:$L$93,$A186,$K$185)</f>
        <v>15</v>
      </c>
      <c r="F186" s="6047">
        <f>INDEX('Indicator info'!$C$13:$L$93,$A186,$L$185)</f>
        <v>10</v>
      </c>
      <c r="G186" s="5931">
        <f>'Summary of PIP'!D241*100</f>
        <v>0</v>
      </c>
      <c r="H186" s="5029">
        <v>0</v>
      </c>
      <c r="I186" s="6047">
        <f t="shared" si="59"/>
        <v>10</v>
      </c>
      <c r="J186" s="6066">
        <v>90</v>
      </c>
      <c r="K186" s="5651"/>
      <c r="L186" s="5652"/>
      <c r="M186" s="5652"/>
      <c r="N186" s="5652"/>
      <c r="O186" s="5652"/>
    </row>
    <row r="187" spans="1:17" ht="15.75" thickBot="1" x14ac:dyDescent="0.3">
      <c r="A187" s="4076">
        <f>'Indicator info'!B71</f>
        <v>59</v>
      </c>
      <c r="B187" s="5030" t="s">
        <v>1470</v>
      </c>
      <c r="C187" s="5031" t="s">
        <v>1122</v>
      </c>
      <c r="D187" s="5032">
        <f>INDEX('Indicator info'!$C$13:$L$93,$A187,3)</f>
        <v>0</v>
      </c>
      <c r="E187" s="5033" t="e">
        <f>INDEX('Indicator info'!$C$13:$L$93,$A187,$K$156)</f>
        <v>#N/A</v>
      </c>
      <c r="F187" s="5034" t="e">
        <f>INDEX('Indicator info'!$C$13:$L$93,$A187,$L$156)</f>
        <v>#N/A</v>
      </c>
      <c r="G187" s="5035">
        <f>'Summary of PIP'!D243</f>
        <v>3</v>
      </c>
      <c r="H187" s="5036">
        <v>0</v>
      </c>
      <c r="I187" s="5034" t="e">
        <f t="shared" si="59"/>
        <v>#N/A</v>
      </c>
      <c r="J187" s="6067">
        <f>N140</f>
        <v>0</v>
      </c>
      <c r="K187" s="5651"/>
      <c r="L187" s="5652"/>
      <c r="M187" s="5652"/>
      <c r="N187" s="5652"/>
      <c r="O187" s="5652"/>
      <c r="P187" s="4743"/>
      <c r="Q187" s="4743"/>
    </row>
    <row r="188" spans="1:17" s="5001" customFormat="1" ht="30.75" customHeight="1" x14ac:dyDescent="0.25">
      <c r="B188" s="4992"/>
      <c r="C188" s="4993" t="s">
        <v>792</v>
      </c>
      <c r="D188" s="4994" t="s">
        <v>582</v>
      </c>
      <c r="E188" s="4995" t="str">
        <f>'Perf assessment'!H191</f>
        <v>Province avg</v>
      </c>
      <c r="F188" s="4995" t="str">
        <f>'Perf assessment'!I191</f>
        <v>City 2</v>
      </c>
      <c r="G188" s="4997" t="str">
        <f>G156</f>
        <v>Wai</v>
      </c>
      <c r="H188" s="4998" t="s">
        <v>817</v>
      </c>
      <c r="I188" s="4999" t="s">
        <v>819</v>
      </c>
      <c r="J188" s="5000" t="s">
        <v>818</v>
      </c>
      <c r="K188" s="4076">
        <f>MATCH(E188,'Indicator info'!$C$13:$L$13,0)</f>
        <v>5</v>
      </c>
      <c r="L188" s="4076">
        <f>MATCH(F188,'Indicator info'!$C$13:$L$13,0)</f>
        <v>8</v>
      </c>
      <c r="M188" s="5652"/>
      <c r="N188" s="5652"/>
      <c r="O188" s="5652"/>
      <c r="P188" s="5003"/>
      <c r="Q188" s="5002"/>
    </row>
    <row r="189" spans="1:17" x14ac:dyDescent="0.25">
      <c r="A189" s="4076">
        <f>'Indicator info'!B74</f>
        <v>62</v>
      </c>
      <c r="B189" s="1496" t="s">
        <v>1471</v>
      </c>
      <c r="C189" s="1497" t="s">
        <v>1489</v>
      </c>
      <c r="D189" s="5924">
        <f>INDEX('Indicator info'!$C$13:$L$93,$A189,3)</f>
        <v>100</v>
      </c>
      <c r="E189" s="5927">
        <f>INDEX('Indicator info'!$C$13:$L$93,$A189,$K$188)</f>
        <v>84</v>
      </c>
      <c r="F189" s="5927">
        <f>INDEX('Indicator info'!$C$13:$L$93,$A189,$L$188)</f>
        <v>81</v>
      </c>
      <c r="G189" s="5927">
        <f>'Summary of PIP'!D154*100</f>
        <v>0</v>
      </c>
      <c r="H189" s="5924">
        <v>0</v>
      </c>
      <c r="I189" s="6048">
        <f t="shared" si="59"/>
        <v>81</v>
      </c>
      <c r="J189" s="6064">
        <v>90</v>
      </c>
      <c r="K189" s="5651"/>
      <c r="L189" s="5652"/>
      <c r="M189" s="5652"/>
      <c r="N189" s="5652"/>
      <c r="O189" s="5652"/>
      <c r="P189" s="4991"/>
      <c r="Q189" s="4743"/>
    </row>
    <row r="190" spans="1:17" x14ac:dyDescent="0.25">
      <c r="A190" s="4076">
        <f>'Indicator info'!B78</f>
        <v>66</v>
      </c>
      <c r="B190" s="1498" t="s">
        <v>1471</v>
      </c>
      <c r="C190" s="1499" t="s">
        <v>1495</v>
      </c>
      <c r="D190" s="5925">
        <f>INDEX('Indicator info'!$C$13:$L$93,$A190,3)</f>
        <v>100</v>
      </c>
      <c r="E190" s="5928">
        <f>INDEX('Indicator info'!$C$13:$L$93,$A190,$K$188)</f>
        <v>70</v>
      </c>
      <c r="F190" s="5928">
        <f>INDEX('Indicator info'!$C$13:$L$93,$A190,$L$188)</f>
        <v>75</v>
      </c>
      <c r="G190" s="5928">
        <f>'Summary of PIP'!D156*100</f>
        <v>0</v>
      </c>
      <c r="H190" s="5925">
        <v>0</v>
      </c>
      <c r="I190" s="6049">
        <f t="shared" si="59"/>
        <v>75</v>
      </c>
      <c r="J190" s="6064">
        <v>90</v>
      </c>
      <c r="K190" s="5651"/>
      <c r="L190" s="5652"/>
      <c r="M190" s="5652"/>
      <c r="N190" s="5652"/>
      <c r="O190" s="5652"/>
      <c r="P190" s="5020"/>
      <c r="Q190" s="4743"/>
    </row>
    <row r="191" spans="1:17" x14ac:dyDescent="0.25">
      <c r="A191" s="4076">
        <f>'Indicator info'!B80</f>
        <v>68</v>
      </c>
      <c r="B191" s="5008" t="s">
        <v>1538</v>
      </c>
      <c r="C191" s="5013" t="s">
        <v>1490</v>
      </c>
      <c r="D191" s="5932">
        <f>INDEX('Indicator info'!$C$13:$L$93,$A191,3)</f>
        <v>100</v>
      </c>
      <c r="E191" s="5928">
        <f>INDEX('Indicator info'!$C$13:$L$93,$A191,$K$188)</f>
        <v>94</v>
      </c>
      <c r="F191" s="5928">
        <f>INDEX('Indicator info'!$C$13:$L$93,$A191,$L$188)</f>
        <v>92</v>
      </c>
      <c r="G191" s="5928">
        <f>'Summary of PIP'!D249*100</f>
        <v>0</v>
      </c>
      <c r="H191" s="5925">
        <v>0</v>
      </c>
      <c r="I191" s="6049">
        <f t="shared" si="59"/>
        <v>92</v>
      </c>
      <c r="J191" s="6064">
        <v>90</v>
      </c>
      <c r="K191" s="5651"/>
      <c r="L191" s="5652"/>
      <c r="M191" s="5652"/>
      <c r="N191" s="5652"/>
      <c r="O191" s="5652"/>
      <c r="P191" s="5020"/>
      <c r="Q191" s="4743"/>
    </row>
    <row r="192" spans="1:17" x14ac:dyDescent="0.25">
      <c r="A192" s="4076">
        <f>'Indicator info'!B82</f>
        <v>70</v>
      </c>
      <c r="B192" s="5008" t="s">
        <v>1538</v>
      </c>
      <c r="C192" s="5013" t="s">
        <v>1491</v>
      </c>
      <c r="D192" s="5925">
        <f>INDEX('Indicator info'!$C$13:$L$93,$A192,3)</f>
        <v>100</v>
      </c>
      <c r="E192" s="5928">
        <f>INDEX('Indicator info'!$C$13:$L$93,$A192,$K$188)</f>
        <v>10</v>
      </c>
      <c r="F192" s="5928">
        <f>INDEX('Indicator info'!$C$13:$L$93,$A192,$L$188)</f>
        <v>10</v>
      </c>
      <c r="G192" s="5928">
        <f>'Summary of PIP'!D251*100</f>
        <v>0</v>
      </c>
      <c r="H192" s="5925">
        <v>0</v>
      </c>
      <c r="I192" s="6049">
        <f t="shared" si="59"/>
        <v>10</v>
      </c>
      <c r="J192" s="6064">
        <v>90</v>
      </c>
      <c r="K192" s="5651"/>
      <c r="L192" s="5652"/>
      <c r="M192" s="5652"/>
      <c r="N192" s="5652"/>
      <c r="O192" s="5652"/>
      <c r="P192" s="5020"/>
      <c r="Q192" s="4743"/>
    </row>
    <row r="193" spans="1:17" x14ac:dyDescent="0.25">
      <c r="A193" s="4076">
        <f>'Indicator info'!B84</f>
        <v>72</v>
      </c>
      <c r="B193" s="5008" t="s">
        <v>1538</v>
      </c>
      <c r="C193" s="5013" t="s">
        <v>1492</v>
      </c>
      <c r="D193" s="5925">
        <f>INDEX('Indicator info'!$C$13:$L$93,$A193,3)</f>
        <v>80</v>
      </c>
      <c r="E193" s="5928">
        <f>INDEX('Indicator info'!$C$13:$L$93,$A193,$K$188)</f>
        <v>41</v>
      </c>
      <c r="F193" s="5928">
        <f>INDEX('Indicator info'!$C$13:$L$93,$A193,$L$188)</f>
        <v>33</v>
      </c>
      <c r="G193" s="5928">
        <f>'Summary of PIP'!D253*100</f>
        <v>0</v>
      </c>
      <c r="H193" s="5925">
        <v>0</v>
      </c>
      <c r="I193" s="6049">
        <f t="shared" si="59"/>
        <v>33</v>
      </c>
      <c r="J193" s="6065">
        <v>72</v>
      </c>
      <c r="K193" s="5651"/>
      <c r="L193" s="5652"/>
      <c r="M193" s="5652"/>
      <c r="N193" s="5652"/>
      <c r="O193" s="5652"/>
      <c r="P193" s="5020"/>
      <c r="Q193" s="4743"/>
    </row>
    <row r="194" spans="1:17" x14ac:dyDescent="0.25">
      <c r="A194" s="4076">
        <f>'Indicator info'!B86</f>
        <v>74</v>
      </c>
      <c r="B194" s="5008" t="s">
        <v>1538</v>
      </c>
      <c r="C194" s="5013" t="s">
        <v>1493</v>
      </c>
      <c r="D194" s="5925">
        <f>INDEX('Indicator info'!$C$13:$L$93,$A194,3)</f>
        <v>100</v>
      </c>
      <c r="E194" s="5928">
        <f>INDEX('Indicator info'!$C$13:$L$93,$A194,$K$188)</f>
        <v>29</v>
      </c>
      <c r="F194" s="5928">
        <f>INDEX('Indicator info'!$C$13:$L$93,$A194,$L$188)</f>
        <v>0</v>
      </c>
      <c r="G194" s="5928">
        <f>'Summary of PIP'!D255*100</f>
        <v>0</v>
      </c>
      <c r="H194" s="5925">
        <v>0</v>
      </c>
      <c r="I194" s="6049">
        <f t="shared" si="59"/>
        <v>0</v>
      </c>
      <c r="J194" s="6065">
        <v>90</v>
      </c>
      <c r="K194" s="5651"/>
      <c r="L194" s="5652"/>
      <c r="M194" s="5652"/>
      <c r="N194" s="5652"/>
      <c r="O194" s="5652"/>
      <c r="P194" s="5020"/>
      <c r="Q194" s="4743"/>
    </row>
    <row r="195" spans="1:17" ht="13.5" customHeight="1" x14ac:dyDescent="0.25">
      <c r="A195" s="4076">
        <f>'Indicator info'!B88</f>
        <v>76</v>
      </c>
      <c r="B195" s="5008" t="s">
        <v>1538</v>
      </c>
      <c r="C195" s="5013" t="s">
        <v>3422</v>
      </c>
      <c r="D195" s="5925">
        <f>INDEX('Indicator info'!$C$13:$L$93,$A195,3)</f>
        <v>80</v>
      </c>
      <c r="E195" s="5928">
        <f>INDEX('Indicator info'!$C$13:$L$93,$A195,$K$188)</f>
        <v>96</v>
      </c>
      <c r="F195" s="5928">
        <f>INDEX('Indicator info'!$C$13:$L$93,$A195,$L$188)</f>
        <v>95</v>
      </c>
      <c r="G195" s="5928">
        <f>'Summary of PIP'!D257*100</f>
        <v>96.739130434782609</v>
      </c>
      <c r="H195" s="5925">
        <v>0</v>
      </c>
      <c r="I195" s="6049">
        <f t="shared" si="59"/>
        <v>95</v>
      </c>
      <c r="J195" s="6065">
        <v>72</v>
      </c>
      <c r="K195" s="5651"/>
      <c r="L195" s="5652"/>
      <c r="M195" s="5652"/>
      <c r="N195" s="5652"/>
      <c r="O195" s="5652"/>
      <c r="P195" s="5020"/>
      <c r="Q195" s="4743"/>
    </row>
    <row r="196" spans="1:17" x14ac:dyDescent="0.25">
      <c r="A196" s="4076">
        <f>'Indicator info'!B90</f>
        <v>78</v>
      </c>
      <c r="B196" s="1498" t="s">
        <v>1471</v>
      </c>
      <c r="C196" s="1499" t="s">
        <v>1494</v>
      </c>
      <c r="D196" s="5925">
        <f>INDEX('Indicator info'!$C$13:$L$93,$A196,3)</f>
        <v>90</v>
      </c>
      <c r="E196" s="5928">
        <f>INDEX('Indicator info'!$C$13:$L$93,$A196,$K$188)</f>
        <v>57</v>
      </c>
      <c r="F196" s="5928">
        <f>INDEX('Indicator info'!$C$13:$L$93,$A196,$L$188)</f>
        <v>65</v>
      </c>
      <c r="G196" s="5928">
        <f>'Summary of PIP'!D181*100</f>
        <v>0</v>
      </c>
      <c r="H196" s="5925">
        <v>0</v>
      </c>
      <c r="I196" s="6049">
        <f t="shared" si="59"/>
        <v>65</v>
      </c>
      <c r="J196" s="6065">
        <v>81</v>
      </c>
      <c r="K196" s="5651"/>
      <c r="L196" s="5652"/>
      <c r="M196" s="5652"/>
      <c r="N196" s="5652"/>
      <c r="O196" s="5652"/>
      <c r="P196" s="5020"/>
      <c r="Q196" s="4743"/>
    </row>
    <row r="197" spans="1:17" x14ac:dyDescent="0.25">
      <c r="A197" s="4076">
        <f>'Indicator info'!B92</f>
        <v>80</v>
      </c>
      <c r="B197" s="5015" t="s">
        <v>1538</v>
      </c>
      <c r="C197" s="5016" t="s">
        <v>3423</v>
      </c>
      <c r="D197" s="5933">
        <f>INDEX('Indicator info'!$C$13:$L$93,$A197,3)</f>
        <v>100</v>
      </c>
      <c r="E197" s="5930">
        <f>INDEX('Indicator info'!$C$13:$L$93,$A197,$K$188)</f>
        <v>18</v>
      </c>
      <c r="F197" s="5930">
        <f>INDEX('Indicator info'!$C$13:$L$93,$A197,$L$188)</f>
        <v>16</v>
      </c>
      <c r="G197" s="5930">
        <f>'Summary of PIP'!D261*100</f>
        <v>0</v>
      </c>
      <c r="H197" s="5933">
        <v>0</v>
      </c>
      <c r="I197" s="6050">
        <f t="shared" si="59"/>
        <v>16</v>
      </c>
      <c r="J197" s="6068">
        <v>90</v>
      </c>
      <c r="K197" s="5651"/>
      <c r="L197" s="5652"/>
      <c r="M197" s="5652"/>
      <c r="N197" s="5652"/>
      <c r="O197" s="5652"/>
      <c r="P197" s="5020"/>
      <c r="Q197" s="4743"/>
    </row>
    <row r="198" spans="1:17" x14ac:dyDescent="0.25">
      <c r="A198" s="4076">
        <f>'Indicator info'!B76</f>
        <v>64</v>
      </c>
      <c r="B198" s="5018" t="s">
        <v>1470</v>
      </c>
      <c r="C198" s="5037" t="s">
        <v>793</v>
      </c>
      <c r="D198" s="5934">
        <f>INDEX('Indicator info'!$C$13:$L$93,$A198,3)</f>
        <v>100</v>
      </c>
      <c r="E198" s="5927">
        <f>INDEX('Indicator info'!$C$13:$L$93,$A198,$K$188)</f>
        <v>85</v>
      </c>
      <c r="F198" s="5927">
        <f>INDEX('Indicator info'!$C$13:$L$93,$A198,$L$188)</f>
        <v>83</v>
      </c>
      <c r="G198" s="5927">
        <f>'Summary of PIP'!D247*100</f>
        <v>0</v>
      </c>
      <c r="H198" s="5924">
        <v>0</v>
      </c>
      <c r="I198" s="6048">
        <f t="shared" si="59"/>
        <v>83</v>
      </c>
      <c r="J198" s="6064">
        <v>90</v>
      </c>
      <c r="K198" s="5651"/>
      <c r="L198" s="5652"/>
      <c r="M198" s="5652"/>
      <c r="N198" s="5652"/>
      <c r="O198" s="5652"/>
      <c r="P198" s="5020"/>
      <c r="Q198" s="4743"/>
    </row>
    <row r="199" spans="1:17" ht="15.75" thickBot="1" x14ac:dyDescent="0.3">
      <c r="A199" s="4076">
        <f>A196</f>
        <v>78</v>
      </c>
      <c r="B199" s="5038" t="s">
        <v>1470</v>
      </c>
      <c r="C199" s="5039" t="s">
        <v>811</v>
      </c>
      <c r="D199" s="5935">
        <f>INDEX('Indicator info'!$C$13:$L$93,$A199,3)</f>
        <v>90</v>
      </c>
      <c r="E199" s="5937">
        <f>INDEX('Indicator info'!$C$13:$L$93,$A199,$K$188)</f>
        <v>57</v>
      </c>
      <c r="F199" s="5937">
        <f>INDEX('Indicator info'!$C$13:$L$93,$A199,$L$188)</f>
        <v>65</v>
      </c>
      <c r="G199" s="5937">
        <f>'Summary of PIP'!D259*100</f>
        <v>0</v>
      </c>
      <c r="H199" s="5935">
        <v>0</v>
      </c>
      <c r="I199" s="5936">
        <f t="shared" si="59"/>
        <v>65</v>
      </c>
      <c r="J199" s="6069">
        <v>81</v>
      </c>
      <c r="K199" s="5651"/>
      <c r="L199" s="5652"/>
      <c r="M199" s="5652"/>
      <c r="N199" s="5652"/>
      <c r="O199" s="5652"/>
      <c r="P199" s="4743"/>
      <c r="Q199" s="4743"/>
    </row>
    <row r="202" spans="1:17" x14ac:dyDescent="0.25">
      <c r="E202" s="4076" t="s">
        <v>2121</v>
      </c>
    </row>
    <row r="203" spans="1:17" s="5040" customFormat="1" x14ac:dyDescent="0.25">
      <c r="C203" s="5041" t="s">
        <v>928</v>
      </c>
    </row>
    <row r="204" spans="1:17" ht="15.75" thickBot="1" x14ac:dyDescent="0.3"/>
    <row r="205" spans="1:17" ht="15.75" customHeight="1" thickBot="1" x14ac:dyDescent="0.3">
      <c r="E205" s="5042">
        <f>IF('PIP options'!$T$17="I. EQUAL WEIGHTAGE",1,2)</f>
        <v>2</v>
      </c>
      <c r="F205" s="5043">
        <v>1</v>
      </c>
      <c r="H205" s="5044" t="str">
        <f>CONCATENATE("Start of Plan period"," - ",H207)</f>
        <v>Start of Plan period - 2014</v>
      </c>
      <c r="I205" s="5044"/>
      <c r="J205" s="5044" t="str">
        <f>CONCATENATE("End of Plan period"," - ",K207)</f>
        <v>End of Plan period - 2024</v>
      </c>
      <c r="L205" s="4288"/>
      <c r="N205" s="4288"/>
      <c r="O205" s="4288"/>
      <c r="P205" s="4288"/>
      <c r="Q205" s="4288"/>
    </row>
    <row r="206" spans="1:17" x14ac:dyDescent="0.25">
      <c r="H206" s="7242" t="s">
        <v>925</v>
      </c>
      <c r="I206" s="7242"/>
      <c r="J206" s="7243" t="s">
        <v>926</v>
      </c>
      <c r="K206" s="7244"/>
    </row>
    <row r="207" spans="1:17" ht="30" x14ac:dyDescent="0.25">
      <c r="A207" s="5045" t="s">
        <v>1216</v>
      </c>
      <c r="B207" s="5045" t="s">
        <v>1217</v>
      </c>
      <c r="C207" s="4753" t="s">
        <v>795</v>
      </c>
      <c r="D207" s="4753"/>
      <c r="E207" s="4753" t="s">
        <v>582</v>
      </c>
      <c r="F207" s="4753" t="s">
        <v>930</v>
      </c>
      <c r="G207" s="5046" t="s">
        <v>924</v>
      </c>
      <c r="H207" s="4753">
        <f>$E$46</f>
        <v>2014</v>
      </c>
      <c r="I207" s="4753">
        <f>$O$46</f>
        <v>2024</v>
      </c>
      <c r="J207" s="5047">
        <f>H207</f>
        <v>2014</v>
      </c>
      <c r="K207" s="5048">
        <f>I207</f>
        <v>2024</v>
      </c>
      <c r="N207" s="4288"/>
      <c r="O207" s="4288"/>
      <c r="P207" s="4288"/>
    </row>
    <row r="208" spans="1:17" ht="30" x14ac:dyDescent="0.25">
      <c r="A208" s="5049" t="e">
        <f>G208*100%</f>
        <v>#DIV/0!</v>
      </c>
      <c r="B208" s="5049" t="e">
        <f>G208*K208</f>
        <v>#DIV/0!</v>
      </c>
      <c r="C208" s="5050" t="s">
        <v>796</v>
      </c>
      <c r="D208" s="5051" t="s">
        <v>18</v>
      </c>
      <c r="E208" s="5052">
        <v>1</v>
      </c>
      <c r="F208" s="5053">
        <f>IF($E$205=$F$205,10,'PIP options'!V22)</f>
        <v>0</v>
      </c>
      <c r="G208" s="5054" t="e">
        <f>F208/SUM($F$208:$F$217)</f>
        <v>#DIV/0!</v>
      </c>
      <c r="H208" s="5055">
        <f>'Summary of PIP'!D24</f>
        <v>0</v>
      </c>
      <c r="I208" s="5055">
        <f>'Summary of PIP'!N24</f>
        <v>0</v>
      </c>
      <c r="J208" s="5056">
        <f>H208/$E208</f>
        <v>0</v>
      </c>
      <c r="K208" s="5057">
        <f>I208/$E208</f>
        <v>0</v>
      </c>
      <c r="L208" s="5058">
        <v>1</v>
      </c>
    </row>
    <row r="209" spans="1:22" ht="30" x14ac:dyDescent="0.25">
      <c r="A209" s="5049" t="e">
        <f t="shared" ref="A209:A217" si="60">G209*100%</f>
        <v>#DIV/0!</v>
      </c>
      <c r="B209" s="5049" t="e">
        <f t="shared" ref="B209:B217" si="61">G209*K209</f>
        <v>#DIV/0!</v>
      </c>
      <c r="C209" s="5050" t="s">
        <v>797</v>
      </c>
      <c r="D209" s="5051" t="s">
        <v>18</v>
      </c>
      <c r="E209" s="5052">
        <v>1</v>
      </c>
      <c r="F209" s="5053">
        <f>IF($E$205=$F$205,10,'PIP options'!V23)</f>
        <v>0</v>
      </c>
      <c r="G209" s="5054" t="e">
        <f t="shared" ref="G209:G217" si="62">F209/SUM($F$208:$F$217)</f>
        <v>#DIV/0!</v>
      </c>
      <c r="H209" s="5055">
        <f>'Summary of PIP'!D26</f>
        <v>0</v>
      </c>
      <c r="I209" s="5055">
        <f>'Summary of PIP'!N26</f>
        <v>0</v>
      </c>
      <c r="J209" s="5056">
        <f t="shared" ref="J209:J217" si="63">H209/$E209</f>
        <v>0</v>
      </c>
      <c r="K209" s="5057">
        <f t="shared" ref="K209:K217" si="64">I209/$E209</f>
        <v>0</v>
      </c>
      <c r="L209" s="5058">
        <v>1</v>
      </c>
      <c r="N209" s="4288"/>
      <c r="O209" s="4288"/>
      <c r="P209" s="4288"/>
    </row>
    <row r="210" spans="1:22" x14ac:dyDescent="0.25">
      <c r="A210" s="5049" t="e">
        <f t="shared" si="60"/>
        <v>#DIV/0!</v>
      </c>
      <c r="B210" s="5049" t="e">
        <f t="shared" si="61"/>
        <v>#DIV/0!</v>
      </c>
      <c r="C210" s="5050" t="s">
        <v>798</v>
      </c>
      <c r="D210" s="5062" t="s">
        <v>74</v>
      </c>
      <c r="E210" s="5063" t="e">
        <f>#REF!</f>
        <v>#REF!</v>
      </c>
      <c r="F210" s="5053">
        <f>IF($E$205=$F$205,10,'PIP options'!V24)</f>
        <v>0</v>
      </c>
      <c r="G210" s="5054" t="e">
        <f t="shared" si="62"/>
        <v>#DIV/0!</v>
      </c>
      <c r="H210" s="5064">
        <f>'Summary of PIP'!D35</f>
        <v>0</v>
      </c>
      <c r="I210" s="5064">
        <f>'Summary of PIP'!N35</f>
        <v>0</v>
      </c>
      <c r="J210" s="5056" t="e">
        <f t="shared" si="63"/>
        <v>#REF!</v>
      </c>
      <c r="K210" s="5057" t="e">
        <f t="shared" si="64"/>
        <v>#REF!</v>
      </c>
      <c r="L210" s="5058">
        <v>1</v>
      </c>
    </row>
    <row r="211" spans="1:22" x14ac:dyDescent="0.25">
      <c r="A211" s="5049" t="e">
        <f t="shared" si="60"/>
        <v>#DIV/0!</v>
      </c>
      <c r="B211" s="5049" t="e">
        <f t="shared" si="61"/>
        <v>#DIV/0!</v>
      </c>
      <c r="C211" s="5050" t="s">
        <v>66</v>
      </c>
      <c r="D211" s="5062" t="s">
        <v>2988</v>
      </c>
      <c r="E211" s="5063">
        <v>24</v>
      </c>
      <c r="F211" s="5053">
        <f>IF($E$205=$F$205,10,'PIP options'!V25)</f>
        <v>0</v>
      </c>
      <c r="G211" s="5054" t="e">
        <f t="shared" si="62"/>
        <v>#DIV/0!</v>
      </c>
      <c r="H211" s="5065">
        <f>'Summary of PIP'!D37</f>
        <v>0</v>
      </c>
      <c r="I211" s="5065">
        <f>'Summary of PIP'!N37</f>
        <v>0</v>
      </c>
      <c r="J211" s="5056">
        <f t="shared" si="63"/>
        <v>0</v>
      </c>
      <c r="K211" s="5057">
        <f t="shared" si="64"/>
        <v>0</v>
      </c>
      <c r="L211" s="5058">
        <v>1</v>
      </c>
      <c r="N211" s="4288"/>
      <c r="O211" s="4288"/>
      <c r="P211" s="4288"/>
    </row>
    <row r="212" spans="1:22" s="4173" customFormat="1" x14ac:dyDescent="0.25">
      <c r="A212" s="5049" t="e">
        <f t="shared" si="60"/>
        <v>#DIV/0!</v>
      </c>
      <c r="B212" s="5049" t="e">
        <f t="shared" si="61"/>
        <v>#DIV/0!</v>
      </c>
      <c r="C212" s="5050" t="s">
        <v>799</v>
      </c>
      <c r="D212" s="5051" t="s">
        <v>18</v>
      </c>
      <c r="E212" s="5052">
        <v>0.15</v>
      </c>
      <c r="F212" s="5053">
        <f>IF($E$205=$F$205,10,'PIP options'!V26)</f>
        <v>0</v>
      </c>
      <c r="G212" s="5054" t="e">
        <f t="shared" si="62"/>
        <v>#DIV/0!</v>
      </c>
      <c r="H212" s="5055">
        <f>'Summary of PIP'!D50</f>
        <v>0</v>
      </c>
      <c r="I212" s="5055">
        <f>'Summary of PIP'!N50</f>
        <v>0</v>
      </c>
      <c r="J212" s="5056">
        <f t="shared" si="63"/>
        <v>0</v>
      </c>
      <c r="K212" s="5057">
        <f t="shared" si="64"/>
        <v>0</v>
      </c>
      <c r="L212" s="5058">
        <v>1</v>
      </c>
      <c r="M212" s="4076"/>
      <c r="N212" s="4076"/>
      <c r="O212" s="4076"/>
      <c r="P212" s="4076"/>
    </row>
    <row r="213" spans="1:22" x14ac:dyDescent="0.25">
      <c r="A213" s="5049" t="e">
        <f t="shared" si="60"/>
        <v>#DIV/0!</v>
      </c>
      <c r="B213" s="5049" t="e">
        <f t="shared" si="61"/>
        <v>#DIV/0!</v>
      </c>
      <c r="C213" s="5050" t="s">
        <v>800</v>
      </c>
      <c r="D213" s="5051" t="s">
        <v>18</v>
      </c>
      <c r="E213" s="5052">
        <v>1</v>
      </c>
      <c r="F213" s="5053">
        <f>IF($E$205=$F$205,10,'PIP options'!V27)</f>
        <v>0</v>
      </c>
      <c r="G213" s="5054" t="e">
        <f t="shared" si="62"/>
        <v>#DIV/0!</v>
      </c>
      <c r="H213" s="5055">
        <f>'Summary of PIP'!D52</f>
        <v>0</v>
      </c>
      <c r="I213" s="5055">
        <f>'Summary of PIP'!N52</f>
        <v>0</v>
      </c>
      <c r="J213" s="5056">
        <f t="shared" si="63"/>
        <v>0</v>
      </c>
      <c r="K213" s="5057">
        <f t="shared" si="64"/>
        <v>0</v>
      </c>
      <c r="L213" s="5058">
        <v>1</v>
      </c>
      <c r="N213" s="4288"/>
      <c r="O213" s="4288"/>
      <c r="P213" s="4288"/>
    </row>
    <row r="214" spans="1:22" x14ac:dyDescent="0.25">
      <c r="A214" s="5049" t="e">
        <f t="shared" si="60"/>
        <v>#DIV/0!</v>
      </c>
      <c r="B214" s="5049" t="e">
        <f t="shared" si="61"/>
        <v>#DIV/0!</v>
      </c>
      <c r="C214" s="5050" t="s">
        <v>801</v>
      </c>
      <c r="D214" s="5051" t="s">
        <v>18</v>
      </c>
      <c r="E214" s="5052">
        <v>1</v>
      </c>
      <c r="F214" s="5053">
        <f>IF($E$205=$F$205,10,'PIP options'!V28)</f>
        <v>0</v>
      </c>
      <c r="G214" s="5054" t="e">
        <f t="shared" si="62"/>
        <v>#DIV/0!</v>
      </c>
      <c r="H214" s="5055">
        <f>'Summary of PIP'!D39</f>
        <v>0</v>
      </c>
      <c r="I214" s="5055">
        <f>'Summary of PIP'!N39</f>
        <v>0</v>
      </c>
      <c r="J214" s="5056">
        <f t="shared" si="63"/>
        <v>0</v>
      </c>
      <c r="K214" s="5057">
        <f t="shared" si="64"/>
        <v>0</v>
      </c>
      <c r="L214" s="5058">
        <v>1</v>
      </c>
    </row>
    <row r="215" spans="1:22" x14ac:dyDescent="0.25">
      <c r="A215" s="5049" t="e">
        <f t="shared" si="60"/>
        <v>#DIV/0!</v>
      </c>
      <c r="B215" s="5049" t="e">
        <f t="shared" si="61"/>
        <v>#DIV/0!</v>
      </c>
      <c r="C215" s="5050" t="s">
        <v>802</v>
      </c>
      <c r="D215" s="5051" t="s">
        <v>18</v>
      </c>
      <c r="E215" s="5052">
        <v>0.8</v>
      </c>
      <c r="F215" s="5053">
        <f>IF($E$205=$F$205,10,'PIP options'!V29)</f>
        <v>0</v>
      </c>
      <c r="G215" s="5054" t="e">
        <f t="shared" si="62"/>
        <v>#DIV/0!</v>
      </c>
      <c r="H215" s="5055">
        <f>'Summary of PIP'!D54</f>
        <v>0</v>
      </c>
      <c r="I215" s="5055">
        <f>'Summary of PIP'!N54</f>
        <v>0</v>
      </c>
      <c r="J215" s="5056">
        <f t="shared" si="63"/>
        <v>0</v>
      </c>
      <c r="K215" s="5057">
        <f t="shared" si="64"/>
        <v>0</v>
      </c>
      <c r="L215" s="5058">
        <v>1</v>
      </c>
      <c r="N215" s="4288"/>
      <c r="O215" s="4288"/>
      <c r="P215" s="4288"/>
    </row>
    <row r="216" spans="1:22" x14ac:dyDescent="0.25">
      <c r="A216" s="5049" t="e">
        <f t="shared" si="60"/>
        <v>#DIV/0!</v>
      </c>
      <c r="B216" s="5049" t="e">
        <f t="shared" si="61"/>
        <v>#DIV/0!</v>
      </c>
      <c r="C216" s="5050" t="s">
        <v>803</v>
      </c>
      <c r="D216" s="5051" t="s">
        <v>18</v>
      </c>
      <c r="E216" s="5052">
        <v>0.9</v>
      </c>
      <c r="F216" s="5053">
        <f>IF($E$205=$F$205,10,'PIP options'!V30)</f>
        <v>0</v>
      </c>
      <c r="G216" s="5054" t="e">
        <f t="shared" si="62"/>
        <v>#DIV/0!</v>
      </c>
      <c r="H216" s="5055">
        <f>'Summary of PIP'!D65</f>
        <v>0</v>
      </c>
      <c r="I216" s="5055">
        <f>'Summary of PIP'!N65</f>
        <v>0</v>
      </c>
      <c r="J216" s="5056">
        <f t="shared" si="63"/>
        <v>0</v>
      </c>
      <c r="K216" s="5057">
        <f t="shared" si="64"/>
        <v>0</v>
      </c>
      <c r="L216" s="5058">
        <v>1</v>
      </c>
    </row>
    <row r="217" spans="1:22" ht="15.75" thickBot="1" x14ac:dyDescent="0.3">
      <c r="A217" s="5049" t="e">
        <f t="shared" si="60"/>
        <v>#DIV/0!</v>
      </c>
      <c r="B217" s="5049" t="e">
        <f t="shared" si="61"/>
        <v>#DIV/0!</v>
      </c>
      <c r="C217" s="5050" t="s">
        <v>804</v>
      </c>
      <c r="D217" s="5051" t="s">
        <v>18</v>
      </c>
      <c r="E217" s="5052">
        <v>1</v>
      </c>
      <c r="F217" s="5053">
        <f>IF($E$205=$F$205,10,'PIP options'!V31)</f>
        <v>0</v>
      </c>
      <c r="G217" s="5069" t="e">
        <f t="shared" si="62"/>
        <v>#DIV/0!</v>
      </c>
      <c r="H217" s="5055">
        <f>'Summary of PIP'!D67</f>
        <v>0</v>
      </c>
      <c r="I217" s="5055">
        <f>'Summary of PIP'!N67</f>
        <v>0</v>
      </c>
      <c r="J217" s="5056">
        <f t="shared" si="63"/>
        <v>0</v>
      </c>
      <c r="K217" s="5057">
        <f t="shared" si="64"/>
        <v>0</v>
      </c>
      <c r="L217" s="5058">
        <v>1</v>
      </c>
      <c r="N217" s="4288"/>
      <c r="O217" s="4288"/>
      <c r="P217" s="4288"/>
    </row>
    <row r="218" spans="1:22" ht="16.5" thickBot="1" x14ac:dyDescent="0.3">
      <c r="C218" s="5070"/>
      <c r="D218" s="5070"/>
      <c r="E218" s="5070"/>
      <c r="F218" s="5070"/>
      <c r="G218" s="5071"/>
      <c r="H218" s="5070"/>
      <c r="I218" s="5070"/>
      <c r="J218" s="5072" t="e">
        <f>SUMPRODUCT($G$208:$G$217,$J$208:$J$217)</f>
        <v>#DIV/0!</v>
      </c>
      <c r="K218" s="5073" t="e">
        <f>SUMPRODUCT($G$208:$G$217,$K$208:$K$217)</f>
        <v>#DIV/0!</v>
      </c>
      <c r="L218" s="5074" t="e">
        <f>SUMPRODUCT($G$208:$G$217,$L$208:$L$217)*100</f>
        <v>#DIV/0!</v>
      </c>
    </row>
    <row r="219" spans="1:22" x14ac:dyDescent="0.25">
      <c r="C219" s="5070"/>
      <c r="D219" s="5070"/>
      <c r="E219" s="5070"/>
      <c r="F219" s="5070"/>
      <c r="G219" s="5071"/>
      <c r="H219" s="5070"/>
      <c r="I219" s="5070"/>
      <c r="J219" s="5077"/>
      <c r="K219" s="5078"/>
      <c r="M219" s="5075"/>
      <c r="N219" s="5075"/>
      <c r="O219" s="5075"/>
      <c r="P219" s="5075"/>
      <c r="Q219" s="4774"/>
      <c r="R219" s="5079"/>
      <c r="S219" s="5079"/>
      <c r="U219" s="5066"/>
      <c r="V219" s="5066"/>
    </row>
    <row r="220" spans="1:22" s="5080" customFormat="1" x14ac:dyDescent="0.25">
      <c r="C220" s="5081" t="s">
        <v>931</v>
      </c>
      <c r="D220" s="5081"/>
      <c r="E220" s="5082">
        <f>1-E212</f>
        <v>0.85</v>
      </c>
      <c r="F220" s="5083"/>
      <c r="G220" s="5084"/>
      <c r="H220" s="5085">
        <f>1-H212</f>
        <v>1</v>
      </c>
      <c r="I220" s="5085">
        <f>1-I212</f>
        <v>1</v>
      </c>
      <c r="J220" s="5086">
        <f>H220/$E220</f>
        <v>1.1764705882352942</v>
      </c>
      <c r="K220" s="5087">
        <f>I220/$E220</f>
        <v>1.1764705882352942</v>
      </c>
      <c r="M220" s="5085"/>
      <c r="N220" s="5085"/>
      <c r="O220" s="5085"/>
      <c r="P220" s="5085"/>
      <c r="Q220" s="5085"/>
      <c r="R220" s="5084"/>
      <c r="S220" s="5084"/>
    </row>
    <row r="221" spans="1:22" x14ac:dyDescent="0.25">
      <c r="C221" s="5070"/>
      <c r="D221" s="5070"/>
      <c r="E221" s="5088"/>
      <c r="F221" s="5089"/>
      <c r="G221" s="5071"/>
      <c r="H221" s="5088"/>
      <c r="I221" s="5088"/>
      <c r="J221" s="5077"/>
      <c r="K221" s="5078"/>
      <c r="Q221" s="4774"/>
      <c r="R221" s="5079"/>
      <c r="S221" s="5079"/>
      <c r="T221" s="5090"/>
      <c r="U221" s="5090"/>
    </row>
    <row r="222" spans="1:22" x14ac:dyDescent="0.25">
      <c r="C222" s="4753" t="s">
        <v>794</v>
      </c>
      <c r="D222" s="4753"/>
      <c r="E222" s="4753" t="s">
        <v>582</v>
      </c>
      <c r="F222" s="4753" t="s">
        <v>930</v>
      </c>
      <c r="G222" s="5046" t="s">
        <v>924</v>
      </c>
      <c r="H222" s="4753">
        <f>$E$46</f>
        <v>2014</v>
      </c>
      <c r="I222" s="4753">
        <f>$O$46</f>
        <v>2024</v>
      </c>
      <c r="J222" s="4753">
        <f>$E$46</f>
        <v>2014</v>
      </c>
      <c r="K222" s="4753">
        <f>$O$46</f>
        <v>2024</v>
      </c>
    </row>
    <row r="223" spans="1:22" x14ac:dyDescent="0.25">
      <c r="A223" s="5049" t="e">
        <f>G223*100%</f>
        <v>#DIV/0!</v>
      </c>
      <c r="B223" s="5049" t="e">
        <f>G223*K223</f>
        <v>#DIV/0!</v>
      </c>
      <c r="C223" s="5050" t="s">
        <v>1345</v>
      </c>
      <c r="D223" s="5051" t="s">
        <v>18</v>
      </c>
      <c r="E223" s="5091">
        <v>1</v>
      </c>
      <c r="F223" s="5053">
        <f>IF($E$205=$F$205,10,'PIP options'!V34)</f>
        <v>0</v>
      </c>
      <c r="G223" s="5054" t="e">
        <f t="shared" ref="G223:G232" si="65">F223/SUM($F$223:$F$232)</f>
        <v>#DIV/0!</v>
      </c>
      <c r="H223" s="5055">
        <f>'Summary of PIP'!D85</f>
        <v>0</v>
      </c>
      <c r="I223" s="5055">
        <f>'Summary of PIP'!N85</f>
        <v>0</v>
      </c>
      <c r="J223" s="5060">
        <f t="shared" ref="J223:J232" si="66">H223/$E223</f>
        <v>0</v>
      </c>
      <c r="K223" s="5061">
        <f t="shared" ref="K223:K232" si="67">I223/$E223</f>
        <v>0</v>
      </c>
      <c r="L223" s="5058">
        <v>1</v>
      </c>
    </row>
    <row r="224" spans="1:22" x14ac:dyDescent="0.25">
      <c r="A224" s="5049" t="e">
        <f t="shared" ref="A224:A232" si="68">G224*100%</f>
        <v>#DIV/0!</v>
      </c>
      <c r="B224" s="5049" t="e">
        <f t="shared" ref="B224:B232" si="69">G224*K224</f>
        <v>#DIV/0!</v>
      </c>
      <c r="C224" s="5050" t="s">
        <v>1346</v>
      </c>
      <c r="D224" s="5051" t="s">
        <v>18</v>
      </c>
      <c r="E224" s="5091">
        <v>1</v>
      </c>
      <c r="F224" s="5053">
        <f>IF($E$205=$F$205,10,'PIP options'!V35)</f>
        <v>0</v>
      </c>
      <c r="G224" s="5054" t="e">
        <f t="shared" si="65"/>
        <v>#DIV/0!</v>
      </c>
      <c r="H224" s="5055">
        <f>'Summary of PIP'!D87</f>
        <v>0</v>
      </c>
      <c r="I224" s="5055">
        <f>'Summary of PIP'!N87</f>
        <v>0</v>
      </c>
      <c r="J224" s="5060">
        <f t="shared" si="66"/>
        <v>0</v>
      </c>
      <c r="K224" s="5061">
        <f t="shared" si="67"/>
        <v>0</v>
      </c>
      <c r="L224" s="5058">
        <v>1</v>
      </c>
    </row>
    <row r="225" spans="1:16" ht="34.5" customHeight="1" x14ac:dyDescent="0.25">
      <c r="A225" s="5049" t="e">
        <f>G225*100%</f>
        <v>#DIV/0!</v>
      </c>
      <c r="B225" s="5049" t="e">
        <f>G225*K225</f>
        <v>#DIV/0!</v>
      </c>
      <c r="C225" s="5050" t="s">
        <v>1381</v>
      </c>
      <c r="D225" s="5051" t="s">
        <v>18</v>
      </c>
      <c r="E225" s="5091">
        <v>1</v>
      </c>
      <c r="F225" s="5053">
        <f>IF($E$205=$F$205,10,'PIP options'!V36)</f>
        <v>0</v>
      </c>
      <c r="G225" s="5054" t="e">
        <f t="shared" si="65"/>
        <v>#DIV/0!</v>
      </c>
      <c r="H225" s="5055">
        <f>'Summary of PIP'!D98</f>
        <v>0</v>
      </c>
      <c r="I225" s="5055">
        <f>'Summary of PIP'!N98</f>
        <v>0</v>
      </c>
      <c r="J225" s="5060">
        <f t="shared" si="66"/>
        <v>0</v>
      </c>
      <c r="K225" s="5061">
        <f t="shared" si="67"/>
        <v>0</v>
      </c>
      <c r="L225" s="5058">
        <v>1</v>
      </c>
      <c r="M225" s="5059"/>
      <c r="N225" s="5059"/>
    </row>
    <row r="226" spans="1:16" x14ac:dyDescent="0.25">
      <c r="A226" s="5049" t="e">
        <f t="shared" si="68"/>
        <v>#DIV/0!</v>
      </c>
      <c r="B226" s="5049" t="e">
        <f t="shared" si="69"/>
        <v>#DIV/0!</v>
      </c>
      <c r="C226" s="5050" t="s">
        <v>2989</v>
      </c>
      <c r="D226" s="5051" t="s">
        <v>18</v>
      </c>
      <c r="E226" s="5091">
        <v>1</v>
      </c>
      <c r="F226" s="5053">
        <f>IF($E$205=$F$205,10,'PIP options'!V37)</f>
        <v>0</v>
      </c>
      <c r="G226" s="5054" t="e">
        <f t="shared" si="65"/>
        <v>#DIV/0!</v>
      </c>
      <c r="H226" s="5055">
        <f>'Summary of PIP'!D100</f>
        <v>0</v>
      </c>
      <c r="I226" s="5055">
        <f>'Summary of PIP'!N100</f>
        <v>0</v>
      </c>
      <c r="J226" s="5060">
        <f t="shared" si="66"/>
        <v>0</v>
      </c>
      <c r="K226" s="5061">
        <f t="shared" si="67"/>
        <v>0</v>
      </c>
      <c r="L226" s="5058">
        <v>1</v>
      </c>
      <c r="M226" s="5059"/>
      <c r="N226" s="5059"/>
    </row>
    <row r="227" spans="1:16" ht="30" x14ac:dyDescent="0.25">
      <c r="A227" s="5049" t="e">
        <f t="shared" si="68"/>
        <v>#DIV/0!</v>
      </c>
      <c r="B227" s="5049" t="e">
        <f t="shared" si="69"/>
        <v>#DIV/0!</v>
      </c>
      <c r="C227" s="5050" t="s">
        <v>1368</v>
      </c>
      <c r="D227" s="5051" t="s">
        <v>18</v>
      </c>
      <c r="E227" s="5091">
        <v>1</v>
      </c>
      <c r="F227" s="5053">
        <f>IF($E$205=$F$205,10,'PIP options'!V38)</f>
        <v>0</v>
      </c>
      <c r="G227" s="5054" t="e">
        <f t="shared" si="65"/>
        <v>#DIV/0!</v>
      </c>
      <c r="H227" s="5055">
        <f>'Summary of PIP'!D102</f>
        <v>0</v>
      </c>
      <c r="I227" s="5055">
        <f>'Summary of PIP'!N102</f>
        <v>0</v>
      </c>
      <c r="J227" s="5060">
        <f t="shared" si="66"/>
        <v>0</v>
      </c>
      <c r="K227" s="5061">
        <f t="shared" si="67"/>
        <v>0</v>
      </c>
      <c r="L227" s="5058">
        <v>1</v>
      </c>
      <c r="M227" s="5059"/>
      <c r="N227" s="5059"/>
    </row>
    <row r="228" spans="1:16" x14ac:dyDescent="0.25">
      <c r="A228" s="5049" t="e">
        <f t="shared" si="68"/>
        <v>#DIV/0!</v>
      </c>
      <c r="B228" s="5049" t="e">
        <f t="shared" si="69"/>
        <v>#DIV/0!</v>
      </c>
      <c r="C228" s="5050" t="s">
        <v>1139</v>
      </c>
      <c r="D228" s="5051" t="s">
        <v>18</v>
      </c>
      <c r="E228" s="5091">
        <v>1</v>
      </c>
      <c r="F228" s="5053">
        <f>IF($E$205=$F$205,10,'PIP options'!V39)</f>
        <v>0</v>
      </c>
      <c r="G228" s="5054" t="e">
        <f t="shared" si="65"/>
        <v>#DIV/0!</v>
      </c>
      <c r="H228" s="5055">
        <f>'Summary of PIP'!D123</f>
        <v>0</v>
      </c>
      <c r="I228" s="5055">
        <f>'Summary of PIP'!N123</f>
        <v>0</v>
      </c>
      <c r="J228" s="5060">
        <f t="shared" si="66"/>
        <v>0</v>
      </c>
      <c r="K228" s="5061">
        <f t="shared" si="67"/>
        <v>0</v>
      </c>
      <c r="L228" s="5058">
        <v>1</v>
      </c>
      <c r="M228" s="5059"/>
      <c r="N228" s="5059"/>
    </row>
    <row r="229" spans="1:16" ht="30" x14ac:dyDescent="0.25">
      <c r="A229" s="5049" t="e">
        <f t="shared" si="68"/>
        <v>#DIV/0!</v>
      </c>
      <c r="B229" s="5049" t="e">
        <f t="shared" si="69"/>
        <v>#DIV/0!</v>
      </c>
      <c r="C229" s="5050" t="s">
        <v>1363</v>
      </c>
      <c r="D229" s="5051" t="s">
        <v>18</v>
      </c>
      <c r="E229" s="5091">
        <v>0.2</v>
      </c>
      <c r="F229" s="5053">
        <f>IF($E$205=$F$205,10,'PIP options'!V40)</f>
        <v>0</v>
      </c>
      <c r="G229" s="5054" t="e">
        <f t="shared" si="65"/>
        <v>#DIV/0!</v>
      </c>
      <c r="H229" s="5055">
        <f>'Summary of PIP'!D121</f>
        <v>0</v>
      </c>
      <c r="I229" s="5055">
        <f>'Summary of PIP'!N121</f>
        <v>0</v>
      </c>
      <c r="J229" s="5060">
        <f t="shared" si="66"/>
        <v>0</v>
      </c>
      <c r="K229" s="5061">
        <f t="shared" si="67"/>
        <v>0</v>
      </c>
      <c r="L229" s="5058">
        <v>1</v>
      </c>
      <c r="M229" s="5059"/>
      <c r="N229" s="5059"/>
    </row>
    <row r="230" spans="1:16" x14ac:dyDescent="0.25">
      <c r="A230" s="5049" t="e">
        <f t="shared" si="68"/>
        <v>#DIV/0!</v>
      </c>
      <c r="B230" s="5049" t="e">
        <f t="shared" si="69"/>
        <v>#DIV/0!</v>
      </c>
      <c r="C230" s="5050" t="s">
        <v>1117</v>
      </c>
      <c r="D230" s="5051" t="s">
        <v>18</v>
      </c>
      <c r="E230" s="5091">
        <v>0.8</v>
      </c>
      <c r="F230" s="5053">
        <f>IF($E$205=$F$205,10,'PIP options'!V41)</f>
        <v>0</v>
      </c>
      <c r="G230" s="5054" t="e">
        <f t="shared" si="65"/>
        <v>#DIV/0!</v>
      </c>
      <c r="H230" s="5055">
        <f>'Summary of PIP'!D125</f>
        <v>1</v>
      </c>
      <c r="I230" s="5055">
        <f>'Summary of PIP'!N125</f>
        <v>1</v>
      </c>
      <c r="J230" s="5060">
        <f t="shared" si="66"/>
        <v>1.25</v>
      </c>
      <c r="K230" s="5061">
        <f t="shared" si="67"/>
        <v>1.25</v>
      </c>
      <c r="L230" s="5058">
        <v>1</v>
      </c>
      <c r="M230" s="5059"/>
      <c r="N230" s="5059"/>
    </row>
    <row r="231" spans="1:16" x14ac:dyDescent="0.25">
      <c r="A231" s="5049" t="e">
        <f t="shared" si="68"/>
        <v>#DIV/0!</v>
      </c>
      <c r="B231" s="5049" t="e">
        <f t="shared" si="69"/>
        <v>#DIV/0!</v>
      </c>
      <c r="C231" s="5050" t="s">
        <v>2990</v>
      </c>
      <c r="D231" s="5051" t="s">
        <v>18</v>
      </c>
      <c r="E231" s="5091">
        <v>0.9</v>
      </c>
      <c r="F231" s="5053">
        <f>IF($E$205=$F$205,10,'PIP options'!V42)</f>
        <v>0</v>
      </c>
      <c r="G231" s="5054" t="e">
        <f t="shared" si="65"/>
        <v>#DIV/0!</v>
      </c>
      <c r="H231" s="5055">
        <f>'Summary of PIP'!D134</f>
        <v>0</v>
      </c>
      <c r="I231" s="5055">
        <f>'Summary of PIP'!N134</f>
        <v>0</v>
      </c>
      <c r="J231" s="5060">
        <f t="shared" si="66"/>
        <v>0</v>
      </c>
      <c r="K231" s="5061">
        <f t="shared" si="67"/>
        <v>0</v>
      </c>
      <c r="L231" s="5058">
        <v>1</v>
      </c>
      <c r="M231" s="5059"/>
      <c r="N231" s="5059"/>
    </row>
    <row r="232" spans="1:16" ht="15.75" thickBot="1" x14ac:dyDescent="0.3">
      <c r="A232" s="5049" t="e">
        <f t="shared" si="68"/>
        <v>#DIV/0!</v>
      </c>
      <c r="B232" s="5049" t="e">
        <f t="shared" si="69"/>
        <v>#DIV/0!</v>
      </c>
      <c r="C232" s="5050" t="s">
        <v>1119</v>
      </c>
      <c r="D232" s="5051" t="s">
        <v>18</v>
      </c>
      <c r="E232" s="5091">
        <v>1</v>
      </c>
      <c r="F232" s="5053">
        <f>IF($E$205=$F$205,10,'PIP options'!V43)</f>
        <v>0</v>
      </c>
      <c r="G232" s="5069" t="e">
        <f t="shared" si="65"/>
        <v>#DIV/0!</v>
      </c>
      <c r="H232" s="5055">
        <f>'Summary of PIP'!D136</f>
        <v>0</v>
      </c>
      <c r="I232" s="5055">
        <f>'Summary of PIP'!N136</f>
        <v>0</v>
      </c>
      <c r="J232" s="5060">
        <f t="shared" si="66"/>
        <v>0</v>
      </c>
      <c r="K232" s="5061">
        <f t="shared" si="67"/>
        <v>0</v>
      </c>
      <c r="L232" s="5058">
        <v>1</v>
      </c>
      <c r="M232" s="5059"/>
      <c r="N232" s="5059"/>
    </row>
    <row r="233" spans="1:16" ht="16.5" thickBot="1" x14ac:dyDescent="0.3">
      <c r="C233" s="5070"/>
      <c r="D233" s="5070"/>
      <c r="E233" s="5070"/>
      <c r="F233" s="5053"/>
      <c r="G233" s="5071"/>
      <c r="H233" s="5070"/>
      <c r="I233" s="5070"/>
      <c r="J233" s="5092" t="e">
        <f>SUMPRODUCT($G$223:$G$232,$J$223:$J$232)</f>
        <v>#DIV/0!</v>
      </c>
      <c r="K233" s="5093" t="e">
        <f>SUMPRODUCT($G$223:$G$232,$K$223:$K$232)</f>
        <v>#DIV/0!</v>
      </c>
      <c r="L233" s="5076" t="e">
        <f>SUMPRODUCT($G$223:$G$232,$L$223:$L$232)*100</f>
        <v>#DIV/0!</v>
      </c>
      <c r="M233" s="5075"/>
      <c r="N233" s="5075"/>
    </row>
    <row r="234" spans="1:16" x14ac:dyDescent="0.25">
      <c r="C234" s="5070"/>
      <c r="D234" s="5070"/>
      <c r="E234" s="5070"/>
      <c r="F234" s="5070"/>
      <c r="G234" s="5071"/>
      <c r="H234" s="5070"/>
      <c r="I234" s="5070"/>
      <c r="J234" s="5070"/>
      <c r="K234" s="5070"/>
      <c r="M234" s="5075"/>
      <c r="N234" s="5075"/>
      <c r="O234" s="5075"/>
      <c r="P234" s="5075"/>
    </row>
    <row r="235" spans="1:16" x14ac:dyDescent="0.25">
      <c r="C235" s="5070"/>
      <c r="D235" s="5070"/>
      <c r="E235" s="5070"/>
      <c r="F235" s="5070"/>
      <c r="G235" s="5071"/>
      <c r="H235" s="5070"/>
      <c r="I235" s="5070"/>
      <c r="J235" s="5070"/>
      <c r="K235" s="5070"/>
      <c r="M235" s="5075"/>
      <c r="N235" s="5075"/>
      <c r="O235" s="5075"/>
      <c r="P235" s="5075"/>
    </row>
    <row r="236" spans="1:16" x14ac:dyDescent="0.25">
      <c r="C236" s="4753" t="s">
        <v>792</v>
      </c>
      <c r="D236" s="4753"/>
      <c r="E236" s="4753" t="s">
        <v>582</v>
      </c>
      <c r="F236" s="4753" t="s">
        <v>930</v>
      </c>
      <c r="G236" s="5046" t="s">
        <v>924</v>
      </c>
      <c r="H236" s="4753">
        <f>$E$46</f>
        <v>2014</v>
      </c>
      <c r="I236" s="4753">
        <f>$O$46</f>
        <v>2024</v>
      </c>
      <c r="J236" s="4753">
        <f>$E$46</f>
        <v>2014</v>
      </c>
      <c r="K236" s="4753">
        <f>$O$46</f>
        <v>2024</v>
      </c>
      <c r="M236" s="5075"/>
      <c r="N236" s="5075"/>
      <c r="O236" s="5075"/>
      <c r="P236" s="5075"/>
    </row>
    <row r="237" spans="1:16" x14ac:dyDescent="0.25">
      <c r="A237" s="5049" t="e">
        <f t="shared" ref="A237:A245" si="70">G237*100%</f>
        <v>#DIV/0!</v>
      </c>
      <c r="B237" s="5049" t="e">
        <f t="shared" ref="B237:B245" si="71">G237*K237</f>
        <v>#DIV/0!</v>
      </c>
      <c r="C237" s="5050" t="s">
        <v>793</v>
      </c>
      <c r="D237" s="5051" t="s">
        <v>18</v>
      </c>
      <c r="E237" s="5091">
        <v>1</v>
      </c>
      <c r="F237" s="5053">
        <f>IF($E$205=$F$205,10,'PIP options'!V46)</f>
        <v>0</v>
      </c>
      <c r="G237" s="5054" t="e">
        <f>F237/SUM($F$237:$F$245)</f>
        <v>#DIV/0!</v>
      </c>
      <c r="H237" s="5055">
        <f>'Summary of PIP'!D154</f>
        <v>0</v>
      </c>
      <c r="I237" s="5055">
        <f>'Summary of PIP'!N154</f>
        <v>0</v>
      </c>
      <c r="J237" s="5060">
        <f t="shared" ref="J237:J245" si="72">H237/$E237</f>
        <v>0</v>
      </c>
      <c r="K237" s="5061">
        <f t="shared" ref="K237:K245" si="73">I237/$E237</f>
        <v>0</v>
      </c>
      <c r="L237" s="5058">
        <v>1</v>
      </c>
      <c r="M237" s="5075"/>
      <c r="N237" s="5075"/>
      <c r="O237" s="5075"/>
      <c r="P237" s="5075"/>
    </row>
    <row r="238" spans="1:16" x14ac:dyDescent="0.25">
      <c r="A238" s="5049" t="e">
        <f t="shared" si="70"/>
        <v>#DIV/0!</v>
      </c>
      <c r="B238" s="5049" t="e">
        <f t="shared" si="71"/>
        <v>#DIV/0!</v>
      </c>
      <c r="C238" s="5050" t="s">
        <v>2991</v>
      </c>
      <c r="D238" s="5051" t="s">
        <v>18</v>
      </c>
      <c r="E238" s="5091">
        <v>1</v>
      </c>
      <c r="F238" s="5053">
        <f>IF($E$205=$F$205,10,'PIP options'!V47)</f>
        <v>0</v>
      </c>
      <c r="G238" s="5054" t="e">
        <f t="shared" ref="G238:G245" si="74">F238/SUM($F$237:$F$245)</f>
        <v>#DIV/0!</v>
      </c>
      <c r="H238" s="5055">
        <f>'Summary of PIP'!D156</f>
        <v>0</v>
      </c>
      <c r="I238" s="5055">
        <f>'Summary of PIP'!N156</f>
        <v>0</v>
      </c>
      <c r="J238" s="5060">
        <f t="shared" si="72"/>
        <v>0</v>
      </c>
      <c r="K238" s="5061">
        <f t="shared" si="73"/>
        <v>0</v>
      </c>
      <c r="L238" s="5058">
        <v>1</v>
      </c>
      <c r="M238" s="5075"/>
      <c r="N238" s="5075"/>
      <c r="O238" s="5075"/>
      <c r="P238" s="5075"/>
    </row>
    <row r="239" spans="1:16" x14ac:dyDescent="0.25">
      <c r="A239" s="5049" t="e">
        <f t="shared" si="70"/>
        <v>#DIV/0!</v>
      </c>
      <c r="B239" s="5049" t="e">
        <f t="shared" si="71"/>
        <v>#DIV/0!</v>
      </c>
      <c r="C239" s="5050" t="s">
        <v>810</v>
      </c>
      <c r="D239" s="5051" t="s">
        <v>18</v>
      </c>
      <c r="E239" s="5091">
        <v>1</v>
      </c>
      <c r="F239" s="5053">
        <f>IF($E$205=$F$205,10,'PIP options'!V48)</f>
        <v>0</v>
      </c>
      <c r="G239" s="5054" t="e">
        <f t="shared" si="74"/>
        <v>#DIV/0!</v>
      </c>
      <c r="H239" s="5055">
        <f>'Summary of PIP'!D161</f>
        <v>0</v>
      </c>
      <c r="I239" s="5055">
        <f>'Summary of PIP'!N161</f>
        <v>0</v>
      </c>
      <c r="J239" s="5060">
        <f t="shared" si="72"/>
        <v>0</v>
      </c>
      <c r="K239" s="5061">
        <f t="shared" si="73"/>
        <v>0</v>
      </c>
      <c r="L239" s="5058">
        <v>1</v>
      </c>
      <c r="M239" s="5075"/>
      <c r="N239" s="5075"/>
      <c r="O239" s="5075"/>
      <c r="P239" s="5075"/>
    </row>
    <row r="240" spans="1:16" x14ac:dyDescent="0.25">
      <c r="A240" s="5049" t="e">
        <f t="shared" si="70"/>
        <v>#DIV/0!</v>
      </c>
      <c r="B240" s="5049" t="e">
        <f>G240*K240</f>
        <v>#DIV/0!</v>
      </c>
      <c r="C240" s="5050" t="s">
        <v>442</v>
      </c>
      <c r="D240" s="5051" t="s">
        <v>18</v>
      </c>
      <c r="E240" s="5091">
        <v>1</v>
      </c>
      <c r="F240" s="5053">
        <f>IF($E$205=$F$205,10,'PIP options'!V49)</f>
        <v>0</v>
      </c>
      <c r="G240" s="5054" t="e">
        <f t="shared" si="74"/>
        <v>#DIV/0!</v>
      </c>
      <c r="H240" s="5055">
        <f>'Summary of PIP'!D163</f>
        <v>0</v>
      </c>
      <c r="I240" s="5055">
        <f>'Summary of PIP'!N163</f>
        <v>0</v>
      </c>
      <c r="J240" s="5060">
        <f t="shared" si="72"/>
        <v>0</v>
      </c>
      <c r="K240" s="5061">
        <f t="shared" si="73"/>
        <v>0</v>
      </c>
      <c r="L240" s="5058">
        <v>1</v>
      </c>
      <c r="M240" s="5075"/>
      <c r="N240" s="5075"/>
      <c r="O240" s="5075"/>
      <c r="P240" s="5075"/>
    </row>
    <row r="241" spans="1:29" s="4173" customFormat="1" x14ac:dyDescent="0.25">
      <c r="A241" s="5049" t="e">
        <f t="shared" si="70"/>
        <v>#DIV/0!</v>
      </c>
      <c r="B241" s="5049" t="e">
        <f t="shared" si="71"/>
        <v>#DIV/0!</v>
      </c>
      <c r="C241" s="5050" t="s">
        <v>685</v>
      </c>
      <c r="D241" s="5051" t="s">
        <v>18</v>
      </c>
      <c r="E241" s="5091">
        <v>0.8</v>
      </c>
      <c r="F241" s="5053">
        <f>IF($E$205=$F$205,10,'PIP options'!V50)</f>
        <v>0</v>
      </c>
      <c r="G241" s="5054" t="e">
        <f t="shared" si="74"/>
        <v>#DIV/0!</v>
      </c>
      <c r="H241" s="5055">
        <f>'Summary of PIP'!D165</f>
        <v>0</v>
      </c>
      <c r="I241" s="5055">
        <f>'Summary of PIP'!N165</f>
        <v>0</v>
      </c>
      <c r="J241" s="5067">
        <f t="shared" si="72"/>
        <v>0</v>
      </c>
      <c r="K241" s="5068">
        <f t="shared" si="73"/>
        <v>0</v>
      </c>
      <c r="L241" s="5058">
        <v>1</v>
      </c>
      <c r="M241" s="5075"/>
      <c r="N241" s="5075"/>
      <c r="O241" s="5075"/>
      <c r="P241" s="5075"/>
    </row>
    <row r="242" spans="1:29" x14ac:dyDescent="0.25">
      <c r="A242" s="5049" t="e">
        <f t="shared" si="70"/>
        <v>#DIV/0!</v>
      </c>
      <c r="B242" s="5049" t="e">
        <f t="shared" si="71"/>
        <v>#DIV/0!</v>
      </c>
      <c r="C242" s="5050" t="s">
        <v>686</v>
      </c>
      <c r="D242" s="5051" t="s">
        <v>18</v>
      </c>
      <c r="E242" s="5091">
        <v>1</v>
      </c>
      <c r="F242" s="5053">
        <f>IF($E$205=$F$205,10,'PIP options'!V51)</f>
        <v>0</v>
      </c>
      <c r="G242" s="5054" t="e">
        <f t="shared" si="74"/>
        <v>#DIV/0!</v>
      </c>
      <c r="H242" s="5055">
        <f>'Summary of PIP'!D174</f>
        <v>0</v>
      </c>
      <c r="I242" s="5055">
        <f>'Summary of PIP'!N174</f>
        <v>0</v>
      </c>
      <c r="J242" s="5060">
        <f t="shared" si="72"/>
        <v>0</v>
      </c>
      <c r="K242" s="5061">
        <f t="shared" si="73"/>
        <v>0</v>
      </c>
      <c r="L242" s="5058">
        <v>1</v>
      </c>
      <c r="M242" s="5075"/>
      <c r="N242" s="5075"/>
      <c r="O242" s="5075"/>
      <c r="P242" s="5075"/>
    </row>
    <row r="243" spans="1:29" x14ac:dyDescent="0.25">
      <c r="A243" s="5049" t="e">
        <f t="shared" si="70"/>
        <v>#DIV/0!</v>
      </c>
      <c r="B243" s="5049" t="e">
        <f t="shared" si="71"/>
        <v>#DIV/0!</v>
      </c>
      <c r="C243" s="5050" t="s">
        <v>802</v>
      </c>
      <c r="D243" s="5051" t="s">
        <v>18</v>
      </c>
      <c r="E243" s="5091">
        <v>0.8</v>
      </c>
      <c r="F243" s="5053">
        <f>IF($E$205=$F$205,10,'PIP options'!V52)</f>
        <v>0</v>
      </c>
      <c r="G243" s="5054" t="e">
        <f t="shared" si="74"/>
        <v>#DIV/0!</v>
      </c>
      <c r="H243" s="5055">
        <f>'Summary of PIP'!D176</f>
        <v>0.96739130434782605</v>
      </c>
      <c r="I243" s="5055">
        <f>'Summary of PIP'!N176</f>
        <v>0.96739130434782605</v>
      </c>
      <c r="J243" s="5060">
        <f t="shared" si="72"/>
        <v>1.2092391304347825</v>
      </c>
      <c r="K243" s="5061">
        <f t="shared" si="73"/>
        <v>1.2092391304347825</v>
      </c>
      <c r="L243" s="5058">
        <v>1</v>
      </c>
      <c r="M243" s="5075"/>
      <c r="N243" s="5075"/>
      <c r="O243" s="5075"/>
      <c r="P243" s="5075"/>
    </row>
    <row r="244" spans="1:29" x14ac:dyDescent="0.25">
      <c r="A244" s="5049" t="e">
        <f t="shared" si="70"/>
        <v>#DIV/0!</v>
      </c>
      <c r="B244" s="5049" t="e">
        <f t="shared" si="71"/>
        <v>#DIV/0!</v>
      </c>
      <c r="C244" s="5050" t="s">
        <v>811</v>
      </c>
      <c r="D244" s="5051" t="s">
        <v>18</v>
      </c>
      <c r="E244" s="5091">
        <v>0.9</v>
      </c>
      <c r="F244" s="5053">
        <f>IF($E$205=$F$205,10,'PIP options'!V53)</f>
        <v>0</v>
      </c>
      <c r="G244" s="5054" t="e">
        <f t="shared" si="74"/>
        <v>#DIV/0!</v>
      </c>
      <c r="H244" s="5055">
        <f>'Summary of PIP'!D181</f>
        <v>0</v>
      </c>
      <c r="I244" s="5055">
        <f>'Summary of PIP'!N181</f>
        <v>0</v>
      </c>
      <c r="J244" s="5060">
        <f t="shared" si="72"/>
        <v>0</v>
      </c>
      <c r="K244" s="5061">
        <f t="shared" si="73"/>
        <v>0</v>
      </c>
      <c r="L244" s="5058">
        <v>1</v>
      </c>
      <c r="M244" s="5075"/>
      <c r="N244" s="5075"/>
      <c r="O244" s="5075"/>
      <c r="P244" s="5075"/>
    </row>
    <row r="245" spans="1:29" ht="15.75" thickBot="1" x14ac:dyDescent="0.3">
      <c r="A245" s="5049" t="e">
        <f t="shared" si="70"/>
        <v>#DIV/0!</v>
      </c>
      <c r="B245" s="5049" t="e">
        <f t="shared" si="71"/>
        <v>#DIV/0!</v>
      </c>
      <c r="C245" s="5050" t="s">
        <v>812</v>
      </c>
      <c r="D245" s="5051" t="s">
        <v>18</v>
      </c>
      <c r="E245" s="5091">
        <v>1</v>
      </c>
      <c r="F245" s="5053">
        <f>IF($E$205=$F$205,10,'PIP options'!V54)</f>
        <v>0</v>
      </c>
      <c r="G245" s="5069" t="e">
        <f t="shared" si="74"/>
        <v>#DIV/0!</v>
      </c>
      <c r="H245" s="5055">
        <f>'Summary of PIP'!D183</f>
        <v>0</v>
      </c>
      <c r="I245" s="5055">
        <f>'Summary of PIP'!N183</f>
        <v>0</v>
      </c>
      <c r="J245" s="5060">
        <f t="shared" si="72"/>
        <v>0</v>
      </c>
      <c r="K245" s="5061">
        <f t="shared" si="73"/>
        <v>0</v>
      </c>
      <c r="L245" s="5058">
        <v>1</v>
      </c>
      <c r="M245" s="5075"/>
      <c r="N245" s="5075"/>
      <c r="O245" s="5075"/>
      <c r="P245" s="5075"/>
    </row>
    <row r="246" spans="1:29" ht="16.5" thickBot="1" x14ac:dyDescent="0.3">
      <c r="J246" s="5092" t="e">
        <f>SUMPRODUCT($G$237:$G$245,$J$237:$J$245)</f>
        <v>#DIV/0!</v>
      </c>
      <c r="K246" s="5093" t="e">
        <f>SUMPRODUCT($G$237:$G$245,$K$237:$K$245)</f>
        <v>#DIV/0!</v>
      </c>
      <c r="L246" s="5076" t="e">
        <f>SUMPRODUCT($G$237:$G$245,$L$237:$L$245)*100</f>
        <v>#DIV/0!</v>
      </c>
      <c r="M246" s="5075"/>
      <c r="N246" s="5075"/>
      <c r="O246" s="5075"/>
      <c r="P246" s="5075"/>
    </row>
    <row r="247" spans="1:29" x14ac:dyDescent="0.25">
      <c r="N247" s="4173"/>
      <c r="O247" s="4173"/>
      <c r="P247" s="4173"/>
    </row>
    <row r="248" spans="1:29" x14ac:dyDescent="0.25">
      <c r="N248" s="4173"/>
      <c r="O248" s="4173"/>
      <c r="P248" s="4173"/>
    </row>
    <row r="249" spans="1:29" s="5040" customFormat="1" ht="15.75" thickBot="1" x14ac:dyDescent="0.3">
      <c r="C249" s="5041" t="s">
        <v>929</v>
      </c>
    </row>
    <row r="250" spans="1:29" ht="15.75" thickBot="1" x14ac:dyDescent="0.3">
      <c r="B250" s="5094"/>
      <c r="C250" s="5094"/>
      <c r="F250" s="5095"/>
      <c r="G250" s="5096">
        <v>5</v>
      </c>
      <c r="H250" s="5096">
        <v>6</v>
      </c>
      <c r="I250" s="5096">
        <v>7</v>
      </c>
      <c r="J250" s="5096">
        <v>8</v>
      </c>
      <c r="K250" s="5096">
        <v>9</v>
      </c>
      <c r="L250" s="5096">
        <v>10</v>
      </c>
      <c r="M250" s="5096">
        <v>11</v>
      </c>
      <c r="N250" s="5096">
        <v>12</v>
      </c>
      <c r="O250" s="5096">
        <v>13</v>
      </c>
      <c r="P250" s="5096">
        <v>14</v>
      </c>
      <c r="R250" s="5097" t="s">
        <v>932</v>
      </c>
      <c r="S250" s="5098">
        <v>1</v>
      </c>
      <c r="T250" s="5098">
        <v>2</v>
      </c>
      <c r="U250" s="5099">
        <v>3</v>
      </c>
      <c r="V250" s="5098">
        <v>4</v>
      </c>
      <c r="W250" s="5098">
        <v>5</v>
      </c>
      <c r="X250" s="5099">
        <v>6</v>
      </c>
      <c r="Y250" s="5098">
        <v>7</v>
      </c>
      <c r="Z250" s="5098">
        <v>8</v>
      </c>
      <c r="AA250" s="5099">
        <v>9</v>
      </c>
      <c r="AB250" s="5098">
        <v>10</v>
      </c>
      <c r="AC250" s="5100"/>
    </row>
    <row r="251" spans="1:29" ht="33.75" customHeight="1" thickBot="1" x14ac:dyDescent="0.3">
      <c r="B251" s="5101" t="s">
        <v>161</v>
      </c>
      <c r="C251" s="5101" t="s">
        <v>822</v>
      </c>
      <c r="D251" s="5102">
        <f t="shared" ref="D251:M251" si="75">F46</f>
        <v>2015</v>
      </c>
      <c r="E251" s="5103">
        <f t="shared" si="75"/>
        <v>2016</v>
      </c>
      <c r="F251" s="5103">
        <f t="shared" si="75"/>
        <v>2017</v>
      </c>
      <c r="G251" s="5103">
        <f t="shared" si="75"/>
        <v>2018</v>
      </c>
      <c r="H251" s="5103">
        <f t="shared" si="75"/>
        <v>2019</v>
      </c>
      <c r="I251" s="5103">
        <f t="shared" si="75"/>
        <v>2020</v>
      </c>
      <c r="J251" s="5103">
        <f t="shared" si="75"/>
        <v>2021</v>
      </c>
      <c r="K251" s="5103">
        <f t="shared" si="75"/>
        <v>2022</v>
      </c>
      <c r="L251" s="5103">
        <f t="shared" si="75"/>
        <v>2023</v>
      </c>
      <c r="M251" s="5103">
        <f t="shared" si="75"/>
        <v>2024</v>
      </c>
      <c r="N251" s="5104" t="s">
        <v>1944</v>
      </c>
      <c r="O251" s="5105">
        <v>0.05</v>
      </c>
      <c r="P251" s="5106">
        <f t="shared" ref="P251:Y251" si="76">D251</f>
        <v>2015</v>
      </c>
      <c r="Q251" s="5106">
        <f t="shared" si="76"/>
        <v>2016</v>
      </c>
      <c r="R251" s="5106">
        <f t="shared" si="76"/>
        <v>2017</v>
      </c>
      <c r="S251" s="5106">
        <f t="shared" si="76"/>
        <v>2018</v>
      </c>
      <c r="T251" s="5106">
        <f t="shared" si="76"/>
        <v>2019</v>
      </c>
      <c r="U251" s="5106">
        <f t="shared" si="76"/>
        <v>2020</v>
      </c>
      <c r="V251" s="5106">
        <f t="shared" si="76"/>
        <v>2021</v>
      </c>
      <c r="W251" s="5106">
        <f t="shared" si="76"/>
        <v>2022</v>
      </c>
      <c r="X251" s="5106">
        <f t="shared" si="76"/>
        <v>2023</v>
      </c>
      <c r="Y251" s="5106">
        <f t="shared" si="76"/>
        <v>2024</v>
      </c>
      <c r="Z251" s="5107" t="s">
        <v>16</v>
      </c>
    </row>
    <row r="252" spans="1:29" x14ac:dyDescent="0.25">
      <c r="A252" s="4076">
        <v>1</v>
      </c>
      <c r="B252" s="4076" t="str">
        <f ca="1">'Action Plan finance'!AH56</f>
        <v>WW</v>
      </c>
      <c r="C252" s="4078" t="str">
        <f ca="1">'Action Plan finance'!C56</f>
        <v>Household survey to assess wastewater services</v>
      </c>
      <c r="D252" s="5108">
        <f ca="1">IF($B252="WS",VLOOKUP($C252,'PIP finance'!$C$9:$P$59,G$250,FALSE),IF($B252="WW",VLOOKUP($C252,'PIP finance'!$C$177:$P$220,G$250,FALSE),VLOOKUP($C252,'PIP finance'!$C$325:$P$362,G$250,FALSE)))</f>
        <v>0</v>
      </c>
      <c r="E252" s="5109">
        <f ca="1">IF($B252="WS",VLOOKUP($C252,'PIP finance'!$C$9:$P$59,H$250,FALSE),IF($B252="WW",VLOOKUP($C252,'PIP finance'!$C$177:$P$220,H$250,FALSE),VLOOKUP($C252,'PIP finance'!$C$325:$P$362,H$250,FALSE)))</f>
        <v>0</v>
      </c>
      <c r="F252" s="5109">
        <f ca="1">IF($B252="WS",VLOOKUP($C252,'PIP finance'!$C$9:$P$59,I$250,FALSE),IF($B252="WW",VLOOKUP($C252,'PIP finance'!$C$177:$P$220,I$250,FALSE),VLOOKUP($C252,'PIP finance'!$C$325:$P$362,I$250,FALSE)))</f>
        <v>0</v>
      </c>
      <c r="G252" s="5110">
        <f ca="1">IF($B252="WS",VLOOKUP($C252,'PIP finance'!$C$9:$P$59,J$250,FALSE),IF($B252="WW",VLOOKUP($C252,'PIP finance'!$C$177:$P$220,J$250,FALSE),VLOOKUP($C252,'PIP finance'!$C$325:$P$362,J$250,FALSE)))</f>
        <v>0</v>
      </c>
      <c r="H252" s="5111">
        <f ca="1">IF($B252="WS",VLOOKUP($C252,'PIP finance'!$C$9:$P$59,K$250,FALSE),IF($B252="WW",VLOOKUP($C252,'PIP finance'!$C$177:$P$220,K$250,FALSE),VLOOKUP($C252,'PIP finance'!$C$325:$P$362,K$250,FALSE)))</f>
        <v>0</v>
      </c>
      <c r="I252" s="5111">
        <f ca="1">IF($B252="WS",VLOOKUP($C252,'PIP finance'!$C$9:$P$59,L$250,FALSE),IF($B252="WW",VLOOKUP($C252,'PIP finance'!$C$177:$P$220,L$250,FALSE),VLOOKUP($C252,'PIP finance'!$C$325:$P$362,L$250,FALSE)))</f>
        <v>0</v>
      </c>
      <c r="J252" s="5111">
        <f ca="1">IF($B252="WS",VLOOKUP($C252,'PIP finance'!$C$9:$P$59,M$250,FALSE),IF($B252="WW",VLOOKUP($C252,'PIP finance'!$C$177:$P$220,M$250,FALSE),VLOOKUP($C252,'PIP finance'!$C$325:$P$362,M$250,FALSE)))</f>
        <v>0</v>
      </c>
      <c r="K252" s="5111">
        <f ca="1">IF($B252="WS",VLOOKUP($C252,'PIP finance'!$C$9:$P$59,N$250,FALSE),IF($B252="WW",VLOOKUP($C252,'PIP finance'!$C$177:$P$220,N$250,FALSE),VLOOKUP($C252,'PIP finance'!$C$325:$P$362,N$250,FALSE)))</f>
        <v>0</v>
      </c>
      <c r="L252" s="5111">
        <f ca="1">IF($B252="WS",VLOOKUP($C252,'PIP finance'!$C$9:$P$59,O$250,FALSE),IF($B252="WW",VLOOKUP($C252,'PIP finance'!$C$177:$P$220,O$250,FALSE),VLOOKUP($C252,'PIP finance'!$C$325:$P$362,O$250,FALSE)))</f>
        <v>0</v>
      </c>
      <c r="M252" s="5111">
        <f ca="1">IF($B252="WS",VLOOKUP($C252,'PIP finance'!$C$9:$P$59,P$250,FALSE),IF($B252="WW",VLOOKUP($C252,'PIP finance'!$C$177:$P$220,P$250,FALSE),VLOOKUP($C252,'PIP finance'!$C$325:$P$362,P$250,FALSE)))</f>
        <v>0</v>
      </c>
      <c r="O252" s="7245" t="s">
        <v>933</v>
      </c>
      <c r="P252" s="7246"/>
      <c r="Q252" s="7246"/>
      <c r="R252" s="7246"/>
      <c r="S252" s="7246"/>
      <c r="T252" s="7246"/>
      <c r="U252" s="7246"/>
      <c r="V252" s="7246"/>
      <c r="W252" s="7246"/>
      <c r="X252" s="7246"/>
      <c r="Y252" s="7246"/>
      <c r="Z252" s="5112"/>
    </row>
    <row r="253" spans="1:29" x14ac:dyDescent="0.25">
      <c r="A253" s="4076">
        <v>2</v>
      </c>
      <c r="B253" s="4076" t="str">
        <f ca="1">'Action Plan finance'!AH57</f>
        <v>WW</v>
      </c>
      <c r="C253" s="4078" t="str">
        <f ca="1">'Action Plan finance'!C57</f>
        <v>Policy for providing sanitation services in slums</v>
      </c>
      <c r="D253" s="5108">
        <f ca="1">IF($B253="WS",VLOOKUP($C253,'PIP finance'!$C$9:$P$59,G$250,FALSE),IF($B253="WW",VLOOKUP($C253,'PIP finance'!$C$177:$P$220,G$250,FALSE),VLOOKUP($C253,'PIP finance'!$C$325:$P$362,G$250,FALSE)))</f>
        <v>0</v>
      </c>
      <c r="E253" s="5109">
        <f ca="1">IF($B253="WS",VLOOKUP($C253,'PIP finance'!$C$9:$P$59,H$250,FALSE),IF($B253="WW",VLOOKUP($C253,'PIP finance'!$C$177:$P$220,H$250,FALSE),VLOOKUP($C253,'PIP finance'!$C$325:$P$362,H$250,FALSE)))</f>
        <v>0</v>
      </c>
      <c r="F253" s="5109">
        <f ca="1">IF($B253="WS",VLOOKUP($C253,'PIP finance'!$C$9:$P$59,I$250,FALSE),IF($B253="WW",VLOOKUP($C253,'PIP finance'!$C$177:$P$220,I$250,FALSE),VLOOKUP($C253,'PIP finance'!$C$325:$P$362,I$250,FALSE)))</f>
        <v>0</v>
      </c>
      <c r="G253" s="5110">
        <f ca="1">IF($B253="WS",VLOOKUP($C253,'PIP finance'!$C$9:$P$59,J$250,FALSE),IF($B253="WW",VLOOKUP($C253,'PIP finance'!$C$177:$P$220,J$250,FALSE),VLOOKUP($C253,'PIP finance'!$C$325:$P$362,J$250,FALSE)))</f>
        <v>0</v>
      </c>
      <c r="H253" s="5111">
        <f ca="1">IF($B253="WS",VLOOKUP($C253,'PIP finance'!$C$9:$P$59,K$250,FALSE),IF($B253="WW",VLOOKUP($C253,'PIP finance'!$C$177:$P$220,K$250,FALSE),VLOOKUP($C253,'PIP finance'!$C$325:$P$362,K$250,FALSE)))</f>
        <v>0</v>
      </c>
      <c r="I253" s="5111">
        <f ca="1">IF($B253="WS",VLOOKUP($C253,'PIP finance'!$C$9:$P$59,L$250,FALSE),IF($B253="WW",VLOOKUP($C253,'PIP finance'!$C$177:$P$220,L$250,FALSE),VLOOKUP($C253,'PIP finance'!$C$325:$P$362,L$250,FALSE)))</f>
        <v>0</v>
      </c>
      <c r="J253" s="5111">
        <f ca="1">IF($B253="WS",VLOOKUP($C253,'PIP finance'!$C$9:$P$59,M$250,FALSE),IF($B253="WW",VLOOKUP($C253,'PIP finance'!$C$177:$P$220,M$250,FALSE),VLOOKUP($C253,'PIP finance'!$C$325:$P$362,M$250,FALSE)))</f>
        <v>0</v>
      </c>
      <c r="K253" s="5111">
        <f ca="1">IF($B253="WS",VLOOKUP($C253,'PIP finance'!$C$9:$P$59,N$250,FALSE),IF($B253="WW",VLOOKUP($C253,'PIP finance'!$C$177:$P$220,N$250,FALSE),VLOOKUP($C253,'PIP finance'!$C$325:$P$362,N$250,FALSE)))</f>
        <v>0</v>
      </c>
      <c r="L253" s="5111">
        <f ca="1">IF($B253="WS",VLOOKUP($C253,'PIP finance'!$C$9:$P$59,O$250,FALSE),IF($B253="WW",VLOOKUP($C253,'PIP finance'!$C$177:$P$220,O$250,FALSE),VLOOKUP($C253,'PIP finance'!$C$325:$P$362,O$250,FALSE)))</f>
        <v>0</v>
      </c>
      <c r="M253" s="5111">
        <f ca="1">IF($B253="WS",VLOOKUP($C253,'PIP finance'!$C$9:$P$59,P$250,FALSE),IF($B253="WW",VLOOKUP($C253,'PIP finance'!$C$177:$P$220,P$250,FALSE),VLOOKUP($C253,'PIP finance'!$C$325:$P$362,P$250,FALSE)))</f>
        <v>0</v>
      </c>
      <c r="O253" s="4739" t="s">
        <v>891</v>
      </c>
      <c r="P253" s="5113">
        <f t="shared" ref="P253:Y255" ca="1" si="77">SUMIF($B$252:$B$370,$O253,D$252:D$370)</f>
        <v>0</v>
      </c>
      <c r="Q253" s="5113">
        <f t="shared" ca="1" si="77"/>
        <v>0</v>
      </c>
      <c r="R253" s="5113">
        <f t="shared" ca="1" si="77"/>
        <v>0</v>
      </c>
      <c r="S253" s="5113">
        <f t="shared" ca="1" si="77"/>
        <v>0</v>
      </c>
      <c r="T253" s="5113">
        <f t="shared" ca="1" si="77"/>
        <v>0</v>
      </c>
      <c r="U253" s="5113">
        <f t="shared" ca="1" si="77"/>
        <v>0</v>
      </c>
      <c r="V253" s="5113">
        <f t="shared" ca="1" si="77"/>
        <v>0</v>
      </c>
      <c r="W253" s="5113">
        <f t="shared" ca="1" si="77"/>
        <v>0</v>
      </c>
      <c r="X253" s="5113">
        <f t="shared" ca="1" si="77"/>
        <v>0</v>
      </c>
      <c r="Y253" s="5113">
        <f t="shared" ca="1" si="77"/>
        <v>0</v>
      </c>
      <c r="Z253" s="5114">
        <f ca="1">SUM(P253:Y253)</f>
        <v>0</v>
      </c>
    </row>
    <row r="254" spans="1:29" ht="30" x14ac:dyDescent="0.25">
      <c r="A254" s="4076">
        <v>3</v>
      </c>
      <c r="B254" s="4076" t="str">
        <f ca="1">'Action Plan finance'!AH58</f>
        <v>WW</v>
      </c>
      <c r="C254" s="4078" t="str">
        <f ca="1">'Action Plan finance'!C58</f>
        <v>Improve condition of existing individual toilets by providing safe sanitation disposal system</v>
      </c>
      <c r="D254" s="5108">
        <f ca="1">IF($B254="WS",VLOOKUP($C254,'PIP finance'!$C$9:$P$59,G$250,FALSE),IF($B254="WW",VLOOKUP($C254,'PIP finance'!$C$177:$P$220,G$250,FALSE),VLOOKUP($C254,'PIP finance'!$C$325:$P$362,G$250,FALSE)))</f>
        <v>63.9</v>
      </c>
      <c r="E254" s="5109">
        <f ca="1">IF($B254="WS",VLOOKUP($C254,'PIP finance'!$C$9:$P$59,H$250,FALSE),IF($B254="WW",VLOOKUP($C254,'PIP finance'!$C$177:$P$220,H$250,FALSE),VLOOKUP($C254,'PIP finance'!$C$325:$P$362,H$250,FALSE)))</f>
        <v>0</v>
      </c>
      <c r="F254" s="5109">
        <f ca="1">IF($B254="WS",VLOOKUP($C254,'PIP finance'!$C$9:$P$59,I$250,FALSE),IF($B254="WW",VLOOKUP($C254,'PIP finance'!$C$177:$P$220,I$250,FALSE),VLOOKUP($C254,'PIP finance'!$C$325:$P$362,I$250,FALSE)))</f>
        <v>0</v>
      </c>
      <c r="G254" s="5110">
        <f ca="1">IF($B254="WS",VLOOKUP($C254,'PIP finance'!$C$9:$P$59,J$250,FALSE),IF($B254="WW",VLOOKUP($C254,'PIP finance'!$C$177:$P$220,J$250,FALSE),VLOOKUP($C254,'PIP finance'!$C$325:$P$362,J$250,FALSE)))</f>
        <v>0</v>
      </c>
      <c r="H254" s="5111">
        <f ca="1">IF($B254="WS",VLOOKUP($C254,'PIP finance'!$C$9:$P$59,K$250,FALSE),IF($B254="WW",VLOOKUP($C254,'PIP finance'!$C$177:$P$220,K$250,FALSE),VLOOKUP($C254,'PIP finance'!$C$325:$P$362,K$250,FALSE)))</f>
        <v>0</v>
      </c>
      <c r="I254" s="5111">
        <f ca="1">IF($B254="WS",VLOOKUP($C254,'PIP finance'!$C$9:$P$59,L$250,FALSE),IF($B254="WW",VLOOKUP($C254,'PIP finance'!$C$177:$P$220,L$250,FALSE),VLOOKUP($C254,'PIP finance'!$C$325:$P$362,L$250,FALSE)))</f>
        <v>0</v>
      </c>
      <c r="J254" s="5111">
        <f ca="1">IF($B254="WS",VLOOKUP($C254,'PIP finance'!$C$9:$P$59,M$250,FALSE),IF($B254="WW",VLOOKUP($C254,'PIP finance'!$C$177:$P$220,M$250,FALSE),VLOOKUP($C254,'PIP finance'!$C$325:$P$362,M$250,FALSE)))</f>
        <v>0</v>
      </c>
      <c r="K254" s="5111">
        <f ca="1">IF($B254="WS",VLOOKUP($C254,'PIP finance'!$C$9:$P$59,N$250,FALSE),IF($B254="WW",VLOOKUP($C254,'PIP finance'!$C$177:$P$220,N$250,FALSE),VLOOKUP($C254,'PIP finance'!$C$325:$P$362,N$250,FALSE)))</f>
        <v>0</v>
      </c>
      <c r="L254" s="5111">
        <f ca="1">IF($B254="WS",VLOOKUP($C254,'PIP finance'!$C$9:$P$59,O$250,FALSE),IF($B254="WW",VLOOKUP($C254,'PIP finance'!$C$177:$P$220,O$250,FALSE),VLOOKUP($C254,'PIP finance'!$C$325:$P$362,O$250,FALSE)))</f>
        <v>0</v>
      </c>
      <c r="M254" s="5111">
        <f ca="1">IF($B254="WS",VLOOKUP($C254,'PIP finance'!$C$9:$P$59,P$250,FALSE),IF($B254="WW",VLOOKUP($C254,'PIP finance'!$C$177:$P$220,P$250,FALSE),VLOOKUP($C254,'PIP finance'!$C$325:$P$362,P$250,FALSE)))</f>
        <v>0</v>
      </c>
      <c r="O254" s="4739" t="s">
        <v>892</v>
      </c>
      <c r="P254" s="5113">
        <f t="shared" ca="1" si="77"/>
        <v>345.26666666666671</v>
      </c>
      <c r="Q254" s="5113">
        <f t="shared" ca="1" si="77"/>
        <v>301.06233333333336</v>
      </c>
      <c r="R254" s="5113">
        <f t="shared" ca="1" si="77"/>
        <v>256.87739666666664</v>
      </c>
      <c r="S254" s="5113">
        <f t="shared" ca="1" si="77"/>
        <v>242.19100109999999</v>
      </c>
      <c r="T254" s="5113">
        <f t="shared" ca="1" si="77"/>
        <v>259.14437117700004</v>
      </c>
      <c r="U254" s="5113">
        <f t="shared" ca="1" si="77"/>
        <v>0</v>
      </c>
      <c r="V254" s="5113">
        <f t="shared" ca="1" si="77"/>
        <v>0</v>
      </c>
      <c r="W254" s="5113">
        <f t="shared" ca="1" si="77"/>
        <v>0</v>
      </c>
      <c r="X254" s="5113">
        <f t="shared" ca="1" si="77"/>
        <v>0</v>
      </c>
      <c r="Y254" s="5113">
        <f t="shared" ca="1" si="77"/>
        <v>0</v>
      </c>
      <c r="Z254" s="5114">
        <f t="shared" ref="Z254:Z259" ca="1" si="78">SUM(P254:Y254)</f>
        <v>1404.5417689436667</v>
      </c>
    </row>
    <row r="255" spans="1:29" ht="15.75" thickBot="1" x14ac:dyDescent="0.3">
      <c r="A255" s="4076">
        <v>4</v>
      </c>
      <c r="B255" s="4076" t="str">
        <f ca="1">'Action Plan finance'!AH59</f>
        <v>WW</v>
      </c>
      <c r="C255" s="4078" t="str">
        <f ca="1">'Action Plan finance'!C59</f>
        <v>Improve condition of existing Community toilets</v>
      </c>
      <c r="D255" s="5108">
        <f ca="1">IF($B255="WS",VLOOKUP($C255,'PIP finance'!$C$9:$P$59,G$250,FALSE),IF($B255="WW",VLOOKUP($C255,'PIP finance'!$C$177:$P$220,G$250,FALSE),VLOOKUP($C255,'PIP finance'!$C$325:$P$362,G$250,FALSE)))</f>
        <v>23</v>
      </c>
      <c r="E255" s="5109">
        <f ca="1">IF($B255="WS",VLOOKUP($C255,'PIP finance'!$C$9:$P$59,H$250,FALSE),IF($B255="WW",VLOOKUP($C255,'PIP finance'!$C$177:$P$220,H$250,FALSE),VLOOKUP($C255,'PIP finance'!$C$325:$P$362,H$250,FALSE)))</f>
        <v>24.610000000000003</v>
      </c>
      <c r="F255" s="5109">
        <f ca="1">IF($B255="WS",VLOOKUP($C255,'PIP finance'!$C$9:$P$59,I$250,FALSE),IF($B255="WW",VLOOKUP($C255,'PIP finance'!$C$177:$P$220,I$250,FALSE),VLOOKUP($C255,'PIP finance'!$C$325:$P$362,I$250,FALSE)))</f>
        <v>26.332699999999999</v>
      </c>
      <c r="G255" s="5110">
        <f ca="1">IF($B255="WS",VLOOKUP($C255,'PIP finance'!$C$9:$P$59,J$250,FALSE),IF($B255="WW",VLOOKUP($C255,'PIP finance'!$C$177:$P$220,J$250,FALSE),VLOOKUP($C255,'PIP finance'!$C$325:$P$362,J$250,FALSE)))</f>
        <v>0</v>
      </c>
      <c r="H255" s="5111">
        <f ca="1">IF($B255="WS",VLOOKUP($C255,'PIP finance'!$C$9:$P$59,K$250,FALSE),IF($B255="WW",VLOOKUP($C255,'PIP finance'!$C$177:$P$220,K$250,FALSE),VLOOKUP($C255,'PIP finance'!$C$325:$P$362,K$250,FALSE)))</f>
        <v>0</v>
      </c>
      <c r="I255" s="5111">
        <f ca="1">IF($B255="WS",VLOOKUP($C255,'PIP finance'!$C$9:$P$59,L$250,FALSE),IF($B255="WW",VLOOKUP($C255,'PIP finance'!$C$177:$P$220,L$250,FALSE),VLOOKUP($C255,'PIP finance'!$C$325:$P$362,L$250,FALSE)))</f>
        <v>0</v>
      </c>
      <c r="J255" s="5111">
        <f ca="1">IF($B255="WS",VLOOKUP($C255,'PIP finance'!$C$9:$P$59,M$250,FALSE),IF($B255="WW",VLOOKUP($C255,'PIP finance'!$C$177:$P$220,M$250,FALSE),VLOOKUP($C255,'PIP finance'!$C$325:$P$362,M$250,FALSE)))</f>
        <v>0</v>
      </c>
      <c r="K255" s="5111">
        <f ca="1">IF($B255="WS",VLOOKUP($C255,'PIP finance'!$C$9:$P$59,N$250,FALSE),IF($B255="WW",VLOOKUP($C255,'PIP finance'!$C$177:$P$220,N$250,FALSE),VLOOKUP($C255,'PIP finance'!$C$325:$P$362,N$250,FALSE)))</f>
        <v>0</v>
      </c>
      <c r="L255" s="5111">
        <f ca="1">IF($B255="WS",VLOOKUP($C255,'PIP finance'!$C$9:$P$59,O$250,FALSE),IF($B255="WW",VLOOKUP($C255,'PIP finance'!$C$177:$P$220,O$250,FALSE),VLOOKUP($C255,'PIP finance'!$C$325:$P$362,O$250,FALSE)))</f>
        <v>0</v>
      </c>
      <c r="M255" s="5111">
        <f ca="1">IF($B255="WS",VLOOKUP($C255,'PIP finance'!$C$9:$P$59,P$250,FALSE),IF($B255="WW",VLOOKUP($C255,'PIP finance'!$C$177:$P$220,P$250,FALSE),VLOOKUP($C255,'PIP finance'!$C$325:$P$362,P$250,FALSE)))</f>
        <v>0</v>
      </c>
      <c r="O255" s="5115" t="s">
        <v>893</v>
      </c>
      <c r="P255" s="5116">
        <f t="shared" ca="1" si="77"/>
        <v>0</v>
      </c>
      <c r="Q255" s="5116">
        <f t="shared" ca="1" si="77"/>
        <v>0</v>
      </c>
      <c r="R255" s="5116">
        <f t="shared" ca="1" si="77"/>
        <v>0</v>
      </c>
      <c r="S255" s="5116">
        <f t="shared" ca="1" si="77"/>
        <v>0</v>
      </c>
      <c r="T255" s="5116">
        <f t="shared" ca="1" si="77"/>
        <v>0</v>
      </c>
      <c r="U255" s="5116">
        <f t="shared" ca="1" si="77"/>
        <v>0</v>
      </c>
      <c r="V255" s="5116">
        <f t="shared" ca="1" si="77"/>
        <v>0</v>
      </c>
      <c r="W255" s="5116">
        <f t="shared" ca="1" si="77"/>
        <v>0</v>
      </c>
      <c r="X255" s="5116">
        <f t="shared" ca="1" si="77"/>
        <v>0</v>
      </c>
      <c r="Y255" s="5116">
        <f t="shared" ca="1" si="77"/>
        <v>0</v>
      </c>
      <c r="Z255" s="5117">
        <f ca="1">SUM(P255:Y255)</f>
        <v>0</v>
      </c>
    </row>
    <row r="256" spans="1:29" x14ac:dyDescent="0.25">
      <c r="A256" s="4076">
        <v>5</v>
      </c>
      <c r="B256" s="4076" t="str">
        <f ca="1">'Action Plan finance'!AH60</f>
        <v>WW</v>
      </c>
      <c r="C256" s="4078" t="str">
        <f ca="1">'Action Plan finance'!C60</f>
        <v>Construct new individual toilets</v>
      </c>
      <c r="D256" s="5108">
        <f ca="1">IF($B256="WS",VLOOKUP($C256,'PIP finance'!$C$9:$P$59,G$250,FALSE),IF($B256="WW",VLOOKUP($C256,'PIP finance'!$C$177:$P$220,G$250,FALSE),VLOOKUP($C256,'PIP finance'!$C$325:$P$362,G$250,FALSE)))</f>
        <v>197.7</v>
      </c>
      <c r="E256" s="5109">
        <f ca="1">IF($B256="WS",VLOOKUP($C256,'PIP finance'!$C$9:$P$59,H$250,FALSE),IF($B256="WW",VLOOKUP($C256,'PIP finance'!$C$177:$P$220,H$250,FALSE),VLOOKUP($C256,'PIP finance'!$C$325:$P$362,H$250,FALSE)))</f>
        <v>211.53899999999999</v>
      </c>
      <c r="F256" s="5109">
        <f ca="1">IF($B256="WS",VLOOKUP($C256,'PIP finance'!$C$9:$P$59,I$250,FALSE),IF($B256="WW",VLOOKUP($C256,'PIP finance'!$C$177:$P$220,I$250,FALSE),VLOOKUP($C256,'PIP finance'!$C$325:$P$362,I$250,FALSE)))</f>
        <v>226.34672999999998</v>
      </c>
      <c r="G256" s="5111">
        <f ca="1">IF($B256="WS",VLOOKUP($C256,'PIP finance'!$C$9:$P$59,J$250,FALSE),IF($B256="WW",VLOOKUP($C256,'PIP finance'!$C$177:$P$220,J$250,FALSE),VLOOKUP($C256,'PIP finance'!$C$325:$P$362,J$250,FALSE)))</f>
        <v>242.19100109999999</v>
      </c>
      <c r="H256" s="5111">
        <f ca="1">IF($B256="WS",VLOOKUP($C256,'PIP finance'!$C$9:$P$59,K$250,FALSE),IF($B256="WW",VLOOKUP($C256,'PIP finance'!$C$177:$P$220,K$250,FALSE),VLOOKUP($C256,'PIP finance'!$C$325:$P$362,K$250,FALSE)))</f>
        <v>259.14437117700004</v>
      </c>
      <c r="I256" s="5111">
        <f ca="1">IF($B256="WS",VLOOKUP($C256,'PIP finance'!$C$9:$P$59,L$250,FALSE),IF($B256="WW",VLOOKUP($C256,'PIP finance'!$C$177:$P$220,L$250,FALSE),VLOOKUP($C256,'PIP finance'!$C$325:$P$362,L$250,FALSE)))</f>
        <v>0</v>
      </c>
      <c r="J256" s="5111">
        <f ca="1">IF($B256="WS",VLOOKUP($C256,'PIP finance'!$C$9:$P$59,M$250,FALSE),IF($B256="WW",VLOOKUP($C256,'PIP finance'!$C$177:$P$220,M$250,FALSE),VLOOKUP($C256,'PIP finance'!$C$325:$P$362,M$250,FALSE)))</f>
        <v>0</v>
      </c>
      <c r="K256" s="5111">
        <f ca="1">IF($B256="WS",VLOOKUP($C256,'PIP finance'!$C$9:$P$59,N$250,FALSE),IF($B256="WW",VLOOKUP($C256,'PIP finance'!$C$177:$P$220,N$250,FALSE),VLOOKUP($C256,'PIP finance'!$C$325:$P$362,N$250,FALSE)))</f>
        <v>0</v>
      </c>
      <c r="L256" s="5111">
        <f ca="1">IF($B256="WS",VLOOKUP($C256,'PIP finance'!$C$9:$P$59,O$250,FALSE),IF($B256="WW",VLOOKUP($C256,'PIP finance'!$C$177:$P$220,O$250,FALSE),VLOOKUP($C256,'PIP finance'!$C$325:$P$362,O$250,FALSE)))</f>
        <v>0</v>
      </c>
      <c r="M256" s="5111">
        <f ca="1">IF($B256="WS",VLOOKUP($C256,'PIP finance'!$C$9:$P$59,P$250,FALSE),IF($B256="WW",VLOOKUP($C256,'PIP finance'!$C$177:$P$220,P$250,FALSE),VLOOKUP($C256,'PIP finance'!$C$325:$P$362,P$250,FALSE)))</f>
        <v>0</v>
      </c>
      <c r="O256" s="7247" t="s">
        <v>934</v>
      </c>
      <c r="P256" s="7246"/>
      <c r="Q256" s="7246"/>
      <c r="R256" s="7246"/>
      <c r="S256" s="7246"/>
      <c r="T256" s="7246"/>
      <c r="U256" s="7246"/>
      <c r="V256" s="7246"/>
      <c r="W256" s="7246"/>
      <c r="X256" s="7246"/>
      <c r="Y256" s="7246"/>
      <c r="Z256" s="5118"/>
    </row>
    <row r="257" spans="1:28" x14ac:dyDescent="0.25">
      <c r="A257" s="4076">
        <v>6</v>
      </c>
      <c r="B257" s="4076" t="str">
        <f ca="1">'Action Plan finance'!AH61</f>
        <v>WW</v>
      </c>
      <c r="C257" s="4078" t="str">
        <f ca="1">'Action Plan finance'!C61</f>
        <v>Construct new public toilet blocks</v>
      </c>
      <c r="D257" s="5108">
        <f ca="1">IF($B257="WS",VLOOKUP($C257,'PIP finance'!$C$9:$P$59,G$250,FALSE),IF($B257="WW",VLOOKUP($C257,'PIP finance'!$C$177:$P$220,G$250,FALSE),VLOOKUP($C257,'PIP finance'!$C$325:$P$362,G$250,FALSE)))</f>
        <v>3.6666666666666661</v>
      </c>
      <c r="E257" s="5109">
        <f ca="1">IF($B257="WS",VLOOKUP($C257,'PIP finance'!$C$9:$P$59,H$250,FALSE),IF($B257="WW",VLOOKUP($C257,'PIP finance'!$C$177:$P$220,H$250,FALSE),VLOOKUP($C257,'PIP finance'!$C$325:$P$362,H$250,FALSE)))</f>
        <v>3.9233333333333329</v>
      </c>
      <c r="F257" s="5109">
        <f ca="1">IF($B257="WS",VLOOKUP($C257,'PIP finance'!$C$9:$P$59,I$250,FALSE),IF($B257="WW",VLOOKUP($C257,'PIP finance'!$C$177:$P$220,I$250,FALSE),VLOOKUP($C257,'PIP finance'!$C$325:$P$362,I$250,FALSE)))</f>
        <v>4.197966666666666</v>
      </c>
      <c r="G257" s="5111">
        <f ca="1">IF($B257="WS",VLOOKUP($C257,'PIP finance'!$C$9:$P$59,J$250,FALSE),IF($B257="WW",VLOOKUP($C257,'PIP finance'!$C$177:$P$220,J$250,FALSE),VLOOKUP($C257,'PIP finance'!$C$325:$P$362,J$250,FALSE)))</f>
        <v>0</v>
      </c>
      <c r="H257" s="5111">
        <f ca="1">IF($B257="WS",VLOOKUP($C257,'PIP finance'!$C$9:$P$59,K$250,FALSE),IF($B257="WW",VLOOKUP($C257,'PIP finance'!$C$177:$P$220,K$250,FALSE),VLOOKUP($C257,'PIP finance'!$C$325:$P$362,K$250,FALSE)))</f>
        <v>0</v>
      </c>
      <c r="I257" s="5111">
        <f ca="1">IF($B257="WS",VLOOKUP($C257,'PIP finance'!$C$9:$P$59,L$250,FALSE),IF($B257="WW",VLOOKUP($C257,'PIP finance'!$C$177:$P$220,L$250,FALSE),VLOOKUP($C257,'PIP finance'!$C$325:$P$362,L$250,FALSE)))</f>
        <v>0</v>
      </c>
      <c r="J257" s="5111">
        <f ca="1">IF($B257="WS",VLOOKUP($C257,'PIP finance'!$C$9:$P$59,M$250,FALSE),IF($B257="WW",VLOOKUP($C257,'PIP finance'!$C$177:$P$220,M$250,FALSE),VLOOKUP($C257,'PIP finance'!$C$325:$P$362,M$250,FALSE)))</f>
        <v>0</v>
      </c>
      <c r="K257" s="5111">
        <f ca="1">IF($B257="WS",VLOOKUP($C257,'PIP finance'!$C$9:$P$59,N$250,FALSE),IF($B257="WW",VLOOKUP($C257,'PIP finance'!$C$177:$P$220,N$250,FALSE),VLOOKUP($C257,'PIP finance'!$C$325:$P$362,N$250,FALSE)))</f>
        <v>0</v>
      </c>
      <c r="L257" s="5111">
        <f ca="1">IF($B257="WS",VLOOKUP($C257,'PIP finance'!$C$9:$P$59,O$250,FALSE),IF($B257="WW",VLOOKUP($C257,'PIP finance'!$C$177:$P$220,O$250,FALSE),VLOOKUP($C257,'PIP finance'!$C$325:$P$362,O$250,FALSE)))</f>
        <v>0</v>
      </c>
      <c r="M257" s="5111">
        <f ca="1">IF($B257="WS",VLOOKUP($C257,'PIP finance'!$C$9:$P$59,P$250,FALSE),IF($B257="WW",VLOOKUP($C257,'PIP finance'!$C$177:$P$220,P$250,FALSE),VLOOKUP($C257,'PIP finance'!$C$325:$P$362,P$250,FALSE)))</f>
        <v>0</v>
      </c>
      <c r="O257" s="4739" t="s">
        <v>891</v>
      </c>
      <c r="P257" s="5113">
        <f t="shared" ref="P257:Y259" ca="1" si="79">P253/(1+$O$251)^S$250</f>
        <v>0</v>
      </c>
      <c r="Q257" s="5113">
        <f t="shared" ca="1" si="79"/>
        <v>0</v>
      </c>
      <c r="R257" s="5113">
        <f t="shared" ca="1" si="79"/>
        <v>0</v>
      </c>
      <c r="S257" s="5113">
        <f t="shared" ca="1" si="79"/>
        <v>0</v>
      </c>
      <c r="T257" s="5113">
        <f t="shared" ca="1" si="79"/>
        <v>0</v>
      </c>
      <c r="U257" s="5113">
        <f t="shared" ca="1" si="79"/>
        <v>0</v>
      </c>
      <c r="V257" s="5113">
        <f t="shared" ca="1" si="79"/>
        <v>0</v>
      </c>
      <c r="W257" s="5113">
        <f t="shared" ca="1" si="79"/>
        <v>0</v>
      </c>
      <c r="X257" s="5113">
        <f t="shared" ca="1" si="79"/>
        <v>0</v>
      </c>
      <c r="Y257" s="5113">
        <f t="shared" ca="1" si="79"/>
        <v>0</v>
      </c>
      <c r="Z257" s="5119">
        <f ca="1">SUM(P257:Y257)</f>
        <v>0</v>
      </c>
      <c r="AA257" s="5120">
        <f ca="1">NPV(O251,P253:Y253,S248:AB248)</f>
        <v>0</v>
      </c>
    </row>
    <row r="258" spans="1:28" ht="30" x14ac:dyDescent="0.25">
      <c r="A258" s="4076">
        <v>7</v>
      </c>
      <c r="B258" s="4076" t="str">
        <f ca="1">'Action Plan finance'!AH62</f>
        <v>WW</v>
      </c>
      <c r="C258" s="4078" t="str">
        <f ca="1">'Action Plan finance'!C62</f>
        <v>Increase septage collection with existing suction emptier trucks</v>
      </c>
      <c r="D258" s="5108">
        <f ca="1">IF($B258="WS",VLOOKUP($C258,'PIP finance'!$C$9:$P$59,G$250,FALSE),IF($B258="WW",VLOOKUP($C258,'PIP finance'!$C$177:$P$220,G$250,FALSE),VLOOKUP($C258,'PIP finance'!$C$325:$P$362,G$250,FALSE)))</f>
        <v>0</v>
      </c>
      <c r="E258" s="5109">
        <f ca="1">IF($B258="WS",VLOOKUP($C258,'PIP finance'!$C$9:$P$59,H$250,FALSE),IF($B258="WW",VLOOKUP($C258,'PIP finance'!$C$177:$P$220,H$250,FALSE),VLOOKUP($C258,'PIP finance'!$C$325:$P$362,H$250,FALSE)))</f>
        <v>0</v>
      </c>
      <c r="F258" s="5109">
        <f ca="1">IF($B258="WS",VLOOKUP($C258,'PIP finance'!$C$9:$P$59,I$250,FALSE),IF($B258="WW",VLOOKUP($C258,'PIP finance'!$C$177:$P$220,I$250,FALSE),VLOOKUP($C258,'PIP finance'!$C$325:$P$362,I$250,FALSE)))</f>
        <v>0</v>
      </c>
      <c r="G258" s="5111">
        <f ca="1">IF($B258="WS",VLOOKUP($C258,'PIP finance'!$C$9:$P$59,J$250,FALSE),IF($B258="WW",VLOOKUP($C258,'PIP finance'!$C$177:$P$220,J$250,FALSE),VLOOKUP($C258,'PIP finance'!$C$325:$P$362,J$250,FALSE)))</f>
        <v>0</v>
      </c>
      <c r="H258" s="5111">
        <f ca="1">IF($B258="WS",VLOOKUP($C258,'PIP finance'!$C$9:$P$59,K$250,FALSE),IF($B258="WW",VLOOKUP($C258,'PIP finance'!$C$177:$P$220,K$250,FALSE),VLOOKUP($C258,'PIP finance'!$C$325:$P$362,K$250,FALSE)))</f>
        <v>0</v>
      </c>
      <c r="I258" s="5111">
        <f ca="1">IF($B258="WS",VLOOKUP($C258,'PIP finance'!$C$9:$P$59,L$250,FALSE),IF($B258="WW",VLOOKUP($C258,'PIP finance'!$C$177:$P$220,L$250,FALSE),VLOOKUP($C258,'PIP finance'!$C$325:$P$362,L$250,FALSE)))</f>
        <v>0</v>
      </c>
      <c r="J258" s="5111">
        <f ca="1">IF($B258="WS",VLOOKUP($C258,'PIP finance'!$C$9:$P$59,M$250,FALSE),IF($B258="WW",VLOOKUP($C258,'PIP finance'!$C$177:$P$220,M$250,FALSE),VLOOKUP($C258,'PIP finance'!$C$325:$P$362,M$250,FALSE)))</f>
        <v>0</v>
      </c>
      <c r="K258" s="5111">
        <f ca="1">IF($B258="WS",VLOOKUP($C258,'PIP finance'!$C$9:$P$59,N$250,FALSE),IF($B258="WW",VLOOKUP($C258,'PIP finance'!$C$177:$P$220,N$250,FALSE),VLOOKUP($C258,'PIP finance'!$C$325:$P$362,N$250,FALSE)))</f>
        <v>0</v>
      </c>
      <c r="L258" s="5111">
        <f ca="1">IF($B258="WS",VLOOKUP($C258,'PIP finance'!$C$9:$P$59,O$250,FALSE),IF($B258="WW",VLOOKUP($C258,'PIP finance'!$C$177:$P$220,O$250,FALSE),VLOOKUP($C258,'PIP finance'!$C$325:$P$362,O$250,FALSE)))</f>
        <v>0</v>
      </c>
      <c r="M258" s="5111">
        <f ca="1">IF($B258="WS",VLOOKUP($C258,'PIP finance'!$C$9:$P$59,P$250,FALSE),IF($B258="WW",VLOOKUP($C258,'PIP finance'!$C$177:$P$220,P$250,FALSE),VLOOKUP($C258,'PIP finance'!$C$325:$P$362,P$250,FALSE)))</f>
        <v>0</v>
      </c>
      <c r="O258" s="4739" t="s">
        <v>892</v>
      </c>
      <c r="P258" s="5113">
        <f t="shared" ca="1" si="79"/>
        <v>328.82539682539687</v>
      </c>
      <c r="Q258" s="5113">
        <f t="shared" ca="1" si="79"/>
        <v>273.07241118669691</v>
      </c>
      <c r="R258" s="5113">
        <f t="shared" ca="1" si="79"/>
        <v>221.90035345355068</v>
      </c>
      <c r="S258" s="5113">
        <f t="shared" ca="1" si="79"/>
        <v>199.25113597729342</v>
      </c>
      <c r="T258" s="5113">
        <f t="shared" ca="1" si="79"/>
        <v>203.04639571019425</v>
      </c>
      <c r="U258" s="5113">
        <f t="shared" ca="1" si="79"/>
        <v>0</v>
      </c>
      <c r="V258" s="5113">
        <f t="shared" ca="1" si="79"/>
        <v>0</v>
      </c>
      <c r="W258" s="5113">
        <f t="shared" ca="1" si="79"/>
        <v>0</v>
      </c>
      <c r="X258" s="5113">
        <f ca="1">X254/(1+$O$251)^AA$250</f>
        <v>0</v>
      </c>
      <c r="Y258" s="5113">
        <f t="shared" ca="1" si="79"/>
        <v>0</v>
      </c>
      <c r="Z258" s="5119">
        <f t="shared" ca="1" si="78"/>
        <v>1226.0956931531321</v>
      </c>
      <c r="AA258" s="5120">
        <f ca="1">NPV(O251,P254:Y254,S248:AB248)</f>
        <v>1226.0956931531321</v>
      </c>
    </row>
    <row r="259" spans="1:28" ht="15.75" thickBot="1" x14ac:dyDescent="0.3">
      <c r="A259" s="4076">
        <v>8</v>
      </c>
      <c r="B259" s="4076" t="str">
        <f ca="1">'Action Plan finance'!AH63</f>
        <v>WW</v>
      </c>
      <c r="C259" s="4078" t="str">
        <f ca="1">'Action Plan finance'!C63</f>
        <v>Procure new suction emptier trucks</v>
      </c>
      <c r="D259" s="5108">
        <f ca="1">IF($B259="WS",VLOOKUP($C259,'PIP finance'!$C$9:$P$59,G$250,FALSE),IF($B259="WW",VLOOKUP($C259,'PIP finance'!$C$177:$P$220,G$250,FALSE),VLOOKUP($C259,'PIP finance'!$C$325:$P$362,G$250,FALSE)))</f>
        <v>12</v>
      </c>
      <c r="E259" s="5109">
        <f ca="1">IF($B259="WS",VLOOKUP($C259,'PIP finance'!$C$9:$P$59,H$250,FALSE),IF($B259="WW",VLOOKUP($C259,'PIP finance'!$C$177:$P$220,H$250,FALSE),VLOOKUP($C259,'PIP finance'!$C$325:$P$362,H$250,FALSE)))</f>
        <v>12.84</v>
      </c>
      <c r="F259" s="5109">
        <f ca="1">IF($B259="WS",VLOOKUP($C259,'PIP finance'!$C$9:$P$59,I$250,FALSE),IF($B259="WW",VLOOKUP($C259,'PIP finance'!$C$177:$P$220,I$250,FALSE),VLOOKUP($C259,'PIP finance'!$C$325:$P$362,I$250,FALSE)))</f>
        <v>0</v>
      </c>
      <c r="G259" s="5111">
        <f ca="1">IF($B259="WS",VLOOKUP($C259,'PIP finance'!$C$9:$P$59,J$250,FALSE),IF($B259="WW",VLOOKUP($C259,'PIP finance'!$C$177:$P$220,J$250,FALSE),VLOOKUP($C259,'PIP finance'!$C$325:$P$362,J$250,FALSE)))</f>
        <v>0</v>
      </c>
      <c r="H259" s="5111">
        <f ca="1">IF($B259="WS",VLOOKUP($C259,'PIP finance'!$C$9:$P$59,K$250,FALSE),IF($B259="WW",VLOOKUP($C259,'PIP finance'!$C$177:$P$220,K$250,FALSE),VLOOKUP($C259,'PIP finance'!$C$325:$P$362,K$250,FALSE)))</f>
        <v>0</v>
      </c>
      <c r="I259" s="5111">
        <f ca="1">IF($B259="WS",VLOOKUP($C259,'PIP finance'!$C$9:$P$59,L$250,FALSE),IF($B259="WW",VLOOKUP($C259,'PIP finance'!$C$177:$P$220,L$250,FALSE),VLOOKUP($C259,'PIP finance'!$C$325:$P$362,L$250,FALSE)))</f>
        <v>0</v>
      </c>
      <c r="J259" s="5111">
        <f ca="1">IF($B259="WS",VLOOKUP($C259,'PIP finance'!$C$9:$P$59,M$250,FALSE),IF($B259="WW",VLOOKUP($C259,'PIP finance'!$C$177:$P$220,M$250,FALSE),VLOOKUP($C259,'PIP finance'!$C$325:$P$362,M$250,FALSE)))</f>
        <v>0</v>
      </c>
      <c r="K259" s="5111">
        <f ca="1">IF($B259="WS",VLOOKUP($C259,'PIP finance'!$C$9:$P$59,N$250,FALSE),IF($B259="WW",VLOOKUP($C259,'PIP finance'!$C$177:$P$220,N$250,FALSE),VLOOKUP($C259,'PIP finance'!$C$325:$P$362,N$250,FALSE)))</f>
        <v>0</v>
      </c>
      <c r="L259" s="5111">
        <f ca="1">IF($B259="WS",VLOOKUP($C259,'PIP finance'!$C$9:$P$59,O$250,FALSE),IF($B259="WW",VLOOKUP($C259,'PIP finance'!$C$177:$P$220,O$250,FALSE),VLOOKUP($C259,'PIP finance'!$C$325:$P$362,O$250,FALSE)))</f>
        <v>0</v>
      </c>
      <c r="M259" s="5111">
        <f ca="1">IF($B259="WS",VLOOKUP($C259,'PIP finance'!$C$9:$P$59,P$250,FALSE),IF($B259="WW",VLOOKUP($C259,'PIP finance'!$C$177:$P$220,P$250,FALSE),VLOOKUP($C259,'PIP finance'!$C$325:$P$362,P$250,FALSE)))</f>
        <v>0</v>
      </c>
      <c r="O259" s="4739" t="s">
        <v>893</v>
      </c>
      <c r="P259" s="5113">
        <f t="shared" ca="1" si="79"/>
        <v>0</v>
      </c>
      <c r="Q259" s="5113">
        <f t="shared" ca="1" si="79"/>
        <v>0</v>
      </c>
      <c r="R259" s="5113">
        <f t="shared" ca="1" si="79"/>
        <v>0</v>
      </c>
      <c r="S259" s="5113">
        <f t="shared" ca="1" si="79"/>
        <v>0</v>
      </c>
      <c r="T259" s="5113">
        <f t="shared" ca="1" si="79"/>
        <v>0</v>
      </c>
      <c r="U259" s="5113">
        <f t="shared" ca="1" si="79"/>
        <v>0</v>
      </c>
      <c r="V259" s="5113">
        <f t="shared" ca="1" si="79"/>
        <v>0</v>
      </c>
      <c r="W259" s="5113">
        <f t="shared" ca="1" si="79"/>
        <v>0</v>
      </c>
      <c r="X259" s="5113">
        <f t="shared" ca="1" si="79"/>
        <v>0</v>
      </c>
      <c r="Y259" s="5113">
        <f t="shared" ca="1" si="79"/>
        <v>0</v>
      </c>
      <c r="Z259" s="5119">
        <f t="shared" ca="1" si="78"/>
        <v>0</v>
      </c>
      <c r="AA259" s="5120">
        <f ca="1">NPV(O251,P255:Y255,S248:AB248)</f>
        <v>0</v>
      </c>
    </row>
    <row r="260" spans="1:28" x14ac:dyDescent="0.25">
      <c r="A260" s="4076">
        <v>9</v>
      </c>
      <c r="B260" s="4076" t="str">
        <f ca="1">'Action Plan finance'!AH64</f>
        <v>WW</v>
      </c>
      <c r="C260" s="4078" t="str">
        <f ca="1">'Action Plan finance'!C64</f>
        <v>Construct/augment fecal sludge treatment plant</v>
      </c>
      <c r="D260" s="5108">
        <f ca="1">IF($B260="WS",VLOOKUP($C260,'PIP finance'!$C$9:$P$59,G$250,FALSE),IF($B260="WW",VLOOKUP($C260,'PIP finance'!$C$177:$P$220,G$250,FALSE),VLOOKUP($C260,'PIP finance'!$C$325:$P$362,G$250,FALSE)))</f>
        <v>45</v>
      </c>
      <c r="E260" s="5109">
        <f ca="1">IF($B260="WS",VLOOKUP($C260,'PIP finance'!$C$9:$P$59,H$250,FALSE),IF($B260="WW",VLOOKUP($C260,'PIP finance'!$C$177:$P$220,H$250,FALSE),VLOOKUP($C260,'PIP finance'!$C$325:$P$362,H$250,FALSE)))</f>
        <v>48.15</v>
      </c>
      <c r="F260" s="5109">
        <f ca="1">IF($B260="WS",VLOOKUP($C260,'PIP finance'!$C$9:$P$59,I$250,FALSE),IF($B260="WW",VLOOKUP($C260,'PIP finance'!$C$177:$P$220,I$250,FALSE),VLOOKUP($C260,'PIP finance'!$C$325:$P$362,I$250,FALSE)))</f>
        <v>0</v>
      </c>
      <c r="G260" s="5111">
        <f ca="1">IF($B260="WS",VLOOKUP($C260,'PIP finance'!$C$9:$P$59,J$250,FALSE),IF($B260="WW",VLOOKUP($C260,'PIP finance'!$C$177:$P$220,J$250,FALSE),VLOOKUP($C260,'PIP finance'!$C$325:$P$362,J$250,FALSE)))</f>
        <v>0</v>
      </c>
      <c r="H260" s="5111">
        <f ca="1">IF($B260="WS",VLOOKUP($C260,'PIP finance'!$C$9:$P$59,K$250,FALSE),IF($B260="WW",VLOOKUP($C260,'PIP finance'!$C$177:$P$220,K$250,FALSE),VLOOKUP($C260,'PIP finance'!$C$325:$P$362,K$250,FALSE)))</f>
        <v>0</v>
      </c>
      <c r="I260" s="5111">
        <f ca="1">IF($B260="WS",VLOOKUP($C260,'PIP finance'!$C$9:$P$59,L$250,FALSE),IF($B260="WW",VLOOKUP($C260,'PIP finance'!$C$177:$P$220,L$250,FALSE),VLOOKUP($C260,'PIP finance'!$C$325:$P$362,L$250,FALSE)))</f>
        <v>0</v>
      </c>
      <c r="J260" s="5111">
        <f ca="1">IF($B260="WS",VLOOKUP($C260,'PIP finance'!$C$9:$P$59,M$250,FALSE),IF($B260="WW",VLOOKUP($C260,'PIP finance'!$C$177:$P$220,M$250,FALSE),VLOOKUP($C260,'PIP finance'!$C$325:$P$362,M$250,FALSE)))</f>
        <v>0</v>
      </c>
      <c r="K260" s="5111">
        <f ca="1">IF($B260="WS",VLOOKUP($C260,'PIP finance'!$C$9:$P$59,N$250,FALSE),IF($B260="WW",VLOOKUP($C260,'PIP finance'!$C$177:$P$220,N$250,FALSE),VLOOKUP($C260,'PIP finance'!$C$325:$P$362,N$250,FALSE)))</f>
        <v>0</v>
      </c>
      <c r="L260" s="5111">
        <f ca="1">IF($B260="WS",VLOOKUP($C260,'PIP finance'!$C$9:$P$59,O$250,FALSE),IF($B260="WW",VLOOKUP($C260,'PIP finance'!$C$177:$P$220,O$250,FALSE),VLOOKUP($C260,'PIP finance'!$C$325:$P$362,O$250,FALSE)))</f>
        <v>0</v>
      </c>
      <c r="M260" s="5111">
        <f ca="1">IF($B260="WS",VLOOKUP($C260,'PIP finance'!$C$9:$P$59,P$250,FALSE),IF($B260="WW",VLOOKUP($C260,'PIP finance'!$C$177:$P$220,P$250,FALSE),VLOOKUP($C260,'PIP finance'!$C$325:$P$362,P$250,FALSE)))</f>
        <v>0</v>
      </c>
      <c r="O260" s="5121" t="s">
        <v>937</v>
      </c>
      <c r="P260" s="5122"/>
      <c r="Q260" s="5122"/>
      <c r="R260" s="5122"/>
      <c r="S260" s="5122"/>
      <c r="T260" s="5122"/>
      <c r="U260" s="5122"/>
      <c r="V260" s="5122"/>
      <c r="W260" s="5122"/>
      <c r="X260" s="5122"/>
      <c r="Y260" s="5122"/>
      <c r="Z260" s="5123"/>
    </row>
    <row r="261" spans="1:28" x14ac:dyDescent="0.25">
      <c r="A261" s="4076">
        <v>10</v>
      </c>
      <c r="B261" s="4076" t="str">
        <f ca="1">'Action Plan finance'!AH65</f>
        <v/>
      </c>
      <c r="C261" s="4078" t="str">
        <f ca="1">'Action Plan finance'!C65</f>
        <v/>
      </c>
      <c r="D261" s="5108" t="e">
        <f ca="1">IF($B261="WS",VLOOKUP($C261,'PIP finance'!$C$9:$P$59,G$250,FALSE),IF($B261="WW",VLOOKUP($C261,'PIP finance'!$C$177:$P$220,G$250,FALSE),VLOOKUP($C261,'PIP finance'!$C$325:$P$362,G$250,FALSE)))</f>
        <v>#N/A</v>
      </c>
      <c r="E261" s="5109" t="e">
        <f ca="1">IF($B261="WS",VLOOKUP($C261,'PIP finance'!$C$9:$P$59,H$250,FALSE),IF($B261="WW",VLOOKUP($C261,'PIP finance'!$C$177:$P$220,H$250,FALSE),VLOOKUP($C261,'PIP finance'!$C$325:$P$362,H$250,FALSE)))</f>
        <v>#N/A</v>
      </c>
      <c r="F261" s="5109" t="e">
        <f ca="1">IF($B261="WS",VLOOKUP($C261,'PIP finance'!$C$9:$P$59,I$250,FALSE),IF($B261="WW",VLOOKUP($C261,'PIP finance'!$C$177:$P$220,I$250,FALSE),VLOOKUP($C261,'PIP finance'!$C$325:$P$362,I$250,FALSE)))</f>
        <v>#N/A</v>
      </c>
      <c r="G261" s="5111" t="e">
        <f ca="1">IF($B261="WS",VLOOKUP($C261,'PIP finance'!$C$9:$P$59,J$250,FALSE),IF($B261="WW",VLOOKUP($C261,'PIP finance'!$C$177:$P$220,J$250,FALSE),VLOOKUP($C261,'PIP finance'!$C$325:$P$362,J$250,FALSE)))</f>
        <v>#N/A</v>
      </c>
      <c r="H261" s="5111" t="e">
        <f ca="1">IF($B261="WS",VLOOKUP($C261,'PIP finance'!$C$9:$P$59,K$250,FALSE),IF($B261="WW",VLOOKUP($C261,'PIP finance'!$C$177:$P$220,K$250,FALSE),VLOOKUP($C261,'PIP finance'!$C$325:$P$362,K$250,FALSE)))</f>
        <v>#N/A</v>
      </c>
      <c r="I261" s="5111" t="e">
        <f ca="1">IF($B261="WS",VLOOKUP($C261,'PIP finance'!$C$9:$P$59,L$250,FALSE),IF($B261="WW",VLOOKUP($C261,'PIP finance'!$C$177:$P$220,L$250,FALSE),VLOOKUP($C261,'PIP finance'!$C$325:$P$362,L$250,FALSE)))</f>
        <v>#N/A</v>
      </c>
      <c r="J261" s="5111" t="e">
        <f ca="1">IF($B261="WS",VLOOKUP($C261,'PIP finance'!$C$9:$P$59,M$250,FALSE),IF($B261="WW",VLOOKUP($C261,'PIP finance'!$C$177:$P$220,M$250,FALSE),VLOOKUP($C261,'PIP finance'!$C$325:$P$362,M$250,FALSE)))</f>
        <v>#N/A</v>
      </c>
      <c r="K261" s="5111" t="e">
        <f ca="1">IF($B261="WS",VLOOKUP($C261,'PIP finance'!$C$9:$P$59,N$250,FALSE),IF($B261="WW",VLOOKUP($C261,'PIP finance'!$C$177:$P$220,N$250,FALSE),VLOOKUP($C261,'PIP finance'!$C$325:$P$362,N$250,FALSE)))</f>
        <v>#N/A</v>
      </c>
      <c r="L261" s="5111" t="e">
        <f ca="1">IF($B261="WS",VLOOKUP($C261,'PIP finance'!$C$9:$P$59,O$250,FALSE),IF($B261="WW",VLOOKUP($C261,'PIP finance'!$C$177:$P$220,O$250,FALSE),VLOOKUP($C261,'PIP finance'!$C$325:$P$362,O$250,FALSE)))</f>
        <v>#N/A</v>
      </c>
      <c r="M261" s="5111" t="e">
        <f ca="1">IF($B261="WS",VLOOKUP($C261,'PIP finance'!$C$9:$P$59,P$250,FALSE),IF($B261="WW",VLOOKUP($C261,'PIP finance'!$C$177:$P$220,P$250,FALSE),VLOOKUP($C261,'PIP finance'!$C$325:$P$362,P$250,FALSE)))</f>
        <v>#N/A</v>
      </c>
      <c r="O261" s="5124" t="s">
        <v>936</v>
      </c>
      <c r="P261" s="5125">
        <f>'Financial Projections'!K25</f>
        <v>0</v>
      </c>
      <c r="Q261" s="5125">
        <f>'Financial Projections'!L25</f>
        <v>0</v>
      </c>
      <c r="R261" s="5125">
        <f>'Financial Projections'!M25</f>
        <v>0</v>
      </c>
      <c r="S261" s="5125">
        <f>'Financial Projections'!N25</f>
        <v>0</v>
      </c>
      <c r="T261" s="5125">
        <f>'Financial Projections'!O25</f>
        <v>0</v>
      </c>
      <c r="U261" s="5125">
        <f>'Financial Projections'!P25</f>
        <v>0</v>
      </c>
      <c r="V261" s="5125">
        <f>'Financial Projections'!Q25</f>
        <v>0</v>
      </c>
      <c r="W261" s="5125">
        <f>'Financial Projections'!R25</f>
        <v>0</v>
      </c>
      <c r="X261" s="5125">
        <f>'Financial Projections'!S25</f>
        <v>0</v>
      </c>
      <c r="Y261" s="5125">
        <f>'Financial Projections'!T25</f>
        <v>0</v>
      </c>
      <c r="Z261" s="5126">
        <f t="shared" ref="Z261:Z266" si="80">SUM(P261:Y261)</f>
        <v>0</v>
      </c>
      <c r="AA261" s="5120"/>
      <c r="AB261" s="5120"/>
    </row>
    <row r="262" spans="1:28" x14ac:dyDescent="0.25">
      <c r="A262" s="4076">
        <v>11</v>
      </c>
      <c r="B262" s="4076" t="str">
        <f ca="1">'Action Plan finance'!AH66</f>
        <v/>
      </c>
      <c r="C262" s="4078" t="str">
        <f ca="1">'Action Plan finance'!C66</f>
        <v/>
      </c>
      <c r="D262" s="5108" t="e">
        <f ca="1">IF($B262="WS",VLOOKUP($C262,'PIP finance'!$C$9:$P$59,G$250,FALSE),IF($B262="WW",VLOOKUP($C262,'PIP finance'!$C$177:$P$220,G$250,FALSE),VLOOKUP($C262,'PIP finance'!$C$325:$P$362,G$250,FALSE)))</f>
        <v>#N/A</v>
      </c>
      <c r="E262" s="5109" t="e">
        <f ca="1">IF($B262="WS",VLOOKUP($C262,'PIP finance'!$C$9:$P$59,H$250,FALSE),IF($B262="WW",VLOOKUP($C262,'PIP finance'!$C$177:$P$220,H$250,FALSE),VLOOKUP($C262,'PIP finance'!$C$325:$P$362,H$250,FALSE)))</f>
        <v>#N/A</v>
      </c>
      <c r="F262" s="5109" t="e">
        <f ca="1">IF($B262="WS",VLOOKUP($C262,'PIP finance'!$C$9:$P$59,I$250,FALSE),IF($B262="WW",VLOOKUP($C262,'PIP finance'!$C$177:$P$220,I$250,FALSE),VLOOKUP($C262,'PIP finance'!$C$325:$P$362,I$250,FALSE)))</f>
        <v>#N/A</v>
      </c>
      <c r="G262" s="5111" t="e">
        <f ca="1">IF($B262="WS",VLOOKUP($C262,'PIP finance'!$C$9:$P$59,J$250,FALSE),IF($B262="WW",VLOOKUP($C262,'PIP finance'!$C$177:$P$220,J$250,FALSE),VLOOKUP($C262,'PIP finance'!$C$325:$P$362,J$250,FALSE)))</f>
        <v>#N/A</v>
      </c>
      <c r="H262" s="5111" t="e">
        <f ca="1">IF($B262="WS",VLOOKUP($C262,'PIP finance'!$C$9:$P$59,K$250,FALSE),IF($B262="WW",VLOOKUP($C262,'PIP finance'!$C$177:$P$220,K$250,FALSE),VLOOKUP($C262,'PIP finance'!$C$325:$P$362,K$250,FALSE)))</f>
        <v>#N/A</v>
      </c>
      <c r="I262" s="5111" t="e">
        <f ca="1">IF($B262="WS",VLOOKUP($C262,'PIP finance'!$C$9:$P$59,L$250,FALSE),IF($B262="WW",VLOOKUP($C262,'PIP finance'!$C$177:$P$220,L$250,FALSE),VLOOKUP($C262,'PIP finance'!$C$325:$P$362,L$250,FALSE)))</f>
        <v>#N/A</v>
      </c>
      <c r="J262" s="5111" t="e">
        <f ca="1">IF($B262="WS",VLOOKUP($C262,'PIP finance'!$C$9:$P$59,M$250,FALSE),IF($B262="WW",VLOOKUP($C262,'PIP finance'!$C$177:$P$220,M$250,FALSE),VLOOKUP($C262,'PIP finance'!$C$325:$P$362,M$250,FALSE)))</f>
        <v>#N/A</v>
      </c>
      <c r="K262" s="5111" t="e">
        <f ca="1">IF($B262="WS",VLOOKUP($C262,'PIP finance'!$C$9:$P$59,N$250,FALSE),IF($B262="WW",VLOOKUP($C262,'PIP finance'!$C$177:$P$220,N$250,FALSE),VLOOKUP($C262,'PIP finance'!$C$325:$P$362,N$250,FALSE)))</f>
        <v>#N/A</v>
      </c>
      <c r="L262" s="5111" t="e">
        <f ca="1">IF($B262="WS",VLOOKUP($C262,'PIP finance'!$C$9:$P$59,O$250,FALSE),IF($B262="WW",VLOOKUP($C262,'PIP finance'!$C$177:$P$220,O$250,FALSE),VLOOKUP($C262,'PIP finance'!$C$325:$P$362,O$250,FALSE)))</f>
        <v>#N/A</v>
      </c>
      <c r="M262" s="5111" t="e">
        <f ca="1">IF($B262="WS",VLOOKUP($C262,'PIP finance'!$C$9:$P$59,P$250,FALSE),IF($B262="WW",VLOOKUP($C262,'PIP finance'!$C$177:$P$220,P$250,FALSE),VLOOKUP($C262,'PIP finance'!$C$325:$P$362,P$250,FALSE)))</f>
        <v>#N/A</v>
      </c>
      <c r="O262" s="5127" t="s">
        <v>935</v>
      </c>
      <c r="P262" s="5128">
        <f>'Financial Projections'!K29</f>
        <v>0</v>
      </c>
      <c r="Q262" s="5128">
        <f>'Financial Projections'!L29</f>
        <v>0</v>
      </c>
      <c r="R262" s="5128">
        <f>'Financial Projections'!M29</f>
        <v>0</v>
      </c>
      <c r="S262" s="5128">
        <f>'Financial Projections'!N29</f>
        <v>0</v>
      </c>
      <c r="T262" s="5128">
        <f>'Financial Projections'!O29</f>
        <v>0</v>
      </c>
      <c r="U262" s="5128">
        <f>'Financial Projections'!P29</f>
        <v>0</v>
      </c>
      <c r="V262" s="5128">
        <f>'Financial Projections'!Q29</f>
        <v>0</v>
      </c>
      <c r="W262" s="5128">
        <f>'Financial Projections'!R29</f>
        <v>0</v>
      </c>
      <c r="X262" s="5128">
        <f>'Financial Projections'!S29</f>
        <v>0</v>
      </c>
      <c r="Y262" s="5128">
        <f>'Financial Projections'!T29</f>
        <v>0</v>
      </c>
      <c r="Z262" s="5129">
        <f t="shared" si="80"/>
        <v>0</v>
      </c>
      <c r="AA262" s="5120"/>
    </row>
    <row r="263" spans="1:28" x14ac:dyDescent="0.25">
      <c r="A263" s="4076">
        <v>12</v>
      </c>
      <c r="B263" s="4076" t="str">
        <f ca="1">'Action Plan finance'!AH67</f>
        <v/>
      </c>
      <c r="C263" s="4078" t="str">
        <f ca="1">'Action Plan finance'!C67</f>
        <v/>
      </c>
      <c r="D263" s="5108" t="e">
        <f ca="1">IF($B263="WS",VLOOKUP($C263,'PIP finance'!$C$9:$P$59,G$250,FALSE),IF($B263="WW",VLOOKUP($C263,'PIP finance'!$C$177:$P$220,G$250,FALSE),VLOOKUP($C263,'PIP finance'!$C$325:$P$362,G$250,FALSE)))</f>
        <v>#N/A</v>
      </c>
      <c r="E263" s="5109" t="e">
        <f ca="1">IF($B263="WS",VLOOKUP($C263,'PIP finance'!$C$9:$P$59,H$250,FALSE),IF($B263="WW",VLOOKUP($C263,'PIP finance'!$C$177:$P$220,H$250,FALSE),VLOOKUP($C263,'PIP finance'!$C$325:$P$362,H$250,FALSE)))</f>
        <v>#N/A</v>
      </c>
      <c r="F263" s="5109" t="e">
        <f ca="1">IF($B263="WS",VLOOKUP($C263,'PIP finance'!$C$9:$P$59,I$250,FALSE),IF($B263="WW",VLOOKUP($C263,'PIP finance'!$C$177:$P$220,I$250,FALSE),VLOOKUP($C263,'PIP finance'!$C$325:$P$362,I$250,FALSE)))</f>
        <v>#N/A</v>
      </c>
      <c r="G263" s="5111" t="e">
        <f ca="1">IF($B263="WS",VLOOKUP($C263,'PIP finance'!$C$9:$P$59,J$250,FALSE),IF($B263="WW",VLOOKUP($C263,'PIP finance'!$C$177:$P$220,J$250,FALSE),VLOOKUP($C263,'PIP finance'!$C$325:$P$362,J$250,FALSE)))</f>
        <v>#N/A</v>
      </c>
      <c r="H263" s="5111" t="e">
        <f ca="1">IF($B263="WS",VLOOKUP($C263,'PIP finance'!$C$9:$P$59,K$250,FALSE),IF($B263="WW",VLOOKUP($C263,'PIP finance'!$C$177:$P$220,K$250,FALSE),VLOOKUP($C263,'PIP finance'!$C$325:$P$362,K$250,FALSE)))</f>
        <v>#N/A</v>
      </c>
      <c r="I263" s="5111" t="e">
        <f ca="1">IF($B263="WS",VLOOKUP($C263,'PIP finance'!$C$9:$P$59,L$250,FALSE),IF($B263="WW",VLOOKUP($C263,'PIP finance'!$C$177:$P$220,L$250,FALSE),VLOOKUP($C263,'PIP finance'!$C$325:$P$362,L$250,FALSE)))</f>
        <v>#N/A</v>
      </c>
      <c r="J263" s="5111" t="e">
        <f ca="1">IF($B263="WS",VLOOKUP($C263,'PIP finance'!$C$9:$P$59,M$250,FALSE),IF($B263="WW",VLOOKUP($C263,'PIP finance'!$C$177:$P$220,M$250,FALSE),VLOOKUP($C263,'PIP finance'!$C$325:$P$362,M$250,FALSE)))</f>
        <v>#N/A</v>
      </c>
      <c r="K263" s="5111" t="e">
        <f ca="1">IF($B263="WS",VLOOKUP($C263,'PIP finance'!$C$9:$P$59,N$250,FALSE),IF($B263="WW",VLOOKUP($C263,'PIP finance'!$C$177:$P$220,N$250,FALSE),VLOOKUP($C263,'PIP finance'!$C$325:$P$362,N$250,FALSE)))</f>
        <v>#N/A</v>
      </c>
      <c r="L263" s="5111" t="e">
        <f ca="1">IF($B263="WS",VLOOKUP($C263,'PIP finance'!$C$9:$P$59,O$250,FALSE),IF($B263="WW",VLOOKUP($C263,'PIP finance'!$C$177:$P$220,O$250,FALSE),VLOOKUP($C263,'PIP finance'!$C$325:$P$362,O$250,FALSE)))</f>
        <v>#N/A</v>
      </c>
      <c r="M263" s="5111" t="e">
        <f ca="1">IF($B263="WS",VLOOKUP($C263,'PIP finance'!$C$9:$P$59,P$250,FALSE),IF($B263="WW",VLOOKUP($C263,'PIP finance'!$C$177:$P$220,P$250,FALSE),VLOOKUP($C263,'PIP finance'!$C$325:$P$362,P$250,FALSE)))</f>
        <v>#N/A</v>
      </c>
      <c r="O263" s="5124" t="s">
        <v>938</v>
      </c>
      <c r="P263" s="5125">
        <f>'Financial Projections'!K44</f>
        <v>1.4133333333333336</v>
      </c>
      <c r="Q263" s="5125">
        <f>'Financial Projections'!L44</f>
        <v>1.4345333333333334</v>
      </c>
      <c r="R263" s="5125">
        <f>'Financial Projections'!M44</f>
        <v>1.4563693333333336</v>
      </c>
      <c r="S263" s="5125">
        <f>'Financial Projections'!N44</f>
        <v>18.845451697666668</v>
      </c>
      <c r="T263" s="5125">
        <f>'Financial Projections'!O44</f>
        <v>19.114907248596666</v>
      </c>
      <c r="U263" s="5125">
        <f>'Financial Projections'!P44</f>
        <v>0</v>
      </c>
      <c r="V263" s="5125">
        <f>'Financial Projections'!Q44</f>
        <v>0</v>
      </c>
      <c r="W263" s="5125">
        <f>'Financial Projections'!R44</f>
        <v>0</v>
      </c>
      <c r="X263" s="5125">
        <f>'Financial Projections'!S44</f>
        <v>0</v>
      </c>
      <c r="Y263" s="5125">
        <f>'Financial Projections'!T44</f>
        <v>0</v>
      </c>
      <c r="Z263" s="5126">
        <f t="shared" si="80"/>
        <v>42.26459494626333</v>
      </c>
    </row>
    <row r="264" spans="1:28" x14ac:dyDescent="0.25">
      <c r="A264" s="4076">
        <v>13</v>
      </c>
      <c r="B264" s="4076" t="str">
        <f ca="1">'Action Plan finance'!AH68</f>
        <v/>
      </c>
      <c r="C264" s="4078" t="str">
        <f ca="1">'Action Plan finance'!C68</f>
        <v/>
      </c>
      <c r="D264" s="5108" t="e">
        <f ca="1">IF($B264="WS",VLOOKUP($C264,'PIP finance'!$C$9:$P$59,G$250,FALSE),IF($B264="WW",VLOOKUP($C264,'PIP finance'!$C$177:$P$220,G$250,FALSE),VLOOKUP($C264,'PIP finance'!$C$325:$P$362,G$250,FALSE)))</f>
        <v>#N/A</v>
      </c>
      <c r="E264" s="5109" t="e">
        <f ca="1">IF($B264="WS",VLOOKUP($C264,'PIP finance'!$C$9:$P$59,H$250,FALSE),IF($B264="WW",VLOOKUP($C264,'PIP finance'!$C$177:$P$220,H$250,FALSE),VLOOKUP($C264,'PIP finance'!$C$325:$P$362,H$250,FALSE)))</f>
        <v>#N/A</v>
      </c>
      <c r="F264" s="5109" t="e">
        <f ca="1">IF($B264="WS",VLOOKUP($C264,'PIP finance'!$C$9:$P$59,I$250,FALSE),IF($B264="WW",VLOOKUP($C264,'PIP finance'!$C$177:$P$220,I$250,FALSE),VLOOKUP($C264,'PIP finance'!$C$325:$P$362,I$250,FALSE)))</f>
        <v>#N/A</v>
      </c>
      <c r="G264" s="5111" t="e">
        <f ca="1">IF($B264="WS",VLOOKUP($C264,'PIP finance'!$C$9:$P$59,J$250,FALSE),IF($B264="WW",VLOOKUP($C264,'PIP finance'!$C$177:$P$220,J$250,FALSE),VLOOKUP($C264,'PIP finance'!$C$325:$P$362,J$250,FALSE)))</f>
        <v>#N/A</v>
      </c>
      <c r="H264" s="5111" t="e">
        <f ca="1">IF($B264="WS",VLOOKUP($C264,'PIP finance'!$C$9:$P$59,K$250,FALSE),IF($B264="WW",VLOOKUP($C264,'PIP finance'!$C$177:$P$220,K$250,FALSE),VLOOKUP($C264,'PIP finance'!$C$325:$P$362,K$250,FALSE)))</f>
        <v>#N/A</v>
      </c>
      <c r="I264" s="5111" t="e">
        <f ca="1">IF($B264="WS",VLOOKUP($C264,'PIP finance'!$C$9:$P$59,L$250,FALSE),IF($B264="WW",VLOOKUP($C264,'PIP finance'!$C$177:$P$220,L$250,FALSE),VLOOKUP($C264,'PIP finance'!$C$325:$P$362,L$250,FALSE)))</f>
        <v>#N/A</v>
      </c>
      <c r="J264" s="5111" t="e">
        <f ca="1">IF($B264="WS",VLOOKUP($C264,'PIP finance'!$C$9:$P$59,M$250,FALSE),IF($B264="WW",VLOOKUP($C264,'PIP finance'!$C$177:$P$220,M$250,FALSE),VLOOKUP($C264,'PIP finance'!$C$325:$P$362,M$250,FALSE)))</f>
        <v>#N/A</v>
      </c>
      <c r="K264" s="5111" t="e">
        <f ca="1">IF($B264="WS",VLOOKUP($C264,'PIP finance'!$C$9:$P$59,N$250,FALSE),IF($B264="WW",VLOOKUP($C264,'PIP finance'!$C$177:$P$220,N$250,FALSE),VLOOKUP($C264,'PIP finance'!$C$325:$P$362,N$250,FALSE)))</f>
        <v>#N/A</v>
      </c>
      <c r="L264" s="5111" t="e">
        <f ca="1">IF($B264="WS",VLOOKUP($C264,'PIP finance'!$C$9:$P$59,O$250,FALSE),IF($B264="WW",VLOOKUP($C264,'PIP finance'!$C$177:$P$220,O$250,FALSE),VLOOKUP($C264,'PIP finance'!$C$325:$P$362,O$250,FALSE)))</f>
        <v>#N/A</v>
      </c>
      <c r="M264" s="5111" t="e">
        <f ca="1">IF($B264="WS",VLOOKUP($C264,'PIP finance'!$C$9:$P$59,P$250,FALSE),IF($B264="WW",VLOOKUP($C264,'PIP finance'!$C$177:$P$220,P$250,FALSE),VLOOKUP($C264,'PIP finance'!$C$325:$P$362,P$250,FALSE)))</f>
        <v>#N/A</v>
      </c>
      <c r="O264" s="5127" t="s">
        <v>939</v>
      </c>
      <c r="P264" s="5128">
        <f>'Financial Projections'!K48</f>
        <v>131.72021256666667</v>
      </c>
      <c r="Q264" s="5128">
        <f>'Financial Projections'!L48</f>
        <v>152.56697319500003</v>
      </c>
      <c r="R264" s="5128">
        <f>'Financial Projections'!M48</f>
        <v>166.61095310475005</v>
      </c>
      <c r="S264" s="5128">
        <f>'Financial Projections'!N48</f>
        <v>174.94150075998755</v>
      </c>
      <c r="T264" s="5128">
        <f>'Financial Projections'!O48</f>
        <v>183.68857579798697</v>
      </c>
      <c r="U264" s="5128">
        <f>'Financial Projections'!P48</f>
        <v>192.8730045878863</v>
      </c>
      <c r="V264" s="5128">
        <f>'Financial Projections'!Q48</f>
        <v>202.51665481728062</v>
      </c>
      <c r="W264" s="5128">
        <f>'Financial Projections'!R48</f>
        <v>212.64248755814467</v>
      </c>
      <c r="X264" s="5128">
        <f>'Financial Projections'!S48</f>
        <v>223.27461193605191</v>
      </c>
      <c r="Y264" s="5128">
        <f>'Financial Projections'!T48</f>
        <v>234.43834253285451</v>
      </c>
      <c r="Z264" s="5129">
        <f t="shared" si="80"/>
        <v>1875.2733168566092</v>
      </c>
    </row>
    <row r="265" spans="1:28" x14ac:dyDescent="0.25">
      <c r="A265" s="4076">
        <v>14</v>
      </c>
      <c r="B265" s="4076" t="str">
        <f ca="1">'Action Plan finance'!AH69</f>
        <v/>
      </c>
      <c r="C265" s="4078" t="str">
        <f ca="1">'Action Plan finance'!C69</f>
        <v/>
      </c>
      <c r="D265" s="5108" t="e">
        <f ca="1">IF($B265="WS",VLOOKUP($C265,'PIP finance'!$C$9:$P$59,G$250,FALSE),IF($B265="WW",VLOOKUP($C265,'PIP finance'!$C$177:$P$220,G$250,FALSE),VLOOKUP($C265,'PIP finance'!$C$325:$P$362,G$250,FALSE)))</f>
        <v>#N/A</v>
      </c>
      <c r="E265" s="5109" t="e">
        <f ca="1">IF($B265="WS",VLOOKUP($C265,'PIP finance'!$C$9:$P$59,H$250,FALSE),IF($B265="WW",VLOOKUP($C265,'PIP finance'!$C$177:$P$220,H$250,FALSE),VLOOKUP($C265,'PIP finance'!$C$325:$P$362,H$250,FALSE)))</f>
        <v>#N/A</v>
      </c>
      <c r="F265" s="5109" t="e">
        <f ca="1">IF($B265="WS",VLOOKUP($C265,'PIP finance'!$C$9:$P$59,I$250,FALSE),IF($B265="WW",VLOOKUP($C265,'PIP finance'!$C$177:$P$220,I$250,FALSE),VLOOKUP($C265,'PIP finance'!$C$325:$P$362,I$250,FALSE)))</f>
        <v>#N/A</v>
      </c>
      <c r="G265" s="5111" t="e">
        <f ca="1">IF($B265="WS",VLOOKUP($C265,'PIP finance'!$C$9:$P$59,J$250,FALSE),IF($B265="WW",VLOOKUP($C265,'PIP finance'!$C$177:$P$220,J$250,FALSE),VLOOKUP($C265,'PIP finance'!$C$325:$P$362,J$250,FALSE)))</f>
        <v>#N/A</v>
      </c>
      <c r="H265" s="5111" t="e">
        <f ca="1">IF($B265="WS",VLOOKUP($C265,'PIP finance'!$C$9:$P$59,K$250,FALSE),IF($B265="WW",VLOOKUP($C265,'PIP finance'!$C$177:$P$220,K$250,FALSE),VLOOKUP($C265,'PIP finance'!$C$325:$P$362,K$250,FALSE)))</f>
        <v>#N/A</v>
      </c>
      <c r="I265" s="5111" t="e">
        <f ca="1">IF($B265="WS",VLOOKUP($C265,'PIP finance'!$C$9:$P$59,L$250,FALSE),IF($B265="WW",VLOOKUP($C265,'PIP finance'!$C$177:$P$220,L$250,FALSE),VLOOKUP($C265,'PIP finance'!$C$325:$P$362,L$250,FALSE)))</f>
        <v>#N/A</v>
      </c>
      <c r="J265" s="5111" t="e">
        <f ca="1">IF($B265="WS",VLOOKUP($C265,'PIP finance'!$C$9:$P$59,M$250,FALSE),IF($B265="WW",VLOOKUP($C265,'PIP finance'!$C$177:$P$220,M$250,FALSE),VLOOKUP($C265,'PIP finance'!$C$325:$P$362,M$250,FALSE)))</f>
        <v>#N/A</v>
      </c>
      <c r="K265" s="5111" t="e">
        <f ca="1">IF($B265="WS",VLOOKUP($C265,'PIP finance'!$C$9:$P$59,N$250,FALSE),IF($B265="WW",VLOOKUP($C265,'PIP finance'!$C$177:$P$220,N$250,FALSE),VLOOKUP($C265,'PIP finance'!$C$325:$P$362,N$250,FALSE)))</f>
        <v>#N/A</v>
      </c>
      <c r="L265" s="5111" t="e">
        <f ca="1">IF($B265="WS",VLOOKUP($C265,'PIP finance'!$C$9:$P$59,O$250,FALSE),IF($B265="WW",VLOOKUP($C265,'PIP finance'!$C$177:$P$220,O$250,FALSE),VLOOKUP($C265,'PIP finance'!$C$325:$P$362,O$250,FALSE)))</f>
        <v>#N/A</v>
      </c>
      <c r="M265" s="5111" t="e">
        <f ca="1">IF($B265="WS",VLOOKUP($C265,'PIP finance'!$C$9:$P$59,P$250,FALSE),IF($B265="WW",VLOOKUP($C265,'PIP finance'!$C$177:$P$220,P$250,FALSE),VLOOKUP($C265,'PIP finance'!$C$325:$P$362,P$250,FALSE)))</f>
        <v>#N/A</v>
      </c>
      <c r="O265" s="5124" t="s">
        <v>940</v>
      </c>
      <c r="P265" s="5125">
        <f>'Financial Projections'!K63</f>
        <v>0</v>
      </c>
      <c r="Q265" s="5125">
        <f>'Financial Projections'!L63</f>
        <v>0</v>
      </c>
      <c r="R265" s="5125">
        <f>'Financial Projections'!M63</f>
        <v>0</v>
      </c>
      <c r="S265" s="5125">
        <f>'Financial Projections'!N63</f>
        <v>0</v>
      </c>
      <c r="T265" s="5125">
        <f>'Financial Projections'!O63</f>
        <v>0</v>
      </c>
      <c r="U265" s="5125">
        <f>'Financial Projections'!P63</f>
        <v>0</v>
      </c>
      <c r="V265" s="5125">
        <f>'Financial Projections'!Q63</f>
        <v>0</v>
      </c>
      <c r="W265" s="5125">
        <f>'Financial Projections'!R63</f>
        <v>0</v>
      </c>
      <c r="X265" s="5125">
        <f>'Financial Projections'!S63</f>
        <v>0</v>
      </c>
      <c r="Y265" s="5125">
        <f>'Financial Projections'!T63</f>
        <v>0</v>
      </c>
      <c r="Z265" s="5126">
        <f t="shared" si="80"/>
        <v>0</v>
      </c>
    </row>
    <row r="266" spans="1:28" ht="15.75" thickBot="1" x14ac:dyDescent="0.3">
      <c r="A266" s="4076">
        <v>15</v>
      </c>
      <c r="B266" s="4076" t="str">
        <f ca="1">'Action Plan finance'!AH70</f>
        <v/>
      </c>
      <c r="C266" s="4078" t="str">
        <f ca="1">'Action Plan finance'!C70</f>
        <v/>
      </c>
      <c r="D266" s="5108" t="e">
        <f ca="1">IF($B266="WS",VLOOKUP($C266,'PIP finance'!$C$9:$P$59,G$250,FALSE),IF($B266="WW",VLOOKUP($C266,'PIP finance'!$C$177:$P$220,G$250,FALSE),VLOOKUP($C266,'PIP finance'!$C$325:$P$362,G$250,FALSE)))</f>
        <v>#N/A</v>
      </c>
      <c r="E266" s="5109" t="e">
        <f ca="1">IF($B266="WS",VLOOKUP($C266,'PIP finance'!$C$9:$P$59,H$250,FALSE),IF($B266="WW",VLOOKUP($C266,'PIP finance'!$C$177:$P$220,H$250,FALSE),VLOOKUP($C266,'PIP finance'!$C$325:$P$362,H$250,FALSE)))</f>
        <v>#N/A</v>
      </c>
      <c r="F266" s="5109" t="e">
        <f ca="1">IF($B266="WS",VLOOKUP($C266,'PIP finance'!$C$9:$P$59,I$250,FALSE),IF($B266="WW",VLOOKUP($C266,'PIP finance'!$C$177:$P$220,I$250,FALSE),VLOOKUP($C266,'PIP finance'!$C$325:$P$362,I$250,FALSE)))</f>
        <v>#N/A</v>
      </c>
      <c r="G266" s="5111" t="e">
        <f ca="1">IF($B266="WS",VLOOKUP($C266,'PIP finance'!$C$9:$P$59,J$250,FALSE),IF($B266="WW",VLOOKUP($C266,'PIP finance'!$C$177:$P$220,J$250,FALSE),VLOOKUP($C266,'PIP finance'!$C$325:$P$362,J$250,FALSE)))</f>
        <v>#N/A</v>
      </c>
      <c r="H266" s="5111" t="e">
        <f ca="1">IF($B266="WS",VLOOKUP($C266,'PIP finance'!$C$9:$P$59,K$250,FALSE),IF($B266="WW",VLOOKUP($C266,'PIP finance'!$C$177:$P$220,K$250,FALSE),VLOOKUP($C266,'PIP finance'!$C$325:$P$362,K$250,FALSE)))</f>
        <v>#N/A</v>
      </c>
      <c r="I266" s="5111" t="e">
        <f ca="1">IF($B266="WS",VLOOKUP($C266,'PIP finance'!$C$9:$P$59,L$250,FALSE),IF($B266="WW",VLOOKUP($C266,'PIP finance'!$C$177:$P$220,L$250,FALSE),VLOOKUP($C266,'PIP finance'!$C$325:$P$362,L$250,FALSE)))</f>
        <v>#N/A</v>
      </c>
      <c r="J266" s="5111" t="e">
        <f ca="1">IF($B266="WS",VLOOKUP($C266,'PIP finance'!$C$9:$P$59,M$250,FALSE),IF($B266="WW",VLOOKUP($C266,'PIP finance'!$C$177:$P$220,M$250,FALSE),VLOOKUP($C266,'PIP finance'!$C$325:$P$362,M$250,FALSE)))</f>
        <v>#N/A</v>
      </c>
      <c r="K266" s="5111" t="e">
        <f ca="1">IF($B266="WS",VLOOKUP($C266,'PIP finance'!$C$9:$P$59,N$250,FALSE),IF($B266="WW",VLOOKUP($C266,'PIP finance'!$C$177:$P$220,N$250,FALSE),VLOOKUP($C266,'PIP finance'!$C$325:$P$362,N$250,FALSE)))</f>
        <v>#N/A</v>
      </c>
      <c r="L266" s="5111" t="e">
        <f ca="1">IF($B266="WS",VLOOKUP($C266,'PIP finance'!$C$9:$P$59,O$250,FALSE),IF($B266="WW",VLOOKUP($C266,'PIP finance'!$C$177:$P$220,O$250,FALSE),VLOOKUP($C266,'PIP finance'!$C$325:$P$362,O$250,FALSE)))</f>
        <v>#N/A</v>
      </c>
      <c r="M266" s="5111" t="e">
        <f ca="1">IF($B266="WS",VLOOKUP($C266,'PIP finance'!$C$9:$P$59,P$250,FALSE),IF($B266="WW",VLOOKUP($C266,'PIP finance'!$C$177:$P$220,P$250,FALSE),VLOOKUP($C266,'PIP finance'!$C$325:$P$362,P$250,FALSE)))</f>
        <v>#N/A</v>
      </c>
      <c r="O266" s="5115" t="s">
        <v>941</v>
      </c>
      <c r="P266" s="5130">
        <f>'Financial Projections'!K67</f>
        <v>0</v>
      </c>
      <c r="Q266" s="5130">
        <f>'Financial Projections'!L67</f>
        <v>0</v>
      </c>
      <c r="R266" s="5130">
        <f>'Financial Projections'!M67</f>
        <v>0</v>
      </c>
      <c r="S266" s="5130">
        <f>'Financial Projections'!N67</f>
        <v>0</v>
      </c>
      <c r="T266" s="5130">
        <f>'Financial Projections'!O67</f>
        <v>0</v>
      </c>
      <c r="U266" s="5130">
        <f>'Financial Projections'!P67</f>
        <v>0</v>
      </c>
      <c r="V266" s="5130">
        <f>'Financial Projections'!Q67</f>
        <v>0</v>
      </c>
      <c r="W266" s="5130">
        <f>'Financial Projections'!R67</f>
        <v>0</v>
      </c>
      <c r="X266" s="5130">
        <f>'Financial Projections'!S67</f>
        <v>0</v>
      </c>
      <c r="Y266" s="5130">
        <f>'Financial Projections'!T67</f>
        <v>0</v>
      </c>
      <c r="Z266" s="5131">
        <f t="shared" si="80"/>
        <v>0</v>
      </c>
    </row>
    <row r="267" spans="1:28" x14ac:dyDescent="0.25">
      <c r="A267" s="4076">
        <v>16</v>
      </c>
      <c r="B267" s="4076" t="str">
        <f ca="1">'Action Plan finance'!AH71</f>
        <v/>
      </c>
      <c r="C267" s="4078" t="str">
        <f ca="1">'Action Plan finance'!C71</f>
        <v/>
      </c>
      <c r="D267" s="5108" t="e">
        <f ca="1">IF($B267="WS",VLOOKUP($C267,'PIP finance'!$C$9:$P$59,G$250,FALSE),IF($B267="WW",VLOOKUP($C267,'PIP finance'!$C$177:$P$220,G$250,FALSE),VLOOKUP($C267,'PIP finance'!$C$325:$P$362,G$250,FALSE)))</f>
        <v>#N/A</v>
      </c>
      <c r="E267" s="5109" t="e">
        <f ca="1">IF($B267="WS",VLOOKUP($C267,'PIP finance'!$C$9:$P$59,H$250,FALSE),IF($B267="WW",VLOOKUP($C267,'PIP finance'!$C$177:$P$220,H$250,FALSE),VLOOKUP($C267,'PIP finance'!$C$325:$P$362,H$250,FALSE)))</f>
        <v>#N/A</v>
      </c>
      <c r="F267" s="5109" t="e">
        <f ca="1">IF($B267="WS",VLOOKUP($C267,'PIP finance'!$C$9:$P$59,I$250,FALSE),IF($B267="WW",VLOOKUP($C267,'PIP finance'!$C$177:$P$220,I$250,FALSE),VLOOKUP($C267,'PIP finance'!$C$325:$P$362,I$250,FALSE)))</f>
        <v>#N/A</v>
      </c>
      <c r="G267" s="5111" t="e">
        <f ca="1">IF($B267="WS",VLOOKUP($C267,'PIP finance'!$C$9:$P$59,J$250,FALSE),IF($B267="WW",VLOOKUP($C267,'PIP finance'!$C$177:$P$220,J$250,FALSE),VLOOKUP($C267,'PIP finance'!$C$325:$P$362,J$250,FALSE)))</f>
        <v>#N/A</v>
      </c>
      <c r="H267" s="5111" t="e">
        <f ca="1">IF($B267="WS",VLOOKUP($C267,'PIP finance'!$C$9:$P$59,K$250,FALSE),IF($B267="WW",VLOOKUP($C267,'PIP finance'!$C$177:$P$220,K$250,FALSE),VLOOKUP($C267,'PIP finance'!$C$325:$P$362,K$250,FALSE)))</f>
        <v>#N/A</v>
      </c>
      <c r="I267" s="5111" t="e">
        <f ca="1">IF($B267="WS",VLOOKUP($C267,'PIP finance'!$C$9:$P$59,L$250,FALSE),IF($B267="WW",VLOOKUP($C267,'PIP finance'!$C$177:$P$220,L$250,FALSE),VLOOKUP($C267,'PIP finance'!$C$325:$P$362,L$250,FALSE)))</f>
        <v>#N/A</v>
      </c>
      <c r="J267" s="5111" t="e">
        <f ca="1">IF($B267="WS",VLOOKUP($C267,'PIP finance'!$C$9:$P$59,M$250,FALSE),IF($B267="WW",VLOOKUP($C267,'PIP finance'!$C$177:$P$220,M$250,FALSE),VLOOKUP($C267,'PIP finance'!$C$325:$P$362,M$250,FALSE)))</f>
        <v>#N/A</v>
      </c>
      <c r="K267" s="5111" t="e">
        <f ca="1">IF($B267="WS",VLOOKUP($C267,'PIP finance'!$C$9:$P$59,N$250,FALSE),IF($B267="WW",VLOOKUP($C267,'PIP finance'!$C$177:$P$220,N$250,FALSE),VLOOKUP($C267,'PIP finance'!$C$325:$P$362,N$250,FALSE)))</f>
        <v>#N/A</v>
      </c>
      <c r="L267" s="5111" t="e">
        <f ca="1">IF($B267="WS",VLOOKUP($C267,'PIP finance'!$C$9:$P$59,O$250,FALSE),IF($B267="WW",VLOOKUP($C267,'PIP finance'!$C$177:$P$220,O$250,FALSE),VLOOKUP($C267,'PIP finance'!$C$325:$P$362,O$250,FALSE)))</f>
        <v>#N/A</v>
      </c>
      <c r="M267" s="5111" t="e">
        <f ca="1">IF($B267="WS",VLOOKUP($C267,'PIP finance'!$C$9:$P$59,P$250,FALSE),IF($B267="WW",VLOOKUP($C267,'PIP finance'!$C$177:$P$220,P$250,FALSE),VLOOKUP($C267,'PIP finance'!$C$325:$P$362,P$250,FALSE)))</f>
        <v>#N/A</v>
      </c>
      <c r="O267" s="5121" t="s">
        <v>942</v>
      </c>
      <c r="P267" s="5122"/>
      <c r="Q267" s="5122"/>
      <c r="R267" s="5122"/>
      <c r="S267" s="5122"/>
      <c r="T267" s="5122"/>
      <c r="U267" s="5122"/>
      <c r="V267" s="5122"/>
      <c r="W267" s="5122"/>
      <c r="X267" s="5122"/>
      <c r="Y267" s="5122"/>
      <c r="Z267" s="5123"/>
    </row>
    <row r="268" spans="1:28" x14ac:dyDescent="0.25">
      <c r="A268" s="4076">
        <v>17</v>
      </c>
      <c r="B268" s="4076" t="str">
        <f ca="1">'Action Plan finance'!AH72</f>
        <v/>
      </c>
      <c r="C268" s="4078" t="str">
        <f ca="1">'Action Plan finance'!C72</f>
        <v/>
      </c>
      <c r="D268" s="5108" t="e">
        <f ca="1">IF($B268="WS",VLOOKUP($C268,'PIP finance'!$C$9:$P$59,G$250,FALSE),IF($B268="WW",VLOOKUP($C268,'PIP finance'!$C$177:$P$220,G$250,FALSE),VLOOKUP($C268,'PIP finance'!$C$325:$P$362,G$250,FALSE)))</f>
        <v>#N/A</v>
      </c>
      <c r="E268" s="5109" t="e">
        <f ca="1">IF($B268="WS",VLOOKUP($C268,'PIP finance'!$C$9:$P$59,H$250,FALSE),IF($B268="WW",VLOOKUP($C268,'PIP finance'!$C$177:$P$220,H$250,FALSE),VLOOKUP($C268,'PIP finance'!$C$325:$P$362,H$250,FALSE)))</f>
        <v>#N/A</v>
      </c>
      <c r="F268" s="5109" t="e">
        <f ca="1">IF($B268="WS",VLOOKUP($C268,'PIP finance'!$C$9:$P$59,I$250,FALSE),IF($B268="WW",VLOOKUP($C268,'PIP finance'!$C$177:$P$220,I$250,FALSE),VLOOKUP($C268,'PIP finance'!$C$325:$P$362,I$250,FALSE)))</f>
        <v>#N/A</v>
      </c>
      <c r="G268" s="5111" t="e">
        <f ca="1">IF($B268="WS",VLOOKUP($C268,'PIP finance'!$C$9:$P$59,J$250,FALSE),IF($B268="WW",VLOOKUP($C268,'PIP finance'!$C$177:$P$220,J$250,FALSE),VLOOKUP($C268,'PIP finance'!$C$325:$P$362,J$250,FALSE)))</f>
        <v>#N/A</v>
      </c>
      <c r="H268" s="5111" t="e">
        <f ca="1">IF($B268="WS",VLOOKUP($C268,'PIP finance'!$C$9:$P$59,K$250,FALSE),IF($B268="WW",VLOOKUP($C268,'PIP finance'!$C$177:$P$220,K$250,FALSE),VLOOKUP($C268,'PIP finance'!$C$325:$P$362,K$250,FALSE)))</f>
        <v>#N/A</v>
      </c>
      <c r="I268" s="5111" t="e">
        <f ca="1">IF($B268="WS",VLOOKUP($C268,'PIP finance'!$C$9:$P$59,L$250,FALSE),IF($B268="WW",VLOOKUP($C268,'PIP finance'!$C$177:$P$220,L$250,FALSE),VLOOKUP($C268,'PIP finance'!$C$325:$P$362,L$250,FALSE)))</f>
        <v>#N/A</v>
      </c>
      <c r="J268" s="5111" t="e">
        <f ca="1">IF($B268="WS",VLOOKUP($C268,'PIP finance'!$C$9:$P$59,M$250,FALSE),IF($B268="WW",VLOOKUP($C268,'PIP finance'!$C$177:$P$220,M$250,FALSE),VLOOKUP($C268,'PIP finance'!$C$325:$P$362,M$250,FALSE)))</f>
        <v>#N/A</v>
      </c>
      <c r="K268" s="5111" t="e">
        <f ca="1">IF($B268="WS",VLOOKUP($C268,'PIP finance'!$C$9:$P$59,N$250,FALSE),IF($B268="WW",VLOOKUP($C268,'PIP finance'!$C$177:$P$220,N$250,FALSE),VLOOKUP($C268,'PIP finance'!$C$325:$P$362,N$250,FALSE)))</f>
        <v>#N/A</v>
      </c>
      <c r="L268" s="5111" t="e">
        <f ca="1">IF($B268="WS",VLOOKUP($C268,'PIP finance'!$C$9:$P$59,O$250,FALSE),IF($B268="WW",VLOOKUP($C268,'PIP finance'!$C$177:$P$220,O$250,FALSE),VLOOKUP($C268,'PIP finance'!$C$325:$P$362,O$250,FALSE)))</f>
        <v>#N/A</v>
      </c>
      <c r="M268" s="5111" t="e">
        <f ca="1">IF($B268="WS",VLOOKUP($C268,'PIP finance'!$C$9:$P$59,P$250,FALSE),IF($B268="WW",VLOOKUP($C268,'PIP finance'!$C$177:$P$220,P$250,FALSE),VLOOKUP($C268,'PIP finance'!$C$325:$P$362,P$250,FALSE)))</f>
        <v>#N/A</v>
      </c>
      <c r="O268" s="5124" t="s">
        <v>936</v>
      </c>
      <c r="P268" s="5125">
        <f t="shared" ref="P268:Y273" si="81">P261/(1+$O$251)^S$250</f>
        <v>0</v>
      </c>
      <c r="Q268" s="5125">
        <f t="shared" si="81"/>
        <v>0</v>
      </c>
      <c r="R268" s="5125">
        <f t="shared" si="81"/>
        <v>0</v>
      </c>
      <c r="S268" s="5125">
        <f t="shared" si="81"/>
        <v>0</v>
      </c>
      <c r="T268" s="5125">
        <f t="shared" si="81"/>
        <v>0</v>
      </c>
      <c r="U268" s="5125">
        <f t="shared" si="81"/>
        <v>0</v>
      </c>
      <c r="V268" s="5125">
        <f t="shared" si="81"/>
        <v>0</v>
      </c>
      <c r="W268" s="5125">
        <f>W261/(1+$O$251)^Z$250</f>
        <v>0</v>
      </c>
      <c r="X268" s="5125">
        <f t="shared" si="81"/>
        <v>0</v>
      </c>
      <c r="Y268" s="5125">
        <f t="shared" si="81"/>
        <v>0</v>
      </c>
      <c r="Z268" s="5126">
        <f t="shared" ref="Z268:Z273" si="82">SUM(P268:Y268)</f>
        <v>0</v>
      </c>
      <c r="AA268" s="5120">
        <f>NPV(O251,P262:Y262,P261:Y261)</f>
        <v>0</v>
      </c>
    </row>
    <row r="269" spans="1:28" x14ac:dyDescent="0.25">
      <c r="A269" s="4076">
        <v>18</v>
      </c>
      <c r="B269" s="4076" t="str">
        <f ca="1">'Action Plan finance'!AH73</f>
        <v/>
      </c>
      <c r="C269" s="4078" t="str">
        <f ca="1">'Action Plan finance'!C73</f>
        <v/>
      </c>
      <c r="D269" s="5108" t="e">
        <f ca="1">IF($B269="WS",VLOOKUP($C269,'PIP finance'!$C$9:$P$59,G$250,FALSE),IF($B269="WW",VLOOKUP($C269,'PIP finance'!$C$177:$P$220,G$250,FALSE),VLOOKUP($C269,'PIP finance'!$C$325:$P$362,G$250,FALSE)))</f>
        <v>#N/A</v>
      </c>
      <c r="E269" s="5109" t="e">
        <f ca="1">IF($B269="WS",VLOOKUP($C269,'PIP finance'!$C$9:$P$59,H$250,FALSE),IF($B269="WW",VLOOKUP($C269,'PIP finance'!$C$177:$P$220,H$250,FALSE),VLOOKUP($C269,'PIP finance'!$C$325:$P$362,H$250,FALSE)))</f>
        <v>#N/A</v>
      </c>
      <c r="F269" s="5109" t="e">
        <f ca="1">IF($B269="WS",VLOOKUP($C269,'PIP finance'!$C$9:$P$59,I$250,FALSE),IF($B269="WW",VLOOKUP($C269,'PIP finance'!$C$177:$P$220,I$250,FALSE),VLOOKUP($C269,'PIP finance'!$C$325:$P$362,I$250,FALSE)))</f>
        <v>#N/A</v>
      </c>
      <c r="G269" s="5111" t="e">
        <f ca="1">IF($B269="WS",VLOOKUP($C269,'PIP finance'!$C$9:$P$59,J$250,FALSE),IF($B269="WW",VLOOKUP($C269,'PIP finance'!$C$177:$P$220,J$250,FALSE),VLOOKUP($C269,'PIP finance'!$C$325:$P$362,J$250,FALSE)))</f>
        <v>#N/A</v>
      </c>
      <c r="H269" s="5111" t="e">
        <f ca="1">IF($B269="WS",VLOOKUP($C269,'PIP finance'!$C$9:$P$59,K$250,FALSE),IF($B269="WW",VLOOKUP($C269,'PIP finance'!$C$177:$P$220,K$250,FALSE),VLOOKUP($C269,'PIP finance'!$C$325:$P$362,K$250,FALSE)))</f>
        <v>#N/A</v>
      </c>
      <c r="I269" s="5111" t="e">
        <f ca="1">IF($B269="WS",VLOOKUP($C269,'PIP finance'!$C$9:$P$59,L$250,FALSE),IF($B269="WW",VLOOKUP($C269,'PIP finance'!$C$177:$P$220,L$250,FALSE),VLOOKUP($C269,'PIP finance'!$C$325:$P$362,L$250,FALSE)))</f>
        <v>#N/A</v>
      </c>
      <c r="J269" s="5111" t="e">
        <f ca="1">IF($B269="WS",VLOOKUP($C269,'PIP finance'!$C$9:$P$59,M$250,FALSE),IF($B269="WW",VLOOKUP($C269,'PIP finance'!$C$177:$P$220,M$250,FALSE),VLOOKUP($C269,'PIP finance'!$C$325:$P$362,M$250,FALSE)))</f>
        <v>#N/A</v>
      </c>
      <c r="K269" s="5111" t="e">
        <f ca="1">IF($B269="WS",VLOOKUP($C269,'PIP finance'!$C$9:$P$59,N$250,FALSE),IF($B269="WW",VLOOKUP($C269,'PIP finance'!$C$177:$P$220,N$250,FALSE),VLOOKUP($C269,'PIP finance'!$C$325:$P$362,N$250,FALSE)))</f>
        <v>#N/A</v>
      </c>
      <c r="L269" s="5111" t="e">
        <f ca="1">IF($B269="WS",VLOOKUP($C269,'PIP finance'!$C$9:$P$59,O$250,FALSE),IF($B269="WW",VLOOKUP($C269,'PIP finance'!$C$177:$P$220,O$250,FALSE),VLOOKUP($C269,'PIP finance'!$C$325:$P$362,O$250,FALSE)))</f>
        <v>#N/A</v>
      </c>
      <c r="M269" s="5111" t="e">
        <f ca="1">IF($B269="WS",VLOOKUP($C269,'PIP finance'!$C$9:$P$59,P$250,FALSE),IF($B269="WW",VLOOKUP($C269,'PIP finance'!$C$177:$P$220,P$250,FALSE),VLOOKUP($C269,'PIP finance'!$C$325:$P$362,P$250,FALSE)))</f>
        <v>#N/A</v>
      </c>
      <c r="O269" s="5127" t="s">
        <v>935</v>
      </c>
      <c r="P269" s="5128">
        <f t="shared" si="81"/>
        <v>0</v>
      </c>
      <c r="Q269" s="5128">
        <f t="shared" si="81"/>
        <v>0</v>
      </c>
      <c r="R269" s="5128">
        <f t="shared" si="81"/>
        <v>0</v>
      </c>
      <c r="S269" s="5128">
        <f t="shared" si="81"/>
        <v>0</v>
      </c>
      <c r="T269" s="5128">
        <f t="shared" si="81"/>
        <v>0</v>
      </c>
      <c r="U269" s="5128">
        <f t="shared" si="81"/>
        <v>0</v>
      </c>
      <c r="V269" s="5128">
        <f t="shared" si="81"/>
        <v>0</v>
      </c>
      <c r="W269" s="5128">
        <f t="shared" si="81"/>
        <v>0</v>
      </c>
      <c r="X269" s="5128">
        <f t="shared" si="81"/>
        <v>0</v>
      </c>
      <c r="Y269" s="5128">
        <f t="shared" si="81"/>
        <v>0</v>
      </c>
      <c r="Z269" s="5129">
        <f t="shared" si="82"/>
        <v>0</v>
      </c>
      <c r="AA269" s="5120">
        <f>NPV(O251,P264:Y264,P263:Y263)</f>
        <v>1436.3393318167332</v>
      </c>
    </row>
    <row r="270" spans="1:28" x14ac:dyDescent="0.25">
      <c r="A270" s="4076">
        <v>19</v>
      </c>
      <c r="B270" s="4076" t="str">
        <f ca="1">'Action Plan finance'!AH74</f>
        <v/>
      </c>
      <c r="C270" s="4078" t="str">
        <f ca="1">'Action Plan finance'!C74</f>
        <v/>
      </c>
      <c r="D270" s="5108" t="e">
        <f ca="1">IF($B270="WS",VLOOKUP($C270,'PIP finance'!$C$9:$P$59,G$250,FALSE),IF($B270="WW",VLOOKUP($C270,'PIP finance'!$C$177:$P$220,G$250,FALSE),VLOOKUP($C270,'PIP finance'!$C$325:$P$362,G$250,FALSE)))</f>
        <v>#N/A</v>
      </c>
      <c r="E270" s="5109" t="e">
        <f ca="1">IF($B270="WS",VLOOKUP($C270,'PIP finance'!$C$9:$P$59,H$250,FALSE),IF($B270="WW",VLOOKUP($C270,'PIP finance'!$C$177:$P$220,H$250,FALSE),VLOOKUP($C270,'PIP finance'!$C$325:$P$362,H$250,FALSE)))</f>
        <v>#N/A</v>
      </c>
      <c r="F270" s="5109" t="e">
        <f ca="1">IF($B270="WS",VLOOKUP($C270,'PIP finance'!$C$9:$P$59,I$250,FALSE),IF($B270="WW",VLOOKUP($C270,'PIP finance'!$C$177:$P$220,I$250,FALSE),VLOOKUP($C270,'PIP finance'!$C$325:$P$362,I$250,FALSE)))</f>
        <v>#N/A</v>
      </c>
      <c r="G270" s="5111" t="e">
        <f ca="1">IF($B270="WS",VLOOKUP($C270,'PIP finance'!$C$9:$P$59,J$250,FALSE),IF($B270="WW",VLOOKUP($C270,'PIP finance'!$C$177:$P$220,J$250,FALSE),VLOOKUP($C270,'PIP finance'!$C$325:$P$362,J$250,FALSE)))</f>
        <v>#N/A</v>
      </c>
      <c r="H270" s="5111" t="e">
        <f ca="1">IF($B270="WS",VLOOKUP($C270,'PIP finance'!$C$9:$P$59,K$250,FALSE),IF($B270="WW",VLOOKUP($C270,'PIP finance'!$C$177:$P$220,K$250,FALSE),VLOOKUP($C270,'PIP finance'!$C$325:$P$362,K$250,FALSE)))</f>
        <v>#N/A</v>
      </c>
      <c r="I270" s="5111" t="e">
        <f ca="1">IF($B270="WS",VLOOKUP($C270,'PIP finance'!$C$9:$P$59,L$250,FALSE),IF($B270="WW",VLOOKUP($C270,'PIP finance'!$C$177:$P$220,L$250,FALSE),VLOOKUP($C270,'PIP finance'!$C$325:$P$362,L$250,FALSE)))</f>
        <v>#N/A</v>
      </c>
      <c r="J270" s="5111" t="e">
        <f ca="1">IF($B270="WS",VLOOKUP($C270,'PIP finance'!$C$9:$P$59,M$250,FALSE),IF($B270="WW",VLOOKUP($C270,'PIP finance'!$C$177:$P$220,M$250,FALSE),VLOOKUP($C270,'PIP finance'!$C$325:$P$362,M$250,FALSE)))</f>
        <v>#N/A</v>
      </c>
      <c r="K270" s="5111" t="e">
        <f ca="1">IF($B270="WS",VLOOKUP($C270,'PIP finance'!$C$9:$P$59,N$250,FALSE),IF($B270="WW",VLOOKUP($C270,'PIP finance'!$C$177:$P$220,N$250,FALSE),VLOOKUP($C270,'PIP finance'!$C$325:$P$362,N$250,FALSE)))</f>
        <v>#N/A</v>
      </c>
      <c r="L270" s="5111" t="e">
        <f ca="1">IF($B270="WS",VLOOKUP($C270,'PIP finance'!$C$9:$P$59,O$250,FALSE),IF($B270="WW",VLOOKUP($C270,'PIP finance'!$C$177:$P$220,O$250,FALSE),VLOOKUP($C270,'PIP finance'!$C$325:$P$362,O$250,FALSE)))</f>
        <v>#N/A</v>
      </c>
      <c r="M270" s="5111" t="e">
        <f ca="1">IF($B270="WS",VLOOKUP($C270,'PIP finance'!$C$9:$P$59,P$250,FALSE),IF($B270="WW",VLOOKUP($C270,'PIP finance'!$C$177:$P$220,P$250,FALSE),VLOOKUP($C270,'PIP finance'!$C$325:$P$362,P$250,FALSE)))</f>
        <v>#N/A</v>
      </c>
      <c r="O270" s="5124" t="s">
        <v>938</v>
      </c>
      <c r="P270" s="5125">
        <f t="shared" si="81"/>
        <v>1.3460317460317461</v>
      </c>
      <c r="Q270" s="5125">
        <f t="shared" si="81"/>
        <v>1.3011640211640212</v>
      </c>
      <c r="R270" s="5125">
        <f t="shared" si="81"/>
        <v>1.2580665874815535</v>
      </c>
      <c r="S270" s="5125">
        <f t="shared" si="81"/>
        <v>15.504199750241241</v>
      </c>
      <c r="T270" s="5125">
        <f t="shared" si="81"/>
        <v>14.977029998893103</v>
      </c>
      <c r="U270" s="5125">
        <f t="shared" si="81"/>
        <v>0</v>
      </c>
      <c r="V270" s="5125">
        <f t="shared" si="81"/>
        <v>0</v>
      </c>
      <c r="W270" s="5125">
        <f>W263/(1+$O$251)^Z$250</f>
        <v>0</v>
      </c>
      <c r="X270" s="5125">
        <f t="shared" si="81"/>
        <v>0</v>
      </c>
      <c r="Y270" s="5125">
        <f t="shared" si="81"/>
        <v>0</v>
      </c>
      <c r="Z270" s="5126">
        <f t="shared" si="82"/>
        <v>34.386492103811662</v>
      </c>
      <c r="AA270" s="5120">
        <f>NPV(O251,P266:Y266,P265:Y265)</f>
        <v>0</v>
      </c>
    </row>
    <row r="271" spans="1:28" x14ac:dyDescent="0.25">
      <c r="A271" s="4076">
        <v>20</v>
      </c>
      <c r="B271" s="4076" t="str">
        <f ca="1">'Action Plan finance'!AH75</f>
        <v/>
      </c>
      <c r="C271" s="4078" t="str">
        <f ca="1">'Action Plan finance'!C75</f>
        <v/>
      </c>
      <c r="D271" s="5108" t="e">
        <f ca="1">IF($B271="WS",VLOOKUP($C271,'PIP finance'!$C$9:$P$59,G$250,FALSE),IF($B271="WW",VLOOKUP($C271,'PIP finance'!$C$177:$P$220,G$250,FALSE),VLOOKUP($C271,'PIP finance'!$C$325:$P$362,G$250,FALSE)))</f>
        <v>#N/A</v>
      </c>
      <c r="E271" s="5109" t="e">
        <f ca="1">IF($B271="WS",VLOOKUP($C271,'PIP finance'!$C$9:$P$59,H$250,FALSE),IF($B271="WW",VLOOKUP($C271,'PIP finance'!$C$177:$P$220,H$250,FALSE),VLOOKUP($C271,'PIP finance'!$C$325:$P$362,H$250,FALSE)))</f>
        <v>#N/A</v>
      </c>
      <c r="F271" s="5109" t="e">
        <f ca="1">IF($B271="WS",VLOOKUP($C271,'PIP finance'!$C$9:$P$59,I$250,FALSE),IF($B271="WW",VLOOKUP($C271,'PIP finance'!$C$177:$P$220,I$250,FALSE),VLOOKUP($C271,'PIP finance'!$C$325:$P$362,I$250,FALSE)))</f>
        <v>#N/A</v>
      </c>
      <c r="G271" s="5111" t="e">
        <f ca="1">IF($B271="WS",VLOOKUP($C271,'PIP finance'!$C$9:$P$59,J$250,FALSE),IF($B271="WW",VLOOKUP($C271,'PIP finance'!$C$177:$P$220,J$250,FALSE),VLOOKUP($C271,'PIP finance'!$C$325:$P$362,J$250,FALSE)))</f>
        <v>#N/A</v>
      </c>
      <c r="H271" s="5111" t="e">
        <f ca="1">IF($B271="WS",VLOOKUP($C271,'PIP finance'!$C$9:$P$59,K$250,FALSE),IF($B271="WW",VLOOKUP($C271,'PIP finance'!$C$177:$P$220,K$250,FALSE),VLOOKUP($C271,'PIP finance'!$C$325:$P$362,K$250,FALSE)))</f>
        <v>#N/A</v>
      </c>
      <c r="I271" s="5111" t="e">
        <f ca="1">IF($B271="WS",VLOOKUP($C271,'PIP finance'!$C$9:$P$59,L$250,FALSE),IF($B271="WW",VLOOKUP($C271,'PIP finance'!$C$177:$P$220,L$250,FALSE),VLOOKUP($C271,'PIP finance'!$C$325:$P$362,L$250,FALSE)))</f>
        <v>#N/A</v>
      </c>
      <c r="J271" s="5111" t="e">
        <f ca="1">IF($B271="WS",VLOOKUP($C271,'PIP finance'!$C$9:$P$59,M$250,FALSE),IF($B271="WW",VLOOKUP($C271,'PIP finance'!$C$177:$P$220,M$250,FALSE),VLOOKUP($C271,'PIP finance'!$C$325:$P$362,M$250,FALSE)))</f>
        <v>#N/A</v>
      </c>
      <c r="K271" s="5111" t="e">
        <f ca="1">IF($B271="WS",VLOOKUP($C271,'PIP finance'!$C$9:$P$59,N$250,FALSE),IF($B271="WW",VLOOKUP($C271,'PIP finance'!$C$177:$P$220,N$250,FALSE),VLOOKUP($C271,'PIP finance'!$C$325:$P$362,N$250,FALSE)))</f>
        <v>#N/A</v>
      </c>
      <c r="L271" s="5111" t="e">
        <f ca="1">IF($B271="WS",VLOOKUP($C271,'PIP finance'!$C$9:$P$59,O$250,FALSE),IF($B271="WW",VLOOKUP($C271,'PIP finance'!$C$177:$P$220,O$250,FALSE),VLOOKUP($C271,'PIP finance'!$C$325:$P$362,O$250,FALSE)))</f>
        <v>#N/A</v>
      </c>
      <c r="M271" s="5111" t="e">
        <f ca="1">IF($B271="WS",VLOOKUP($C271,'PIP finance'!$C$9:$P$59,P$250,FALSE),IF($B271="WW",VLOOKUP($C271,'PIP finance'!$C$177:$P$220,P$250,FALSE),VLOOKUP($C271,'PIP finance'!$C$325:$P$362,P$250,FALSE)))</f>
        <v>#N/A</v>
      </c>
      <c r="O271" s="5127" t="s">
        <v>939</v>
      </c>
      <c r="P271" s="5128">
        <f t="shared" si="81"/>
        <v>125.4478214920635</v>
      </c>
      <c r="Q271" s="5128">
        <f t="shared" si="81"/>
        <v>138.38274212698414</v>
      </c>
      <c r="R271" s="5128">
        <f t="shared" si="81"/>
        <v>143.92480561904765</v>
      </c>
      <c r="S271" s="5128">
        <f t="shared" si="81"/>
        <v>143.92480561904765</v>
      </c>
      <c r="T271" s="5128">
        <f t="shared" si="81"/>
        <v>143.92480561904767</v>
      </c>
      <c r="U271" s="5128">
        <f t="shared" si="81"/>
        <v>143.92480561904767</v>
      </c>
      <c r="V271" s="5128">
        <f t="shared" si="81"/>
        <v>143.92480561904767</v>
      </c>
      <c r="W271" s="5128">
        <f t="shared" si="81"/>
        <v>143.92480561904767</v>
      </c>
      <c r="X271" s="5128">
        <f t="shared" si="81"/>
        <v>143.92480561904767</v>
      </c>
      <c r="Y271" s="5128">
        <f t="shared" si="81"/>
        <v>143.92480561904767</v>
      </c>
      <c r="Z271" s="5129">
        <f t="shared" si="82"/>
        <v>1415.2290085714289</v>
      </c>
    </row>
    <row r="272" spans="1:28" x14ac:dyDescent="0.25">
      <c r="A272" s="4076">
        <v>21</v>
      </c>
      <c r="B272" s="4076" t="str">
        <f ca="1">'Action Plan finance'!AH76</f>
        <v/>
      </c>
      <c r="C272" s="4078" t="str">
        <f ca="1">'Action Plan finance'!C76</f>
        <v/>
      </c>
      <c r="D272" s="5108" t="e">
        <f ca="1">IF($B272="WS",VLOOKUP($C272,'PIP finance'!$C$9:$P$59,G$250,FALSE),IF($B272="WW",VLOOKUP($C272,'PIP finance'!$C$177:$P$220,G$250,FALSE),VLOOKUP($C272,'PIP finance'!$C$325:$P$362,G$250,FALSE)))</f>
        <v>#N/A</v>
      </c>
      <c r="E272" s="5109" t="e">
        <f ca="1">IF($B272="WS",VLOOKUP($C272,'PIP finance'!$C$9:$P$59,H$250,FALSE),IF($B272="WW",VLOOKUP($C272,'PIP finance'!$C$177:$P$220,H$250,FALSE),VLOOKUP($C272,'PIP finance'!$C$325:$P$362,H$250,FALSE)))</f>
        <v>#N/A</v>
      </c>
      <c r="F272" s="5109" t="e">
        <f ca="1">IF($B272="WS",VLOOKUP($C272,'PIP finance'!$C$9:$P$59,I$250,FALSE),IF($B272="WW",VLOOKUP($C272,'PIP finance'!$C$177:$P$220,I$250,FALSE),VLOOKUP($C272,'PIP finance'!$C$325:$P$362,I$250,FALSE)))</f>
        <v>#N/A</v>
      </c>
      <c r="G272" s="5111" t="e">
        <f ca="1">IF($B272="WS",VLOOKUP($C272,'PIP finance'!$C$9:$P$59,J$250,FALSE),IF($B272="WW",VLOOKUP($C272,'PIP finance'!$C$177:$P$220,J$250,FALSE),VLOOKUP($C272,'PIP finance'!$C$325:$P$362,J$250,FALSE)))</f>
        <v>#N/A</v>
      </c>
      <c r="H272" s="5111" t="e">
        <f ca="1">IF($B272="WS",VLOOKUP($C272,'PIP finance'!$C$9:$P$59,K$250,FALSE),IF($B272="WW",VLOOKUP($C272,'PIP finance'!$C$177:$P$220,K$250,FALSE),VLOOKUP($C272,'PIP finance'!$C$325:$P$362,K$250,FALSE)))</f>
        <v>#N/A</v>
      </c>
      <c r="I272" s="5111" t="e">
        <f ca="1">IF($B272="WS",VLOOKUP($C272,'PIP finance'!$C$9:$P$59,L$250,FALSE),IF($B272="WW",VLOOKUP($C272,'PIP finance'!$C$177:$P$220,L$250,FALSE),VLOOKUP($C272,'PIP finance'!$C$325:$P$362,L$250,FALSE)))</f>
        <v>#N/A</v>
      </c>
      <c r="J272" s="5111" t="e">
        <f ca="1">IF($B272="WS",VLOOKUP($C272,'PIP finance'!$C$9:$P$59,M$250,FALSE),IF($B272="WW",VLOOKUP($C272,'PIP finance'!$C$177:$P$220,M$250,FALSE),VLOOKUP($C272,'PIP finance'!$C$325:$P$362,M$250,FALSE)))</f>
        <v>#N/A</v>
      </c>
      <c r="K272" s="5111" t="e">
        <f ca="1">IF($B272="WS",VLOOKUP($C272,'PIP finance'!$C$9:$P$59,N$250,FALSE),IF($B272="WW",VLOOKUP($C272,'PIP finance'!$C$177:$P$220,N$250,FALSE),VLOOKUP($C272,'PIP finance'!$C$325:$P$362,N$250,FALSE)))</f>
        <v>#N/A</v>
      </c>
      <c r="L272" s="5111" t="e">
        <f ca="1">IF($B272="WS",VLOOKUP($C272,'PIP finance'!$C$9:$P$59,O$250,FALSE),IF($B272="WW",VLOOKUP($C272,'PIP finance'!$C$177:$P$220,O$250,FALSE),VLOOKUP($C272,'PIP finance'!$C$325:$P$362,O$250,FALSE)))</f>
        <v>#N/A</v>
      </c>
      <c r="M272" s="5111" t="e">
        <f ca="1">IF($B272="WS",VLOOKUP($C272,'PIP finance'!$C$9:$P$59,P$250,FALSE),IF($B272="WW",VLOOKUP($C272,'PIP finance'!$C$177:$P$220,P$250,FALSE),VLOOKUP($C272,'PIP finance'!$C$325:$P$362,P$250,FALSE)))</f>
        <v>#N/A</v>
      </c>
      <c r="O272" s="5124" t="s">
        <v>940</v>
      </c>
      <c r="P272" s="5125">
        <f t="shared" si="81"/>
        <v>0</v>
      </c>
      <c r="Q272" s="5125">
        <f t="shared" si="81"/>
        <v>0</v>
      </c>
      <c r="R272" s="5125">
        <f t="shared" si="81"/>
        <v>0</v>
      </c>
      <c r="S272" s="5125">
        <f t="shared" si="81"/>
        <v>0</v>
      </c>
      <c r="T272" s="5125">
        <f t="shared" si="81"/>
        <v>0</v>
      </c>
      <c r="U272" s="5125">
        <f t="shared" si="81"/>
        <v>0</v>
      </c>
      <c r="V272" s="5125">
        <f t="shared" si="81"/>
        <v>0</v>
      </c>
      <c r="W272" s="5125">
        <f>W265/(1+$O$251)^Z$250</f>
        <v>0</v>
      </c>
      <c r="X272" s="5125">
        <f t="shared" si="81"/>
        <v>0</v>
      </c>
      <c r="Y272" s="5125">
        <f t="shared" si="81"/>
        <v>0</v>
      </c>
      <c r="Z272" s="5126">
        <f t="shared" si="82"/>
        <v>0</v>
      </c>
    </row>
    <row r="273" spans="1:27" ht="15.75" thickBot="1" x14ac:dyDescent="0.3">
      <c r="A273" s="4076">
        <v>22</v>
      </c>
      <c r="B273" s="4076" t="str">
        <f ca="1">'Action Plan finance'!AH77</f>
        <v/>
      </c>
      <c r="C273" s="4078" t="str">
        <f ca="1">'Action Plan finance'!C77</f>
        <v/>
      </c>
      <c r="D273" s="5108" t="e">
        <f ca="1">IF($B273="WS",VLOOKUP($C273,'PIP finance'!$C$9:$P$59,G$250,FALSE),IF($B273="WW",VLOOKUP($C273,'PIP finance'!$C$177:$P$220,G$250,FALSE),VLOOKUP($C273,'PIP finance'!$C$325:$P$362,G$250,FALSE)))</f>
        <v>#N/A</v>
      </c>
      <c r="E273" s="5109" t="e">
        <f ca="1">IF($B273="WS",VLOOKUP($C273,'PIP finance'!$C$9:$P$59,H$250,FALSE),IF($B273="WW",VLOOKUP($C273,'PIP finance'!$C$177:$P$220,H$250,FALSE),VLOOKUP($C273,'PIP finance'!$C$325:$P$362,H$250,FALSE)))</f>
        <v>#N/A</v>
      </c>
      <c r="F273" s="5109" t="e">
        <f ca="1">IF($B273="WS",VLOOKUP($C273,'PIP finance'!$C$9:$P$59,I$250,FALSE),IF($B273="WW",VLOOKUP($C273,'PIP finance'!$C$177:$P$220,I$250,FALSE),VLOOKUP($C273,'PIP finance'!$C$325:$P$362,I$250,FALSE)))</f>
        <v>#N/A</v>
      </c>
      <c r="G273" s="5111" t="e">
        <f ca="1">IF($B273="WS",VLOOKUP($C273,'PIP finance'!$C$9:$P$59,J$250,FALSE),IF($B273="WW",VLOOKUP($C273,'PIP finance'!$C$177:$P$220,J$250,FALSE),VLOOKUP($C273,'PIP finance'!$C$325:$P$362,J$250,FALSE)))</f>
        <v>#N/A</v>
      </c>
      <c r="H273" s="5111" t="e">
        <f ca="1">IF($B273="WS",VLOOKUP($C273,'PIP finance'!$C$9:$P$59,K$250,FALSE),IF($B273="WW",VLOOKUP($C273,'PIP finance'!$C$177:$P$220,K$250,FALSE),VLOOKUP($C273,'PIP finance'!$C$325:$P$362,K$250,FALSE)))</f>
        <v>#N/A</v>
      </c>
      <c r="I273" s="5111" t="e">
        <f ca="1">IF($B273="WS",VLOOKUP($C273,'PIP finance'!$C$9:$P$59,L$250,FALSE),IF($B273="WW",VLOOKUP($C273,'PIP finance'!$C$177:$P$220,L$250,FALSE),VLOOKUP($C273,'PIP finance'!$C$325:$P$362,L$250,FALSE)))</f>
        <v>#N/A</v>
      </c>
      <c r="J273" s="5111" t="e">
        <f ca="1">IF($B273="WS",VLOOKUP($C273,'PIP finance'!$C$9:$P$59,M$250,FALSE),IF($B273="WW",VLOOKUP($C273,'PIP finance'!$C$177:$P$220,M$250,FALSE),VLOOKUP($C273,'PIP finance'!$C$325:$P$362,M$250,FALSE)))</f>
        <v>#N/A</v>
      </c>
      <c r="K273" s="5111" t="e">
        <f ca="1">IF($B273="WS",VLOOKUP($C273,'PIP finance'!$C$9:$P$59,N$250,FALSE),IF($B273="WW",VLOOKUP($C273,'PIP finance'!$C$177:$P$220,N$250,FALSE),VLOOKUP($C273,'PIP finance'!$C$325:$P$362,N$250,FALSE)))</f>
        <v>#N/A</v>
      </c>
      <c r="L273" s="5111" t="e">
        <f ca="1">IF($B273="WS",VLOOKUP($C273,'PIP finance'!$C$9:$P$59,O$250,FALSE),IF($B273="WW",VLOOKUP($C273,'PIP finance'!$C$177:$P$220,O$250,FALSE),VLOOKUP($C273,'PIP finance'!$C$325:$P$362,O$250,FALSE)))</f>
        <v>#N/A</v>
      </c>
      <c r="M273" s="5111" t="e">
        <f ca="1">IF($B273="WS",VLOOKUP($C273,'PIP finance'!$C$9:$P$59,P$250,FALSE),IF($B273="WW",VLOOKUP($C273,'PIP finance'!$C$177:$P$220,P$250,FALSE),VLOOKUP($C273,'PIP finance'!$C$325:$P$362,P$250,FALSE)))</f>
        <v>#N/A</v>
      </c>
      <c r="O273" s="5115" t="s">
        <v>941</v>
      </c>
      <c r="P273" s="5130">
        <f t="shared" si="81"/>
        <v>0</v>
      </c>
      <c r="Q273" s="5130">
        <f t="shared" si="81"/>
        <v>0</v>
      </c>
      <c r="R273" s="5130">
        <f t="shared" si="81"/>
        <v>0</v>
      </c>
      <c r="S273" s="5130">
        <f t="shared" si="81"/>
        <v>0</v>
      </c>
      <c r="T273" s="5130">
        <f t="shared" si="81"/>
        <v>0</v>
      </c>
      <c r="U273" s="5130">
        <f t="shared" si="81"/>
        <v>0</v>
      </c>
      <c r="V273" s="5130">
        <f t="shared" si="81"/>
        <v>0</v>
      </c>
      <c r="W273" s="5130">
        <f t="shared" si="81"/>
        <v>0</v>
      </c>
      <c r="X273" s="5130">
        <f t="shared" si="81"/>
        <v>0</v>
      </c>
      <c r="Y273" s="5130">
        <f t="shared" si="81"/>
        <v>0</v>
      </c>
      <c r="Z273" s="5131">
        <f t="shared" si="82"/>
        <v>0</v>
      </c>
    </row>
    <row r="274" spans="1:27" x14ac:dyDescent="0.25">
      <c r="A274" s="4076">
        <v>23</v>
      </c>
      <c r="B274" s="4076" t="str">
        <f ca="1">'Action Plan finance'!AH78</f>
        <v/>
      </c>
      <c r="C274" s="4078" t="str">
        <f ca="1">'Action Plan finance'!C78</f>
        <v/>
      </c>
      <c r="D274" s="5108" t="e">
        <f ca="1">IF($B274="WS",VLOOKUP($C274,'PIP finance'!$C$9:$P$59,G$250,FALSE),IF($B274="WW",VLOOKUP($C274,'PIP finance'!$C$177:$P$220,G$250,FALSE),VLOOKUP($C274,'PIP finance'!$C$325:$P$362,G$250,FALSE)))</f>
        <v>#N/A</v>
      </c>
      <c r="E274" s="5109" t="e">
        <f ca="1">IF($B274="WS",VLOOKUP($C274,'PIP finance'!$C$9:$P$59,H$250,FALSE),IF($B274="WW",VLOOKUP($C274,'PIP finance'!$C$177:$P$220,H$250,FALSE),VLOOKUP($C274,'PIP finance'!$C$325:$P$362,H$250,FALSE)))</f>
        <v>#N/A</v>
      </c>
      <c r="F274" s="5109" t="e">
        <f ca="1">IF($B274="WS",VLOOKUP($C274,'PIP finance'!$C$9:$P$59,I$250,FALSE),IF($B274="WW",VLOOKUP($C274,'PIP finance'!$C$177:$P$220,I$250,FALSE),VLOOKUP($C274,'PIP finance'!$C$325:$P$362,I$250,FALSE)))</f>
        <v>#N/A</v>
      </c>
      <c r="G274" s="5111" t="e">
        <f ca="1">IF($B274="WS",VLOOKUP($C274,'PIP finance'!$C$9:$P$59,J$250,FALSE),IF($B274="WW",VLOOKUP($C274,'PIP finance'!$C$177:$P$220,J$250,FALSE),VLOOKUP($C274,'PIP finance'!$C$325:$P$362,J$250,FALSE)))</f>
        <v>#N/A</v>
      </c>
      <c r="H274" s="5111" t="e">
        <f ca="1">IF($B274="WS",VLOOKUP($C274,'PIP finance'!$C$9:$P$59,K$250,FALSE),IF($B274="WW",VLOOKUP($C274,'PIP finance'!$C$177:$P$220,K$250,FALSE),VLOOKUP($C274,'PIP finance'!$C$325:$P$362,K$250,FALSE)))</f>
        <v>#N/A</v>
      </c>
      <c r="I274" s="5111" t="e">
        <f ca="1">IF($B274="WS",VLOOKUP($C274,'PIP finance'!$C$9:$P$59,L$250,FALSE),IF($B274="WW",VLOOKUP($C274,'PIP finance'!$C$177:$P$220,L$250,FALSE),VLOOKUP($C274,'PIP finance'!$C$325:$P$362,L$250,FALSE)))</f>
        <v>#N/A</v>
      </c>
      <c r="J274" s="5111" t="e">
        <f ca="1">IF($B274="WS",VLOOKUP($C274,'PIP finance'!$C$9:$P$59,M$250,FALSE),IF($B274="WW",VLOOKUP($C274,'PIP finance'!$C$177:$P$220,M$250,FALSE),VLOOKUP($C274,'PIP finance'!$C$325:$P$362,M$250,FALSE)))</f>
        <v>#N/A</v>
      </c>
      <c r="K274" s="5111" t="e">
        <f ca="1">IF($B274="WS",VLOOKUP($C274,'PIP finance'!$C$9:$P$59,N$250,FALSE),IF($B274="WW",VLOOKUP($C274,'PIP finance'!$C$177:$P$220,N$250,FALSE),VLOOKUP($C274,'PIP finance'!$C$325:$P$362,N$250,FALSE)))</f>
        <v>#N/A</v>
      </c>
      <c r="L274" s="5111" t="e">
        <f ca="1">IF($B274="WS",VLOOKUP($C274,'PIP finance'!$C$9:$P$59,O$250,FALSE),IF($B274="WW",VLOOKUP($C274,'PIP finance'!$C$177:$P$220,O$250,FALSE),VLOOKUP($C274,'PIP finance'!$C$325:$P$362,O$250,FALSE)))</f>
        <v>#N/A</v>
      </c>
      <c r="M274" s="5111" t="e">
        <f ca="1">IF($B274="WS",VLOOKUP($C274,'PIP finance'!$C$9:$P$59,P$250,FALSE),IF($B274="WW",VLOOKUP($C274,'PIP finance'!$C$177:$P$220,P$250,FALSE),VLOOKUP($C274,'PIP finance'!$C$325:$P$362,P$250,FALSE)))</f>
        <v>#N/A</v>
      </c>
    </row>
    <row r="275" spans="1:27" ht="15.75" thickBot="1" x14ac:dyDescent="0.3">
      <c r="A275" s="4076">
        <v>24</v>
      </c>
      <c r="B275" s="4076" t="str">
        <f ca="1">'Action Plan finance'!AH79</f>
        <v/>
      </c>
      <c r="C275" s="4078" t="str">
        <f ca="1">'Action Plan finance'!C79</f>
        <v/>
      </c>
      <c r="D275" s="5108" t="e">
        <f ca="1">IF($B275="WS",VLOOKUP($C275,'PIP finance'!$C$9:$P$59,G$250,FALSE),IF($B275="WW",VLOOKUP($C275,'PIP finance'!$C$177:$P$220,G$250,FALSE),VLOOKUP($C275,'PIP finance'!$C$325:$P$362,G$250,FALSE)))</f>
        <v>#N/A</v>
      </c>
      <c r="E275" s="5109" t="e">
        <f ca="1">IF($B275="WS",VLOOKUP($C275,'PIP finance'!$C$9:$P$59,H$250,FALSE),IF($B275="WW",VLOOKUP($C275,'PIP finance'!$C$177:$P$220,H$250,FALSE),VLOOKUP($C275,'PIP finance'!$C$325:$P$362,H$250,FALSE)))</f>
        <v>#N/A</v>
      </c>
      <c r="F275" s="5109" t="e">
        <f ca="1">IF($B275="WS",VLOOKUP($C275,'PIP finance'!$C$9:$P$59,I$250,FALSE),IF($B275="WW",VLOOKUP($C275,'PIP finance'!$C$177:$P$220,I$250,FALSE),VLOOKUP($C275,'PIP finance'!$C$325:$P$362,I$250,FALSE)))</f>
        <v>#N/A</v>
      </c>
      <c r="G275" s="5111" t="e">
        <f ca="1">IF($B275="WS",VLOOKUP($C275,'PIP finance'!$C$9:$P$59,J$250,FALSE),IF($B275="WW",VLOOKUP($C275,'PIP finance'!$C$177:$P$220,J$250,FALSE),VLOOKUP($C275,'PIP finance'!$C$325:$P$362,J$250,FALSE)))</f>
        <v>#N/A</v>
      </c>
      <c r="H275" s="5111" t="e">
        <f ca="1">IF($B275="WS",VLOOKUP($C275,'PIP finance'!$C$9:$P$59,K$250,FALSE),IF($B275="WW",VLOOKUP($C275,'PIP finance'!$C$177:$P$220,K$250,FALSE),VLOOKUP($C275,'PIP finance'!$C$325:$P$362,K$250,FALSE)))</f>
        <v>#N/A</v>
      </c>
      <c r="I275" s="5111" t="e">
        <f ca="1">IF($B275="WS",VLOOKUP($C275,'PIP finance'!$C$9:$P$59,L$250,FALSE),IF($B275="WW",VLOOKUP($C275,'PIP finance'!$C$177:$P$220,L$250,FALSE),VLOOKUP($C275,'PIP finance'!$C$325:$P$362,L$250,FALSE)))</f>
        <v>#N/A</v>
      </c>
      <c r="J275" s="5111" t="e">
        <f ca="1">IF($B275="WS",VLOOKUP($C275,'PIP finance'!$C$9:$P$59,M$250,FALSE),IF($B275="WW",VLOOKUP($C275,'PIP finance'!$C$177:$P$220,M$250,FALSE),VLOOKUP($C275,'PIP finance'!$C$325:$P$362,M$250,FALSE)))</f>
        <v>#N/A</v>
      </c>
      <c r="K275" s="5111" t="e">
        <f ca="1">IF($B275="WS",VLOOKUP($C275,'PIP finance'!$C$9:$P$59,N$250,FALSE),IF($B275="WW",VLOOKUP($C275,'PIP finance'!$C$177:$P$220,N$250,FALSE),VLOOKUP($C275,'PIP finance'!$C$325:$P$362,N$250,FALSE)))</f>
        <v>#N/A</v>
      </c>
      <c r="L275" s="5111" t="e">
        <f ca="1">IF($B275="WS",VLOOKUP($C275,'PIP finance'!$C$9:$P$59,O$250,FALSE),IF($B275="WW",VLOOKUP($C275,'PIP finance'!$C$177:$P$220,O$250,FALSE),VLOOKUP($C275,'PIP finance'!$C$325:$P$362,O$250,FALSE)))</f>
        <v>#N/A</v>
      </c>
      <c r="M275" s="5111" t="e">
        <f ca="1">IF($B275="WS",VLOOKUP($C275,'PIP finance'!$C$9:$P$59,P$250,FALSE),IF($B275="WW",VLOOKUP($C275,'PIP finance'!$C$177:$P$220,P$250,FALSE),VLOOKUP($C275,'PIP finance'!$C$325:$P$362,P$250,FALSE)))</f>
        <v>#N/A</v>
      </c>
    </row>
    <row r="276" spans="1:27" ht="30" x14ac:dyDescent="0.25">
      <c r="A276" s="4076">
        <v>25</v>
      </c>
      <c r="B276" s="4076" t="str">
        <f ca="1">'Action Plan finance'!AH80</f>
        <v/>
      </c>
      <c r="C276" s="4078" t="str">
        <f ca="1">'Action Plan finance'!C80</f>
        <v/>
      </c>
      <c r="D276" s="5108" t="e">
        <f ca="1">IF($B276="WS",VLOOKUP($C276,'PIP finance'!$C$9:$P$59,G$250,FALSE),IF($B276="WW",VLOOKUP($C276,'PIP finance'!$C$177:$P$220,G$250,FALSE),VLOOKUP($C276,'PIP finance'!$C$325:$P$362,G$250,FALSE)))</f>
        <v>#N/A</v>
      </c>
      <c r="E276" s="5109" t="e">
        <f ca="1">IF($B276="WS",VLOOKUP($C276,'PIP finance'!$C$9:$P$59,H$250,FALSE),IF($B276="WW",VLOOKUP($C276,'PIP finance'!$C$177:$P$220,H$250,FALSE),VLOOKUP($C276,'PIP finance'!$C$325:$P$362,H$250,FALSE)))</f>
        <v>#N/A</v>
      </c>
      <c r="F276" s="5109" t="e">
        <f ca="1">IF($B276="WS",VLOOKUP($C276,'PIP finance'!$C$9:$P$59,I$250,FALSE),IF($B276="WW",VLOOKUP($C276,'PIP finance'!$C$177:$P$220,I$250,FALSE),VLOOKUP($C276,'PIP finance'!$C$325:$P$362,I$250,FALSE)))</f>
        <v>#N/A</v>
      </c>
      <c r="G276" s="5111" t="e">
        <f ca="1">IF($B276="WS",VLOOKUP($C276,'PIP finance'!$C$9:$P$59,J$250,FALSE),IF($B276="WW",VLOOKUP($C276,'PIP finance'!$C$177:$P$220,J$250,FALSE),VLOOKUP($C276,'PIP finance'!$C$325:$P$362,J$250,FALSE)))</f>
        <v>#N/A</v>
      </c>
      <c r="H276" s="5111" t="e">
        <f ca="1">IF($B276="WS",VLOOKUP($C276,'PIP finance'!$C$9:$P$59,K$250,FALSE),IF($B276="WW",VLOOKUP($C276,'PIP finance'!$C$177:$P$220,K$250,FALSE),VLOOKUP($C276,'PIP finance'!$C$325:$P$362,K$250,FALSE)))</f>
        <v>#N/A</v>
      </c>
      <c r="I276" s="5111" t="e">
        <f ca="1">IF($B276="WS",VLOOKUP($C276,'PIP finance'!$C$9:$P$59,L$250,FALSE),IF($B276="WW",VLOOKUP($C276,'PIP finance'!$C$177:$P$220,L$250,FALSE),VLOOKUP($C276,'PIP finance'!$C$325:$P$362,L$250,FALSE)))</f>
        <v>#N/A</v>
      </c>
      <c r="J276" s="5111" t="e">
        <f ca="1">IF($B276="WS",VLOOKUP($C276,'PIP finance'!$C$9:$P$59,M$250,FALSE),IF($B276="WW",VLOOKUP($C276,'PIP finance'!$C$177:$P$220,M$250,FALSE),VLOOKUP($C276,'PIP finance'!$C$325:$P$362,M$250,FALSE)))</f>
        <v>#N/A</v>
      </c>
      <c r="K276" s="5111" t="e">
        <f ca="1">IF($B276="WS",VLOOKUP($C276,'PIP finance'!$C$9:$P$59,N$250,FALSE),IF($B276="WW",VLOOKUP($C276,'PIP finance'!$C$177:$P$220,N$250,FALSE),VLOOKUP($C276,'PIP finance'!$C$325:$P$362,N$250,FALSE)))</f>
        <v>#N/A</v>
      </c>
      <c r="L276" s="5111" t="e">
        <f ca="1">IF($B276="WS",VLOOKUP($C276,'PIP finance'!$C$9:$P$59,O$250,FALSE),IF($B276="WW",VLOOKUP($C276,'PIP finance'!$C$177:$P$220,O$250,FALSE),VLOOKUP($C276,'PIP finance'!$C$325:$P$362,O$250,FALSE)))</f>
        <v>#N/A</v>
      </c>
      <c r="M276" s="5111" t="e">
        <f ca="1">IF($B276="WS",VLOOKUP($C276,'PIP finance'!$C$9:$P$59,P$250,FALSE),IF($B276="WW",VLOOKUP($C276,'PIP finance'!$C$177:$P$220,P$250,FALSE),VLOOKUP($C276,'PIP finance'!$C$325:$P$362,P$250,FALSE)))</f>
        <v>#N/A</v>
      </c>
      <c r="W276" s="5132" t="s">
        <v>945</v>
      </c>
      <c r="X276" s="5133" t="s">
        <v>943</v>
      </c>
      <c r="Y276" s="5134" t="s">
        <v>944</v>
      </c>
    </row>
    <row r="277" spans="1:27" x14ac:dyDescent="0.25">
      <c r="A277" s="4076">
        <v>26</v>
      </c>
      <c r="B277" s="4076" t="str">
        <f ca="1">'Action Plan finance'!AH81</f>
        <v/>
      </c>
      <c r="C277" s="4078" t="str">
        <f ca="1">'Action Plan finance'!C81</f>
        <v/>
      </c>
      <c r="D277" s="5108" t="e">
        <f ca="1">IF($B277="WS",VLOOKUP($C277,'PIP finance'!$C$9:$P$59,G$250,FALSE),IF($B277="WW",VLOOKUP($C277,'PIP finance'!$C$177:$P$220,G$250,FALSE),VLOOKUP($C277,'PIP finance'!$C$325:$P$362,G$250,FALSE)))</f>
        <v>#N/A</v>
      </c>
      <c r="E277" s="5109" t="e">
        <f ca="1">IF($B277="WS",VLOOKUP($C277,'PIP finance'!$C$9:$P$59,H$250,FALSE),IF($B277="WW",VLOOKUP($C277,'PIP finance'!$C$177:$P$220,H$250,FALSE),VLOOKUP($C277,'PIP finance'!$C$325:$P$362,H$250,FALSE)))</f>
        <v>#N/A</v>
      </c>
      <c r="F277" s="5109" t="e">
        <f ca="1">IF($B277="WS",VLOOKUP($C277,'PIP finance'!$C$9:$P$59,I$250,FALSE),IF($B277="WW",VLOOKUP($C277,'PIP finance'!$C$177:$P$220,I$250,FALSE),VLOOKUP($C277,'PIP finance'!$C$325:$P$362,I$250,FALSE)))</f>
        <v>#N/A</v>
      </c>
      <c r="G277" s="5111" t="e">
        <f ca="1">IF($B277="WS",VLOOKUP($C277,'PIP finance'!$C$9:$P$59,J$250,FALSE),IF($B277="WW",VLOOKUP($C277,'PIP finance'!$C$177:$P$220,J$250,FALSE),VLOOKUP($C277,'PIP finance'!$C$325:$P$362,J$250,FALSE)))</f>
        <v>#N/A</v>
      </c>
      <c r="H277" s="5111" t="e">
        <f ca="1">IF($B277="WS",VLOOKUP($C277,'PIP finance'!$C$9:$P$59,K$250,FALSE),IF($B277="WW",VLOOKUP($C277,'PIP finance'!$C$177:$P$220,K$250,FALSE),VLOOKUP($C277,'PIP finance'!$C$325:$P$362,K$250,FALSE)))</f>
        <v>#N/A</v>
      </c>
      <c r="I277" s="5111" t="e">
        <f ca="1">IF($B277="WS",VLOOKUP($C277,'PIP finance'!$C$9:$P$59,L$250,FALSE),IF($B277="WW",VLOOKUP($C277,'PIP finance'!$C$177:$P$220,L$250,FALSE),VLOOKUP($C277,'PIP finance'!$C$325:$P$362,L$250,FALSE)))</f>
        <v>#N/A</v>
      </c>
      <c r="J277" s="5111" t="e">
        <f ca="1">IF($B277="WS",VLOOKUP($C277,'PIP finance'!$C$9:$P$59,M$250,FALSE),IF($B277="WW",VLOOKUP($C277,'PIP finance'!$C$177:$P$220,M$250,FALSE),VLOOKUP($C277,'PIP finance'!$C$325:$P$362,M$250,FALSE)))</f>
        <v>#N/A</v>
      </c>
      <c r="K277" s="5111" t="e">
        <f ca="1">IF($B277="WS",VLOOKUP($C277,'PIP finance'!$C$9:$P$59,N$250,FALSE),IF($B277="WW",VLOOKUP($C277,'PIP finance'!$C$177:$P$220,N$250,FALSE),VLOOKUP($C277,'PIP finance'!$C$325:$P$362,N$250,FALSE)))</f>
        <v>#N/A</v>
      </c>
      <c r="L277" s="5111" t="e">
        <f ca="1">IF($B277="WS",VLOOKUP($C277,'PIP finance'!$C$9:$P$59,O$250,FALSE),IF($B277="WW",VLOOKUP($C277,'PIP finance'!$C$177:$P$220,O$250,FALSE),VLOOKUP($C277,'PIP finance'!$C$325:$P$362,O$250,FALSE)))</f>
        <v>#N/A</v>
      </c>
      <c r="M277" s="5111" t="e">
        <f ca="1">IF($B277="WS",VLOOKUP($C277,'PIP finance'!$C$9:$P$59,P$250,FALSE),IF($B277="WW",VLOOKUP($C277,'PIP finance'!$C$177:$P$220,P$250,FALSE),VLOOKUP($C277,'PIP finance'!$C$325:$P$362,P$250,FALSE)))</f>
        <v>#N/A</v>
      </c>
      <c r="W277" s="5135" t="s">
        <v>891</v>
      </c>
      <c r="X277" s="5136">
        <f ca="1">Z257</f>
        <v>0</v>
      </c>
      <c r="Y277" s="5137">
        <f>Z268-Z269</f>
        <v>0</v>
      </c>
    </row>
    <row r="278" spans="1:27" x14ac:dyDescent="0.25">
      <c r="A278" s="4076">
        <v>27</v>
      </c>
      <c r="B278" s="4076" t="str">
        <f ca="1">'Action Plan finance'!AH82</f>
        <v/>
      </c>
      <c r="C278" s="4078" t="str">
        <f ca="1">'Action Plan finance'!C82</f>
        <v/>
      </c>
      <c r="D278" s="5108" t="e">
        <f ca="1">IF($B278="WS",VLOOKUP($C278,'PIP finance'!$C$9:$P$59,G$250,FALSE),IF($B278="WW",VLOOKUP($C278,'PIP finance'!$C$177:$P$220,G$250,FALSE),VLOOKUP($C278,'PIP finance'!$C$325:$P$362,G$250,FALSE)))</f>
        <v>#N/A</v>
      </c>
      <c r="E278" s="5109" t="e">
        <f ca="1">IF($B278="WS",VLOOKUP($C278,'PIP finance'!$C$9:$P$59,H$250,FALSE),IF($B278="WW",VLOOKUP($C278,'PIP finance'!$C$177:$P$220,H$250,FALSE),VLOOKUP($C278,'PIP finance'!$C$325:$P$362,H$250,FALSE)))</f>
        <v>#N/A</v>
      </c>
      <c r="F278" s="5109" t="e">
        <f ca="1">IF($B278="WS",VLOOKUP($C278,'PIP finance'!$C$9:$P$59,I$250,FALSE),IF($B278="WW",VLOOKUP($C278,'PIP finance'!$C$177:$P$220,I$250,FALSE),VLOOKUP($C278,'PIP finance'!$C$325:$P$362,I$250,FALSE)))</f>
        <v>#N/A</v>
      </c>
      <c r="G278" s="5111" t="e">
        <f ca="1">IF($B278="WS",VLOOKUP($C278,'PIP finance'!$C$9:$P$59,J$250,FALSE),IF($B278="WW",VLOOKUP($C278,'PIP finance'!$C$177:$P$220,J$250,FALSE),VLOOKUP($C278,'PIP finance'!$C$325:$P$362,J$250,FALSE)))</f>
        <v>#N/A</v>
      </c>
      <c r="H278" s="5111" t="e">
        <f ca="1">IF($B278="WS",VLOOKUP($C278,'PIP finance'!$C$9:$P$59,K$250,FALSE),IF($B278="WW",VLOOKUP($C278,'PIP finance'!$C$177:$P$220,K$250,FALSE),VLOOKUP($C278,'PIP finance'!$C$325:$P$362,K$250,FALSE)))</f>
        <v>#N/A</v>
      </c>
      <c r="I278" s="5111" t="e">
        <f ca="1">IF($B278="WS",VLOOKUP($C278,'PIP finance'!$C$9:$P$59,L$250,FALSE),IF($B278="WW",VLOOKUP($C278,'PIP finance'!$C$177:$P$220,L$250,FALSE),VLOOKUP($C278,'PIP finance'!$C$325:$P$362,L$250,FALSE)))</f>
        <v>#N/A</v>
      </c>
      <c r="J278" s="5111" t="e">
        <f ca="1">IF($B278="WS",VLOOKUP($C278,'PIP finance'!$C$9:$P$59,M$250,FALSE),IF($B278="WW",VLOOKUP($C278,'PIP finance'!$C$177:$P$220,M$250,FALSE),VLOOKUP($C278,'PIP finance'!$C$325:$P$362,M$250,FALSE)))</f>
        <v>#N/A</v>
      </c>
      <c r="K278" s="5111" t="e">
        <f ca="1">IF($B278="WS",VLOOKUP($C278,'PIP finance'!$C$9:$P$59,N$250,FALSE),IF($B278="WW",VLOOKUP($C278,'PIP finance'!$C$177:$P$220,N$250,FALSE),VLOOKUP($C278,'PIP finance'!$C$325:$P$362,N$250,FALSE)))</f>
        <v>#N/A</v>
      </c>
      <c r="L278" s="5111" t="e">
        <f ca="1">IF($B278="WS",VLOOKUP($C278,'PIP finance'!$C$9:$P$59,O$250,FALSE),IF($B278="WW",VLOOKUP($C278,'PIP finance'!$C$177:$P$220,O$250,FALSE),VLOOKUP($C278,'PIP finance'!$C$325:$P$362,O$250,FALSE)))</f>
        <v>#N/A</v>
      </c>
      <c r="M278" s="5111" t="e">
        <f ca="1">IF($B278="WS",VLOOKUP($C278,'PIP finance'!$C$9:$P$59,P$250,FALSE),IF($B278="WW",VLOOKUP($C278,'PIP finance'!$C$177:$P$220,P$250,FALSE),VLOOKUP($C278,'PIP finance'!$C$325:$P$362,P$250,FALSE)))</f>
        <v>#N/A</v>
      </c>
      <c r="W278" s="5135" t="s">
        <v>892</v>
      </c>
      <c r="X278" s="5136">
        <f ca="1">Z258</f>
        <v>1226.0956931531321</v>
      </c>
      <c r="Y278" s="5137">
        <f>Z270-Z271</f>
        <v>-1380.8425164676173</v>
      </c>
    </row>
    <row r="279" spans="1:27" ht="15.75" thickBot="1" x14ac:dyDescent="0.3">
      <c r="A279" s="4076">
        <v>28</v>
      </c>
      <c r="B279" s="4076" t="str">
        <f ca="1">'Action Plan finance'!AH83</f>
        <v/>
      </c>
      <c r="C279" s="4078" t="str">
        <f ca="1">'Action Plan finance'!C83</f>
        <v/>
      </c>
      <c r="D279" s="5108" t="e">
        <f ca="1">IF($B279="WS",VLOOKUP($C279,'PIP finance'!$C$9:$P$59,G$250,FALSE),IF($B279="WW",VLOOKUP($C279,'PIP finance'!$C$177:$P$220,G$250,FALSE),VLOOKUP($C279,'PIP finance'!$C$325:$P$362,G$250,FALSE)))</f>
        <v>#N/A</v>
      </c>
      <c r="E279" s="5109" t="e">
        <f ca="1">IF($B279="WS",VLOOKUP($C279,'PIP finance'!$C$9:$P$59,H$250,FALSE),IF($B279="WW",VLOOKUP($C279,'PIP finance'!$C$177:$P$220,H$250,FALSE),VLOOKUP($C279,'PIP finance'!$C$325:$P$362,H$250,FALSE)))</f>
        <v>#N/A</v>
      </c>
      <c r="F279" s="5109" t="e">
        <f ca="1">IF($B279="WS",VLOOKUP($C279,'PIP finance'!$C$9:$P$59,I$250,FALSE),IF($B279="WW",VLOOKUP($C279,'PIP finance'!$C$177:$P$220,I$250,FALSE),VLOOKUP($C279,'PIP finance'!$C$325:$P$362,I$250,FALSE)))</f>
        <v>#N/A</v>
      </c>
      <c r="G279" s="5111" t="e">
        <f ca="1">IF($B279="WS",VLOOKUP($C279,'PIP finance'!$C$9:$P$59,J$250,FALSE),IF($B279="WW",VLOOKUP($C279,'PIP finance'!$C$177:$P$220,J$250,FALSE),VLOOKUP($C279,'PIP finance'!$C$325:$P$362,J$250,FALSE)))</f>
        <v>#N/A</v>
      </c>
      <c r="H279" s="5111" t="e">
        <f ca="1">IF($B279="WS",VLOOKUP($C279,'PIP finance'!$C$9:$P$59,K$250,FALSE),IF($B279="WW",VLOOKUP($C279,'PIP finance'!$C$177:$P$220,K$250,FALSE),VLOOKUP($C279,'PIP finance'!$C$325:$P$362,K$250,FALSE)))</f>
        <v>#N/A</v>
      </c>
      <c r="I279" s="5111" t="e">
        <f ca="1">IF($B279="WS",VLOOKUP($C279,'PIP finance'!$C$9:$P$59,L$250,FALSE),IF($B279="WW",VLOOKUP($C279,'PIP finance'!$C$177:$P$220,L$250,FALSE),VLOOKUP($C279,'PIP finance'!$C$325:$P$362,L$250,FALSE)))</f>
        <v>#N/A</v>
      </c>
      <c r="J279" s="5111" t="e">
        <f ca="1">IF($B279="WS",VLOOKUP($C279,'PIP finance'!$C$9:$P$59,M$250,FALSE),IF($B279="WW",VLOOKUP($C279,'PIP finance'!$C$177:$P$220,M$250,FALSE),VLOOKUP($C279,'PIP finance'!$C$325:$P$362,M$250,FALSE)))</f>
        <v>#N/A</v>
      </c>
      <c r="K279" s="5111" t="e">
        <f ca="1">IF($B279="WS",VLOOKUP($C279,'PIP finance'!$C$9:$P$59,N$250,FALSE),IF($B279="WW",VLOOKUP($C279,'PIP finance'!$C$177:$P$220,N$250,FALSE),VLOOKUP($C279,'PIP finance'!$C$325:$P$362,N$250,FALSE)))</f>
        <v>#N/A</v>
      </c>
      <c r="L279" s="5111" t="e">
        <f ca="1">IF($B279="WS",VLOOKUP($C279,'PIP finance'!$C$9:$P$59,O$250,FALSE),IF($B279="WW",VLOOKUP($C279,'PIP finance'!$C$177:$P$220,O$250,FALSE),VLOOKUP($C279,'PIP finance'!$C$325:$P$362,O$250,FALSE)))</f>
        <v>#N/A</v>
      </c>
      <c r="M279" s="5111" t="e">
        <f ca="1">IF($B279="WS",VLOOKUP($C279,'PIP finance'!$C$9:$P$59,P$250,FALSE),IF($B279="WW",VLOOKUP($C279,'PIP finance'!$C$177:$P$220,P$250,FALSE),VLOOKUP($C279,'PIP finance'!$C$325:$P$362,P$250,FALSE)))</f>
        <v>#N/A</v>
      </c>
      <c r="W279" s="5138" t="s">
        <v>893</v>
      </c>
      <c r="X279" s="5139">
        <f ca="1">Z259</f>
        <v>0</v>
      </c>
      <c r="Y279" s="5140">
        <f>Z272-Z273</f>
        <v>0</v>
      </c>
    </row>
    <row r="280" spans="1:27" x14ac:dyDescent="0.25">
      <c r="A280" s="4076">
        <v>29</v>
      </c>
      <c r="B280" s="4076" t="str">
        <f ca="1">'Action Plan finance'!AH84</f>
        <v/>
      </c>
      <c r="C280" s="4078" t="str">
        <f ca="1">'Action Plan finance'!C84</f>
        <v/>
      </c>
      <c r="D280" s="5108" t="e">
        <f ca="1">IF($B280="WS",VLOOKUP($C280,'PIP finance'!$C$9:$P$59,G$250,FALSE),IF($B280="WW",VLOOKUP($C280,'PIP finance'!$C$177:$P$220,G$250,FALSE),VLOOKUP($C280,'PIP finance'!$C$325:$P$362,G$250,FALSE)))</f>
        <v>#N/A</v>
      </c>
      <c r="E280" s="5109" t="e">
        <f ca="1">IF($B280="WS",VLOOKUP($C280,'PIP finance'!$C$9:$P$59,H$250,FALSE),IF($B280="WW",VLOOKUP($C280,'PIP finance'!$C$177:$P$220,H$250,FALSE),VLOOKUP($C280,'PIP finance'!$C$325:$P$362,H$250,FALSE)))</f>
        <v>#N/A</v>
      </c>
      <c r="F280" s="5109" t="e">
        <f ca="1">IF($B280="WS",VLOOKUP($C280,'PIP finance'!$C$9:$P$59,I$250,FALSE),IF($B280="WW",VLOOKUP($C280,'PIP finance'!$C$177:$P$220,I$250,FALSE),VLOOKUP($C280,'PIP finance'!$C$325:$P$362,I$250,FALSE)))</f>
        <v>#N/A</v>
      </c>
      <c r="G280" s="5111" t="e">
        <f ca="1">IF($B280="WS",VLOOKUP($C280,'PIP finance'!$C$9:$P$59,J$250,FALSE),IF($B280="WW",VLOOKUP($C280,'PIP finance'!$C$177:$P$220,J$250,FALSE),VLOOKUP($C280,'PIP finance'!$C$325:$P$362,J$250,FALSE)))</f>
        <v>#N/A</v>
      </c>
      <c r="H280" s="5111" t="e">
        <f ca="1">IF($B280="WS",VLOOKUP($C280,'PIP finance'!$C$9:$P$59,K$250,FALSE),IF($B280="WW",VLOOKUP($C280,'PIP finance'!$C$177:$P$220,K$250,FALSE),VLOOKUP($C280,'PIP finance'!$C$325:$P$362,K$250,FALSE)))</f>
        <v>#N/A</v>
      </c>
      <c r="I280" s="5111" t="e">
        <f ca="1">IF($B280="WS",VLOOKUP($C280,'PIP finance'!$C$9:$P$59,L$250,FALSE),IF($B280="WW",VLOOKUP($C280,'PIP finance'!$C$177:$P$220,L$250,FALSE),VLOOKUP($C280,'PIP finance'!$C$325:$P$362,L$250,FALSE)))</f>
        <v>#N/A</v>
      </c>
      <c r="J280" s="5111" t="e">
        <f ca="1">IF($B280="WS",VLOOKUP($C280,'PIP finance'!$C$9:$P$59,M$250,FALSE),IF($B280="WW",VLOOKUP($C280,'PIP finance'!$C$177:$P$220,M$250,FALSE),VLOOKUP($C280,'PIP finance'!$C$325:$P$362,M$250,FALSE)))</f>
        <v>#N/A</v>
      </c>
      <c r="K280" s="5111" t="e">
        <f ca="1">IF($B280="WS",VLOOKUP($C280,'PIP finance'!$C$9:$P$59,N$250,FALSE),IF($B280="WW",VLOOKUP($C280,'PIP finance'!$C$177:$P$220,N$250,FALSE),VLOOKUP($C280,'PIP finance'!$C$325:$P$362,N$250,FALSE)))</f>
        <v>#N/A</v>
      </c>
      <c r="L280" s="5111" t="e">
        <f ca="1">IF($B280="WS",VLOOKUP($C280,'PIP finance'!$C$9:$P$59,O$250,FALSE),IF($B280="WW",VLOOKUP($C280,'PIP finance'!$C$177:$P$220,O$250,FALSE),VLOOKUP($C280,'PIP finance'!$C$325:$P$362,O$250,FALSE)))</f>
        <v>#N/A</v>
      </c>
      <c r="M280" s="5111" t="e">
        <f ca="1">IF($B280="WS",VLOOKUP($C280,'PIP finance'!$C$9:$P$59,P$250,FALSE),IF($B280="WW",VLOOKUP($C280,'PIP finance'!$C$177:$P$220,P$250,FALSE),VLOOKUP($C280,'PIP finance'!$C$325:$P$362,P$250,FALSE)))</f>
        <v>#N/A</v>
      </c>
    </row>
    <row r="281" spans="1:27" x14ac:dyDescent="0.25">
      <c r="A281" s="4076">
        <v>30</v>
      </c>
      <c r="B281" s="4076" t="str">
        <f ca="1">'Action Plan finance'!AH85</f>
        <v/>
      </c>
      <c r="C281" s="4078" t="str">
        <f ca="1">'Action Plan finance'!C85</f>
        <v/>
      </c>
      <c r="D281" s="5108" t="e">
        <f ca="1">IF($B281="WS",VLOOKUP($C281,'PIP finance'!$C$9:$P$59,G$250,FALSE),IF($B281="WW",VLOOKUP($C281,'PIP finance'!$C$177:$P$220,G$250,FALSE),VLOOKUP($C281,'PIP finance'!$C$325:$P$362,G$250,FALSE)))</f>
        <v>#N/A</v>
      </c>
      <c r="E281" s="5109" t="e">
        <f ca="1">IF($B281="WS",VLOOKUP($C281,'PIP finance'!$C$9:$P$59,H$250,FALSE),IF($B281="WW",VLOOKUP($C281,'PIP finance'!$C$177:$P$220,H$250,FALSE),VLOOKUP($C281,'PIP finance'!$C$325:$P$362,H$250,FALSE)))</f>
        <v>#N/A</v>
      </c>
      <c r="F281" s="5109" t="e">
        <f ca="1">IF($B281="WS",VLOOKUP($C281,'PIP finance'!$C$9:$P$59,I$250,FALSE),IF($B281="WW",VLOOKUP($C281,'PIP finance'!$C$177:$P$220,I$250,FALSE),VLOOKUP($C281,'PIP finance'!$C$325:$P$362,I$250,FALSE)))</f>
        <v>#N/A</v>
      </c>
      <c r="G281" s="5111" t="e">
        <f ca="1">IF($B281="WS",VLOOKUP($C281,'PIP finance'!$C$9:$P$59,J$250,FALSE),IF($B281="WW",VLOOKUP($C281,'PIP finance'!$C$177:$P$220,J$250,FALSE),VLOOKUP($C281,'PIP finance'!$C$325:$P$362,J$250,FALSE)))</f>
        <v>#N/A</v>
      </c>
      <c r="H281" s="5111" t="e">
        <f ca="1">IF($B281="WS",VLOOKUP($C281,'PIP finance'!$C$9:$P$59,K$250,FALSE),IF($B281="WW",VLOOKUP($C281,'PIP finance'!$C$177:$P$220,K$250,FALSE),VLOOKUP($C281,'PIP finance'!$C$325:$P$362,K$250,FALSE)))</f>
        <v>#N/A</v>
      </c>
      <c r="I281" s="5111" t="e">
        <f ca="1">IF($B281="WS",VLOOKUP($C281,'PIP finance'!$C$9:$P$59,L$250,FALSE),IF($B281="WW",VLOOKUP($C281,'PIP finance'!$C$177:$P$220,L$250,FALSE),VLOOKUP($C281,'PIP finance'!$C$325:$P$362,L$250,FALSE)))</f>
        <v>#N/A</v>
      </c>
      <c r="J281" s="5111" t="e">
        <f ca="1">IF($B281="WS",VLOOKUP($C281,'PIP finance'!$C$9:$P$59,M$250,FALSE),IF($B281="WW",VLOOKUP($C281,'PIP finance'!$C$177:$P$220,M$250,FALSE),VLOOKUP($C281,'PIP finance'!$C$325:$P$362,M$250,FALSE)))</f>
        <v>#N/A</v>
      </c>
      <c r="K281" s="5111" t="e">
        <f ca="1">IF($B281="WS",VLOOKUP($C281,'PIP finance'!$C$9:$P$59,N$250,FALSE),IF($B281="WW",VLOOKUP($C281,'PIP finance'!$C$177:$P$220,N$250,FALSE),VLOOKUP($C281,'PIP finance'!$C$325:$P$362,N$250,FALSE)))</f>
        <v>#N/A</v>
      </c>
      <c r="L281" s="5111" t="e">
        <f ca="1">IF($B281="WS",VLOOKUP($C281,'PIP finance'!$C$9:$P$59,O$250,FALSE),IF($B281="WW",VLOOKUP($C281,'PIP finance'!$C$177:$P$220,O$250,FALSE),VLOOKUP($C281,'PIP finance'!$C$325:$P$362,O$250,FALSE)))</f>
        <v>#N/A</v>
      </c>
      <c r="M281" s="5111" t="e">
        <f ca="1">IF($B281="WS",VLOOKUP($C281,'PIP finance'!$C$9:$P$59,P$250,FALSE),IF($B281="WW",VLOOKUP($C281,'PIP finance'!$C$177:$P$220,P$250,FALSE),VLOOKUP($C281,'PIP finance'!$C$325:$P$362,P$250,FALSE)))</f>
        <v>#N/A</v>
      </c>
    </row>
    <row r="282" spans="1:27" x14ac:dyDescent="0.25">
      <c r="A282" s="4076">
        <v>31</v>
      </c>
      <c r="B282" s="4076" t="str">
        <f ca="1">'Action Plan finance'!AH86</f>
        <v/>
      </c>
      <c r="C282" s="4078" t="str">
        <f ca="1">'Action Plan finance'!C86</f>
        <v/>
      </c>
      <c r="D282" s="5108" t="e">
        <f ca="1">IF($B282="WS",VLOOKUP($C282,'PIP finance'!$C$9:$P$59,G$250,FALSE),IF($B282="WW",VLOOKUP($C282,'PIP finance'!$C$177:$P$220,G$250,FALSE),VLOOKUP($C282,'PIP finance'!$C$325:$P$362,G$250,FALSE)))</f>
        <v>#N/A</v>
      </c>
      <c r="E282" s="5109" t="e">
        <f ca="1">IF($B282="WS",VLOOKUP($C282,'PIP finance'!$C$9:$P$59,H$250,FALSE),IF($B282="WW",VLOOKUP($C282,'PIP finance'!$C$177:$P$220,H$250,FALSE),VLOOKUP($C282,'PIP finance'!$C$325:$P$362,H$250,FALSE)))</f>
        <v>#N/A</v>
      </c>
      <c r="F282" s="5109" t="e">
        <f ca="1">IF($B282="WS",VLOOKUP($C282,'PIP finance'!$C$9:$P$59,I$250,FALSE),IF($B282="WW",VLOOKUP($C282,'PIP finance'!$C$177:$P$220,I$250,FALSE),VLOOKUP($C282,'PIP finance'!$C$325:$P$362,I$250,FALSE)))</f>
        <v>#N/A</v>
      </c>
      <c r="G282" s="5111" t="e">
        <f ca="1">IF($B282="WS",VLOOKUP($C282,'PIP finance'!$C$9:$P$59,J$250,FALSE),IF($B282="WW",VLOOKUP($C282,'PIP finance'!$C$177:$P$220,J$250,FALSE),VLOOKUP($C282,'PIP finance'!$C$325:$P$362,J$250,FALSE)))</f>
        <v>#N/A</v>
      </c>
      <c r="H282" s="5111" t="e">
        <f ca="1">IF($B282="WS",VLOOKUP($C282,'PIP finance'!$C$9:$P$59,K$250,FALSE),IF($B282="WW",VLOOKUP($C282,'PIP finance'!$C$177:$P$220,K$250,FALSE),VLOOKUP($C282,'PIP finance'!$C$325:$P$362,K$250,FALSE)))</f>
        <v>#N/A</v>
      </c>
      <c r="I282" s="5111" t="e">
        <f ca="1">IF($B282="WS",VLOOKUP($C282,'PIP finance'!$C$9:$P$59,L$250,FALSE),IF($B282="WW",VLOOKUP($C282,'PIP finance'!$C$177:$P$220,L$250,FALSE),VLOOKUP($C282,'PIP finance'!$C$325:$P$362,L$250,FALSE)))</f>
        <v>#N/A</v>
      </c>
      <c r="J282" s="5111" t="e">
        <f ca="1">IF($B282="WS",VLOOKUP($C282,'PIP finance'!$C$9:$P$59,M$250,FALSE),IF($B282="WW",VLOOKUP($C282,'PIP finance'!$C$177:$P$220,M$250,FALSE),VLOOKUP($C282,'PIP finance'!$C$325:$P$362,M$250,FALSE)))</f>
        <v>#N/A</v>
      </c>
      <c r="K282" s="5111" t="e">
        <f ca="1">IF($B282="WS",VLOOKUP($C282,'PIP finance'!$C$9:$P$59,N$250,FALSE),IF($B282="WW",VLOOKUP($C282,'PIP finance'!$C$177:$P$220,N$250,FALSE),VLOOKUP($C282,'PIP finance'!$C$325:$P$362,N$250,FALSE)))</f>
        <v>#N/A</v>
      </c>
      <c r="L282" s="5111" t="e">
        <f ca="1">IF($B282="WS",VLOOKUP($C282,'PIP finance'!$C$9:$P$59,O$250,FALSE),IF($B282="WW",VLOOKUP($C282,'PIP finance'!$C$177:$P$220,O$250,FALSE),VLOOKUP($C282,'PIP finance'!$C$325:$P$362,O$250,FALSE)))</f>
        <v>#N/A</v>
      </c>
      <c r="M282" s="5111" t="e">
        <f ca="1">IF($B282="WS",VLOOKUP($C282,'PIP finance'!$C$9:$P$59,P$250,FALSE),IF($B282="WW",VLOOKUP($C282,'PIP finance'!$C$177:$P$220,P$250,FALSE),VLOOKUP($C282,'PIP finance'!$C$325:$P$362,P$250,FALSE)))</f>
        <v>#N/A</v>
      </c>
    </row>
    <row r="283" spans="1:27" x14ac:dyDescent="0.25">
      <c r="A283" s="4076">
        <v>32</v>
      </c>
      <c r="B283" s="4076" t="str">
        <f ca="1">'Action Plan finance'!AH87</f>
        <v/>
      </c>
      <c r="C283" s="4078" t="str">
        <f ca="1">'Action Plan finance'!C87</f>
        <v/>
      </c>
      <c r="D283" s="5108" t="e">
        <f ca="1">IF($B283="WS",VLOOKUP($C283,'PIP finance'!$C$9:$P$59,G$250,FALSE),IF($B283="WW",VLOOKUP($C283,'PIP finance'!$C$177:$P$220,G$250,FALSE),VLOOKUP($C283,'PIP finance'!$C$325:$P$362,G$250,FALSE)))</f>
        <v>#N/A</v>
      </c>
      <c r="E283" s="5109" t="e">
        <f ca="1">IF($B283="WS",VLOOKUP($C283,'PIP finance'!$C$9:$P$59,H$250,FALSE),IF($B283="WW",VLOOKUP($C283,'PIP finance'!$C$177:$P$220,H$250,FALSE),VLOOKUP($C283,'PIP finance'!$C$325:$P$362,H$250,FALSE)))</f>
        <v>#N/A</v>
      </c>
      <c r="F283" s="5109" t="e">
        <f ca="1">IF($B283="WS",VLOOKUP($C283,'PIP finance'!$C$9:$P$59,I$250,FALSE),IF($B283="WW",VLOOKUP($C283,'PIP finance'!$C$177:$P$220,I$250,FALSE),VLOOKUP($C283,'PIP finance'!$C$325:$P$362,I$250,FALSE)))</f>
        <v>#N/A</v>
      </c>
      <c r="G283" s="5111" t="e">
        <f ca="1">IF($B283="WS",VLOOKUP($C283,'PIP finance'!$C$9:$P$59,J$250,FALSE),IF($B283="WW",VLOOKUP($C283,'PIP finance'!$C$177:$P$220,J$250,FALSE),VLOOKUP($C283,'PIP finance'!$C$325:$P$362,J$250,FALSE)))</f>
        <v>#N/A</v>
      </c>
      <c r="H283" s="5111" t="e">
        <f ca="1">IF($B283="WS",VLOOKUP($C283,'PIP finance'!$C$9:$P$59,K$250,FALSE),IF($B283="WW",VLOOKUP($C283,'PIP finance'!$C$177:$P$220,K$250,FALSE),VLOOKUP($C283,'PIP finance'!$C$325:$P$362,K$250,FALSE)))</f>
        <v>#N/A</v>
      </c>
      <c r="I283" s="5111" t="e">
        <f ca="1">IF($B283="WS",VLOOKUP($C283,'PIP finance'!$C$9:$P$59,L$250,FALSE),IF($B283="WW",VLOOKUP($C283,'PIP finance'!$C$177:$P$220,L$250,FALSE),VLOOKUP($C283,'PIP finance'!$C$325:$P$362,L$250,FALSE)))</f>
        <v>#N/A</v>
      </c>
      <c r="J283" s="5111" t="e">
        <f ca="1">IF($B283="WS",VLOOKUP($C283,'PIP finance'!$C$9:$P$59,M$250,FALSE),IF($B283="WW",VLOOKUP($C283,'PIP finance'!$C$177:$P$220,M$250,FALSE),VLOOKUP($C283,'PIP finance'!$C$325:$P$362,M$250,FALSE)))</f>
        <v>#N/A</v>
      </c>
      <c r="K283" s="5111" t="e">
        <f ca="1">IF($B283="WS",VLOOKUP($C283,'PIP finance'!$C$9:$P$59,N$250,FALSE),IF($B283="WW",VLOOKUP($C283,'PIP finance'!$C$177:$P$220,N$250,FALSE),VLOOKUP($C283,'PIP finance'!$C$325:$P$362,N$250,FALSE)))</f>
        <v>#N/A</v>
      </c>
      <c r="L283" s="5111" t="e">
        <f ca="1">IF($B283="WS",VLOOKUP($C283,'PIP finance'!$C$9:$P$59,O$250,FALSE),IF($B283="WW",VLOOKUP($C283,'PIP finance'!$C$177:$P$220,O$250,FALSE),VLOOKUP($C283,'PIP finance'!$C$325:$P$362,O$250,FALSE)))</f>
        <v>#N/A</v>
      </c>
      <c r="M283" s="5111" t="e">
        <f ca="1">IF($B283="WS",VLOOKUP($C283,'PIP finance'!$C$9:$P$59,P$250,FALSE),IF($B283="WW",VLOOKUP($C283,'PIP finance'!$C$177:$P$220,P$250,FALSE),VLOOKUP($C283,'PIP finance'!$C$325:$P$362,P$250,FALSE)))</f>
        <v>#N/A</v>
      </c>
    </row>
    <row r="284" spans="1:27" x14ac:dyDescent="0.25">
      <c r="A284" s="4076">
        <v>33</v>
      </c>
      <c r="B284" s="4076" t="str">
        <f ca="1">'Action Plan finance'!AH88</f>
        <v/>
      </c>
      <c r="C284" s="4078" t="str">
        <f ca="1">'Action Plan finance'!C88</f>
        <v/>
      </c>
      <c r="D284" s="5108" t="e">
        <f ca="1">IF($B284="WS",VLOOKUP($C284,'PIP finance'!$C$9:$P$59,G$250,FALSE),IF($B284="WW",VLOOKUP($C284,'PIP finance'!$C$177:$P$220,G$250,FALSE),VLOOKUP($C284,'PIP finance'!$C$325:$P$362,G$250,FALSE)))</f>
        <v>#N/A</v>
      </c>
      <c r="E284" s="5109" t="e">
        <f ca="1">IF($B284="WS",VLOOKUP($C284,'PIP finance'!$C$9:$P$59,H$250,FALSE),IF($B284="WW",VLOOKUP($C284,'PIP finance'!$C$177:$P$220,H$250,FALSE),VLOOKUP($C284,'PIP finance'!$C$325:$P$362,H$250,FALSE)))</f>
        <v>#N/A</v>
      </c>
      <c r="F284" s="5109" t="e">
        <f ca="1">IF($B284="WS",VLOOKUP($C284,'PIP finance'!$C$9:$P$59,I$250,FALSE),IF($B284="WW",VLOOKUP($C284,'PIP finance'!$C$177:$P$220,I$250,FALSE),VLOOKUP($C284,'PIP finance'!$C$325:$P$362,I$250,FALSE)))</f>
        <v>#N/A</v>
      </c>
      <c r="G284" s="5111" t="e">
        <f ca="1">IF($B284="WS",VLOOKUP($C284,'PIP finance'!$C$9:$P$59,J$250,FALSE),IF($B284="WW",VLOOKUP($C284,'PIP finance'!$C$177:$P$220,J$250,FALSE),VLOOKUP($C284,'PIP finance'!$C$325:$P$362,J$250,FALSE)))</f>
        <v>#N/A</v>
      </c>
      <c r="H284" s="5111" t="e">
        <f ca="1">IF($B284="WS",VLOOKUP($C284,'PIP finance'!$C$9:$P$59,K$250,FALSE),IF($B284="WW",VLOOKUP($C284,'PIP finance'!$C$177:$P$220,K$250,FALSE),VLOOKUP($C284,'PIP finance'!$C$325:$P$362,K$250,FALSE)))</f>
        <v>#N/A</v>
      </c>
      <c r="I284" s="5111" t="e">
        <f ca="1">IF($B284="WS",VLOOKUP($C284,'PIP finance'!$C$9:$P$59,L$250,FALSE),IF($B284="WW",VLOOKUP($C284,'PIP finance'!$C$177:$P$220,L$250,FALSE),VLOOKUP($C284,'PIP finance'!$C$325:$P$362,L$250,FALSE)))</f>
        <v>#N/A</v>
      </c>
      <c r="J284" s="5111" t="e">
        <f ca="1">IF($B284="WS",VLOOKUP($C284,'PIP finance'!$C$9:$P$59,M$250,FALSE),IF($B284="WW",VLOOKUP($C284,'PIP finance'!$C$177:$P$220,M$250,FALSE),VLOOKUP($C284,'PIP finance'!$C$325:$P$362,M$250,FALSE)))</f>
        <v>#N/A</v>
      </c>
      <c r="K284" s="5111" t="e">
        <f ca="1">IF($B284="WS",VLOOKUP($C284,'PIP finance'!$C$9:$P$59,N$250,FALSE),IF($B284="WW",VLOOKUP($C284,'PIP finance'!$C$177:$P$220,N$250,FALSE),VLOOKUP($C284,'PIP finance'!$C$325:$P$362,N$250,FALSE)))</f>
        <v>#N/A</v>
      </c>
      <c r="L284" s="5111" t="e">
        <f ca="1">IF($B284="WS",VLOOKUP($C284,'PIP finance'!$C$9:$P$59,O$250,FALSE),IF($B284="WW",VLOOKUP($C284,'PIP finance'!$C$177:$P$220,O$250,FALSE),VLOOKUP($C284,'PIP finance'!$C$325:$P$362,O$250,FALSE)))</f>
        <v>#N/A</v>
      </c>
      <c r="M284" s="5111" t="e">
        <f ca="1">IF($B284="WS",VLOOKUP($C284,'PIP finance'!$C$9:$P$59,P$250,FALSE),IF($B284="WW",VLOOKUP($C284,'PIP finance'!$C$177:$P$220,P$250,FALSE),VLOOKUP($C284,'PIP finance'!$C$325:$P$362,P$250,FALSE)))</f>
        <v>#N/A</v>
      </c>
    </row>
    <row r="285" spans="1:27" x14ac:dyDescent="0.25">
      <c r="A285" s="4076">
        <v>34</v>
      </c>
      <c r="B285" s="4076" t="str">
        <f ca="1">'Action Plan finance'!AH89</f>
        <v/>
      </c>
      <c r="C285" s="4078" t="str">
        <f ca="1">'Action Plan finance'!C89</f>
        <v/>
      </c>
      <c r="D285" s="5108" t="e">
        <f ca="1">IF($B285="WS",VLOOKUP($C285,'PIP finance'!$C$9:$P$59,G$250,FALSE),IF($B285="WW",VLOOKUP($C285,'PIP finance'!$C$177:$P$220,G$250,FALSE),VLOOKUP($C285,'PIP finance'!$C$325:$P$362,G$250,FALSE)))</f>
        <v>#N/A</v>
      </c>
      <c r="E285" s="5109" t="e">
        <f ca="1">IF($B285="WS",VLOOKUP($C285,'PIP finance'!$C$9:$P$59,H$250,FALSE),IF($B285="WW",VLOOKUP($C285,'PIP finance'!$C$177:$P$220,H$250,FALSE),VLOOKUP($C285,'PIP finance'!$C$325:$P$362,H$250,FALSE)))</f>
        <v>#N/A</v>
      </c>
      <c r="F285" s="5109" t="e">
        <f ca="1">IF($B285="WS",VLOOKUP($C285,'PIP finance'!$C$9:$P$59,I$250,FALSE),IF($B285="WW",VLOOKUP($C285,'PIP finance'!$C$177:$P$220,I$250,FALSE),VLOOKUP($C285,'PIP finance'!$C$325:$P$362,I$250,FALSE)))</f>
        <v>#N/A</v>
      </c>
      <c r="G285" s="5111" t="e">
        <f ca="1">IF($B285="WS",VLOOKUP($C285,'PIP finance'!$C$9:$P$59,J$250,FALSE),IF($B285="WW",VLOOKUP($C285,'PIP finance'!$C$177:$P$220,J$250,FALSE),VLOOKUP($C285,'PIP finance'!$C$325:$P$362,J$250,FALSE)))</f>
        <v>#N/A</v>
      </c>
      <c r="H285" s="5111" t="e">
        <f ca="1">IF($B285="WS",VLOOKUP($C285,'PIP finance'!$C$9:$P$59,K$250,FALSE),IF($B285="WW",VLOOKUP($C285,'PIP finance'!$C$177:$P$220,K$250,FALSE),VLOOKUP($C285,'PIP finance'!$C$325:$P$362,K$250,FALSE)))</f>
        <v>#N/A</v>
      </c>
      <c r="I285" s="5111" t="e">
        <f ca="1">IF($B285="WS",VLOOKUP($C285,'PIP finance'!$C$9:$P$59,L$250,FALSE),IF($B285="WW",VLOOKUP($C285,'PIP finance'!$C$177:$P$220,L$250,FALSE),VLOOKUP($C285,'PIP finance'!$C$325:$P$362,L$250,FALSE)))</f>
        <v>#N/A</v>
      </c>
      <c r="J285" s="5111" t="e">
        <f ca="1">IF($B285="WS",VLOOKUP($C285,'PIP finance'!$C$9:$P$59,M$250,FALSE),IF($B285="WW",VLOOKUP($C285,'PIP finance'!$C$177:$P$220,M$250,FALSE),VLOOKUP($C285,'PIP finance'!$C$325:$P$362,M$250,FALSE)))</f>
        <v>#N/A</v>
      </c>
      <c r="K285" s="5111" t="e">
        <f ca="1">IF($B285="WS",VLOOKUP($C285,'PIP finance'!$C$9:$P$59,N$250,FALSE),IF($B285="WW",VLOOKUP($C285,'PIP finance'!$C$177:$P$220,N$250,FALSE),VLOOKUP($C285,'PIP finance'!$C$325:$P$362,N$250,FALSE)))</f>
        <v>#N/A</v>
      </c>
      <c r="L285" s="5111" t="e">
        <f ca="1">IF($B285="WS",VLOOKUP($C285,'PIP finance'!$C$9:$P$59,O$250,FALSE),IF($B285="WW",VLOOKUP($C285,'PIP finance'!$C$177:$P$220,O$250,FALSE),VLOOKUP($C285,'PIP finance'!$C$325:$P$362,O$250,FALSE)))</f>
        <v>#N/A</v>
      </c>
      <c r="M285" s="5111" t="e">
        <f ca="1">IF($B285="WS",VLOOKUP($C285,'PIP finance'!$C$9:$P$59,P$250,FALSE),IF($B285="WW",VLOOKUP($C285,'PIP finance'!$C$177:$P$220,P$250,FALSE),VLOOKUP($C285,'PIP finance'!$C$325:$P$362,P$250,FALSE)))</f>
        <v>#N/A</v>
      </c>
    </row>
    <row r="286" spans="1:27" x14ac:dyDescent="0.25">
      <c r="A286" s="4076">
        <v>35</v>
      </c>
      <c r="B286" s="4076" t="str">
        <f ca="1">'Action Plan finance'!AH90</f>
        <v/>
      </c>
      <c r="C286" s="4078" t="str">
        <f ca="1">'Action Plan finance'!C90</f>
        <v/>
      </c>
      <c r="D286" s="5108" t="e">
        <f ca="1">IF($B286="WS",VLOOKUP($C286,'PIP finance'!$C$9:$P$59,G$250,FALSE),IF($B286="WW",VLOOKUP($C286,'PIP finance'!$C$177:$P$220,G$250,FALSE),VLOOKUP($C286,'PIP finance'!$C$325:$P$362,G$250,FALSE)))</f>
        <v>#N/A</v>
      </c>
      <c r="E286" s="5109" t="e">
        <f ca="1">IF($B286="WS",VLOOKUP($C286,'PIP finance'!$C$9:$P$59,H$250,FALSE),IF($B286="WW",VLOOKUP($C286,'PIP finance'!$C$177:$P$220,H$250,FALSE),VLOOKUP($C286,'PIP finance'!$C$325:$P$362,H$250,FALSE)))</f>
        <v>#N/A</v>
      </c>
      <c r="F286" s="5109" t="e">
        <f ca="1">IF($B286="WS",VLOOKUP($C286,'PIP finance'!$C$9:$P$59,I$250,FALSE),IF($B286="WW",VLOOKUP($C286,'PIP finance'!$C$177:$P$220,I$250,FALSE),VLOOKUP($C286,'PIP finance'!$C$325:$P$362,I$250,FALSE)))</f>
        <v>#N/A</v>
      </c>
      <c r="G286" s="5111" t="e">
        <f ca="1">IF($B286="WS",VLOOKUP($C286,'PIP finance'!$C$9:$P$59,J$250,FALSE),IF($B286="WW",VLOOKUP($C286,'PIP finance'!$C$177:$P$220,J$250,FALSE),VLOOKUP($C286,'PIP finance'!$C$325:$P$362,J$250,FALSE)))</f>
        <v>#N/A</v>
      </c>
      <c r="H286" s="5111" t="e">
        <f ca="1">IF($B286="WS",VLOOKUP($C286,'PIP finance'!$C$9:$P$59,K$250,FALSE),IF($B286="WW",VLOOKUP($C286,'PIP finance'!$C$177:$P$220,K$250,FALSE),VLOOKUP($C286,'PIP finance'!$C$325:$P$362,K$250,FALSE)))</f>
        <v>#N/A</v>
      </c>
      <c r="I286" s="5111" t="e">
        <f ca="1">IF($B286="WS",VLOOKUP($C286,'PIP finance'!$C$9:$P$59,L$250,FALSE),IF($B286="WW",VLOOKUP($C286,'PIP finance'!$C$177:$P$220,L$250,FALSE),VLOOKUP($C286,'PIP finance'!$C$325:$P$362,L$250,FALSE)))</f>
        <v>#N/A</v>
      </c>
      <c r="J286" s="5111" t="e">
        <f ca="1">IF($B286="WS",VLOOKUP($C286,'PIP finance'!$C$9:$P$59,M$250,FALSE),IF($B286="WW",VLOOKUP($C286,'PIP finance'!$C$177:$P$220,M$250,FALSE),VLOOKUP($C286,'PIP finance'!$C$325:$P$362,M$250,FALSE)))</f>
        <v>#N/A</v>
      </c>
      <c r="K286" s="5111" t="e">
        <f ca="1">IF($B286="WS",VLOOKUP($C286,'PIP finance'!$C$9:$P$59,N$250,FALSE),IF($B286="WW",VLOOKUP($C286,'PIP finance'!$C$177:$P$220,N$250,FALSE),VLOOKUP($C286,'PIP finance'!$C$325:$P$362,N$250,FALSE)))</f>
        <v>#N/A</v>
      </c>
      <c r="L286" s="5111" t="e">
        <f ca="1">IF($B286="WS",VLOOKUP($C286,'PIP finance'!$C$9:$P$59,O$250,FALSE),IF($B286="WW",VLOOKUP($C286,'PIP finance'!$C$177:$P$220,O$250,FALSE),VLOOKUP($C286,'PIP finance'!$C$325:$P$362,O$250,FALSE)))</f>
        <v>#N/A</v>
      </c>
      <c r="M286" s="5111" t="e">
        <f ca="1">IF($B286="WS",VLOOKUP($C286,'PIP finance'!$C$9:$P$59,P$250,FALSE),IF($B286="WW",VLOOKUP($C286,'PIP finance'!$C$177:$P$220,P$250,FALSE),VLOOKUP($C286,'PIP finance'!$C$325:$P$362,P$250,FALSE)))</f>
        <v>#N/A</v>
      </c>
      <c r="AA286" s="5120"/>
    </row>
    <row r="287" spans="1:27" x14ac:dyDescent="0.25">
      <c r="A287" s="4076">
        <v>36</v>
      </c>
      <c r="B287" s="4076" t="str">
        <f ca="1">'Action Plan finance'!AH91</f>
        <v/>
      </c>
      <c r="C287" s="4078" t="str">
        <f ca="1">'Action Plan finance'!C91</f>
        <v/>
      </c>
      <c r="D287" s="5108" t="e">
        <f ca="1">IF($B287="WS",VLOOKUP($C287,'PIP finance'!$C$9:$P$59,G$250,FALSE),IF($B287="WW",VLOOKUP($C287,'PIP finance'!$C$177:$P$220,G$250,FALSE),VLOOKUP($C287,'PIP finance'!$C$325:$P$362,G$250,FALSE)))</f>
        <v>#N/A</v>
      </c>
      <c r="E287" s="5109" t="e">
        <f ca="1">IF($B287="WS",VLOOKUP($C287,'PIP finance'!$C$9:$P$59,H$250,FALSE),IF($B287="WW",VLOOKUP($C287,'PIP finance'!$C$177:$P$220,H$250,FALSE),VLOOKUP($C287,'PIP finance'!$C$325:$P$362,H$250,FALSE)))</f>
        <v>#N/A</v>
      </c>
      <c r="F287" s="5109" t="e">
        <f ca="1">IF($B287="WS",VLOOKUP($C287,'PIP finance'!$C$9:$P$59,I$250,FALSE),IF($B287="WW",VLOOKUP($C287,'PIP finance'!$C$177:$P$220,I$250,FALSE),VLOOKUP($C287,'PIP finance'!$C$325:$P$362,I$250,FALSE)))</f>
        <v>#N/A</v>
      </c>
      <c r="G287" s="5111" t="e">
        <f ca="1">IF($B287="WS",VLOOKUP($C287,'PIP finance'!$C$9:$P$59,J$250,FALSE),IF($B287="WW",VLOOKUP($C287,'PIP finance'!$C$177:$P$220,J$250,FALSE),VLOOKUP($C287,'PIP finance'!$C$325:$P$362,J$250,FALSE)))</f>
        <v>#N/A</v>
      </c>
      <c r="H287" s="5111" t="e">
        <f ca="1">IF($B287="WS",VLOOKUP($C287,'PIP finance'!$C$9:$P$59,K$250,FALSE),IF($B287="WW",VLOOKUP($C287,'PIP finance'!$C$177:$P$220,K$250,FALSE),VLOOKUP($C287,'PIP finance'!$C$325:$P$362,K$250,FALSE)))</f>
        <v>#N/A</v>
      </c>
      <c r="I287" s="5111" t="e">
        <f ca="1">IF($B287="WS",VLOOKUP($C287,'PIP finance'!$C$9:$P$59,L$250,FALSE),IF($B287="WW",VLOOKUP($C287,'PIP finance'!$C$177:$P$220,L$250,FALSE),VLOOKUP($C287,'PIP finance'!$C$325:$P$362,L$250,FALSE)))</f>
        <v>#N/A</v>
      </c>
      <c r="J287" s="5111" t="e">
        <f ca="1">IF($B287="WS",VLOOKUP($C287,'PIP finance'!$C$9:$P$59,M$250,FALSE),IF($B287="WW",VLOOKUP($C287,'PIP finance'!$C$177:$P$220,M$250,FALSE),VLOOKUP($C287,'PIP finance'!$C$325:$P$362,M$250,FALSE)))</f>
        <v>#N/A</v>
      </c>
      <c r="K287" s="5111" t="e">
        <f ca="1">IF($B287="WS",VLOOKUP($C287,'PIP finance'!$C$9:$P$59,N$250,FALSE),IF($B287="WW",VLOOKUP($C287,'PIP finance'!$C$177:$P$220,N$250,FALSE),VLOOKUP($C287,'PIP finance'!$C$325:$P$362,N$250,FALSE)))</f>
        <v>#N/A</v>
      </c>
      <c r="L287" s="5111" t="e">
        <f ca="1">IF($B287="WS",VLOOKUP($C287,'PIP finance'!$C$9:$P$59,O$250,FALSE),IF($B287="WW",VLOOKUP($C287,'PIP finance'!$C$177:$P$220,O$250,FALSE),VLOOKUP($C287,'PIP finance'!$C$325:$P$362,O$250,FALSE)))</f>
        <v>#N/A</v>
      </c>
      <c r="M287" s="5111" t="e">
        <f ca="1">IF($B287="WS",VLOOKUP($C287,'PIP finance'!$C$9:$P$59,P$250,FALSE),IF($B287="WW",VLOOKUP($C287,'PIP finance'!$C$177:$P$220,P$250,FALSE),VLOOKUP($C287,'PIP finance'!$C$325:$P$362,P$250,FALSE)))</f>
        <v>#N/A</v>
      </c>
    </row>
    <row r="288" spans="1:27" x14ac:dyDescent="0.25">
      <c r="A288" s="4076">
        <v>37</v>
      </c>
      <c r="B288" s="4076" t="str">
        <f ca="1">'Action Plan finance'!AH92</f>
        <v/>
      </c>
      <c r="C288" s="4078" t="str">
        <f ca="1">'Action Plan finance'!C92</f>
        <v/>
      </c>
      <c r="D288" s="5108" t="e">
        <f ca="1">IF($B288="WS",VLOOKUP($C288,'PIP finance'!$C$9:$P$59,G$250,FALSE),IF($B288="WW",VLOOKUP($C288,'PIP finance'!$C$177:$P$220,G$250,FALSE),VLOOKUP($C288,'PIP finance'!$C$325:$P$362,G$250,FALSE)))</f>
        <v>#N/A</v>
      </c>
      <c r="E288" s="5109" t="e">
        <f ca="1">IF($B288="WS",VLOOKUP($C288,'PIP finance'!$C$9:$P$59,H$250,FALSE),IF($B288="WW",VLOOKUP($C288,'PIP finance'!$C$177:$P$220,H$250,FALSE),VLOOKUP($C288,'PIP finance'!$C$325:$P$362,H$250,FALSE)))</f>
        <v>#N/A</v>
      </c>
      <c r="F288" s="5109" t="e">
        <f ca="1">IF($B288="WS",VLOOKUP($C288,'PIP finance'!$C$9:$P$59,I$250,FALSE),IF($B288="WW",VLOOKUP($C288,'PIP finance'!$C$177:$P$220,I$250,FALSE),VLOOKUP($C288,'PIP finance'!$C$325:$P$362,I$250,FALSE)))</f>
        <v>#N/A</v>
      </c>
      <c r="G288" s="5111" t="e">
        <f ca="1">IF($B288="WS",VLOOKUP($C288,'PIP finance'!$C$9:$P$59,J$250,FALSE),IF($B288="WW",VLOOKUP($C288,'PIP finance'!$C$177:$P$220,J$250,FALSE),VLOOKUP($C288,'PIP finance'!$C$325:$P$362,J$250,FALSE)))</f>
        <v>#N/A</v>
      </c>
      <c r="H288" s="5111" t="e">
        <f ca="1">IF($B288="WS",VLOOKUP($C288,'PIP finance'!$C$9:$P$59,K$250,FALSE),IF($B288="WW",VLOOKUP($C288,'PIP finance'!$C$177:$P$220,K$250,FALSE),VLOOKUP($C288,'PIP finance'!$C$325:$P$362,K$250,FALSE)))</f>
        <v>#N/A</v>
      </c>
      <c r="I288" s="5111" t="e">
        <f ca="1">IF($B288="WS",VLOOKUP($C288,'PIP finance'!$C$9:$P$59,L$250,FALSE),IF($B288="WW",VLOOKUP($C288,'PIP finance'!$C$177:$P$220,L$250,FALSE),VLOOKUP($C288,'PIP finance'!$C$325:$P$362,L$250,FALSE)))</f>
        <v>#N/A</v>
      </c>
      <c r="J288" s="5111" t="e">
        <f ca="1">IF($B288="WS",VLOOKUP($C288,'PIP finance'!$C$9:$P$59,M$250,FALSE),IF($B288="WW",VLOOKUP($C288,'PIP finance'!$C$177:$P$220,M$250,FALSE),VLOOKUP($C288,'PIP finance'!$C$325:$P$362,M$250,FALSE)))</f>
        <v>#N/A</v>
      </c>
      <c r="K288" s="5111" t="e">
        <f ca="1">IF($B288="WS",VLOOKUP($C288,'PIP finance'!$C$9:$P$59,N$250,FALSE),IF($B288="WW",VLOOKUP($C288,'PIP finance'!$C$177:$P$220,N$250,FALSE),VLOOKUP($C288,'PIP finance'!$C$325:$P$362,N$250,FALSE)))</f>
        <v>#N/A</v>
      </c>
      <c r="L288" s="5111" t="e">
        <f ca="1">IF($B288="WS",VLOOKUP($C288,'PIP finance'!$C$9:$P$59,O$250,FALSE),IF($B288="WW",VLOOKUP($C288,'PIP finance'!$C$177:$P$220,O$250,FALSE),VLOOKUP($C288,'PIP finance'!$C$325:$P$362,O$250,FALSE)))</f>
        <v>#N/A</v>
      </c>
      <c r="M288" s="5111" t="e">
        <f ca="1">IF($B288="WS",VLOOKUP($C288,'PIP finance'!$C$9:$P$59,P$250,FALSE),IF($B288="WW",VLOOKUP($C288,'PIP finance'!$C$177:$P$220,P$250,FALSE),VLOOKUP($C288,'PIP finance'!$C$325:$P$362,P$250,FALSE)))</f>
        <v>#N/A</v>
      </c>
    </row>
    <row r="289" spans="1:13" x14ac:dyDescent="0.25">
      <c r="A289" s="4076">
        <v>38</v>
      </c>
      <c r="B289" s="4076" t="str">
        <f ca="1">'Action Plan finance'!AH93</f>
        <v/>
      </c>
      <c r="C289" s="4078" t="str">
        <f ca="1">'Action Plan finance'!C93</f>
        <v/>
      </c>
      <c r="D289" s="5108" t="e">
        <f ca="1">IF($B289="WS",VLOOKUP($C289,'PIP finance'!$C$9:$P$59,G$250,FALSE),IF($B289="WW",VLOOKUP($C289,'PIP finance'!$C$177:$P$220,G$250,FALSE),VLOOKUP($C289,'PIP finance'!$C$325:$P$362,G$250,FALSE)))</f>
        <v>#N/A</v>
      </c>
      <c r="E289" s="5109" t="e">
        <f ca="1">IF($B289="WS",VLOOKUP($C289,'PIP finance'!$C$9:$P$59,H$250,FALSE),IF($B289="WW",VLOOKUP($C289,'PIP finance'!$C$177:$P$220,H$250,FALSE),VLOOKUP($C289,'PIP finance'!$C$325:$P$362,H$250,FALSE)))</f>
        <v>#N/A</v>
      </c>
      <c r="F289" s="5109" t="e">
        <f ca="1">IF($B289="WS",VLOOKUP($C289,'PIP finance'!$C$9:$P$59,I$250,FALSE),IF($B289="WW",VLOOKUP($C289,'PIP finance'!$C$177:$P$220,I$250,FALSE),VLOOKUP($C289,'PIP finance'!$C$325:$P$362,I$250,FALSE)))</f>
        <v>#N/A</v>
      </c>
      <c r="G289" s="5111" t="e">
        <f ca="1">IF($B289="WS",VLOOKUP($C289,'PIP finance'!$C$9:$P$59,J$250,FALSE),IF($B289="WW",VLOOKUP($C289,'PIP finance'!$C$177:$P$220,J$250,FALSE),VLOOKUP($C289,'PIP finance'!$C$325:$P$362,J$250,FALSE)))</f>
        <v>#N/A</v>
      </c>
      <c r="H289" s="5111" t="e">
        <f ca="1">IF($B289="WS",VLOOKUP($C289,'PIP finance'!$C$9:$P$59,K$250,FALSE),IF($B289="WW",VLOOKUP($C289,'PIP finance'!$C$177:$P$220,K$250,FALSE),VLOOKUP($C289,'PIP finance'!$C$325:$P$362,K$250,FALSE)))</f>
        <v>#N/A</v>
      </c>
      <c r="I289" s="5111" t="e">
        <f ca="1">IF($B289="WS",VLOOKUP($C289,'PIP finance'!$C$9:$P$59,L$250,FALSE),IF($B289="WW",VLOOKUP($C289,'PIP finance'!$C$177:$P$220,L$250,FALSE),VLOOKUP($C289,'PIP finance'!$C$325:$P$362,L$250,FALSE)))</f>
        <v>#N/A</v>
      </c>
      <c r="J289" s="5111" t="e">
        <f ca="1">IF($B289="WS",VLOOKUP($C289,'PIP finance'!$C$9:$P$59,M$250,FALSE),IF($B289="WW",VLOOKUP($C289,'PIP finance'!$C$177:$P$220,M$250,FALSE),VLOOKUP($C289,'PIP finance'!$C$325:$P$362,M$250,FALSE)))</f>
        <v>#N/A</v>
      </c>
      <c r="K289" s="5111" t="e">
        <f ca="1">IF($B289="WS",VLOOKUP($C289,'PIP finance'!$C$9:$P$59,N$250,FALSE),IF($B289="WW",VLOOKUP($C289,'PIP finance'!$C$177:$P$220,N$250,FALSE),VLOOKUP($C289,'PIP finance'!$C$325:$P$362,N$250,FALSE)))</f>
        <v>#N/A</v>
      </c>
      <c r="L289" s="5111" t="e">
        <f ca="1">IF($B289="WS",VLOOKUP($C289,'PIP finance'!$C$9:$P$59,O$250,FALSE),IF($B289="WW",VLOOKUP($C289,'PIP finance'!$C$177:$P$220,O$250,FALSE),VLOOKUP($C289,'PIP finance'!$C$325:$P$362,O$250,FALSE)))</f>
        <v>#N/A</v>
      </c>
      <c r="M289" s="5111" t="e">
        <f ca="1">IF($B289="WS",VLOOKUP($C289,'PIP finance'!$C$9:$P$59,P$250,FALSE),IF($B289="WW",VLOOKUP($C289,'PIP finance'!$C$177:$P$220,P$250,FALSE),VLOOKUP($C289,'PIP finance'!$C$325:$P$362,P$250,FALSE)))</f>
        <v>#N/A</v>
      </c>
    </row>
    <row r="290" spans="1:13" x14ac:dyDescent="0.25">
      <c r="A290" s="4076">
        <v>39</v>
      </c>
      <c r="B290" s="4076" t="str">
        <f ca="1">'Action Plan finance'!AH94</f>
        <v/>
      </c>
      <c r="C290" s="4078" t="str">
        <f ca="1">'Action Plan finance'!C94</f>
        <v/>
      </c>
      <c r="D290" s="5108" t="e">
        <f ca="1">IF($B290="WS",VLOOKUP($C290,'PIP finance'!$C$9:$P$59,G$250,FALSE),IF($B290="WW",VLOOKUP($C290,'PIP finance'!$C$177:$P$220,G$250,FALSE),VLOOKUP($C290,'PIP finance'!$C$325:$P$362,G$250,FALSE)))</f>
        <v>#N/A</v>
      </c>
      <c r="E290" s="5109" t="e">
        <f ca="1">IF($B290="WS",VLOOKUP($C290,'PIP finance'!$C$9:$P$59,H$250,FALSE),IF($B290="WW",VLOOKUP($C290,'PIP finance'!$C$177:$P$220,H$250,FALSE),VLOOKUP($C290,'PIP finance'!$C$325:$P$362,H$250,FALSE)))</f>
        <v>#N/A</v>
      </c>
      <c r="F290" s="5109" t="e">
        <f ca="1">IF($B290="WS",VLOOKUP($C290,'PIP finance'!$C$9:$P$59,I$250,FALSE),IF($B290="WW",VLOOKUP($C290,'PIP finance'!$C$177:$P$220,I$250,FALSE),VLOOKUP($C290,'PIP finance'!$C$325:$P$362,I$250,FALSE)))</f>
        <v>#N/A</v>
      </c>
      <c r="G290" s="5111" t="e">
        <f ca="1">IF($B290="WS",VLOOKUP($C290,'PIP finance'!$C$9:$P$59,J$250,FALSE),IF($B290="WW",VLOOKUP($C290,'PIP finance'!$C$177:$P$220,J$250,FALSE),VLOOKUP($C290,'PIP finance'!$C$325:$P$362,J$250,FALSE)))</f>
        <v>#N/A</v>
      </c>
      <c r="H290" s="5111" t="e">
        <f ca="1">IF($B290="WS",VLOOKUP($C290,'PIP finance'!$C$9:$P$59,K$250,FALSE),IF($B290="WW",VLOOKUP($C290,'PIP finance'!$C$177:$P$220,K$250,FALSE),VLOOKUP($C290,'PIP finance'!$C$325:$P$362,K$250,FALSE)))</f>
        <v>#N/A</v>
      </c>
      <c r="I290" s="5111" t="e">
        <f ca="1">IF($B290="WS",VLOOKUP($C290,'PIP finance'!$C$9:$P$59,L$250,FALSE),IF($B290="WW",VLOOKUP($C290,'PIP finance'!$C$177:$P$220,L$250,FALSE),VLOOKUP($C290,'PIP finance'!$C$325:$P$362,L$250,FALSE)))</f>
        <v>#N/A</v>
      </c>
      <c r="J290" s="5111" t="e">
        <f ca="1">IF($B290="WS",VLOOKUP($C290,'PIP finance'!$C$9:$P$59,M$250,FALSE),IF($B290="WW",VLOOKUP($C290,'PIP finance'!$C$177:$P$220,M$250,FALSE),VLOOKUP($C290,'PIP finance'!$C$325:$P$362,M$250,FALSE)))</f>
        <v>#N/A</v>
      </c>
      <c r="K290" s="5111" t="e">
        <f ca="1">IF($B290="WS",VLOOKUP($C290,'PIP finance'!$C$9:$P$59,N$250,FALSE),IF($B290="WW",VLOOKUP($C290,'PIP finance'!$C$177:$P$220,N$250,FALSE),VLOOKUP($C290,'PIP finance'!$C$325:$P$362,N$250,FALSE)))</f>
        <v>#N/A</v>
      </c>
      <c r="L290" s="5111" t="e">
        <f ca="1">IF($B290="WS",VLOOKUP($C290,'PIP finance'!$C$9:$P$59,O$250,FALSE),IF($B290="WW",VLOOKUP($C290,'PIP finance'!$C$177:$P$220,O$250,FALSE),VLOOKUP($C290,'PIP finance'!$C$325:$P$362,O$250,FALSE)))</f>
        <v>#N/A</v>
      </c>
      <c r="M290" s="5111" t="e">
        <f ca="1">IF($B290="WS",VLOOKUP($C290,'PIP finance'!$C$9:$P$59,P$250,FALSE),IF($B290="WW",VLOOKUP($C290,'PIP finance'!$C$177:$P$220,P$250,FALSE),VLOOKUP($C290,'PIP finance'!$C$325:$P$362,P$250,FALSE)))</f>
        <v>#N/A</v>
      </c>
    </row>
    <row r="291" spans="1:13" x14ac:dyDescent="0.25">
      <c r="A291" s="4076">
        <v>40</v>
      </c>
      <c r="B291" s="4076" t="str">
        <f ca="1">'Action Plan finance'!AH95</f>
        <v/>
      </c>
      <c r="C291" s="4078" t="str">
        <f ca="1">'Action Plan finance'!C95</f>
        <v/>
      </c>
      <c r="D291" s="5108" t="e">
        <f ca="1">IF($B291="WS",VLOOKUP($C291,'PIP finance'!$C$9:$P$59,G$250,FALSE),IF($B291="WW",VLOOKUP($C291,'PIP finance'!$C$177:$P$220,G$250,FALSE),VLOOKUP($C291,'PIP finance'!$C$325:$P$362,G$250,FALSE)))</f>
        <v>#N/A</v>
      </c>
      <c r="E291" s="5109" t="e">
        <f ca="1">IF($B291="WS",VLOOKUP($C291,'PIP finance'!$C$9:$P$59,H$250,FALSE),IF($B291="WW",VLOOKUP($C291,'PIP finance'!$C$177:$P$220,H$250,FALSE),VLOOKUP($C291,'PIP finance'!$C$325:$P$362,H$250,FALSE)))</f>
        <v>#N/A</v>
      </c>
      <c r="F291" s="5109" t="e">
        <f ca="1">IF($B291="WS",VLOOKUP($C291,'PIP finance'!$C$9:$P$59,I$250,FALSE),IF($B291="WW",VLOOKUP($C291,'PIP finance'!$C$177:$P$220,I$250,FALSE),VLOOKUP($C291,'PIP finance'!$C$325:$P$362,I$250,FALSE)))</f>
        <v>#N/A</v>
      </c>
      <c r="G291" s="5111" t="e">
        <f ca="1">IF($B291="WS",VLOOKUP($C291,'PIP finance'!$C$9:$P$59,J$250,FALSE),IF($B291="WW",VLOOKUP($C291,'PIP finance'!$C$177:$P$220,J$250,FALSE),VLOOKUP($C291,'PIP finance'!$C$325:$P$362,J$250,FALSE)))</f>
        <v>#N/A</v>
      </c>
      <c r="H291" s="5111" t="e">
        <f ca="1">IF($B291="WS",VLOOKUP($C291,'PIP finance'!$C$9:$P$59,K$250,FALSE),IF($B291="WW",VLOOKUP($C291,'PIP finance'!$C$177:$P$220,K$250,FALSE),VLOOKUP($C291,'PIP finance'!$C$325:$P$362,K$250,FALSE)))</f>
        <v>#N/A</v>
      </c>
      <c r="I291" s="5111" t="e">
        <f ca="1">IF($B291="WS",VLOOKUP($C291,'PIP finance'!$C$9:$P$59,L$250,FALSE),IF($B291="WW",VLOOKUP($C291,'PIP finance'!$C$177:$P$220,L$250,FALSE),VLOOKUP($C291,'PIP finance'!$C$325:$P$362,L$250,FALSE)))</f>
        <v>#N/A</v>
      </c>
      <c r="J291" s="5111" t="e">
        <f ca="1">IF($B291="WS",VLOOKUP($C291,'PIP finance'!$C$9:$P$59,M$250,FALSE),IF($B291="WW",VLOOKUP($C291,'PIP finance'!$C$177:$P$220,M$250,FALSE),VLOOKUP($C291,'PIP finance'!$C$325:$P$362,M$250,FALSE)))</f>
        <v>#N/A</v>
      </c>
      <c r="K291" s="5111" t="e">
        <f ca="1">IF($B291="WS",VLOOKUP($C291,'PIP finance'!$C$9:$P$59,N$250,FALSE),IF($B291="WW",VLOOKUP($C291,'PIP finance'!$C$177:$P$220,N$250,FALSE),VLOOKUP($C291,'PIP finance'!$C$325:$P$362,N$250,FALSE)))</f>
        <v>#N/A</v>
      </c>
      <c r="L291" s="5111" t="e">
        <f ca="1">IF($B291="WS",VLOOKUP($C291,'PIP finance'!$C$9:$P$59,O$250,FALSE),IF($B291="WW",VLOOKUP($C291,'PIP finance'!$C$177:$P$220,O$250,FALSE),VLOOKUP($C291,'PIP finance'!$C$325:$P$362,O$250,FALSE)))</f>
        <v>#N/A</v>
      </c>
      <c r="M291" s="5111" t="e">
        <f ca="1">IF($B291="WS",VLOOKUP($C291,'PIP finance'!$C$9:$P$59,P$250,FALSE),IF($B291="WW",VLOOKUP($C291,'PIP finance'!$C$177:$P$220,P$250,FALSE),VLOOKUP($C291,'PIP finance'!$C$325:$P$362,P$250,FALSE)))</f>
        <v>#N/A</v>
      </c>
    </row>
    <row r="292" spans="1:13" x14ac:dyDescent="0.25">
      <c r="A292" s="4076">
        <v>41</v>
      </c>
      <c r="B292" s="4076" t="str">
        <f ca="1">'Action Plan finance'!AH96</f>
        <v/>
      </c>
      <c r="C292" s="4078" t="str">
        <f ca="1">'Action Plan finance'!C96</f>
        <v/>
      </c>
      <c r="D292" s="5108" t="e">
        <f ca="1">IF($B292="WS",VLOOKUP($C292,'PIP finance'!$C$9:$P$59,G$250,FALSE),IF($B292="WW",VLOOKUP($C292,'PIP finance'!$C$177:$P$220,G$250,FALSE),VLOOKUP($C292,'PIP finance'!$C$325:$P$362,G$250,FALSE)))</f>
        <v>#N/A</v>
      </c>
      <c r="E292" s="5109" t="e">
        <f ca="1">IF($B292="WS",VLOOKUP($C292,'PIP finance'!$C$9:$P$59,H$250,FALSE),IF($B292="WW",VLOOKUP($C292,'PIP finance'!$C$177:$P$220,H$250,FALSE),VLOOKUP($C292,'PIP finance'!$C$325:$P$362,H$250,FALSE)))</f>
        <v>#N/A</v>
      </c>
      <c r="F292" s="5109" t="e">
        <f ca="1">IF($B292="WS",VLOOKUP($C292,'PIP finance'!$C$9:$P$59,I$250,FALSE),IF($B292="WW",VLOOKUP($C292,'PIP finance'!$C$177:$P$220,I$250,FALSE),VLOOKUP($C292,'PIP finance'!$C$325:$P$362,I$250,FALSE)))</f>
        <v>#N/A</v>
      </c>
      <c r="G292" s="5111" t="e">
        <f ca="1">IF($B292="WS",VLOOKUP($C292,'PIP finance'!$C$9:$P$59,J$250,FALSE),IF($B292="WW",VLOOKUP($C292,'PIP finance'!$C$177:$P$220,J$250,FALSE),VLOOKUP($C292,'PIP finance'!$C$325:$P$362,J$250,FALSE)))</f>
        <v>#N/A</v>
      </c>
      <c r="H292" s="5111" t="e">
        <f ca="1">IF($B292="WS",VLOOKUP($C292,'PIP finance'!$C$9:$P$59,K$250,FALSE),IF($B292="WW",VLOOKUP($C292,'PIP finance'!$C$177:$P$220,K$250,FALSE),VLOOKUP($C292,'PIP finance'!$C$325:$P$362,K$250,FALSE)))</f>
        <v>#N/A</v>
      </c>
      <c r="I292" s="5111" t="e">
        <f ca="1">IF($B292="WS",VLOOKUP($C292,'PIP finance'!$C$9:$P$59,L$250,FALSE),IF($B292="WW",VLOOKUP($C292,'PIP finance'!$C$177:$P$220,L$250,FALSE),VLOOKUP($C292,'PIP finance'!$C$325:$P$362,L$250,FALSE)))</f>
        <v>#N/A</v>
      </c>
      <c r="J292" s="5111" t="e">
        <f ca="1">IF($B292="WS",VLOOKUP($C292,'PIP finance'!$C$9:$P$59,M$250,FALSE),IF($B292="WW",VLOOKUP($C292,'PIP finance'!$C$177:$P$220,M$250,FALSE),VLOOKUP($C292,'PIP finance'!$C$325:$P$362,M$250,FALSE)))</f>
        <v>#N/A</v>
      </c>
      <c r="K292" s="5111" t="e">
        <f ca="1">IF($B292="WS",VLOOKUP($C292,'PIP finance'!$C$9:$P$59,N$250,FALSE),IF($B292="WW",VLOOKUP($C292,'PIP finance'!$C$177:$P$220,N$250,FALSE),VLOOKUP($C292,'PIP finance'!$C$325:$P$362,N$250,FALSE)))</f>
        <v>#N/A</v>
      </c>
      <c r="L292" s="5111" t="e">
        <f ca="1">IF($B292="WS",VLOOKUP($C292,'PIP finance'!$C$9:$P$59,O$250,FALSE),IF($B292="WW",VLOOKUP($C292,'PIP finance'!$C$177:$P$220,O$250,FALSE),VLOOKUP($C292,'PIP finance'!$C$325:$P$362,O$250,FALSE)))</f>
        <v>#N/A</v>
      </c>
      <c r="M292" s="5111" t="e">
        <f ca="1">IF($B292="WS",VLOOKUP($C292,'PIP finance'!$C$9:$P$59,P$250,FALSE),IF($B292="WW",VLOOKUP($C292,'PIP finance'!$C$177:$P$220,P$250,FALSE),VLOOKUP($C292,'PIP finance'!$C$325:$P$362,P$250,FALSE)))</f>
        <v>#N/A</v>
      </c>
    </row>
    <row r="293" spans="1:13" x14ac:dyDescent="0.25">
      <c r="A293" s="4076">
        <v>42</v>
      </c>
      <c r="B293" s="4076" t="str">
        <f ca="1">'Action Plan finance'!AH97</f>
        <v/>
      </c>
      <c r="C293" s="4078" t="str">
        <f ca="1">'Action Plan finance'!C97</f>
        <v/>
      </c>
      <c r="D293" s="5108" t="e">
        <f ca="1">IF($B293="WS",VLOOKUP($C293,'PIP finance'!$C$9:$P$59,G$250,FALSE),IF($B293="WW",VLOOKUP($C293,'PIP finance'!$C$177:$P$220,G$250,FALSE),VLOOKUP($C293,'PIP finance'!$C$325:$P$362,G$250,FALSE)))</f>
        <v>#N/A</v>
      </c>
      <c r="E293" s="5109" t="e">
        <f ca="1">IF($B293="WS",VLOOKUP($C293,'PIP finance'!$C$9:$P$59,H$250,FALSE),IF($B293="WW",VLOOKUP($C293,'PIP finance'!$C$177:$P$220,H$250,FALSE),VLOOKUP($C293,'PIP finance'!$C$325:$P$362,H$250,FALSE)))</f>
        <v>#N/A</v>
      </c>
      <c r="F293" s="5109" t="e">
        <f ca="1">IF($B293="WS",VLOOKUP($C293,'PIP finance'!$C$9:$P$59,I$250,FALSE),IF($B293="WW",VLOOKUP($C293,'PIP finance'!$C$177:$P$220,I$250,FALSE),VLOOKUP($C293,'PIP finance'!$C$325:$P$362,I$250,FALSE)))</f>
        <v>#N/A</v>
      </c>
      <c r="G293" s="5111" t="e">
        <f ca="1">IF($B293="WS",VLOOKUP($C293,'PIP finance'!$C$9:$P$59,J$250,FALSE),IF($B293="WW",VLOOKUP($C293,'PIP finance'!$C$177:$P$220,J$250,FALSE),VLOOKUP($C293,'PIP finance'!$C$325:$P$362,J$250,FALSE)))</f>
        <v>#N/A</v>
      </c>
      <c r="H293" s="5111" t="e">
        <f ca="1">IF($B293="WS",VLOOKUP($C293,'PIP finance'!$C$9:$P$59,K$250,FALSE),IF($B293="WW",VLOOKUP($C293,'PIP finance'!$C$177:$P$220,K$250,FALSE),VLOOKUP($C293,'PIP finance'!$C$325:$P$362,K$250,FALSE)))</f>
        <v>#N/A</v>
      </c>
      <c r="I293" s="5111" t="e">
        <f ca="1">IF($B293="WS",VLOOKUP($C293,'PIP finance'!$C$9:$P$59,L$250,FALSE),IF($B293="WW",VLOOKUP($C293,'PIP finance'!$C$177:$P$220,L$250,FALSE),VLOOKUP($C293,'PIP finance'!$C$325:$P$362,L$250,FALSE)))</f>
        <v>#N/A</v>
      </c>
      <c r="J293" s="5111" t="e">
        <f ca="1">IF($B293="WS",VLOOKUP($C293,'PIP finance'!$C$9:$P$59,M$250,FALSE),IF($B293="WW",VLOOKUP($C293,'PIP finance'!$C$177:$P$220,M$250,FALSE),VLOOKUP($C293,'PIP finance'!$C$325:$P$362,M$250,FALSE)))</f>
        <v>#N/A</v>
      </c>
      <c r="K293" s="5111" t="e">
        <f ca="1">IF($B293="WS",VLOOKUP($C293,'PIP finance'!$C$9:$P$59,N$250,FALSE),IF($B293="WW",VLOOKUP($C293,'PIP finance'!$C$177:$P$220,N$250,FALSE),VLOOKUP($C293,'PIP finance'!$C$325:$P$362,N$250,FALSE)))</f>
        <v>#N/A</v>
      </c>
      <c r="L293" s="5111" t="e">
        <f ca="1">IF($B293="WS",VLOOKUP($C293,'PIP finance'!$C$9:$P$59,O$250,FALSE),IF($B293="WW",VLOOKUP($C293,'PIP finance'!$C$177:$P$220,O$250,FALSE),VLOOKUP($C293,'PIP finance'!$C$325:$P$362,O$250,FALSE)))</f>
        <v>#N/A</v>
      </c>
      <c r="M293" s="5111" t="e">
        <f ca="1">IF($B293="WS",VLOOKUP($C293,'PIP finance'!$C$9:$P$59,P$250,FALSE),IF($B293="WW",VLOOKUP($C293,'PIP finance'!$C$177:$P$220,P$250,FALSE),VLOOKUP($C293,'PIP finance'!$C$325:$P$362,P$250,FALSE)))</f>
        <v>#N/A</v>
      </c>
    </row>
    <row r="294" spans="1:13" x14ac:dyDescent="0.25">
      <c r="A294" s="4076">
        <v>43</v>
      </c>
      <c r="B294" s="4076" t="str">
        <f ca="1">'Action Plan finance'!AH98</f>
        <v/>
      </c>
      <c r="C294" s="4078" t="str">
        <f ca="1">'Action Plan finance'!C98</f>
        <v/>
      </c>
      <c r="D294" s="5108" t="e">
        <f ca="1">IF($B294="WS",VLOOKUP($C294,'PIP finance'!$C$9:$P$59,G$250,FALSE),IF($B294="WW",VLOOKUP($C294,'PIP finance'!$C$177:$P$220,G$250,FALSE),VLOOKUP($C294,'PIP finance'!$C$325:$P$362,G$250,FALSE)))</f>
        <v>#N/A</v>
      </c>
      <c r="E294" s="5109" t="e">
        <f ca="1">IF($B294="WS",VLOOKUP($C294,'PIP finance'!$C$9:$P$59,H$250,FALSE),IF($B294="WW",VLOOKUP($C294,'PIP finance'!$C$177:$P$220,H$250,FALSE),VLOOKUP($C294,'PIP finance'!$C$325:$P$362,H$250,FALSE)))</f>
        <v>#N/A</v>
      </c>
      <c r="F294" s="5109" t="e">
        <f ca="1">IF($B294="WS",VLOOKUP($C294,'PIP finance'!$C$9:$P$59,I$250,FALSE),IF($B294="WW",VLOOKUP($C294,'PIP finance'!$C$177:$P$220,I$250,FALSE),VLOOKUP($C294,'PIP finance'!$C$325:$P$362,I$250,FALSE)))</f>
        <v>#N/A</v>
      </c>
      <c r="G294" s="5111" t="e">
        <f ca="1">IF($B294="WS",VLOOKUP($C294,'PIP finance'!$C$9:$P$59,J$250,FALSE),IF($B294="WW",VLOOKUP($C294,'PIP finance'!$C$177:$P$220,J$250,FALSE),VLOOKUP($C294,'PIP finance'!$C$325:$P$362,J$250,FALSE)))</f>
        <v>#N/A</v>
      </c>
      <c r="H294" s="5111" t="e">
        <f ca="1">IF($B294="WS",VLOOKUP($C294,'PIP finance'!$C$9:$P$59,K$250,FALSE),IF($B294="WW",VLOOKUP($C294,'PIP finance'!$C$177:$P$220,K$250,FALSE),VLOOKUP($C294,'PIP finance'!$C$325:$P$362,K$250,FALSE)))</f>
        <v>#N/A</v>
      </c>
      <c r="I294" s="5111" t="e">
        <f ca="1">IF($B294="WS",VLOOKUP($C294,'PIP finance'!$C$9:$P$59,L$250,FALSE),IF($B294="WW",VLOOKUP($C294,'PIP finance'!$C$177:$P$220,L$250,FALSE),VLOOKUP($C294,'PIP finance'!$C$325:$P$362,L$250,FALSE)))</f>
        <v>#N/A</v>
      </c>
      <c r="J294" s="5111" t="e">
        <f ca="1">IF($B294="WS",VLOOKUP($C294,'PIP finance'!$C$9:$P$59,M$250,FALSE),IF($B294="WW",VLOOKUP($C294,'PIP finance'!$C$177:$P$220,M$250,FALSE),VLOOKUP($C294,'PIP finance'!$C$325:$P$362,M$250,FALSE)))</f>
        <v>#N/A</v>
      </c>
      <c r="K294" s="5111" t="e">
        <f ca="1">IF($B294="WS",VLOOKUP($C294,'PIP finance'!$C$9:$P$59,N$250,FALSE),IF($B294="WW",VLOOKUP($C294,'PIP finance'!$C$177:$P$220,N$250,FALSE),VLOOKUP($C294,'PIP finance'!$C$325:$P$362,N$250,FALSE)))</f>
        <v>#N/A</v>
      </c>
      <c r="L294" s="5111" t="e">
        <f ca="1">IF($B294="WS",VLOOKUP($C294,'PIP finance'!$C$9:$P$59,O$250,FALSE),IF($B294="WW",VLOOKUP($C294,'PIP finance'!$C$177:$P$220,O$250,FALSE),VLOOKUP($C294,'PIP finance'!$C$325:$P$362,O$250,FALSE)))</f>
        <v>#N/A</v>
      </c>
      <c r="M294" s="5111" t="e">
        <f ca="1">IF($B294="WS",VLOOKUP($C294,'PIP finance'!$C$9:$P$59,P$250,FALSE),IF($B294="WW",VLOOKUP($C294,'PIP finance'!$C$177:$P$220,P$250,FALSE),VLOOKUP($C294,'PIP finance'!$C$325:$P$362,P$250,FALSE)))</f>
        <v>#N/A</v>
      </c>
    </row>
    <row r="295" spans="1:13" x14ac:dyDescent="0.25">
      <c r="A295" s="4076">
        <v>44</v>
      </c>
      <c r="B295" s="4076" t="str">
        <f ca="1">'Action Plan finance'!AH99</f>
        <v/>
      </c>
      <c r="C295" s="4078" t="str">
        <f ca="1">'Action Plan finance'!C99</f>
        <v/>
      </c>
      <c r="D295" s="5108" t="e">
        <f ca="1">IF($B295="WS",VLOOKUP($C295,'PIP finance'!$C$9:$P$59,G$250,FALSE),IF($B295="WW",VLOOKUP($C295,'PIP finance'!$C$177:$P$220,G$250,FALSE),VLOOKUP($C295,'PIP finance'!$C$325:$P$362,G$250,FALSE)))</f>
        <v>#N/A</v>
      </c>
      <c r="E295" s="5109" t="e">
        <f ca="1">IF($B295="WS",VLOOKUP($C295,'PIP finance'!$C$9:$P$59,H$250,FALSE),IF($B295="WW",VLOOKUP($C295,'PIP finance'!$C$177:$P$220,H$250,FALSE),VLOOKUP($C295,'PIP finance'!$C$325:$P$362,H$250,FALSE)))</f>
        <v>#N/A</v>
      </c>
      <c r="F295" s="5109" t="e">
        <f ca="1">IF($B295="WS",VLOOKUP($C295,'PIP finance'!$C$9:$P$59,I$250,FALSE),IF($B295="WW",VLOOKUP($C295,'PIP finance'!$C$177:$P$220,I$250,FALSE),VLOOKUP($C295,'PIP finance'!$C$325:$P$362,I$250,FALSE)))</f>
        <v>#N/A</v>
      </c>
      <c r="G295" s="5111" t="e">
        <f ca="1">IF($B295="WS",VLOOKUP($C295,'PIP finance'!$C$9:$P$59,J$250,FALSE),IF($B295="WW",VLOOKUP($C295,'PIP finance'!$C$177:$P$220,J$250,FALSE),VLOOKUP($C295,'PIP finance'!$C$325:$P$362,J$250,FALSE)))</f>
        <v>#N/A</v>
      </c>
      <c r="H295" s="5111" t="e">
        <f ca="1">IF($B295="WS",VLOOKUP($C295,'PIP finance'!$C$9:$P$59,K$250,FALSE),IF($B295="WW",VLOOKUP($C295,'PIP finance'!$C$177:$P$220,K$250,FALSE),VLOOKUP($C295,'PIP finance'!$C$325:$P$362,K$250,FALSE)))</f>
        <v>#N/A</v>
      </c>
      <c r="I295" s="5111" t="e">
        <f ca="1">IF($B295="WS",VLOOKUP($C295,'PIP finance'!$C$9:$P$59,L$250,FALSE),IF($B295="WW",VLOOKUP($C295,'PIP finance'!$C$177:$P$220,L$250,FALSE),VLOOKUP($C295,'PIP finance'!$C$325:$P$362,L$250,FALSE)))</f>
        <v>#N/A</v>
      </c>
      <c r="J295" s="5111" t="e">
        <f ca="1">IF($B295="WS",VLOOKUP($C295,'PIP finance'!$C$9:$P$59,M$250,FALSE),IF($B295="WW",VLOOKUP($C295,'PIP finance'!$C$177:$P$220,M$250,FALSE),VLOOKUP($C295,'PIP finance'!$C$325:$P$362,M$250,FALSE)))</f>
        <v>#N/A</v>
      </c>
      <c r="K295" s="5111" t="e">
        <f ca="1">IF($B295="WS",VLOOKUP($C295,'PIP finance'!$C$9:$P$59,N$250,FALSE),IF($B295="WW",VLOOKUP($C295,'PIP finance'!$C$177:$P$220,N$250,FALSE),VLOOKUP($C295,'PIP finance'!$C$325:$P$362,N$250,FALSE)))</f>
        <v>#N/A</v>
      </c>
      <c r="L295" s="5111" t="e">
        <f ca="1">IF($B295="WS",VLOOKUP($C295,'PIP finance'!$C$9:$P$59,O$250,FALSE),IF($B295="WW",VLOOKUP($C295,'PIP finance'!$C$177:$P$220,O$250,FALSE),VLOOKUP($C295,'PIP finance'!$C$325:$P$362,O$250,FALSE)))</f>
        <v>#N/A</v>
      </c>
      <c r="M295" s="5111" t="e">
        <f ca="1">IF($B295="WS",VLOOKUP($C295,'PIP finance'!$C$9:$P$59,P$250,FALSE),IF($B295="WW",VLOOKUP($C295,'PIP finance'!$C$177:$P$220,P$250,FALSE),VLOOKUP($C295,'PIP finance'!$C$325:$P$362,P$250,FALSE)))</f>
        <v>#N/A</v>
      </c>
    </row>
    <row r="296" spans="1:13" x14ac:dyDescent="0.25">
      <c r="A296" s="4076">
        <v>45</v>
      </c>
      <c r="B296" s="4076" t="str">
        <f ca="1">'Action Plan finance'!AH100</f>
        <v/>
      </c>
      <c r="C296" s="4078" t="str">
        <f ca="1">'Action Plan finance'!C100</f>
        <v/>
      </c>
      <c r="D296" s="5108" t="e">
        <f ca="1">IF($B296="WS",VLOOKUP($C296,'PIP finance'!$C$9:$P$59,G$250,FALSE),IF($B296="WW",VLOOKUP($C296,'PIP finance'!$C$177:$P$220,G$250,FALSE),VLOOKUP($C296,'PIP finance'!$C$325:$P$362,G$250,FALSE)))</f>
        <v>#N/A</v>
      </c>
      <c r="E296" s="5109" t="e">
        <f ca="1">IF($B296="WS",VLOOKUP($C296,'PIP finance'!$C$9:$P$59,H$250,FALSE),IF($B296="WW",VLOOKUP($C296,'PIP finance'!$C$177:$P$220,H$250,FALSE),VLOOKUP($C296,'PIP finance'!$C$325:$P$362,H$250,FALSE)))</f>
        <v>#N/A</v>
      </c>
      <c r="F296" s="5109" t="e">
        <f ca="1">IF($B296="WS",VLOOKUP($C296,'PIP finance'!$C$9:$P$59,I$250,FALSE),IF($B296="WW",VLOOKUP($C296,'PIP finance'!$C$177:$P$220,I$250,FALSE),VLOOKUP($C296,'PIP finance'!$C$325:$P$362,I$250,FALSE)))</f>
        <v>#N/A</v>
      </c>
      <c r="G296" s="5111" t="e">
        <f ca="1">IF($B296="WS",VLOOKUP($C296,'PIP finance'!$C$9:$P$59,J$250,FALSE),IF($B296="WW",VLOOKUP($C296,'PIP finance'!$C$177:$P$220,J$250,FALSE),VLOOKUP($C296,'PIP finance'!$C$325:$P$362,J$250,FALSE)))</f>
        <v>#N/A</v>
      </c>
      <c r="H296" s="5111" t="e">
        <f ca="1">IF($B296="WS",VLOOKUP($C296,'PIP finance'!$C$9:$P$59,K$250,FALSE),IF($B296="WW",VLOOKUP($C296,'PIP finance'!$C$177:$P$220,K$250,FALSE),VLOOKUP($C296,'PIP finance'!$C$325:$P$362,K$250,FALSE)))</f>
        <v>#N/A</v>
      </c>
      <c r="I296" s="5111" t="e">
        <f ca="1">IF($B296="WS",VLOOKUP($C296,'PIP finance'!$C$9:$P$59,L$250,FALSE),IF($B296="WW",VLOOKUP($C296,'PIP finance'!$C$177:$P$220,L$250,FALSE),VLOOKUP($C296,'PIP finance'!$C$325:$P$362,L$250,FALSE)))</f>
        <v>#N/A</v>
      </c>
      <c r="J296" s="5111" t="e">
        <f ca="1">IF($B296="WS",VLOOKUP($C296,'PIP finance'!$C$9:$P$59,M$250,FALSE),IF($B296="WW",VLOOKUP($C296,'PIP finance'!$C$177:$P$220,M$250,FALSE),VLOOKUP($C296,'PIP finance'!$C$325:$P$362,M$250,FALSE)))</f>
        <v>#N/A</v>
      </c>
      <c r="K296" s="5111" t="e">
        <f ca="1">IF($B296="WS",VLOOKUP($C296,'PIP finance'!$C$9:$P$59,N$250,FALSE),IF($B296="WW",VLOOKUP($C296,'PIP finance'!$C$177:$P$220,N$250,FALSE),VLOOKUP($C296,'PIP finance'!$C$325:$P$362,N$250,FALSE)))</f>
        <v>#N/A</v>
      </c>
      <c r="L296" s="5111" t="e">
        <f ca="1">IF($B296="WS",VLOOKUP($C296,'PIP finance'!$C$9:$P$59,O$250,FALSE),IF($B296="WW",VLOOKUP($C296,'PIP finance'!$C$177:$P$220,O$250,FALSE),VLOOKUP($C296,'PIP finance'!$C$325:$P$362,O$250,FALSE)))</f>
        <v>#N/A</v>
      </c>
      <c r="M296" s="5111" t="e">
        <f ca="1">IF($B296="WS",VLOOKUP($C296,'PIP finance'!$C$9:$P$59,P$250,FALSE),IF($B296="WW",VLOOKUP($C296,'PIP finance'!$C$177:$P$220,P$250,FALSE),VLOOKUP($C296,'PIP finance'!$C$325:$P$362,P$250,FALSE)))</f>
        <v>#N/A</v>
      </c>
    </row>
    <row r="297" spans="1:13" x14ac:dyDescent="0.25">
      <c r="A297" s="4076">
        <v>46</v>
      </c>
      <c r="B297" s="4076" t="str">
        <f ca="1">'Action Plan finance'!AH101</f>
        <v/>
      </c>
      <c r="C297" s="4078" t="str">
        <f ca="1">'Action Plan finance'!C101</f>
        <v/>
      </c>
      <c r="D297" s="5108" t="e">
        <f ca="1">IF($B297="WS",VLOOKUP($C297,'PIP finance'!$C$9:$P$59,G$250,FALSE),IF($B297="WW",VLOOKUP($C297,'PIP finance'!$C$177:$P$220,G$250,FALSE),VLOOKUP($C297,'PIP finance'!$C$325:$P$362,G$250,FALSE)))</f>
        <v>#N/A</v>
      </c>
      <c r="E297" s="5109" t="e">
        <f ca="1">IF($B297="WS",VLOOKUP($C297,'PIP finance'!$C$9:$P$59,H$250,FALSE),IF($B297="WW",VLOOKUP($C297,'PIP finance'!$C$177:$P$220,H$250,FALSE),VLOOKUP($C297,'PIP finance'!$C$325:$P$362,H$250,FALSE)))</f>
        <v>#N/A</v>
      </c>
      <c r="F297" s="5109" t="e">
        <f ca="1">IF($B297="WS",VLOOKUP($C297,'PIP finance'!$C$9:$P$59,I$250,FALSE),IF($B297="WW",VLOOKUP($C297,'PIP finance'!$C$177:$P$220,I$250,FALSE),VLOOKUP($C297,'PIP finance'!$C$325:$P$362,I$250,FALSE)))</f>
        <v>#N/A</v>
      </c>
      <c r="G297" s="5111" t="e">
        <f ca="1">IF($B297="WS",VLOOKUP($C297,'PIP finance'!$C$9:$P$59,J$250,FALSE),IF($B297="WW",VLOOKUP($C297,'PIP finance'!$C$177:$P$220,J$250,FALSE),VLOOKUP($C297,'PIP finance'!$C$325:$P$362,J$250,FALSE)))</f>
        <v>#N/A</v>
      </c>
      <c r="H297" s="5111" t="e">
        <f ca="1">IF($B297="WS",VLOOKUP($C297,'PIP finance'!$C$9:$P$59,K$250,FALSE),IF($B297="WW",VLOOKUP($C297,'PIP finance'!$C$177:$P$220,K$250,FALSE),VLOOKUP($C297,'PIP finance'!$C$325:$P$362,K$250,FALSE)))</f>
        <v>#N/A</v>
      </c>
      <c r="I297" s="5111" t="e">
        <f ca="1">IF($B297="WS",VLOOKUP($C297,'PIP finance'!$C$9:$P$59,L$250,FALSE),IF($B297="WW",VLOOKUP($C297,'PIP finance'!$C$177:$P$220,L$250,FALSE),VLOOKUP($C297,'PIP finance'!$C$325:$P$362,L$250,FALSE)))</f>
        <v>#N/A</v>
      </c>
      <c r="J297" s="5111" t="e">
        <f ca="1">IF($B297="WS",VLOOKUP($C297,'PIP finance'!$C$9:$P$59,M$250,FALSE),IF($B297="WW",VLOOKUP($C297,'PIP finance'!$C$177:$P$220,M$250,FALSE),VLOOKUP($C297,'PIP finance'!$C$325:$P$362,M$250,FALSE)))</f>
        <v>#N/A</v>
      </c>
      <c r="K297" s="5111" t="e">
        <f ca="1">IF($B297="WS",VLOOKUP($C297,'PIP finance'!$C$9:$P$59,N$250,FALSE),IF($B297="WW",VLOOKUP($C297,'PIP finance'!$C$177:$P$220,N$250,FALSE),VLOOKUP($C297,'PIP finance'!$C$325:$P$362,N$250,FALSE)))</f>
        <v>#N/A</v>
      </c>
      <c r="L297" s="5111" t="e">
        <f ca="1">IF($B297="WS",VLOOKUP($C297,'PIP finance'!$C$9:$P$59,O$250,FALSE),IF($B297="WW",VLOOKUP($C297,'PIP finance'!$C$177:$P$220,O$250,FALSE),VLOOKUP($C297,'PIP finance'!$C$325:$P$362,O$250,FALSE)))</f>
        <v>#N/A</v>
      </c>
      <c r="M297" s="5111" t="e">
        <f ca="1">IF($B297="WS",VLOOKUP($C297,'PIP finance'!$C$9:$P$59,P$250,FALSE),IF($B297="WW",VLOOKUP($C297,'PIP finance'!$C$177:$P$220,P$250,FALSE),VLOOKUP($C297,'PIP finance'!$C$325:$P$362,P$250,FALSE)))</f>
        <v>#N/A</v>
      </c>
    </row>
    <row r="298" spans="1:13" x14ac:dyDescent="0.25">
      <c r="A298" s="4076">
        <v>47</v>
      </c>
      <c r="B298" s="4076" t="str">
        <f ca="1">'Action Plan finance'!AH102</f>
        <v/>
      </c>
      <c r="C298" s="4078" t="str">
        <f ca="1">'Action Plan finance'!C102</f>
        <v/>
      </c>
      <c r="D298" s="5108" t="e">
        <f ca="1">IF($B298="WS",VLOOKUP($C298,'PIP finance'!$C$9:$P$59,G$250,FALSE),IF($B298="WW",VLOOKUP($C298,'PIP finance'!$C$177:$P$220,G$250,FALSE),VLOOKUP($C298,'PIP finance'!$C$325:$P$362,G$250,FALSE)))</f>
        <v>#N/A</v>
      </c>
      <c r="E298" s="5109" t="e">
        <f ca="1">IF($B298="WS",VLOOKUP($C298,'PIP finance'!$C$9:$P$59,H$250,FALSE),IF($B298="WW",VLOOKUP($C298,'PIP finance'!$C$177:$P$220,H$250,FALSE),VLOOKUP($C298,'PIP finance'!$C$325:$P$362,H$250,FALSE)))</f>
        <v>#N/A</v>
      </c>
      <c r="F298" s="5109" t="e">
        <f ca="1">IF($B298="WS",VLOOKUP($C298,'PIP finance'!$C$9:$P$59,I$250,FALSE),IF($B298="WW",VLOOKUP($C298,'PIP finance'!$C$177:$P$220,I$250,FALSE),VLOOKUP($C298,'PIP finance'!$C$325:$P$362,I$250,FALSE)))</f>
        <v>#N/A</v>
      </c>
      <c r="G298" s="5111" t="e">
        <f ca="1">IF($B298="WS",VLOOKUP($C298,'PIP finance'!$C$9:$P$59,J$250,FALSE),IF($B298="WW",VLOOKUP($C298,'PIP finance'!$C$177:$P$220,J$250,FALSE),VLOOKUP($C298,'PIP finance'!$C$325:$P$362,J$250,FALSE)))</f>
        <v>#N/A</v>
      </c>
      <c r="H298" s="5111" t="e">
        <f ca="1">IF($B298="WS",VLOOKUP($C298,'PIP finance'!$C$9:$P$59,K$250,FALSE),IF($B298="WW",VLOOKUP($C298,'PIP finance'!$C$177:$P$220,K$250,FALSE),VLOOKUP($C298,'PIP finance'!$C$325:$P$362,K$250,FALSE)))</f>
        <v>#N/A</v>
      </c>
      <c r="I298" s="5111" t="e">
        <f ca="1">IF($B298="WS",VLOOKUP($C298,'PIP finance'!$C$9:$P$59,L$250,FALSE),IF($B298="WW",VLOOKUP($C298,'PIP finance'!$C$177:$P$220,L$250,FALSE),VLOOKUP($C298,'PIP finance'!$C$325:$P$362,L$250,FALSE)))</f>
        <v>#N/A</v>
      </c>
      <c r="J298" s="5111" t="e">
        <f ca="1">IF($B298="WS",VLOOKUP($C298,'PIP finance'!$C$9:$P$59,M$250,FALSE),IF($B298="WW",VLOOKUP($C298,'PIP finance'!$C$177:$P$220,M$250,FALSE),VLOOKUP($C298,'PIP finance'!$C$325:$P$362,M$250,FALSE)))</f>
        <v>#N/A</v>
      </c>
      <c r="K298" s="5111" t="e">
        <f ca="1">IF($B298="WS",VLOOKUP($C298,'PIP finance'!$C$9:$P$59,N$250,FALSE),IF($B298="WW",VLOOKUP($C298,'PIP finance'!$C$177:$P$220,N$250,FALSE),VLOOKUP($C298,'PIP finance'!$C$325:$P$362,N$250,FALSE)))</f>
        <v>#N/A</v>
      </c>
      <c r="L298" s="5111" t="e">
        <f ca="1">IF($B298="WS",VLOOKUP($C298,'PIP finance'!$C$9:$P$59,O$250,FALSE),IF($B298="WW",VLOOKUP($C298,'PIP finance'!$C$177:$P$220,O$250,FALSE),VLOOKUP($C298,'PIP finance'!$C$325:$P$362,O$250,FALSE)))</f>
        <v>#N/A</v>
      </c>
      <c r="M298" s="5111" t="e">
        <f ca="1">IF($B298="WS",VLOOKUP($C298,'PIP finance'!$C$9:$P$59,P$250,FALSE),IF($B298="WW",VLOOKUP($C298,'PIP finance'!$C$177:$P$220,P$250,FALSE),VLOOKUP($C298,'PIP finance'!$C$325:$P$362,P$250,FALSE)))</f>
        <v>#N/A</v>
      </c>
    </row>
    <row r="299" spans="1:13" x14ac:dyDescent="0.25">
      <c r="A299" s="4076">
        <v>48</v>
      </c>
      <c r="B299" s="4076" t="str">
        <f ca="1">'Action Plan finance'!AH103</f>
        <v/>
      </c>
      <c r="C299" s="4078" t="str">
        <f ca="1">'Action Plan finance'!C103</f>
        <v/>
      </c>
      <c r="D299" s="5108" t="e">
        <f ca="1">IF($B299="WS",VLOOKUP($C299,'PIP finance'!$C$9:$P$59,G$250,FALSE),IF($B299="WW",VLOOKUP($C299,'PIP finance'!$C$177:$P$220,G$250,FALSE),VLOOKUP($C299,'PIP finance'!$C$325:$P$362,G$250,FALSE)))</f>
        <v>#N/A</v>
      </c>
      <c r="E299" s="5109" t="e">
        <f ca="1">IF($B299="WS",VLOOKUP($C299,'PIP finance'!$C$9:$P$59,H$250,FALSE),IF($B299="WW",VLOOKUP($C299,'PIP finance'!$C$177:$P$220,H$250,FALSE),VLOOKUP($C299,'PIP finance'!$C$325:$P$362,H$250,FALSE)))</f>
        <v>#N/A</v>
      </c>
      <c r="F299" s="5109" t="e">
        <f ca="1">IF($B299="WS",VLOOKUP($C299,'PIP finance'!$C$9:$P$59,I$250,FALSE),IF($B299="WW",VLOOKUP($C299,'PIP finance'!$C$177:$P$220,I$250,FALSE),VLOOKUP($C299,'PIP finance'!$C$325:$P$362,I$250,FALSE)))</f>
        <v>#N/A</v>
      </c>
      <c r="G299" s="5111" t="e">
        <f ca="1">IF($B299="WS",VLOOKUP($C299,'PIP finance'!$C$9:$P$59,J$250,FALSE),IF($B299="WW",VLOOKUP($C299,'PIP finance'!$C$177:$P$220,J$250,FALSE),VLOOKUP($C299,'PIP finance'!$C$325:$P$362,J$250,FALSE)))</f>
        <v>#N/A</v>
      </c>
      <c r="H299" s="5111" t="e">
        <f ca="1">IF($B299="WS",VLOOKUP($C299,'PIP finance'!$C$9:$P$59,K$250,FALSE),IF($B299="WW",VLOOKUP($C299,'PIP finance'!$C$177:$P$220,K$250,FALSE),VLOOKUP($C299,'PIP finance'!$C$325:$P$362,K$250,FALSE)))</f>
        <v>#N/A</v>
      </c>
      <c r="I299" s="5111" t="e">
        <f ca="1">IF($B299="WS",VLOOKUP($C299,'PIP finance'!$C$9:$P$59,L$250,FALSE),IF($B299="WW",VLOOKUP($C299,'PIP finance'!$C$177:$P$220,L$250,FALSE),VLOOKUP($C299,'PIP finance'!$C$325:$P$362,L$250,FALSE)))</f>
        <v>#N/A</v>
      </c>
      <c r="J299" s="5111" t="e">
        <f ca="1">IF($B299="WS",VLOOKUP($C299,'PIP finance'!$C$9:$P$59,M$250,FALSE),IF($B299="WW",VLOOKUP($C299,'PIP finance'!$C$177:$P$220,M$250,FALSE),VLOOKUP($C299,'PIP finance'!$C$325:$P$362,M$250,FALSE)))</f>
        <v>#N/A</v>
      </c>
      <c r="K299" s="5111" t="e">
        <f ca="1">IF($B299="WS",VLOOKUP($C299,'PIP finance'!$C$9:$P$59,N$250,FALSE),IF($B299="WW",VLOOKUP($C299,'PIP finance'!$C$177:$P$220,N$250,FALSE),VLOOKUP($C299,'PIP finance'!$C$325:$P$362,N$250,FALSE)))</f>
        <v>#N/A</v>
      </c>
      <c r="L299" s="5111" t="e">
        <f ca="1">IF($B299="WS",VLOOKUP($C299,'PIP finance'!$C$9:$P$59,O$250,FALSE),IF($B299="WW",VLOOKUP($C299,'PIP finance'!$C$177:$P$220,O$250,FALSE),VLOOKUP($C299,'PIP finance'!$C$325:$P$362,O$250,FALSE)))</f>
        <v>#N/A</v>
      </c>
      <c r="M299" s="5111" t="e">
        <f ca="1">IF($B299="WS",VLOOKUP($C299,'PIP finance'!$C$9:$P$59,P$250,FALSE),IF($B299="WW",VLOOKUP($C299,'PIP finance'!$C$177:$P$220,P$250,FALSE),VLOOKUP($C299,'PIP finance'!$C$325:$P$362,P$250,FALSE)))</f>
        <v>#N/A</v>
      </c>
    </row>
    <row r="300" spans="1:13" x14ac:dyDescent="0.25">
      <c r="A300" s="4076">
        <v>49</v>
      </c>
      <c r="B300" s="4076" t="str">
        <f ca="1">'Action Plan finance'!AH104</f>
        <v/>
      </c>
      <c r="C300" s="4078" t="str">
        <f ca="1">'Action Plan finance'!C104</f>
        <v/>
      </c>
      <c r="D300" s="5108" t="e">
        <f ca="1">IF($B300="WS",VLOOKUP($C300,'PIP finance'!$C$9:$P$59,G$250,FALSE),IF($B300="WW",VLOOKUP($C300,'PIP finance'!$C$177:$P$220,G$250,FALSE),VLOOKUP($C300,'PIP finance'!$C$325:$P$362,G$250,FALSE)))</f>
        <v>#N/A</v>
      </c>
      <c r="E300" s="5109" t="e">
        <f ca="1">IF($B300="WS",VLOOKUP($C300,'PIP finance'!$C$9:$P$59,H$250,FALSE),IF($B300="WW",VLOOKUP($C300,'PIP finance'!$C$177:$P$220,H$250,FALSE),VLOOKUP($C300,'PIP finance'!$C$325:$P$362,H$250,FALSE)))</f>
        <v>#N/A</v>
      </c>
      <c r="F300" s="5109" t="e">
        <f ca="1">IF($B300="WS",VLOOKUP($C300,'PIP finance'!$C$9:$P$59,I$250,FALSE),IF($B300="WW",VLOOKUP($C300,'PIP finance'!$C$177:$P$220,I$250,FALSE),VLOOKUP($C300,'PIP finance'!$C$325:$P$362,I$250,FALSE)))</f>
        <v>#N/A</v>
      </c>
      <c r="G300" s="5111" t="e">
        <f ca="1">IF($B300="WS",VLOOKUP($C300,'PIP finance'!$C$9:$P$59,J$250,FALSE),IF($B300="WW",VLOOKUP($C300,'PIP finance'!$C$177:$P$220,J$250,FALSE),VLOOKUP($C300,'PIP finance'!$C$325:$P$362,J$250,FALSE)))</f>
        <v>#N/A</v>
      </c>
      <c r="H300" s="5111" t="e">
        <f ca="1">IF($B300="WS",VLOOKUP($C300,'PIP finance'!$C$9:$P$59,K$250,FALSE),IF($B300="WW",VLOOKUP($C300,'PIP finance'!$C$177:$P$220,K$250,FALSE),VLOOKUP($C300,'PIP finance'!$C$325:$P$362,K$250,FALSE)))</f>
        <v>#N/A</v>
      </c>
      <c r="I300" s="5111" t="e">
        <f ca="1">IF($B300="WS",VLOOKUP($C300,'PIP finance'!$C$9:$P$59,L$250,FALSE),IF($B300="WW",VLOOKUP($C300,'PIP finance'!$C$177:$P$220,L$250,FALSE),VLOOKUP($C300,'PIP finance'!$C$325:$P$362,L$250,FALSE)))</f>
        <v>#N/A</v>
      </c>
      <c r="J300" s="5111" t="e">
        <f ca="1">IF($B300="WS",VLOOKUP($C300,'PIP finance'!$C$9:$P$59,M$250,FALSE),IF($B300="WW",VLOOKUP($C300,'PIP finance'!$C$177:$P$220,M$250,FALSE),VLOOKUP($C300,'PIP finance'!$C$325:$P$362,M$250,FALSE)))</f>
        <v>#N/A</v>
      </c>
      <c r="K300" s="5111" t="e">
        <f ca="1">IF($B300="WS",VLOOKUP($C300,'PIP finance'!$C$9:$P$59,N$250,FALSE),IF($B300="WW",VLOOKUP($C300,'PIP finance'!$C$177:$P$220,N$250,FALSE),VLOOKUP($C300,'PIP finance'!$C$325:$P$362,N$250,FALSE)))</f>
        <v>#N/A</v>
      </c>
      <c r="L300" s="5111" t="e">
        <f ca="1">IF($B300="WS",VLOOKUP($C300,'PIP finance'!$C$9:$P$59,O$250,FALSE),IF($B300="WW",VLOOKUP($C300,'PIP finance'!$C$177:$P$220,O$250,FALSE),VLOOKUP($C300,'PIP finance'!$C$325:$P$362,O$250,FALSE)))</f>
        <v>#N/A</v>
      </c>
      <c r="M300" s="5111" t="e">
        <f ca="1">IF($B300="WS",VLOOKUP($C300,'PIP finance'!$C$9:$P$59,P$250,FALSE),IF($B300="WW",VLOOKUP($C300,'PIP finance'!$C$177:$P$220,P$250,FALSE),VLOOKUP($C300,'PIP finance'!$C$325:$P$362,P$250,FALSE)))</f>
        <v>#N/A</v>
      </c>
    </row>
    <row r="301" spans="1:13" x14ac:dyDescent="0.25">
      <c r="A301" s="4076">
        <v>50</v>
      </c>
      <c r="B301" s="4076" t="str">
        <f ca="1">'Action Plan finance'!AH105</f>
        <v/>
      </c>
      <c r="C301" s="4078" t="str">
        <f ca="1">'Action Plan finance'!C105</f>
        <v/>
      </c>
      <c r="D301" s="5108" t="e">
        <f ca="1">IF($B301="WS",VLOOKUP($C301,'PIP finance'!$C$9:$P$59,G$250,FALSE),IF($B301="WW",VLOOKUP($C301,'PIP finance'!$C$177:$P$220,G$250,FALSE),VLOOKUP($C301,'PIP finance'!$C$325:$P$362,G$250,FALSE)))</f>
        <v>#N/A</v>
      </c>
      <c r="E301" s="5109" t="e">
        <f ca="1">IF($B301="WS",VLOOKUP($C301,'PIP finance'!$C$9:$P$59,H$250,FALSE),IF($B301="WW",VLOOKUP($C301,'PIP finance'!$C$177:$P$220,H$250,FALSE),VLOOKUP($C301,'PIP finance'!$C$325:$P$362,H$250,FALSE)))</f>
        <v>#N/A</v>
      </c>
      <c r="F301" s="5109" t="e">
        <f ca="1">IF($B301="WS",VLOOKUP($C301,'PIP finance'!$C$9:$P$59,I$250,FALSE),IF($B301="WW",VLOOKUP($C301,'PIP finance'!$C$177:$P$220,I$250,FALSE),VLOOKUP($C301,'PIP finance'!$C$325:$P$362,I$250,FALSE)))</f>
        <v>#N/A</v>
      </c>
      <c r="G301" s="5111" t="e">
        <f ca="1">IF($B301="WS",VLOOKUP($C301,'PIP finance'!$C$9:$P$59,J$250,FALSE),IF($B301="WW",VLOOKUP($C301,'PIP finance'!$C$177:$P$220,J$250,FALSE),VLOOKUP($C301,'PIP finance'!$C$325:$P$362,J$250,FALSE)))</f>
        <v>#N/A</v>
      </c>
      <c r="H301" s="5111" t="e">
        <f ca="1">IF($B301="WS",VLOOKUP($C301,'PIP finance'!$C$9:$P$59,K$250,FALSE),IF($B301="WW",VLOOKUP($C301,'PIP finance'!$C$177:$P$220,K$250,FALSE),VLOOKUP($C301,'PIP finance'!$C$325:$P$362,K$250,FALSE)))</f>
        <v>#N/A</v>
      </c>
      <c r="I301" s="5111" t="e">
        <f ca="1">IF($B301="WS",VLOOKUP($C301,'PIP finance'!$C$9:$P$59,L$250,FALSE),IF($B301="WW",VLOOKUP($C301,'PIP finance'!$C$177:$P$220,L$250,FALSE),VLOOKUP($C301,'PIP finance'!$C$325:$P$362,L$250,FALSE)))</f>
        <v>#N/A</v>
      </c>
      <c r="J301" s="5111" t="e">
        <f ca="1">IF($B301="WS",VLOOKUP($C301,'PIP finance'!$C$9:$P$59,M$250,FALSE),IF($B301="WW",VLOOKUP($C301,'PIP finance'!$C$177:$P$220,M$250,FALSE),VLOOKUP($C301,'PIP finance'!$C$325:$P$362,M$250,FALSE)))</f>
        <v>#N/A</v>
      </c>
      <c r="K301" s="5111" t="e">
        <f ca="1">IF($B301="WS",VLOOKUP($C301,'PIP finance'!$C$9:$P$59,N$250,FALSE),IF($B301="WW",VLOOKUP($C301,'PIP finance'!$C$177:$P$220,N$250,FALSE),VLOOKUP($C301,'PIP finance'!$C$325:$P$362,N$250,FALSE)))</f>
        <v>#N/A</v>
      </c>
      <c r="L301" s="5111" t="e">
        <f ca="1">IF($B301="WS",VLOOKUP($C301,'PIP finance'!$C$9:$P$59,O$250,FALSE),IF($B301="WW",VLOOKUP($C301,'PIP finance'!$C$177:$P$220,O$250,FALSE),VLOOKUP($C301,'PIP finance'!$C$325:$P$362,O$250,FALSE)))</f>
        <v>#N/A</v>
      </c>
      <c r="M301" s="5111" t="e">
        <f ca="1">IF($B301="WS",VLOOKUP($C301,'PIP finance'!$C$9:$P$59,P$250,FALSE),IF($B301="WW",VLOOKUP($C301,'PIP finance'!$C$177:$P$220,P$250,FALSE),VLOOKUP($C301,'PIP finance'!$C$325:$P$362,P$250,FALSE)))</f>
        <v>#N/A</v>
      </c>
    </row>
    <row r="302" spans="1:13" x14ac:dyDescent="0.25">
      <c r="A302" s="4076">
        <v>51</v>
      </c>
      <c r="B302" s="4076" t="str">
        <f ca="1">'Action Plan finance'!AH106</f>
        <v/>
      </c>
      <c r="C302" s="4078" t="str">
        <f ca="1">'Action Plan finance'!C106</f>
        <v/>
      </c>
      <c r="D302" s="5108" t="e">
        <f ca="1">IF($B302="WS",VLOOKUP($C302,'PIP finance'!$C$9:$P$59,G$250,FALSE),IF($B302="WW",VLOOKUP($C302,'PIP finance'!$C$177:$P$220,G$250,FALSE),VLOOKUP($C302,'PIP finance'!$C$325:$P$362,G$250,FALSE)))</f>
        <v>#N/A</v>
      </c>
      <c r="E302" s="5109" t="e">
        <f ca="1">IF($B302="WS",VLOOKUP($C302,'PIP finance'!$C$9:$P$59,H$250,FALSE),IF($B302="WW",VLOOKUP($C302,'PIP finance'!$C$177:$P$220,H$250,FALSE),VLOOKUP($C302,'PIP finance'!$C$325:$P$362,H$250,FALSE)))</f>
        <v>#N/A</v>
      </c>
      <c r="F302" s="5109" t="e">
        <f ca="1">IF($B302="WS",VLOOKUP($C302,'PIP finance'!$C$9:$P$59,I$250,FALSE),IF($B302="WW",VLOOKUP($C302,'PIP finance'!$C$177:$P$220,I$250,FALSE),VLOOKUP($C302,'PIP finance'!$C$325:$P$362,I$250,FALSE)))</f>
        <v>#N/A</v>
      </c>
      <c r="G302" s="5111" t="e">
        <f ca="1">IF($B302="WS",VLOOKUP($C302,'PIP finance'!$C$9:$P$59,J$250,FALSE),IF($B302="WW",VLOOKUP($C302,'PIP finance'!$C$177:$P$220,J$250,FALSE),VLOOKUP($C302,'PIP finance'!$C$325:$P$362,J$250,FALSE)))</f>
        <v>#N/A</v>
      </c>
      <c r="H302" s="5111" t="e">
        <f ca="1">IF($B302="WS",VLOOKUP($C302,'PIP finance'!$C$9:$P$59,K$250,FALSE),IF($B302="WW",VLOOKUP($C302,'PIP finance'!$C$177:$P$220,K$250,FALSE),VLOOKUP($C302,'PIP finance'!$C$325:$P$362,K$250,FALSE)))</f>
        <v>#N/A</v>
      </c>
      <c r="I302" s="5111" t="e">
        <f ca="1">IF($B302="WS",VLOOKUP($C302,'PIP finance'!$C$9:$P$59,L$250,FALSE),IF($B302="WW",VLOOKUP($C302,'PIP finance'!$C$177:$P$220,L$250,FALSE),VLOOKUP($C302,'PIP finance'!$C$325:$P$362,L$250,FALSE)))</f>
        <v>#N/A</v>
      </c>
      <c r="J302" s="5111" t="e">
        <f ca="1">IF($B302="WS",VLOOKUP($C302,'PIP finance'!$C$9:$P$59,M$250,FALSE),IF($B302="WW",VLOOKUP($C302,'PIP finance'!$C$177:$P$220,M$250,FALSE),VLOOKUP($C302,'PIP finance'!$C$325:$P$362,M$250,FALSE)))</f>
        <v>#N/A</v>
      </c>
      <c r="K302" s="5111" t="e">
        <f ca="1">IF($B302="WS",VLOOKUP($C302,'PIP finance'!$C$9:$P$59,N$250,FALSE),IF($B302="WW",VLOOKUP($C302,'PIP finance'!$C$177:$P$220,N$250,FALSE),VLOOKUP($C302,'PIP finance'!$C$325:$P$362,N$250,FALSE)))</f>
        <v>#N/A</v>
      </c>
      <c r="L302" s="5111" t="e">
        <f ca="1">IF($B302="WS",VLOOKUP($C302,'PIP finance'!$C$9:$P$59,O$250,FALSE),IF($B302="WW",VLOOKUP($C302,'PIP finance'!$C$177:$P$220,O$250,FALSE),VLOOKUP($C302,'PIP finance'!$C$325:$P$362,O$250,FALSE)))</f>
        <v>#N/A</v>
      </c>
      <c r="M302" s="5111" t="e">
        <f ca="1">IF($B302="WS",VLOOKUP($C302,'PIP finance'!$C$9:$P$59,P$250,FALSE),IF($B302="WW",VLOOKUP($C302,'PIP finance'!$C$177:$P$220,P$250,FALSE),VLOOKUP($C302,'PIP finance'!$C$325:$P$362,P$250,FALSE)))</f>
        <v>#N/A</v>
      </c>
    </row>
    <row r="303" spans="1:13" x14ac:dyDescent="0.25">
      <c r="A303" s="4076">
        <v>52</v>
      </c>
      <c r="B303" s="4076" t="str">
        <f ca="1">'Action Plan finance'!AH107</f>
        <v/>
      </c>
      <c r="C303" s="4078" t="str">
        <f ca="1">'Action Plan finance'!C107</f>
        <v/>
      </c>
      <c r="D303" s="5108" t="e">
        <f ca="1">IF($B303="WS",VLOOKUP($C303,'PIP finance'!$C$9:$P$59,G$250,FALSE),IF($B303="WW",VLOOKUP($C303,'PIP finance'!$C$177:$P$220,G$250,FALSE),VLOOKUP($C303,'PIP finance'!$C$325:$P$362,G$250,FALSE)))</f>
        <v>#N/A</v>
      </c>
      <c r="E303" s="5109" t="e">
        <f ca="1">IF($B303="WS",VLOOKUP($C303,'PIP finance'!$C$9:$P$59,H$250,FALSE),IF($B303="WW",VLOOKUP($C303,'PIP finance'!$C$177:$P$220,H$250,FALSE),VLOOKUP($C303,'PIP finance'!$C$325:$P$362,H$250,FALSE)))</f>
        <v>#N/A</v>
      </c>
      <c r="F303" s="5109" t="e">
        <f ca="1">IF($B303="WS",VLOOKUP($C303,'PIP finance'!$C$9:$P$59,I$250,FALSE),IF($B303="WW",VLOOKUP($C303,'PIP finance'!$C$177:$P$220,I$250,FALSE),VLOOKUP($C303,'PIP finance'!$C$325:$P$362,I$250,FALSE)))</f>
        <v>#N/A</v>
      </c>
      <c r="G303" s="5111" t="e">
        <f ca="1">IF($B303="WS",VLOOKUP($C303,'PIP finance'!$C$9:$P$59,J$250,FALSE),IF($B303="WW",VLOOKUP($C303,'PIP finance'!$C$177:$P$220,J$250,FALSE),VLOOKUP($C303,'PIP finance'!$C$325:$P$362,J$250,FALSE)))</f>
        <v>#N/A</v>
      </c>
      <c r="H303" s="5111" t="e">
        <f ca="1">IF($B303="WS",VLOOKUP($C303,'PIP finance'!$C$9:$P$59,K$250,FALSE),IF($B303="WW",VLOOKUP($C303,'PIP finance'!$C$177:$P$220,K$250,FALSE),VLOOKUP($C303,'PIP finance'!$C$325:$P$362,K$250,FALSE)))</f>
        <v>#N/A</v>
      </c>
      <c r="I303" s="5111" t="e">
        <f ca="1">IF($B303="WS",VLOOKUP($C303,'PIP finance'!$C$9:$P$59,L$250,FALSE),IF($B303="WW",VLOOKUP($C303,'PIP finance'!$C$177:$P$220,L$250,FALSE),VLOOKUP($C303,'PIP finance'!$C$325:$P$362,L$250,FALSE)))</f>
        <v>#N/A</v>
      </c>
      <c r="J303" s="5111" t="e">
        <f ca="1">IF($B303="WS",VLOOKUP($C303,'PIP finance'!$C$9:$P$59,M$250,FALSE),IF($B303="WW",VLOOKUP($C303,'PIP finance'!$C$177:$P$220,M$250,FALSE),VLOOKUP($C303,'PIP finance'!$C$325:$P$362,M$250,FALSE)))</f>
        <v>#N/A</v>
      </c>
      <c r="K303" s="5111" t="e">
        <f ca="1">IF($B303="WS",VLOOKUP($C303,'PIP finance'!$C$9:$P$59,N$250,FALSE),IF($B303="WW",VLOOKUP($C303,'PIP finance'!$C$177:$P$220,N$250,FALSE),VLOOKUP($C303,'PIP finance'!$C$325:$P$362,N$250,FALSE)))</f>
        <v>#N/A</v>
      </c>
      <c r="L303" s="5111" t="e">
        <f ca="1">IF($B303="WS",VLOOKUP($C303,'PIP finance'!$C$9:$P$59,O$250,FALSE),IF($B303="WW",VLOOKUP($C303,'PIP finance'!$C$177:$P$220,O$250,FALSE),VLOOKUP($C303,'PIP finance'!$C$325:$P$362,O$250,FALSE)))</f>
        <v>#N/A</v>
      </c>
      <c r="M303" s="5111" t="e">
        <f ca="1">IF($B303="WS",VLOOKUP($C303,'PIP finance'!$C$9:$P$59,P$250,FALSE),IF($B303="WW",VLOOKUP($C303,'PIP finance'!$C$177:$P$220,P$250,FALSE),VLOOKUP($C303,'PIP finance'!$C$325:$P$362,P$250,FALSE)))</f>
        <v>#N/A</v>
      </c>
    </row>
    <row r="304" spans="1:13" x14ac:dyDescent="0.25">
      <c r="A304" s="4076">
        <v>53</v>
      </c>
      <c r="B304" s="4076" t="str">
        <f ca="1">'Action Plan finance'!AH108</f>
        <v/>
      </c>
      <c r="C304" s="4078" t="str">
        <f ca="1">'Action Plan finance'!C108</f>
        <v/>
      </c>
      <c r="D304" s="5108" t="e">
        <f ca="1">IF($B304="WS",VLOOKUP($C304,'PIP finance'!$C$9:$P$59,G$250,FALSE),IF($B304="WW",VLOOKUP($C304,'PIP finance'!$C$177:$P$220,G$250,FALSE),VLOOKUP($C304,'PIP finance'!$C$325:$P$362,G$250,FALSE)))</f>
        <v>#N/A</v>
      </c>
      <c r="E304" s="5109" t="e">
        <f ca="1">IF($B304="WS",VLOOKUP($C304,'PIP finance'!$C$9:$P$59,H$250,FALSE),IF($B304="WW",VLOOKUP($C304,'PIP finance'!$C$177:$P$220,H$250,FALSE),VLOOKUP($C304,'PIP finance'!$C$325:$P$362,H$250,FALSE)))</f>
        <v>#N/A</v>
      </c>
      <c r="F304" s="5109" t="e">
        <f ca="1">IF($B304="WS",VLOOKUP($C304,'PIP finance'!$C$9:$P$59,I$250,FALSE),IF($B304="WW",VLOOKUP($C304,'PIP finance'!$C$177:$P$220,I$250,FALSE),VLOOKUP($C304,'PIP finance'!$C$325:$P$362,I$250,FALSE)))</f>
        <v>#N/A</v>
      </c>
      <c r="G304" s="5111" t="e">
        <f ca="1">IF($B304="WS",VLOOKUP($C304,'PIP finance'!$C$9:$P$59,J$250,FALSE),IF($B304="WW",VLOOKUP($C304,'PIP finance'!$C$177:$P$220,J$250,FALSE),VLOOKUP($C304,'PIP finance'!$C$325:$P$362,J$250,FALSE)))</f>
        <v>#N/A</v>
      </c>
      <c r="H304" s="5111" t="e">
        <f ca="1">IF($B304="WS",VLOOKUP($C304,'PIP finance'!$C$9:$P$59,K$250,FALSE),IF($B304="WW",VLOOKUP($C304,'PIP finance'!$C$177:$P$220,K$250,FALSE),VLOOKUP($C304,'PIP finance'!$C$325:$P$362,K$250,FALSE)))</f>
        <v>#N/A</v>
      </c>
      <c r="I304" s="5111" t="e">
        <f ca="1">IF($B304="WS",VLOOKUP($C304,'PIP finance'!$C$9:$P$59,L$250,FALSE),IF($B304="WW",VLOOKUP($C304,'PIP finance'!$C$177:$P$220,L$250,FALSE),VLOOKUP($C304,'PIP finance'!$C$325:$P$362,L$250,FALSE)))</f>
        <v>#N/A</v>
      </c>
      <c r="J304" s="5111" t="e">
        <f ca="1">IF($B304="WS",VLOOKUP($C304,'PIP finance'!$C$9:$P$59,M$250,FALSE),IF($B304="WW",VLOOKUP($C304,'PIP finance'!$C$177:$P$220,M$250,FALSE),VLOOKUP($C304,'PIP finance'!$C$325:$P$362,M$250,FALSE)))</f>
        <v>#N/A</v>
      </c>
      <c r="K304" s="5111" t="e">
        <f ca="1">IF($B304="WS",VLOOKUP($C304,'PIP finance'!$C$9:$P$59,N$250,FALSE),IF($B304="WW",VLOOKUP($C304,'PIP finance'!$C$177:$P$220,N$250,FALSE),VLOOKUP($C304,'PIP finance'!$C$325:$P$362,N$250,FALSE)))</f>
        <v>#N/A</v>
      </c>
      <c r="L304" s="5111" t="e">
        <f ca="1">IF($B304="WS",VLOOKUP($C304,'PIP finance'!$C$9:$P$59,O$250,FALSE),IF($B304="WW",VLOOKUP($C304,'PIP finance'!$C$177:$P$220,O$250,FALSE),VLOOKUP($C304,'PIP finance'!$C$325:$P$362,O$250,FALSE)))</f>
        <v>#N/A</v>
      </c>
      <c r="M304" s="5111" t="e">
        <f ca="1">IF($B304="WS",VLOOKUP($C304,'PIP finance'!$C$9:$P$59,P$250,FALSE),IF($B304="WW",VLOOKUP($C304,'PIP finance'!$C$177:$P$220,P$250,FALSE),VLOOKUP($C304,'PIP finance'!$C$325:$P$362,P$250,FALSE)))</f>
        <v>#N/A</v>
      </c>
    </row>
    <row r="305" spans="1:13" x14ac:dyDescent="0.25">
      <c r="A305" s="4076">
        <v>54</v>
      </c>
      <c r="B305" s="4076" t="str">
        <f ca="1">'Action Plan finance'!AH109</f>
        <v/>
      </c>
      <c r="C305" s="4078" t="str">
        <f ca="1">'Action Plan finance'!C109</f>
        <v/>
      </c>
      <c r="D305" s="5108" t="e">
        <f ca="1">IF($B305="WS",VLOOKUP($C305,'PIP finance'!$C$9:$P$59,G$250,FALSE),IF($B305="WW",VLOOKUP($C305,'PIP finance'!$C$177:$P$220,G$250,FALSE),VLOOKUP($C305,'PIP finance'!$C$325:$P$362,G$250,FALSE)))</f>
        <v>#N/A</v>
      </c>
      <c r="E305" s="5109" t="e">
        <f ca="1">IF($B305="WS",VLOOKUP($C305,'PIP finance'!$C$9:$P$59,H$250,FALSE),IF($B305="WW",VLOOKUP($C305,'PIP finance'!$C$177:$P$220,H$250,FALSE),VLOOKUP($C305,'PIP finance'!$C$325:$P$362,H$250,FALSE)))</f>
        <v>#N/A</v>
      </c>
      <c r="F305" s="5109" t="e">
        <f ca="1">IF($B305="WS",VLOOKUP($C305,'PIP finance'!$C$9:$P$59,I$250,FALSE),IF($B305="WW",VLOOKUP($C305,'PIP finance'!$C$177:$P$220,I$250,FALSE),VLOOKUP($C305,'PIP finance'!$C$325:$P$362,I$250,FALSE)))</f>
        <v>#N/A</v>
      </c>
      <c r="G305" s="5111" t="e">
        <f ca="1">IF($B305="WS",VLOOKUP($C305,'PIP finance'!$C$9:$P$59,J$250,FALSE),IF($B305="WW",VLOOKUP($C305,'PIP finance'!$C$177:$P$220,J$250,FALSE),VLOOKUP($C305,'PIP finance'!$C$325:$P$362,J$250,FALSE)))</f>
        <v>#N/A</v>
      </c>
      <c r="H305" s="5111" t="e">
        <f ca="1">IF($B305="WS",VLOOKUP($C305,'PIP finance'!$C$9:$P$59,K$250,FALSE),IF($B305="WW",VLOOKUP($C305,'PIP finance'!$C$177:$P$220,K$250,FALSE),VLOOKUP($C305,'PIP finance'!$C$325:$P$362,K$250,FALSE)))</f>
        <v>#N/A</v>
      </c>
      <c r="I305" s="5111" t="e">
        <f ca="1">IF($B305="WS",VLOOKUP($C305,'PIP finance'!$C$9:$P$59,L$250,FALSE),IF($B305="WW",VLOOKUP($C305,'PIP finance'!$C$177:$P$220,L$250,FALSE),VLOOKUP($C305,'PIP finance'!$C$325:$P$362,L$250,FALSE)))</f>
        <v>#N/A</v>
      </c>
      <c r="J305" s="5111" t="e">
        <f ca="1">IF($B305="WS",VLOOKUP($C305,'PIP finance'!$C$9:$P$59,M$250,FALSE),IF($B305="WW",VLOOKUP($C305,'PIP finance'!$C$177:$P$220,M$250,FALSE),VLOOKUP($C305,'PIP finance'!$C$325:$P$362,M$250,FALSE)))</f>
        <v>#N/A</v>
      </c>
      <c r="K305" s="5111" t="e">
        <f ca="1">IF($B305="WS",VLOOKUP($C305,'PIP finance'!$C$9:$P$59,N$250,FALSE),IF($B305="WW",VLOOKUP($C305,'PIP finance'!$C$177:$P$220,N$250,FALSE),VLOOKUP($C305,'PIP finance'!$C$325:$P$362,N$250,FALSE)))</f>
        <v>#N/A</v>
      </c>
      <c r="L305" s="5111" t="e">
        <f ca="1">IF($B305="WS",VLOOKUP($C305,'PIP finance'!$C$9:$P$59,O$250,FALSE),IF($B305="WW",VLOOKUP($C305,'PIP finance'!$C$177:$P$220,O$250,FALSE),VLOOKUP($C305,'PIP finance'!$C$325:$P$362,O$250,FALSE)))</f>
        <v>#N/A</v>
      </c>
      <c r="M305" s="5111" t="e">
        <f ca="1">IF($B305="WS",VLOOKUP($C305,'PIP finance'!$C$9:$P$59,P$250,FALSE),IF($B305="WW",VLOOKUP($C305,'PIP finance'!$C$177:$P$220,P$250,FALSE),VLOOKUP($C305,'PIP finance'!$C$325:$P$362,P$250,FALSE)))</f>
        <v>#N/A</v>
      </c>
    </row>
    <row r="306" spans="1:13" x14ac:dyDescent="0.25">
      <c r="A306" s="4076">
        <v>55</v>
      </c>
      <c r="B306" s="4076" t="str">
        <f ca="1">'Action Plan finance'!AH110</f>
        <v/>
      </c>
      <c r="C306" s="4078" t="str">
        <f ca="1">'Action Plan finance'!C110</f>
        <v/>
      </c>
      <c r="D306" s="5108" t="e">
        <f ca="1">IF($B306="WS",VLOOKUP($C306,'PIP finance'!$C$9:$P$59,G$250,FALSE),IF($B306="WW",VLOOKUP($C306,'PIP finance'!$C$177:$P$220,G$250,FALSE),VLOOKUP($C306,'PIP finance'!$C$325:$P$362,G$250,FALSE)))</f>
        <v>#N/A</v>
      </c>
      <c r="E306" s="5109" t="e">
        <f ca="1">IF($B306="WS",VLOOKUP($C306,'PIP finance'!$C$9:$P$59,H$250,FALSE),IF($B306="WW",VLOOKUP($C306,'PIP finance'!$C$177:$P$220,H$250,FALSE),VLOOKUP($C306,'PIP finance'!$C$325:$P$362,H$250,FALSE)))</f>
        <v>#N/A</v>
      </c>
      <c r="F306" s="5109" t="e">
        <f ca="1">IF($B306="WS",VLOOKUP($C306,'PIP finance'!$C$9:$P$59,I$250,FALSE),IF($B306="WW",VLOOKUP($C306,'PIP finance'!$C$177:$P$220,I$250,FALSE),VLOOKUP($C306,'PIP finance'!$C$325:$P$362,I$250,FALSE)))</f>
        <v>#N/A</v>
      </c>
      <c r="G306" s="5111" t="e">
        <f ca="1">IF($B306="WS",VLOOKUP($C306,'PIP finance'!$C$9:$P$59,J$250,FALSE),IF($B306="WW",VLOOKUP($C306,'PIP finance'!$C$177:$P$220,J$250,FALSE),VLOOKUP($C306,'PIP finance'!$C$325:$P$362,J$250,FALSE)))</f>
        <v>#N/A</v>
      </c>
      <c r="H306" s="5111" t="e">
        <f ca="1">IF($B306="WS",VLOOKUP($C306,'PIP finance'!$C$9:$P$59,K$250,FALSE),IF($B306="WW",VLOOKUP($C306,'PIP finance'!$C$177:$P$220,K$250,FALSE),VLOOKUP($C306,'PIP finance'!$C$325:$P$362,K$250,FALSE)))</f>
        <v>#N/A</v>
      </c>
      <c r="I306" s="5111" t="e">
        <f ca="1">IF($B306="WS",VLOOKUP($C306,'PIP finance'!$C$9:$P$59,L$250,FALSE),IF($B306="WW",VLOOKUP($C306,'PIP finance'!$C$177:$P$220,L$250,FALSE),VLOOKUP($C306,'PIP finance'!$C$325:$P$362,L$250,FALSE)))</f>
        <v>#N/A</v>
      </c>
      <c r="J306" s="5111" t="e">
        <f ca="1">IF($B306="WS",VLOOKUP($C306,'PIP finance'!$C$9:$P$59,M$250,FALSE),IF($B306="WW",VLOOKUP($C306,'PIP finance'!$C$177:$P$220,M$250,FALSE),VLOOKUP($C306,'PIP finance'!$C$325:$P$362,M$250,FALSE)))</f>
        <v>#N/A</v>
      </c>
      <c r="K306" s="5111" t="e">
        <f ca="1">IF($B306="WS",VLOOKUP($C306,'PIP finance'!$C$9:$P$59,N$250,FALSE),IF($B306="WW",VLOOKUP($C306,'PIP finance'!$C$177:$P$220,N$250,FALSE),VLOOKUP($C306,'PIP finance'!$C$325:$P$362,N$250,FALSE)))</f>
        <v>#N/A</v>
      </c>
      <c r="L306" s="5111" t="e">
        <f ca="1">IF($B306="WS",VLOOKUP($C306,'PIP finance'!$C$9:$P$59,O$250,FALSE),IF($B306="WW",VLOOKUP($C306,'PIP finance'!$C$177:$P$220,O$250,FALSE),VLOOKUP($C306,'PIP finance'!$C$325:$P$362,O$250,FALSE)))</f>
        <v>#N/A</v>
      </c>
      <c r="M306" s="5111" t="e">
        <f ca="1">IF($B306="WS",VLOOKUP($C306,'PIP finance'!$C$9:$P$59,P$250,FALSE),IF($B306="WW",VLOOKUP($C306,'PIP finance'!$C$177:$P$220,P$250,FALSE),VLOOKUP($C306,'PIP finance'!$C$325:$P$362,P$250,FALSE)))</f>
        <v>#N/A</v>
      </c>
    </row>
    <row r="307" spans="1:13" x14ac:dyDescent="0.25">
      <c r="A307" s="4076">
        <v>56</v>
      </c>
      <c r="B307" s="4076" t="str">
        <f ca="1">'Action Plan finance'!AH111</f>
        <v/>
      </c>
      <c r="C307" s="4078" t="str">
        <f ca="1">'Action Plan finance'!C111</f>
        <v/>
      </c>
      <c r="D307" s="5108" t="e">
        <f ca="1">IF($B307="WS",VLOOKUP($C307,'PIP finance'!$C$9:$P$59,G$250,FALSE),IF($B307="WW",VLOOKUP($C307,'PIP finance'!$C$177:$P$220,G$250,FALSE),VLOOKUP($C307,'PIP finance'!$C$325:$P$362,G$250,FALSE)))</f>
        <v>#N/A</v>
      </c>
      <c r="E307" s="5109" t="e">
        <f ca="1">IF($B307="WS",VLOOKUP($C307,'PIP finance'!$C$9:$P$59,H$250,FALSE),IF($B307="WW",VLOOKUP($C307,'PIP finance'!$C$177:$P$220,H$250,FALSE),VLOOKUP($C307,'PIP finance'!$C$325:$P$362,H$250,FALSE)))</f>
        <v>#N/A</v>
      </c>
      <c r="F307" s="5109" t="e">
        <f ca="1">IF($B307="WS",VLOOKUP($C307,'PIP finance'!$C$9:$P$59,I$250,FALSE),IF($B307="WW",VLOOKUP($C307,'PIP finance'!$C$177:$P$220,I$250,FALSE),VLOOKUP($C307,'PIP finance'!$C$325:$P$362,I$250,FALSE)))</f>
        <v>#N/A</v>
      </c>
      <c r="G307" s="5111" t="e">
        <f ca="1">IF($B307="WS",VLOOKUP($C307,'PIP finance'!$C$9:$P$59,J$250,FALSE),IF($B307="WW",VLOOKUP($C307,'PIP finance'!$C$177:$P$220,J$250,FALSE),VLOOKUP($C307,'PIP finance'!$C$325:$P$362,J$250,FALSE)))</f>
        <v>#N/A</v>
      </c>
      <c r="H307" s="5111" t="e">
        <f ca="1">IF($B307="WS",VLOOKUP($C307,'PIP finance'!$C$9:$P$59,K$250,FALSE),IF($B307="WW",VLOOKUP($C307,'PIP finance'!$C$177:$P$220,K$250,FALSE),VLOOKUP($C307,'PIP finance'!$C$325:$P$362,K$250,FALSE)))</f>
        <v>#N/A</v>
      </c>
      <c r="I307" s="5111" t="e">
        <f ca="1">IF($B307="WS",VLOOKUP($C307,'PIP finance'!$C$9:$P$59,L$250,FALSE),IF($B307="WW",VLOOKUP($C307,'PIP finance'!$C$177:$P$220,L$250,FALSE),VLOOKUP($C307,'PIP finance'!$C$325:$P$362,L$250,FALSE)))</f>
        <v>#N/A</v>
      </c>
      <c r="J307" s="5111" t="e">
        <f ca="1">IF($B307="WS",VLOOKUP($C307,'PIP finance'!$C$9:$P$59,M$250,FALSE),IF($B307="WW",VLOOKUP($C307,'PIP finance'!$C$177:$P$220,M$250,FALSE),VLOOKUP($C307,'PIP finance'!$C$325:$P$362,M$250,FALSE)))</f>
        <v>#N/A</v>
      </c>
      <c r="K307" s="5111" t="e">
        <f ca="1">IF($B307="WS",VLOOKUP($C307,'PIP finance'!$C$9:$P$59,N$250,FALSE),IF($B307="WW",VLOOKUP($C307,'PIP finance'!$C$177:$P$220,N$250,FALSE),VLOOKUP($C307,'PIP finance'!$C$325:$P$362,N$250,FALSE)))</f>
        <v>#N/A</v>
      </c>
      <c r="L307" s="5111" t="e">
        <f ca="1">IF($B307="WS",VLOOKUP($C307,'PIP finance'!$C$9:$P$59,O$250,FALSE),IF($B307="WW",VLOOKUP($C307,'PIP finance'!$C$177:$P$220,O$250,FALSE),VLOOKUP($C307,'PIP finance'!$C$325:$P$362,O$250,FALSE)))</f>
        <v>#N/A</v>
      </c>
      <c r="M307" s="5111" t="e">
        <f ca="1">IF($B307="WS",VLOOKUP($C307,'PIP finance'!$C$9:$P$59,P$250,FALSE),IF($B307="WW",VLOOKUP($C307,'PIP finance'!$C$177:$P$220,P$250,FALSE),VLOOKUP($C307,'PIP finance'!$C$325:$P$362,P$250,FALSE)))</f>
        <v>#N/A</v>
      </c>
    </row>
    <row r="308" spans="1:13" x14ac:dyDescent="0.25">
      <c r="A308" s="4076">
        <v>57</v>
      </c>
      <c r="B308" s="4076" t="str">
        <f ca="1">'Action Plan finance'!AH112</f>
        <v/>
      </c>
      <c r="C308" s="4078" t="str">
        <f ca="1">'Action Plan finance'!C112</f>
        <v/>
      </c>
      <c r="D308" s="5108" t="e">
        <f ca="1">IF($B308="WS",VLOOKUP($C308,'PIP finance'!$C$9:$P$59,G$250,FALSE),IF($B308="WW",VLOOKUP($C308,'PIP finance'!$C$177:$P$220,G$250,FALSE),VLOOKUP($C308,'PIP finance'!$C$325:$P$362,G$250,FALSE)))</f>
        <v>#N/A</v>
      </c>
      <c r="E308" s="5109" t="e">
        <f ca="1">IF($B308="WS",VLOOKUP($C308,'PIP finance'!$C$9:$P$59,H$250,FALSE),IF($B308="WW",VLOOKUP($C308,'PIP finance'!$C$177:$P$220,H$250,FALSE),VLOOKUP($C308,'PIP finance'!$C$325:$P$362,H$250,FALSE)))</f>
        <v>#N/A</v>
      </c>
      <c r="F308" s="5109" t="e">
        <f ca="1">IF($B308="WS",VLOOKUP($C308,'PIP finance'!$C$9:$P$59,I$250,FALSE),IF($B308="WW",VLOOKUP($C308,'PIP finance'!$C$177:$P$220,I$250,FALSE),VLOOKUP($C308,'PIP finance'!$C$325:$P$362,I$250,FALSE)))</f>
        <v>#N/A</v>
      </c>
      <c r="G308" s="5111" t="e">
        <f ca="1">IF($B308="WS",VLOOKUP($C308,'PIP finance'!$C$9:$P$59,J$250,FALSE),IF($B308="WW",VLOOKUP($C308,'PIP finance'!$C$177:$P$220,J$250,FALSE),VLOOKUP($C308,'PIP finance'!$C$325:$P$362,J$250,FALSE)))</f>
        <v>#N/A</v>
      </c>
      <c r="H308" s="5111" t="e">
        <f ca="1">IF($B308="WS",VLOOKUP($C308,'PIP finance'!$C$9:$P$59,K$250,FALSE),IF($B308="WW",VLOOKUP($C308,'PIP finance'!$C$177:$P$220,K$250,FALSE),VLOOKUP($C308,'PIP finance'!$C$325:$P$362,K$250,FALSE)))</f>
        <v>#N/A</v>
      </c>
      <c r="I308" s="5111" t="e">
        <f ca="1">IF($B308="WS",VLOOKUP($C308,'PIP finance'!$C$9:$P$59,L$250,FALSE),IF($B308="WW",VLOOKUP($C308,'PIP finance'!$C$177:$P$220,L$250,FALSE),VLOOKUP($C308,'PIP finance'!$C$325:$P$362,L$250,FALSE)))</f>
        <v>#N/A</v>
      </c>
      <c r="J308" s="5111" t="e">
        <f ca="1">IF($B308="WS",VLOOKUP($C308,'PIP finance'!$C$9:$P$59,M$250,FALSE),IF($B308="WW",VLOOKUP($C308,'PIP finance'!$C$177:$P$220,M$250,FALSE),VLOOKUP($C308,'PIP finance'!$C$325:$P$362,M$250,FALSE)))</f>
        <v>#N/A</v>
      </c>
      <c r="K308" s="5111" t="e">
        <f ca="1">IF($B308="WS",VLOOKUP($C308,'PIP finance'!$C$9:$P$59,N$250,FALSE),IF($B308="WW",VLOOKUP($C308,'PIP finance'!$C$177:$P$220,N$250,FALSE),VLOOKUP($C308,'PIP finance'!$C$325:$P$362,N$250,FALSE)))</f>
        <v>#N/A</v>
      </c>
      <c r="L308" s="5111" t="e">
        <f ca="1">IF($B308="WS",VLOOKUP($C308,'PIP finance'!$C$9:$P$59,O$250,FALSE),IF($B308="WW",VLOOKUP($C308,'PIP finance'!$C$177:$P$220,O$250,FALSE),VLOOKUP($C308,'PIP finance'!$C$325:$P$362,O$250,FALSE)))</f>
        <v>#N/A</v>
      </c>
      <c r="M308" s="5111" t="e">
        <f ca="1">IF($B308="WS",VLOOKUP($C308,'PIP finance'!$C$9:$P$59,P$250,FALSE),IF($B308="WW",VLOOKUP($C308,'PIP finance'!$C$177:$P$220,P$250,FALSE),VLOOKUP($C308,'PIP finance'!$C$325:$P$362,P$250,FALSE)))</f>
        <v>#N/A</v>
      </c>
    </row>
    <row r="309" spans="1:13" x14ac:dyDescent="0.25">
      <c r="A309" s="4076">
        <v>58</v>
      </c>
      <c r="B309" s="4076" t="str">
        <f ca="1">'Action Plan finance'!AH113</f>
        <v/>
      </c>
      <c r="C309" s="4078" t="str">
        <f ca="1">'Action Plan finance'!C113</f>
        <v/>
      </c>
      <c r="D309" s="5108" t="e">
        <f ca="1">IF($B309="WS",VLOOKUP($C309,'PIP finance'!$C$9:$P$59,G$250,FALSE),IF($B309="WW",VLOOKUP($C309,'PIP finance'!$C$177:$P$220,G$250,FALSE),VLOOKUP($C309,'PIP finance'!$C$325:$P$362,G$250,FALSE)))</f>
        <v>#N/A</v>
      </c>
      <c r="E309" s="5109" t="e">
        <f ca="1">IF($B309="WS",VLOOKUP($C309,'PIP finance'!$C$9:$P$59,H$250,FALSE),IF($B309="WW",VLOOKUP($C309,'PIP finance'!$C$177:$P$220,H$250,FALSE),VLOOKUP($C309,'PIP finance'!$C$325:$P$362,H$250,FALSE)))</f>
        <v>#N/A</v>
      </c>
      <c r="F309" s="5109" t="e">
        <f ca="1">IF($B309="WS",VLOOKUP($C309,'PIP finance'!$C$9:$P$59,I$250,FALSE),IF($B309="WW",VLOOKUP($C309,'PIP finance'!$C$177:$P$220,I$250,FALSE),VLOOKUP($C309,'PIP finance'!$C$325:$P$362,I$250,FALSE)))</f>
        <v>#N/A</v>
      </c>
      <c r="G309" s="5111" t="e">
        <f ca="1">IF($B309="WS",VLOOKUP($C309,'PIP finance'!$C$9:$P$59,J$250,FALSE),IF($B309="WW",VLOOKUP($C309,'PIP finance'!$C$177:$P$220,J$250,FALSE),VLOOKUP($C309,'PIP finance'!$C$325:$P$362,J$250,FALSE)))</f>
        <v>#N/A</v>
      </c>
      <c r="H309" s="5111" t="e">
        <f ca="1">IF($B309="WS",VLOOKUP($C309,'PIP finance'!$C$9:$P$59,K$250,FALSE),IF($B309="WW",VLOOKUP($C309,'PIP finance'!$C$177:$P$220,K$250,FALSE),VLOOKUP($C309,'PIP finance'!$C$325:$P$362,K$250,FALSE)))</f>
        <v>#N/A</v>
      </c>
      <c r="I309" s="5111" t="e">
        <f ca="1">IF($B309="WS",VLOOKUP($C309,'PIP finance'!$C$9:$P$59,L$250,FALSE),IF($B309="WW",VLOOKUP($C309,'PIP finance'!$C$177:$P$220,L$250,FALSE),VLOOKUP($C309,'PIP finance'!$C$325:$P$362,L$250,FALSE)))</f>
        <v>#N/A</v>
      </c>
      <c r="J309" s="5111" t="e">
        <f ca="1">IF($B309="WS",VLOOKUP($C309,'PIP finance'!$C$9:$P$59,M$250,FALSE),IF($B309="WW",VLOOKUP($C309,'PIP finance'!$C$177:$P$220,M$250,FALSE),VLOOKUP($C309,'PIP finance'!$C$325:$P$362,M$250,FALSE)))</f>
        <v>#N/A</v>
      </c>
      <c r="K309" s="5111" t="e">
        <f ca="1">IF($B309="WS",VLOOKUP($C309,'PIP finance'!$C$9:$P$59,N$250,FALSE),IF($B309="WW",VLOOKUP($C309,'PIP finance'!$C$177:$P$220,N$250,FALSE),VLOOKUP($C309,'PIP finance'!$C$325:$P$362,N$250,FALSE)))</f>
        <v>#N/A</v>
      </c>
      <c r="L309" s="5111" t="e">
        <f ca="1">IF($B309="WS",VLOOKUP($C309,'PIP finance'!$C$9:$P$59,O$250,FALSE),IF($B309="WW",VLOOKUP($C309,'PIP finance'!$C$177:$P$220,O$250,FALSE),VLOOKUP($C309,'PIP finance'!$C$325:$P$362,O$250,FALSE)))</f>
        <v>#N/A</v>
      </c>
      <c r="M309" s="5111" t="e">
        <f ca="1">IF($B309="WS",VLOOKUP($C309,'PIP finance'!$C$9:$P$59,P$250,FALSE),IF($B309="WW",VLOOKUP($C309,'PIP finance'!$C$177:$P$220,P$250,FALSE),VLOOKUP($C309,'PIP finance'!$C$325:$P$362,P$250,FALSE)))</f>
        <v>#N/A</v>
      </c>
    </row>
    <row r="310" spans="1:13" x14ac:dyDescent="0.25">
      <c r="A310" s="4076">
        <v>59</v>
      </c>
      <c r="B310" s="4076" t="str">
        <f ca="1">'Action Plan finance'!AH114</f>
        <v/>
      </c>
      <c r="C310" s="4078" t="str">
        <f ca="1">'Action Plan finance'!C114</f>
        <v/>
      </c>
      <c r="D310" s="5108" t="e">
        <f ca="1">IF($B310="WS",VLOOKUP($C310,'PIP finance'!$C$9:$P$59,G$250,FALSE),IF($B310="WW",VLOOKUP($C310,'PIP finance'!$C$177:$P$220,G$250,FALSE),VLOOKUP($C310,'PIP finance'!$C$325:$P$362,G$250,FALSE)))</f>
        <v>#N/A</v>
      </c>
      <c r="E310" s="5109" t="e">
        <f ca="1">IF($B310="WS",VLOOKUP($C310,'PIP finance'!$C$9:$P$59,H$250,FALSE),IF($B310="WW",VLOOKUP($C310,'PIP finance'!$C$177:$P$220,H$250,FALSE),VLOOKUP($C310,'PIP finance'!$C$325:$P$362,H$250,FALSE)))</f>
        <v>#N/A</v>
      </c>
      <c r="F310" s="5109" t="e">
        <f ca="1">IF($B310="WS",VLOOKUP($C310,'PIP finance'!$C$9:$P$59,I$250,FALSE),IF($B310="WW",VLOOKUP($C310,'PIP finance'!$C$177:$P$220,I$250,FALSE),VLOOKUP($C310,'PIP finance'!$C$325:$P$362,I$250,FALSE)))</f>
        <v>#N/A</v>
      </c>
      <c r="G310" s="5111" t="e">
        <f ca="1">IF($B310="WS",VLOOKUP($C310,'PIP finance'!$C$9:$P$59,J$250,FALSE),IF($B310="WW",VLOOKUP($C310,'PIP finance'!$C$177:$P$220,J$250,FALSE),VLOOKUP($C310,'PIP finance'!$C$325:$P$362,J$250,FALSE)))</f>
        <v>#N/A</v>
      </c>
      <c r="H310" s="5111" t="e">
        <f ca="1">IF($B310="WS",VLOOKUP($C310,'PIP finance'!$C$9:$P$59,K$250,FALSE),IF($B310="WW",VLOOKUP($C310,'PIP finance'!$C$177:$P$220,K$250,FALSE),VLOOKUP($C310,'PIP finance'!$C$325:$P$362,K$250,FALSE)))</f>
        <v>#N/A</v>
      </c>
      <c r="I310" s="5111" t="e">
        <f ca="1">IF($B310="WS",VLOOKUP($C310,'PIP finance'!$C$9:$P$59,L$250,FALSE),IF($B310="WW",VLOOKUP($C310,'PIP finance'!$C$177:$P$220,L$250,FALSE),VLOOKUP($C310,'PIP finance'!$C$325:$P$362,L$250,FALSE)))</f>
        <v>#N/A</v>
      </c>
      <c r="J310" s="5111" t="e">
        <f ca="1">IF($B310="WS",VLOOKUP($C310,'PIP finance'!$C$9:$P$59,M$250,FALSE),IF($B310="WW",VLOOKUP($C310,'PIP finance'!$C$177:$P$220,M$250,FALSE),VLOOKUP($C310,'PIP finance'!$C$325:$P$362,M$250,FALSE)))</f>
        <v>#N/A</v>
      </c>
      <c r="K310" s="5111" t="e">
        <f ca="1">IF($B310="WS",VLOOKUP($C310,'PIP finance'!$C$9:$P$59,N$250,FALSE),IF($B310="WW",VLOOKUP($C310,'PIP finance'!$C$177:$P$220,N$250,FALSE),VLOOKUP($C310,'PIP finance'!$C$325:$P$362,N$250,FALSE)))</f>
        <v>#N/A</v>
      </c>
      <c r="L310" s="5111" t="e">
        <f ca="1">IF($B310="WS",VLOOKUP($C310,'PIP finance'!$C$9:$P$59,O$250,FALSE),IF($B310="WW",VLOOKUP($C310,'PIP finance'!$C$177:$P$220,O$250,FALSE),VLOOKUP($C310,'PIP finance'!$C$325:$P$362,O$250,FALSE)))</f>
        <v>#N/A</v>
      </c>
      <c r="M310" s="5111" t="e">
        <f ca="1">IF($B310="WS",VLOOKUP($C310,'PIP finance'!$C$9:$P$59,P$250,FALSE),IF($B310="WW",VLOOKUP($C310,'PIP finance'!$C$177:$P$220,P$250,FALSE),VLOOKUP($C310,'PIP finance'!$C$325:$P$362,P$250,FALSE)))</f>
        <v>#N/A</v>
      </c>
    </row>
    <row r="311" spans="1:13" x14ac:dyDescent="0.25">
      <c r="A311" s="4076">
        <v>60</v>
      </c>
      <c r="B311" s="4076" t="str">
        <f ca="1">'Action Plan finance'!AH115</f>
        <v/>
      </c>
      <c r="C311" s="4078" t="str">
        <f ca="1">'Action Plan finance'!C115</f>
        <v/>
      </c>
      <c r="D311" s="5108" t="e">
        <f ca="1">IF($B311="WS",VLOOKUP($C311,'PIP finance'!$C$9:$P$59,G$250,FALSE),IF($B311="WW",VLOOKUP($C311,'PIP finance'!$C$177:$P$220,G$250,FALSE),VLOOKUP($C311,'PIP finance'!$C$325:$P$362,G$250,FALSE)))</f>
        <v>#N/A</v>
      </c>
      <c r="E311" s="5109" t="e">
        <f ca="1">IF($B311="WS",VLOOKUP($C311,'PIP finance'!$C$9:$P$59,H$250,FALSE),IF($B311="WW",VLOOKUP($C311,'PIP finance'!$C$177:$P$220,H$250,FALSE),VLOOKUP($C311,'PIP finance'!$C$325:$P$362,H$250,FALSE)))</f>
        <v>#N/A</v>
      </c>
      <c r="F311" s="5109" t="e">
        <f ca="1">IF($B311="WS",VLOOKUP($C311,'PIP finance'!$C$9:$P$59,I$250,FALSE),IF($B311="WW",VLOOKUP($C311,'PIP finance'!$C$177:$P$220,I$250,FALSE),VLOOKUP($C311,'PIP finance'!$C$325:$P$362,I$250,FALSE)))</f>
        <v>#N/A</v>
      </c>
      <c r="G311" s="5111" t="e">
        <f ca="1">IF($B311="WS",VLOOKUP($C311,'PIP finance'!$C$9:$P$59,J$250,FALSE),IF($B311="WW",VLOOKUP($C311,'PIP finance'!$C$177:$P$220,J$250,FALSE),VLOOKUP($C311,'PIP finance'!$C$325:$P$362,J$250,FALSE)))</f>
        <v>#N/A</v>
      </c>
      <c r="H311" s="5111" t="e">
        <f ca="1">IF($B311="WS",VLOOKUP($C311,'PIP finance'!$C$9:$P$59,K$250,FALSE),IF($B311="WW",VLOOKUP($C311,'PIP finance'!$C$177:$P$220,K$250,FALSE),VLOOKUP($C311,'PIP finance'!$C$325:$P$362,K$250,FALSE)))</f>
        <v>#N/A</v>
      </c>
      <c r="I311" s="5111" t="e">
        <f ca="1">IF($B311="WS",VLOOKUP($C311,'PIP finance'!$C$9:$P$59,L$250,FALSE),IF($B311="WW",VLOOKUP($C311,'PIP finance'!$C$177:$P$220,L$250,FALSE),VLOOKUP($C311,'PIP finance'!$C$325:$P$362,L$250,FALSE)))</f>
        <v>#N/A</v>
      </c>
      <c r="J311" s="5111" t="e">
        <f ca="1">IF($B311="WS",VLOOKUP($C311,'PIP finance'!$C$9:$P$59,M$250,FALSE),IF($B311="WW",VLOOKUP($C311,'PIP finance'!$C$177:$P$220,M$250,FALSE),VLOOKUP($C311,'PIP finance'!$C$325:$P$362,M$250,FALSE)))</f>
        <v>#N/A</v>
      </c>
      <c r="K311" s="5111" t="e">
        <f ca="1">IF($B311="WS",VLOOKUP($C311,'PIP finance'!$C$9:$P$59,N$250,FALSE),IF($B311="WW",VLOOKUP($C311,'PIP finance'!$C$177:$P$220,N$250,FALSE),VLOOKUP($C311,'PIP finance'!$C$325:$P$362,N$250,FALSE)))</f>
        <v>#N/A</v>
      </c>
      <c r="L311" s="5111" t="e">
        <f ca="1">IF($B311="WS",VLOOKUP($C311,'PIP finance'!$C$9:$P$59,O$250,FALSE),IF($B311="WW",VLOOKUP($C311,'PIP finance'!$C$177:$P$220,O$250,FALSE),VLOOKUP($C311,'PIP finance'!$C$325:$P$362,O$250,FALSE)))</f>
        <v>#N/A</v>
      </c>
      <c r="M311" s="5111" t="e">
        <f ca="1">IF($B311="WS",VLOOKUP($C311,'PIP finance'!$C$9:$P$59,P$250,FALSE),IF($B311="WW",VLOOKUP($C311,'PIP finance'!$C$177:$P$220,P$250,FALSE),VLOOKUP($C311,'PIP finance'!$C$325:$P$362,P$250,FALSE)))</f>
        <v>#N/A</v>
      </c>
    </row>
    <row r="312" spans="1:13" x14ac:dyDescent="0.25">
      <c r="A312" s="4076">
        <v>61</v>
      </c>
      <c r="B312" s="4076" t="str">
        <f ca="1">'Action Plan finance'!AH116</f>
        <v/>
      </c>
      <c r="C312" s="4078" t="str">
        <f ca="1">'Action Plan finance'!C116</f>
        <v/>
      </c>
      <c r="D312" s="5108" t="e">
        <f ca="1">IF($B312="WS",VLOOKUP($C312,'PIP finance'!$C$9:$P$59,G$250,FALSE),IF($B312="WW",VLOOKUP($C312,'PIP finance'!$C$177:$P$220,G$250,FALSE),VLOOKUP($C312,'PIP finance'!$C$325:$P$362,G$250,FALSE)))</f>
        <v>#N/A</v>
      </c>
      <c r="E312" s="5109" t="e">
        <f ca="1">IF($B312="WS",VLOOKUP($C312,'PIP finance'!$C$9:$P$59,H$250,FALSE),IF($B312="WW",VLOOKUP($C312,'PIP finance'!$C$177:$P$220,H$250,FALSE),VLOOKUP($C312,'PIP finance'!$C$325:$P$362,H$250,FALSE)))</f>
        <v>#N/A</v>
      </c>
      <c r="F312" s="5109" t="e">
        <f ca="1">IF($B312="WS",VLOOKUP($C312,'PIP finance'!$C$9:$P$59,I$250,FALSE),IF($B312="WW",VLOOKUP($C312,'PIP finance'!$C$177:$P$220,I$250,FALSE),VLOOKUP($C312,'PIP finance'!$C$325:$P$362,I$250,FALSE)))</f>
        <v>#N/A</v>
      </c>
      <c r="G312" s="5111" t="e">
        <f ca="1">IF($B312="WS",VLOOKUP($C312,'PIP finance'!$C$9:$P$59,J$250,FALSE),IF($B312="WW",VLOOKUP($C312,'PIP finance'!$C$177:$P$220,J$250,FALSE),VLOOKUP($C312,'PIP finance'!$C$325:$P$362,J$250,FALSE)))</f>
        <v>#N/A</v>
      </c>
      <c r="H312" s="5111" t="e">
        <f ca="1">IF($B312="WS",VLOOKUP($C312,'PIP finance'!$C$9:$P$59,K$250,FALSE),IF($B312="WW",VLOOKUP($C312,'PIP finance'!$C$177:$P$220,K$250,FALSE),VLOOKUP($C312,'PIP finance'!$C$325:$P$362,K$250,FALSE)))</f>
        <v>#N/A</v>
      </c>
      <c r="I312" s="5111" t="e">
        <f ca="1">IF($B312="WS",VLOOKUP($C312,'PIP finance'!$C$9:$P$59,L$250,FALSE),IF($B312="WW",VLOOKUP($C312,'PIP finance'!$C$177:$P$220,L$250,FALSE),VLOOKUP($C312,'PIP finance'!$C$325:$P$362,L$250,FALSE)))</f>
        <v>#N/A</v>
      </c>
      <c r="J312" s="5111" t="e">
        <f ca="1">IF($B312="WS",VLOOKUP($C312,'PIP finance'!$C$9:$P$59,M$250,FALSE),IF($B312="WW",VLOOKUP($C312,'PIP finance'!$C$177:$P$220,M$250,FALSE),VLOOKUP($C312,'PIP finance'!$C$325:$P$362,M$250,FALSE)))</f>
        <v>#N/A</v>
      </c>
      <c r="K312" s="5111" t="e">
        <f ca="1">IF($B312="WS",VLOOKUP($C312,'PIP finance'!$C$9:$P$59,N$250,FALSE),IF($B312="WW",VLOOKUP($C312,'PIP finance'!$C$177:$P$220,N$250,FALSE),VLOOKUP($C312,'PIP finance'!$C$325:$P$362,N$250,FALSE)))</f>
        <v>#N/A</v>
      </c>
      <c r="L312" s="5111" t="e">
        <f ca="1">IF($B312="WS",VLOOKUP($C312,'PIP finance'!$C$9:$P$59,O$250,FALSE),IF($B312="WW",VLOOKUP($C312,'PIP finance'!$C$177:$P$220,O$250,FALSE),VLOOKUP($C312,'PIP finance'!$C$325:$P$362,O$250,FALSE)))</f>
        <v>#N/A</v>
      </c>
      <c r="M312" s="5111" t="e">
        <f ca="1">IF($B312="WS",VLOOKUP($C312,'PIP finance'!$C$9:$P$59,P$250,FALSE),IF($B312="WW",VLOOKUP($C312,'PIP finance'!$C$177:$P$220,P$250,FALSE),VLOOKUP($C312,'PIP finance'!$C$325:$P$362,P$250,FALSE)))</f>
        <v>#N/A</v>
      </c>
    </row>
    <row r="313" spans="1:13" x14ac:dyDescent="0.25">
      <c r="A313" s="4076">
        <v>62</v>
      </c>
      <c r="B313" s="4076" t="str">
        <f ca="1">'Action Plan finance'!AH117</f>
        <v/>
      </c>
      <c r="C313" s="4078" t="str">
        <f ca="1">'Action Plan finance'!C117</f>
        <v/>
      </c>
      <c r="D313" s="5108" t="e">
        <f ca="1">IF($B313="WS",VLOOKUP($C313,'PIP finance'!$C$9:$P$59,G$250,FALSE),IF($B313="WW",VLOOKUP($C313,'PIP finance'!$C$177:$P$220,G$250,FALSE),VLOOKUP($C313,'PIP finance'!$C$325:$P$362,G$250,FALSE)))</f>
        <v>#N/A</v>
      </c>
      <c r="E313" s="5109" t="e">
        <f ca="1">IF($B313="WS",VLOOKUP($C313,'PIP finance'!$C$9:$P$59,H$250,FALSE),IF($B313="WW",VLOOKUP($C313,'PIP finance'!$C$177:$P$220,H$250,FALSE),VLOOKUP($C313,'PIP finance'!$C$325:$P$362,H$250,FALSE)))</f>
        <v>#N/A</v>
      </c>
      <c r="F313" s="5109" t="e">
        <f ca="1">IF($B313="WS",VLOOKUP($C313,'PIP finance'!$C$9:$P$59,I$250,FALSE),IF($B313="WW",VLOOKUP($C313,'PIP finance'!$C$177:$P$220,I$250,FALSE),VLOOKUP($C313,'PIP finance'!$C$325:$P$362,I$250,FALSE)))</f>
        <v>#N/A</v>
      </c>
      <c r="G313" s="5111" t="e">
        <f ca="1">IF($B313="WS",VLOOKUP($C313,'PIP finance'!$C$9:$P$59,J$250,FALSE),IF($B313="WW",VLOOKUP($C313,'PIP finance'!$C$177:$P$220,J$250,FALSE),VLOOKUP($C313,'PIP finance'!$C$325:$P$362,J$250,FALSE)))</f>
        <v>#N/A</v>
      </c>
      <c r="H313" s="5111" t="e">
        <f ca="1">IF($B313="WS",VLOOKUP($C313,'PIP finance'!$C$9:$P$59,K$250,FALSE),IF($B313="WW",VLOOKUP($C313,'PIP finance'!$C$177:$P$220,K$250,FALSE),VLOOKUP($C313,'PIP finance'!$C$325:$P$362,K$250,FALSE)))</f>
        <v>#N/A</v>
      </c>
      <c r="I313" s="5111" t="e">
        <f ca="1">IF($B313="WS",VLOOKUP($C313,'PIP finance'!$C$9:$P$59,L$250,FALSE),IF($B313="WW",VLOOKUP($C313,'PIP finance'!$C$177:$P$220,L$250,FALSE),VLOOKUP($C313,'PIP finance'!$C$325:$P$362,L$250,FALSE)))</f>
        <v>#N/A</v>
      </c>
      <c r="J313" s="5111" t="e">
        <f ca="1">IF($B313="WS",VLOOKUP($C313,'PIP finance'!$C$9:$P$59,M$250,FALSE),IF($B313="WW",VLOOKUP($C313,'PIP finance'!$C$177:$P$220,M$250,FALSE),VLOOKUP($C313,'PIP finance'!$C$325:$P$362,M$250,FALSE)))</f>
        <v>#N/A</v>
      </c>
      <c r="K313" s="5111" t="e">
        <f ca="1">IF($B313="WS",VLOOKUP($C313,'PIP finance'!$C$9:$P$59,N$250,FALSE),IF($B313="WW",VLOOKUP($C313,'PIP finance'!$C$177:$P$220,N$250,FALSE),VLOOKUP($C313,'PIP finance'!$C$325:$P$362,N$250,FALSE)))</f>
        <v>#N/A</v>
      </c>
      <c r="L313" s="5111" t="e">
        <f ca="1">IF($B313="WS",VLOOKUP($C313,'PIP finance'!$C$9:$P$59,O$250,FALSE),IF($B313="WW",VLOOKUP($C313,'PIP finance'!$C$177:$P$220,O$250,FALSE),VLOOKUP($C313,'PIP finance'!$C$325:$P$362,O$250,FALSE)))</f>
        <v>#N/A</v>
      </c>
      <c r="M313" s="5111" t="e">
        <f ca="1">IF($B313="WS",VLOOKUP($C313,'PIP finance'!$C$9:$P$59,P$250,FALSE),IF($B313="WW",VLOOKUP($C313,'PIP finance'!$C$177:$P$220,P$250,FALSE),VLOOKUP($C313,'PIP finance'!$C$325:$P$362,P$250,FALSE)))</f>
        <v>#N/A</v>
      </c>
    </row>
    <row r="314" spans="1:13" x14ac:dyDescent="0.25">
      <c r="A314" s="4076">
        <v>63</v>
      </c>
      <c r="B314" s="4076" t="str">
        <f ca="1">'Action Plan finance'!AH118</f>
        <v/>
      </c>
      <c r="C314" s="4078" t="str">
        <f ca="1">'Action Plan finance'!C118</f>
        <v/>
      </c>
      <c r="D314" s="5108" t="e">
        <f ca="1">IF($B314="WS",VLOOKUP($C314,'PIP finance'!$C$9:$P$59,G$250,FALSE),IF($B314="WW",VLOOKUP($C314,'PIP finance'!$C$177:$P$220,G$250,FALSE),VLOOKUP($C314,'PIP finance'!$C$325:$P$362,G$250,FALSE)))</f>
        <v>#N/A</v>
      </c>
      <c r="E314" s="5109" t="e">
        <f ca="1">IF($B314="WS",VLOOKUP($C314,'PIP finance'!$C$9:$P$59,H$250,FALSE),IF($B314="WW",VLOOKUP($C314,'PIP finance'!$C$177:$P$220,H$250,FALSE),VLOOKUP($C314,'PIP finance'!$C$325:$P$362,H$250,FALSE)))</f>
        <v>#N/A</v>
      </c>
      <c r="F314" s="5109" t="e">
        <f ca="1">IF($B314="WS",VLOOKUP($C314,'PIP finance'!$C$9:$P$59,I$250,FALSE),IF($B314="WW",VLOOKUP($C314,'PIP finance'!$C$177:$P$220,I$250,FALSE),VLOOKUP($C314,'PIP finance'!$C$325:$P$362,I$250,FALSE)))</f>
        <v>#N/A</v>
      </c>
      <c r="G314" s="5111" t="e">
        <f ca="1">IF($B314="WS",VLOOKUP($C314,'PIP finance'!$C$9:$P$59,J$250,FALSE),IF($B314="WW",VLOOKUP($C314,'PIP finance'!$C$177:$P$220,J$250,FALSE),VLOOKUP($C314,'PIP finance'!$C$325:$P$362,J$250,FALSE)))</f>
        <v>#N/A</v>
      </c>
      <c r="H314" s="5111" t="e">
        <f ca="1">IF($B314="WS",VLOOKUP($C314,'PIP finance'!$C$9:$P$59,K$250,FALSE),IF($B314="WW",VLOOKUP($C314,'PIP finance'!$C$177:$P$220,K$250,FALSE),VLOOKUP($C314,'PIP finance'!$C$325:$P$362,K$250,FALSE)))</f>
        <v>#N/A</v>
      </c>
      <c r="I314" s="5111" t="e">
        <f ca="1">IF($B314="WS",VLOOKUP($C314,'PIP finance'!$C$9:$P$59,L$250,FALSE),IF($B314="WW",VLOOKUP($C314,'PIP finance'!$C$177:$P$220,L$250,FALSE),VLOOKUP($C314,'PIP finance'!$C$325:$P$362,L$250,FALSE)))</f>
        <v>#N/A</v>
      </c>
      <c r="J314" s="5111" t="e">
        <f ca="1">IF($B314="WS",VLOOKUP($C314,'PIP finance'!$C$9:$P$59,M$250,FALSE),IF($B314="WW",VLOOKUP($C314,'PIP finance'!$C$177:$P$220,M$250,FALSE),VLOOKUP($C314,'PIP finance'!$C$325:$P$362,M$250,FALSE)))</f>
        <v>#N/A</v>
      </c>
      <c r="K314" s="5111" t="e">
        <f ca="1">IF($B314="WS",VLOOKUP($C314,'PIP finance'!$C$9:$P$59,N$250,FALSE),IF($B314="WW",VLOOKUP($C314,'PIP finance'!$C$177:$P$220,N$250,FALSE),VLOOKUP($C314,'PIP finance'!$C$325:$P$362,N$250,FALSE)))</f>
        <v>#N/A</v>
      </c>
      <c r="L314" s="5111" t="e">
        <f ca="1">IF($B314="WS",VLOOKUP($C314,'PIP finance'!$C$9:$P$59,O$250,FALSE),IF($B314="WW",VLOOKUP($C314,'PIP finance'!$C$177:$P$220,O$250,FALSE),VLOOKUP($C314,'PIP finance'!$C$325:$P$362,O$250,FALSE)))</f>
        <v>#N/A</v>
      </c>
      <c r="M314" s="5111" t="e">
        <f ca="1">IF($B314="WS",VLOOKUP($C314,'PIP finance'!$C$9:$P$59,P$250,FALSE),IF($B314="WW",VLOOKUP($C314,'PIP finance'!$C$177:$P$220,P$250,FALSE),VLOOKUP($C314,'PIP finance'!$C$325:$P$362,P$250,FALSE)))</f>
        <v>#N/A</v>
      </c>
    </row>
    <row r="315" spans="1:13" x14ac:dyDescent="0.25">
      <c r="A315" s="4076">
        <v>64</v>
      </c>
      <c r="B315" s="4076" t="str">
        <f ca="1">'Action Plan finance'!AH119</f>
        <v/>
      </c>
      <c r="C315" s="4078" t="str">
        <f ca="1">'Action Plan finance'!C119</f>
        <v/>
      </c>
      <c r="D315" s="5108" t="e">
        <f ca="1">IF($B315="WS",VLOOKUP($C315,'PIP finance'!$C$9:$P$59,G$250,FALSE),IF($B315="WW",VLOOKUP($C315,'PIP finance'!$C$177:$P$220,G$250,FALSE),VLOOKUP($C315,'PIP finance'!$C$325:$P$362,G$250,FALSE)))</f>
        <v>#N/A</v>
      </c>
      <c r="E315" s="5109" t="e">
        <f ca="1">IF($B315="WS",VLOOKUP($C315,'PIP finance'!$C$9:$P$59,H$250,FALSE),IF($B315="WW",VLOOKUP($C315,'PIP finance'!$C$177:$P$220,H$250,FALSE),VLOOKUP($C315,'PIP finance'!$C$325:$P$362,H$250,FALSE)))</f>
        <v>#N/A</v>
      </c>
      <c r="F315" s="5109" t="e">
        <f ca="1">IF($B315="WS",VLOOKUP($C315,'PIP finance'!$C$9:$P$59,I$250,FALSE),IF($B315="WW",VLOOKUP($C315,'PIP finance'!$C$177:$P$220,I$250,FALSE),VLOOKUP($C315,'PIP finance'!$C$325:$P$362,I$250,FALSE)))</f>
        <v>#N/A</v>
      </c>
      <c r="G315" s="5111" t="e">
        <f ca="1">IF($B315="WS",VLOOKUP($C315,'PIP finance'!$C$9:$P$59,J$250,FALSE),IF($B315="WW",VLOOKUP($C315,'PIP finance'!$C$177:$P$220,J$250,FALSE),VLOOKUP($C315,'PIP finance'!$C$325:$P$362,J$250,FALSE)))</f>
        <v>#N/A</v>
      </c>
      <c r="H315" s="5111" t="e">
        <f ca="1">IF($B315="WS",VLOOKUP($C315,'PIP finance'!$C$9:$P$59,K$250,FALSE),IF($B315="WW",VLOOKUP($C315,'PIP finance'!$C$177:$P$220,K$250,FALSE),VLOOKUP($C315,'PIP finance'!$C$325:$P$362,K$250,FALSE)))</f>
        <v>#N/A</v>
      </c>
      <c r="I315" s="5111" t="e">
        <f ca="1">IF($B315="WS",VLOOKUP($C315,'PIP finance'!$C$9:$P$59,L$250,FALSE),IF($B315="WW",VLOOKUP($C315,'PIP finance'!$C$177:$P$220,L$250,FALSE),VLOOKUP($C315,'PIP finance'!$C$325:$P$362,L$250,FALSE)))</f>
        <v>#N/A</v>
      </c>
      <c r="J315" s="5111" t="e">
        <f ca="1">IF($B315="WS",VLOOKUP($C315,'PIP finance'!$C$9:$P$59,M$250,FALSE),IF($B315="WW",VLOOKUP($C315,'PIP finance'!$C$177:$P$220,M$250,FALSE),VLOOKUP($C315,'PIP finance'!$C$325:$P$362,M$250,FALSE)))</f>
        <v>#N/A</v>
      </c>
      <c r="K315" s="5111" t="e">
        <f ca="1">IF($B315="WS",VLOOKUP($C315,'PIP finance'!$C$9:$P$59,N$250,FALSE),IF($B315="WW",VLOOKUP($C315,'PIP finance'!$C$177:$P$220,N$250,FALSE),VLOOKUP($C315,'PIP finance'!$C$325:$P$362,N$250,FALSE)))</f>
        <v>#N/A</v>
      </c>
      <c r="L315" s="5111" t="e">
        <f ca="1">IF($B315="WS",VLOOKUP($C315,'PIP finance'!$C$9:$P$59,O$250,FALSE),IF($B315="WW",VLOOKUP($C315,'PIP finance'!$C$177:$P$220,O$250,FALSE),VLOOKUP($C315,'PIP finance'!$C$325:$P$362,O$250,FALSE)))</f>
        <v>#N/A</v>
      </c>
      <c r="M315" s="5111" t="e">
        <f ca="1">IF($B315="WS",VLOOKUP($C315,'PIP finance'!$C$9:$P$59,P$250,FALSE),IF($B315="WW",VLOOKUP($C315,'PIP finance'!$C$177:$P$220,P$250,FALSE),VLOOKUP($C315,'PIP finance'!$C$325:$P$362,P$250,FALSE)))</f>
        <v>#N/A</v>
      </c>
    </row>
    <row r="316" spans="1:13" x14ac:dyDescent="0.25">
      <c r="A316" s="4076">
        <v>65</v>
      </c>
      <c r="B316" s="4076" t="str">
        <f ca="1">'Action Plan finance'!AH120</f>
        <v/>
      </c>
      <c r="C316" s="4078" t="str">
        <f ca="1">'Action Plan finance'!C120</f>
        <v/>
      </c>
      <c r="D316" s="5108" t="e">
        <f ca="1">IF($B316="WS",VLOOKUP($C316,'PIP finance'!$C$9:$P$59,G$250,FALSE),IF($B316="WW",VLOOKUP($C316,'PIP finance'!$C$177:$P$220,G$250,FALSE),VLOOKUP($C316,'PIP finance'!$C$325:$P$362,G$250,FALSE)))</f>
        <v>#N/A</v>
      </c>
      <c r="E316" s="5109" t="e">
        <f ca="1">IF($B316="WS",VLOOKUP($C316,'PIP finance'!$C$9:$P$59,H$250,FALSE),IF($B316="WW",VLOOKUP($C316,'PIP finance'!$C$177:$P$220,H$250,FALSE),VLOOKUP($C316,'PIP finance'!$C$325:$P$362,H$250,FALSE)))</f>
        <v>#N/A</v>
      </c>
      <c r="F316" s="5109" t="e">
        <f ca="1">IF($B316="WS",VLOOKUP($C316,'PIP finance'!$C$9:$P$59,I$250,FALSE),IF($B316="WW",VLOOKUP($C316,'PIP finance'!$C$177:$P$220,I$250,FALSE),VLOOKUP($C316,'PIP finance'!$C$325:$P$362,I$250,FALSE)))</f>
        <v>#N/A</v>
      </c>
      <c r="G316" s="5111" t="e">
        <f ca="1">IF($B316="WS",VLOOKUP($C316,'PIP finance'!$C$9:$P$59,J$250,FALSE),IF($B316="WW",VLOOKUP($C316,'PIP finance'!$C$177:$P$220,J$250,FALSE),VLOOKUP($C316,'PIP finance'!$C$325:$P$362,J$250,FALSE)))</f>
        <v>#N/A</v>
      </c>
      <c r="H316" s="5111" t="e">
        <f ca="1">IF($B316="WS",VLOOKUP($C316,'PIP finance'!$C$9:$P$59,K$250,FALSE),IF($B316="WW",VLOOKUP($C316,'PIP finance'!$C$177:$P$220,K$250,FALSE),VLOOKUP($C316,'PIP finance'!$C$325:$P$362,K$250,FALSE)))</f>
        <v>#N/A</v>
      </c>
      <c r="I316" s="5111" t="e">
        <f ca="1">IF($B316="WS",VLOOKUP($C316,'PIP finance'!$C$9:$P$59,L$250,FALSE),IF($B316="WW",VLOOKUP($C316,'PIP finance'!$C$177:$P$220,L$250,FALSE),VLOOKUP($C316,'PIP finance'!$C$325:$P$362,L$250,FALSE)))</f>
        <v>#N/A</v>
      </c>
      <c r="J316" s="5111" t="e">
        <f ca="1">IF($B316="WS",VLOOKUP($C316,'PIP finance'!$C$9:$P$59,M$250,FALSE),IF($B316="WW",VLOOKUP($C316,'PIP finance'!$C$177:$P$220,M$250,FALSE),VLOOKUP($C316,'PIP finance'!$C$325:$P$362,M$250,FALSE)))</f>
        <v>#N/A</v>
      </c>
      <c r="K316" s="5111" t="e">
        <f ca="1">IF($B316="WS",VLOOKUP($C316,'PIP finance'!$C$9:$P$59,N$250,FALSE),IF($B316="WW",VLOOKUP($C316,'PIP finance'!$C$177:$P$220,N$250,FALSE),VLOOKUP($C316,'PIP finance'!$C$325:$P$362,N$250,FALSE)))</f>
        <v>#N/A</v>
      </c>
      <c r="L316" s="5111" t="e">
        <f ca="1">IF($B316="WS",VLOOKUP($C316,'PIP finance'!$C$9:$P$59,O$250,FALSE),IF($B316="WW",VLOOKUP($C316,'PIP finance'!$C$177:$P$220,O$250,FALSE),VLOOKUP($C316,'PIP finance'!$C$325:$P$362,O$250,FALSE)))</f>
        <v>#N/A</v>
      </c>
      <c r="M316" s="5111" t="e">
        <f ca="1">IF($B316="WS",VLOOKUP($C316,'PIP finance'!$C$9:$P$59,P$250,FALSE),IF($B316="WW",VLOOKUP($C316,'PIP finance'!$C$177:$P$220,P$250,FALSE),VLOOKUP($C316,'PIP finance'!$C$325:$P$362,P$250,FALSE)))</f>
        <v>#N/A</v>
      </c>
    </row>
    <row r="317" spans="1:13" x14ac:dyDescent="0.25">
      <c r="A317" s="4076">
        <v>66</v>
      </c>
      <c r="B317" s="4076" t="str">
        <f ca="1">'Action Plan finance'!AH121</f>
        <v/>
      </c>
      <c r="C317" s="4078" t="str">
        <f ca="1">'Action Plan finance'!C121</f>
        <v/>
      </c>
      <c r="D317" s="5108" t="e">
        <f ca="1">IF($B317="WS",VLOOKUP($C317,'PIP finance'!$C$9:$P$59,G$250,FALSE),IF($B317="WW",VLOOKUP($C317,'PIP finance'!$C$177:$P$220,G$250,FALSE),VLOOKUP($C317,'PIP finance'!$C$325:$P$362,G$250,FALSE)))</f>
        <v>#N/A</v>
      </c>
      <c r="E317" s="5109" t="e">
        <f ca="1">IF($B317="WS",VLOOKUP($C317,'PIP finance'!$C$9:$P$59,H$250,FALSE),IF($B317="WW",VLOOKUP($C317,'PIP finance'!$C$177:$P$220,H$250,FALSE),VLOOKUP($C317,'PIP finance'!$C$325:$P$362,H$250,FALSE)))</f>
        <v>#N/A</v>
      </c>
      <c r="F317" s="5109" t="e">
        <f ca="1">IF($B317="WS",VLOOKUP($C317,'PIP finance'!$C$9:$P$59,I$250,FALSE),IF($B317="WW",VLOOKUP($C317,'PIP finance'!$C$177:$P$220,I$250,FALSE),VLOOKUP($C317,'PIP finance'!$C$325:$P$362,I$250,FALSE)))</f>
        <v>#N/A</v>
      </c>
      <c r="G317" s="5111" t="e">
        <f ca="1">IF($B317="WS",VLOOKUP($C317,'PIP finance'!$C$9:$P$59,J$250,FALSE),IF($B317="WW",VLOOKUP($C317,'PIP finance'!$C$177:$P$220,J$250,FALSE),VLOOKUP($C317,'PIP finance'!$C$325:$P$362,J$250,FALSE)))</f>
        <v>#N/A</v>
      </c>
      <c r="H317" s="5111" t="e">
        <f ca="1">IF($B317="WS",VLOOKUP($C317,'PIP finance'!$C$9:$P$59,K$250,FALSE),IF($B317="WW",VLOOKUP($C317,'PIP finance'!$C$177:$P$220,K$250,FALSE),VLOOKUP($C317,'PIP finance'!$C$325:$P$362,K$250,FALSE)))</f>
        <v>#N/A</v>
      </c>
      <c r="I317" s="5111" t="e">
        <f ca="1">IF($B317="WS",VLOOKUP($C317,'PIP finance'!$C$9:$P$59,L$250,FALSE),IF($B317="WW",VLOOKUP($C317,'PIP finance'!$C$177:$P$220,L$250,FALSE),VLOOKUP($C317,'PIP finance'!$C$325:$P$362,L$250,FALSE)))</f>
        <v>#N/A</v>
      </c>
      <c r="J317" s="5111" t="e">
        <f ca="1">IF($B317="WS",VLOOKUP($C317,'PIP finance'!$C$9:$P$59,M$250,FALSE),IF($B317="WW",VLOOKUP($C317,'PIP finance'!$C$177:$P$220,M$250,FALSE),VLOOKUP($C317,'PIP finance'!$C$325:$P$362,M$250,FALSE)))</f>
        <v>#N/A</v>
      </c>
      <c r="K317" s="5111" t="e">
        <f ca="1">IF($B317="WS",VLOOKUP($C317,'PIP finance'!$C$9:$P$59,N$250,FALSE),IF($B317="WW",VLOOKUP($C317,'PIP finance'!$C$177:$P$220,N$250,FALSE),VLOOKUP($C317,'PIP finance'!$C$325:$P$362,N$250,FALSE)))</f>
        <v>#N/A</v>
      </c>
      <c r="L317" s="5111" t="e">
        <f ca="1">IF($B317="WS",VLOOKUP($C317,'PIP finance'!$C$9:$P$59,O$250,FALSE),IF($B317="WW",VLOOKUP($C317,'PIP finance'!$C$177:$P$220,O$250,FALSE),VLOOKUP($C317,'PIP finance'!$C$325:$P$362,O$250,FALSE)))</f>
        <v>#N/A</v>
      </c>
      <c r="M317" s="5111" t="e">
        <f ca="1">IF($B317="WS",VLOOKUP($C317,'PIP finance'!$C$9:$P$59,P$250,FALSE),IF($B317="WW",VLOOKUP($C317,'PIP finance'!$C$177:$P$220,P$250,FALSE),VLOOKUP($C317,'PIP finance'!$C$325:$P$362,P$250,FALSE)))</f>
        <v>#N/A</v>
      </c>
    </row>
    <row r="318" spans="1:13" x14ac:dyDescent="0.25">
      <c r="A318" s="4076">
        <v>67</v>
      </c>
      <c r="B318" s="4076" t="str">
        <f ca="1">'Action Plan finance'!AH122</f>
        <v/>
      </c>
      <c r="C318" s="4078" t="str">
        <f ca="1">'Action Plan finance'!C122</f>
        <v/>
      </c>
      <c r="D318" s="5108" t="e">
        <f ca="1">IF($B318="WS",VLOOKUP($C318,'PIP finance'!$C$9:$P$59,G$250,FALSE),IF($B318="WW",VLOOKUP($C318,'PIP finance'!$C$177:$P$220,G$250,FALSE),VLOOKUP($C318,'PIP finance'!$C$325:$P$362,G$250,FALSE)))</f>
        <v>#N/A</v>
      </c>
      <c r="E318" s="5109" t="e">
        <f ca="1">IF($B318="WS",VLOOKUP($C318,'PIP finance'!$C$9:$P$59,H$250,FALSE),IF($B318="WW",VLOOKUP($C318,'PIP finance'!$C$177:$P$220,H$250,FALSE),VLOOKUP($C318,'PIP finance'!$C$325:$P$362,H$250,FALSE)))</f>
        <v>#N/A</v>
      </c>
      <c r="F318" s="5109" t="e">
        <f ca="1">IF($B318="WS",VLOOKUP($C318,'PIP finance'!$C$9:$P$59,I$250,FALSE),IF($B318="WW",VLOOKUP($C318,'PIP finance'!$C$177:$P$220,I$250,FALSE),VLOOKUP($C318,'PIP finance'!$C$325:$P$362,I$250,FALSE)))</f>
        <v>#N/A</v>
      </c>
      <c r="G318" s="5111" t="e">
        <f ca="1">IF($B318="WS",VLOOKUP($C318,'PIP finance'!$C$9:$P$59,J$250,FALSE),IF($B318="WW",VLOOKUP($C318,'PIP finance'!$C$177:$P$220,J$250,FALSE),VLOOKUP($C318,'PIP finance'!$C$325:$P$362,J$250,FALSE)))</f>
        <v>#N/A</v>
      </c>
      <c r="H318" s="5111" t="e">
        <f ca="1">IF($B318="WS",VLOOKUP($C318,'PIP finance'!$C$9:$P$59,K$250,FALSE),IF($B318="WW",VLOOKUP($C318,'PIP finance'!$C$177:$P$220,K$250,FALSE),VLOOKUP($C318,'PIP finance'!$C$325:$P$362,K$250,FALSE)))</f>
        <v>#N/A</v>
      </c>
      <c r="I318" s="5111" t="e">
        <f ca="1">IF($B318="WS",VLOOKUP($C318,'PIP finance'!$C$9:$P$59,L$250,FALSE),IF($B318="WW",VLOOKUP($C318,'PIP finance'!$C$177:$P$220,L$250,FALSE),VLOOKUP($C318,'PIP finance'!$C$325:$P$362,L$250,FALSE)))</f>
        <v>#N/A</v>
      </c>
      <c r="J318" s="5111" t="e">
        <f ca="1">IF($B318="WS",VLOOKUP($C318,'PIP finance'!$C$9:$P$59,M$250,FALSE),IF($B318="WW",VLOOKUP($C318,'PIP finance'!$C$177:$P$220,M$250,FALSE),VLOOKUP($C318,'PIP finance'!$C$325:$P$362,M$250,FALSE)))</f>
        <v>#N/A</v>
      </c>
      <c r="K318" s="5111" t="e">
        <f ca="1">IF($B318="WS",VLOOKUP($C318,'PIP finance'!$C$9:$P$59,N$250,FALSE),IF($B318="WW",VLOOKUP($C318,'PIP finance'!$C$177:$P$220,N$250,FALSE),VLOOKUP($C318,'PIP finance'!$C$325:$P$362,N$250,FALSE)))</f>
        <v>#N/A</v>
      </c>
      <c r="L318" s="5111" t="e">
        <f ca="1">IF($B318="WS",VLOOKUP($C318,'PIP finance'!$C$9:$P$59,O$250,FALSE),IF($B318="WW",VLOOKUP($C318,'PIP finance'!$C$177:$P$220,O$250,FALSE),VLOOKUP($C318,'PIP finance'!$C$325:$P$362,O$250,FALSE)))</f>
        <v>#N/A</v>
      </c>
      <c r="M318" s="5111" t="e">
        <f ca="1">IF($B318="WS",VLOOKUP($C318,'PIP finance'!$C$9:$P$59,P$250,FALSE),IF($B318="WW",VLOOKUP($C318,'PIP finance'!$C$177:$P$220,P$250,FALSE),VLOOKUP($C318,'PIP finance'!$C$325:$P$362,P$250,FALSE)))</f>
        <v>#N/A</v>
      </c>
    </row>
    <row r="319" spans="1:13" x14ac:dyDescent="0.25">
      <c r="A319" s="4076">
        <v>68</v>
      </c>
      <c r="B319" s="4076" t="str">
        <f ca="1">'Action Plan finance'!AH123</f>
        <v/>
      </c>
      <c r="C319" s="4078" t="str">
        <f ca="1">'Action Plan finance'!C123</f>
        <v/>
      </c>
      <c r="D319" s="5108" t="e">
        <f ca="1">IF($B319="WS",VLOOKUP($C319,'PIP finance'!$C$9:$P$59,G$250,FALSE),IF($B319="WW",VLOOKUP($C319,'PIP finance'!$C$177:$P$220,G$250,FALSE),VLOOKUP($C319,'PIP finance'!$C$325:$P$362,G$250,FALSE)))</f>
        <v>#N/A</v>
      </c>
      <c r="E319" s="5109" t="e">
        <f ca="1">IF($B319="WS",VLOOKUP($C319,'PIP finance'!$C$9:$P$59,H$250,FALSE),IF($B319="WW",VLOOKUP($C319,'PIP finance'!$C$177:$P$220,H$250,FALSE),VLOOKUP($C319,'PIP finance'!$C$325:$P$362,H$250,FALSE)))</f>
        <v>#N/A</v>
      </c>
      <c r="F319" s="5109" t="e">
        <f ca="1">IF($B319="WS",VLOOKUP($C319,'PIP finance'!$C$9:$P$59,I$250,FALSE),IF($B319="WW",VLOOKUP($C319,'PIP finance'!$C$177:$P$220,I$250,FALSE),VLOOKUP($C319,'PIP finance'!$C$325:$P$362,I$250,FALSE)))</f>
        <v>#N/A</v>
      </c>
      <c r="G319" s="5111" t="e">
        <f ca="1">IF($B319="WS",VLOOKUP($C319,'PIP finance'!$C$9:$P$59,J$250,FALSE),IF($B319="WW",VLOOKUP($C319,'PIP finance'!$C$177:$P$220,J$250,FALSE),VLOOKUP($C319,'PIP finance'!$C$325:$P$362,J$250,FALSE)))</f>
        <v>#N/A</v>
      </c>
      <c r="H319" s="5111" t="e">
        <f ca="1">IF($B319="WS",VLOOKUP($C319,'PIP finance'!$C$9:$P$59,K$250,FALSE),IF($B319="WW",VLOOKUP($C319,'PIP finance'!$C$177:$P$220,K$250,FALSE),VLOOKUP($C319,'PIP finance'!$C$325:$P$362,K$250,FALSE)))</f>
        <v>#N/A</v>
      </c>
      <c r="I319" s="5111" t="e">
        <f ca="1">IF($B319="WS",VLOOKUP($C319,'PIP finance'!$C$9:$P$59,L$250,FALSE),IF($B319="WW",VLOOKUP($C319,'PIP finance'!$C$177:$P$220,L$250,FALSE),VLOOKUP($C319,'PIP finance'!$C$325:$P$362,L$250,FALSE)))</f>
        <v>#N/A</v>
      </c>
      <c r="J319" s="5111" t="e">
        <f ca="1">IF($B319="WS",VLOOKUP($C319,'PIP finance'!$C$9:$P$59,M$250,FALSE),IF($B319="WW",VLOOKUP($C319,'PIP finance'!$C$177:$P$220,M$250,FALSE),VLOOKUP($C319,'PIP finance'!$C$325:$P$362,M$250,FALSE)))</f>
        <v>#N/A</v>
      </c>
      <c r="K319" s="5111" t="e">
        <f ca="1">IF($B319="WS",VLOOKUP($C319,'PIP finance'!$C$9:$P$59,N$250,FALSE),IF($B319="WW",VLOOKUP($C319,'PIP finance'!$C$177:$P$220,N$250,FALSE),VLOOKUP($C319,'PIP finance'!$C$325:$P$362,N$250,FALSE)))</f>
        <v>#N/A</v>
      </c>
      <c r="L319" s="5111" t="e">
        <f ca="1">IF($B319="WS",VLOOKUP($C319,'PIP finance'!$C$9:$P$59,O$250,FALSE),IF($B319="WW",VLOOKUP($C319,'PIP finance'!$C$177:$P$220,O$250,FALSE),VLOOKUP($C319,'PIP finance'!$C$325:$P$362,O$250,FALSE)))</f>
        <v>#N/A</v>
      </c>
      <c r="M319" s="5111" t="e">
        <f ca="1">IF($B319="WS",VLOOKUP($C319,'PIP finance'!$C$9:$P$59,P$250,FALSE),IF($B319="WW",VLOOKUP($C319,'PIP finance'!$C$177:$P$220,P$250,FALSE),VLOOKUP($C319,'PIP finance'!$C$325:$P$362,P$250,FALSE)))</f>
        <v>#N/A</v>
      </c>
    </row>
    <row r="320" spans="1:13" x14ac:dyDescent="0.25">
      <c r="A320" s="4076">
        <v>69</v>
      </c>
      <c r="B320" s="4076" t="str">
        <f ca="1">'Action Plan finance'!AH124</f>
        <v/>
      </c>
      <c r="C320" s="4078" t="str">
        <f ca="1">'Action Plan finance'!C124</f>
        <v/>
      </c>
      <c r="D320" s="5108" t="e">
        <f ca="1">IF($B320="WS",VLOOKUP($C320,'PIP finance'!$C$9:$P$59,G$250,FALSE),IF($B320="WW",VLOOKUP($C320,'PIP finance'!$C$177:$P$220,G$250,FALSE),VLOOKUP($C320,'PIP finance'!$C$325:$P$362,G$250,FALSE)))</f>
        <v>#N/A</v>
      </c>
      <c r="E320" s="5109" t="e">
        <f ca="1">IF($B320="WS",VLOOKUP($C320,'PIP finance'!$C$9:$P$59,H$250,FALSE),IF($B320="WW",VLOOKUP($C320,'PIP finance'!$C$177:$P$220,H$250,FALSE),VLOOKUP($C320,'PIP finance'!$C$325:$P$362,H$250,FALSE)))</f>
        <v>#N/A</v>
      </c>
      <c r="F320" s="5109" t="e">
        <f ca="1">IF($B320="WS",VLOOKUP($C320,'PIP finance'!$C$9:$P$59,I$250,FALSE),IF($B320="WW",VLOOKUP($C320,'PIP finance'!$C$177:$P$220,I$250,FALSE),VLOOKUP($C320,'PIP finance'!$C$325:$P$362,I$250,FALSE)))</f>
        <v>#N/A</v>
      </c>
      <c r="G320" s="5111" t="e">
        <f ca="1">IF($B320="WS",VLOOKUP($C320,'PIP finance'!$C$9:$P$59,J$250,FALSE),IF($B320="WW",VLOOKUP($C320,'PIP finance'!$C$177:$P$220,J$250,FALSE),VLOOKUP($C320,'PIP finance'!$C$325:$P$362,J$250,FALSE)))</f>
        <v>#N/A</v>
      </c>
      <c r="H320" s="5111" t="e">
        <f ca="1">IF($B320="WS",VLOOKUP($C320,'PIP finance'!$C$9:$P$59,K$250,FALSE),IF($B320="WW",VLOOKUP($C320,'PIP finance'!$C$177:$P$220,K$250,FALSE),VLOOKUP($C320,'PIP finance'!$C$325:$P$362,K$250,FALSE)))</f>
        <v>#N/A</v>
      </c>
      <c r="I320" s="5111" t="e">
        <f ca="1">IF($B320="WS",VLOOKUP($C320,'PIP finance'!$C$9:$P$59,L$250,FALSE),IF($B320="WW",VLOOKUP($C320,'PIP finance'!$C$177:$P$220,L$250,FALSE),VLOOKUP($C320,'PIP finance'!$C$325:$P$362,L$250,FALSE)))</f>
        <v>#N/A</v>
      </c>
      <c r="J320" s="5111" t="e">
        <f ca="1">IF($B320="WS",VLOOKUP($C320,'PIP finance'!$C$9:$P$59,M$250,FALSE),IF($B320="WW",VLOOKUP($C320,'PIP finance'!$C$177:$P$220,M$250,FALSE),VLOOKUP($C320,'PIP finance'!$C$325:$P$362,M$250,FALSE)))</f>
        <v>#N/A</v>
      </c>
      <c r="K320" s="5111" t="e">
        <f ca="1">IF($B320="WS",VLOOKUP($C320,'PIP finance'!$C$9:$P$59,N$250,FALSE),IF($B320="WW",VLOOKUP($C320,'PIP finance'!$C$177:$P$220,N$250,FALSE),VLOOKUP($C320,'PIP finance'!$C$325:$P$362,N$250,FALSE)))</f>
        <v>#N/A</v>
      </c>
      <c r="L320" s="5111" t="e">
        <f ca="1">IF($B320="WS",VLOOKUP($C320,'PIP finance'!$C$9:$P$59,O$250,FALSE),IF($B320="WW",VLOOKUP($C320,'PIP finance'!$C$177:$P$220,O$250,FALSE),VLOOKUP($C320,'PIP finance'!$C$325:$P$362,O$250,FALSE)))</f>
        <v>#N/A</v>
      </c>
      <c r="M320" s="5111" t="e">
        <f ca="1">IF($B320="WS",VLOOKUP($C320,'PIP finance'!$C$9:$P$59,P$250,FALSE),IF($B320="WW",VLOOKUP($C320,'PIP finance'!$C$177:$P$220,P$250,FALSE),VLOOKUP($C320,'PIP finance'!$C$325:$P$362,P$250,FALSE)))</f>
        <v>#N/A</v>
      </c>
    </row>
    <row r="321" spans="1:13" x14ac:dyDescent="0.25">
      <c r="A321" s="4076">
        <v>70</v>
      </c>
      <c r="B321" s="4076" t="str">
        <f ca="1">'Action Plan finance'!AH125</f>
        <v/>
      </c>
      <c r="C321" s="4078" t="str">
        <f ca="1">'Action Plan finance'!C125</f>
        <v/>
      </c>
      <c r="D321" s="5108" t="e">
        <f ca="1">IF($B321="WS",VLOOKUP($C321,'PIP finance'!$C$9:$P$59,G$250,FALSE),IF($B321="WW",VLOOKUP($C321,'PIP finance'!$C$177:$P$220,G$250,FALSE),VLOOKUP($C321,'PIP finance'!$C$325:$P$362,G$250,FALSE)))</f>
        <v>#N/A</v>
      </c>
      <c r="E321" s="5109" t="e">
        <f ca="1">IF($B321="WS",VLOOKUP($C321,'PIP finance'!$C$9:$P$59,H$250,FALSE),IF($B321="WW",VLOOKUP($C321,'PIP finance'!$C$177:$P$220,H$250,FALSE),VLOOKUP($C321,'PIP finance'!$C$325:$P$362,H$250,FALSE)))</f>
        <v>#N/A</v>
      </c>
      <c r="F321" s="5109" t="e">
        <f ca="1">IF($B321="WS",VLOOKUP($C321,'PIP finance'!$C$9:$P$59,I$250,FALSE),IF($B321="WW",VLOOKUP($C321,'PIP finance'!$C$177:$P$220,I$250,FALSE),VLOOKUP($C321,'PIP finance'!$C$325:$P$362,I$250,FALSE)))</f>
        <v>#N/A</v>
      </c>
      <c r="G321" s="5111" t="e">
        <f ca="1">IF($B321="WS",VLOOKUP($C321,'PIP finance'!$C$9:$P$59,J$250,FALSE),IF($B321="WW",VLOOKUP($C321,'PIP finance'!$C$177:$P$220,J$250,FALSE),VLOOKUP($C321,'PIP finance'!$C$325:$P$362,J$250,FALSE)))</f>
        <v>#N/A</v>
      </c>
      <c r="H321" s="5111" t="e">
        <f ca="1">IF($B321="WS",VLOOKUP($C321,'PIP finance'!$C$9:$P$59,K$250,FALSE),IF($B321="WW",VLOOKUP($C321,'PIP finance'!$C$177:$P$220,K$250,FALSE),VLOOKUP($C321,'PIP finance'!$C$325:$P$362,K$250,FALSE)))</f>
        <v>#N/A</v>
      </c>
      <c r="I321" s="5111" t="e">
        <f ca="1">IF($B321="WS",VLOOKUP($C321,'PIP finance'!$C$9:$P$59,L$250,FALSE),IF($B321="WW",VLOOKUP($C321,'PIP finance'!$C$177:$P$220,L$250,FALSE),VLOOKUP($C321,'PIP finance'!$C$325:$P$362,L$250,FALSE)))</f>
        <v>#N/A</v>
      </c>
      <c r="J321" s="5111" t="e">
        <f ca="1">IF($B321="WS",VLOOKUP($C321,'PIP finance'!$C$9:$P$59,M$250,FALSE),IF($B321="WW",VLOOKUP($C321,'PIP finance'!$C$177:$P$220,M$250,FALSE),VLOOKUP($C321,'PIP finance'!$C$325:$P$362,M$250,FALSE)))</f>
        <v>#N/A</v>
      </c>
      <c r="K321" s="5111" t="e">
        <f ca="1">IF($B321="WS",VLOOKUP($C321,'PIP finance'!$C$9:$P$59,N$250,FALSE),IF($B321="WW",VLOOKUP($C321,'PIP finance'!$C$177:$P$220,N$250,FALSE),VLOOKUP($C321,'PIP finance'!$C$325:$P$362,N$250,FALSE)))</f>
        <v>#N/A</v>
      </c>
      <c r="L321" s="5111" t="e">
        <f ca="1">IF($B321="WS",VLOOKUP($C321,'PIP finance'!$C$9:$P$59,O$250,FALSE),IF($B321="WW",VLOOKUP($C321,'PIP finance'!$C$177:$P$220,O$250,FALSE),VLOOKUP($C321,'PIP finance'!$C$325:$P$362,O$250,FALSE)))</f>
        <v>#N/A</v>
      </c>
      <c r="M321" s="5111" t="e">
        <f ca="1">IF($B321="WS",VLOOKUP($C321,'PIP finance'!$C$9:$P$59,P$250,FALSE),IF($B321="WW",VLOOKUP($C321,'PIP finance'!$C$177:$P$220,P$250,FALSE),VLOOKUP($C321,'PIP finance'!$C$325:$P$362,P$250,FALSE)))</f>
        <v>#N/A</v>
      </c>
    </row>
    <row r="322" spans="1:13" x14ac:dyDescent="0.25">
      <c r="A322" s="4076">
        <v>71</v>
      </c>
      <c r="B322" s="4076" t="str">
        <f ca="1">'Action Plan finance'!AH126</f>
        <v/>
      </c>
      <c r="C322" s="4078" t="str">
        <f ca="1">'Action Plan finance'!C126</f>
        <v/>
      </c>
      <c r="D322" s="5108" t="e">
        <f ca="1">IF($B322="WS",VLOOKUP($C322,'PIP finance'!$C$9:$P$59,G$250,FALSE),IF($B322="WW",VLOOKUP($C322,'PIP finance'!$C$177:$P$220,G$250,FALSE),VLOOKUP($C322,'PIP finance'!$C$325:$P$362,G$250,FALSE)))</f>
        <v>#N/A</v>
      </c>
      <c r="E322" s="5109" t="e">
        <f ca="1">IF($B322="WS",VLOOKUP($C322,'PIP finance'!$C$9:$P$59,H$250,FALSE),IF($B322="WW",VLOOKUP($C322,'PIP finance'!$C$177:$P$220,H$250,FALSE),VLOOKUP($C322,'PIP finance'!$C$325:$P$362,H$250,FALSE)))</f>
        <v>#N/A</v>
      </c>
      <c r="F322" s="5109" t="e">
        <f ca="1">IF($B322="WS",VLOOKUP($C322,'PIP finance'!$C$9:$P$59,I$250,FALSE),IF($B322="WW",VLOOKUP($C322,'PIP finance'!$C$177:$P$220,I$250,FALSE),VLOOKUP($C322,'PIP finance'!$C$325:$P$362,I$250,FALSE)))</f>
        <v>#N/A</v>
      </c>
      <c r="G322" s="5111" t="e">
        <f ca="1">IF($B322="WS",VLOOKUP($C322,'PIP finance'!$C$9:$P$59,J$250,FALSE),IF($B322="WW",VLOOKUP($C322,'PIP finance'!$C$177:$P$220,J$250,FALSE),VLOOKUP($C322,'PIP finance'!$C$325:$P$362,J$250,FALSE)))</f>
        <v>#N/A</v>
      </c>
      <c r="H322" s="5111" t="e">
        <f ca="1">IF($B322="WS",VLOOKUP($C322,'PIP finance'!$C$9:$P$59,K$250,FALSE),IF($B322="WW",VLOOKUP($C322,'PIP finance'!$C$177:$P$220,K$250,FALSE),VLOOKUP($C322,'PIP finance'!$C$325:$P$362,K$250,FALSE)))</f>
        <v>#N/A</v>
      </c>
      <c r="I322" s="5111" t="e">
        <f ca="1">IF($B322="WS",VLOOKUP($C322,'PIP finance'!$C$9:$P$59,L$250,FALSE),IF($B322="WW",VLOOKUP($C322,'PIP finance'!$C$177:$P$220,L$250,FALSE),VLOOKUP($C322,'PIP finance'!$C$325:$P$362,L$250,FALSE)))</f>
        <v>#N/A</v>
      </c>
      <c r="J322" s="5111" t="e">
        <f ca="1">IF($B322="WS",VLOOKUP($C322,'PIP finance'!$C$9:$P$59,M$250,FALSE),IF($B322="WW",VLOOKUP($C322,'PIP finance'!$C$177:$P$220,M$250,FALSE),VLOOKUP($C322,'PIP finance'!$C$325:$P$362,M$250,FALSE)))</f>
        <v>#N/A</v>
      </c>
      <c r="K322" s="5111" t="e">
        <f ca="1">IF($B322="WS",VLOOKUP($C322,'PIP finance'!$C$9:$P$59,N$250,FALSE),IF($B322="WW",VLOOKUP($C322,'PIP finance'!$C$177:$P$220,N$250,FALSE),VLOOKUP($C322,'PIP finance'!$C$325:$P$362,N$250,FALSE)))</f>
        <v>#N/A</v>
      </c>
      <c r="L322" s="5111" t="e">
        <f ca="1">IF($B322="WS",VLOOKUP($C322,'PIP finance'!$C$9:$P$59,O$250,FALSE),IF($B322="WW",VLOOKUP($C322,'PIP finance'!$C$177:$P$220,O$250,FALSE),VLOOKUP($C322,'PIP finance'!$C$325:$P$362,O$250,FALSE)))</f>
        <v>#N/A</v>
      </c>
      <c r="M322" s="5111" t="e">
        <f ca="1">IF($B322="WS",VLOOKUP($C322,'PIP finance'!$C$9:$P$59,P$250,FALSE),IF($B322="WW",VLOOKUP($C322,'PIP finance'!$C$177:$P$220,P$250,FALSE),VLOOKUP($C322,'PIP finance'!$C$325:$P$362,P$250,FALSE)))</f>
        <v>#N/A</v>
      </c>
    </row>
    <row r="323" spans="1:13" x14ac:dyDescent="0.25">
      <c r="A323" s="4076">
        <v>72</v>
      </c>
      <c r="B323" s="4076" t="str">
        <f ca="1">'Action Plan finance'!AH127</f>
        <v/>
      </c>
      <c r="C323" s="4078" t="str">
        <f ca="1">'Action Plan finance'!C127</f>
        <v/>
      </c>
      <c r="D323" s="5108" t="e">
        <f ca="1">IF($B323="WS",VLOOKUP($C323,'PIP finance'!$C$9:$P$59,G$250,FALSE),IF($B323="WW",VLOOKUP($C323,'PIP finance'!$C$177:$P$220,G$250,FALSE),VLOOKUP($C323,'PIP finance'!$C$325:$P$362,G$250,FALSE)))</f>
        <v>#N/A</v>
      </c>
      <c r="E323" s="5109" t="e">
        <f ca="1">IF($B323="WS",VLOOKUP($C323,'PIP finance'!$C$9:$P$59,H$250,FALSE),IF($B323="WW",VLOOKUP($C323,'PIP finance'!$C$177:$P$220,H$250,FALSE),VLOOKUP($C323,'PIP finance'!$C$325:$P$362,H$250,FALSE)))</f>
        <v>#N/A</v>
      </c>
      <c r="F323" s="5109" t="e">
        <f ca="1">IF($B323="WS",VLOOKUP($C323,'PIP finance'!$C$9:$P$59,I$250,FALSE),IF($B323="WW",VLOOKUP($C323,'PIP finance'!$C$177:$P$220,I$250,FALSE),VLOOKUP($C323,'PIP finance'!$C$325:$P$362,I$250,FALSE)))</f>
        <v>#N/A</v>
      </c>
      <c r="G323" s="5111" t="e">
        <f ca="1">IF($B323="WS",VLOOKUP($C323,'PIP finance'!$C$9:$P$59,J$250,FALSE),IF($B323="WW",VLOOKUP($C323,'PIP finance'!$C$177:$P$220,J$250,FALSE),VLOOKUP($C323,'PIP finance'!$C$325:$P$362,J$250,FALSE)))</f>
        <v>#N/A</v>
      </c>
      <c r="H323" s="5111" t="e">
        <f ca="1">IF($B323="WS",VLOOKUP($C323,'PIP finance'!$C$9:$P$59,K$250,FALSE),IF($B323="WW",VLOOKUP($C323,'PIP finance'!$C$177:$P$220,K$250,FALSE),VLOOKUP($C323,'PIP finance'!$C$325:$P$362,K$250,FALSE)))</f>
        <v>#N/A</v>
      </c>
      <c r="I323" s="5111" t="e">
        <f ca="1">IF($B323="WS",VLOOKUP($C323,'PIP finance'!$C$9:$P$59,L$250,FALSE),IF($B323="WW",VLOOKUP($C323,'PIP finance'!$C$177:$P$220,L$250,FALSE),VLOOKUP($C323,'PIP finance'!$C$325:$P$362,L$250,FALSE)))</f>
        <v>#N/A</v>
      </c>
      <c r="J323" s="5111" t="e">
        <f ca="1">IF($B323="WS",VLOOKUP($C323,'PIP finance'!$C$9:$P$59,M$250,FALSE),IF($B323="WW",VLOOKUP($C323,'PIP finance'!$C$177:$P$220,M$250,FALSE),VLOOKUP($C323,'PIP finance'!$C$325:$P$362,M$250,FALSE)))</f>
        <v>#N/A</v>
      </c>
      <c r="K323" s="5111" t="e">
        <f ca="1">IF($B323="WS",VLOOKUP($C323,'PIP finance'!$C$9:$P$59,N$250,FALSE),IF($B323="WW",VLOOKUP($C323,'PIP finance'!$C$177:$P$220,N$250,FALSE),VLOOKUP($C323,'PIP finance'!$C$325:$P$362,N$250,FALSE)))</f>
        <v>#N/A</v>
      </c>
      <c r="L323" s="5111" t="e">
        <f ca="1">IF($B323="WS",VLOOKUP($C323,'PIP finance'!$C$9:$P$59,O$250,FALSE),IF($B323="WW",VLOOKUP($C323,'PIP finance'!$C$177:$P$220,O$250,FALSE),VLOOKUP($C323,'PIP finance'!$C$325:$P$362,O$250,FALSE)))</f>
        <v>#N/A</v>
      </c>
      <c r="M323" s="5111" t="e">
        <f ca="1">IF($B323="WS",VLOOKUP($C323,'PIP finance'!$C$9:$P$59,P$250,FALSE),IF($B323="WW",VLOOKUP($C323,'PIP finance'!$C$177:$P$220,P$250,FALSE),VLOOKUP($C323,'PIP finance'!$C$325:$P$362,P$250,FALSE)))</f>
        <v>#N/A</v>
      </c>
    </row>
    <row r="324" spans="1:13" x14ac:dyDescent="0.25">
      <c r="A324" s="4076">
        <v>73</v>
      </c>
      <c r="B324" s="4076" t="str">
        <f ca="1">'Action Plan finance'!AH128</f>
        <v/>
      </c>
      <c r="C324" s="4078" t="str">
        <f ca="1">'Action Plan finance'!C128</f>
        <v/>
      </c>
      <c r="D324" s="5108" t="e">
        <f ca="1">IF($B324="WS",VLOOKUP($C324,'PIP finance'!$C$9:$P$59,G$250,FALSE),IF($B324="WW",VLOOKUP($C324,'PIP finance'!$C$177:$P$220,G$250,FALSE),VLOOKUP($C324,'PIP finance'!$C$325:$P$362,G$250,FALSE)))</f>
        <v>#N/A</v>
      </c>
      <c r="E324" s="5109" t="e">
        <f ca="1">IF($B324="WS",VLOOKUP($C324,'PIP finance'!$C$9:$P$59,H$250,FALSE),IF($B324="WW",VLOOKUP($C324,'PIP finance'!$C$177:$P$220,H$250,FALSE),VLOOKUP($C324,'PIP finance'!$C$325:$P$362,H$250,FALSE)))</f>
        <v>#N/A</v>
      </c>
      <c r="F324" s="5109" t="e">
        <f ca="1">IF($B324="WS",VLOOKUP($C324,'PIP finance'!$C$9:$P$59,I$250,FALSE),IF($B324="WW",VLOOKUP($C324,'PIP finance'!$C$177:$P$220,I$250,FALSE),VLOOKUP($C324,'PIP finance'!$C$325:$P$362,I$250,FALSE)))</f>
        <v>#N/A</v>
      </c>
      <c r="G324" s="5111" t="e">
        <f ca="1">IF($B324="WS",VLOOKUP($C324,'PIP finance'!$C$9:$P$59,J$250,FALSE),IF($B324="WW",VLOOKUP($C324,'PIP finance'!$C$177:$P$220,J$250,FALSE),VLOOKUP($C324,'PIP finance'!$C$325:$P$362,J$250,FALSE)))</f>
        <v>#N/A</v>
      </c>
      <c r="H324" s="5111" t="e">
        <f ca="1">IF($B324="WS",VLOOKUP($C324,'PIP finance'!$C$9:$P$59,K$250,FALSE),IF($B324="WW",VLOOKUP($C324,'PIP finance'!$C$177:$P$220,K$250,FALSE),VLOOKUP($C324,'PIP finance'!$C$325:$P$362,K$250,FALSE)))</f>
        <v>#N/A</v>
      </c>
      <c r="I324" s="5111" t="e">
        <f ca="1">IF($B324="WS",VLOOKUP($C324,'PIP finance'!$C$9:$P$59,L$250,FALSE),IF($B324="WW",VLOOKUP($C324,'PIP finance'!$C$177:$P$220,L$250,FALSE),VLOOKUP($C324,'PIP finance'!$C$325:$P$362,L$250,FALSE)))</f>
        <v>#N/A</v>
      </c>
      <c r="J324" s="5111" t="e">
        <f ca="1">IF($B324="WS",VLOOKUP($C324,'PIP finance'!$C$9:$P$59,M$250,FALSE),IF($B324="WW",VLOOKUP($C324,'PIP finance'!$C$177:$P$220,M$250,FALSE),VLOOKUP($C324,'PIP finance'!$C$325:$P$362,M$250,FALSE)))</f>
        <v>#N/A</v>
      </c>
      <c r="K324" s="5111" t="e">
        <f ca="1">IF($B324="WS",VLOOKUP($C324,'PIP finance'!$C$9:$P$59,N$250,FALSE),IF($B324="WW",VLOOKUP($C324,'PIP finance'!$C$177:$P$220,N$250,FALSE),VLOOKUP($C324,'PIP finance'!$C$325:$P$362,N$250,FALSE)))</f>
        <v>#N/A</v>
      </c>
      <c r="L324" s="5111" t="e">
        <f ca="1">IF($B324="WS",VLOOKUP($C324,'PIP finance'!$C$9:$P$59,O$250,FALSE),IF($B324="WW",VLOOKUP($C324,'PIP finance'!$C$177:$P$220,O$250,FALSE),VLOOKUP($C324,'PIP finance'!$C$325:$P$362,O$250,FALSE)))</f>
        <v>#N/A</v>
      </c>
      <c r="M324" s="5111" t="e">
        <f ca="1">IF($B324="WS",VLOOKUP($C324,'PIP finance'!$C$9:$P$59,P$250,FALSE),IF($B324="WW",VLOOKUP($C324,'PIP finance'!$C$177:$P$220,P$250,FALSE),VLOOKUP($C324,'PIP finance'!$C$325:$P$362,P$250,FALSE)))</f>
        <v>#N/A</v>
      </c>
    </row>
    <row r="325" spans="1:13" x14ac:dyDescent="0.25">
      <c r="A325" s="4076">
        <v>74</v>
      </c>
      <c r="B325" s="4076" t="str">
        <f ca="1">'Action Plan finance'!AH129</f>
        <v/>
      </c>
      <c r="C325" s="4078" t="str">
        <f ca="1">'Action Plan finance'!C129</f>
        <v/>
      </c>
      <c r="D325" s="5108" t="e">
        <f ca="1">IF($B325="WS",VLOOKUP($C325,'PIP finance'!$C$9:$P$59,G$250,FALSE),IF($B325="WW",VLOOKUP($C325,'PIP finance'!$C$177:$P$220,G$250,FALSE),VLOOKUP($C325,'PIP finance'!$C$325:$P$362,G$250,FALSE)))</f>
        <v>#N/A</v>
      </c>
      <c r="E325" s="5109" t="e">
        <f ca="1">IF($B325="WS",VLOOKUP($C325,'PIP finance'!$C$9:$P$59,H$250,FALSE),IF($B325="WW",VLOOKUP($C325,'PIP finance'!$C$177:$P$220,H$250,FALSE),VLOOKUP($C325,'PIP finance'!$C$325:$P$362,H$250,FALSE)))</f>
        <v>#N/A</v>
      </c>
      <c r="F325" s="5109" t="e">
        <f ca="1">IF($B325="WS",VLOOKUP($C325,'PIP finance'!$C$9:$P$59,I$250,FALSE),IF($B325="WW",VLOOKUP($C325,'PIP finance'!$C$177:$P$220,I$250,FALSE),VLOOKUP($C325,'PIP finance'!$C$325:$P$362,I$250,FALSE)))</f>
        <v>#N/A</v>
      </c>
      <c r="G325" s="5111" t="e">
        <f ca="1">IF($B325="WS",VLOOKUP($C325,'PIP finance'!$C$9:$P$59,J$250,FALSE),IF($B325="WW",VLOOKUP($C325,'PIP finance'!$C$177:$P$220,J$250,FALSE),VLOOKUP($C325,'PIP finance'!$C$325:$P$362,J$250,FALSE)))</f>
        <v>#N/A</v>
      </c>
      <c r="H325" s="5111" t="e">
        <f ca="1">IF($B325="WS",VLOOKUP($C325,'PIP finance'!$C$9:$P$59,K$250,FALSE),IF($B325="WW",VLOOKUP($C325,'PIP finance'!$C$177:$P$220,K$250,FALSE),VLOOKUP($C325,'PIP finance'!$C$325:$P$362,K$250,FALSE)))</f>
        <v>#N/A</v>
      </c>
      <c r="I325" s="5111" t="e">
        <f ca="1">IF($B325="WS",VLOOKUP($C325,'PIP finance'!$C$9:$P$59,L$250,FALSE),IF($B325="WW",VLOOKUP($C325,'PIP finance'!$C$177:$P$220,L$250,FALSE),VLOOKUP($C325,'PIP finance'!$C$325:$P$362,L$250,FALSE)))</f>
        <v>#N/A</v>
      </c>
      <c r="J325" s="5111" t="e">
        <f ca="1">IF($B325="WS",VLOOKUP($C325,'PIP finance'!$C$9:$P$59,M$250,FALSE),IF($B325="WW",VLOOKUP($C325,'PIP finance'!$C$177:$P$220,M$250,FALSE),VLOOKUP($C325,'PIP finance'!$C$325:$P$362,M$250,FALSE)))</f>
        <v>#N/A</v>
      </c>
      <c r="K325" s="5111" t="e">
        <f ca="1">IF($B325="WS",VLOOKUP($C325,'PIP finance'!$C$9:$P$59,N$250,FALSE),IF($B325="WW",VLOOKUP($C325,'PIP finance'!$C$177:$P$220,N$250,FALSE),VLOOKUP($C325,'PIP finance'!$C$325:$P$362,N$250,FALSE)))</f>
        <v>#N/A</v>
      </c>
      <c r="L325" s="5111" t="e">
        <f ca="1">IF($B325="WS",VLOOKUP($C325,'PIP finance'!$C$9:$P$59,O$250,FALSE),IF($B325="WW",VLOOKUP($C325,'PIP finance'!$C$177:$P$220,O$250,FALSE),VLOOKUP($C325,'PIP finance'!$C$325:$P$362,O$250,FALSE)))</f>
        <v>#N/A</v>
      </c>
      <c r="M325" s="5111" t="e">
        <f ca="1">IF($B325="WS",VLOOKUP($C325,'PIP finance'!$C$9:$P$59,P$250,FALSE),IF($B325="WW",VLOOKUP($C325,'PIP finance'!$C$177:$P$220,P$250,FALSE),VLOOKUP($C325,'PIP finance'!$C$325:$P$362,P$250,FALSE)))</f>
        <v>#N/A</v>
      </c>
    </row>
    <row r="326" spans="1:13" x14ac:dyDescent="0.25">
      <c r="A326" s="4076">
        <v>75</v>
      </c>
      <c r="B326" s="4076" t="str">
        <f ca="1">'Action Plan finance'!AH130</f>
        <v/>
      </c>
      <c r="C326" s="4078" t="str">
        <f ca="1">'Action Plan finance'!C130</f>
        <v/>
      </c>
      <c r="D326" s="5108" t="e">
        <f ca="1">IF($B326="WS",VLOOKUP($C326,'PIP finance'!$C$9:$P$59,G$250,FALSE),IF($B326="WW",VLOOKUP($C326,'PIP finance'!$C$177:$P$220,G$250,FALSE),VLOOKUP($C326,'PIP finance'!$C$325:$P$362,G$250,FALSE)))</f>
        <v>#N/A</v>
      </c>
      <c r="E326" s="5109" t="e">
        <f ca="1">IF($B326="WS",VLOOKUP($C326,'PIP finance'!$C$9:$P$59,H$250,FALSE),IF($B326="WW",VLOOKUP($C326,'PIP finance'!$C$177:$P$220,H$250,FALSE),VLOOKUP($C326,'PIP finance'!$C$325:$P$362,H$250,FALSE)))</f>
        <v>#N/A</v>
      </c>
      <c r="F326" s="5109" t="e">
        <f ca="1">IF($B326="WS",VLOOKUP($C326,'PIP finance'!$C$9:$P$59,I$250,FALSE),IF($B326="WW",VLOOKUP($C326,'PIP finance'!$C$177:$P$220,I$250,FALSE),VLOOKUP($C326,'PIP finance'!$C$325:$P$362,I$250,FALSE)))</f>
        <v>#N/A</v>
      </c>
      <c r="G326" s="5111" t="e">
        <f ca="1">IF($B326="WS",VLOOKUP($C326,'PIP finance'!$C$9:$P$59,J$250,FALSE),IF($B326="WW",VLOOKUP($C326,'PIP finance'!$C$177:$P$220,J$250,FALSE),VLOOKUP($C326,'PIP finance'!$C$325:$P$362,J$250,FALSE)))</f>
        <v>#N/A</v>
      </c>
      <c r="H326" s="5111" t="e">
        <f ca="1">IF($B326="WS",VLOOKUP($C326,'PIP finance'!$C$9:$P$59,K$250,FALSE),IF($B326="WW",VLOOKUP($C326,'PIP finance'!$C$177:$P$220,K$250,FALSE),VLOOKUP($C326,'PIP finance'!$C$325:$P$362,K$250,FALSE)))</f>
        <v>#N/A</v>
      </c>
      <c r="I326" s="5111" t="e">
        <f ca="1">IF($B326="WS",VLOOKUP($C326,'PIP finance'!$C$9:$P$59,L$250,FALSE),IF($B326="WW",VLOOKUP($C326,'PIP finance'!$C$177:$P$220,L$250,FALSE),VLOOKUP($C326,'PIP finance'!$C$325:$P$362,L$250,FALSE)))</f>
        <v>#N/A</v>
      </c>
      <c r="J326" s="5111" t="e">
        <f ca="1">IF($B326="WS",VLOOKUP($C326,'PIP finance'!$C$9:$P$59,M$250,FALSE),IF($B326="WW",VLOOKUP($C326,'PIP finance'!$C$177:$P$220,M$250,FALSE),VLOOKUP($C326,'PIP finance'!$C$325:$P$362,M$250,FALSE)))</f>
        <v>#N/A</v>
      </c>
      <c r="K326" s="5111" t="e">
        <f ca="1">IF($B326="WS",VLOOKUP($C326,'PIP finance'!$C$9:$P$59,N$250,FALSE),IF($B326="WW",VLOOKUP($C326,'PIP finance'!$C$177:$P$220,N$250,FALSE),VLOOKUP($C326,'PIP finance'!$C$325:$P$362,N$250,FALSE)))</f>
        <v>#N/A</v>
      </c>
      <c r="L326" s="5111" t="e">
        <f ca="1">IF($B326="WS",VLOOKUP($C326,'PIP finance'!$C$9:$P$59,O$250,FALSE),IF($B326="WW",VLOOKUP($C326,'PIP finance'!$C$177:$P$220,O$250,FALSE),VLOOKUP($C326,'PIP finance'!$C$325:$P$362,O$250,FALSE)))</f>
        <v>#N/A</v>
      </c>
      <c r="M326" s="5111" t="e">
        <f ca="1">IF($B326="WS",VLOOKUP($C326,'PIP finance'!$C$9:$P$59,P$250,FALSE),IF($B326="WW",VLOOKUP($C326,'PIP finance'!$C$177:$P$220,P$250,FALSE),VLOOKUP($C326,'PIP finance'!$C$325:$P$362,P$250,FALSE)))</f>
        <v>#N/A</v>
      </c>
    </row>
    <row r="327" spans="1:13" x14ac:dyDescent="0.25">
      <c r="A327" s="4076">
        <v>76</v>
      </c>
      <c r="B327" s="4076" t="str">
        <f ca="1">'Action Plan finance'!AH131</f>
        <v/>
      </c>
      <c r="C327" s="4078" t="str">
        <f ca="1">'Action Plan finance'!C131</f>
        <v/>
      </c>
      <c r="D327" s="5108" t="e">
        <f ca="1">IF($B327="WS",VLOOKUP($C327,'PIP finance'!$C$9:$P$59,G$250,FALSE),IF($B327="WW",VLOOKUP($C327,'PIP finance'!$C$177:$P$220,G$250,FALSE),VLOOKUP($C327,'PIP finance'!$C$325:$P$362,G$250,FALSE)))</f>
        <v>#N/A</v>
      </c>
      <c r="E327" s="5109" t="e">
        <f ca="1">IF($B327="WS",VLOOKUP($C327,'PIP finance'!$C$9:$P$59,H$250,FALSE),IF($B327="WW",VLOOKUP($C327,'PIP finance'!$C$177:$P$220,H$250,FALSE),VLOOKUP($C327,'PIP finance'!$C$325:$P$362,H$250,FALSE)))</f>
        <v>#N/A</v>
      </c>
      <c r="F327" s="5109" t="e">
        <f ca="1">IF($B327="WS",VLOOKUP($C327,'PIP finance'!$C$9:$P$59,I$250,FALSE),IF($B327="WW",VLOOKUP($C327,'PIP finance'!$C$177:$P$220,I$250,FALSE),VLOOKUP($C327,'PIP finance'!$C$325:$P$362,I$250,FALSE)))</f>
        <v>#N/A</v>
      </c>
      <c r="G327" s="5111" t="e">
        <f ca="1">IF($B327="WS",VLOOKUP($C327,'PIP finance'!$C$9:$P$59,J$250,FALSE),IF($B327="WW",VLOOKUP($C327,'PIP finance'!$C$177:$P$220,J$250,FALSE),VLOOKUP($C327,'PIP finance'!$C$325:$P$362,J$250,FALSE)))</f>
        <v>#N/A</v>
      </c>
      <c r="H327" s="5111" t="e">
        <f ca="1">IF($B327="WS",VLOOKUP($C327,'PIP finance'!$C$9:$P$59,K$250,FALSE),IF($B327="WW",VLOOKUP($C327,'PIP finance'!$C$177:$P$220,K$250,FALSE),VLOOKUP($C327,'PIP finance'!$C$325:$P$362,K$250,FALSE)))</f>
        <v>#N/A</v>
      </c>
      <c r="I327" s="5111" t="e">
        <f ca="1">IF($B327="WS",VLOOKUP($C327,'PIP finance'!$C$9:$P$59,L$250,FALSE),IF($B327="WW",VLOOKUP($C327,'PIP finance'!$C$177:$P$220,L$250,FALSE),VLOOKUP($C327,'PIP finance'!$C$325:$P$362,L$250,FALSE)))</f>
        <v>#N/A</v>
      </c>
      <c r="J327" s="5111" t="e">
        <f ca="1">IF($B327="WS",VLOOKUP($C327,'PIP finance'!$C$9:$P$59,M$250,FALSE),IF($B327="WW",VLOOKUP($C327,'PIP finance'!$C$177:$P$220,M$250,FALSE),VLOOKUP($C327,'PIP finance'!$C$325:$P$362,M$250,FALSE)))</f>
        <v>#N/A</v>
      </c>
      <c r="K327" s="5111" t="e">
        <f ca="1">IF($B327="WS",VLOOKUP($C327,'PIP finance'!$C$9:$P$59,N$250,FALSE),IF($B327="WW",VLOOKUP($C327,'PIP finance'!$C$177:$P$220,N$250,FALSE),VLOOKUP($C327,'PIP finance'!$C$325:$P$362,N$250,FALSE)))</f>
        <v>#N/A</v>
      </c>
      <c r="L327" s="5111" t="e">
        <f ca="1">IF($B327="WS",VLOOKUP($C327,'PIP finance'!$C$9:$P$59,O$250,FALSE),IF($B327="WW",VLOOKUP($C327,'PIP finance'!$C$177:$P$220,O$250,FALSE),VLOOKUP($C327,'PIP finance'!$C$325:$P$362,O$250,FALSE)))</f>
        <v>#N/A</v>
      </c>
      <c r="M327" s="5111" t="e">
        <f ca="1">IF($B327="WS",VLOOKUP($C327,'PIP finance'!$C$9:$P$59,P$250,FALSE),IF($B327="WW",VLOOKUP($C327,'PIP finance'!$C$177:$P$220,P$250,FALSE),VLOOKUP($C327,'PIP finance'!$C$325:$P$362,P$250,FALSE)))</f>
        <v>#N/A</v>
      </c>
    </row>
    <row r="328" spans="1:13" x14ac:dyDescent="0.25">
      <c r="A328" s="4076">
        <v>77</v>
      </c>
      <c r="B328" s="4076" t="str">
        <f ca="1">'Action Plan finance'!AH132</f>
        <v/>
      </c>
      <c r="C328" s="4078" t="str">
        <f ca="1">'Action Plan finance'!C132</f>
        <v/>
      </c>
      <c r="D328" s="5108" t="e">
        <f ca="1">IF($B328="WS",VLOOKUP($C328,'PIP finance'!$C$9:$P$59,G$250,FALSE),IF($B328="WW",VLOOKUP($C328,'PIP finance'!$C$177:$P$220,G$250,FALSE),VLOOKUP($C328,'PIP finance'!$C$325:$P$362,G$250,FALSE)))</f>
        <v>#N/A</v>
      </c>
      <c r="E328" s="5109" t="e">
        <f ca="1">IF($B328="WS",VLOOKUP($C328,'PIP finance'!$C$9:$P$59,H$250,FALSE),IF($B328="WW",VLOOKUP($C328,'PIP finance'!$C$177:$P$220,H$250,FALSE),VLOOKUP($C328,'PIP finance'!$C$325:$P$362,H$250,FALSE)))</f>
        <v>#N/A</v>
      </c>
      <c r="F328" s="5109" t="e">
        <f ca="1">IF($B328="WS",VLOOKUP($C328,'PIP finance'!$C$9:$P$59,I$250,FALSE),IF($B328="WW",VLOOKUP($C328,'PIP finance'!$C$177:$P$220,I$250,FALSE),VLOOKUP($C328,'PIP finance'!$C$325:$P$362,I$250,FALSE)))</f>
        <v>#N/A</v>
      </c>
      <c r="G328" s="5111" t="e">
        <f ca="1">IF($B328="WS",VLOOKUP($C328,'PIP finance'!$C$9:$P$59,J$250,FALSE),IF($B328="WW",VLOOKUP($C328,'PIP finance'!$C$177:$P$220,J$250,FALSE),VLOOKUP($C328,'PIP finance'!$C$325:$P$362,J$250,FALSE)))</f>
        <v>#N/A</v>
      </c>
      <c r="H328" s="5111" t="e">
        <f ca="1">IF($B328="WS",VLOOKUP($C328,'PIP finance'!$C$9:$P$59,K$250,FALSE),IF($B328="WW",VLOOKUP($C328,'PIP finance'!$C$177:$P$220,K$250,FALSE),VLOOKUP($C328,'PIP finance'!$C$325:$P$362,K$250,FALSE)))</f>
        <v>#N/A</v>
      </c>
      <c r="I328" s="5111" t="e">
        <f ca="1">IF($B328="WS",VLOOKUP($C328,'PIP finance'!$C$9:$P$59,L$250,FALSE),IF($B328="WW",VLOOKUP($C328,'PIP finance'!$C$177:$P$220,L$250,FALSE),VLOOKUP($C328,'PIP finance'!$C$325:$P$362,L$250,FALSE)))</f>
        <v>#N/A</v>
      </c>
      <c r="J328" s="5111" t="e">
        <f ca="1">IF($B328="WS",VLOOKUP($C328,'PIP finance'!$C$9:$P$59,M$250,FALSE),IF($B328="WW",VLOOKUP($C328,'PIP finance'!$C$177:$P$220,M$250,FALSE),VLOOKUP($C328,'PIP finance'!$C$325:$P$362,M$250,FALSE)))</f>
        <v>#N/A</v>
      </c>
      <c r="K328" s="5111" t="e">
        <f ca="1">IF($B328="WS",VLOOKUP($C328,'PIP finance'!$C$9:$P$59,N$250,FALSE),IF($B328="WW",VLOOKUP($C328,'PIP finance'!$C$177:$P$220,N$250,FALSE),VLOOKUP($C328,'PIP finance'!$C$325:$P$362,N$250,FALSE)))</f>
        <v>#N/A</v>
      </c>
      <c r="L328" s="5111" t="e">
        <f ca="1">IF($B328="WS",VLOOKUP($C328,'PIP finance'!$C$9:$P$59,O$250,FALSE),IF($B328="WW",VLOOKUP($C328,'PIP finance'!$C$177:$P$220,O$250,FALSE),VLOOKUP($C328,'PIP finance'!$C$325:$P$362,O$250,FALSE)))</f>
        <v>#N/A</v>
      </c>
      <c r="M328" s="5111" t="e">
        <f ca="1">IF($B328="WS",VLOOKUP($C328,'PIP finance'!$C$9:$P$59,P$250,FALSE),IF($B328="WW",VLOOKUP($C328,'PIP finance'!$C$177:$P$220,P$250,FALSE),VLOOKUP($C328,'PIP finance'!$C$325:$P$362,P$250,FALSE)))</f>
        <v>#N/A</v>
      </c>
    </row>
    <row r="329" spans="1:13" x14ac:dyDescent="0.25">
      <c r="A329" s="4076">
        <v>78</v>
      </c>
      <c r="B329" s="4076" t="str">
        <f ca="1">'Action Plan finance'!AH133</f>
        <v/>
      </c>
      <c r="C329" s="4078" t="str">
        <f ca="1">'Action Plan finance'!C133</f>
        <v/>
      </c>
      <c r="D329" s="5108" t="e">
        <f ca="1">IF($B329="WS",VLOOKUP($C329,'PIP finance'!$C$9:$P$59,G$250,FALSE),IF($B329="WW",VLOOKUP($C329,'PIP finance'!$C$177:$P$220,G$250,FALSE),VLOOKUP($C329,'PIP finance'!$C$325:$P$362,G$250,FALSE)))</f>
        <v>#N/A</v>
      </c>
      <c r="E329" s="5109" t="e">
        <f ca="1">IF($B329="WS",VLOOKUP($C329,'PIP finance'!$C$9:$P$59,H$250,FALSE),IF($B329="WW",VLOOKUP($C329,'PIP finance'!$C$177:$P$220,H$250,FALSE),VLOOKUP($C329,'PIP finance'!$C$325:$P$362,H$250,FALSE)))</f>
        <v>#N/A</v>
      </c>
      <c r="F329" s="5109" t="e">
        <f ca="1">IF($B329="WS",VLOOKUP($C329,'PIP finance'!$C$9:$P$59,I$250,FALSE),IF($B329="WW",VLOOKUP($C329,'PIP finance'!$C$177:$P$220,I$250,FALSE),VLOOKUP($C329,'PIP finance'!$C$325:$P$362,I$250,FALSE)))</f>
        <v>#N/A</v>
      </c>
      <c r="G329" s="5111" t="e">
        <f ca="1">IF($B329="WS",VLOOKUP($C329,'PIP finance'!$C$9:$P$59,J$250,FALSE),IF($B329="WW",VLOOKUP($C329,'PIP finance'!$C$177:$P$220,J$250,FALSE),VLOOKUP($C329,'PIP finance'!$C$325:$P$362,J$250,FALSE)))</f>
        <v>#N/A</v>
      </c>
      <c r="H329" s="5111" t="e">
        <f ca="1">IF($B329="WS",VLOOKUP($C329,'PIP finance'!$C$9:$P$59,K$250,FALSE),IF($B329="WW",VLOOKUP($C329,'PIP finance'!$C$177:$P$220,K$250,FALSE),VLOOKUP($C329,'PIP finance'!$C$325:$P$362,K$250,FALSE)))</f>
        <v>#N/A</v>
      </c>
      <c r="I329" s="5111" t="e">
        <f ca="1">IF($B329="WS",VLOOKUP($C329,'PIP finance'!$C$9:$P$59,L$250,FALSE),IF($B329="WW",VLOOKUP($C329,'PIP finance'!$C$177:$P$220,L$250,FALSE),VLOOKUP($C329,'PIP finance'!$C$325:$P$362,L$250,FALSE)))</f>
        <v>#N/A</v>
      </c>
      <c r="J329" s="5111" t="e">
        <f ca="1">IF($B329="WS",VLOOKUP($C329,'PIP finance'!$C$9:$P$59,M$250,FALSE),IF($B329="WW",VLOOKUP($C329,'PIP finance'!$C$177:$P$220,M$250,FALSE),VLOOKUP($C329,'PIP finance'!$C$325:$P$362,M$250,FALSE)))</f>
        <v>#N/A</v>
      </c>
      <c r="K329" s="5111" t="e">
        <f ca="1">IF($B329="WS",VLOOKUP($C329,'PIP finance'!$C$9:$P$59,N$250,FALSE),IF($B329="WW",VLOOKUP($C329,'PIP finance'!$C$177:$P$220,N$250,FALSE),VLOOKUP($C329,'PIP finance'!$C$325:$P$362,N$250,FALSE)))</f>
        <v>#N/A</v>
      </c>
      <c r="L329" s="5111" t="e">
        <f ca="1">IF($B329="WS",VLOOKUP($C329,'PIP finance'!$C$9:$P$59,O$250,FALSE),IF($B329="WW",VLOOKUP($C329,'PIP finance'!$C$177:$P$220,O$250,FALSE),VLOOKUP($C329,'PIP finance'!$C$325:$P$362,O$250,FALSE)))</f>
        <v>#N/A</v>
      </c>
      <c r="M329" s="5111" t="e">
        <f ca="1">IF($B329="WS",VLOOKUP($C329,'PIP finance'!$C$9:$P$59,P$250,FALSE),IF($B329="WW",VLOOKUP($C329,'PIP finance'!$C$177:$P$220,P$250,FALSE),VLOOKUP($C329,'PIP finance'!$C$325:$P$362,P$250,FALSE)))</f>
        <v>#N/A</v>
      </c>
    </row>
    <row r="330" spans="1:13" x14ac:dyDescent="0.25">
      <c r="A330" s="4076">
        <v>79</v>
      </c>
      <c r="B330" s="4076" t="str">
        <f ca="1">'Action Plan finance'!AH134</f>
        <v/>
      </c>
      <c r="C330" s="4078" t="str">
        <f ca="1">'Action Plan finance'!C134</f>
        <v/>
      </c>
      <c r="D330" s="5108" t="e">
        <f ca="1">IF($B330="WS",VLOOKUP($C330,'PIP finance'!$C$9:$P$59,G$250,FALSE),IF($B330="WW",VLOOKUP($C330,'PIP finance'!$C$177:$P$220,G$250,FALSE),VLOOKUP($C330,'PIP finance'!$C$325:$P$362,G$250,FALSE)))</f>
        <v>#N/A</v>
      </c>
      <c r="E330" s="5109" t="e">
        <f ca="1">IF($B330="WS",VLOOKUP($C330,'PIP finance'!$C$9:$P$59,H$250,FALSE),IF($B330="WW",VLOOKUP($C330,'PIP finance'!$C$177:$P$220,H$250,FALSE),VLOOKUP($C330,'PIP finance'!$C$325:$P$362,H$250,FALSE)))</f>
        <v>#N/A</v>
      </c>
      <c r="F330" s="5109" t="e">
        <f ca="1">IF($B330="WS",VLOOKUP($C330,'PIP finance'!$C$9:$P$59,I$250,FALSE),IF($B330="WW",VLOOKUP($C330,'PIP finance'!$C$177:$P$220,I$250,FALSE),VLOOKUP($C330,'PIP finance'!$C$325:$P$362,I$250,FALSE)))</f>
        <v>#N/A</v>
      </c>
      <c r="G330" s="5111" t="e">
        <f ca="1">IF($B330="WS",VLOOKUP($C330,'PIP finance'!$C$9:$P$59,J$250,FALSE),IF($B330="WW",VLOOKUP($C330,'PIP finance'!$C$177:$P$220,J$250,FALSE),VLOOKUP($C330,'PIP finance'!$C$325:$P$362,J$250,FALSE)))</f>
        <v>#N/A</v>
      </c>
      <c r="H330" s="5111" t="e">
        <f ca="1">IF($B330="WS",VLOOKUP($C330,'PIP finance'!$C$9:$P$59,K$250,FALSE),IF($B330="WW",VLOOKUP($C330,'PIP finance'!$C$177:$P$220,K$250,FALSE),VLOOKUP($C330,'PIP finance'!$C$325:$P$362,K$250,FALSE)))</f>
        <v>#N/A</v>
      </c>
      <c r="I330" s="5111" t="e">
        <f ca="1">IF($B330="WS",VLOOKUP($C330,'PIP finance'!$C$9:$P$59,L$250,FALSE),IF($B330="WW",VLOOKUP($C330,'PIP finance'!$C$177:$P$220,L$250,FALSE),VLOOKUP($C330,'PIP finance'!$C$325:$P$362,L$250,FALSE)))</f>
        <v>#N/A</v>
      </c>
      <c r="J330" s="5111" t="e">
        <f ca="1">IF($B330="WS",VLOOKUP($C330,'PIP finance'!$C$9:$P$59,M$250,FALSE),IF($B330="WW",VLOOKUP($C330,'PIP finance'!$C$177:$P$220,M$250,FALSE),VLOOKUP($C330,'PIP finance'!$C$325:$P$362,M$250,FALSE)))</f>
        <v>#N/A</v>
      </c>
      <c r="K330" s="5111" t="e">
        <f ca="1">IF($B330="WS",VLOOKUP($C330,'PIP finance'!$C$9:$P$59,N$250,FALSE),IF($B330="WW",VLOOKUP($C330,'PIP finance'!$C$177:$P$220,N$250,FALSE),VLOOKUP($C330,'PIP finance'!$C$325:$P$362,N$250,FALSE)))</f>
        <v>#N/A</v>
      </c>
      <c r="L330" s="5111" t="e">
        <f ca="1">IF($B330="WS",VLOOKUP($C330,'PIP finance'!$C$9:$P$59,O$250,FALSE),IF($B330="WW",VLOOKUP($C330,'PIP finance'!$C$177:$P$220,O$250,FALSE),VLOOKUP($C330,'PIP finance'!$C$325:$P$362,O$250,FALSE)))</f>
        <v>#N/A</v>
      </c>
      <c r="M330" s="5111" t="e">
        <f ca="1">IF($B330="WS",VLOOKUP($C330,'PIP finance'!$C$9:$P$59,P$250,FALSE),IF($B330="WW",VLOOKUP($C330,'PIP finance'!$C$177:$P$220,P$250,FALSE),VLOOKUP($C330,'PIP finance'!$C$325:$P$362,P$250,FALSE)))</f>
        <v>#N/A</v>
      </c>
    </row>
    <row r="331" spans="1:13" x14ac:dyDescent="0.25">
      <c r="A331" s="4076">
        <v>80</v>
      </c>
      <c r="B331" s="4076" t="str">
        <f ca="1">'Action Plan finance'!AH135</f>
        <v/>
      </c>
      <c r="C331" s="4078" t="str">
        <f ca="1">'Action Plan finance'!C135</f>
        <v/>
      </c>
      <c r="D331" s="5108" t="e">
        <f ca="1">IF($B331="WS",VLOOKUP($C331,'PIP finance'!$C$9:$P$59,G$250,FALSE),IF($B331="WW",VLOOKUP($C331,'PIP finance'!$C$177:$P$220,G$250,FALSE),VLOOKUP($C331,'PIP finance'!$C$325:$P$362,G$250,FALSE)))</f>
        <v>#N/A</v>
      </c>
      <c r="E331" s="5109" t="e">
        <f ca="1">IF($B331="WS",VLOOKUP($C331,'PIP finance'!$C$9:$P$59,H$250,FALSE),IF($B331="WW",VLOOKUP($C331,'PIP finance'!$C$177:$P$220,H$250,FALSE),VLOOKUP($C331,'PIP finance'!$C$325:$P$362,H$250,FALSE)))</f>
        <v>#N/A</v>
      </c>
      <c r="F331" s="5109" t="e">
        <f ca="1">IF($B331="WS",VLOOKUP($C331,'PIP finance'!$C$9:$P$59,I$250,FALSE),IF($B331="WW",VLOOKUP($C331,'PIP finance'!$C$177:$P$220,I$250,FALSE),VLOOKUP($C331,'PIP finance'!$C$325:$P$362,I$250,FALSE)))</f>
        <v>#N/A</v>
      </c>
      <c r="G331" s="5111" t="e">
        <f ca="1">IF($B331="WS",VLOOKUP($C331,'PIP finance'!$C$9:$P$59,J$250,FALSE),IF($B331="WW",VLOOKUP($C331,'PIP finance'!$C$177:$P$220,J$250,FALSE),VLOOKUP($C331,'PIP finance'!$C$325:$P$362,J$250,FALSE)))</f>
        <v>#N/A</v>
      </c>
      <c r="H331" s="5111" t="e">
        <f ca="1">IF($B331="WS",VLOOKUP($C331,'PIP finance'!$C$9:$P$59,K$250,FALSE),IF($B331="WW",VLOOKUP($C331,'PIP finance'!$C$177:$P$220,K$250,FALSE),VLOOKUP($C331,'PIP finance'!$C$325:$P$362,K$250,FALSE)))</f>
        <v>#N/A</v>
      </c>
      <c r="I331" s="5111" t="e">
        <f ca="1">IF($B331="WS",VLOOKUP($C331,'PIP finance'!$C$9:$P$59,L$250,FALSE),IF($B331="WW",VLOOKUP($C331,'PIP finance'!$C$177:$P$220,L$250,FALSE),VLOOKUP($C331,'PIP finance'!$C$325:$P$362,L$250,FALSE)))</f>
        <v>#N/A</v>
      </c>
      <c r="J331" s="5111" t="e">
        <f ca="1">IF($B331="WS",VLOOKUP($C331,'PIP finance'!$C$9:$P$59,M$250,FALSE),IF($B331="WW",VLOOKUP($C331,'PIP finance'!$C$177:$P$220,M$250,FALSE),VLOOKUP($C331,'PIP finance'!$C$325:$P$362,M$250,FALSE)))</f>
        <v>#N/A</v>
      </c>
      <c r="K331" s="5111" t="e">
        <f ca="1">IF($B331="WS",VLOOKUP($C331,'PIP finance'!$C$9:$P$59,N$250,FALSE),IF($B331="WW",VLOOKUP($C331,'PIP finance'!$C$177:$P$220,N$250,FALSE),VLOOKUP($C331,'PIP finance'!$C$325:$P$362,N$250,FALSE)))</f>
        <v>#N/A</v>
      </c>
      <c r="L331" s="5111" t="e">
        <f ca="1">IF($B331="WS",VLOOKUP($C331,'PIP finance'!$C$9:$P$59,O$250,FALSE),IF($B331="WW",VLOOKUP($C331,'PIP finance'!$C$177:$P$220,O$250,FALSE),VLOOKUP($C331,'PIP finance'!$C$325:$P$362,O$250,FALSE)))</f>
        <v>#N/A</v>
      </c>
      <c r="M331" s="5111" t="e">
        <f ca="1">IF($B331="WS",VLOOKUP($C331,'PIP finance'!$C$9:$P$59,P$250,FALSE),IF($B331="WW",VLOOKUP($C331,'PIP finance'!$C$177:$P$220,P$250,FALSE),VLOOKUP($C331,'PIP finance'!$C$325:$P$362,P$250,FALSE)))</f>
        <v>#N/A</v>
      </c>
    </row>
    <row r="332" spans="1:13" x14ac:dyDescent="0.25">
      <c r="A332" s="4076">
        <v>81</v>
      </c>
      <c r="B332" s="4076" t="str">
        <f ca="1">'Action Plan finance'!AH136</f>
        <v/>
      </c>
      <c r="C332" s="4078" t="str">
        <f ca="1">'Action Plan finance'!C136</f>
        <v/>
      </c>
      <c r="D332" s="5108" t="e">
        <f ca="1">IF($B332="WS",VLOOKUP($C332,'PIP finance'!$C$9:$P$59,G$250,FALSE),IF($B332="WW",VLOOKUP($C332,'PIP finance'!$C$177:$P$220,G$250,FALSE),VLOOKUP($C332,'PIP finance'!$C$325:$P$362,G$250,FALSE)))</f>
        <v>#N/A</v>
      </c>
      <c r="E332" s="5109" t="e">
        <f ca="1">IF($B332="WS",VLOOKUP($C332,'PIP finance'!$C$9:$P$59,H$250,FALSE),IF($B332="WW",VLOOKUP($C332,'PIP finance'!$C$177:$P$220,H$250,FALSE),VLOOKUP($C332,'PIP finance'!$C$325:$P$362,H$250,FALSE)))</f>
        <v>#N/A</v>
      </c>
      <c r="F332" s="5109" t="e">
        <f ca="1">IF($B332="WS",VLOOKUP($C332,'PIP finance'!$C$9:$P$59,I$250,FALSE),IF($B332="WW",VLOOKUP($C332,'PIP finance'!$C$177:$P$220,I$250,FALSE),VLOOKUP($C332,'PIP finance'!$C$325:$P$362,I$250,FALSE)))</f>
        <v>#N/A</v>
      </c>
      <c r="G332" s="5111" t="e">
        <f ca="1">IF($B332="WS",VLOOKUP($C332,'PIP finance'!$C$9:$P$59,J$250,FALSE),IF($B332="WW",VLOOKUP($C332,'PIP finance'!$C$177:$P$220,J$250,FALSE),VLOOKUP($C332,'PIP finance'!$C$325:$P$362,J$250,FALSE)))</f>
        <v>#N/A</v>
      </c>
      <c r="H332" s="5111" t="e">
        <f ca="1">IF($B332="WS",VLOOKUP($C332,'PIP finance'!$C$9:$P$59,K$250,FALSE),IF($B332="WW",VLOOKUP($C332,'PIP finance'!$C$177:$P$220,K$250,FALSE),VLOOKUP($C332,'PIP finance'!$C$325:$P$362,K$250,FALSE)))</f>
        <v>#N/A</v>
      </c>
      <c r="I332" s="5111" t="e">
        <f ca="1">IF($B332="WS",VLOOKUP($C332,'PIP finance'!$C$9:$P$59,L$250,FALSE),IF($B332="WW",VLOOKUP($C332,'PIP finance'!$C$177:$P$220,L$250,FALSE),VLOOKUP($C332,'PIP finance'!$C$325:$P$362,L$250,FALSE)))</f>
        <v>#N/A</v>
      </c>
      <c r="J332" s="5111" t="e">
        <f ca="1">IF($B332="WS",VLOOKUP($C332,'PIP finance'!$C$9:$P$59,M$250,FALSE),IF($B332="WW",VLOOKUP($C332,'PIP finance'!$C$177:$P$220,M$250,FALSE),VLOOKUP($C332,'PIP finance'!$C$325:$P$362,M$250,FALSE)))</f>
        <v>#N/A</v>
      </c>
      <c r="K332" s="5111" t="e">
        <f ca="1">IF($B332="WS",VLOOKUP($C332,'PIP finance'!$C$9:$P$59,N$250,FALSE),IF($B332="WW",VLOOKUP($C332,'PIP finance'!$C$177:$P$220,N$250,FALSE),VLOOKUP($C332,'PIP finance'!$C$325:$P$362,N$250,FALSE)))</f>
        <v>#N/A</v>
      </c>
      <c r="L332" s="5111" t="e">
        <f ca="1">IF($B332="WS",VLOOKUP($C332,'PIP finance'!$C$9:$P$59,O$250,FALSE),IF($B332="WW",VLOOKUP($C332,'PIP finance'!$C$177:$P$220,O$250,FALSE),VLOOKUP($C332,'PIP finance'!$C$325:$P$362,O$250,FALSE)))</f>
        <v>#N/A</v>
      </c>
      <c r="M332" s="5111" t="e">
        <f ca="1">IF($B332="WS",VLOOKUP($C332,'PIP finance'!$C$9:$P$59,P$250,FALSE),IF($B332="WW",VLOOKUP($C332,'PIP finance'!$C$177:$P$220,P$250,FALSE),VLOOKUP($C332,'PIP finance'!$C$325:$P$362,P$250,FALSE)))</f>
        <v>#N/A</v>
      </c>
    </row>
    <row r="333" spans="1:13" x14ac:dyDescent="0.25">
      <c r="A333" s="4076">
        <v>82</v>
      </c>
      <c r="B333" s="4076" t="str">
        <f ca="1">'Action Plan finance'!AH137</f>
        <v/>
      </c>
      <c r="C333" s="4078" t="str">
        <f ca="1">'Action Plan finance'!C137</f>
        <v/>
      </c>
      <c r="D333" s="5108" t="e">
        <f ca="1">IF($B333="WS",VLOOKUP($C333,'PIP finance'!$C$9:$P$59,G$250,FALSE),IF($B333="WW",VLOOKUP($C333,'PIP finance'!$C$177:$P$220,G$250,FALSE),VLOOKUP($C333,'PIP finance'!$C$325:$P$362,G$250,FALSE)))</f>
        <v>#N/A</v>
      </c>
      <c r="E333" s="5109" t="e">
        <f ca="1">IF($B333="WS",VLOOKUP($C333,'PIP finance'!$C$9:$P$59,H$250,FALSE),IF($B333="WW",VLOOKUP($C333,'PIP finance'!$C$177:$P$220,H$250,FALSE),VLOOKUP($C333,'PIP finance'!$C$325:$P$362,H$250,FALSE)))</f>
        <v>#N/A</v>
      </c>
      <c r="F333" s="5109" t="e">
        <f ca="1">IF($B333="WS",VLOOKUP($C333,'PIP finance'!$C$9:$P$59,I$250,FALSE),IF($B333="WW",VLOOKUP($C333,'PIP finance'!$C$177:$P$220,I$250,FALSE),VLOOKUP($C333,'PIP finance'!$C$325:$P$362,I$250,FALSE)))</f>
        <v>#N/A</v>
      </c>
      <c r="G333" s="5111" t="e">
        <f ca="1">IF($B333="WS",VLOOKUP($C333,'PIP finance'!$C$9:$P$59,J$250,FALSE),IF($B333="WW",VLOOKUP($C333,'PIP finance'!$C$177:$P$220,J$250,FALSE),VLOOKUP($C333,'PIP finance'!$C$325:$P$362,J$250,FALSE)))</f>
        <v>#N/A</v>
      </c>
      <c r="H333" s="5111" t="e">
        <f ca="1">IF($B333="WS",VLOOKUP($C333,'PIP finance'!$C$9:$P$59,K$250,FALSE),IF($B333="WW",VLOOKUP($C333,'PIP finance'!$C$177:$P$220,K$250,FALSE),VLOOKUP($C333,'PIP finance'!$C$325:$P$362,K$250,FALSE)))</f>
        <v>#N/A</v>
      </c>
      <c r="I333" s="5111" t="e">
        <f ca="1">IF($B333="WS",VLOOKUP($C333,'PIP finance'!$C$9:$P$59,L$250,FALSE),IF($B333="WW",VLOOKUP($C333,'PIP finance'!$C$177:$P$220,L$250,FALSE),VLOOKUP($C333,'PIP finance'!$C$325:$P$362,L$250,FALSE)))</f>
        <v>#N/A</v>
      </c>
      <c r="J333" s="5111" t="e">
        <f ca="1">IF($B333="WS",VLOOKUP($C333,'PIP finance'!$C$9:$P$59,M$250,FALSE),IF($B333="WW",VLOOKUP($C333,'PIP finance'!$C$177:$P$220,M$250,FALSE),VLOOKUP($C333,'PIP finance'!$C$325:$P$362,M$250,FALSE)))</f>
        <v>#N/A</v>
      </c>
      <c r="K333" s="5111" t="e">
        <f ca="1">IF($B333="WS",VLOOKUP($C333,'PIP finance'!$C$9:$P$59,N$250,FALSE),IF($B333="WW",VLOOKUP($C333,'PIP finance'!$C$177:$P$220,N$250,FALSE),VLOOKUP($C333,'PIP finance'!$C$325:$P$362,N$250,FALSE)))</f>
        <v>#N/A</v>
      </c>
      <c r="L333" s="5111" t="e">
        <f ca="1">IF($B333="WS",VLOOKUP($C333,'PIP finance'!$C$9:$P$59,O$250,FALSE),IF($B333="WW",VLOOKUP($C333,'PIP finance'!$C$177:$P$220,O$250,FALSE),VLOOKUP($C333,'PIP finance'!$C$325:$P$362,O$250,FALSE)))</f>
        <v>#N/A</v>
      </c>
      <c r="M333" s="5111" t="e">
        <f ca="1">IF($B333="WS",VLOOKUP($C333,'PIP finance'!$C$9:$P$59,P$250,FALSE),IF($B333="WW",VLOOKUP($C333,'PIP finance'!$C$177:$P$220,P$250,FALSE),VLOOKUP($C333,'PIP finance'!$C$325:$P$362,P$250,FALSE)))</f>
        <v>#N/A</v>
      </c>
    </row>
    <row r="334" spans="1:13" x14ac:dyDescent="0.25">
      <c r="A334" s="4076">
        <v>83</v>
      </c>
      <c r="B334" s="4076" t="str">
        <f ca="1">'Action Plan finance'!AH138</f>
        <v/>
      </c>
      <c r="C334" s="4078" t="str">
        <f ca="1">'Action Plan finance'!C138</f>
        <v/>
      </c>
      <c r="D334" s="5108" t="e">
        <f ca="1">IF($B334="WS",VLOOKUP($C334,'PIP finance'!$C$9:$P$59,G$250,FALSE),IF($B334="WW",VLOOKUP($C334,'PIP finance'!$C$177:$P$220,G$250,FALSE),VLOOKUP($C334,'PIP finance'!$C$325:$P$362,G$250,FALSE)))</f>
        <v>#N/A</v>
      </c>
      <c r="E334" s="5109" t="e">
        <f ca="1">IF($B334="WS",VLOOKUP($C334,'PIP finance'!$C$9:$P$59,H$250,FALSE),IF($B334="WW",VLOOKUP($C334,'PIP finance'!$C$177:$P$220,H$250,FALSE),VLOOKUP($C334,'PIP finance'!$C$325:$P$362,H$250,FALSE)))</f>
        <v>#N/A</v>
      </c>
      <c r="F334" s="5109" t="e">
        <f ca="1">IF($B334="WS",VLOOKUP($C334,'PIP finance'!$C$9:$P$59,I$250,FALSE),IF($B334="WW",VLOOKUP($C334,'PIP finance'!$C$177:$P$220,I$250,FALSE),VLOOKUP($C334,'PIP finance'!$C$325:$P$362,I$250,FALSE)))</f>
        <v>#N/A</v>
      </c>
      <c r="G334" s="5111" t="e">
        <f ca="1">IF($B334="WS",VLOOKUP($C334,'PIP finance'!$C$9:$P$59,J$250,FALSE),IF($B334="WW",VLOOKUP($C334,'PIP finance'!$C$177:$P$220,J$250,FALSE),VLOOKUP($C334,'PIP finance'!$C$325:$P$362,J$250,FALSE)))</f>
        <v>#N/A</v>
      </c>
      <c r="H334" s="5111" t="e">
        <f ca="1">IF($B334="WS",VLOOKUP($C334,'PIP finance'!$C$9:$P$59,K$250,FALSE),IF($B334="WW",VLOOKUP($C334,'PIP finance'!$C$177:$P$220,K$250,FALSE),VLOOKUP($C334,'PIP finance'!$C$325:$P$362,K$250,FALSE)))</f>
        <v>#N/A</v>
      </c>
      <c r="I334" s="5111" t="e">
        <f ca="1">IF($B334="WS",VLOOKUP($C334,'PIP finance'!$C$9:$P$59,L$250,FALSE),IF($B334="WW",VLOOKUP($C334,'PIP finance'!$C$177:$P$220,L$250,FALSE),VLOOKUP($C334,'PIP finance'!$C$325:$P$362,L$250,FALSE)))</f>
        <v>#N/A</v>
      </c>
      <c r="J334" s="5111" t="e">
        <f ca="1">IF($B334="WS",VLOOKUP($C334,'PIP finance'!$C$9:$P$59,M$250,FALSE),IF($B334="WW",VLOOKUP($C334,'PIP finance'!$C$177:$P$220,M$250,FALSE),VLOOKUP($C334,'PIP finance'!$C$325:$P$362,M$250,FALSE)))</f>
        <v>#N/A</v>
      </c>
      <c r="K334" s="5111" t="e">
        <f ca="1">IF($B334="WS",VLOOKUP($C334,'PIP finance'!$C$9:$P$59,N$250,FALSE),IF($B334="WW",VLOOKUP($C334,'PIP finance'!$C$177:$P$220,N$250,FALSE),VLOOKUP($C334,'PIP finance'!$C$325:$P$362,N$250,FALSE)))</f>
        <v>#N/A</v>
      </c>
      <c r="L334" s="5111" t="e">
        <f ca="1">IF($B334="WS",VLOOKUP($C334,'PIP finance'!$C$9:$P$59,O$250,FALSE),IF($B334="WW",VLOOKUP($C334,'PIP finance'!$C$177:$P$220,O$250,FALSE),VLOOKUP($C334,'PIP finance'!$C$325:$P$362,O$250,FALSE)))</f>
        <v>#N/A</v>
      </c>
      <c r="M334" s="5111" t="e">
        <f ca="1">IF($B334="WS",VLOOKUP($C334,'PIP finance'!$C$9:$P$59,P$250,FALSE),IF($B334="WW",VLOOKUP($C334,'PIP finance'!$C$177:$P$220,P$250,FALSE),VLOOKUP($C334,'PIP finance'!$C$325:$P$362,P$250,FALSE)))</f>
        <v>#N/A</v>
      </c>
    </row>
    <row r="335" spans="1:13" x14ac:dyDescent="0.25">
      <c r="A335" s="4076">
        <v>84</v>
      </c>
      <c r="B335" s="4076" t="str">
        <f ca="1">'Action Plan finance'!AH139</f>
        <v/>
      </c>
      <c r="C335" s="4078" t="str">
        <f ca="1">'Action Plan finance'!C139</f>
        <v/>
      </c>
      <c r="D335" s="5108" t="e">
        <f ca="1">IF($B335="WS",VLOOKUP($C335,'PIP finance'!$C$9:$P$59,G$250,FALSE),IF($B335="WW",VLOOKUP($C335,'PIP finance'!$C$177:$P$220,G$250,FALSE),VLOOKUP($C335,'PIP finance'!$C$325:$P$362,G$250,FALSE)))</f>
        <v>#N/A</v>
      </c>
      <c r="E335" s="5109" t="e">
        <f ca="1">IF($B335="WS",VLOOKUP($C335,'PIP finance'!$C$9:$P$59,H$250,FALSE),IF($B335="WW",VLOOKUP($C335,'PIP finance'!$C$177:$P$220,H$250,FALSE),VLOOKUP($C335,'PIP finance'!$C$325:$P$362,H$250,FALSE)))</f>
        <v>#N/A</v>
      </c>
      <c r="F335" s="5109" t="e">
        <f ca="1">IF($B335="WS",VLOOKUP($C335,'PIP finance'!$C$9:$P$59,I$250,FALSE),IF($B335="WW",VLOOKUP($C335,'PIP finance'!$C$177:$P$220,I$250,FALSE),VLOOKUP($C335,'PIP finance'!$C$325:$P$362,I$250,FALSE)))</f>
        <v>#N/A</v>
      </c>
      <c r="G335" s="5111" t="e">
        <f ca="1">IF($B335="WS",VLOOKUP($C335,'PIP finance'!$C$9:$P$59,J$250,FALSE),IF($B335="WW",VLOOKUP($C335,'PIP finance'!$C$177:$P$220,J$250,FALSE),VLOOKUP($C335,'PIP finance'!$C$325:$P$362,J$250,FALSE)))</f>
        <v>#N/A</v>
      </c>
      <c r="H335" s="5111" t="e">
        <f ca="1">IF($B335="WS",VLOOKUP($C335,'PIP finance'!$C$9:$P$59,K$250,FALSE),IF($B335="WW",VLOOKUP($C335,'PIP finance'!$C$177:$P$220,K$250,FALSE),VLOOKUP($C335,'PIP finance'!$C$325:$P$362,K$250,FALSE)))</f>
        <v>#N/A</v>
      </c>
      <c r="I335" s="5111" t="e">
        <f ca="1">IF($B335="WS",VLOOKUP($C335,'PIP finance'!$C$9:$P$59,L$250,FALSE),IF($B335="WW",VLOOKUP($C335,'PIP finance'!$C$177:$P$220,L$250,FALSE),VLOOKUP($C335,'PIP finance'!$C$325:$P$362,L$250,FALSE)))</f>
        <v>#N/A</v>
      </c>
      <c r="J335" s="5111" t="e">
        <f ca="1">IF($B335="WS",VLOOKUP($C335,'PIP finance'!$C$9:$P$59,M$250,FALSE),IF($B335="WW",VLOOKUP($C335,'PIP finance'!$C$177:$P$220,M$250,FALSE),VLOOKUP($C335,'PIP finance'!$C$325:$P$362,M$250,FALSE)))</f>
        <v>#N/A</v>
      </c>
      <c r="K335" s="5111" t="e">
        <f ca="1">IF($B335="WS",VLOOKUP($C335,'PIP finance'!$C$9:$P$59,N$250,FALSE),IF($B335="WW",VLOOKUP($C335,'PIP finance'!$C$177:$P$220,N$250,FALSE),VLOOKUP($C335,'PIP finance'!$C$325:$P$362,N$250,FALSE)))</f>
        <v>#N/A</v>
      </c>
      <c r="L335" s="5111" t="e">
        <f ca="1">IF($B335="WS",VLOOKUP($C335,'PIP finance'!$C$9:$P$59,O$250,FALSE),IF($B335="WW",VLOOKUP($C335,'PIP finance'!$C$177:$P$220,O$250,FALSE),VLOOKUP($C335,'PIP finance'!$C$325:$P$362,O$250,FALSE)))</f>
        <v>#N/A</v>
      </c>
      <c r="M335" s="5111" t="e">
        <f ca="1">IF($B335="WS",VLOOKUP($C335,'PIP finance'!$C$9:$P$59,P$250,FALSE),IF($B335="WW",VLOOKUP($C335,'PIP finance'!$C$177:$P$220,P$250,FALSE),VLOOKUP($C335,'PIP finance'!$C$325:$P$362,P$250,FALSE)))</f>
        <v>#N/A</v>
      </c>
    </row>
    <row r="336" spans="1:13" x14ac:dyDescent="0.25">
      <c r="A336" s="4076">
        <v>85</v>
      </c>
      <c r="B336" s="4076" t="str">
        <f ca="1">'Action Plan finance'!AH140</f>
        <v/>
      </c>
      <c r="C336" s="4078" t="str">
        <f ca="1">'Action Plan finance'!C140</f>
        <v/>
      </c>
      <c r="D336" s="5108" t="e">
        <f ca="1">IF($B336="WS",VLOOKUP($C336,'PIP finance'!$C$9:$P$59,G$250,FALSE),IF($B336="WW",VLOOKUP($C336,'PIP finance'!$C$177:$P$220,G$250,FALSE),VLOOKUP($C336,'PIP finance'!$C$325:$P$362,G$250,FALSE)))</f>
        <v>#N/A</v>
      </c>
      <c r="E336" s="5109" t="e">
        <f ca="1">IF($B336="WS",VLOOKUP($C336,'PIP finance'!$C$9:$P$59,H$250,FALSE),IF($B336="WW",VLOOKUP($C336,'PIP finance'!$C$177:$P$220,H$250,FALSE),VLOOKUP($C336,'PIP finance'!$C$325:$P$362,H$250,FALSE)))</f>
        <v>#N/A</v>
      </c>
      <c r="F336" s="5109" t="e">
        <f ca="1">IF($B336="WS",VLOOKUP($C336,'PIP finance'!$C$9:$P$59,I$250,FALSE),IF($B336="WW",VLOOKUP($C336,'PIP finance'!$C$177:$P$220,I$250,FALSE),VLOOKUP($C336,'PIP finance'!$C$325:$P$362,I$250,FALSE)))</f>
        <v>#N/A</v>
      </c>
      <c r="G336" s="5111" t="e">
        <f ca="1">IF($B336="WS",VLOOKUP($C336,'PIP finance'!$C$9:$P$59,J$250,FALSE),IF($B336="WW",VLOOKUP($C336,'PIP finance'!$C$177:$P$220,J$250,FALSE),VLOOKUP($C336,'PIP finance'!$C$325:$P$362,J$250,FALSE)))</f>
        <v>#N/A</v>
      </c>
      <c r="H336" s="5111" t="e">
        <f ca="1">IF($B336="WS",VLOOKUP($C336,'PIP finance'!$C$9:$P$59,K$250,FALSE),IF($B336="WW",VLOOKUP($C336,'PIP finance'!$C$177:$P$220,K$250,FALSE),VLOOKUP($C336,'PIP finance'!$C$325:$P$362,K$250,FALSE)))</f>
        <v>#N/A</v>
      </c>
      <c r="I336" s="5111" t="e">
        <f ca="1">IF($B336="WS",VLOOKUP($C336,'PIP finance'!$C$9:$P$59,L$250,FALSE),IF($B336="WW",VLOOKUP($C336,'PIP finance'!$C$177:$P$220,L$250,FALSE),VLOOKUP($C336,'PIP finance'!$C$325:$P$362,L$250,FALSE)))</f>
        <v>#N/A</v>
      </c>
      <c r="J336" s="5111" t="e">
        <f ca="1">IF($B336="WS",VLOOKUP($C336,'PIP finance'!$C$9:$P$59,M$250,FALSE),IF($B336="WW",VLOOKUP($C336,'PIP finance'!$C$177:$P$220,M$250,FALSE),VLOOKUP($C336,'PIP finance'!$C$325:$P$362,M$250,FALSE)))</f>
        <v>#N/A</v>
      </c>
      <c r="K336" s="5111" t="e">
        <f ca="1">IF($B336="WS",VLOOKUP($C336,'PIP finance'!$C$9:$P$59,N$250,FALSE),IF($B336="WW",VLOOKUP($C336,'PIP finance'!$C$177:$P$220,N$250,FALSE),VLOOKUP($C336,'PIP finance'!$C$325:$P$362,N$250,FALSE)))</f>
        <v>#N/A</v>
      </c>
      <c r="L336" s="5111" t="e">
        <f ca="1">IF($B336="WS",VLOOKUP($C336,'PIP finance'!$C$9:$P$59,O$250,FALSE),IF($B336="WW",VLOOKUP($C336,'PIP finance'!$C$177:$P$220,O$250,FALSE),VLOOKUP($C336,'PIP finance'!$C$325:$P$362,O$250,FALSE)))</f>
        <v>#N/A</v>
      </c>
      <c r="M336" s="5111" t="e">
        <f ca="1">IF($B336="WS",VLOOKUP($C336,'PIP finance'!$C$9:$P$59,P$250,FALSE),IF($B336="WW",VLOOKUP($C336,'PIP finance'!$C$177:$P$220,P$250,FALSE),VLOOKUP($C336,'PIP finance'!$C$325:$P$362,P$250,FALSE)))</f>
        <v>#N/A</v>
      </c>
    </row>
    <row r="337" spans="1:13" x14ac:dyDescent="0.25">
      <c r="A337" s="4076">
        <v>86</v>
      </c>
      <c r="B337" s="4076" t="str">
        <f ca="1">'Action Plan finance'!AH141</f>
        <v/>
      </c>
      <c r="C337" s="4078" t="str">
        <f ca="1">'Action Plan finance'!C141</f>
        <v/>
      </c>
      <c r="D337" s="5108" t="e">
        <f ca="1">IF($B337="WS",VLOOKUP($C337,'PIP finance'!$C$9:$P$59,G$250,FALSE),IF($B337="WW",VLOOKUP($C337,'PIP finance'!$C$177:$P$220,G$250,FALSE),VLOOKUP($C337,'PIP finance'!$C$325:$P$362,G$250,FALSE)))</f>
        <v>#N/A</v>
      </c>
      <c r="E337" s="5109" t="e">
        <f ca="1">IF($B337="WS",VLOOKUP($C337,'PIP finance'!$C$9:$P$59,H$250,FALSE),IF($B337="WW",VLOOKUP($C337,'PIP finance'!$C$177:$P$220,H$250,FALSE),VLOOKUP($C337,'PIP finance'!$C$325:$P$362,H$250,FALSE)))</f>
        <v>#N/A</v>
      </c>
      <c r="F337" s="5109" t="e">
        <f ca="1">IF($B337="WS",VLOOKUP($C337,'PIP finance'!$C$9:$P$59,I$250,FALSE),IF($B337="WW",VLOOKUP($C337,'PIP finance'!$C$177:$P$220,I$250,FALSE),VLOOKUP($C337,'PIP finance'!$C$325:$P$362,I$250,FALSE)))</f>
        <v>#N/A</v>
      </c>
      <c r="G337" s="5111" t="e">
        <f ca="1">IF($B337="WS",VLOOKUP($C337,'PIP finance'!$C$9:$P$59,J$250,FALSE),IF($B337="WW",VLOOKUP($C337,'PIP finance'!$C$177:$P$220,J$250,FALSE),VLOOKUP($C337,'PIP finance'!$C$325:$P$362,J$250,FALSE)))</f>
        <v>#N/A</v>
      </c>
      <c r="H337" s="5111" t="e">
        <f ca="1">IF($B337="WS",VLOOKUP($C337,'PIP finance'!$C$9:$P$59,K$250,FALSE),IF($B337="WW",VLOOKUP($C337,'PIP finance'!$C$177:$P$220,K$250,FALSE),VLOOKUP($C337,'PIP finance'!$C$325:$P$362,K$250,FALSE)))</f>
        <v>#N/A</v>
      </c>
      <c r="I337" s="5111" t="e">
        <f ca="1">IF($B337="WS",VLOOKUP($C337,'PIP finance'!$C$9:$P$59,L$250,FALSE),IF($B337="WW",VLOOKUP($C337,'PIP finance'!$C$177:$P$220,L$250,FALSE),VLOOKUP($C337,'PIP finance'!$C$325:$P$362,L$250,FALSE)))</f>
        <v>#N/A</v>
      </c>
      <c r="J337" s="5111" t="e">
        <f ca="1">IF($B337="WS",VLOOKUP($C337,'PIP finance'!$C$9:$P$59,M$250,FALSE),IF($B337="WW",VLOOKUP($C337,'PIP finance'!$C$177:$P$220,M$250,FALSE),VLOOKUP($C337,'PIP finance'!$C$325:$P$362,M$250,FALSE)))</f>
        <v>#N/A</v>
      </c>
      <c r="K337" s="5111" t="e">
        <f ca="1">IF($B337="WS",VLOOKUP($C337,'PIP finance'!$C$9:$P$59,N$250,FALSE),IF($B337="WW",VLOOKUP($C337,'PIP finance'!$C$177:$P$220,N$250,FALSE),VLOOKUP($C337,'PIP finance'!$C$325:$P$362,N$250,FALSE)))</f>
        <v>#N/A</v>
      </c>
      <c r="L337" s="5111" t="e">
        <f ca="1">IF($B337="WS",VLOOKUP($C337,'PIP finance'!$C$9:$P$59,O$250,FALSE),IF($B337="WW",VLOOKUP($C337,'PIP finance'!$C$177:$P$220,O$250,FALSE),VLOOKUP($C337,'PIP finance'!$C$325:$P$362,O$250,FALSE)))</f>
        <v>#N/A</v>
      </c>
      <c r="M337" s="5111" t="e">
        <f ca="1">IF($B337="WS",VLOOKUP($C337,'PIP finance'!$C$9:$P$59,P$250,FALSE),IF($B337="WW",VLOOKUP($C337,'PIP finance'!$C$177:$P$220,P$250,FALSE),VLOOKUP($C337,'PIP finance'!$C$325:$P$362,P$250,FALSE)))</f>
        <v>#N/A</v>
      </c>
    </row>
    <row r="338" spans="1:13" x14ac:dyDescent="0.25">
      <c r="A338" s="4076">
        <v>87</v>
      </c>
      <c r="B338" s="4076" t="str">
        <f ca="1">'Action Plan finance'!AH142</f>
        <v/>
      </c>
      <c r="C338" s="4078" t="str">
        <f ca="1">'Action Plan finance'!C142</f>
        <v/>
      </c>
      <c r="D338" s="5108" t="e">
        <f ca="1">IF($B338="WS",VLOOKUP($C338,'PIP finance'!$C$9:$P$59,G$250,FALSE),IF($B338="WW",VLOOKUP($C338,'PIP finance'!$C$177:$P$220,G$250,FALSE),VLOOKUP($C338,'PIP finance'!$C$325:$P$362,G$250,FALSE)))</f>
        <v>#N/A</v>
      </c>
      <c r="E338" s="5109" t="e">
        <f ca="1">IF($B338="WS",VLOOKUP($C338,'PIP finance'!$C$9:$P$59,H$250,FALSE),IF($B338="WW",VLOOKUP($C338,'PIP finance'!$C$177:$P$220,H$250,FALSE),VLOOKUP($C338,'PIP finance'!$C$325:$P$362,H$250,FALSE)))</f>
        <v>#N/A</v>
      </c>
      <c r="F338" s="5109" t="e">
        <f ca="1">IF($B338="WS",VLOOKUP($C338,'PIP finance'!$C$9:$P$59,I$250,FALSE),IF($B338="WW",VLOOKUP($C338,'PIP finance'!$C$177:$P$220,I$250,FALSE),VLOOKUP($C338,'PIP finance'!$C$325:$P$362,I$250,FALSE)))</f>
        <v>#N/A</v>
      </c>
      <c r="G338" s="5111" t="e">
        <f ca="1">IF($B338="WS",VLOOKUP($C338,'PIP finance'!$C$9:$P$59,J$250,FALSE),IF($B338="WW",VLOOKUP($C338,'PIP finance'!$C$177:$P$220,J$250,FALSE),VLOOKUP($C338,'PIP finance'!$C$325:$P$362,J$250,FALSE)))</f>
        <v>#N/A</v>
      </c>
      <c r="H338" s="5111" t="e">
        <f ca="1">IF($B338="WS",VLOOKUP($C338,'PIP finance'!$C$9:$P$59,K$250,FALSE),IF($B338="WW",VLOOKUP($C338,'PIP finance'!$C$177:$P$220,K$250,FALSE),VLOOKUP($C338,'PIP finance'!$C$325:$P$362,K$250,FALSE)))</f>
        <v>#N/A</v>
      </c>
      <c r="I338" s="5111" t="e">
        <f ca="1">IF($B338="WS",VLOOKUP($C338,'PIP finance'!$C$9:$P$59,L$250,FALSE),IF($B338="WW",VLOOKUP($C338,'PIP finance'!$C$177:$P$220,L$250,FALSE),VLOOKUP($C338,'PIP finance'!$C$325:$P$362,L$250,FALSE)))</f>
        <v>#N/A</v>
      </c>
      <c r="J338" s="5111" t="e">
        <f ca="1">IF($B338="WS",VLOOKUP($C338,'PIP finance'!$C$9:$P$59,M$250,FALSE),IF($B338="WW",VLOOKUP($C338,'PIP finance'!$C$177:$P$220,M$250,FALSE),VLOOKUP($C338,'PIP finance'!$C$325:$P$362,M$250,FALSE)))</f>
        <v>#N/A</v>
      </c>
      <c r="K338" s="5111" t="e">
        <f ca="1">IF($B338="WS",VLOOKUP($C338,'PIP finance'!$C$9:$P$59,N$250,FALSE),IF($B338="WW",VLOOKUP($C338,'PIP finance'!$C$177:$P$220,N$250,FALSE),VLOOKUP($C338,'PIP finance'!$C$325:$P$362,N$250,FALSE)))</f>
        <v>#N/A</v>
      </c>
      <c r="L338" s="5111" t="e">
        <f ca="1">IF($B338="WS",VLOOKUP($C338,'PIP finance'!$C$9:$P$59,O$250,FALSE),IF($B338="WW",VLOOKUP($C338,'PIP finance'!$C$177:$P$220,O$250,FALSE),VLOOKUP($C338,'PIP finance'!$C$325:$P$362,O$250,FALSE)))</f>
        <v>#N/A</v>
      </c>
      <c r="M338" s="5111" t="e">
        <f ca="1">IF($B338="WS",VLOOKUP($C338,'PIP finance'!$C$9:$P$59,P$250,FALSE),IF($B338="WW",VLOOKUP($C338,'PIP finance'!$C$177:$P$220,P$250,FALSE),VLOOKUP($C338,'PIP finance'!$C$325:$P$362,P$250,FALSE)))</f>
        <v>#N/A</v>
      </c>
    </row>
    <row r="339" spans="1:13" x14ac:dyDescent="0.25">
      <c r="A339" s="4076">
        <v>88</v>
      </c>
      <c r="B339" s="4076" t="str">
        <f ca="1">'Action Plan finance'!AH143</f>
        <v/>
      </c>
      <c r="C339" s="4078" t="str">
        <f ca="1">'Action Plan finance'!C143</f>
        <v/>
      </c>
      <c r="D339" s="5108" t="e">
        <f ca="1">IF($B339="WS",VLOOKUP($C339,'PIP finance'!$C$9:$P$59,G$250,FALSE),IF($B339="WW",VLOOKUP($C339,'PIP finance'!$C$177:$P$220,G$250,FALSE),VLOOKUP($C339,'PIP finance'!$C$325:$P$362,G$250,FALSE)))</f>
        <v>#N/A</v>
      </c>
      <c r="E339" s="5109" t="e">
        <f ca="1">IF($B339="WS",VLOOKUP($C339,'PIP finance'!$C$9:$P$59,H$250,FALSE),IF($B339="WW",VLOOKUP($C339,'PIP finance'!$C$177:$P$220,H$250,FALSE),VLOOKUP($C339,'PIP finance'!$C$325:$P$362,H$250,FALSE)))</f>
        <v>#N/A</v>
      </c>
      <c r="F339" s="5109" t="e">
        <f ca="1">IF($B339="WS",VLOOKUP($C339,'PIP finance'!$C$9:$P$59,I$250,FALSE),IF($B339="WW",VLOOKUP($C339,'PIP finance'!$C$177:$P$220,I$250,FALSE),VLOOKUP($C339,'PIP finance'!$C$325:$P$362,I$250,FALSE)))</f>
        <v>#N/A</v>
      </c>
      <c r="G339" s="5111" t="e">
        <f ca="1">IF($B339="WS",VLOOKUP($C339,'PIP finance'!$C$9:$P$59,J$250,FALSE),IF($B339="WW",VLOOKUP($C339,'PIP finance'!$C$177:$P$220,J$250,FALSE),VLOOKUP($C339,'PIP finance'!$C$325:$P$362,J$250,FALSE)))</f>
        <v>#N/A</v>
      </c>
      <c r="H339" s="5111" t="e">
        <f ca="1">IF($B339="WS",VLOOKUP($C339,'PIP finance'!$C$9:$P$59,K$250,FALSE),IF($B339="WW",VLOOKUP($C339,'PIP finance'!$C$177:$P$220,K$250,FALSE),VLOOKUP($C339,'PIP finance'!$C$325:$P$362,K$250,FALSE)))</f>
        <v>#N/A</v>
      </c>
      <c r="I339" s="5111" t="e">
        <f ca="1">IF($B339="WS",VLOOKUP($C339,'PIP finance'!$C$9:$P$59,L$250,FALSE),IF($B339="WW",VLOOKUP($C339,'PIP finance'!$C$177:$P$220,L$250,FALSE),VLOOKUP($C339,'PIP finance'!$C$325:$P$362,L$250,FALSE)))</f>
        <v>#N/A</v>
      </c>
      <c r="J339" s="5111" t="e">
        <f ca="1">IF($B339="WS",VLOOKUP($C339,'PIP finance'!$C$9:$P$59,M$250,FALSE),IF($B339="WW",VLOOKUP($C339,'PIP finance'!$C$177:$P$220,M$250,FALSE),VLOOKUP($C339,'PIP finance'!$C$325:$P$362,M$250,FALSE)))</f>
        <v>#N/A</v>
      </c>
      <c r="K339" s="5111" t="e">
        <f ca="1">IF($B339="WS",VLOOKUP($C339,'PIP finance'!$C$9:$P$59,N$250,FALSE),IF($B339="WW",VLOOKUP($C339,'PIP finance'!$C$177:$P$220,N$250,FALSE),VLOOKUP($C339,'PIP finance'!$C$325:$P$362,N$250,FALSE)))</f>
        <v>#N/A</v>
      </c>
      <c r="L339" s="5111" t="e">
        <f ca="1">IF($B339="WS",VLOOKUP($C339,'PIP finance'!$C$9:$P$59,O$250,FALSE),IF($B339="WW",VLOOKUP($C339,'PIP finance'!$C$177:$P$220,O$250,FALSE),VLOOKUP($C339,'PIP finance'!$C$325:$P$362,O$250,FALSE)))</f>
        <v>#N/A</v>
      </c>
      <c r="M339" s="5111" t="e">
        <f ca="1">IF($B339="WS",VLOOKUP($C339,'PIP finance'!$C$9:$P$59,P$250,FALSE),IF($B339="WW",VLOOKUP($C339,'PIP finance'!$C$177:$P$220,P$250,FALSE),VLOOKUP($C339,'PIP finance'!$C$325:$P$362,P$250,FALSE)))</f>
        <v>#N/A</v>
      </c>
    </row>
    <row r="340" spans="1:13" x14ac:dyDescent="0.25">
      <c r="A340" s="4076">
        <v>89</v>
      </c>
      <c r="B340" s="4076" t="str">
        <f ca="1">'Action Plan finance'!AH144</f>
        <v/>
      </c>
      <c r="C340" s="4078" t="str">
        <f ca="1">'Action Plan finance'!C144</f>
        <v/>
      </c>
      <c r="D340" s="5108" t="e">
        <f ca="1">IF($B340="WS",VLOOKUP($C340,'PIP finance'!$C$9:$P$59,G$250,FALSE),IF($B340="WW",VLOOKUP($C340,'PIP finance'!$C$177:$P$220,G$250,FALSE),VLOOKUP($C340,'PIP finance'!$C$325:$P$362,G$250,FALSE)))</f>
        <v>#N/A</v>
      </c>
      <c r="E340" s="5109" t="e">
        <f ca="1">IF($B340="WS",VLOOKUP($C340,'PIP finance'!$C$9:$P$59,H$250,FALSE),IF($B340="WW",VLOOKUP($C340,'PIP finance'!$C$177:$P$220,H$250,FALSE),VLOOKUP($C340,'PIP finance'!$C$325:$P$362,H$250,FALSE)))</f>
        <v>#N/A</v>
      </c>
      <c r="F340" s="5109" t="e">
        <f ca="1">IF($B340="WS",VLOOKUP($C340,'PIP finance'!$C$9:$P$59,I$250,FALSE),IF($B340="WW",VLOOKUP($C340,'PIP finance'!$C$177:$P$220,I$250,FALSE),VLOOKUP($C340,'PIP finance'!$C$325:$P$362,I$250,FALSE)))</f>
        <v>#N/A</v>
      </c>
      <c r="G340" s="5111" t="e">
        <f ca="1">IF($B340="WS",VLOOKUP($C340,'PIP finance'!$C$9:$P$59,J$250,FALSE),IF($B340="WW",VLOOKUP($C340,'PIP finance'!$C$177:$P$220,J$250,FALSE),VLOOKUP($C340,'PIP finance'!$C$325:$P$362,J$250,FALSE)))</f>
        <v>#N/A</v>
      </c>
      <c r="H340" s="5111" t="e">
        <f ca="1">IF($B340="WS",VLOOKUP($C340,'PIP finance'!$C$9:$P$59,K$250,FALSE),IF($B340="WW",VLOOKUP($C340,'PIP finance'!$C$177:$P$220,K$250,FALSE),VLOOKUP($C340,'PIP finance'!$C$325:$P$362,K$250,FALSE)))</f>
        <v>#N/A</v>
      </c>
      <c r="I340" s="5111" t="e">
        <f ca="1">IF($B340="WS",VLOOKUP($C340,'PIP finance'!$C$9:$P$59,L$250,FALSE),IF($B340="WW",VLOOKUP($C340,'PIP finance'!$C$177:$P$220,L$250,FALSE),VLOOKUP($C340,'PIP finance'!$C$325:$P$362,L$250,FALSE)))</f>
        <v>#N/A</v>
      </c>
      <c r="J340" s="5111" t="e">
        <f ca="1">IF($B340="WS",VLOOKUP($C340,'PIP finance'!$C$9:$P$59,M$250,FALSE),IF($B340="WW",VLOOKUP($C340,'PIP finance'!$C$177:$P$220,M$250,FALSE),VLOOKUP($C340,'PIP finance'!$C$325:$P$362,M$250,FALSE)))</f>
        <v>#N/A</v>
      </c>
      <c r="K340" s="5111" t="e">
        <f ca="1">IF($B340="WS",VLOOKUP($C340,'PIP finance'!$C$9:$P$59,N$250,FALSE),IF($B340="WW",VLOOKUP($C340,'PIP finance'!$C$177:$P$220,N$250,FALSE),VLOOKUP($C340,'PIP finance'!$C$325:$P$362,N$250,FALSE)))</f>
        <v>#N/A</v>
      </c>
      <c r="L340" s="5111" t="e">
        <f ca="1">IF($B340="WS",VLOOKUP($C340,'PIP finance'!$C$9:$P$59,O$250,FALSE),IF($B340="WW",VLOOKUP($C340,'PIP finance'!$C$177:$P$220,O$250,FALSE),VLOOKUP($C340,'PIP finance'!$C$325:$P$362,O$250,FALSE)))</f>
        <v>#N/A</v>
      </c>
      <c r="M340" s="5111" t="e">
        <f ca="1">IF($B340="WS",VLOOKUP($C340,'PIP finance'!$C$9:$P$59,P$250,FALSE),IF($B340="WW",VLOOKUP($C340,'PIP finance'!$C$177:$P$220,P$250,FALSE),VLOOKUP($C340,'PIP finance'!$C$325:$P$362,P$250,FALSE)))</f>
        <v>#N/A</v>
      </c>
    </row>
    <row r="341" spans="1:13" x14ac:dyDescent="0.25">
      <c r="A341" s="4076">
        <v>90</v>
      </c>
      <c r="B341" s="4076" t="str">
        <f ca="1">'Action Plan finance'!AH145</f>
        <v/>
      </c>
      <c r="C341" s="4078" t="str">
        <f ca="1">'Action Plan finance'!C145</f>
        <v/>
      </c>
      <c r="D341" s="5108" t="e">
        <f ca="1">IF($B341="WS",VLOOKUP($C341,'PIP finance'!$C$9:$P$59,G$250,FALSE),IF($B341="WW",VLOOKUP($C341,'PIP finance'!$C$177:$P$220,G$250,FALSE),VLOOKUP($C341,'PIP finance'!$C$325:$P$362,G$250,FALSE)))</f>
        <v>#N/A</v>
      </c>
      <c r="E341" s="5109" t="e">
        <f ca="1">IF($B341="WS",VLOOKUP($C341,'PIP finance'!$C$9:$P$59,H$250,FALSE),IF($B341="WW",VLOOKUP($C341,'PIP finance'!$C$177:$P$220,H$250,FALSE),VLOOKUP($C341,'PIP finance'!$C$325:$P$362,H$250,FALSE)))</f>
        <v>#N/A</v>
      </c>
      <c r="F341" s="5109" t="e">
        <f ca="1">IF($B341="WS",VLOOKUP($C341,'PIP finance'!$C$9:$P$59,I$250,FALSE),IF($B341="WW",VLOOKUP($C341,'PIP finance'!$C$177:$P$220,I$250,FALSE),VLOOKUP($C341,'PIP finance'!$C$325:$P$362,I$250,FALSE)))</f>
        <v>#N/A</v>
      </c>
      <c r="G341" s="5111" t="e">
        <f ca="1">IF($B341="WS",VLOOKUP($C341,'PIP finance'!$C$9:$P$59,J$250,FALSE),IF($B341="WW",VLOOKUP($C341,'PIP finance'!$C$177:$P$220,J$250,FALSE),VLOOKUP($C341,'PIP finance'!$C$325:$P$362,J$250,FALSE)))</f>
        <v>#N/A</v>
      </c>
      <c r="H341" s="5111" t="e">
        <f ca="1">IF($B341="WS",VLOOKUP($C341,'PIP finance'!$C$9:$P$59,K$250,FALSE),IF($B341="WW",VLOOKUP($C341,'PIP finance'!$C$177:$P$220,K$250,FALSE),VLOOKUP($C341,'PIP finance'!$C$325:$P$362,K$250,FALSE)))</f>
        <v>#N/A</v>
      </c>
      <c r="I341" s="5111" t="e">
        <f ca="1">IF($B341="WS",VLOOKUP($C341,'PIP finance'!$C$9:$P$59,L$250,FALSE),IF($B341="WW",VLOOKUP($C341,'PIP finance'!$C$177:$P$220,L$250,FALSE),VLOOKUP($C341,'PIP finance'!$C$325:$P$362,L$250,FALSE)))</f>
        <v>#N/A</v>
      </c>
      <c r="J341" s="5111" t="e">
        <f ca="1">IF($B341="WS",VLOOKUP($C341,'PIP finance'!$C$9:$P$59,M$250,FALSE),IF($B341="WW",VLOOKUP($C341,'PIP finance'!$C$177:$P$220,M$250,FALSE),VLOOKUP($C341,'PIP finance'!$C$325:$P$362,M$250,FALSE)))</f>
        <v>#N/A</v>
      </c>
      <c r="K341" s="5111" t="e">
        <f ca="1">IF($B341="WS",VLOOKUP($C341,'PIP finance'!$C$9:$P$59,N$250,FALSE),IF($B341="WW",VLOOKUP($C341,'PIP finance'!$C$177:$P$220,N$250,FALSE),VLOOKUP($C341,'PIP finance'!$C$325:$P$362,N$250,FALSE)))</f>
        <v>#N/A</v>
      </c>
      <c r="L341" s="5111" t="e">
        <f ca="1">IF($B341="WS",VLOOKUP($C341,'PIP finance'!$C$9:$P$59,O$250,FALSE),IF($B341="WW",VLOOKUP($C341,'PIP finance'!$C$177:$P$220,O$250,FALSE),VLOOKUP($C341,'PIP finance'!$C$325:$P$362,O$250,FALSE)))</f>
        <v>#N/A</v>
      </c>
      <c r="M341" s="5111" t="e">
        <f ca="1">IF($B341="WS",VLOOKUP($C341,'PIP finance'!$C$9:$P$59,P$250,FALSE),IF($B341="WW",VLOOKUP($C341,'PIP finance'!$C$177:$P$220,P$250,FALSE),VLOOKUP($C341,'PIP finance'!$C$325:$P$362,P$250,FALSE)))</f>
        <v>#N/A</v>
      </c>
    </row>
    <row r="342" spans="1:13" x14ac:dyDescent="0.25">
      <c r="A342" s="4076">
        <v>91</v>
      </c>
      <c r="B342" s="4076" t="str">
        <f ca="1">'Action Plan finance'!AH146</f>
        <v/>
      </c>
      <c r="C342" s="4078" t="str">
        <f ca="1">'Action Plan finance'!C146</f>
        <v/>
      </c>
      <c r="D342" s="5108" t="e">
        <f ca="1">IF($B342="WS",VLOOKUP($C342,'PIP finance'!$C$9:$P$59,G$250,FALSE),IF($B342="WW",VLOOKUP($C342,'PIP finance'!$C$177:$P$220,G$250,FALSE),VLOOKUP($C342,'PIP finance'!$C$325:$P$362,G$250,FALSE)))</f>
        <v>#N/A</v>
      </c>
      <c r="E342" s="5109" t="e">
        <f ca="1">IF($B342="WS",VLOOKUP($C342,'PIP finance'!$C$9:$P$59,H$250,FALSE),IF($B342="WW",VLOOKUP($C342,'PIP finance'!$C$177:$P$220,H$250,FALSE),VLOOKUP($C342,'PIP finance'!$C$325:$P$362,H$250,FALSE)))</f>
        <v>#N/A</v>
      </c>
      <c r="F342" s="5109" t="e">
        <f ca="1">IF($B342="WS",VLOOKUP($C342,'PIP finance'!$C$9:$P$59,I$250,FALSE),IF($B342="WW",VLOOKUP($C342,'PIP finance'!$C$177:$P$220,I$250,FALSE),VLOOKUP($C342,'PIP finance'!$C$325:$P$362,I$250,FALSE)))</f>
        <v>#N/A</v>
      </c>
      <c r="G342" s="5111" t="e">
        <f ca="1">IF($B342="WS",VLOOKUP($C342,'PIP finance'!$C$9:$P$59,J$250,FALSE),IF($B342="WW",VLOOKUP($C342,'PIP finance'!$C$177:$P$220,J$250,FALSE),VLOOKUP($C342,'PIP finance'!$C$325:$P$362,J$250,FALSE)))</f>
        <v>#N/A</v>
      </c>
      <c r="H342" s="5111" t="e">
        <f ca="1">IF($B342="WS",VLOOKUP($C342,'PIP finance'!$C$9:$P$59,K$250,FALSE),IF($B342="WW",VLOOKUP($C342,'PIP finance'!$C$177:$P$220,K$250,FALSE),VLOOKUP($C342,'PIP finance'!$C$325:$P$362,K$250,FALSE)))</f>
        <v>#N/A</v>
      </c>
      <c r="I342" s="5111" t="e">
        <f ca="1">IF($B342="WS",VLOOKUP($C342,'PIP finance'!$C$9:$P$59,L$250,FALSE),IF($B342="WW",VLOOKUP($C342,'PIP finance'!$C$177:$P$220,L$250,FALSE),VLOOKUP($C342,'PIP finance'!$C$325:$P$362,L$250,FALSE)))</f>
        <v>#N/A</v>
      </c>
      <c r="J342" s="5111" t="e">
        <f ca="1">IF($B342="WS",VLOOKUP($C342,'PIP finance'!$C$9:$P$59,M$250,FALSE),IF($B342="WW",VLOOKUP($C342,'PIP finance'!$C$177:$P$220,M$250,FALSE),VLOOKUP($C342,'PIP finance'!$C$325:$P$362,M$250,FALSE)))</f>
        <v>#N/A</v>
      </c>
      <c r="K342" s="5111" t="e">
        <f ca="1">IF($B342="WS",VLOOKUP($C342,'PIP finance'!$C$9:$P$59,N$250,FALSE),IF($B342="WW",VLOOKUP($C342,'PIP finance'!$C$177:$P$220,N$250,FALSE),VLOOKUP($C342,'PIP finance'!$C$325:$P$362,N$250,FALSE)))</f>
        <v>#N/A</v>
      </c>
      <c r="L342" s="5111" t="e">
        <f ca="1">IF($B342="WS",VLOOKUP($C342,'PIP finance'!$C$9:$P$59,O$250,FALSE),IF($B342="WW",VLOOKUP($C342,'PIP finance'!$C$177:$P$220,O$250,FALSE),VLOOKUP($C342,'PIP finance'!$C$325:$P$362,O$250,FALSE)))</f>
        <v>#N/A</v>
      </c>
      <c r="M342" s="5111" t="e">
        <f ca="1">IF($B342="WS",VLOOKUP($C342,'PIP finance'!$C$9:$P$59,P$250,FALSE),IF($B342="WW",VLOOKUP($C342,'PIP finance'!$C$177:$P$220,P$250,FALSE),VLOOKUP($C342,'PIP finance'!$C$325:$P$362,P$250,FALSE)))</f>
        <v>#N/A</v>
      </c>
    </row>
    <row r="343" spans="1:13" x14ac:dyDescent="0.25">
      <c r="A343" s="4076">
        <v>92</v>
      </c>
      <c r="B343" s="4076" t="str">
        <f ca="1">'Action Plan finance'!AH147</f>
        <v/>
      </c>
      <c r="C343" s="4078" t="str">
        <f ca="1">'Action Plan finance'!C147</f>
        <v/>
      </c>
      <c r="D343" s="5108" t="e">
        <f ca="1">IF($B343="WS",VLOOKUP($C343,'PIP finance'!$C$9:$P$59,G$250,FALSE),IF($B343="WW",VLOOKUP($C343,'PIP finance'!$C$177:$P$220,G$250,FALSE),VLOOKUP($C343,'PIP finance'!$C$325:$P$362,G$250,FALSE)))</f>
        <v>#N/A</v>
      </c>
      <c r="E343" s="5109" t="e">
        <f ca="1">IF($B343="WS",VLOOKUP($C343,'PIP finance'!$C$9:$P$59,H$250,FALSE),IF($B343="WW",VLOOKUP($C343,'PIP finance'!$C$177:$P$220,H$250,FALSE),VLOOKUP($C343,'PIP finance'!$C$325:$P$362,H$250,FALSE)))</f>
        <v>#N/A</v>
      </c>
      <c r="F343" s="5109" t="e">
        <f ca="1">IF($B343="WS",VLOOKUP($C343,'PIP finance'!$C$9:$P$59,I$250,FALSE),IF($B343="WW",VLOOKUP($C343,'PIP finance'!$C$177:$P$220,I$250,FALSE),VLOOKUP($C343,'PIP finance'!$C$325:$P$362,I$250,FALSE)))</f>
        <v>#N/A</v>
      </c>
      <c r="G343" s="5111" t="e">
        <f ca="1">IF($B343="WS",VLOOKUP($C343,'PIP finance'!$C$9:$P$59,J$250,FALSE),IF($B343="WW",VLOOKUP($C343,'PIP finance'!$C$177:$P$220,J$250,FALSE),VLOOKUP($C343,'PIP finance'!$C$325:$P$362,J$250,FALSE)))</f>
        <v>#N/A</v>
      </c>
      <c r="H343" s="5111" t="e">
        <f ca="1">IF($B343="WS",VLOOKUP($C343,'PIP finance'!$C$9:$P$59,K$250,FALSE),IF($B343="WW",VLOOKUP($C343,'PIP finance'!$C$177:$P$220,K$250,FALSE),VLOOKUP($C343,'PIP finance'!$C$325:$P$362,K$250,FALSE)))</f>
        <v>#N/A</v>
      </c>
      <c r="I343" s="5111" t="e">
        <f ca="1">IF($B343="WS",VLOOKUP($C343,'PIP finance'!$C$9:$P$59,L$250,FALSE),IF($B343="WW",VLOOKUP($C343,'PIP finance'!$C$177:$P$220,L$250,FALSE),VLOOKUP($C343,'PIP finance'!$C$325:$P$362,L$250,FALSE)))</f>
        <v>#N/A</v>
      </c>
      <c r="J343" s="5111" t="e">
        <f ca="1">IF($B343="WS",VLOOKUP($C343,'PIP finance'!$C$9:$P$59,M$250,FALSE),IF($B343="WW",VLOOKUP($C343,'PIP finance'!$C$177:$P$220,M$250,FALSE),VLOOKUP($C343,'PIP finance'!$C$325:$P$362,M$250,FALSE)))</f>
        <v>#N/A</v>
      </c>
      <c r="K343" s="5111" t="e">
        <f ca="1">IF($B343="WS",VLOOKUP($C343,'PIP finance'!$C$9:$P$59,N$250,FALSE),IF($B343="WW",VLOOKUP($C343,'PIP finance'!$C$177:$P$220,N$250,FALSE),VLOOKUP($C343,'PIP finance'!$C$325:$P$362,N$250,FALSE)))</f>
        <v>#N/A</v>
      </c>
      <c r="L343" s="5111" t="e">
        <f ca="1">IF($B343="WS",VLOOKUP($C343,'PIP finance'!$C$9:$P$59,O$250,FALSE),IF($B343="WW",VLOOKUP($C343,'PIP finance'!$C$177:$P$220,O$250,FALSE),VLOOKUP($C343,'PIP finance'!$C$325:$P$362,O$250,FALSE)))</f>
        <v>#N/A</v>
      </c>
      <c r="M343" s="5111" t="e">
        <f ca="1">IF($B343="WS",VLOOKUP($C343,'PIP finance'!$C$9:$P$59,P$250,FALSE),IF($B343="WW",VLOOKUP($C343,'PIP finance'!$C$177:$P$220,P$250,FALSE),VLOOKUP($C343,'PIP finance'!$C$325:$P$362,P$250,FALSE)))</f>
        <v>#N/A</v>
      </c>
    </row>
    <row r="344" spans="1:13" x14ac:dyDescent="0.25">
      <c r="A344" s="4076">
        <v>93</v>
      </c>
      <c r="B344" s="4076" t="str">
        <f ca="1">'Action Plan finance'!AH148</f>
        <v/>
      </c>
      <c r="C344" s="4078" t="str">
        <f ca="1">'Action Plan finance'!C148</f>
        <v/>
      </c>
      <c r="D344" s="5108" t="e">
        <f ca="1">IF($B344="WS",VLOOKUP($C344,'PIP finance'!$C$9:$P$59,G$250,FALSE),IF($B344="WW",VLOOKUP($C344,'PIP finance'!$C$177:$P$220,G$250,FALSE),VLOOKUP($C344,'PIP finance'!$C$325:$P$362,G$250,FALSE)))</f>
        <v>#N/A</v>
      </c>
      <c r="E344" s="5109" t="e">
        <f ca="1">IF($B344="WS",VLOOKUP($C344,'PIP finance'!$C$9:$P$59,H$250,FALSE),IF($B344="WW",VLOOKUP($C344,'PIP finance'!$C$177:$P$220,H$250,FALSE),VLOOKUP($C344,'PIP finance'!$C$325:$P$362,H$250,FALSE)))</f>
        <v>#N/A</v>
      </c>
      <c r="F344" s="5109" t="e">
        <f ca="1">IF($B344="WS",VLOOKUP($C344,'PIP finance'!$C$9:$P$59,I$250,FALSE),IF($B344="WW",VLOOKUP($C344,'PIP finance'!$C$177:$P$220,I$250,FALSE),VLOOKUP($C344,'PIP finance'!$C$325:$P$362,I$250,FALSE)))</f>
        <v>#N/A</v>
      </c>
      <c r="G344" s="5111" t="e">
        <f ca="1">IF($B344="WS",VLOOKUP($C344,'PIP finance'!$C$9:$P$59,J$250,FALSE),IF($B344="WW",VLOOKUP($C344,'PIP finance'!$C$177:$P$220,J$250,FALSE),VLOOKUP($C344,'PIP finance'!$C$325:$P$362,J$250,FALSE)))</f>
        <v>#N/A</v>
      </c>
      <c r="H344" s="5111" t="e">
        <f ca="1">IF($B344="WS",VLOOKUP($C344,'PIP finance'!$C$9:$P$59,K$250,FALSE),IF($B344="WW",VLOOKUP($C344,'PIP finance'!$C$177:$P$220,K$250,FALSE),VLOOKUP($C344,'PIP finance'!$C$325:$P$362,K$250,FALSE)))</f>
        <v>#N/A</v>
      </c>
      <c r="I344" s="5111" t="e">
        <f ca="1">IF($B344="WS",VLOOKUP($C344,'PIP finance'!$C$9:$P$59,L$250,FALSE),IF($B344="WW",VLOOKUP($C344,'PIP finance'!$C$177:$P$220,L$250,FALSE),VLOOKUP($C344,'PIP finance'!$C$325:$P$362,L$250,FALSE)))</f>
        <v>#N/A</v>
      </c>
      <c r="J344" s="5111" t="e">
        <f ca="1">IF($B344="WS",VLOOKUP($C344,'PIP finance'!$C$9:$P$59,M$250,FALSE),IF($B344="WW",VLOOKUP($C344,'PIP finance'!$C$177:$P$220,M$250,FALSE),VLOOKUP($C344,'PIP finance'!$C$325:$P$362,M$250,FALSE)))</f>
        <v>#N/A</v>
      </c>
      <c r="K344" s="5111" t="e">
        <f ca="1">IF($B344="WS",VLOOKUP($C344,'PIP finance'!$C$9:$P$59,N$250,FALSE),IF($B344="WW",VLOOKUP($C344,'PIP finance'!$C$177:$P$220,N$250,FALSE),VLOOKUP($C344,'PIP finance'!$C$325:$P$362,N$250,FALSE)))</f>
        <v>#N/A</v>
      </c>
      <c r="L344" s="5111" t="e">
        <f ca="1">IF($B344="WS",VLOOKUP($C344,'PIP finance'!$C$9:$P$59,O$250,FALSE),IF($B344="WW",VLOOKUP($C344,'PIP finance'!$C$177:$P$220,O$250,FALSE),VLOOKUP($C344,'PIP finance'!$C$325:$P$362,O$250,FALSE)))</f>
        <v>#N/A</v>
      </c>
      <c r="M344" s="5111" t="e">
        <f ca="1">IF($B344="WS",VLOOKUP($C344,'PIP finance'!$C$9:$P$59,P$250,FALSE),IF($B344="WW",VLOOKUP($C344,'PIP finance'!$C$177:$P$220,P$250,FALSE),VLOOKUP($C344,'PIP finance'!$C$325:$P$362,P$250,FALSE)))</f>
        <v>#N/A</v>
      </c>
    </row>
    <row r="345" spans="1:13" x14ac:dyDescent="0.25">
      <c r="A345" s="4076">
        <v>94</v>
      </c>
      <c r="B345" s="4076" t="str">
        <f ca="1">'Action Plan finance'!AH149</f>
        <v/>
      </c>
      <c r="C345" s="4078" t="str">
        <f ca="1">'Action Plan finance'!C149</f>
        <v/>
      </c>
      <c r="D345" s="5108" t="e">
        <f ca="1">IF($B345="WS",VLOOKUP($C345,'PIP finance'!$C$9:$P$59,G$250,FALSE),IF($B345="WW",VLOOKUP($C345,'PIP finance'!$C$177:$P$220,G$250,FALSE),VLOOKUP($C345,'PIP finance'!$C$325:$P$362,G$250,FALSE)))</f>
        <v>#N/A</v>
      </c>
      <c r="E345" s="5109" t="e">
        <f ca="1">IF($B345="WS",VLOOKUP($C345,'PIP finance'!$C$9:$P$59,H$250,FALSE),IF($B345="WW",VLOOKUP($C345,'PIP finance'!$C$177:$P$220,H$250,FALSE),VLOOKUP($C345,'PIP finance'!$C$325:$P$362,H$250,FALSE)))</f>
        <v>#N/A</v>
      </c>
      <c r="F345" s="5109" t="e">
        <f ca="1">IF($B345="WS",VLOOKUP($C345,'PIP finance'!$C$9:$P$59,I$250,FALSE),IF($B345="WW",VLOOKUP($C345,'PIP finance'!$C$177:$P$220,I$250,FALSE),VLOOKUP($C345,'PIP finance'!$C$325:$P$362,I$250,FALSE)))</f>
        <v>#N/A</v>
      </c>
      <c r="G345" s="5111" t="e">
        <f ca="1">IF($B345="WS",VLOOKUP($C345,'PIP finance'!$C$9:$P$59,J$250,FALSE),IF($B345="WW",VLOOKUP($C345,'PIP finance'!$C$177:$P$220,J$250,FALSE),VLOOKUP($C345,'PIP finance'!$C$325:$P$362,J$250,FALSE)))</f>
        <v>#N/A</v>
      </c>
      <c r="H345" s="5111" t="e">
        <f ca="1">IF($B345="WS",VLOOKUP($C345,'PIP finance'!$C$9:$P$59,K$250,FALSE),IF($B345="WW",VLOOKUP($C345,'PIP finance'!$C$177:$P$220,K$250,FALSE),VLOOKUP($C345,'PIP finance'!$C$325:$P$362,K$250,FALSE)))</f>
        <v>#N/A</v>
      </c>
      <c r="I345" s="5111" t="e">
        <f ca="1">IF($B345="WS",VLOOKUP($C345,'PIP finance'!$C$9:$P$59,L$250,FALSE),IF($B345="WW",VLOOKUP($C345,'PIP finance'!$C$177:$P$220,L$250,FALSE),VLOOKUP($C345,'PIP finance'!$C$325:$P$362,L$250,FALSE)))</f>
        <v>#N/A</v>
      </c>
      <c r="J345" s="5111" t="e">
        <f ca="1">IF($B345="WS",VLOOKUP($C345,'PIP finance'!$C$9:$P$59,M$250,FALSE),IF($B345="WW",VLOOKUP($C345,'PIP finance'!$C$177:$P$220,M$250,FALSE),VLOOKUP($C345,'PIP finance'!$C$325:$P$362,M$250,FALSE)))</f>
        <v>#N/A</v>
      </c>
      <c r="K345" s="5111" t="e">
        <f ca="1">IF($B345="WS",VLOOKUP($C345,'PIP finance'!$C$9:$P$59,N$250,FALSE),IF($B345="WW",VLOOKUP($C345,'PIP finance'!$C$177:$P$220,N$250,FALSE),VLOOKUP($C345,'PIP finance'!$C$325:$P$362,N$250,FALSE)))</f>
        <v>#N/A</v>
      </c>
      <c r="L345" s="5111" t="e">
        <f ca="1">IF($B345="WS",VLOOKUP($C345,'PIP finance'!$C$9:$P$59,O$250,FALSE),IF($B345="WW",VLOOKUP($C345,'PIP finance'!$C$177:$P$220,O$250,FALSE),VLOOKUP($C345,'PIP finance'!$C$325:$P$362,O$250,FALSE)))</f>
        <v>#N/A</v>
      </c>
      <c r="M345" s="5111" t="e">
        <f ca="1">IF($B345="WS",VLOOKUP($C345,'PIP finance'!$C$9:$P$59,P$250,FALSE),IF($B345="WW",VLOOKUP($C345,'PIP finance'!$C$177:$P$220,P$250,FALSE),VLOOKUP($C345,'PIP finance'!$C$325:$P$362,P$250,FALSE)))</f>
        <v>#N/A</v>
      </c>
    </row>
    <row r="346" spans="1:13" x14ac:dyDescent="0.25">
      <c r="A346" s="4076">
        <v>95</v>
      </c>
      <c r="B346" s="4076" t="str">
        <f ca="1">'Action Plan finance'!AH150</f>
        <v/>
      </c>
      <c r="C346" s="4078" t="str">
        <f ca="1">'Action Plan finance'!C150</f>
        <v/>
      </c>
      <c r="D346" s="5108" t="e">
        <f ca="1">IF($B346="WS",VLOOKUP($C346,'PIP finance'!$C$9:$P$59,G$250,FALSE),IF($B346="WW",VLOOKUP($C346,'PIP finance'!$C$177:$P$220,G$250,FALSE),VLOOKUP($C346,'PIP finance'!$C$325:$P$362,G$250,FALSE)))</f>
        <v>#N/A</v>
      </c>
      <c r="E346" s="5109" t="e">
        <f ca="1">IF($B346="WS",VLOOKUP($C346,'PIP finance'!$C$9:$P$59,H$250,FALSE),IF($B346="WW",VLOOKUP($C346,'PIP finance'!$C$177:$P$220,H$250,FALSE),VLOOKUP($C346,'PIP finance'!$C$325:$P$362,H$250,FALSE)))</f>
        <v>#N/A</v>
      </c>
      <c r="F346" s="5109" t="e">
        <f ca="1">IF($B346="WS",VLOOKUP($C346,'PIP finance'!$C$9:$P$59,I$250,FALSE),IF($B346="WW",VLOOKUP($C346,'PIP finance'!$C$177:$P$220,I$250,FALSE),VLOOKUP($C346,'PIP finance'!$C$325:$P$362,I$250,FALSE)))</f>
        <v>#N/A</v>
      </c>
      <c r="G346" s="5111" t="e">
        <f ca="1">IF($B346="WS",VLOOKUP($C346,'PIP finance'!$C$9:$P$59,J$250,FALSE),IF($B346="WW",VLOOKUP($C346,'PIP finance'!$C$177:$P$220,J$250,FALSE),VLOOKUP($C346,'PIP finance'!$C$325:$P$362,J$250,FALSE)))</f>
        <v>#N/A</v>
      </c>
      <c r="H346" s="5111" t="e">
        <f ca="1">IF($B346="WS",VLOOKUP($C346,'PIP finance'!$C$9:$P$59,K$250,FALSE),IF($B346="WW",VLOOKUP($C346,'PIP finance'!$C$177:$P$220,K$250,FALSE),VLOOKUP($C346,'PIP finance'!$C$325:$P$362,K$250,FALSE)))</f>
        <v>#N/A</v>
      </c>
      <c r="I346" s="5111" t="e">
        <f ca="1">IF($B346="WS",VLOOKUP($C346,'PIP finance'!$C$9:$P$59,L$250,FALSE),IF($B346="WW",VLOOKUP($C346,'PIP finance'!$C$177:$P$220,L$250,FALSE),VLOOKUP($C346,'PIP finance'!$C$325:$P$362,L$250,FALSE)))</f>
        <v>#N/A</v>
      </c>
      <c r="J346" s="5111" t="e">
        <f ca="1">IF($B346="WS",VLOOKUP($C346,'PIP finance'!$C$9:$P$59,M$250,FALSE),IF($B346="WW",VLOOKUP($C346,'PIP finance'!$C$177:$P$220,M$250,FALSE),VLOOKUP($C346,'PIP finance'!$C$325:$P$362,M$250,FALSE)))</f>
        <v>#N/A</v>
      </c>
      <c r="K346" s="5111" t="e">
        <f ca="1">IF($B346="WS",VLOOKUP($C346,'PIP finance'!$C$9:$P$59,N$250,FALSE),IF($B346="WW",VLOOKUP($C346,'PIP finance'!$C$177:$P$220,N$250,FALSE),VLOOKUP($C346,'PIP finance'!$C$325:$P$362,N$250,FALSE)))</f>
        <v>#N/A</v>
      </c>
      <c r="L346" s="5111" t="e">
        <f ca="1">IF($B346="WS",VLOOKUP($C346,'PIP finance'!$C$9:$P$59,O$250,FALSE),IF($B346="WW",VLOOKUP($C346,'PIP finance'!$C$177:$P$220,O$250,FALSE),VLOOKUP($C346,'PIP finance'!$C$325:$P$362,O$250,FALSE)))</f>
        <v>#N/A</v>
      </c>
      <c r="M346" s="5111" t="e">
        <f ca="1">IF($B346="WS",VLOOKUP($C346,'PIP finance'!$C$9:$P$59,P$250,FALSE),IF($B346="WW",VLOOKUP($C346,'PIP finance'!$C$177:$P$220,P$250,FALSE),VLOOKUP($C346,'PIP finance'!$C$325:$P$362,P$250,FALSE)))</f>
        <v>#N/A</v>
      </c>
    </row>
    <row r="347" spans="1:13" x14ac:dyDescent="0.25">
      <c r="A347" s="4076">
        <v>96</v>
      </c>
      <c r="B347" s="4076" t="str">
        <f ca="1">'Action Plan finance'!AH151</f>
        <v/>
      </c>
      <c r="C347" s="4078" t="str">
        <f ca="1">'Action Plan finance'!C151</f>
        <v/>
      </c>
      <c r="D347" s="5108" t="e">
        <f ca="1">IF($B347="WS",VLOOKUP($C347,'PIP finance'!$C$9:$P$59,G$250,FALSE),IF($B347="WW",VLOOKUP($C347,'PIP finance'!$C$177:$P$220,G$250,FALSE),VLOOKUP($C347,'PIP finance'!$C$325:$P$362,G$250,FALSE)))</f>
        <v>#N/A</v>
      </c>
      <c r="E347" s="5109" t="e">
        <f ca="1">IF($B347="WS",VLOOKUP($C347,'PIP finance'!$C$9:$P$59,H$250,FALSE),IF($B347="WW",VLOOKUP($C347,'PIP finance'!$C$177:$P$220,H$250,FALSE),VLOOKUP($C347,'PIP finance'!$C$325:$P$362,H$250,FALSE)))</f>
        <v>#N/A</v>
      </c>
      <c r="F347" s="5109" t="e">
        <f ca="1">IF($B347="WS",VLOOKUP($C347,'PIP finance'!$C$9:$P$59,I$250,FALSE),IF($B347="WW",VLOOKUP($C347,'PIP finance'!$C$177:$P$220,I$250,FALSE),VLOOKUP($C347,'PIP finance'!$C$325:$P$362,I$250,FALSE)))</f>
        <v>#N/A</v>
      </c>
      <c r="G347" s="5111" t="e">
        <f ca="1">IF($B347="WS",VLOOKUP($C347,'PIP finance'!$C$9:$P$59,J$250,FALSE),IF($B347="WW",VLOOKUP($C347,'PIP finance'!$C$177:$P$220,J$250,FALSE),VLOOKUP($C347,'PIP finance'!$C$325:$P$362,J$250,FALSE)))</f>
        <v>#N/A</v>
      </c>
      <c r="H347" s="5111" t="e">
        <f ca="1">IF($B347="WS",VLOOKUP($C347,'PIP finance'!$C$9:$P$59,K$250,FALSE),IF($B347="WW",VLOOKUP($C347,'PIP finance'!$C$177:$P$220,K$250,FALSE),VLOOKUP($C347,'PIP finance'!$C$325:$P$362,K$250,FALSE)))</f>
        <v>#N/A</v>
      </c>
      <c r="I347" s="5111" t="e">
        <f ca="1">IF($B347="WS",VLOOKUP($C347,'PIP finance'!$C$9:$P$59,L$250,FALSE),IF($B347="WW",VLOOKUP($C347,'PIP finance'!$C$177:$P$220,L$250,FALSE),VLOOKUP($C347,'PIP finance'!$C$325:$P$362,L$250,FALSE)))</f>
        <v>#N/A</v>
      </c>
      <c r="J347" s="5111" t="e">
        <f ca="1">IF($B347="WS",VLOOKUP($C347,'PIP finance'!$C$9:$P$59,M$250,FALSE),IF($B347="WW",VLOOKUP($C347,'PIP finance'!$C$177:$P$220,M$250,FALSE),VLOOKUP($C347,'PIP finance'!$C$325:$P$362,M$250,FALSE)))</f>
        <v>#N/A</v>
      </c>
      <c r="K347" s="5111" t="e">
        <f ca="1">IF($B347="WS",VLOOKUP($C347,'PIP finance'!$C$9:$P$59,N$250,FALSE),IF($B347="WW",VLOOKUP($C347,'PIP finance'!$C$177:$P$220,N$250,FALSE),VLOOKUP($C347,'PIP finance'!$C$325:$P$362,N$250,FALSE)))</f>
        <v>#N/A</v>
      </c>
      <c r="L347" s="5111" t="e">
        <f ca="1">IF($B347="WS",VLOOKUP($C347,'PIP finance'!$C$9:$P$59,O$250,FALSE),IF($B347="WW",VLOOKUP($C347,'PIP finance'!$C$177:$P$220,O$250,FALSE),VLOOKUP($C347,'PIP finance'!$C$325:$P$362,O$250,FALSE)))</f>
        <v>#N/A</v>
      </c>
      <c r="M347" s="5111" t="e">
        <f ca="1">IF($B347="WS",VLOOKUP($C347,'PIP finance'!$C$9:$P$59,P$250,FALSE),IF($B347="WW",VLOOKUP($C347,'PIP finance'!$C$177:$P$220,P$250,FALSE),VLOOKUP($C347,'PIP finance'!$C$325:$P$362,P$250,FALSE)))</f>
        <v>#N/A</v>
      </c>
    </row>
    <row r="348" spans="1:13" x14ac:dyDescent="0.25">
      <c r="A348" s="4076">
        <v>97</v>
      </c>
      <c r="B348" s="4076" t="str">
        <f ca="1">'Action Plan finance'!AH152</f>
        <v/>
      </c>
      <c r="C348" s="4078" t="str">
        <f ca="1">'Action Plan finance'!C152</f>
        <v/>
      </c>
      <c r="D348" s="5108" t="e">
        <f ca="1">IF($B348="WS",VLOOKUP($C348,'PIP finance'!$C$9:$P$59,G$250,FALSE),IF($B348="WW",VLOOKUP($C348,'PIP finance'!$C$177:$P$220,G$250,FALSE),VLOOKUP($C348,'PIP finance'!$C$325:$P$362,G$250,FALSE)))</f>
        <v>#N/A</v>
      </c>
      <c r="E348" s="5109" t="e">
        <f ca="1">IF($B348="WS",VLOOKUP($C348,'PIP finance'!$C$9:$P$59,H$250,FALSE),IF($B348="WW",VLOOKUP($C348,'PIP finance'!$C$177:$P$220,H$250,FALSE),VLOOKUP($C348,'PIP finance'!$C$325:$P$362,H$250,FALSE)))</f>
        <v>#N/A</v>
      </c>
      <c r="F348" s="5109" t="e">
        <f ca="1">IF($B348="WS",VLOOKUP($C348,'PIP finance'!$C$9:$P$59,I$250,FALSE),IF($B348="WW",VLOOKUP($C348,'PIP finance'!$C$177:$P$220,I$250,FALSE),VLOOKUP($C348,'PIP finance'!$C$325:$P$362,I$250,FALSE)))</f>
        <v>#N/A</v>
      </c>
      <c r="G348" s="5111" t="e">
        <f ca="1">IF($B348="WS",VLOOKUP($C348,'PIP finance'!$C$9:$P$59,J$250,FALSE),IF($B348="WW",VLOOKUP($C348,'PIP finance'!$C$177:$P$220,J$250,FALSE),VLOOKUP($C348,'PIP finance'!$C$325:$P$362,J$250,FALSE)))</f>
        <v>#N/A</v>
      </c>
      <c r="H348" s="5111" t="e">
        <f ca="1">IF($B348="WS",VLOOKUP($C348,'PIP finance'!$C$9:$P$59,K$250,FALSE),IF($B348="WW",VLOOKUP($C348,'PIP finance'!$C$177:$P$220,K$250,FALSE),VLOOKUP($C348,'PIP finance'!$C$325:$P$362,K$250,FALSE)))</f>
        <v>#N/A</v>
      </c>
      <c r="I348" s="5111" t="e">
        <f ca="1">IF($B348="WS",VLOOKUP($C348,'PIP finance'!$C$9:$P$59,L$250,FALSE),IF($B348="WW",VLOOKUP($C348,'PIP finance'!$C$177:$P$220,L$250,FALSE),VLOOKUP($C348,'PIP finance'!$C$325:$P$362,L$250,FALSE)))</f>
        <v>#N/A</v>
      </c>
      <c r="J348" s="5111" t="e">
        <f ca="1">IF($B348="WS",VLOOKUP($C348,'PIP finance'!$C$9:$P$59,M$250,FALSE),IF($B348="WW",VLOOKUP($C348,'PIP finance'!$C$177:$P$220,M$250,FALSE),VLOOKUP($C348,'PIP finance'!$C$325:$P$362,M$250,FALSE)))</f>
        <v>#N/A</v>
      </c>
      <c r="K348" s="5111" t="e">
        <f ca="1">IF($B348="WS",VLOOKUP($C348,'PIP finance'!$C$9:$P$59,N$250,FALSE),IF($B348="WW",VLOOKUP($C348,'PIP finance'!$C$177:$P$220,N$250,FALSE),VLOOKUP($C348,'PIP finance'!$C$325:$P$362,N$250,FALSE)))</f>
        <v>#N/A</v>
      </c>
      <c r="L348" s="5111" t="e">
        <f ca="1">IF($B348="WS",VLOOKUP($C348,'PIP finance'!$C$9:$P$59,O$250,FALSE),IF($B348="WW",VLOOKUP($C348,'PIP finance'!$C$177:$P$220,O$250,FALSE),VLOOKUP($C348,'PIP finance'!$C$325:$P$362,O$250,FALSE)))</f>
        <v>#N/A</v>
      </c>
      <c r="M348" s="5111" t="e">
        <f ca="1">IF($B348="WS",VLOOKUP($C348,'PIP finance'!$C$9:$P$59,P$250,FALSE),IF($B348="WW",VLOOKUP($C348,'PIP finance'!$C$177:$P$220,P$250,FALSE),VLOOKUP($C348,'PIP finance'!$C$325:$P$362,P$250,FALSE)))</f>
        <v>#N/A</v>
      </c>
    </row>
    <row r="349" spans="1:13" x14ac:dyDescent="0.25">
      <c r="A349" s="4076">
        <v>98</v>
      </c>
      <c r="B349" s="4076" t="str">
        <f ca="1">'Action Plan finance'!AH153</f>
        <v/>
      </c>
      <c r="C349" s="4078" t="str">
        <f ca="1">'Action Plan finance'!C153</f>
        <v/>
      </c>
      <c r="D349" s="5108" t="e">
        <f ca="1">IF($B349="WS",VLOOKUP($C349,'PIP finance'!$C$9:$P$59,G$250,FALSE),IF($B349="WW",VLOOKUP($C349,'PIP finance'!$C$177:$P$220,G$250,FALSE),VLOOKUP($C349,'PIP finance'!$C$325:$P$362,G$250,FALSE)))</f>
        <v>#N/A</v>
      </c>
      <c r="E349" s="5109" t="e">
        <f ca="1">IF($B349="WS",VLOOKUP($C349,'PIP finance'!$C$9:$P$59,H$250,FALSE),IF($B349="WW",VLOOKUP($C349,'PIP finance'!$C$177:$P$220,H$250,FALSE),VLOOKUP($C349,'PIP finance'!$C$325:$P$362,H$250,FALSE)))</f>
        <v>#N/A</v>
      </c>
      <c r="F349" s="5109" t="e">
        <f ca="1">IF($B349="WS",VLOOKUP($C349,'PIP finance'!$C$9:$P$59,I$250,FALSE),IF($B349="WW",VLOOKUP($C349,'PIP finance'!$C$177:$P$220,I$250,FALSE),VLOOKUP($C349,'PIP finance'!$C$325:$P$362,I$250,FALSE)))</f>
        <v>#N/A</v>
      </c>
      <c r="G349" s="5111" t="e">
        <f ca="1">IF($B349="WS",VLOOKUP($C349,'PIP finance'!$C$9:$P$59,J$250,FALSE),IF($B349="WW",VLOOKUP($C349,'PIP finance'!$C$177:$P$220,J$250,FALSE),VLOOKUP($C349,'PIP finance'!$C$325:$P$362,J$250,FALSE)))</f>
        <v>#N/A</v>
      </c>
      <c r="H349" s="5111" t="e">
        <f ca="1">IF($B349="WS",VLOOKUP($C349,'PIP finance'!$C$9:$P$59,K$250,FALSE),IF($B349="WW",VLOOKUP($C349,'PIP finance'!$C$177:$P$220,K$250,FALSE),VLOOKUP($C349,'PIP finance'!$C$325:$P$362,K$250,FALSE)))</f>
        <v>#N/A</v>
      </c>
      <c r="I349" s="5111" t="e">
        <f ca="1">IF($B349="WS",VLOOKUP($C349,'PIP finance'!$C$9:$P$59,L$250,FALSE),IF($B349="WW",VLOOKUP($C349,'PIP finance'!$C$177:$P$220,L$250,FALSE),VLOOKUP($C349,'PIP finance'!$C$325:$P$362,L$250,FALSE)))</f>
        <v>#N/A</v>
      </c>
      <c r="J349" s="5111" t="e">
        <f ca="1">IF($B349="WS",VLOOKUP($C349,'PIP finance'!$C$9:$P$59,M$250,FALSE),IF($B349="WW",VLOOKUP($C349,'PIP finance'!$C$177:$P$220,M$250,FALSE),VLOOKUP($C349,'PIP finance'!$C$325:$P$362,M$250,FALSE)))</f>
        <v>#N/A</v>
      </c>
      <c r="K349" s="5111" t="e">
        <f ca="1">IF($B349="WS",VLOOKUP($C349,'PIP finance'!$C$9:$P$59,N$250,FALSE),IF($B349="WW",VLOOKUP($C349,'PIP finance'!$C$177:$P$220,N$250,FALSE),VLOOKUP($C349,'PIP finance'!$C$325:$P$362,N$250,FALSE)))</f>
        <v>#N/A</v>
      </c>
      <c r="L349" s="5111" t="e">
        <f ca="1">IF($B349="WS",VLOOKUP($C349,'PIP finance'!$C$9:$P$59,O$250,FALSE),IF($B349="WW",VLOOKUP($C349,'PIP finance'!$C$177:$P$220,O$250,FALSE),VLOOKUP($C349,'PIP finance'!$C$325:$P$362,O$250,FALSE)))</f>
        <v>#N/A</v>
      </c>
      <c r="M349" s="5111" t="e">
        <f ca="1">IF($B349="WS",VLOOKUP($C349,'PIP finance'!$C$9:$P$59,P$250,FALSE),IF($B349="WW",VLOOKUP($C349,'PIP finance'!$C$177:$P$220,P$250,FALSE),VLOOKUP($C349,'PIP finance'!$C$325:$P$362,P$250,FALSE)))</f>
        <v>#N/A</v>
      </c>
    </row>
    <row r="350" spans="1:13" x14ac:dyDescent="0.25">
      <c r="A350" s="4076">
        <v>99</v>
      </c>
      <c r="B350" s="4076" t="str">
        <f ca="1">'Action Plan finance'!AH154</f>
        <v/>
      </c>
      <c r="C350" s="4078" t="str">
        <f ca="1">'Action Plan finance'!C154</f>
        <v/>
      </c>
      <c r="D350" s="5108" t="e">
        <f ca="1">IF($B350="WS",VLOOKUP($C350,'PIP finance'!$C$9:$P$59,G$250,FALSE),IF($B350="WW",VLOOKUP($C350,'PIP finance'!$C$177:$P$220,G$250,FALSE),VLOOKUP($C350,'PIP finance'!$C$325:$P$362,G$250,FALSE)))</f>
        <v>#N/A</v>
      </c>
      <c r="E350" s="5109" t="e">
        <f ca="1">IF($B350="WS",VLOOKUP($C350,'PIP finance'!$C$9:$P$59,H$250,FALSE),IF($B350="WW",VLOOKUP($C350,'PIP finance'!$C$177:$P$220,H$250,FALSE),VLOOKUP($C350,'PIP finance'!$C$325:$P$362,H$250,FALSE)))</f>
        <v>#N/A</v>
      </c>
      <c r="F350" s="5109" t="e">
        <f ca="1">IF($B350="WS",VLOOKUP($C350,'PIP finance'!$C$9:$P$59,I$250,FALSE),IF($B350="WW",VLOOKUP($C350,'PIP finance'!$C$177:$P$220,I$250,FALSE),VLOOKUP($C350,'PIP finance'!$C$325:$P$362,I$250,FALSE)))</f>
        <v>#N/A</v>
      </c>
      <c r="G350" s="5111" t="e">
        <f ca="1">IF($B350="WS",VLOOKUP($C350,'PIP finance'!$C$9:$P$59,J$250,FALSE),IF($B350="WW",VLOOKUP($C350,'PIP finance'!$C$177:$P$220,J$250,FALSE),VLOOKUP($C350,'PIP finance'!$C$325:$P$362,J$250,FALSE)))</f>
        <v>#N/A</v>
      </c>
      <c r="H350" s="5111" t="e">
        <f ca="1">IF($B350="WS",VLOOKUP($C350,'PIP finance'!$C$9:$P$59,K$250,FALSE),IF($B350="WW",VLOOKUP($C350,'PIP finance'!$C$177:$P$220,K$250,FALSE),VLOOKUP($C350,'PIP finance'!$C$325:$P$362,K$250,FALSE)))</f>
        <v>#N/A</v>
      </c>
      <c r="I350" s="5111" t="e">
        <f ca="1">IF($B350="WS",VLOOKUP($C350,'PIP finance'!$C$9:$P$59,L$250,FALSE),IF($B350="WW",VLOOKUP($C350,'PIP finance'!$C$177:$P$220,L$250,FALSE),VLOOKUP($C350,'PIP finance'!$C$325:$P$362,L$250,FALSE)))</f>
        <v>#N/A</v>
      </c>
      <c r="J350" s="5111" t="e">
        <f ca="1">IF($B350="WS",VLOOKUP($C350,'PIP finance'!$C$9:$P$59,M$250,FALSE),IF($B350="WW",VLOOKUP($C350,'PIP finance'!$C$177:$P$220,M$250,FALSE),VLOOKUP($C350,'PIP finance'!$C$325:$P$362,M$250,FALSE)))</f>
        <v>#N/A</v>
      </c>
      <c r="K350" s="5111" t="e">
        <f ca="1">IF($B350="WS",VLOOKUP($C350,'PIP finance'!$C$9:$P$59,N$250,FALSE),IF($B350="WW",VLOOKUP($C350,'PIP finance'!$C$177:$P$220,N$250,FALSE),VLOOKUP($C350,'PIP finance'!$C$325:$P$362,N$250,FALSE)))</f>
        <v>#N/A</v>
      </c>
      <c r="L350" s="5111" t="e">
        <f ca="1">IF($B350="WS",VLOOKUP($C350,'PIP finance'!$C$9:$P$59,O$250,FALSE),IF($B350="WW",VLOOKUP($C350,'PIP finance'!$C$177:$P$220,O$250,FALSE),VLOOKUP($C350,'PIP finance'!$C$325:$P$362,O$250,FALSE)))</f>
        <v>#N/A</v>
      </c>
      <c r="M350" s="5111" t="e">
        <f ca="1">IF($B350="WS",VLOOKUP($C350,'PIP finance'!$C$9:$P$59,P$250,FALSE),IF($B350="WW",VLOOKUP($C350,'PIP finance'!$C$177:$P$220,P$250,FALSE),VLOOKUP($C350,'PIP finance'!$C$325:$P$362,P$250,FALSE)))</f>
        <v>#N/A</v>
      </c>
    </row>
    <row r="351" spans="1:13" x14ac:dyDescent="0.25">
      <c r="A351" s="4076">
        <v>100</v>
      </c>
      <c r="B351" s="4076" t="str">
        <f ca="1">'Action Plan finance'!AH155</f>
        <v/>
      </c>
      <c r="C351" s="4078" t="str">
        <f ca="1">'Action Plan finance'!C155</f>
        <v/>
      </c>
      <c r="D351" s="5108" t="e">
        <f ca="1">IF($B351="WS",VLOOKUP($C351,'PIP finance'!$C$9:$P$59,G$250,FALSE),IF($B351="WW",VLOOKUP($C351,'PIP finance'!$C$177:$P$220,G$250,FALSE),VLOOKUP($C351,'PIP finance'!$C$325:$P$362,G$250,FALSE)))</f>
        <v>#N/A</v>
      </c>
      <c r="E351" s="5109" t="e">
        <f ca="1">IF($B351="WS",VLOOKUP($C351,'PIP finance'!$C$9:$P$59,H$250,FALSE),IF($B351="WW",VLOOKUP($C351,'PIP finance'!$C$177:$P$220,H$250,FALSE),VLOOKUP($C351,'PIP finance'!$C$325:$P$362,H$250,FALSE)))</f>
        <v>#N/A</v>
      </c>
      <c r="F351" s="5109" t="e">
        <f ca="1">IF($B351="WS",VLOOKUP($C351,'PIP finance'!$C$9:$P$59,I$250,FALSE),IF($B351="WW",VLOOKUP($C351,'PIP finance'!$C$177:$P$220,I$250,FALSE),VLOOKUP($C351,'PIP finance'!$C$325:$P$362,I$250,FALSE)))</f>
        <v>#N/A</v>
      </c>
      <c r="G351" s="5111" t="e">
        <f ca="1">IF($B351="WS",VLOOKUP($C351,'PIP finance'!$C$9:$P$59,J$250,FALSE),IF($B351="WW",VLOOKUP($C351,'PIP finance'!$C$177:$P$220,J$250,FALSE),VLOOKUP($C351,'PIP finance'!$C$325:$P$362,J$250,FALSE)))</f>
        <v>#N/A</v>
      </c>
      <c r="H351" s="5111" t="e">
        <f ca="1">IF($B351="WS",VLOOKUP($C351,'PIP finance'!$C$9:$P$59,K$250,FALSE),IF($B351="WW",VLOOKUP($C351,'PIP finance'!$C$177:$P$220,K$250,FALSE),VLOOKUP($C351,'PIP finance'!$C$325:$P$362,K$250,FALSE)))</f>
        <v>#N/A</v>
      </c>
      <c r="I351" s="5111" t="e">
        <f ca="1">IF($B351="WS",VLOOKUP($C351,'PIP finance'!$C$9:$P$59,L$250,FALSE),IF($B351="WW",VLOOKUP($C351,'PIP finance'!$C$177:$P$220,L$250,FALSE),VLOOKUP($C351,'PIP finance'!$C$325:$P$362,L$250,FALSE)))</f>
        <v>#N/A</v>
      </c>
      <c r="J351" s="5111" t="e">
        <f ca="1">IF($B351="WS",VLOOKUP($C351,'PIP finance'!$C$9:$P$59,M$250,FALSE),IF($B351="WW",VLOOKUP($C351,'PIP finance'!$C$177:$P$220,M$250,FALSE),VLOOKUP($C351,'PIP finance'!$C$325:$P$362,M$250,FALSE)))</f>
        <v>#N/A</v>
      </c>
      <c r="K351" s="5111" t="e">
        <f ca="1">IF($B351="WS",VLOOKUP($C351,'PIP finance'!$C$9:$P$59,N$250,FALSE),IF($B351="WW",VLOOKUP($C351,'PIP finance'!$C$177:$P$220,N$250,FALSE),VLOOKUP($C351,'PIP finance'!$C$325:$P$362,N$250,FALSE)))</f>
        <v>#N/A</v>
      </c>
      <c r="L351" s="5111" t="e">
        <f ca="1">IF($B351="WS",VLOOKUP($C351,'PIP finance'!$C$9:$P$59,O$250,FALSE),IF($B351="WW",VLOOKUP($C351,'PIP finance'!$C$177:$P$220,O$250,FALSE),VLOOKUP($C351,'PIP finance'!$C$325:$P$362,O$250,FALSE)))</f>
        <v>#N/A</v>
      </c>
      <c r="M351" s="5111" t="e">
        <f ca="1">IF($B351="WS",VLOOKUP($C351,'PIP finance'!$C$9:$P$59,P$250,FALSE),IF($B351="WW",VLOOKUP($C351,'PIP finance'!$C$177:$P$220,P$250,FALSE),VLOOKUP($C351,'PIP finance'!$C$325:$P$362,P$250,FALSE)))</f>
        <v>#N/A</v>
      </c>
    </row>
    <row r="352" spans="1:13" x14ac:dyDescent="0.25">
      <c r="A352" s="4076">
        <v>101</v>
      </c>
      <c r="B352" s="4076" t="str">
        <f ca="1">'Action Plan finance'!AH156</f>
        <v/>
      </c>
      <c r="C352" s="4078" t="str">
        <f ca="1">'Action Plan finance'!C156</f>
        <v/>
      </c>
      <c r="D352" s="5108" t="e">
        <f ca="1">IF($B352="WS",VLOOKUP($C352,'PIP finance'!$C$9:$P$59,G$250,FALSE),IF($B352="WW",VLOOKUP($C352,'PIP finance'!$C$177:$P$220,G$250,FALSE),VLOOKUP($C352,'PIP finance'!$C$325:$P$362,G$250,FALSE)))</f>
        <v>#N/A</v>
      </c>
      <c r="E352" s="5109" t="e">
        <f ca="1">IF($B352="WS",VLOOKUP($C352,'PIP finance'!$C$9:$P$59,H$250,FALSE),IF($B352="WW",VLOOKUP($C352,'PIP finance'!$C$177:$P$220,H$250,FALSE),VLOOKUP($C352,'PIP finance'!$C$325:$P$362,H$250,FALSE)))</f>
        <v>#N/A</v>
      </c>
      <c r="F352" s="5109" t="e">
        <f ca="1">IF($B352="WS",VLOOKUP($C352,'PIP finance'!$C$9:$P$59,I$250,FALSE),IF($B352="WW",VLOOKUP($C352,'PIP finance'!$C$177:$P$220,I$250,FALSE),VLOOKUP($C352,'PIP finance'!$C$325:$P$362,I$250,FALSE)))</f>
        <v>#N/A</v>
      </c>
      <c r="G352" s="5111" t="e">
        <f ca="1">IF($B352="WS",VLOOKUP($C352,'PIP finance'!$C$9:$P$59,J$250,FALSE),IF($B352="WW",VLOOKUP($C352,'PIP finance'!$C$177:$P$220,J$250,FALSE),VLOOKUP($C352,'PIP finance'!$C$325:$P$362,J$250,FALSE)))</f>
        <v>#N/A</v>
      </c>
      <c r="H352" s="5111" t="e">
        <f ca="1">IF($B352="WS",VLOOKUP($C352,'PIP finance'!$C$9:$P$59,K$250,FALSE),IF($B352="WW",VLOOKUP($C352,'PIP finance'!$C$177:$P$220,K$250,FALSE),VLOOKUP($C352,'PIP finance'!$C$325:$P$362,K$250,FALSE)))</f>
        <v>#N/A</v>
      </c>
      <c r="I352" s="5111" t="e">
        <f ca="1">IF($B352="WS",VLOOKUP($C352,'PIP finance'!$C$9:$P$59,L$250,FALSE),IF($B352="WW",VLOOKUP($C352,'PIP finance'!$C$177:$P$220,L$250,FALSE),VLOOKUP($C352,'PIP finance'!$C$325:$P$362,L$250,FALSE)))</f>
        <v>#N/A</v>
      </c>
      <c r="J352" s="5111" t="e">
        <f ca="1">IF($B352="WS",VLOOKUP($C352,'PIP finance'!$C$9:$P$59,M$250,FALSE),IF($B352="WW",VLOOKUP($C352,'PIP finance'!$C$177:$P$220,M$250,FALSE),VLOOKUP($C352,'PIP finance'!$C$325:$P$362,M$250,FALSE)))</f>
        <v>#N/A</v>
      </c>
      <c r="K352" s="5111" t="e">
        <f ca="1">IF($B352="WS",VLOOKUP($C352,'PIP finance'!$C$9:$P$59,N$250,FALSE),IF($B352="WW",VLOOKUP($C352,'PIP finance'!$C$177:$P$220,N$250,FALSE),VLOOKUP($C352,'PIP finance'!$C$325:$P$362,N$250,FALSE)))</f>
        <v>#N/A</v>
      </c>
      <c r="L352" s="5111" t="e">
        <f ca="1">IF($B352="WS",VLOOKUP($C352,'PIP finance'!$C$9:$P$59,O$250,FALSE),IF($B352="WW",VLOOKUP($C352,'PIP finance'!$C$177:$P$220,O$250,FALSE),VLOOKUP($C352,'PIP finance'!$C$325:$P$362,O$250,FALSE)))</f>
        <v>#N/A</v>
      </c>
      <c r="M352" s="5111" t="e">
        <f ca="1">IF($B352="WS",VLOOKUP($C352,'PIP finance'!$C$9:$P$59,P$250,FALSE),IF($B352="WW",VLOOKUP($C352,'PIP finance'!$C$177:$P$220,P$250,FALSE),VLOOKUP($C352,'PIP finance'!$C$325:$P$362,P$250,FALSE)))</f>
        <v>#N/A</v>
      </c>
    </row>
    <row r="353" spans="1:13" x14ac:dyDescent="0.25">
      <c r="A353" s="4076">
        <v>102</v>
      </c>
      <c r="B353" s="4076" t="str">
        <f ca="1">'Action Plan finance'!AH157</f>
        <v/>
      </c>
      <c r="C353" s="4078" t="str">
        <f ca="1">'Action Plan finance'!C157</f>
        <v/>
      </c>
      <c r="D353" s="5108" t="e">
        <f ca="1">IF($B353="WS",VLOOKUP($C353,'PIP finance'!$C$9:$P$59,G$250,FALSE),IF($B353="WW",VLOOKUP($C353,'PIP finance'!$C$177:$P$220,G$250,FALSE),VLOOKUP($C353,'PIP finance'!$C$325:$P$362,G$250,FALSE)))</f>
        <v>#N/A</v>
      </c>
      <c r="E353" s="5109" t="e">
        <f ca="1">IF($B353="WS",VLOOKUP($C353,'PIP finance'!$C$9:$P$59,H$250,FALSE),IF($B353="WW",VLOOKUP($C353,'PIP finance'!$C$177:$P$220,H$250,FALSE),VLOOKUP($C353,'PIP finance'!$C$325:$P$362,H$250,FALSE)))</f>
        <v>#N/A</v>
      </c>
      <c r="F353" s="5109" t="e">
        <f ca="1">IF($B353="WS",VLOOKUP($C353,'PIP finance'!$C$9:$P$59,I$250,FALSE),IF($B353="WW",VLOOKUP($C353,'PIP finance'!$C$177:$P$220,I$250,FALSE),VLOOKUP($C353,'PIP finance'!$C$325:$P$362,I$250,FALSE)))</f>
        <v>#N/A</v>
      </c>
      <c r="G353" s="5111" t="e">
        <f ca="1">IF($B353="WS",VLOOKUP($C353,'PIP finance'!$C$9:$P$59,J$250,FALSE),IF($B353="WW",VLOOKUP($C353,'PIP finance'!$C$177:$P$220,J$250,FALSE),VLOOKUP($C353,'PIP finance'!$C$325:$P$362,J$250,FALSE)))</f>
        <v>#N/A</v>
      </c>
      <c r="H353" s="5111" t="e">
        <f ca="1">IF($B353="WS",VLOOKUP($C353,'PIP finance'!$C$9:$P$59,K$250,FALSE),IF($B353="WW",VLOOKUP($C353,'PIP finance'!$C$177:$P$220,K$250,FALSE),VLOOKUP($C353,'PIP finance'!$C$325:$P$362,K$250,FALSE)))</f>
        <v>#N/A</v>
      </c>
      <c r="I353" s="5111" t="e">
        <f ca="1">IF($B353="WS",VLOOKUP($C353,'PIP finance'!$C$9:$P$59,L$250,FALSE),IF($B353="WW",VLOOKUP($C353,'PIP finance'!$C$177:$P$220,L$250,FALSE),VLOOKUP($C353,'PIP finance'!$C$325:$P$362,L$250,FALSE)))</f>
        <v>#N/A</v>
      </c>
      <c r="J353" s="5111" t="e">
        <f ca="1">IF($B353="WS",VLOOKUP($C353,'PIP finance'!$C$9:$P$59,M$250,FALSE),IF($B353="WW",VLOOKUP($C353,'PIP finance'!$C$177:$P$220,M$250,FALSE),VLOOKUP($C353,'PIP finance'!$C$325:$P$362,M$250,FALSE)))</f>
        <v>#N/A</v>
      </c>
      <c r="K353" s="5111" t="e">
        <f ca="1">IF($B353="WS",VLOOKUP($C353,'PIP finance'!$C$9:$P$59,N$250,FALSE),IF($B353="WW",VLOOKUP($C353,'PIP finance'!$C$177:$P$220,N$250,FALSE),VLOOKUP($C353,'PIP finance'!$C$325:$P$362,N$250,FALSE)))</f>
        <v>#N/A</v>
      </c>
      <c r="L353" s="5111" t="e">
        <f ca="1">IF($B353="WS",VLOOKUP($C353,'PIP finance'!$C$9:$P$59,O$250,FALSE),IF($B353="WW",VLOOKUP($C353,'PIP finance'!$C$177:$P$220,O$250,FALSE),VLOOKUP($C353,'PIP finance'!$C$325:$P$362,O$250,FALSE)))</f>
        <v>#N/A</v>
      </c>
      <c r="M353" s="5111" t="e">
        <f ca="1">IF($B353="WS",VLOOKUP($C353,'PIP finance'!$C$9:$P$59,P$250,FALSE),IF($B353="WW",VLOOKUP($C353,'PIP finance'!$C$177:$P$220,P$250,FALSE),VLOOKUP($C353,'PIP finance'!$C$325:$P$362,P$250,FALSE)))</f>
        <v>#N/A</v>
      </c>
    </row>
    <row r="354" spans="1:13" x14ac:dyDescent="0.25">
      <c r="A354" s="4076">
        <v>103</v>
      </c>
      <c r="B354" s="4076" t="str">
        <f ca="1">'Action Plan finance'!AH158</f>
        <v/>
      </c>
      <c r="C354" s="4078" t="str">
        <f ca="1">'Action Plan finance'!C158</f>
        <v/>
      </c>
      <c r="D354" s="5108" t="e">
        <f ca="1">IF($B354="WS",VLOOKUP($C354,'PIP finance'!$C$9:$P$59,G$250,FALSE),IF($B354="WW",VLOOKUP($C354,'PIP finance'!$C$177:$P$220,G$250,FALSE),VLOOKUP($C354,'PIP finance'!$C$325:$P$362,G$250,FALSE)))</f>
        <v>#N/A</v>
      </c>
      <c r="E354" s="5109" t="e">
        <f ca="1">IF($B354="WS",VLOOKUP($C354,'PIP finance'!$C$9:$P$59,H$250,FALSE),IF($B354="WW",VLOOKUP($C354,'PIP finance'!$C$177:$P$220,H$250,FALSE),VLOOKUP($C354,'PIP finance'!$C$325:$P$362,H$250,FALSE)))</f>
        <v>#N/A</v>
      </c>
      <c r="F354" s="5109" t="e">
        <f ca="1">IF($B354="WS",VLOOKUP($C354,'PIP finance'!$C$9:$P$59,I$250,FALSE),IF($B354="WW",VLOOKUP($C354,'PIP finance'!$C$177:$P$220,I$250,FALSE),VLOOKUP($C354,'PIP finance'!$C$325:$P$362,I$250,FALSE)))</f>
        <v>#N/A</v>
      </c>
      <c r="G354" s="5111" t="e">
        <f ca="1">IF($B354="WS",VLOOKUP($C354,'PIP finance'!$C$9:$P$59,J$250,FALSE),IF($B354="WW",VLOOKUP($C354,'PIP finance'!$C$177:$P$220,J$250,FALSE),VLOOKUP($C354,'PIP finance'!$C$325:$P$362,J$250,FALSE)))</f>
        <v>#N/A</v>
      </c>
      <c r="H354" s="5111" t="e">
        <f ca="1">IF($B354="WS",VLOOKUP($C354,'PIP finance'!$C$9:$P$59,K$250,FALSE),IF($B354="WW",VLOOKUP($C354,'PIP finance'!$C$177:$P$220,K$250,FALSE),VLOOKUP($C354,'PIP finance'!$C$325:$P$362,K$250,FALSE)))</f>
        <v>#N/A</v>
      </c>
      <c r="I354" s="5111" t="e">
        <f ca="1">IF($B354="WS",VLOOKUP($C354,'PIP finance'!$C$9:$P$59,L$250,FALSE),IF($B354="WW",VLOOKUP($C354,'PIP finance'!$C$177:$P$220,L$250,FALSE),VLOOKUP($C354,'PIP finance'!$C$325:$P$362,L$250,FALSE)))</f>
        <v>#N/A</v>
      </c>
      <c r="J354" s="5111" t="e">
        <f ca="1">IF($B354="WS",VLOOKUP($C354,'PIP finance'!$C$9:$P$59,M$250,FALSE),IF($B354="WW",VLOOKUP($C354,'PIP finance'!$C$177:$P$220,M$250,FALSE),VLOOKUP($C354,'PIP finance'!$C$325:$P$362,M$250,FALSE)))</f>
        <v>#N/A</v>
      </c>
      <c r="K354" s="5111" t="e">
        <f ca="1">IF($B354="WS",VLOOKUP($C354,'PIP finance'!$C$9:$P$59,N$250,FALSE),IF($B354="WW",VLOOKUP($C354,'PIP finance'!$C$177:$P$220,N$250,FALSE),VLOOKUP($C354,'PIP finance'!$C$325:$P$362,N$250,FALSE)))</f>
        <v>#N/A</v>
      </c>
      <c r="L354" s="5111" t="e">
        <f ca="1">IF($B354="WS",VLOOKUP($C354,'PIP finance'!$C$9:$P$59,O$250,FALSE),IF($B354="WW",VLOOKUP($C354,'PIP finance'!$C$177:$P$220,O$250,FALSE),VLOOKUP($C354,'PIP finance'!$C$325:$P$362,O$250,FALSE)))</f>
        <v>#N/A</v>
      </c>
      <c r="M354" s="5111" t="e">
        <f ca="1">IF($B354="WS",VLOOKUP($C354,'PIP finance'!$C$9:$P$59,P$250,FALSE),IF($B354="WW",VLOOKUP($C354,'PIP finance'!$C$177:$P$220,P$250,FALSE),VLOOKUP($C354,'PIP finance'!$C$325:$P$362,P$250,FALSE)))</f>
        <v>#N/A</v>
      </c>
    </row>
    <row r="355" spans="1:13" x14ac:dyDescent="0.25">
      <c r="A355" s="4076">
        <v>104</v>
      </c>
      <c r="B355" s="4076" t="str">
        <f ca="1">'Action Plan finance'!AH159</f>
        <v/>
      </c>
      <c r="C355" s="4078" t="str">
        <f ca="1">'Action Plan finance'!C159</f>
        <v/>
      </c>
      <c r="D355" s="5108" t="e">
        <f ca="1">IF($B355="WS",VLOOKUP($C355,'PIP finance'!$C$9:$P$59,G$250,FALSE),IF($B355="WW",VLOOKUP($C355,'PIP finance'!$C$177:$P$220,G$250,FALSE),VLOOKUP($C355,'PIP finance'!$C$325:$P$362,G$250,FALSE)))</f>
        <v>#N/A</v>
      </c>
      <c r="E355" s="5109" t="e">
        <f ca="1">IF($B355="WS",VLOOKUP($C355,'PIP finance'!$C$9:$P$59,H$250,FALSE),IF($B355="WW",VLOOKUP($C355,'PIP finance'!$C$177:$P$220,H$250,FALSE),VLOOKUP($C355,'PIP finance'!$C$325:$P$362,H$250,FALSE)))</f>
        <v>#N/A</v>
      </c>
      <c r="F355" s="5109" t="e">
        <f ca="1">IF($B355="WS",VLOOKUP($C355,'PIP finance'!$C$9:$P$59,I$250,FALSE),IF($B355="WW",VLOOKUP($C355,'PIP finance'!$C$177:$P$220,I$250,FALSE),VLOOKUP($C355,'PIP finance'!$C$325:$P$362,I$250,FALSE)))</f>
        <v>#N/A</v>
      </c>
      <c r="G355" s="5111" t="e">
        <f ca="1">IF($B355="WS",VLOOKUP($C355,'PIP finance'!$C$9:$P$59,J$250,FALSE),IF($B355="WW",VLOOKUP($C355,'PIP finance'!$C$177:$P$220,J$250,FALSE),VLOOKUP($C355,'PIP finance'!$C$325:$P$362,J$250,FALSE)))</f>
        <v>#N/A</v>
      </c>
      <c r="H355" s="5111" t="e">
        <f ca="1">IF($B355="WS",VLOOKUP($C355,'PIP finance'!$C$9:$P$59,K$250,FALSE),IF($B355="WW",VLOOKUP($C355,'PIP finance'!$C$177:$P$220,K$250,FALSE),VLOOKUP($C355,'PIP finance'!$C$325:$P$362,K$250,FALSE)))</f>
        <v>#N/A</v>
      </c>
      <c r="I355" s="5111" t="e">
        <f ca="1">IF($B355="WS",VLOOKUP($C355,'PIP finance'!$C$9:$P$59,L$250,FALSE),IF($B355="WW",VLOOKUP($C355,'PIP finance'!$C$177:$P$220,L$250,FALSE),VLOOKUP($C355,'PIP finance'!$C$325:$P$362,L$250,FALSE)))</f>
        <v>#N/A</v>
      </c>
      <c r="J355" s="5111" t="e">
        <f ca="1">IF($B355="WS",VLOOKUP($C355,'PIP finance'!$C$9:$P$59,M$250,FALSE),IF($B355="WW",VLOOKUP($C355,'PIP finance'!$C$177:$P$220,M$250,FALSE),VLOOKUP($C355,'PIP finance'!$C$325:$P$362,M$250,FALSE)))</f>
        <v>#N/A</v>
      </c>
      <c r="K355" s="5111" t="e">
        <f ca="1">IF($B355="WS",VLOOKUP($C355,'PIP finance'!$C$9:$P$59,N$250,FALSE),IF($B355="WW",VLOOKUP($C355,'PIP finance'!$C$177:$P$220,N$250,FALSE),VLOOKUP($C355,'PIP finance'!$C$325:$P$362,N$250,FALSE)))</f>
        <v>#N/A</v>
      </c>
      <c r="L355" s="5111" t="e">
        <f ca="1">IF($B355="WS",VLOOKUP($C355,'PIP finance'!$C$9:$P$59,O$250,FALSE),IF($B355="WW",VLOOKUP($C355,'PIP finance'!$C$177:$P$220,O$250,FALSE),VLOOKUP($C355,'PIP finance'!$C$325:$P$362,O$250,FALSE)))</f>
        <v>#N/A</v>
      </c>
      <c r="M355" s="5111" t="e">
        <f ca="1">IF($B355="WS",VLOOKUP($C355,'PIP finance'!$C$9:$P$59,P$250,FALSE),IF($B355="WW",VLOOKUP($C355,'PIP finance'!$C$177:$P$220,P$250,FALSE),VLOOKUP($C355,'PIP finance'!$C$325:$P$362,P$250,FALSE)))</f>
        <v>#N/A</v>
      </c>
    </row>
    <row r="356" spans="1:13" x14ac:dyDescent="0.25">
      <c r="A356" s="4076">
        <v>105</v>
      </c>
      <c r="B356" s="4076" t="str">
        <f ca="1">'Action Plan finance'!AH160</f>
        <v/>
      </c>
      <c r="C356" s="4078" t="str">
        <f ca="1">'Action Plan finance'!C160</f>
        <v/>
      </c>
      <c r="D356" s="5108" t="e">
        <f ca="1">IF($B356="WS",VLOOKUP($C356,'PIP finance'!$C$9:$P$59,G$250,FALSE),IF($B356="WW",VLOOKUP($C356,'PIP finance'!$C$177:$P$220,G$250,FALSE),VLOOKUP($C356,'PIP finance'!$C$325:$P$362,G$250,FALSE)))</f>
        <v>#N/A</v>
      </c>
      <c r="E356" s="5109" t="e">
        <f ca="1">IF($B356="WS",VLOOKUP($C356,'PIP finance'!$C$9:$P$59,H$250,FALSE),IF($B356="WW",VLOOKUP($C356,'PIP finance'!$C$177:$P$220,H$250,FALSE),VLOOKUP($C356,'PIP finance'!$C$325:$P$362,H$250,FALSE)))</f>
        <v>#N/A</v>
      </c>
      <c r="F356" s="5109" t="e">
        <f ca="1">IF($B356="WS",VLOOKUP($C356,'PIP finance'!$C$9:$P$59,I$250,FALSE),IF($B356="WW",VLOOKUP($C356,'PIP finance'!$C$177:$P$220,I$250,FALSE),VLOOKUP($C356,'PIP finance'!$C$325:$P$362,I$250,FALSE)))</f>
        <v>#N/A</v>
      </c>
      <c r="G356" s="5111" t="e">
        <f ca="1">IF($B356="WS",VLOOKUP($C356,'PIP finance'!$C$9:$P$59,J$250,FALSE),IF($B356="WW",VLOOKUP($C356,'PIP finance'!$C$177:$P$220,J$250,FALSE),VLOOKUP($C356,'PIP finance'!$C$325:$P$362,J$250,FALSE)))</f>
        <v>#N/A</v>
      </c>
      <c r="H356" s="5111" t="e">
        <f ca="1">IF($B356="WS",VLOOKUP($C356,'PIP finance'!$C$9:$P$59,K$250,FALSE),IF($B356="WW",VLOOKUP($C356,'PIP finance'!$C$177:$P$220,K$250,FALSE),VLOOKUP($C356,'PIP finance'!$C$325:$P$362,K$250,FALSE)))</f>
        <v>#N/A</v>
      </c>
      <c r="I356" s="5111" t="e">
        <f ca="1">IF($B356="WS",VLOOKUP($C356,'PIP finance'!$C$9:$P$59,L$250,FALSE),IF($B356="WW",VLOOKUP($C356,'PIP finance'!$C$177:$P$220,L$250,FALSE),VLOOKUP($C356,'PIP finance'!$C$325:$P$362,L$250,FALSE)))</f>
        <v>#N/A</v>
      </c>
      <c r="J356" s="5111" t="e">
        <f ca="1">IF($B356="WS",VLOOKUP($C356,'PIP finance'!$C$9:$P$59,M$250,FALSE),IF($B356="WW",VLOOKUP($C356,'PIP finance'!$C$177:$P$220,M$250,FALSE),VLOOKUP($C356,'PIP finance'!$C$325:$P$362,M$250,FALSE)))</f>
        <v>#N/A</v>
      </c>
      <c r="K356" s="5111" t="e">
        <f ca="1">IF($B356="WS",VLOOKUP($C356,'PIP finance'!$C$9:$P$59,N$250,FALSE),IF($B356="WW",VLOOKUP($C356,'PIP finance'!$C$177:$P$220,N$250,FALSE),VLOOKUP($C356,'PIP finance'!$C$325:$P$362,N$250,FALSE)))</f>
        <v>#N/A</v>
      </c>
      <c r="L356" s="5111" t="e">
        <f ca="1">IF($B356="WS",VLOOKUP($C356,'PIP finance'!$C$9:$P$59,O$250,FALSE),IF($B356="WW",VLOOKUP($C356,'PIP finance'!$C$177:$P$220,O$250,FALSE),VLOOKUP($C356,'PIP finance'!$C$325:$P$362,O$250,FALSE)))</f>
        <v>#N/A</v>
      </c>
      <c r="M356" s="5111" t="e">
        <f ca="1">IF($B356="WS",VLOOKUP($C356,'PIP finance'!$C$9:$P$59,P$250,FALSE),IF($B356="WW",VLOOKUP($C356,'PIP finance'!$C$177:$P$220,P$250,FALSE),VLOOKUP($C356,'PIP finance'!$C$325:$P$362,P$250,FALSE)))</f>
        <v>#N/A</v>
      </c>
    </row>
    <row r="357" spans="1:13" x14ac:dyDescent="0.25">
      <c r="A357" s="4076">
        <v>106</v>
      </c>
      <c r="B357" s="4076" t="str">
        <f ca="1">'Action Plan finance'!AH161</f>
        <v/>
      </c>
      <c r="C357" s="4078" t="str">
        <f ca="1">'Action Plan finance'!C161</f>
        <v/>
      </c>
      <c r="D357" s="5108" t="e">
        <f ca="1">IF($B357="WS",VLOOKUP($C357,'PIP finance'!$C$9:$P$59,G$250,FALSE),IF($B357="WW",VLOOKUP($C357,'PIP finance'!$C$177:$P$220,G$250,FALSE),VLOOKUP($C357,'PIP finance'!$C$325:$P$362,G$250,FALSE)))</f>
        <v>#N/A</v>
      </c>
      <c r="E357" s="5109" t="e">
        <f ca="1">IF($B357="WS",VLOOKUP($C357,'PIP finance'!$C$9:$P$59,H$250,FALSE),IF($B357="WW",VLOOKUP($C357,'PIP finance'!$C$177:$P$220,H$250,FALSE),VLOOKUP($C357,'PIP finance'!$C$325:$P$362,H$250,FALSE)))</f>
        <v>#N/A</v>
      </c>
      <c r="F357" s="5109" t="e">
        <f ca="1">IF($B357="WS",VLOOKUP($C357,'PIP finance'!$C$9:$P$59,I$250,FALSE),IF($B357="WW",VLOOKUP($C357,'PIP finance'!$C$177:$P$220,I$250,FALSE),VLOOKUP($C357,'PIP finance'!$C$325:$P$362,I$250,FALSE)))</f>
        <v>#N/A</v>
      </c>
      <c r="G357" s="5111" t="e">
        <f ca="1">IF($B357="WS",VLOOKUP($C357,'PIP finance'!$C$9:$P$59,J$250,FALSE),IF($B357="WW",VLOOKUP($C357,'PIP finance'!$C$177:$P$220,J$250,FALSE),VLOOKUP($C357,'PIP finance'!$C$325:$P$362,J$250,FALSE)))</f>
        <v>#N/A</v>
      </c>
      <c r="H357" s="5111" t="e">
        <f ca="1">IF($B357="WS",VLOOKUP($C357,'PIP finance'!$C$9:$P$59,K$250,FALSE),IF($B357="WW",VLOOKUP($C357,'PIP finance'!$C$177:$P$220,K$250,FALSE),VLOOKUP($C357,'PIP finance'!$C$325:$P$362,K$250,FALSE)))</f>
        <v>#N/A</v>
      </c>
      <c r="I357" s="5111" t="e">
        <f ca="1">IF($B357="WS",VLOOKUP($C357,'PIP finance'!$C$9:$P$59,L$250,FALSE),IF($B357="WW",VLOOKUP($C357,'PIP finance'!$C$177:$P$220,L$250,FALSE),VLOOKUP($C357,'PIP finance'!$C$325:$P$362,L$250,FALSE)))</f>
        <v>#N/A</v>
      </c>
      <c r="J357" s="5111" t="e">
        <f ca="1">IF($B357="WS",VLOOKUP($C357,'PIP finance'!$C$9:$P$59,M$250,FALSE),IF($B357="WW",VLOOKUP($C357,'PIP finance'!$C$177:$P$220,M$250,FALSE),VLOOKUP($C357,'PIP finance'!$C$325:$P$362,M$250,FALSE)))</f>
        <v>#N/A</v>
      </c>
      <c r="K357" s="5111" t="e">
        <f ca="1">IF($B357="WS",VLOOKUP($C357,'PIP finance'!$C$9:$P$59,N$250,FALSE),IF($B357="WW",VLOOKUP($C357,'PIP finance'!$C$177:$P$220,N$250,FALSE),VLOOKUP($C357,'PIP finance'!$C$325:$P$362,N$250,FALSE)))</f>
        <v>#N/A</v>
      </c>
      <c r="L357" s="5111" t="e">
        <f ca="1">IF($B357="WS",VLOOKUP($C357,'PIP finance'!$C$9:$P$59,O$250,FALSE),IF($B357="WW",VLOOKUP($C357,'PIP finance'!$C$177:$P$220,O$250,FALSE),VLOOKUP($C357,'PIP finance'!$C$325:$P$362,O$250,FALSE)))</f>
        <v>#N/A</v>
      </c>
      <c r="M357" s="5111" t="e">
        <f ca="1">IF($B357="WS",VLOOKUP($C357,'PIP finance'!$C$9:$P$59,P$250,FALSE),IF($B357="WW",VLOOKUP($C357,'PIP finance'!$C$177:$P$220,P$250,FALSE),VLOOKUP($C357,'PIP finance'!$C$325:$P$362,P$250,FALSE)))</f>
        <v>#N/A</v>
      </c>
    </row>
    <row r="358" spans="1:13" x14ac:dyDescent="0.25">
      <c r="A358" s="4076">
        <v>107</v>
      </c>
      <c r="B358" s="4076" t="str">
        <f ca="1">'Action Plan finance'!AH162</f>
        <v/>
      </c>
      <c r="C358" s="4078" t="str">
        <f ca="1">'Action Plan finance'!C162</f>
        <v/>
      </c>
      <c r="D358" s="5108" t="e">
        <f ca="1">IF($B358="WS",VLOOKUP($C358,'PIP finance'!$C$9:$P$59,G$250,FALSE),IF($B358="WW",VLOOKUP($C358,'PIP finance'!$C$177:$P$220,G$250,FALSE),VLOOKUP($C358,'PIP finance'!$C$325:$P$362,G$250,FALSE)))</f>
        <v>#N/A</v>
      </c>
      <c r="E358" s="5109" t="e">
        <f ca="1">IF($B358="WS",VLOOKUP($C358,'PIP finance'!$C$9:$P$59,H$250,FALSE),IF($B358="WW",VLOOKUP($C358,'PIP finance'!$C$177:$P$220,H$250,FALSE),VLOOKUP($C358,'PIP finance'!$C$325:$P$362,H$250,FALSE)))</f>
        <v>#N/A</v>
      </c>
      <c r="F358" s="5109" t="e">
        <f ca="1">IF($B358="WS",VLOOKUP($C358,'PIP finance'!$C$9:$P$59,I$250,FALSE),IF($B358="WW",VLOOKUP($C358,'PIP finance'!$C$177:$P$220,I$250,FALSE),VLOOKUP($C358,'PIP finance'!$C$325:$P$362,I$250,FALSE)))</f>
        <v>#N/A</v>
      </c>
      <c r="G358" s="5111" t="e">
        <f ca="1">IF($B358="WS",VLOOKUP($C358,'PIP finance'!$C$9:$P$59,J$250,FALSE),IF($B358="WW",VLOOKUP($C358,'PIP finance'!$C$177:$P$220,J$250,FALSE),VLOOKUP($C358,'PIP finance'!$C$325:$P$362,J$250,FALSE)))</f>
        <v>#N/A</v>
      </c>
      <c r="H358" s="5111" t="e">
        <f ca="1">IF($B358="WS",VLOOKUP($C358,'PIP finance'!$C$9:$P$59,K$250,FALSE),IF($B358="WW",VLOOKUP($C358,'PIP finance'!$C$177:$P$220,K$250,FALSE),VLOOKUP($C358,'PIP finance'!$C$325:$P$362,K$250,FALSE)))</f>
        <v>#N/A</v>
      </c>
      <c r="I358" s="5111" t="e">
        <f ca="1">IF($B358="WS",VLOOKUP($C358,'PIP finance'!$C$9:$P$59,L$250,FALSE),IF($B358="WW",VLOOKUP($C358,'PIP finance'!$C$177:$P$220,L$250,FALSE),VLOOKUP($C358,'PIP finance'!$C$325:$P$362,L$250,FALSE)))</f>
        <v>#N/A</v>
      </c>
      <c r="J358" s="5111" t="e">
        <f ca="1">IF($B358="WS",VLOOKUP($C358,'PIP finance'!$C$9:$P$59,M$250,FALSE),IF($B358="WW",VLOOKUP($C358,'PIP finance'!$C$177:$P$220,M$250,FALSE),VLOOKUP($C358,'PIP finance'!$C$325:$P$362,M$250,FALSE)))</f>
        <v>#N/A</v>
      </c>
      <c r="K358" s="5111" t="e">
        <f ca="1">IF($B358="WS",VLOOKUP($C358,'PIP finance'!$C$9:$P$59,N$250,FALSE),IF($B358="WW",VLOOKUP($C358,'PIP finance'!$C$177:$P$220,N$250,FALSE),VLOOKUP($C358,'PIP finance'!$C$325:$P$362,N$250,FALSE)))</f>
        <v>#N/A</v>
      </c>
      <c r="L358" s="5111" t="e">
        <f ca="1">IF($B358="WS",VLOOKUP($C358,'PIP finance'!$C$9:$P$59,O$250,FALSE),IF($B358="WW",VLOOKUP($C358,'PIP finance'!$C$177:$P$220,O$250,FALSE),VLOOKUP($C358,'PIP finance'!$C$325:$P$362,O$250,FALSE)))</f>
        <v>#N/A</v>
      </c>
      <c r="M358" s="5111" t="e">
        <f ca="1">IF($B358="WS",VLOOKUP($C358,'PIP finance'!$C$9:$P$59,P$250,FALSE),IF($B358="WW",VLOOKUP($C358,'PIP finance'!$C$177:$P$220,P$250,FALSE),VLOOKUP($C358,'PIP finance'!$C$325:$P$362,P$250,FALSE)))</f>
        <v>#N/A</v>
      </c>
    </row>
    <row r="359" spans="1:13" x14ac:dyDescent="0.25">
      <c r="A359" s="4076">
        <v>108</v>
      </c>
      <c r="B359" s="4076" t="str">
        <f ca="1">'Action Plan finance'!AH163</f>
        <v/>
      </c>
      <c r="C359" s="4078" t="str">
        <f ca="1">'Action Plan finance'!C163</f>
        <v/>
      </c>
      <c r="D359" s="5108" t="e">
        <f ca="1">IF($B359="WS",VLOOKUP($C359,'PIP finance'!$C$9:$P$59,G$250,FALSE),IF($B359="WW",VLOOKUP($C359,'PIP finance'!$C$177:$P$220,G$250,FALSE),VLOOKUP($C359,'PIP finance'!$C$325:$P$362,G$250,FALSE)))</f>
        <v>#N/A</v>
      </c>
      <c r="E359" s="5109" t="e">
        <f ca="1">IF($B359="WS",VLOOKUP($C359,'PIP finance'!$C$9:$P$59,H$250,FALSE),IF($B359="WW",VLOOKUP($C359,'PIP finance'!$C$177:$P$220,H$250,FALSE),VLOOKUP($C359,'PIP finance'!$C$325:$P$362,H$250,FALSE)))</f>
        <v>#N/A</v>
      </c>
      <c r="F359" s="5109" t="e">
        <f ca="1">IF($B359="WS",VLOOKUP($C359,'PIP finance'!$C$9:$P$59,I$250,FALSE),IF($B359="WW",VLOOKUP($C359,'PIP finance'!$C$177:$P$220,I$250,FALSE),VLOOKUP($C359,'PIP finance'!$C$325:$P$362,I$250,FALSE)))</f>
        <v>#N/A</v>
      </c>
      <c r="G359" s="5111" t="e">
        <f ca="1">IF($B359="WS",VLOOKUP($C359,'PIP finance'!$C$9:$P$59,J$250,FALSE),IF($B359="WW",VLOOKUP($C359,'PIP finance'!$C$177:$P$220,J$250,FALSE),VLOOKUP($C359,'PIP finance'!$C$325:$P$362,J$250,FALSE)))</f>
        <v>#N/A</v>
      </c>
      <c r="H359" s="5111" t="e">
        <f ca="1">IF($B359="WS",VLOOKUP($C359,'PIP finance'!$C$9:$P$59,K$250,FALSE),IF($B359="WW",VLOOKUP($C359,'PIP finance'!$C$177:$P$220,K$250,FALSE),VLOOKUP($C359,'PIP finance'!$C$325:$P$362,K$250,FALSE)))</f>
        <v>#N/A</v>
      </c>
      <c r="I359" s="5111" t="e">
        <f ca="1">IF($B359="WS",VLOOKUP($C359,'PIP finance'!$C$9:$P$59,L$250,FALSE),IF($B359="WW",VLOOKUP($C359,'PIP finance'!$C$177:$P$220,L$250,FALSE),VLOOKUP($C359,'PIP finance'!$C$325:$P$362,L$250,FALSE)))</f>
        <v>#N/A</v>
      </c>
      <c r="J359" s="5111" t="e">
        <f ca="1">IF($B359="WS",VLOOKUP($C359,'PIP finance'!$C$9:$P$59,M$250,FALSE),IF($B359="WW",VLOOKUP($C359,'PIP finance'!$C$177:$P$220,M$250,FALSE),VLOOKUP($C359,'PIP finance'!$C$325:$P$362,M$250,FALSE)))</f>
        <v>#N/A</v>
      </c>
      <c r="K359" s="5111" t="e">
        <f ca="1">IF($B359="WS",VLOOKUP($C359,'PIP finance'!$C$9:$P$59,N$250,FALSE),IF($B359="WW",VLOOKUP($C359,'PIP finance'!$C$177:$P$220,N$250,FALSE),VLOOKUP($C359,'PIP finance'!$C$325:$P$362,N$250,FALSE)))</f>
        <v>#N/A</v>
      </c>
      <c r="L359" s="5111" t="e">
        <f ca="1">IF($B359="WS",VLOOKUP($C359,'PIP finance'!$C$9:$P$59,O$250,FALSE),IF($B359="WW",VLOOKUP($C359,'PIP finance'!$C$177:$P$220,O$250,FALSE),VLOOKUP($C359,'PIP finance'!$C$325:$P$362,O$250,FALSE)))</f>
        <v>#N/A</v>
      </c>
      <c r="M359" s="5111" t="e">
        <f ca="1">IF($B359="WS",VLOOKUP($C359,'PIP finance'!$C$9:$P$59,P$250,FALSE),IF($B359="WW",VLOOKUP($C359,'PIP finance'!$C$177:$P$220,P$250,FALSE),VLOOKUP($C359,'PIP finance'!$C$325:$P$362,P$250,FALSE)))</f>
        <v>#N/A</v>
      </c>
    </row>
    <row r="360" spans="1:13" x14ac:dyDescent="0.25">
      <c r="A360" s="4076">
        <v>109</v>
      </c>
      <c r="B360" s="4076" t="str">
        <f ca="1">'Action Plan finance'!AH164</f>
        <v/>
      </c>
      <c r="C360" s="4078" t="str">
        <f ca="1">'Action Plan finance'!C164</f>
        <v/>
      </c>
      <c r="D360" s="5108" t="e">
        <f ca="1">IF($B360="WS",VLOOKUP($C360,'PIP finance'!$C$9:$P$59,G$250,FALSE),IF($B360="WW",VLOOKUP($C360,'PIP finance'!$C$177:$P$220,G$250,FALSE),VLOOKUP($C360,'PIP finance'!$C$325:$P$362,G$250,FALSE)))</f>
        <v>#N/A</v>
      </c>
      <c r="E360" s="5109" t="e">
        <f ca="1">IF($B360="WS",VLOOKUP($C360,'PIP finance'!$C$9:$P$59,H$250,FALSE),IF($B360="WW",VLOOKUP($C360,'PIP finance'!$C$177:$P$220,H$250,FALSE),VLOOKUP($C360,'PIP finance'!$C$325:$P$362,H$250,FALSE)))</f>
        <v>#N/A</v>
      </c>
      <c r="F360" s="5109" t="e">
        <f ca="1">IF($B360="WS",VLOOKUP($C360,'PIP finance'!$C$9:$P$59,I$250,FALSE),IF($B360="WW",VLOOKUP($C360,'PIP finance'!$C$177:$P$220,I$250,FALSE),VLOOKUP($C360,'PIP finance'!$C$325:$P$362,I$250,FALSE)))</f>
        <v>#N/A</v>
      </c>
      <c r="G360" s="5111" t="e">
        <f ca="1">IF($B360="WS",VLOOKUP($C360,'PIP finance'!$C$9:$P$59,J$250,FALSE),IF($B360="WW",VLOOKUP($C360,'PIP finance'!$C$177:$P$220,J$250,FALSE),VLOOKUP($C360,'PIP finance'!$C$325:$P$362,J$250,FALSE)))</f>
        <v>#N/A</v>
      </c>
      <c r="H360" s="5111" t="e">
        <f ca="1">IF($B360="WS",VLOOKUP($C360,'PIP finance'!$C$9:$P$59,K$250,FALSE),IF($B360="WW",VLOOKUP($C360,'PIP finance'!$C$177:$P$220,K$250,FALSE),VLOOKUP($C360,'PIP finance'!$C$325:$P$362,K$250,FALSE)))</f>
        <v>#N/A</v>
      </c>
      <c r="I360" s="5111" t="e">
        <f ca="1">IF($B360="WS",VLOOKUP($C360,'PIP finance'!$C$9:$P$59,L$250,FALSE),IF($B360="WW",VLOOKUP($C360,'PIP finance'!$C$177:$P$220,L$250,FALSE),VLOOKUP($C360,'PIP finance'!$C$325:$P$362,L$250,FALSE)))</f>
        <v>#N/A</v>
      </c>
      <c r="J360" s="5111" t="e">
        <f ca="1">IF($B360="WS",VLOOKUP($C360,'PIP finance'!$C$9:$P$59,M$250,FALSE),IF($B360="WW",VLOOKUP($C360,'PIP finance'!$C$177:$P$220,M$250,FALSE),VLOOKUP($C360,'PIP finance'!$C$325:$P$362,M$250,FALSE)))</f>
        <v>#N/A</v>
      </c>
      <c r="K360" s="5111" t="e">
        <f ca="1">IF($B360="WS",VLOOKUP($C360,'PIP finance'!$C$9:$P$59,N$250,FALSE),IF($B360="WW",VLOOKUP($C360,'PIP finance'!$C$177:$P$220,N$250,FALSE),VLOOKUP($C360,'PIP finance'!$C$325:$P$362,N$250,FALSE)))</f>
        <v>#N/A</v>
      </c>
      <c r="L360" s="5111" t="e">
        <f ca="1">IF($B360="WS",VLOOKUP($C360,'PIP finance'!$C$9:$P$59,O$250,FALSE),IF($B360="WW",VLOOKUP($C360,'PIP finance'!$C$177:$P$220,O$250,FALSE),VLOOKUP($C360,'PIP finance'!$C$325:$P$362,O$250,FALSE)))</f>
        <v>#N/A</v>
      </c>
      <c r="M360" s="5111" t="e">
        <f ca="1">IF($B360="WS",VLOOKUP($C360,'PIP finance'!$C$9:$P$59,P$250,FALSE),IF($B360="WW",VLOOKUP($C360,'PIP finance'!$C$177:$P$220,P$250,FALSE),VLOOKUP($C360,'PIP finance'!$C$325:$P$362,P$250,FALSE)))</f>
        <v>#N/A</v>
      </c>
    </row>
    <row r="361" spans="1:13" x14ac:dyDescent="0.25">
      <c r="A361" s="4076">
        <v>110</v>
      </c>
      <c r="B361" s="4076" t="str">
        <f ca="1">'Action Plan finance'!AH165</f>
        <v/>
      </c>
      <c r="C361" s="4078" t="str">
        <f ca="1">'Action Plan finance'!C165</f>
        <v/>
      </c>
      <c r="D361" s="5108" t="e">
        <f ca="1">IF($B361="WS",VLOOKUP($C361,'PIP finance'!$C$9:$P$59,G$250,FALSE),IF($B361="WW",VLOOKUP($C361,'PIP finance'!$C$177:$P$220,G$250,FALSE),VLOOKUP($C361,'PIP finance'!$C$325:$P$362,G$250,FALSE)))</f>
        <v>#N/A</v>
      </c>
      <c r="E361" s="5109" t="e">
        <f ca="1">IF($B361="WS",VLOOKUP($C361,'PIP finance'!$C$9:$P$59,H$250,FALSE),IF($B361="WW",VLOOKUP($C361,'PIP finance'!$C$177:$P$220,H$250,FALSE),VLOOKUP($C361,'PIP finance'!$C$325:$P$362,H$250,FALSE)))</f>
        <v>#N/A</v>
      </c>
      <c r="F361" s="5109" t="e">
        <f ca="1">IF($B361="WS",VLOOKUP($C361,'PIP finance'!$C$9:$P$59,I$250,FALSE),IF($B361="WW",VLOOKUP($C361,'PIP finance'!$C$177:$P$220,I$250,FALSE),VLOOKUP($C361,'PIP finance'!$C$325:$P$362,I$250,FALSE)))</f>
        <v>#N/A</v>
      </c>
      <c r="G361" s="5111" t="e">
        <f ca="1">IF($B361="WS",VLOOKUP($C361,'PIP finance'!$C$9:$P$59,J$250,FALSE),IF($B361="WW",VLOOKUP($C361,'PIP finance'!$C$177:$P$220,J$250,FALSE),VLOOKUP($C361,'PIP finance'!$C$325:$P$362,J$250,FALSE)))</f>
        <v>#N/A</v>
      </c>
      <c r="H361" s="5111" t="e">
        <f ca="1">IF($B361="WS",VLOOKUP($C361,'PIP finance'!$C$9:$P$59,K$250,FALSE),IF($B361="WW",VLOOKUP($C361,'PIP finance'!$C$177:$P$220,K$250,FALSE),VLOOKUP($C361,'PIP finance'!$C$325:$P$362,K$250,FALSE)))</f>
        <v>#N/A</v>
      </c>
      <c r="I361" s="5111" t="e">
        <f ca="1">IF($B361="WS",VLOOKUP($C361,'PIP finance'!$C$9:$P$59,L$250,FALSE),IF($B361="WW",VLOOKUP($C361,'PIP finance'!$C$177:$P$220,L$250,FALSE),VLOOKUP($C361,'PIP finance'!$C$325:$P$362,L$250,FALSE)))</f>
        <v>#N/A</v>
      </c>
      <c r="J361" s="5111" t="e">
        <f ca="1">IF($B361="WS",VLOOKUP($C361,'PIP finance'!$C$9:$P$59,M$250,FALSE),IF($B361="WW",VLOOKUP($C361,'PIP finance'!$C$177:$P$220,M$250,FALSE),VLOOKUP($C361,'PIP finance'!$C$325:$P$362,M$250,FALSE)))</f>
        <v>#N/A</v>
      </c>
      <c r="K361" s="5111" t="e">
        <f ca="1">IF($B361="WS",VLOOKUP($C361,'PIP finance'!$C$9:$P$59,N$250,FALSE),IF($B361="WW",VLOOKUP($C361,'PIP finance'!$C$177:$P$220,N$250,FALSE),VLOOKUP($C361,'PIP finance'!$C$325:$P$362,N$250,FALSE)))</f>
        <v>#N/A</v>
      </c>
      <c r="L361" s="5111" t="e">
        <f ca="1">IF($B361="WS",VLOOKUP($C361,'PIP finance'!$C$9:$P$59,O$250,FALSE),IF($B361="WW",VLOOKUP($C361,'PIP finance'!$C$177:$P$220,O$250,FALSE),VLOOKUP($C361,'PIP finance'!$C$325:$P$362,O$250,FALSE)))</f>
        <v>#N/A</v>
      </c>
      <c r="M361" s="5111" t="e">
        <f ca="1">IF($B361="WS",VLOOKUP($C361,'PIP finance'!$C$9:$P$59,P$250,FALSE),IF($B361="WW",VLOOKUP($C361,'PIP finance'!$C$177:$P$220,P$250,FALSE),VLOOKUP($C361,'PIP finance'!$C$325:$P$362,P$250,FALSE)))</f>
        <v>#N/A</v>
      </c>
    </row>
    <row r="362" spans="1:13" x14ac:dyDescent="0.25">
      <c r="A362" s="4076">
        <v>111</v>
      </c>
      <c r="B362" s="4076" t="str">
        <f ca="1">'Action Plan finance'!AH166</f>
        <v/>
      </c>
      <c r="C362" s="4078" t="str">
        <f ca="1">'Action Plan finance'!C166</f>
        <v/>
      </c>
      <c r="D362" s="5108" t="e">
        <f ca="1">IF($B362="WS",VLOOKUP($C362,'PIP finance'!$C$9:$P$59,G$250,FALSE),IF($B362="WW",VLOOKUP($C362,'PIP finance'!$C$177:$P$220,G$250,FALSE),VLOOKUP($C362,'PIP finance'!$C$325:$P$362,G$250,FALSE)))</f>
        <v>#N/A</v>
      </c>
      <c r="E362" s="5109" t="e">
        <f ca="1">IF($B362="WS",VLOOKUP($C362,'PIP finance'!$C$9:$P$59,H$250,FALSE),IF($B362="WW",VLOOKUP($C362,'PIP finance'!$C$177:$P$220,H$250,FALSE),VLOOKUP($C362,'PIP finance'!$C$325:$P$362,H$250,FALSE)))</f>
        <v>#N/A</v>
      </c>
      <c r="F362" s="5109" t="e">
        <f ca="1">IF($B362="WS",VLOOKUP($C362,'PIP finance'!$C$9:$P$59,I$250,FALSE),IF($B362="WW",VLOOKUP($C362,'PIP finance'!$C$177:$P$220,I$250,FALSE),VLOOKUP($C362,'PIP finance'!$C$325:$P$362,I$250,FALSE)))</f>
        <v>#N/A</v>
      </c>
      <c r="G362" s="5111" t="e">
        <f ca="1">IF($B362="WS",VLOOKUP($C362,'PIP finance'!$C$9:$P$59,J$250,FALSE),IF($B362="WW",VLOOKUP($C362,'PIP finance'!$C$177:$P$220,J$250,FALSE),VLOOKUP($C362,'PIP finance'!$C$325:$P$362,J$250,FALSE)))</f>
        <v>#N/A</v>
      </c>
      <c r="H362" s="5111" t="e">
        <f ca="1">IF($B362="WS",VLOOKUP($C362,'PIP finance'!$C$9:$P$59,K$250,FALSE),IF($B362="WW",VLOOKUP($C362,'PIP finance'!$C$177:$P$220,K$250,FALSE),VLOOKUP($C362,'PIP finance'!$C$325:$P$362,K$250,FALSE)))</f>
        <v>#N/A</v>
      </c>
      <c r="I362" s="5111" t="e">
        <f ca="1">IF($B362="WS",VLOOKUP($C362,'PIP finance'!$C$9:$P$59,L$250,FALSE),IF($B362="WW",VLOOKUP($C362,'PIP finance'!$C$177:$P$220,L$250,FALSE),VLOOKUP($C362,'PIP finance'!$C$325:$P$362,L$250,FALSE)))</f>
        <v>#N/A</v>
      </c>
      <c r="J362" s="5111" t="e">
        <f ca="1">IF($B362="WS",VLOOKUP($C362,'PIP finance'!$C$9:$P$59,M$250,FALSE),IF($B362="WW",VLOOKUP($C362,'PIP finance'!$C$177:$P$220,M$250,FALSE),VLOOKUP($C362,'PIP finance'!$C$325:$P$362,M$250,FALSE)))</f>
        <v>#N/A</v>
      </c>
      <c r="K362" s="5111" t="e">
        <f ca="1">IF($B362="WS",VLOOKUP($C362,'PIP finance'!$C$9:$P$59,N$250,FALSE),IF($B362="WW",VLOOKUP($C362,'PIP finance'!$C$177:$P$220,N$250,FALSE),VLOOKUP($C362,'PIP finance'!$C$325:$P$362,N$250,FALSE)))</f>
        <v>#N/A</v>
      </c>
      <c r="L362" s="5111" t="e">
        <f ca="1">IF($B362="WS",VLOOKUP($C362,'PIP finance'!$C$9:$P$59,O$250,FALSE),IF($B362="WW",VLOOKUP($C362,'PIP finance'!$C$177:$P$220,O$250,FALSE),VLOOKUP($C362,'PIP finance'!$C$325:$P$362,O$250,FALSE)))</f>
        <v>#N/A</v>
      </c>
      <c r="M362" s="5111" t="e">
        <f ca="1">IF($B362="WS",VLOOKUP($C362,'PIP finance'!$C$9:$P$59,P$250,FALSE),IF($B362="WW",VLOOKUP($C362,'PIP finance'!$C$177:$P$220,P$250,FALSE),VLOOKUP($C362,'PIP finance'!$C$325:$P$362,P$250,FALSE)))</f>
        <v>#N/A</v>
      </c>
    </row>
    <row r="363" spans="1:13" x14ac:dyDescent="0.25">
      <c r="A363" s="4076">
        <v>112</v>
      </c>
      <c r="B363" s="4076" t="str">
        <f ca="1">'Action Plan finance'!AH167</f>
        <v/>
      </c>
      <c r="C363" s="4078" t="str">
        <f ca="1">'Action Plan finance'!C167</f>
        <v/>
      </c>
      <c r="D363" s="5108" t="e">
        <f ca="1">IF($B363="WS",VLOOKUP($C363,'PIP finance'!$C$9:$P$59,G$250,FALSE),IF($B363="WW",VLOOKUP($C363,'PIP finance'!$C$177:$P$220,G$250,FALSE),VLOOKUP($C363,'PIP finance'!$C$325:$P$362,G$250,FALSE)))</f>
        <v>#N/A</v>
      </c>
      <c r="E363" s="5109" t="e">
        <f ca="1">IF($B363="WS",VLOOKUP($C363,'PIP finance'!$C$9:$P$59,H$250,FALSE),IF($B363="WW",VLOOKUP($C363,'PIP finance'!$C$177:$P$220,H$250,FALSE),VLOOKUP($C363,'PIP finance'!$C$325:$P$362,H$250,FALSE)))</f>
        <v>#N/A</v>
      </c>
      <c r="F363" s="5109" t="e">
        <f ca="1">IF($B363="WS",VLOOKUP($C363,'PIP finance'!$C$9:$P$59,I$250,FALSE),IF($B363="WW",VLOOKUP($C363,'PIP finance'!$C$177:$P$220,I$250,FALSE),VLOOKUP($C363,'PIP finance'!$C$325:$P$362,I$250,FALSE)))</f>
        <v>#N/A</v>
      </c>
      <c r="G363" s="5111" t="e">
        <f ca="1">IF($B363="WS",VLOOKUP($C363,'PIP finance'!$C$9:$P$59,J$250,FALSE),IF($B363="WW",VLOOKUP($C363,'PIP finance'!$C$177:$P$220,J$250,FALSE),VLOOKUP($C363,'PIP finance'!$C$325:$P$362,J$250,FALSE)))</f>
        <v>#N/A</v>
      </c>
      <c r="H363" s="5111" t="e">
        <f ca="1">IF($B363="WS",VLOOKUP($C363,'PIP finance'!$C$9:$P$59,K$250,FALSE),IF($B363="WW",VLOOKUP($C363,'PIP finance'!$C$177:$P$220,K$250,FALSE),VLOOKUP($C363,'PIP finance'!$C$325:$P$362,K$250,FALSE)))</f>
        <v>#N/A</v>
      </c>
      <c r="I363" s="5111" t="e">
        <f ca="1">IF($B363="WS",VLOOKUP($C363,'PIP finance'!$C$9:$P$59,L$250,FALSE),IF($B363="WW",VLOOKUP($C363,'PIP finance'!$C$177:$P$220,L$250,FALSE),VLOOKUP($C363,'PIP finance'!$C$325:$P$362,L$250,FALSE)))</f>
        <v>#N/A</v>
      </c>
      <c r="J363" s="5111" t="e">
        <f ca="1">IF($B363="WS",VLOOKUP($C363,'PIP finance'!$C$9:$P$59,M$250,FALSE),IF($B363="WW",VLOOKUP($C363,'PIP finance'!$C$177:$P$220,M$250,FALSE),VLOOKUP($C363,'PIP finance'!$C$325:$P$362,M$250,FALSE)))</f>
        <v>#N/A</v>
      </c>
      <c r="K363" s="5111" t="e">
        <f ca="1">IF($B363="WS",VLOOKUP($C363,'PIP finance'!$C$9:$P$59,N$250,FALSE),IF($B363="WW",VLOOKUP($C363,'PIP finance'!$C$177:$P$220,N$250,FALSE),VLOOKUP($C363,'PIP finance'!$C$325:$P$362,N$250,FALSE)))</f>
        <v>#N/A</v>
      </c>
      <c r="L363" s="5111" t="e">
        <f ca="1">IF($B363="WS",VLOOKUP($C363,'PIP finance'!$C$9:$P$59,O$250,FALSE),IF($B363="WW",VLOOKUP($C363,'PIP finance'!$C$177:$P$220,O$250,FALSE),VLOOKUP($C363,'PIP finance'!$C$325:$P$362,O$250,FALSE)))</f>
        <v>#N/A</v>
      </c>
      <c r="M363" s="5111" t="e">
        <f ca="1">IF($B363="WS",VLOOKUP($C363,'PIP finance'!$C$9:$P$59,P$250,FALSE),IF($B363="WW",VLOOKUP($C363,'PIP finance'!$C$177:$P$220,P$250,FALSE),VLOOKUP($C363,'PIP finance'!$C$325:$P$362,P$250,FALSE)))</f>
        <v>#N/A</v>
      </c>
    </row>
    <row r="364" spans="1:13" x14ac:dyDescent="0.25">
      <c r="A364" s="4076">
        <v>113</v>
      </c>
      <c r="B364" s="4076" t="str">
        <f ca="1">'Action Plan finance'!AH168</f>
        <v/>
      </c>
      <c r="C364" s="4078" t="str">
        <f ca="1">'Action Plan finance'!C168</f>
        <v/>
      </c>
      <c r="D364" s="5108" t="e">
        <f ca="1">IF($B364="WS",VLOOKUP($C364,'PIP finance'!$C$9:$P$59,G$250,FALSE),IF($B364="WW",VLOOKUP($C364,'PIP finance'!$C$177:$P$220,G$250,FALSE),VLOOKUP($C364,'PIP finance'!$C$325:$P$362,G$250,FALSE)))</f>
        <v>#N/A</v>
      </c>
      <c r="E364" s="5109" t="e">
        <f ca="1">IF($B364="WS",VLOOKUP($C364,'PIP finance'!$C$9:$P$59,H$250,FALSE),IF($B364="WW",VLOOKUP($C364,'PIP finance'!$C$177:$P$220,H$250,FALSE),VLOOKUP($C364,'PIP finance'!$C$325:$P$362,H$250,FALSE)))</f>
        <v>#N/A</v>
      </c>
      <c r="F364" s="5109" t="e">
        <f ca="1">IF($B364="WS",VLOOKUP($C364,'PIP finance'!$C$9:$P$59,I$250,FALSE),IF($B364="WW",VLOOKUP($C364,'PIP finance'!$C$177:$P$220,I$250,FALSE),VLOOKUP($C364,'PIP finance'!$C$325:$P$362,I$250,FALSE)))</f>
        <v>#N/A</v>
      </c>
      <c r="G364" s="5111" t="e">
        <f ca="1">IF($B364="WS",VLOOKUP($C364,'PIP finance'!$C$9:$P$59,J$250,FALSE),IF($B364="WW",VLOOKUP($C364,'PIP finance'!$C$177:$P$220,J$250,FALSE),VLOOKUP($C364,'PIP finance'!$C$325:$P$362,J$250,FALSE)))</f>
        <v>#N/A</v>
      </c>
      <c r="H364" s="5111" t="e">
        <f ca="1">IF($B364="WS",VLOOKUP($C364,'PIP finance'!$C$9:$P$59,K$250,FALSE),IF($B364="WW",VLOOKUP($C364,'PIP finance'!$C$177:$P$220,K$250,FALSE),VLOOKUP($C364,'PIP finance'!$C$325:$P$362,K$250,FALSE)))</f>
        <v>#N/A</v>
      </c>
      <c r="I364" s="5111" t="e">
        <f ca="1">IF($B364="WS",VLOOKUP($C364,'PIP finance'!$C$9:$P$59,L$250,FALSE),IF($B364="WW",VLOOKUP($C364,'PIP finance'!$C$177:$P$220,L$250,FALSE),VLOOKUP($C364,'PIP finance'!$C$325:$P$362,L$250,FALSE)))</f>
        <v>#N/A</v>
      </c>
      <c r="J364" s="5111" t="e">
        <f ca="1">IF($B364="WS",VLOOKUP($C364,'PIP finance'!$C$9:$P$59,M$250,FALSE),IF($B364="WW",VLOOKUP($C364,'PIP finance'!$C$177:$P$220,M$250,FALSE),VLOOKUP($C364,'PIP finance'!$C$325:$P$362,M$250,FALSE)))</f>
        <v>#N/A</v>
      </c>
      <c r="K364" s="5111" t="e">
        <f ca="1">IF($B364="WS",VLOOKUP($C364,'PIP finance'!$C$9:$P$59,N$250,FALSE),IF($B364="WW",VLOOKUP($C364,'PIP finance'!$C$177:$P$220,N$250,FALSE),VLOOKUP($C364,'PIP finance'!$C$325:$P$362,N$250,FALSE)))</f>
        <v>#N/A</v>
      </c>
      <c r="L364" s="5111" t="e">
        <f ca="1">IF($B364="WS",VLOOKUP($C364,'PIP finance'!$C$9:$P$59,O$250,FALSE),IF($B364="WW",VLOOKUP($C364,'PIP finance'!$C$177:$P$220,O$250,FALSE),VLOOKUP($C364,'PIP finance'!$C$325:$P$362,O$250,FALSE)))</f>
        <v>#N/A</v>
      </c>
      <c r="M364" s="5111" t="e">
        <f ca="1">IF($B364="WS",VLOOKUP($C364,'PIP finance'!$C$9:$P$59,P$250,FALSE),IF($B364="WW",VLOOKUP($C364,'PIP finance'!$C$177:$P$220,P$250,FALSE),VLOOKUP($C364,'PIP finance'!$C$325:$P$362,P$250,FALSE)))</f>
        <v>#N/A</v>
      </c>
    </row>
    <row r="365" spans="1:13" x14ac:dyDescent="0.25">
      <c r="A365" s="4076">
        <v>114</v>
      </c>
      <c r="B365" s="4076" t="str">
        <f ca="1">'Action Plan finance'!AH169</f>
        <v/>
      </c>
      <c r="C365" s="4078" t="str">
        <f ca="1">'Action Plan finance'!C169</f>
        <v/>
      </c>
      <c r="D365" s="5108" t="e">
        <f ca="1">IF($B365="WS",VLOOKUP($C365,'PIP finance'!$C$9:$P$59,G$250,FALSE),IF($B365="WW",VLOOKUP($C365,'PIP finance'!$C$177:$P$220,G$250,FALSE),VLOOKUP($C365,'PIP finance'!$C$325:$P$362,G$250,FALSE)))</f>
        <v>#N/A</v>
      </c>
      <c r="E365" s="5109" t="e">
        <f ca="1">IF($B365="WS",VLOOKUP($C365,'PIP finance'!$C$9:$P$59,H$250,FALSE),IF($B365="WW",VLOOKUP($C365,'PIP finance'!$C$177:$P$220,H$250,FALSE),VLOOKUP($C365,'PIP finance'!$C$325:$P$362,H$250,FALSE)))</f>
        <v>#N/A</v>
      </c>
      <c r="F365" s="5109" t="e">
        <f ca="1">IF($B365="WS",VLOOKUP($C365,'PIP finance'!$C$9:$P$59,I$250,FALSE),IF($B365="WW",VLOOKUP($C365,'PIP finance'!$C$177:$P$220,I$250,FALSE),VLOOKUP($C365,'PIP finance'!$C$325:$P$362,I$250,FALSE)))</f>
        <v>#N/A</v>
      </c>
      <c r="G365" s="5111" t="e">
        <f ca="1">IF($B365="WS",VLOOKUP($C365,'PIP finance'!$C$9:$P$59,J$250,FALSE),IF($B365="WW",VLOOKUP($C365,'PIP finance'!$C$177:$P$220,J$250,FALSE),VLOOKUP($C365,'PIP finance'!$C$325:$P$362,J$250,FALSE)))</f>
        <v>#N/A</v>
      </c>
      <c r="H365" s="5111" t="e">
        <f ca="1">IF($B365="WS",VLOOKUP($C365,'PIP finance'!$C$9:$P$59,K$250,FALSE),IF($B365="WW",VLOOKUP($C365,'PIP finance'!$C$177:$P$220,K$250,FALSE),VLOOKUP($C365,'PIP finance'!$C$325:$P$362,K$250,FALSE)))</f>
        <v>#N/A</v>
      </c>
      <c r="I365" s="5111" t="e">
        <f ca="1">IF($B365="WS",VLOOKUP($C365,'PIP finance'!$C$9:$P$59,L$250,FALSE),IF($B365="WW",VLOOKUP($C365,'PIP finance'!$C$177:$P$220,L$250,FALSE),VLOOKUP($C365,'PIP finance'!$C$325:$P$362,L$250,FALSE)))</f>
        <v>#N/A</v>
      </c>
      <c r="J365" s="5111" t="e">
        <f ca="1">IF($B365="WS",VLOOKUP($C365,'PIP finance'!$C$9:$P$59,M$250,FALSE),IF($B365="WW",VLOOKUP($C365,'PIP finance'!$C$177:$P$220,M$250,FALSE),VLOOKUP($C365,'PIP finance'!$C$325:$P$362,M$250,FALSE)))</f>
        <v>#N/A</v>
      </c>
      <c r="K365" s="5111" t="e">
        <f ca="1">IF($B365="WS",VLOOKUP($C365,'PIP finance'!$C$9:$P$59,N$250,FALSE),IF($B365="WW",VLOOKUP($C365,'PIP finance'!$C$177:$P$220,N$250,FALSE),VLOOKUP($C365,'PIP finance'!$C$325:$P$362,N$250,FALSE)))</f>
        <v>#N/A</v>
      </c>
      <c r="L365" s="5111" t="e">
        <f ca="1">IF($B365="WS",VLOOKUP($C365,'PIP finance'!$C$9:$P$59,O$250,FALSE),IF($B365="WW",VLOOKUP($C365,'PIP finance'!$C$177:$P$220,O$250,FALSE),VLOOKUP($C365,'PIP finance'!$C$325:$P$362,O$250,FALSE)))</f>
        <v>#N/A</v>
      </c>
      <c r="M365" s="5111" t="e">
        <f ca="1">IF($B365="WS",VLOOKUP($C365,'PIP finance'!$C$9:$P$59,P$250,FALSE),IF($B365="WW",VLOOKUP($C365,'PIP finance'!$C$177:$P$220,P$250,FALSE),VLOOKUP($C365,'PIP finance'!$C$325:$P$362,P$250,FALSE)))</f>
        <v>#N/A</v>
      </c>
    </row>
    <row r="366" spans="1:13" x14ac:dyDescent="0.25">
      <c r="A366" s="4076">
        <v>115</v>
      </c>
      <c r="B366" s="4076" t="str">
        <f ca="1">'Action Plan finance'!AH170</f>
        <v/>
      </c>
      <c r="C366" s="4078" t="str">
        <f ca="1">'Action Plan finance'!C170</f>
        <v/>
      </c>
      <c r="D366" s="5108" t="e">
        <f ca="1">IF($B366="WS",VLOOKUP($C366,'PIP finance'!$C$9:$P$59,G$250,FALSE),IF($B366="WW",VLOOKUP($C366,'PIP finance'!$C$177:$P$220,G$250,FALSE),VLOOKUP($C366,'PIP finance'!$C$325:$P$362,G$250,FALSE)))</f>
        <v>#N/A</v>
      </c>
      <c r="E366" s="5109" t="e">
        <f ca="1">IF($B366="WS",VLOOKUP($C366,'PIP finance'!$C$9:$P$59,H$250,FALSE),IF($B366="WW",VLOOKUP($C366,'PIP finance'!$C$177:$P$220,H$250,FALSE),VLOOKUP($C366,'PIP finance'!$C$325:$P$362,H$250,FALSE)))</f>
        <v>#N/A</v>
      </c>
      <c r="F366" s="5109" t="e">
        <f ca="1">IF($B366="WS",VLOOKUP($C366,'PIP finance'!$C$9:$P$59,I$250,FALSE),IF($B366="WW",VLOOKUP($C366,'PIP finance'!$C$177:$P$220,I$250,FALSE),VLOOKUP($C366,'PIP finance'!$C$325:$P$362,I$250,FALSE)))</f>
        <v>#N/A</v>
      </c>
      <c r="G366" s="5111" t="e">
        <f ca="1">IF($B366="WS",VLOOKUP($C366,'PIP finance'!$C$9:$P$59,J$250,FALSE),IF($B366="WW",VLOOKUP($C366,'PIP finance'!$C$177:$P$220,J$250,FALSE),VLOOKUP($C366,'PIP finance'!$C$325:$P$362,J$250,FALSE)))</f>
        <v>#N/A</v>
      </c>
      <c r="H366" s="5111" t="e">
        <f ca="1">IF($B366="WS",VLOOKUP($C366,'PIP finance'!$C$9:$P$59,K$250,FALSE),IF($B366="WW",VLOOKUP($C366,'PIP finance'!$C$177:$P$220,K$250,FALSE),VLOOKUP($C366,'PIP finance'!$C$325:$P$362,K$250,FALSE)))</f>
        <v>#N/A</v>
      </c>
      <c r="I366" s="5111" t="e">
        <f ca="1">IF($B366="WS",VLOOKUP($C366,'PIP finance'!$C$9:$P$59,L$250,FALSE),IF($B366="WW",VLOOKUP($C366,'PIP finance'!$C$177:$P$220,L$250,FALSE),VLOOKUP($C366,'PIP finance'!$C$325:$P$362,L$250,FALSE)))</f>
        <v>#N/A</v>
      </c>
      <c r="J366" s="5111" t="e">
        <f ca="1">IF($B366="WS",VLOOKUP($C366,'PIP finance'!$C$9:$P$59,M$250,FALSE),IF($B366="WW",VLOOKUP($C366,'PIP finance'!$C$177:$P$220,M$250,FALSE),VLOOKUP($C366,'PIP finance'!$C$325:$P$362,M$250,FALSE)))</f>
        <v>#N/A</v>
      </c>
      <c r="K366" s="5111" t="e">
        <f ca="1">IF($B366="WS",VLOOKUP($C366,'PIP finance'!$C$9:$P$59,N$250,FALSE),IF($B366="WW",VLOOKUP($C366,'PIP finance'!$C$177:$P$220,N$250,FALSE),VLOOKUP($C366,'PIP finance'!$C$325:$P$362,N$250,FALSE)))</f>
        <v>#N/A</v>
      </c>
      <c r="L366" s="5111" t="e">
        <f ca="1">IF($B366="WS",VLOOKUP($C366,'PIP finance'!$C$9:$P$59,O$250,FALSE),IF($B366="WW",VLOOKUP($C366,'PIP finance'!$C$177:$P$220,O$250,FALSE),VLOOKUP($C366,'PIP finance'!$C$325:$P$362,O$250,FALSE)))</f>
        <v>#N/A</v>
      </c>
      <c r="M366" s="5111" t="e">
        <f ca="1">IF($B366="WS",VLOOKUP($C366,'PIP finance'!$C$9:$P$59,P$250,FALSE),IF($B366="WW",VLOOKUP($C366,'PIP finance'!$C$177:$P$220,P$250,FALSE),VLOOKUP($C366,'PIP finance'!$C$325:$P$362,P$250,FALSE)))</f>
        <v>#N/A</v>
      </c>
    </row>
    <row r="367" spans="1:13" x14ac:dyDescent="0.25">
      <c r="A367" s="4076">
        <v>116</v>
      </c>
      <c r="B367" s="4076">
        <f>'Action Plan finance'!AH171</f>
        <v>0</v>
      </c>
      <c r="C367" s="4078" t="str">
        <f ca="1">'Action Plan finance'!C171</f>
        <v/>
      </c>
      <c r="D367" s="5108" t="e">
        <f ca="1">IF($B367="WS",VLOOKUP($C367,'PIP finance'!$C$9:$P$59,G$250,FALSE),IF($B367="WW",VLOOKUP($C367,'PIP finance'!$C$177:$P$220,G$250,FALSE),VLOOKUP($C367,'PIP finance'!$C$325:$P$362,G$250,FALSE)))</f>
        <v>#N/A</v>
      </c>
      <c r="E367" s="5109" t="e">
        <f ca="1">IF($B367="WS",VLOOKUP($C367,'PIP finance'!$C$9:$P$59,H$250,FALSE),IF($B367="WW",VLOOKUP($C367,'PIP finance'!$C$177:$P$220,H$250,FALSE),VLOOKUP($C367,'PIP finance'!$C$325:$P$362,H$250,FALSE)))</f>
        <v>#N/A</v>
      </c>
      <c r="F367" s="5109" t="e">
        <f ca="1">IF($B367="WS",VLOOKUP($C367,'PIP finance'!$C$9:$P$59,I$250,FALSE),IF($B367="WW",VLOOKUP($C367,'PIP finance'!$C$177:$P$220,I$250,FALSE),VLOOKUP($C367,'PIP finance'!$C$325:$P$362,I$250,FALSE)))</f>
        <v>#N/A</v>
      </c>
      <c r="G367" s="5111" t="e">
        <f ca="1">IF($B367="WS",VLOOKUP($C367,'PIP finance'!$C$9:$P$59,J$250,FALSE),IF($B367="WW",VLOOKUP($C367,'PIP finance'!$C$177:$P$220,J$250,FALSE),VLOOKUP($C367,'PIP finance'!$C$325:$P$362,J$250,FALSE)))</f>
        <v>#N/A</v>
      </c>
      <c r="H367" s="5111" t="e">
        <f ca="1">IF($B367="WS",VLOOKUP($C367,'PIP finance'!$C$9:$P$59,K$250,FALSE),IF($B367="WW",VLOOKUP($C367,'PIP finance'!$C$177:$P$220,K$250,FALSE),VLOOKUP($C367,'PIP finance'!$C$325:$P$362,K$250,FALSE)))</f>
        <v>#N/A</v>
      </c>
      <c r="I367" s="5111" t="e">
        <f ca="1">IF($B367="WS",VLOOKUP($C367,'PIP finance'!$C$9:$P$59,L$250,FALSE),IF($B367="WW",VLOOKUP($C367,'PIP finance'!$C$177:$P$220,L$250,FALSE),VLOOKUP($C367,'PIP finance'!$C$325:$P$362,L$250,FALSE)))</f>
        <v>#N/A</v>
      </c>
      <c r="J367" s="5111" t="e">
        <f ca="1">IF($B367="WS",VLOOKUP($C367,'PIP finance'!$C$9:$P$59,M$250,FALSE),IF($B367="WW",VLOOKUP($C367,'PIP finance'!$C$177:$P$220,M$250,FALSE),VLOOKUP($C367,'PIP finance'!$C$325:$P$362,M$250,FALSE)))</f>
        <v>#N/A</v>
      </c>
      <c r="K367" s="5111" t="e">
        <f ca="1">IF($B367="WS",VLOOKUP($C367,'PIP finance'!$C$9:$P$59,N$250,FALSE),IF($B367="WW",VLOOKUP($C367,'PIP finance'!$C$177:$P$220,N$250,FALSE),VLOOKUP($C367,'PIP finance'!$C$325:$P$362,N$250,FALSE)))</f>
        <v>#N/A</v>
      </c>
      <c r="L367" s="5111" t="e">
        <f ca="1">IF($B367="WS",VLOOKUP($C367,'PIP finance'!$C$9:$P$59,O$250,FALSE),IF($B367="WW",VLOOKUP($C367,'PIP finance'!$C$177:$P$220,O$250,FALSE),VLOOKUP($C367,'PIP finance'!$C$325:$P$362,O$250,FALSE)))</f>
        <v>#N/A</v>
      </c>
      <c r="M367" s="5111" t="e">
        <f ca="1">IF($B367="WS",VLOOKUP($C367,'PIP finance'!$C$9:$P$59,P$250,FALSE),IF($B367="WW",VLOOKUP($C367,'PIP finance'!$C$177:$P$220,P$250,FALSE),VLOOKUP($C367,'PIP finance'!$C$325:$P$362,P$250,FALSE)))</f>
        <v>#N/A</v>
      </c>
    </row>
    <row r="368" spans="1:13" x14ac:dyDescent="0.25">
      <c r="A368" s="4076">
        <v>117</v>
      </c>
      <c r="B368" s="4076">
        <f>'Action Plan finance'!AH172</f>
        <v>0</v>
      </c>
      <c r="C368" s="4078">
        <f>'Action Plan finance'!C172</f>
        <v>0</v>
      </c>
      <c r="D368" s="5108" t="e">
        <f>IF($B368="WS",VLOOKUP($C368,'PIP finance'!$C$9:$P$59,G$250,FALSE),IF($B368="WW",VLOOKUP($C368,'PIP finance'!$C$177:$P$220,G$250,FALSE),VLOOKUP($C368,'PIP finance'!$C$325:$P$362,G$250,FALSE)))</f>
        <v>#N/A</v>
      </c>
      <c r="E368" s="5109" t="e">
        <f>IF($B368="WS",VLOOKUP($C368,'PIP finance'!$C$9:$P$59,H$250,FALSE),IF($B368="WW",VLOOKUP($C368,'PIP finance'!$C$177:$P$220,H$250,FALSE),VLOOKUP($C368,'PIP finance'!$C$325:$P$362,H$250,FALSE)))</f>
        <v>#N/A</v>
      </c>
      <c r="F368" s="5109" t="e">
        <f>IF($B368="WS",VLOOKUP($C368,'PIP finance'!$C$9:$P$59,I$250,FALSE),IF($B368="WW",VLOOKUP($C368,'PIP finance'!$C$177:$P$220,I$250,FALSE),VLOOKUP($C368,'PIP finance'!$C$325:$P$362,I$250,FALSE)))</f>
        <v>#N/A</v>
      </c>
      <c r="G368" s="5111" t="e">
        <f>IF($B368="WS",VLOOKUP($C368,'PIP finance'!$C$9:$P$59,J$250,FALSE),IF($B368="WW",VLOOKUP($C368,'PIP finance'!$C$177:$P$220,J$250,FALSE),VLOOKUP($C368,'PIP finance'!$C$325:$P$362,J$250,FALSE)))</f>
        <v>#N/A</v>
      </c>
      <c r="H368" s="5111" t="e">
        <f>IF($B368="WS",VLOOKUP($C368,'PIP finance'!$C$9:$P$59,K$250,FALSE),IF($B368="WW",VLOOKUP($C368,'PIP finance'!$C$177:$P$220,K$250,FALSE),VLOOKUP($C368,'PIP finance'!$C$325:$P$362,K$250,FALSE)))</f>
        <v>#N/A</v>
      </c>
      <c r="I368" s="5111" t="e">
        <f>IF($B368="WS",VLOOKUP($C368,'PIP finance'!$C$9:$P$59,L$250,FALSE),IF($B368="WW",VLOOKUP($C368,'PIP finance'!$C$177:$P$220,L$250,FALSE),VLOOKUP($C368,'PIP finance'!$C$325:$P$362,L$250,FALSE)))</f>
        <v>#N/A</v>
      </c>
      <c r="J368" s="5111" t="e">
        <f>IF($B368="WS",VLOOKUP($C368,'PIP finance'!$C$9:$P$59,M$250,FALSE),IF($B368="WW",VLOOKUP($C368,'PIP finance'!$C$177:$P$220,M$250,FALSE),VLOOKUP($C368,'PIP finance'!$C$325:$P$362,M$250,FALSE)))</f>
        <v>#N/A</v>
      </c>
      <c r="K368" s="5111" t="e">
        <f>IF($B368="WS",VLOOKUP($C368,'PIP finance'!$C$9:$P$59,N$250,FALSE),IF($B368="WW",VLOOKUP($C368,'PIP finance'!$C$177:$P$220,N$250,FALSE),VLOOKUP($C368,'PIP finance'!$C$325:$P$362,N$250,FALSE)))</f>
        <v>#N/A</v>
      </c>
      <c r="L368" s="5111" t="e">
        <f>IF($B368="WS",VLOOKUP($C368,'PIP finance'!$C$9:$P$59,O$250,FALSE),IF($B368="WW",VLOOKUP($C368,'PIP finance'!$C$177:$P$220,O$250,FALSE),VLOOKUP($C368,'PIP finance'!$C$325:$P$362,O$250,FALSE)))</f>
        <v>#N/A</v>
      </c>
      <c r="M368" s="5111" t="e">
        <f>IF($B368="WS",VLOOKUP($C368,'PIP finance'!$C$9:$P$59,P$250,FALSE),IF($B368="WW",VLOOKUP($C368,'PIP finance'!$C$177:$P$220,P$250,FALSE),VLOOKUP($C368,'PIP finance'!$C$325:$P$362,P$250,FALSE)))</f>
        <v>#N/A</v>
      </c>
    </row>
    <row r="369" spans="1:13" x14ac:dyDescent="0.25">
      <c r="A369" s="4076">
        <v>118</v>
      </c>
      <c r="B369" s="4076">
        <f>'Action Plan finance'!AH173</f>
        <v>0</v>
      </c>
      <c r="C369" s="4078">
        <f>'Action Plan finance'!C173</f>
        <v>0</v>
      </c>
      <c r="D369" s="5108" t="e">
        <f>IF($B369="WS",VLOOKUP($C369,'PIP finance'!$C$9:$P$59,G$250,FALSE),IF($B369="WW",VLOOKUP($C369,'PIP finance'!$C$177:$P$220,G$250,FALSE),VLOOKUP($C369,'PIP finance'!$C$325:$P$362,G$250,FALSE)))</f>
        <v>#N/A</v>
      </c>
      <c r="E369" s="5109" t="e">
        <f>IF($B369="WS",VLOOKUP($C369,'PIP finance'!$C$9:$P$59,H$250,FALSE),IF($B369="WW",VLOOKUP($C369,'PIP finance'!$C$177:$P$220,H$250,FALSE),VLOOKUP($C369,'PIP finance'!$C$325:$P$362,H$250,FALSE)))</f>
        <v>#N/A</v>
      </c>
      <c r="F369" s="5109" t="e">
        <f>IF($B369="WS",VLOOKUP($C369,'PIP finance'!$C$9:$P$59,I$250,FALSE),IF($B369="WW",VLOOKUP($C369,'PIP finance'!$C$177:$P$220,I$250,FALSE),VLOOKUP($C369,'PIP finance'!$C$325:$P$362,I$250,FALSE)))</f>
        <v>#N/A</v>
      </c>
      <c r="G369" s="5111" t="e">
        <f>IF($B369="WS",VLOOKUP($C369,'PIP finance'!$C$9:$P$59,J$250,FALSE),IF($B369="WW",VLOOKUP($C369,'PIP finance'!$C$177:$P$220,J$250,FALSE),VLOOKUP($C369,'PIP finance'!$C$325:$P$362,J$250,FALSE)))</f>
        <v>#N/A</v>
      </c>
      <c r="H369" s="5111" t="e">
        <f>IF($B369="WS",VLOOKUP($C369,'PIP finance'!$C$9:$P$59,K$250,FALSE),IF($B369="WW",VLOOKUP($C369,'PIP finance'!$C$177:$P$220,K$250,FALSE),VLOOKUP($C369,'PIP finance'!$C$325:$P$362,K$250,FALSE)))</f>
        <v>#N/A</v>
      </c>
      <c r="I369" s="5111" t="e">
        <f>IF($B369="WS",VLOOKUP($C369,'PIP finance'!$C$9:$P$59,L$250,FALSE),IF($B369="WW",VLOOKUP($C369,'PIP finance'!$C$177:$P$220,L$250,FALSE),VLOOKUP($C369,'PIP finance'!$C$325:$P$362,L$250,FALSE)))</f>
        <v>#N/A</v>
      </c>
      <c r="J369" s="5111" t="e">
        <f>IF($B369="WS",VLOOKUP($C369,'PIP finance'!$C$9:$P$59,M$250,FALSE),IF($B369="WW",VLOOKUP($C369,'PIP finance'!$C$177:$P$220,M$250,FALSE),VLOOKUP($C369,'PIP finance'!$C$325:$P$362,M$250,FALSE)))</f>
        <v>#N/A</v>
      </c>
      <c r="K369" s="5111" t="e">
        <f>IF($B369="WS",VLOOKUP($C369,'PIP finance'!$C$9:$P$59,N$250,FALSE),IF($B369="WW",VLOOKUP($C369,'PIP finance'!$C$177:$P$220,N$250,FALSE),VLOOKUP($C369,'PIP finance'!$C$325:$P$362,N$250,FALSE)))</f>
        <v>#N/A</v>
      </c>
      <c r="L369" s="5111" t="e">
        <f>IF($B369="WS",VLOOKUP($C369,'PIP finance'!$C$9:$P$59,O$250,FALSE),IF($B369="WW",VLOOKUP($C369,'PIP finance'!$C$177:$P$220,O$250,FALSE),VLOOKUP($C369,'PIP finance'!$C$325:$P$362,O$250,FALSE)))</f>
        <v>#N/A</v>
      </c>
      <c r="M369" s="5111" t="e">
        <f>IF($B369="WS",VLOOKUP($C369,'PIP finance'!$C$9:$P$59,P$250,FALSE),IF($B369="WW",VLOOKUP($C369,'PIP finance'!$C$177:$P$220,P$250,FALSE),VLOOKUP($C369,'PIP finance'!$C$325:$P$362,P$250,FALSE)))</f>
        <v>#N/A</v>
      </c>
    </row>
    <row r="370" spans="1:13" x14ac:dyDescent="0.25">
      <c r="A370" s="4076">
        <v>119</v>
      </c>
      <c r="B370" s="4076">
        <f>'Action Plan finance'!AH174</f>
        <v>0</v>
      </c>
      <c r="C370" s="4078">
        <f>'Action Plan finance'!C174</f>
        <v>0</v>
      </c>
      <c r="D370" s="5108" t="e">
        <f>IF($B370="WS",VLOOKUP($C370,'PIP finance'!$C$9:$P$59,G$250,FALSE),IF($B370="WW",VLOOKUP($C370,'PIP finance'!$C$177:$P$220,G$250,FALSE),VLOOKUP($C370,'PIP finance'!$C$325:$P$362,G$250,FALSE)))</f>
        <v>#N/A</v>
      </c>
      <c r="E370" s="5109" t="e">
        <f>IF($B370="WS",VLOOKUP($C370,'PIP finance'!$C$9:$P$59,H$250,FALSE),IF($B370="WW",VLOOKUP($C370,'PIP finance'!$C$177:$P$220,H$250,FALSE),VLOOKUP($C370,'PIP finance'!$C$325:$P$362,H$250,FALSE)))</f>
        <v>#N/A</v>
      </c>
      <c r="F370" s="5109" t="e">
        <f>IF($B370="WS",VLOOKUP($C370,'PIP finance'!$C$9:$P$59,I$250,FALSE),IF($B370="WW",VLOOKUP($C370,'PIP finance'!$C$177:$P$220,I$250,FALSE),VLOOKUP($C370,'PIP finance'!$C$325:$P$362,I$250,FALSE)))</f>
        <v>#N/A</v>
      </c>
      <c r="G370" s="5111" t="e">
        <f>IF($B370="WS",VLOOKUP($C370,'PIP finance'!$C$9:$P$59,J$250,FALSE),IF($B370="WW",VLOOKUP($C370,'PIP finance'!$C$177:$P$220,J$250,FALSE),VLOOKUP($C370,'PIP finance'!$C$325:$P$362,J$250,FALSE)))</f>
        <v>#N/A</v>
      </c>
      <c r="H370" s="5111" t="e">
        <f>IF($B370="WS",VLOOKUP($C370,'PIP finance'!$C$9:$P$59,K$250,FALSE),IF($B370="WW",VLOOKUP($C370,'PIP finance'!$C$177:$P$220,K$250,FALSE),VLOOKUP($C370,'PIP finance'!$C$325:$P$362,K$250,FALSE)))</f>
        <v>#N/A</v>
      </c>
      <c r="I370" s="5111" t="e">
        <f>IF($B370="WS",VLOOKUP($C370,'PIP finance'!$C$9:$P$59,L$250,FALSE),IF($B370="WW",VLOOKUP($C370,'PIP finance'!$C$177:$P$220,L$250,FALSE),VLOOKUP($C370,'PIP finance'!$C$325:$P$362,L$250,FALSE)))</f>
        <v>#N/A</v>
      </c>
      <c r="J370" s="5111" t="e">
        <f>IF($B370="WS",VLOOKUP($C370,'PIP finance'!$C$9:$P$59,M$250,FALSE),IF($B370="WW",VLOOKUP($C370,'PIP finance'!$C$177:$P$220,M$250,FALSE),VLOOKUP($C370,'PIP finance'!$C$325:$P$362,M$250,FALSE)))</f>
        <v>#N/A</v>
      </c>
      <c r="K370" s="5111" t="e">
        <f>IF($B370="WS",VLOOKUP($C370,'PIP finance'!$C$9:$P$59,N$250,FALSE),IF($B370="WW",VLOOKUP($C370,'PIP finance'!$C$177:$P$220,N$250,FALSE),VLOOKUP($C370,'PIP finance'!$C$325:$P$362,N$250,FALSE)))</f>
        <v>#N/A</v>
      </c>
      <c r="L370" s="5111" t="e">
        <f>IF($B370="WS",VLOOKUP($C370,'PIP finance'!$C$9:$P$59,O$250,FALSE),IF($B370="WW",VLOOKUP($C370,'PIP finance'!$C$177:$P$220,O$250,FALSE),VLOOKUP($C370,'PIP finance'!$C$325:$P$362,O$250,FALSE)))</f>
        <v>#N/A</v>
      </c>
      <c r="M370" s="5111" t="e">
        <f>IF($B370="WS",VLOOKUP($C370,'PIP finance'!$C$9:$P$59,P$250,FALSE),IF($B370="WW",VLOOKUP($C370,'PIP finance'!$C$177:$P$220,P$250,FALSE),VLOOKUP($C370,'PIP finance'!$C$325:$P$362,P$250,FALSE)))</f>
        <v>#N/A</v>
      </c>
    </row>
    <row r="371" spans="1:13" x14ac:dyDescent="0.25">
      <c r="A371" s="4076">
        <v>120</v>
      </c>
      <c r="B371" s="4076">
        <f>'Action Plan finance'!AH175</f>
        <v>0</v>
      </c>
      <c r="C371" s="4078">
        <f>'Action Plan finance'!C175</f>
        <v>0</v>
      </c>
      <c r="D371" s="5108" t="e">
        <f>IF($B371="WS",VLOOKUP($C371,'PIP finance'!$C$9:$P$59,G$250,FALSE),IF($B371="WW",VLOOKUP($C371,'PIP finance'!$C$177:$P$220,G$250,FALSE),VLOOKUP($C371,'PIP finance'!$C$325:$P$362,G$250,FALSE)))</f>
        <v>#N/A</v>
      </c>
      <c r="E371" s="5109" t="e">
        <f>IF($B371="WS",VLOOKUP($C371,'PIP finance'!$C$9:$P$59,H$250,FALSE),IF($B371="WW",VLOOKUP($C371,'PIP finance'!$C$177:$P$220,H$250,FALSE),VLOOKUP($C371,'PIP finance'!$C$325:$P$362,H$250,FALSE)))</f>
        <v>#N/A</v>
      </c>
      <c r="F371" s="5109" t="e">
        <f>IF($B371="WS",VLOOKUP($C371,'PIP finance'!$C$9:$P$59,I$250,FALSE),IF($B371="WW",VLOOKUP($C371,'PIP finance'!$C$177:$P$220,I$250,FALSE),VLOOKUP($C371,'PIP finance'!$C$325:$P$362,I$250,FALSE)))</f>
        <v>#N/A</v>
      </c>
      <c r="G371" s="5111" t="e">
        <f>IF($B371="WS",VLOOKUP($C371,'PIP finance'!$C$9:$P$59,J$250,FALSE),IF($B371="WW",VLOOKUP($C371,'PIP finance'!$C$177:$P$220,J$250,FALSE),VLOOKUP($C371,'PIP finance'!$C$325:$P$362,J$250,FALSE)))</f>
        <v>#N/A</v>
      </c>
      <c r="H371" s="5111" t="e">
        <f>IF($B371="WS",VLOOKUP($C371,'PIP finance'!$C$9:$P$59,K$250,FALSE),IF($B371="WW",VLOOKUP($C371,'PIP finance'!$C$177:$P$220,K$250,FALSE),VLOOKUP($C371,'PIP finance'!$C$325:$P$362,K$250,FALSE)))</f>
        <v>#N/A</v>
      </c>
      <c r="I371" s="5111" t="e">
        <f>IF($B371="WS",VLOOKUP($C371,'PIP finance'!$C$9:$P$59,L$250,FALSE),IF($B371="WW",VLOOKUP($C371,'PIP finance'!$C$177:$P$220,L$250,FALSE),VLOOKUP($C371,'PIP finance'!$C$325:$P$362,L$250,FALSE)))</f>
        <v>#N/A</v>
      </c>
      <c r="J371" s="5111" t="e">
        <f>IF($B371="WS",VLOOKUP($C371,'PIP finance'!$C$9:$P$59,M$250,FALSE),IF($B371="WW",VLOOKUP($C371,'PIP finance'!$C$177:$P$220,M$250,FALSE),VLOOKUP($C371,'PIP finance'!$C$325:$P$362,M$250,FALSE)))</f>
        <v>#N/A</v>
      </c>
      <c r="K371" s="5111" t="e">
        <f>IF($B371="WS",VLOOKUP($C371,'PIP finance'!$C$9:$P$59,N$250,FALSE),IF($B371="WW",VLOOKUP($C371,'PIP finance'!$C$177:$P$220,N$250,FALSE),VLOOKUP($C371,'PIP finance'!$C$325:$P$362,N$250,FALSE)))</f>
        <v>#N/A</v>
      </c>
      <c r="L371" s="5111" t="e">
        <f>IF($B371="WS",VLOOKUP($C371,'PIP finance'!$C$9:$P$59,O$250,FALSE),IF($B371="WW",VLOOKUP($C371,'PIP finance'!$C$177:$P$220,O$250,FALSE),VLOOKUP($C371,'PIP finance'!$C$325:$P$362,O$250,FALSE)))</f>
        <v>#N/A</v>
      </c>
      <c r="M371" s="5111" t="e">
        <f>IF($B371="WS",VLOOKUP($C371,'PIP finance'!$C$9:$P$59,P$250,FALSE),IF($B371="WW",VLOOKUP($C371,'PIP finance'!$C$177:$P$220,P$250,FALSE),VLOOKUP($C371,'PIP finance'!$C$325:$P$362,P$250,FALSE)))</f>
        <v>#N/A</v>
      </c>
    </row>
    <row r="372" spans="1:13" x14ac:dyDescent="0.25">
      <c r="A372" s="4076">
        <v>121</v>
      </c>
      <c r="B372" s="4076">
        <f>'Action Plan finance'!AH176</f>
        <v>0</v>
      </c>
      <c r="C372" s="4078">
        <f>'Action Plan finance'!C176</f>
        <v>0</v>
      </c>
      <c r="D372" s="5108" t="e">
        <f>IF($B372="WS",VLOOKUP($C372,'PIP finance'!$C$9:$P$59,G$250,FALSE),IF($B372="WW",VLOOKUP($C372,'PIP finance'!$C$177:$P$220,G$250,FALSE),VLOOKUP($C372,'PIP finance'!$C$325:$P$362,G$250,FALSE)))</f>
        <v>#N/A</v>
      </c>
      <c r="E372" s="5109" t="e">
        <f>IF($B372="WS",VLOOKUP($C372,'PIP finance'!$C$9:$P$59,H$250,FALSE),IF($B372="WW",VLOOKUP($C372,'PIP finance'!$C$177:$P$220,H$250,FALSE),VLOOKUP($C372,'PIP finance'!$C$325:$P$362,H$250,FALSE)))</f>
        <v>#N/A</v>
      </c>
      <c r="F372" s="5109" t="e">
        <f>IF($B372="WS",VLOOKUP($C372,'PIP finance'!$C$9:$P$59,I$250,FALSE),IF($B372="WW",VLOOKUP($C372,'PIP finance'!$C$177:$P$220,I$250,FALSE),VLOOKUP($C372,'PIP finance'!$C$325:$P$362,I$250,FALSE)))</f>
        <v>#N/A</v>
      </c>
      <c r="G372" s="5111" t="e">
        <f>IF($B372="WS",VLOOKUP($C372,'PIP finance'!$C$9:$P$59,J$250,FALSE),IF($B372="WW",VLOOKUP($C372,'PIP finance'!$C$177:$P$220,J$250,FALSE),VLOOKUP($C372,'PIP finance'!$C$325:$P$362,J$250,FALSE)))</f>
        <v>#N/A</v>
      </c>
      <c r="H372" s="5111" t="e">
        <f>IF($B372="WS",VLOOKUP($C372,'PIP finance'!$C$9:$P$59,K$250,FALSE),IF($B372="WW",VLOOKUP($C372,'PIP finance'!$C$177:$P$220,K$250,FALSE),VLOOKUP($C372,'PIP finance'!$C$325:$P$362,K$250,FALSE)))</f>
        <v>#N/A</v>
      </c>
      <c r="I372" s="5111" t="e">
        <f>IF($B372="WS",VLOOKUP($C372,'PIP finance'!$C$9:$P$59,L$250,FALSE),IF($B372="WW",VLOOKUP($C372,'PIP finance'!$C$177:$P$220,L$250,FALSE),VLOOKUP($C372,'PIP finance'!$C$325:$P$362,L$250,FALSE)))</f>
        <v>#N/A</v>
      </c>
      <c r="J372" s="5111" t="e">
        <f>IF($B372="WS",VLOOKUP($C372,'PIP finance'!$C$9:$P$59,M$250,FALSE),IF($B372="WW",VLOOKUP($C372,'PIP finance'!$C$177:$P$220,M$250,FALSE),VLOOKUP($C372,'PIP finance'!$C$325:$P$362,M$250,FALSE)))</f>
        <v>#N/A</v>
      </c>
      <c r="K372" s="5111" t="e">
        <f>IF($B372="WS",VLOOKUP($C372,'PIP finance'!$C$9:$P$59,N$250,FALSE),IF($B372="WW",VLOOKUP($C372,'PIP finance'!$C$177:$P$220,N$250,FALSE),VLOOKUP($C372,'PIP finance'!$C$325:$P$362,N$250,FALSE)))</f>
        <v>#N/A</v>
      </c>
      <c r="L372" s="5111" t="e">
        <f>IF($B372="WS",VLOOKUP($C372,'PIP finance'!$C$9:$P$59,O$250,FALSE),IF($B372="WW",VLOOKUP($C372,'PIP finance'!$C$177:$P$220,O$250,FALSE),VLOOKUP($C372,'PIP finance'!$C$325:$P$362,O$250,FALSE)))</f>
        <v>#N/A</v>
      </c>
      <c r="M372" s="5111" t="e">
        <f>IF($B372="WS",VLOOKUP($C372,'PIP finance'!$C$9:$P$59,P$250,FALSE),IF($B372="WW",VLOOKUP($C372,'PIP finance'!$C$177:$P$220,P$250,FALSE),VLOOKUP($C372,'PIP finance'!$C$325:$P$362,P$250,FALSE)))</f>
        <v>#N/A</v>
      </c>
    </row>
    <row r="373" spans="1:13" x14ac:dyDescent="0.25">
      <c r="A373" s="4076">
        <v>122</v>
      </c>
      <c r="B373" s="4076">
        <f>'Action Plan finance'!AH177</f>
        <v>0</v>
      </c>
      <c r="C373" s="4078">
        <f>'Action Plan finance'!C177</f>
        <v>0</v>
      </c>
      <c r="D373" s="5108" t="e">
        <f>IF($B373="WS",VLOOKUP($C373,'PIP finance'!$C$9:$P$59,G$250,FALSE),IF($B373="WW",VLOOKUP($C373,'PIP finance'!$C$177:$P$220,G$250,FALSE),VLOOKUP($C373,'PIP finance'!$C$325:$P$362,G$250,FALSE)))</f>
        <v>#N/A</v>
      </c>
      <c r="E373" s="5109" t="e">
        <f>IF($B373="WS",VLOOKUP($C373,'PIP finance'!$C$9:$P$59,H$250,FALSE),IF($B373="WW",VLOOKUP($C373,'PIP finance'!$C$177:$P$220,H$250,FALSE),VLOOKUP($C373,'PIP finance'!$C$325:$P$362,H$250,FALSE)))</f>
        <v>#N/A</v>
      </c>
      <c r="F373" s="5109" t="e">
        <f>IF($B373="WS",VLOOKUP($C373,'PIP finance'!$C$9:$P$59,I$250,FALSE),IF($B373="WW",VLOOKUP($C373,'PIP finance'!$C$177:$P$220,I$250,FALSE),VLOOKUP($C373,'PIP finance'!$C$325:$P$362,I$250,FALSE)))</f>
        <v>#N/A</v>
      </c>
      <c r="G373" s="5111" t="e">
        <f>IF($B373="WS",VLOOKUP($C373,'PIP finance'!$C$9:$P$59,J$250,FALSE),IF($B373="WW",VLOOKUP($C373,'PIP finance'!$C$177:$P$220,J$250,FALSE),VLOOKUP($C373,'PIP finance'!$C$325:$P$362,J$250,FALSE)))</f>
        <v>#N/A</v>
      </c>
      <c r="H373" s="5111" t="e">
        <f>IF($B373="WS",VLOOKUP($C373,'PIP finance'!$C$9:$P$59,K$250,FALSE),IF($B373="WW",VLOOKUP($C373,'PIP finance'!$C$177:$P$220,K$250,FALSE),VLOOKUP($C373,'PIP finance'!$C$325:$P$362,K$250,FALSE)))</f>
        <v>#N/A</v>
      </c>
      <c r="I373" s="5111" t="e">
        <f>IF($B373="WS",VLOOKUP($C373,'PIP finance'!$C$9:$P$59,L$250,FALSE),IF($B373="WW",VLOOKUP($C373,'PIP finance'!$C$177:$P$220,L$250,FALSE),VLOOKUP($C373,'PIP finance'!$C$325:$P$362,L$250,FALSE)))</f>
        <v>#N/A</v>
      </c>
      <c r="J373" s="5111" t="e">
        <f>IF($B373="WS",VLOOKUP($C373,'PIP finance'!$C$9:$P$59,M$250,FALSE),IF($B373="WW",VLOOKUP($C373,'PIP finance'!$C$177:$P$220,M$250,FALSE),VLOOKUP($C373,'PIP finance'!$C$325:$P$362,M$250,FALSE)))</f>
        <v>#N/A</v>
      </c>
      <c r="K373" s="5111" t="e">
        <f>IF($B373="WS",VLOOKUP($C373,'PIP finance'!$C$9:$P$59,N$250,FALSE),IF($B373="WW",VLOOKUP($C373,'PIP finance'!$C$177:$P$220,N$250,FALSE),VLOOKUP($C373,'PIP finance'!$C$325:$P$362,N$250,FALSE)))</f>
        <v>#N/A</v>
      </c>
      <c r="L373" s="5111" t="e">
        <f>IF($B373="WS",VLOOKUP($C373,'PIP finance'!$C$9:$P$59,O$250,FALSE),IF($B373="WW",VLOOKUP($C373,'PIP finance'!$C$177:$P$220,O$250,FALSE),VLOOKUP($C373,'PIP finance'!$C$325:$P$362,O$250,FALSE)))</f>
        <v>#N/A</v>
      </c>
      <c r="M373" s="5111" t="e">
        <f>IF($B373="WS",VLOOKUP($C373,'PIP finance'!$C$9:$P$59,P$250,FALSE),IF($B373="WW",VLOOKUP($C373,'PIP finance'!$C$177:$P$220,P$250,FALSE),VLOOKUP($C373,'PIP finance'!$C$325:$P$362,P$250,FALSE)))</f>
        <v>#N/A</v>
      </c>
    </row>
    <row r="374" spans="1:13" x14ac:dyDescent="0.25">
      <c r="C374" s="4078"/>
      <c r="D374" s="5111"/>
      <c r="E374" s="5111"/>
      <c r="F374" s="5111"/>
    </row>
    <row r="375" spans="1:13" x14ac:dyDescent="0.25">
      <c r="C375" s="4078"/>
      <c r="D375" s="5111"/>
      <c r="E375" s="5111"/>
      <c r="F375" s="5111"/>
    </row>
    <row r="376" spans="1:13" x14ac:dyDescent="0.25">
      <c r="C376" s="4078"/>
      <c r="D376" s="5111"/>
      <c r="E376" s="5111"/>
      <c r="F376" s="5111"/>
    </row>
    <row r="377" spans="1:13" x14ac:dyDescent="0.25">
      <c r="C377" s="4078"/>
      <c r="D377" s="5111"/>
      <c r="E377" s="5111"/>
      <c r="F377" s="5111"/>
    </row>
    <row r="378" spans="1:13" x14ac:dyDescent="0.25">
      <c r="C378" s="4078"/>
      <c r="D378" s="5111"/>
      <c r="E378" s="5111"/>
      <c r="F378" s="5111"/>
    </row>
    <row r="379" spans="1:13" x14ac:dyDescent="0.25">
      <c r="C379" s="4078"/>
      <c r="D379" s="5111"/>
      <c r="E379" s="5111"/>
      <c r="F379" s="5111"/>
    </row>
    <row r="380" spans="1:13" x14ac:dyDescent="0.25">
      <c r="C380" s="4078"/>
      <c r="D380" s="5111"/>
      <c r="E380" s="5111"/>
      <c r="F380" s="5111"/>
    </row>
    <row r="381" spans="1:13" x14ac:dyDescent="0.25">
      <c r="C381" s="4078"/>
      <c r="D381" s="5111"/>
      <c r="E381" s="5111"/>
      <c r="F381" s="5111"/>
    </row>
    <row r="382" spans="1:13" x14ac:dyDescent="0.25">
      <c r="C382" s="4078"/>
      <c r="D382" s="5111"/>
      <c r="E382" s="5111"/>
      <c r="F382" s="5111"/>
    </row>
    <row r="383" spans="1:13" x14ac:dyDescent="0.25">
      <c r="C383" s="4078"/>
      <c r="D383" s="5111"/>
      <c r="E383" s="5111"/>
      <c r="F383" s="5111"/>
    </row>
    <row r="384" spans="1:13" x14ac:dyDescent="0.25">
      <c r="C384" s="4078"/>
      <c r="D384" s="5111"/>
      <c r="E384" s="5111"/>
      <c r="F384" s="5111"/>
    </row>
    <row r="385" spans="3:6" x14ac:dyDescent="0.25">
      <c r="C385" s="4078"/>
      <c r="D385" s="5111"/>
      <c r="E385" s="5111"/>
      <c r="F385" s="5111"/>
    </row>
    <row r="386" spans="3:6" x14ac:dyDescent="0.25">
      <c r="C386" s="4078"/>
      <c r="D386" s="5111"/>
      <c r="E386" s="5111"/>
      <c r="F386" s="5111"/>
    </row>
    <row r="387" spans="3:6" x14ac:dyDescent="0.25">
      <c r="C387" s="4078"/>
      <c r="D387" s="5111"/>
      <c r="E387" s="5111"/>
      <c r="F387" s="5111"/>
    </row>
    <row r="388" spans="3:6" x14ac:dyDescent="0.25">
      <c r="C388" s="4078"/>
      <c r="D388" s="5111"/>
      <c r="E388" s="5111"/>
      <c r="F388" s="5111"/>
    </row>
    <row r="389" spans="3:6" x14ac:dyDescent="0.25">
      <c r="C389" s="4078"/>
      <c r="D389" s="5111"/>
      <c r="E389" s="5111"/>
      <c r="F389" s="5111"/>
    </row>
    <row r="390" spans="3:6" x14ac:dyDescent="0.25">
      <c r="C390" s="4078"/>
      <c r="D390" s="5111"/>
      <c r="E390" s="5111"/>
      <c r="F390" s="5111"/>
    </row>
    <row r="391" spans="3:6" x14ac:dyDescent="0.25">
      <c r="C391" s="4078"/>
      <c r="D391" s="5111"/>
      <c r="E391" s="5111"/>
      <c r="F391" s="5111"/>
    </row>
    <row r="392" spans="3:6" x14ac:dyDescent="0.25">
      <c r="C392" s="4078"/>
      <c r="D392" s="5111"/>
      <c r="E392" s="5111"/>
      <c r="F392" s="5111"/>
    </row>
    <row r="393" spans="3:6" x14ac:dyDescent="0.25">
      <c r="C393" s="4078"/>
      <c r="D393" s="5111"/>
      <c r="E393" s="5111"/>
      <c r="F393" s="5111"/>
    </row>
    <row r="394" spans="3:6" x14ac:dyDescent="0.25">
      <c r="C394" s="4078"/>
      <c r="D394" s="5111"/>
      <c r="E394" s="5111"/>
      <c r="F394" s="5111"/>
    </row>
    <row r="395" spans="3:6" x14ac:dyDescent="0.25">
      <c r="C395" s="4078"/>
      <c r="D395" s="5111"/>
      <c r="E395" s="5111"/>
      <c r="F395" s="5111"/>
    </row>
    <row r="396" spans="3:6" x14ac:dyDescent="0.25">
      <c r="C396" s="4078"/>
      <c r="D396" s="5111"/>
      <c r="E396" s="5111"/>
      <c r="F396" s="5111"/>
    </row>
    <row r="397" spans="3:6" x14ac:dyDescent="0.25">
      <c r="C397" s="4078"/>
      <c r="D397" s="5111"/>
      <c r="E397" s="5111"/>
      <c r="F397" s="5111"/>
    </row>
    <row r="398" spans="3:6" x14ac:dyDescent="0.25">
      <c r="C398" s="4078"/>
      <c r="D398" s="5111"/>
      <c r="E398" s="5111"/>
      <c r="F398" s="5111"/>
    </row>
    <row r="399" spans="3:6" x14ac:dyDescent="0.25">
      <c r="C399" s="4078"/>
      <c r="D399" s="5111"/>
      <c r="E399" s="5111"/>
      <c r="F399" s="5111"/>
    </row>
    <row r="400" spans="3:6" x14ac:dyDescent="0.25">
      <c r="C400" s="4078"/>
      <c r="D400" s="5111"/>
      <c r="E400" s="5111"/>
      <c r="F400" s="5111"/>
    </row>
    <row r="401" spans="3:6" x14ac:dyDescent="0.25">
      <c r="C401" s="4078"/>
      <c r="D401" s="5111"/>
      <c r="E401" s="5111"/>
      <c r="F401" s="5111"/>
    </row>
    <row r="402" spans="3:6" x14ac:dyDescent="0.25">
      <c r="C402" s="4078"/>
      <c r="D402" s="5111"/>
      <c r="E402" s="5111"/>
      <c r="F402" s="5111"/>
    </row>
    <row r="403" spans="3:6" x14ac:dyDescent="0.25">
      <c r="C403" s="4078"/>
      <c r="D403" s="5111"/>
      <c r="E403" s="5111"/>
      <c r="F403" s="5111"/>
    </row>
    <row r="404" spans="3:6" x14ac:dyDescent="0.25">
      <c r="C404" s="4078"/>
      <c r="D404" s="5111"/>
      <c r="E404" s="5111"/>
      <c r="F404" s="5111"/>
    </row>
    <row r="405" spans="3:6" x14ac:dyDescent="0.25">
      <c r="C405" s="4078"/>
      <c r="D405" s="5111"/>
      <c r="E405" s="5111"/>
      <c r="F405" s="5111"/>
    </row>
    <row r="406" spans="3:6" x14ac:dyDescent="0.25">
      <c r="C406" s="4078"/>
      <c r="D406" s="5111"/>
      <c r="E406" s="5111"/>
      <c r="F406" s="5111"/>
    </row>
    <row r="407" spans="3:6" x14ac:dyDescent="0.25">
      <c r="C407" s="4078"/>
      <c r="D407" s="5111"/>
      <c r="E407" s="5111"/>
      <c r="F407" s="5111"/>
    </row>
    <row r="408" spans="3:6" x14ac:dyDescent="0.25">
      <c r="C408" s="4078"/>
      <c r="D408" s="5111"/>
      <c r="E408" s="5111"/>
      <c r="F408" s="5111"/>
    </row>
    <row r="409" spans="3:6" x14ac:dyDescent="0.25">
      <c r="C409" s="4078"/>
      <c r="D409" s="5111"/>
      <c r="E409" s="5111"/>
      <c r="F409" s="5111"/>
    </row>
    <row r="410" spans="3:6" x14ac:dyDescent="0.25">
      <c r="C410" s="4078"/>
      <c r="D410" s="5111"/>
      <c r="E410" s="5111"/>
      <c r="F410" s="5111"/>
    </row>
    <row r="411" spans="3:6" x14ac:dyDescent="0.25">
      <c r="C411" s="4078"/>
      <c r="D411" s="5111"/>
      <c r="E411" s="5111"/>
      <c r="F411" s="5111"/>
    </row>
    <row r="412" spans="3:6" x14ac:dyDescent="0.25">
      <c r="C412" s="4078"/>
      <c r="D412" s="5111"/>
      <c r="E412" s="5111"/>
      <c r="F412" s="5111"/>
    </row>
    <row r="413" spans="3:6" x14ac:dyDescent="0.25">
      <c r="C413" s="4078"/>
      <c r="D413" s="5111"/>
      <c r="E413" s="5111"/>
      <c r="F413" s="5111"/>
    </row>
    <row r="414" spans="3:6" x14ac:dyDescent="0.25">
      <c r="C414" s="4078"/>
      <c r="D414" s="5111"/>
      <c r="E414" s="5111"/>
      <c r="F414" s="5111"/>
    </row>
    <row r="415" spans="3:6" x14ac:dyDescent="0.25">
      <c r="C415" s="4078"/>
      <c r="D415" s="5111"/>
      <c r="E415" s="5111"/>
      <c r="F415" s="5111"/>
    </row>
    <row r="416" spans="3:6" x14ac:dyDescent="0.25">
      <c r="C416" s="4078"/>
      <c r="D416" s="5111"/>
      <c r="E416" s="5111"/>
      <c r="F416" s="5111"/>
    </row>
    <row r="417" spans="3:6" x14ac:dyDescent="0.25">
      <c r="C417" s="4078"/>
      <c r="D417" s="5111"/>
      <c r="E417" s="5111"/>
      <c r="F417" s="5111"/>
    </row>
    <row r="418" spans="3:6" x14ac:dyDescent="0.25">
      <c r="C418" s="4078"/>
      <c r="D418" s="5111"/>
      <c r="E418" s="5111"/>
      <c r="F418" s="5111"/>
    </row>
    <row r="419" spans="3:6" x14ac:dyDescent="0.25">
      <c r="C419" s="4078"/>
      <c r="D419" s="5111"/>
      <c r="E419" s="5111"/>
      <c r="F419" s="5111"/>
    </row>
    <row r="420" spans="3:6" x14ac:dyDescent="0.25">
      <c r="C420" s="4078"/>
      <c r="D420" s="5111"/>
      <c r="E420" s="5111"/>
      <c r="F420" s="5111"/>
    </row>
    <row r="421" spans="3:6" x14ac:dyDescent="0.25">
      <c r="C421" s="4078"/>
      <c r="D421" s="5111"/>
      <c r="E421" s="5111"/>
      <c r="F421" s="5111"/>
    </row>
    <row r="422" spans="3:6" x14ac:dyDescent="0.25">
      <c r="C422" s="4078"/>
      <c r="D422" s="5111"/>
      <c r="E422" s="5111"/>
      <c r="F422" s="5111"/>
    </row>
    <row r="423" spans="3:6" x14ac:dyDescent="0.25">
      <c r="C423" s="4078"/>
      <c r="D423" s="5111"/>
      <c r="E423" s="5111"/>
      <c r="F423" s="5111"/>
    </row>
    <row r="424" spans="3:6" x14ac:dyDescent="0.25">
      <c r="C424" s="4078"/>
      <c r="D424" s="5111"/>
      <c r="E424" s="5111"/>
      <c r="F424" s="5111"/>
    </row>
    <row r="425" spans="3:6" x14ac:dyDescent="0.25">
      <c r="C425" s="4078"/>
      <c r="D425" s="5111"/>
      <c r="E425" s="5111"/>
      <c r="F425" s="5111"/>
    </row>
    <row r="426" spans="3:6" x14ac:dyDescent="0.25">
      <c r="C426" s="4078"/>
      <c r="D426" s="5111"/>
      <c r="E426" s="5111"/>
      <c r="F426" s="5111"/>
    </row>
    <row r="427" spans="3:6" x14ac:dyDescent="0.25">
      <c r="C427" s="4078"/>
      <c r="D427" s="5111"/>
      <c r="E427" s="5111"/>
      <c r="F427" s="5111"/>
    </row>
    <row r="428" spans="3:6" x14ac:dyDescent="0.25">
      <c r="C428" s="4078"/>
      <c r="D428" s="5111"/>
      <c r="E428" s="5111"/>
      <c r="F428" s="5111"/>
    </row>
    <row r="429" spans="3:6" x14ac:dyDescent="0.25">
      <c r="C429" s="4078"/>
      <c r="D429" s="5111"/>
      <c r="E429" s="5111"/>
      <c r="F429" s="5111"/>
    </row>
    <row r="430" spans="3:6" x14ac:dyDescent="0.25">
      <c r="C430" s="4078"/>
      <c r="D430" s="5111"/>
      <c r="E430" s="5111"/>
      <c r="F430" s="5111"/>
    </row>
    <row r="431" spans="3:6" x14ac:dyDescent="0.25">
      <c r="C431" s="4078"/>
      <c r="D431" s="5111"/>
      <c r="E431" s="5111"/>
      <c r="F431" s="5111"/>
    </row>
    <row r="432" spans="3:6" x14ac:dyDescent="0.25">
      <c r="C432" s="4078"/>
      <c r="D432" s="5111"/>
      <c r="E432" s="5111"/>
      <c r="F432" s="5111"/>
    </row>
    <row r="433" spans="3:6" x14ac:dyDescent="0.25">
      <c r="C433" s="4078"/>
      <c r="D433" s="5111"/>
      <c r="E433" s="5111"/>
      <c r="F433" s="5111"/>
    </row>
    <row r="434" spans="3:6" x14ac:dyDescent="0.25">
      <c r="C434" s="4078"/>
      <c r="D434" s="5111"/>
      <c r="E434" s="5111"/>
      <c r="F434" s="5111"/>
    </row>
    <row r="435" spans="3:6" x14ac:dyDescent="0.25">
      <c r="C435" s="4078"/>
      <c r="D435" s="5111"/>
      <c r="E435" s="5111"/>
      <c r="F435" s="5111"/>
    </row>
    <row r="436" spans="3:6" x14ac:dyDescent="0.25">
      <c r="C436" s="4078"/>
      <c r="D436" s="5111"/>
      <c r="E436" s="5111"/>
      <c r="F436" s="5111"/>
    </row>
    <row r="437" spans="3:6" x14ac:dyDescent="0.25">
      <c r="C437" s="4078"/>
      <c r="D437" s="5111"/>
      <c r="E437" s="5111"/>
      <c r="F437" s="5111"/>
    </row>
    <row r="438" spans="3:6" x14ac:dyDescent="0.25">
      <c r="C438" s="4078"/>
      <c r="D438" s="5111"/>
      <c r="E438" s="5111"/>
      <c r="F438" s="5111"/>
    </row>
    <row r="439" spans="3:6" x14ac:dyDescent="0.25">
      <c r="C439" s="4078"/>
      <c r="D439" s="5111"/>
      <c r="E439" s="5111"/>
      <c r="F439" s="5111"/>
    </row>
    <row r="440" spans="3:6" x14ac:dyDescent="0.25">
      <c r="C440" s="4078"/>
      <c r="D440" s="5111"/>
      <c r="E440" s="5111"/>
      <c r="F440" s="5111"/>
    </row>
    <row r="441" spans="3:6" x14ac:dyDescent="0.25">
      <c r="C441" s="4078"/>
      <c r="D441" s="5111"/>
      <c r="E441" s="5111"/>
      <c r="F441" s="5111"/>
    </row>
    <row r="442" spans="3:6" x14ac:dyDescent="0.25">
      <c r="C442" s="4078"/>
      <c r="D442" s="5111"/>
      <c r="E442" s="5111"/>
      <c r="F442" s="5111"/>
    </row>
    <row r="443" spans="3:6" x14ac:dyDescent="0.25">
      <c r="C443" s="4078"/>
      <c r="D443" s="5111"/>
      <c r="E443" s="5111"/>
      <c r="F443" s="5111"/>
    </row>
    <row r="444" spans="3:6" x14ac:dyDescent="0.25">
      <c r="C444" s="4078"/>
      <c r="D444" s="5111"/>
      <c r="E444" s="5111"/>
      <c r="F444" s="5111"/>
    </row>
    <row r="445" spans="3:6" x14ac:dyDescent="0.25">
      <c r="C445" s="4078"/>
      <c r="D445" s="5111"/>
      <c r="E445" s="5111"/>
      <c r="F445" s="5111"/>
    </row>
    <row r="446" spans="3:6" x14ac:dyDescent="0.25">
      <c r="C446" s="4078"/>
      <c r="D446" s="5111"/>
      <c r="E446" s="5111"/>
      <c r="F446" s="5111"/>
    </row>
    <row r="447" spans="3:6" x14ac:dyDescent="0.25">
      <c r="C447" s="4078"/>
      <c r="D447" s="5111"/>
      <c r="E447" s="5111"/>
      <c r="F447" s="5111"/>
    </row>
    <row r="448" spans="3:6" x14ac:dyDescent="0.25">
      <c r="C448" s="4078"/>
      <c r="D448" s="5111"/>
      <c r="E448" s="5111"/>
      <c r="F448" s="5111"/>
    </row>
    <row r="449" spans="3:6" x14ac:dyDescent="0.25">
      <c r="C449" s="4078"/>
      <c r="D449" s="5111"/>
      <c r="E449" s="5111"/>
      <c r="F449" s="5111"/>
    </row>
    <row r="450" spans="3:6" x14ac:dyDescent="0.25">
      <c r="C450" s="4078"/>
      <c r="D450" s="5111"/>
      <c r="E450" s="5111"/>
      <c r="F450" s="5111"/>
    </row>
    <row r="451" spans="3:6" x14ac:dyDescent="0.25">
      <c r="C451" s="4078"/>
      <c r="D451" s="5111"/>
      <c r="E451" s="5111"/>
      <c r="F451" s="5111"/>
    </row>
    <row r="452" spans="3:6" x14ac:dyDescent="0.25">
      <c r="C452" s="4078"/>
      <c r="D452" s="5111"/>
      <c r="E452" s="5111"/>
      <c r="F452" s="5111"/>
    </row>
    <row r="453" spans="3:6" x14ac:dyDescent="0.25">
      <c r="C453" s="4078"/>
      <c r="D453" s="5111"/>
      <c r="E453" s="5111"/>
      <c r="F453" s="5111"/>
    </row>
    <row r="454" spans="3:6" x14ac:dyDescent="0.25">
      <c r="C454" s="4078"/>
      <c r="D454" s="5111"/>
      <c r="E454" s="5111"/>
      <c r="F454" s="5111"/>
    </row>
    <row r="455" spans="3:6" x14ac:dyDescent="0.25">
      <c r="C455" s="4078"/>
      <c r="D455" s="5111"/>
      <c r="E455" s="5111"/>
      <c r="F455" s="5111"/>
    </row>
    <row r="456" spans="3:6" x14ac:dyDescent="0.25">
      <c r="C456" s="4078"/>
      <c r="D456" s="5111"/>
      <c r="E456" s="5111"/>
      <c r="F456" s="5111"/>
    </row>
    <row r="457" spans="3:6" x14ac:dyDescent="0.25">
      <c r="C457" s="4078"/>
      <c r="D457" s="5111"/>
      <c r="E457" s="5111"/>
      <c r="F457" s="5111"/>
    </row>
    <row r="458" spans="3:6" x14ac:dyDescent="0.25">
      <c r="C458" s="4078"/>
      <c r="D458" s="5111"/>
      <c r="E458" s="5111"/>
      <c r="F458" s="5111"/>
    </row>
    <row r="459" spans="3:6" x14ac:dyDescent="0.25">
      <c r="C459" s="4078"/>
      <c r="D459" s="5111"/>
      <c r="E459" s="5111"/>
      <c r="F459" s="5111"/>
    </row>
    <row r="460" spans="3:6" x14ac:dyDescent="0.25">
      <c r="C460" s="4078"/>
      <c r="D460" s="5111"/>
      <c r="E460" s="5111"/>
      <c r="F460" s="5111"/>
    </row>
    <row r="461" spans="3:6" x14ac:dyDescent="0.25">
      <c r="C461" s="4078"/>
      <c r="D461" s="5111"/>
      <c r="E461" s="5111"/>
      <c r="F461" s="5111"/>
    </row>
    <row r="462" spans="3:6" x14ac:dyDescent="0.25">
      <c r="C462" s="4078"/>
      <c r="D462" s="5111"/>
      <c r="E462" s="5111"/>
      <c r="F462" s="5111"/>
    </row>
    <row r="463" spans="3:6" x14ac:dyDescent="0.25">
      <c r="C463" s="4078"/>
      <c r="D463" s="5111"/>
      <c r="E463" s="5111"/>
      <c r="F463" s="5111"/>
    </row>
    <row r="464" spans="3:6" x14ac:dyDescent="0.25">
      <c r="C464" s="4078"/>
      <c r="D464" s="5111"/>
      <c r="E464" s="5111"/>
      <c r="F464" s="5111"/>
    </row>
    <row r="465" spans="3:6" x14ac:dyDescent="0.25">
      <c r="C465" s="4078"/>
      <c r="D465" s="5111"/>
      <c r="E465" s="5111"/>
      <c r="F465" s="5111"/>
    </row>
    <row r="466" spans="3:6" x14ac:dyDescent="0.25">
      <c r="C466" s="4078"/>
      <c r="D466" s="5111"/>
      <c r="E466" s="5111"/>
      <c r="F466" s="5111"/>
    </row>
    <row r="467" spans="3:6" x14ac:dyDescent="0.25">
      <c r="C467" s="4078"/>
      <c r="D467" s="5111"/>
      <c r="E467" s="5111"/>
      <c r="F467" s="5111"/>
    </row>
    <row r="468" spans="3:6" x14ac:dyDescent="0.25">
      <c r="C468" s="4078"/>
      <c r="D468" s="5111"/>
      <c r="E468" s="5111"/>
      <c r="F468" s="5111"/>
    </row>
    <row r="469" spans="3:6" x14ac:dyDescent="0.25">
      <c r="C469" s="4078"/>
      <c r="D469" s="5111"/>
      <c r="E469" s="5111"/>
      <c r="F469" s="5111"/>
    </row>
    <row r="470" spans="3:6" x14ac:dyDescent="0.25">
      <c r="C470" s="4078"/>
      <c r="D470" s="5111"/>
      <c r="E470" s="5111"/>
      <c r="F470" s="5111"/>
    </row>
    <row r="471" spans="3:6" x14ac:dyDescent="0.25">
      <c r="C471" s="4078"/>
      <c r="D471" s="5111"/>
      <c r="E471" s="5111"/>
      <c r="F471" s="5111"/>
    </row>
    <row r="472" spans="3:6" x14ac:dyDescent="0.25">
      <c r="C472" s="4078"/>
      <c r="D472" s="5111"/>
      <c r="E472" s="5111"/>
      <c r="F472" s="5111"/>
    </row>
    <row r="473" spans="3:6" x14ac:dyDescent="0.25">
      <c r="C473" s="4078"/>
      <c r="D473" s="5111"/>
      <c r="E473" s="5111"/>
      <c r="F473" s="5111"/>
    </row>
    <row r="474" spans="3:6" x14ac:dyDescent="0.25">
      <c r="C474" s="4078"/>
      <c r="D474" s="5111"/>
      <c r="E474" s="5111"/>
      <c r="F474" s="5111"/>
    </row>
    <row r="475" spans="3:6" x14ac:dyDescent="0.25">
      <c r="C475" s="4078"/>
      <c r="D475" s="5111"/>
      <c r="E475" s="5111"/>
      <c r="F475" s="5111"/>
    </row>
    <row r="476" spans="3:6" x14ac:dyDescent="0.25">
      <c r="C476" s="4078"/>
      <c r="D476" s="5111"/>
      <c r="E476" s="5111"/>
      <c r="F476" s="5111"/>
    </row>
    <row r="477" spans="3:6" x14ac:dyDescent="0.25">
      <c r="C477" s="4078"/>
      <c r="D477" s="5111"/>
      <c r="E477" s="5111"/>
      <c r="F477" s="5111"/>
    </row>
    <row r="478" spans="3:6" x14ac:dyDescent="0.25">
      <c r="C478" s="4078"/>
      <c r="D478" s="5111"/>
      <c r="E478" s="5111"/>
      <c r="F478" s="5111"/>
    </row>
    <row r="479" spans="3:6" x14ac:dyDescent="0.25">
      <c r="C479" s="4078"/>
      <c r="D479" s="5111"/>
      <c r="E479" s="5111"/>
      <c r="F479" s="5111"/>
    </row>
    <row r="480" spans="3:6" x14ac:dyDescent="0.25">
      <c r="C480" s="4078"/>
      <c r="D480" s="5111"/>
      <c r="E480" s="5111"/>
      <c r="F480" s="5111"/>
    </row>
    <row r="481" spans="3:6" x14ac:dyDescent="0.25">
      <c r="C481" s="4078"/>
      <c r="D481" s="5111"/>
      <c r="E481" s="5111"/>
      <c r="F481" s="5111"/>
    </row>
  </sheetData>
  <mergeCells count="5">
    <mergeCell ref="G53:K53"/>
    <mergeCell ref="H206:I206"/>
    <mergeCell ref="J206:K206"/>
    <mergeCell ref="O252:Y252"/>
    <mergeCell ref="O256:Y256"/>
  </mergeCells>
  <conditionalFormatting sqref="G209:G217 G238:G245">
    <cfRule type="expression" dxfId="36" priority="116">
      <formula>$Y$11=1</formula>
    </cfRule>
  </conditionalFormatting>
  <conditionalFormatting sqref="F208:F217">
    <cfRule type="expression" dxfId="35" priority="7">
      <formula>$Y$11=1</formula>
    </cfRule>
  </conditionalFormatting>
  <conditionalFormatting sqref="G208">
    <cfRule type="expression" dxfId="34" priority="6">
      <formula>$Y$11=1</formula>
    </cfRule>
  </conditionalFormatting>
  <conditionalFormatting sqref="F223:F233">
    <cfRule type="expression" dxfId="33" priority="5">
      <formula>$Y$11=1</formula>
    </cfRule>
  </conditionalFormatting>
  <conditionalFormatting sqref="F237:F245">
    <cfRule type="expression" dxfId="32" priority="4">
      <formula>$Y$11=1</formula>
    </cfRule>
  </conditionalFormatting>
  <conditionalFormatting sqref="G223:G232">
    <cfRule type="expression" dxfId="31" priority="3">
      <formula>$Y$11=1</formula>
    </cfRule>
  </conditionalFormatting>
  <conditionalFormatting sqref="G237">
    <cfRule type="expression" dxfId="30" priority="1">
      <formula>$Y$11=1</formula>
    </cfRule>
  </conditionalFormatting>
  <pageMargins left="0.24" right="0.23" top="0.2" bottom="0.2" header="0.2" footer="0.2"/>
  <pageSetup paperSize="9" scale="18" fitToHeight="0" orientation="portrait" r:id="rId1"/>
  <ignoredErrors>
    <ignoredError sqref="E167" formula="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1" tint="4.9989318521683403E-2"/>
  </sheetPr>
  <dimension ref="A1:W891"/>
  <sheetViews>
    <sheetView topLeftCell="A218" zoomScale="85" zoomScaleNormal="85" workbookViewId="0">
      <selection activeCell="E260" sqref="E260"/>
    </sheetView>
  </sheetViews>
  <sheetFormatPr defaultColWidth="9.140625" defaultRowHeight="15" x14ac:dyDescent="0.25"/>
  <cols>
    <col min="1" max="1" width="6.42578125" style="9" customWidth="1"/>
    <col min="2" max="2" width="6.5703125" style="9" customWidth="1"/>
    <col min="3" max="3" width="43" style="308" customWidth="1"/>
    <col min="4" max="4" width="11.85546875" style="94" customWidth="1"/>
    <col min="5" max="5" width="11.85546875" style="9" customWidth="1"/>
    <col min="6" max="6" width="13.28515625" style="9" customWidth="1"/>
    <col min="7" max="15" width="11.85546875" style="9" customWidth="1"/>
    <col min="16" max="23" width="11.7109375" style="48" customWidth="1"/>
    <col min="24" max="16384" width="9.140625" style="48"/>
  </cols>
  <sheetData>
    <row r="1" spans="1:15" x14ac:dyDescent="0.25">
      <c r="E1" s="94"/>
      <c r="F1" s="94"/>
    </row>
    <row r="2" spans="1:15" x14ac:dyDescent="0.25">
      <c r="A2" s="11" t="s">
        <v>65</v>
      </c>
      <c r="B2" s="11" t="s">
        <v>99</v>
      </c>
      <c r="C2" s="309"/>
      <c r="D2" s="279"/>
    </row>
    <row r="3" spans="1:15" x14ac:dyDescent="0.25">
      <c r="B3" s="13" t="s">
        <v>3</v>
      </c>
      <c r="C3" s="310" t="s">
        <v>4</v>
      </c>
      <c r="D3" s="3744" t="s">
        <v>1520</v>
      </c>
      <c r="E3" s="13">
        <f>Population!E21</f>
        <v>2014</v>
      </c>
      <c r="F3" s="13">
        <f>Population!F21</f>
        <v>2015</v>
      </c>
      <c r="G3" s="13">
        <f>Population!G21</f>
        <v>2016</v>
      </c>
      <c r="H3" s="13">
        <f>Population!H21</f>
        <v>2017</v>
      </c>
      <c r="I3" s="13">
        <f>Population!I21</f>
        <v>2018</v>
      </c>
      <c r="J3" s="13">
        <f>Population!J21</f>
        <v>2019</v>
      </c>
      <c r="K3" s="13">
        <f>Population!K21</f>
        <v>2020</v>
      </c>
      <c r="L3" s="13">
        <f>Population!L21</f>
        <v>2021</v>
      </c>
      <c r="M3" s="13">
        <f>Population!M21</f>
        <v>2022</v>
      </c>
      <c r="N3" s="13">
        <f>Population!N21</f>
        <v>2023</v>
      </c>
      <c r="O3" s="13">
        <f>Population!O21</f>
        <v>2024</v>
      </c>
    </row>
    <row r="4" spans="1:15" x14ac:dyDescent="0.25">
      <c r="B4" s="14">
        <v>1</v>
      </c>
      <c r="C4" s="22" t="s">
        <v>233</v>
      </c>
      <c r="D4" s="95"/>
      <c r="E4" s="15">
        <f>'WSS Profile'!$G$46</f>
        <v>0</v>
      </c>
      <c r="F4" s="59">
        <f>IF('WS Plan'!$E$103="Activate",IF('WS Plan'!$H$103+1&lt;=F$3,MIN(E4+'WS Plan'!$H$105,$E$4+'WS Plan'!$H$104),E4),E4)</f>
        <v>0</v>
      </c>
      <c r="G4" s="59">
        <f>IF('WS Plan'!$E$103="Activate",IF('WS Plan'!$H$103+1&lt;=G$3,MIN(F4+'WS Plan'!$H$105,$E$4+'WS Plan'!$H$104),F4),F4)</f>
        <v>0</v>
      </c>
      <c r="H4" s="59">
        <f>IF('WS Plan'!$E$103="Activate",IF('WS Plan'!$H$103+1&lt;=H$3,MIN(G4+'WS Plan'!$H$105,$E$4+'WS Plan'!$H$104),G4),G4)</f>
        <v>0</v>
      </c>
      <c r="I4" s="59">
        <f>IF('WS Plan'!$E$103="Activate",IF('WS Plan'!$H$103+1&lt;=I$3,MIN(H4+'WS Plan'!$H$105,$E$4+'WS Plan'!$H$104),H4),H4)</f>
        <v>0</v>
      </c>
      <c r="J4" s="59">
        <f>IF('WS Plan'!$E$103="Activate",IF('WS Plan'!$H$103+1&lt;=J$3,MIN(I4+'WS Plan'!$H$105,$E$4+'WS Plan'!$H$104),I4),I4)</f>
        <v>0</v>
      </c>
      <c r="K4" s="59">
        <f>IF('WS Plan'!$E$103="Activate",IF('WS Plan'!$H$103+1&lt;=K$3,MIN(J4+'WS Plan'!$H$105,$E$4+'WS Plan'!$H$104),J4),J4)</f>
        <v>0</v>
      </c>
      <c r="L4" s="59">
        <f>IF('WS Plan'!$E$103="Activate",IF('WS Plan'!$H$103+1&lt;=L$3,MIN(K4+'WS Plan'!$H$105,$E$4+'WS Plan'!$H$104),K4),K4)</f>
        <v>0</v>
      </c>
      <c r="M4" s="59">
        <f>IF('WS Plan'!$E$103="Activate",IF('WS Plan'!$H$103+1&lt;=M$3,MIN(L4+'WS Plan'!$H$105,$E$4+'WS Plan'!$H$104),L4),L4)</f>
        <v>0</v>
      </c>
      <c r="N4" s="59">
        <f>IF('WS Plan'!$E$103="Activate",IF('WS Plan'!$H$103+1&lt;=N$3,MIN(M4+'WS Plan'!$H$105,$E$4+'WS Plan'!$H$104),M4),M4)</f>
        <v>0</v>
      </c>
      <c r="O4" s="59">
        <f>IF('WS Plan'!$E$103="Activate",IF('WS Plan'!$H$103+1&lt;=O$3,MIN(N4+'WS Plan'!$H$105,$E$4+'WS Plan'!$H$104),N4),N4)</f>
        <v>0</v>
      </c>
    </row>
    <row r="5" spans="1:15" x14ac:dyDescent="0.25">
      <c r="B5" s="14"/>
      <c r="C5" s="22" t="s">
        <v>234</v>
      </c>
      <c r="D5" s="95"/>
      <c r="E5" s="15">
        <f>'WSS Profile'!G47</f>
        <v>0</v>
      </c>
      <c r="F5" s="59">
        <f>IF('WS Plan'!$E$119="Activate",IF('WS Plan'!$H$119&lt;=F$3,MIN(E5+'WS Plan'!$H$121,$E$5+'WS Plan'!$H$120),E5),E5)</f>
        <v>0</v>
      </c>
      <c r="G5" s="59">
        <f>IF('WS Plan'!$E$119="Activate",IF('WS Plan'!$H$119&lt;=G$3,MIN(F5+'WS Plan'!$H$121,$E$5+'WS Plan'!$H$120),F5),F5)</f>
        <v>0</v>
      </c>
      <c r="H5" s="59">
        <f>IF('WS Plan'!$E$119="Activate",IF('WS Plan'!$H$119&lt;=H$3,MIN(G5+'WS Plan'!$H$121,$E$5+'WS Plan'!$H$120),G5),G5)</f>
        <v>0</v>
      </c>
      <c r="I5" s="59">
        <f>IF('WS Plan'!$E$119="Activate",IF('WS Plan'!$H$119&lt;=I$3,MIN(H5+'WS Plan'!$H$121,$E$5+'WS Plan'!$H$120),H5),H5)</f>
        <v>0</v>
      </c>
      <c r="J5" s="59">
        <f>IF('WS Plan'!$E$119="Activate",IF('WS Plan'!$H$119&lt;=J$3,MIN(I5+'WS Plan'!$H$121,$E$5+'WS Plan'!$H$120),I5),I5)</f>
        <v>0</v>
      </c>
      <c r="K5" s="59">
        <f>IF('WS Plan'!$E$119="Activate",IF('WS Plan'!$H$119&lt;=K$3,MIN(J5+'WS Plan'!$H$121,$E$5+'WS Plan'!$H$120),J5),J5)</f>
        <v>0</v>
      </c>
      <c r="L5" s="59">
        <f>IF('WS Plan'!$E$119="Activate",IF('WS Plan'!$H$119&lt;=L$3,MIN(K5+'WS Plan'!$H$121,$E$5+'WS Plan'!$H$120),K5),K5)</f>
        <v>0</v>
      </c>
      <c r="M5" s="59">
        <f>IF('WS Plan'!$E$119="Activate",IF('WS Plan'!$H$119&lt;=M$3,MIN(L5+'WS Plan'!$H$121,$E$5+'WS Plan'!$H$120),L5),L5)</f>
        <v>0</v>
      </c>
      <c r="N5" s="59">
        <f>IF('WS Plan'!$E$119="Activate",IF('WS Plan'!$H$119&lt;=N$3,MIN(M5+'WS Plan'!$H$121,$E$5+'WS Plan'!$H$120),M5),M5)</f>
        <v>0</v>
      </c>
      <c r="O5" s="59">
        <f>IF('WS Plan'!$E$119="Activate",IF('WS Plan'!$H$119&lt;=O$3,MIN(N5+'WS Plan'!$H$121,$E$5+'WS Plan'!$H$120),N5),N5)</f>
        <v>0</v>
      </c>
    </row>
    <row r="6" spans="1:15" x14ac:dyDescent="0.25">
      <c r="B6" s="14"/>
      <c r="C6" s="28" t="s">
        <v>235</v>
      </c>
      <c r="D6" s="95"/>
      <c r="E6" s="15">
        <f>'WSS Profile'!$G$48</f>
        <v>0</v>
      </c>
      <c r="F6" s="59">
        <f>IF('WS Plan'!$E$113="Activate",IF('WS Plan'!$H$113&lt;=F$3,MIN(E6+'WS Plan'!$H$115,$E$6+'WS Plan'!$H$114),E6),E6)</f>
        <v>0</v>
      </c>
      <c r="G6" s="59">
        <f>IF('WS Plan'!$E$113="Activate",IF('WS Plan'!$H$113&lt;=G$3,MIN(F6+'WS Plan'!$H$115,$E$6+'WS Plan'!$H$114),F6),F6)</f>
        <v>0</v>
      </c>
      <c r="H6" s="59">
        <f>IF('WS Plan'!$E$113="Activate",IF('WS Plan'!$H$113&lt;=H$3,MIN(G6+'WS Plan'!$H$115,$E$6+'WS Plan'!$H$114),G6),G6)</f>
        <v>0</v>
      </c>
      <c r="I6" s="59">
        <f>IF('WS Plan'!$E$113="Activate",IF('WS Plan'!$H$113&lt;=I$3,MIN(H6+'WS Plan'!$H$115,$E$6+'WS Plan'!$H$114),H6),H6)</f>
        <v>0</v>
      </c>
      <c r="J6" s="59">
        <f>IF('WS Plan'!$E$113="Activate",IF('WS Plan'!$H$113&lt;=J$3,MIN(I6+'WS Plan'!$H$115,$E$6+'WS Plan'!$H$114),I6),I6)</f>
        <v>0</v>
      </c>
      <c r="K6" s="59">
        <f>IF('WS Plan'!$E$113="Activate",IF('WS Plan'!$H$113&lt;=K$3,MIN(J6+'WS Plan'!$H$115,$E$6+'WS Plan'!$H$114),J6),J6)</f>
        <v>0</v>
      </c>
      <c r="L6" s="59">
        <f>IF('WS Plan'!$E$113="Activate",IF('WS Plan'!$H$113&lt;=L$3,MIN(K6+'WS Plan'!$H$115,$E$6+'WS Plan'!$H$114),K6),K6)</f>
        <v>0</v>
      </c>
      <c r="M6" s="59">
        <f>IF('WS Plan'!$E$113="Activate",IF('WS Plan'!$H$113&lt;=M$3,MIN(L6+'WS Plan'!$H$115,$E$6+'WS Plan'!$H$114),L6),L6)</f>
        <v>0</v>
      </c>
      <c r="N6" s="59">
        <f>IF('WS Plan'!$E$113="Activate",IF('WS Plan'!$H$113&lt;=N$3,MIN(M6+'WS Plan'!$H$115,$E$6+'WS Plan'!$H$114),M6),M6)</f>
        <v>0</v>
      </c>
      <c r="O6" s="59">
        <f>IF('WS Plan'!$E$113="Activate",IF('WS Plan'!$H$113&lt;=O$3,MIN(N6+'WS Plan'!$H$115,$E$6+'WS Plan'!$H$114),N6),N6)</f>
        <v>0</v>
      </c>
    </row>
    <row r="7" spans="1:15" x14ac:dyDescent="0.25">
      <c r="B7" s="14"/>
      <c r="C7" s="22" t="s">
        <v>230</v>
      </c>
      <c r="D7" s="95"/>
      <c r="E7" s="15">
        <f>'WSS Profile'!$G$49</f>
        <v>0</v>
      </c>
      <c r="F7" s="59">
        <f>IF('WS Plan'!$E$108="Activate",IF('WS Plan'!$H$108+1&lt;=F$3,MIN(E7+'WS Plan'!$H$110,$E$7+'WS Plan'!$H$109),E7),E7)</f>
        <v>0</v>
      </c>
      <c r="G7" s="59">
        <f>IF('WS Plan'!$E$108="Activate",IF('WS Plan'!$H$108+1&lt;=G$3,MIN(F7+'WS Plan'!$H$110,$E$7+'WS Plan'!$H$109),F7),F7)</f>
        <v>0</v>
      </c>
      <c r="H7" s="59">
        <f>IF('WS Plan'!$E$108="Activate",IF('WS Plan'!$H$108+1&lt;=H$3,MIN(G7+'WS Plan'!$H$110,$E$7+'WS Plan'!$H$109),G7),G7)</f>
        <v>0</v>
      </c>
      <c r="I7" s="59">
        <f>IF('WS Plan'!$E$108="Activate",IF('WS Plan'!$H$108+1&lt;=I$3,MIN(H7+'WS Plan'!$H$110,$E$7+'WS Plan'!$H$109),H7),H7)</f>
        <v>0</v>
      </c>
      <c r="J7" s="59">
        <f>IF('WS Plan'!$E$108="Activate",IF('WS Plan'!$H$108+1&lt;=J$3,MIN(I7+'WS Plan'!$H$110,$E$7+'WS Plan'!$H$109),I7),I7)</f>
        <v>0</v>
      </c>
      <c r="K7" s="59">
        <f>IF('WS Plan'!$E$108="Activate",IF('WS Plan'!$H$108+1&lt;=K$3,MIN(J7+'WS Plan'!$H$110,$E$7+'WS Plan'!$H$109),J7),J7)</f>
        <v>0</v>
      </c>
      <c r="L7" s="59">
        <f>IF('WS Plan'!$E$108="Activate",IF('WS Plan'!$H$108+1&lt;=L$3,MIN(K7+'WS Plan'!$H$110,$E$7+'WS Plan'!$H$109),K7),K7)</f>
        <v>0</v>
      </c>
      <c r="M7" s="59">
        <f>IF('WS Plan'!$E$108="Activate",IF('WS Plan'!$H$108+1&lt;=M$3,MIN(L7+'WS Plan'!$H$110,$E$7+'WS Plan'!$H$109),L7),L7)</f>
        <v>0</v>
      </c>
      <c r="N7" s="59">
        <f>IF('WS Plan'!$E$108="Activate",IF('WS Plan'!$H$108+1&lt;=N$3,MIN(M7+'WS Plan'!$H$110,$E$7+'WS Plan'!$H$109),M7),M7)</f>
        <v>0</v>
      </c>
      <c r="O7" s="59">
        <f>IF('WS Plan'!$E$108="Activate",IF('WS Plan'!$H$108+1&lt;=O$3,MIN(N7+'WS Plan'!$H$110,$E$7+'WS Plan'!$H$109),N7),N7)</f>
        <v>0</v>
      </c>
    </row>
    <row r="8" spans="1:15" s="53" customFormat="1" x14ac:dyDescent="0.25">
      <c r="A8" s="676"/>
      <c r="B8" s="667"/>
      <c r="C8" s="677" t="s">
        <v>445</v>
      </c>
      <c r="D8" s="678"/>
      <c r="E8" s="679">
        <f>SUM(E4:E7)</f>
        <v>0</v>
      </c>
      <c r="F8" s="679">
        <f t="shared" ref="F8:O8" si="0">SUM(F4:F7)</f>
        <v>0</v>
      </c>
      <c r="G8" s="679">
        <f t="shared" si="0"/>
        <v>0</v>
      </c>
      <c r="H8" s="679">
        <f t="shared" si="0"/>
        <v>0</v>
      </c>
      <c r="I8" s="679">
        <f t="shared" si="0"/>
        <v>0</v>
      </c>
      <c r="J8" s="679">
        <f t="shared" si="0"/>
        <v>0</v>
      </c>
      <c r="K8" s="679">
        <f t="shared" si="0"/>
        <v>0</v>
      </c>
      <c r="L8" s="679">
        <f t="shared" si="0"/>
        <v>0</v>
      </c>
      <c r="M8" s="679">
        <f t="shared" si="0"/>
        <v>0</v>
      </c>
      <c r="N8" s="679">
        <f t="shared" si="0"/>
        <v>0</v>
      </c>
      <c r="O8" s="679">
        <f t="shared" si="0"/>
        <v>0</v>
      </c>
    </row>
    <row r="9" spans="1:15" x14ac:dyDescent="0.25">
      <c r="A9" s="1169"/>
      <c r="B9" s="760">
        <v>2</v>
      </c>
      <c r="C9" s="1170" t="s">
        <v>20</v>
      </c>
      <c r="D9" s="1167"/>
      <c r="E9" s="1173">
        <f>'WSS Profile'!$G$56</f>
        <v>0</v>
      </c>
      <c r="F9" s="1174">
        <f>IF('WS Plan'!$E$174="Activate",IF('WS Plan'!$H$174+1='WS calcu'!F$3,'WS Plan'!$H$176,'WS calcu'!E9),'WS calcu'!E9)</f>
        <v>0</v>
      </c>
      <c r="G9" s="1174">
        <f>IF('WS Plan'!$E$174="Activate",IF('WS Plan'!$H$174+1='WS calcu'!G$3,'WS Plan'!$H$176,'WS calcu'!F9),'WS calcu'!F9)</f>
        <v>0</v>
      </c>
      <c r="H9" s="1174">
        <f>IF('WS Plan'!$E$174="Activate",IF('WS Plan'!$H$174+1='WS calcu'!H$3,'WS Plan'!$H$176,'WS calcu'!G9),'WS calcu'!G9)</f>
        <v>0</v>
      </c>
      <c r="I9" s="1174">
        <f>IF('WS Plan'!$E$174="Activate",IF('WS Plan'!$H$174+1='WS calcu'!I$3,'WS Plan'!$H$176,'WS calcu'!H9),'WS calcu'!H9)</f>
        <v>0</v>
      </c>
      <c r="J9" s="1174">
        <f>IF('WS Plan'!$E$174="Activate",IF('WS Plan'!$H$174+1='WS calcu'!J$3,'WS Plan'!$H$176,'WS calcu'!I9),'WS calcu'!I9)</f>
        <v>0</v>
      </c>
      <c r="K9" s="1174">
        <f>IF('WS Plan'!$E$174="Activate",IF('WS Plan'!$H$174+1='WS calcu'!K$3,'WS Plan'!$H$176,'WS calcu'!J9),'WS calcu'!J9)</f>
        <v>0</v>
      </c>
      <c r="L9" s="1174">
        <f>IF('WS Plan'!$E$174="Activate",IF('WS Plan'!$H$174+1='WS calcu'!L$3,'WS Plan'!$H$176,'WS calcu'!K9),'WS calcu'!K9)</f>
        <v>0</v>
      </c>
      <c r="M9" s="1174">
        <f>IF('WS Plan'!$E$174="Activate",IF('WS Plan'!$H$174+1='WS calcu'!M$3,'WS Plan'!$H$176,'WS calcu'!L9),'WS calcu'!L9)</f>
        <v>0</v>
      </c>
      <c r="N9" s="1174">
        <f>IF('WS Plan'!$E$174="Activate",IF('WS Plan'!$H$174+1='WS calcu'!N$3,'WS Plan'!$H$176,'WS calcu'!M9),'WS calcu'!M9)</f>
        <v>0</v>
      </c>
      <c r="O9" s="1174">
        <f>IF('WS Plan'!$E$174="Activate",IF('WS Plan'!$H$174+1='WS calcu'!O$3,'WS Plan'!$H$176,'WS calcu'!N9),'WS calcu'!N9)</f>
        <v>0</v>
      </c>
    </row>
    <row r="10" spans="1:15" ht="15.75" customHeight="1" x14ac:dyDescent="0.25">
      <c r="A10" s="27"/>
      <c r="B10" s="14"/>
      <c r="C10" s="22" t="s">
        <v>231</v>
      </c>
      <c r="D10" s="95"/>
      <c r="E10" s="15">
        <f t="shared" ref="E10:O10" si="1">(E4+E5)*(1-E9)</f>
        <v>0</v>
      </c>
      <c r="F10" s="15">
        <f t="shared" si="1"/>
        <v>0</v>
      </c>
      <c r="G10" s="15">
        <f t="shared" si="1"/>
        <v>0</v>
      </c>
      <c r="H10" s="15">
        <f t="shared" si="1"/>
        <v>0</v>
      </c>
      <c r="I10" s="15">
        <f t="shared" si="1"/>
        <v>0</v>
      </c>
      <c r="J10" s="15">
        <f t="shared" si="1"/>
        <v>0</v>
      </c>
      <c r="K10" s="15">
        <f t="shared" si="1"/>
        <v>0</v>
      </c>
      <c r="L10" s="15">
        <f t="shared" si="1"/>
        <v>0</v>
      </c>
      <c r="M10" s="15">
        <f t="shared" si="1"/>
        <v>0</v>
      </c>
      <c r="N10" s="15">
        <f t="shared" si="1"/>
        <v>0</v>
      </c>
      <c r="O10" s="15">
        <f t="shared" si="1"/>
        <v>0</v>
      </c>
    </row>
    <row r="11" spans="1:15" ht="15.75" customHeight="1" x14ac:dyDescent="0.25">
      <c r="A11" s="27"/>
      <c r="B11" s="14"/>
      <c r="C11" s="22"/>
      <c r="D11" s="95"/>
      <c r="E11" s="15">
        <f>E10+E7+E6</f>
        <v>0</v>
      </c>
      <c r="F11" s="15">
        <f t="shared" ref="F11:O11" si="2">F10+F7+F6</f>
        <v>0</v>
      </c>
      <c r="G11" s="15">
        <f t="shared" si="2"/>
        <v>0</v>
      </c>
      <c r="H11" s="15">
        <f t="shared" si="2"/>
        <v>0</v>
      </c>
      <c r="I11" s="15">
        <f t="shared" si="2"/>
        <v>0</v>
      </c>
      <c r="J11" s="15">
        <f t="shared" si="2"/>
        <v>0</v>
      </c>
      <c r="K11" s="15">
        <f t="shared" si="2"/>
        <v>0</v>
      </c>
      <c r="L11" s="15">
        <f t="shared" si="2"/>
        <v>0</v>
      </c>
      <c r="M11" s="15">
        <f t="shared" si="2"/>
        <v>0</v>
      </c>
      <c r="N11" s="15">
        <f t="shared" si="2"/>
        <v>0</v>
      </c>
      <c r="O11" s="15">
        <f t="shared" si="2"/>
        <v>0</v>
      </c>
    </row>
    <row r="12" spans="1:15" ht="15" customHeight="1" x14ac:dyDescent="0.25">
      <c r="B12" s="14"/>
      <c r="C12" s="22" t="s">
        <v>226</v>
      </c>
      <c r="D12" s="95"/>
      <c r="E12" s="59">
        <f>'WSS Profile'!$G$61</f>
        <v>0</v>
      </c>
      <c r="F12" s="59">
        <f>IF('WS Plan'!$E$129="Activate",IF(F3='WS Plan'!$H$129+1,'WS calcu'!E12+'WS Plan'!$H$132,'WS calcu'!E12),'WS calcu'!E12)</f>
        <v>0</v>
      </c>
      <c r="G12" s="59">
        <f>IF('WS Plan'!$E$129="Activate",IF(G3='WS Plan'!$H$129+1,'WS calcu'!F12+'WS Plan'!$H$132,'WS calcu'!F12),'WS calcu'!F12)</f>
        <v>0</v>
      </c>
      <c r="H12" s="59">
        <f>IF('WS Plan'!$E$129="Activate",IF(H3='WS Plan'!$H$129+1,'WS calcu'!G12+'WS Plan'!$H$132,'WS calcu'!G12),'WS calcu'!G12)</f>
        <v>0</v>
      </c>
      <c r="I12" s="59">
        <f>IF('WS Plan'!$E$129="Activate",IF(I3='WS Plan'!$H$129+1,'WS calcu'!H12+'WS Plan'!$H$132,'WS calcu'!H12),'WS calcu'!H12)</f>
        <v>0</v>
      </c>
      <c r="J12" s="59">
        <f>IF('WS Plan'!$E$129="Activate",IF(J3='WS Plan'!$H$129+1,'WS calcu'!I12+'WS Plan'!$H$132,'WS calcu'!I12),'WS calcu'!I12)</f>
        <v>0</v>
      </c>
      <c r="K12" s="59">
        <f>IF('WS Plan'!$E$129="Activate",IF(K3='WS Plan'!$H$129+1,'WS calcu'!J12+'WS Plan'!$H$132,'WS calcu'!J12),'WS calcu'!J12)</f>
        <v>0</v>
      </c>
      <c r="L12" s="59">
        <f>IF('WS Plan'!$E$129="Activate",IF(L3='WS Plan'!$H$129+1,'WS calcu'!K12+'WS Plan'!$H$132,'WS calcu'!K12),'WS calcu'!K12)</f>
        <v>0</v>
      </c>
      <c r="M12" s="59">
        <f>IF('WS Plan'!$E$129="Activate",IF(M3='WS Plan'!$H$129+1,'WS calcu'!L12+'WS Plan'!$H$132,'WS calcu'!L12),'WS calcu'!L12)</f>
        <v>0</v>
      </c>
      <c r="N12" s="59">
        <f>IF('WS Plan'!$E$129="Activate",IF(N3='WS Plan'!$H$129+1,'WS calcu'!M12+'WS Plan'!$H$132,'WS calcu'!M12),'WS calcu'!M12)</f>
        <v>0</v>
      </c>
      <c r="O12" s="59">
        <f>IF('WS Plan'!$E$129="Activate",IF(O3='WS Plan'!$H$129+1,'WS calcu'!N12+'WS Plan'!$H$132,'WS calcu'!N12),'WS calcu'!N12)</f>
        <v>0</v>
      </c>
    </row>
    <row r="13" spans="1:15" ht="15" customHeight="1" x14ac:dyDescent="0.25">
      <c r="A13" s="27"/>
      <c r="B13" s="14"/>
      <c r="C13" s="22" t="s">
        <v>2782</v>
      </c>
      <c r="D13" s="95"/>
      <c r="E13" s="59">
        <f>'WSS Profile'!G62</f>
        <v>0</v>
      </c>
      <c r="F13" s="59">
        <f>IF(AND('WS Plan'!$E$87="Activate",'WS calcu'!F$3&gt;'WS Plan'!$H$87),'WS Plan'!$H$90+'WS calcu'!$E$13,'WS calcu'!$E$13)+(F12-$E$12)</f>
        <v>0</v>
      </c>
      <c r="G13" s="59">
        <f>IF(AND('WS Plan'!$E$87="Activate",'WS calcu'!G$3&gt;'WS Plan'!$H$87),'WS Plan'!$H$90+'WS calcu'!$E$13,'WS calcu'!$E$13)+(G12-$E$12)</f>
        <v>0</v>
      </c>
      <c r="H13" s="59">
        <f>IF(AND('WS Plan'!$E$87="Activate",'WS calcu'!H$3&gt;'WS Plan'!$H$87),'WS Plan'!$H$90+'WS calcu'!$E$13,'WS calcu'!$E$13)+(H12-$E$12)</f>
        <v>0</v>
      </c>
      <c r="I13" s="59">
        <f>IF(AND('WS Plan'!$E$87="Activate",'WS calcu'!I$3&gt;'WS Plan'!$H$87),'WS Plan'!$H$90+'WS calcu'!$E$13,'WS calcu'!$E$13)+(I12-$E$12)</f>
        <v>0</v>
      </c>
      <c r="J13" s="59">
        <f>IF(AND('WS Plan'!$E$87="Activate",'WS calcu'!J$3&gt;'WS Plan'!$H$87),'WS Plan'!$H$90+'WS calcu'!$E$13,'WS calcu'!$E$13)+(J12-$E$12)</f>
        <v>0</v>
      </c>
      <c r="K13" s="59">
        <f>IF(AND('WS Plan'!$E$87="Activate",'WS calcu'!K$3&gt;'WS Plan'!$H$87),'WS Plan'!$H$90+'WS calcu'!$E$13,'WS calcu'!$E$13)+(K12-$E$12)</f>
        <v>0</v>
      </c>
      <c r="L13" s="59">
        <f>IF(AND('WS Plan'!$E$87="Activate",'WS calcu'!L$3&gt;'WS Plan'!$H$87),'WS Plan'!$H$90+'WS calcu'!$E$13,'WS calcu'!$E$13)+(L12-$E$12)</f>
        <v>0</v>
      </c>
      <c r="M13" s="59">
        <f>IF(AND('WS Plan'!$E$87="Activate",'WS calcu'!M$3&gt;'WS Plan'!$H$87),'WS Plan'!$H$90+'WS calcu'!$E$13,'WS calcu'!$E$13)+(M12-$E$12)</f>
        <v>0</v>
      </c>
      <c r="N13" s="59">
        <f>IF(AND('WS Plan'!$E$87="Activate",'WS calcu'!N$3&gt;'WS Plan'!$H$87),'WS Plan'!$H$90+'WS calcu'!$E$13,'WS calcu'!$E$13)+(N12-$E$12)</f>
        <v>0</v>
      </c>
      <c r="O13" s="59">
        <f>IF(AND('WS Plan'!$E$87="Activate",'WS calcu'!O$3&gt;'WS Plan'!$H$87),'WS Plan'!$H$90+'WS calcu'!$E$13,'WS calcu'!$E$13)+(O12-$E$12)</f>
        <v>0</v>
      </c>
    </row>
    <row r="14" spans="1:15" x14ac:dyDescent="0.25">
      <c r="B14" s="14"/>
      <c r="C14" s="22" t="s">
        <v>229</v>
      </c>
      <c r="D14" s="95" t="s">
        <v>242</v>
      </c>
      <c r="E14" s="59">
        <f>MIN(E10,E13)</f>
        <v>0</v>
      </c>
      <c r="F14" s="59">
        <f>MIN(F10,F13)</f>
        <v>0</v>
      </c>
      <c r="G14" s="59">
        <f>MIN(G10,G13)</f>
        <v>0</v>
      </c>
      <c r="H14" s="59">
        <f t="shared" ref="H14:O14" si="3">MIN(H10,H13)</f>
        <v>0</v>
      </c>
      <c r="I14" s="59">
        <f t="shared" si="3"/>
        <v>0</v>
      </c>
      <c r="J14" s="59">
        <f t="shared" si="3"/>
        <v>0</v>
      </c>
      <c r="K14" s="59">
        <f t="shared" si="3"/>
        <v>0</v>
      </c>
      <c r="L14" s="59">
        <f t="shared" si="3"/>
        <v>0</v>
      </c>
      <c r="M14" s="59">
        <f t="shared" si="3"/>
        <v>0</v>
      </c>
      <c r="N14" s="59">
        <f t="shared" si="3"/>
        <v>0</v>
      </c>
      <c r="O14" s="59">
        <f t="shared" si="3"/>
        <v>0</v>
      </c>
    </row>
    <row r="15" spans="1:15" x14ac:dyDescent="0.25">
      <c r="B15" s="14"/>
      <c r="C15" s="22" t="s">
        <v>446</v>
      </c>
      <c r="D15" s="95"/>
      <c r="E15" s="148">
        <f>'WSS Profile'!$G$63</f>
        <v>0</v>
      </c>
      <c r="F15" s="148">
        <f>IF('WS Plan'!$E$178="Activate",IF('WS Plan'!$H$178+1='WS calcu'!F$3,'WS Plan'!$H$180,'WS calcu'!E15),'WS calcu'!E15)</f>
        <v>0</v>
      </c>
      <c r="G15" s="148">
        <f>IF('WS Plan'!$E$178="Activate",IF('WS Plan'!$H$178+1='WS calcu'!G$3,'WS Plan'!$H$180,'WS calcu'!F15),'WS calcu'!F15)</f>
        <v>0</v>
      </c>
      <c r="H15" s="148">
        <f>IF('WS Plan'!$E$178="Activate",IF('WS Plan'!$H$178+1='WS calcu'!H$3,'WS Plan'!$H$180,'WS calcu'!G15),'WS calcu'!G15)</f>
        <v>0</v>
      </c>
      <c r="I15" s="148">
        <f>IF('WS Plan'!$E$178="Activate",IF('WS Plan'!$H$178+1='WS calcu'!I$3,'WS Plan'!$H$180,'WS calcu'!H15),'WS calcu'!H15)</f>
        <v>0</v>
      </c>
      <c r="J15" s="148">
        <f>IF('WS Plan'!$E$178="Activate",IF('WS Plan'!$H$178+1='WS calcu'!J$3,'WS Plan'!$H$180,'WS calcu'!I15),'WS calcu'!I15)</f>
        <v>0</v>
      </c>
      <c r="K15" s="148">
        <f>IF('WS Plan'!$E$178="Activate",IF('WS Plan'!$H$178+1='WS calcu'!K$3,'WS Plan'!$H$180,'WS calcu'!J15),'WS calcu'!J15)</f>
        <v>0</v>
      </c>
      <c r="L15" s="148">
        <f>IF('WS Plan'!$E$178="Activate",IF('WS Plan'!$H$178+1='WS calcu'!L$3,'WS Plan'!$H$180,'WS calcu'!K15),'WS calcu'!K15)</f>
        <v>0</v>
      </c>
      <c r="M15" s="148">
        <f>IF('WS Plan'!$E$178="Activate",IF('WS Plan'!$H$178+1='WS calcu'!M$3,'WS Plan'!$H$180,'WS calcu'!L15),'WS calcu'!L15)</f>
        <v>0</v>
      </c>
      <c r="N15" s="148">
        <f>IF('WS Plan'!$E$178="Activate",IF('WS Plan'!$H$178+1='WS calcu'!N$3,'WS Plan'!$H$180,'WS calcu'!M15),'WS calcu'!M15)</f>
        <v>0</v>
      </c>
      <c r="O15" s="148">
        <f>IF('WS Plan'!$E$178="Activate",IF('WS Plan'!$H$178+1='WS calcu'!O$3,'WS Plan'!$H$180,'WS calcu'!N15),'WS calcu'!N15)</f>
        <v>0</v>
      </c>
    </row>
    <row r="16" spans="1:15" x14ac:dyDescent="0.25">
      <c r="B16" s="14"/>
      <c r="C16" s="311" t="s">
        <v>236</v>
      </c>
      <c r="D16" s="95" t="s">
        <v>243</v>
      </c>
      <c r="E16" s="59">
        <f>E14*(1-E15)</f>
        <v>0</v>
      </c>
      <c r="F16" s="59">
        <f t="shared" ref="F16:O16" si="4">F14*(1-F15)</f>
        <v>0</v>
      </c>
      <c r="G16" s="59">
        <f t="shared" si="4"/>
        <v>0</v>
      </c>
      <c r="H16" s="59">
        <f t="shared" si="4"/>
        <v>0</v>
      </c>
      <c r="I16" s="59">
        <f t="shared" si="4"/>
        <v>0</v>
      </c>
      <c r="J16" s="59">
        <f t="shared" si="4"/>
        <v>0</v>
      </c>
      <c r="K16" s="59">
        <f t="shared" si="4"/>
        <v>0</v>
      </c>
      <c r="L16" s="59">
        <f t="shared" si="4"/>
        <v>0</v>
      </c>
      <c r="M16" s="59">
        <f t="shared" si="4"/>
        <v>0</v>
      </c>
      <c r="N16" s="59">
        <f t="shared" si="4"/>
        <v>0</v>
      </c>
      <c r="O16" s="59">
        <f t="shared" si="4"/>
        <v>0</v>
      </c>
    </row>
    <row r="17" spans="1:15" x14ac:dyDescent="0.25">
      <c r="B17" s="14"/>
      <c r="C17" s="280" t="s">
        <v>232</v>
      </c>
      <c r="D17" s="95" t="s">
        <v>244</v>
      </c>
      <c r="E17" s="59">
        <f>'WSS Profile'!$G$68</f>
        <v>0</v>
      </c>
      <c r="F17" s="59">
        <f t="shared" ref="F17:O17" si="5">MAX(F10-F14,0)</f>
        <v>0</v>
      </c>
      <c r="G17" s="59">
        <f t="shared" si="5"/>
        <v>0</v>
      </c>
      <c r="H17" s="59">
        <f t="shared" si="5"/>
        <v>0</v>
      </c>
      <c r="I17" s="59">
        <f t="shared" si="5"/>
        <v>0</v>
      </c>
      <c r="J17" s="59">
        <f t="shared" si="5"/>
        <v>0</v>
      </c>
      <c r="K17" s="59">
        <f t="shared" si="5"/>
        <v>0</v>
      </c>
      <c r="L17" s="59">
        <f t="shared" si="5"/>
        <v>0</v>
      </c>
      <c r="M17" s="59">
        <f t="shared" si="5"/>
        <v>0</v>
      </c>
      <c r="N17" s="59">
        <f t="shared" si="5"/>
        <v>0</v>
      </c>
      <c r="O17" s="59">
        <f t="shared" si="5"/>
        <v>0</v>
      </c>
    </row>
    <row r="18" spans="1:15" x14ac:dyDescent="0.25">
      <c r="B18" s="14"/>
      <c r="C18" s="28" t="s">
        <v>238</v>
      </c>
      <c r="D18" s="95" t="s">
        <v>245</v>
      </c>
      <c r="E18" s="59">
        <f>'WSS Profile'!$F$67</f>
        <v>0</v>
      </c>
      <c r="F18" s="59">
        <f>IF('WS Plan'!$E$94="Activate",IF(F3='WS Plan'!$G$94,'WS calcu'!E18+'WS Plan'!$H$96,'WS calcu'!E18),'WS calcu'!E18)+(F7-E7)</f>
        <v>0</v>
      </c>
      <c r="G18" s="59">
        <f>IF('WS Plan'!$E$94="Activate",IF(G3='WS Plan'!$G$94,'WS calcu'!F18+'WS Plan'!$H$96,'WS calcu'!F18),'WS calcu'!F18)+(G7-F7)</f>
        <v>0</v>
      </c>
      <c r="H18" s="59">
        <f>IF('WS Plan'!$E$94="Activate",IF(H3='WS Plan'!$G$94,'WS calcu'!G18+'WS Plan'!$H$96,'WS calcu'!G18),'WS calcu'!G18)+(H7-G7)</f>
        <v>0</v>
      </c>
      <c r="I18" s="59">
        <f>IF('WS Plan'!$E$94="Activate",IF(I3='WS Plan'!$G$94,'WS calcu'!H18+'WS Plan'!$H$96,'WS calcu'!H18),'WS calcu'!H18)+(I7-H7)</f>
        <v>0</v>
      </c>
      <c r="J18" s="59">
        <f>IF('WS Plan'!$E$94="Activate",IF(J3='WS Plan'!$G$94,'WS calcu'!I18+'WS Plan'!$H$96,'WS calcu'!I18),'WS calcu'!I18)+(J7-I7)</f>
        <v>0</v>
      </c>
      <c r="K18" s="59">
        <f>IF('WS Plan'!$E$94="Activate",IF(K3='WS Plan'!$G$94,'WS calcu'!J18+'WS Plan'!$H$96,'WS calcu'!J18),'WS calcu'!J18)+(K7-J7)</f>
        <v>0</v>
      </c>
      <c r="L18" s="59">
        <f>IF('WS Plan'!$E$94="Activate",IF(L3='WS Plan'!$G$94,'WS calcu'!K18+'WS Plan'!$H$96,'WS calcu'!K18),'WS calcu'!K18)+(L7-K7)</f>
        <v>0</v>
      </c>
      <c r="M18" s="59">
        <f>IF('WS Plan'!$E$94="Activate",IF(M3='WS Plan'!$G$94,'WS calcu'!L18+'WS Plan'!$H$96,'WS calcu'!L18),'WS calcu'!L18)+(M7-L7)</f>
        <v>0</v>
      </c>
      <c r="N18" s="59">
        <f>IF('WS Plan'!$E$94="Activate",IF(N3='WS Plan'!$G$94,'WS calcu'!M18+'WS Plan'!$H$96,'WS calcu'!M18),'WS calcu'!M18)+(N7-M7)</f>
        <v>0</v>
      </c>
      <c r="O18" s="59">
        <f>IF('WS Plan'!$E$94="Activate",IF(O3='WS Plan'!$G$94,'WS calcu'!N18+'WS Plan'!$H$96,'WS calcu'!N18),'WS calcu'!N18)+(O7-N7)</f>
        <v>0</v>
      </c>
    </row>
    <row r="19" spans="1:15" x14ac:dyDescent="0.25">
      <c r="B19" s="14"/>
      <c r="C19" s="22" t="s">
        <v>237</v>
      </c>
      <c r="D19" s="95" t="s">
        <v>246</v>
      </c>
      <c r="E19" s="149">
        <f t="shared" ref="E19:O19" si="6">MAX(E7-E18,0)</f>
        <v>0</v>
      </c>
      <c r="F19" s="149">
        <f t="shared" si="6"/>
        <v>0</v>
      </c>
      <c r="G19" s="149">
        <f t="shared" si="6"/>
        <v>0</v>
      </c>
      <c r="H19" s="149">
        <f t="shared" si="6"/>
        <v>0</v>
      </c>
      <c r="I19" s="149">
        <f t="shared" si="6"/>
        <v>0</v>
      </c>
      <c r="J19" s="149">
        <f t="shared" si="6"/>
        <v>0</v>
      </c>
      <c r="K19" s="149">
        <f t="shared" si="6"/>
        <v>0</v>
      </c>
      <c r="L19" s="149">
        <f t="shared" si="6"/>
        <v>0</v>
      </c>
      <c r="M19" s="149">
        <f t="shared" si="6"/>
        <v>0</v>
      </c>
      <c r="N19" s="149">
        <f t="shared" si="6"/>
        <v>0</v>
      </c>
      <c r="O19" s="149">
        <f t="shared" si="6"/>
        <v>0</v>
      </c>
    </row>
    <row r="20" spans="1:15" x14ac:dyDescent="0.25">
      <c r="B20" s="14"/>
      <c r="C20" s="22" t="s">
        <v>239</v>
      </c>
      <c r="D20" s="95" t="s">
        <v>247</v>
      </c>
      <c r="E20" s="149">
        <f t="shared" ref="E20:O20" si="7">E16+E18+E6</f>
        <v>0</v>
      </c>
      <c r="F20" s="149">
        <f t="shared" si="7"/>
        <v>0</v>
      </c>
      <c r="G20" s="149">
        <f t="shared" si="7"/>
        <v>0</v>
      </c>
      <c r="H20" s="149">
        <f t="shared" si="7"/>
        <v>0</v>
      </c>
      <c r="I20" s="149">
        <f t="shared" si="7"/>
        <v>0</v>
      </c>
      <c r="J20" s="149">
        <f t="shared" si="7"/>
        <v>0</v>
      </c>
      <c r="K20" s="149">
        <f t="shared" si="7"/>
        <v>0</v>
      </c>
      <c r="L20" s="149">
        <f t="shared" si="7"/>
        <v>0</v>
      </c>
      <c r="M20" s="149">
        <f t="shared" si="7"/>
        <v>0</v>
      </c>
      <c r="N20" s="149">
        <f t="shared" si="7"/>
        <v>0</v>
      </c>
      <c r="O20" s="149">
        <f t="shared" si="7"/>
        <v>0</v>
      </c>
    </row>
    <row r="21" spans="1:15" x14ac:dyDescent="0.25">
      <c r="B21" s="14"/>
      <c r="C21" s="22" t="s">
        <v>240</v>
      </c>
      <c r="D21" s="95"/>
      <c r="E21" s="149">
        <f>E17+E19</f>
        <v>0</v>
      </c>
      <c r="F21" s="149">
        <f t="shared" ref="F21:O21" si="8">F17+F19</f>
        <v>0</v>
      </c>
      <c r="G21" s="149">
        <f t="shared" si="8"/>
        <v>0</v>
      </c>
      <c r="H21" s="149">
        <f t="shared" si="8"/>
        <v>0</v>
      </c>
      <c r="I21" s="149">
        <f t="shared" si="8"/>
        <v>0</v>
      </c>
      <c r="J21" s="149">
        <f t="shared" si="8"/>
        <v>0</v>
      </c>
      <c r="K21" s="149">
        <f t="shared" si="8"/>
        <v>0</v>
      </c>
      <c r="L21" s="149">
        <f t="shared" si="8"/>
        <v>0</v>
      </c>
      <c r="M21" s="149">
        <f t="shared" si="8"/>
        <v>0</v>
      </c>
      <c r="N21" s="149">
        <f t="shared" si="8"/>
        <v>0</v>
      </c>
      <c r="O21" s="149">
        <f t="shared" si="8"/>
        <v>0</v>
      </c>
    </row>
    <row r="22" spans="1:15" ht="16.5" customHeight="1" x14ac:dyDescent="0.25">
      <c r="A22" s="3"/>
      <c r="B22" s="680"/>
      <c r="C22" s="668" t="s">
        <v>100</v>
      </c>
      <c r="D22" s="681"/>
      <c r="E22" s="682">
        <f>E20+E21</f>
        <v>0</v>
      </c>
      <c r="F22" s="682">
        <f t="shared" ref="F22:O22" si="9">F20+F21</f>
        <v>0</v>
      </c>
      <c r="G22" s="682">
        <f t="shared" si="9"/>
        <v>0</v>
      </c>
      <c r="H22" s="682">
        <f t="shared" si="9"/>
        <v>0</v>
      </c>
      <c r="I22" s="682">
        <f t="shared" si="9"/>
        <v>0</v>
      </c>
      <c r="J22" s="682">
        <f t="shared" si="9"/>
        <v>0</v>
      </c>
      <c r="K22" s="682">
        <f t="shared" si="9"/>
        <v>0</v>
      </c>
      <c r="L22" s="682">
        <f t="shared" si="9"/>
        <v>0</v>
      </c>
      <c r="M22" s="682">
        <f t="shared" si="9"/>
        <v>0</v>
      </c>
      <c r="N22" s="682">
        <f t="shared" si="9"/>
        <v>0</v>
      </c>
      <c r="O22" s="682">
        <f t="shared" si="9"/>
        <v>0</v>
      </c>
    </row>
    <row r="23" spans="1:15" x14ac:dyDescent="0.25">
      <c r="A23" s="1169"/>
      <c r="B23" s="760"/>
      <c r="C23" s="1170" t="s">
        <v>101</v>
      </c>
      <c r="D23" s="1167"/>
      <c r="E23" s="1174">
        <f>'WSS Profile'!$G$76</f>
        <v>0</v>
      </c>
      <c r="F23" s="1174">
        <f>IF('WS Plan'!$E$182="Activate",IF('WS Plan'!$H$182+1='WS calcu'!F3,'WS Plan'!$H$184,'WS calcu'!E23),'WS calcu'!E23)</f>
        <v>0</v>
      </c>
      <c r="G23" s="1174">
        <f>IF('WS Plan'!$E$182="Activate",IF('WS Plan'!$H$182+1='WS calcu'!G3,'WS Plan'!$H$184,'WS calcu'!F23),'WS calcu'!F23)</f>
        <v>0</v>
      </c>
      <c r="H23" s="1174">
        <f>IF('WS Plan'!$E$182="Activate",IF('WS Plan'!$H$182+1='WS calcu'!H3,'WS Plan'!$H$184,'WS calcu'!G23),'WS calcu'!G23)</f>
        <v>0</v>
      </c>
      <c r="I23" s="1174">
        <f>IF('WS Plan'!$E$182="Activate",IF('WS Plan'!$H$182+1='WS calcu'!I3,'WS Plan'!$H$184,'WS calcu'!H23),'WS calcu'!H23)</f>
        <v>0</v>
      </c>
      <c r="J23" s="1174">
        <f>IF('WS Plan'!$E$182="Activate",IF('WS Plan'!$H$182+1='WS calcu'!J3,'WS Plan'!$H$184,'WS calcu'!I23),'WS calcu'!I23)</f>
        <v>0</v>
      </c>
      <c r="K23" s="1174">
        <f>IF('WS Plan'!$E$182="Activate",IF('WS Plan'!$H$182+1='WS calcu'!K3,'WS Plan'!$H$184,'WS calcu'!J23),'WS calcu'!J23)</f>
        <v>0</v>
      </c>
      <c r="L23" s="1174">
        <f>IF('WS Plan'!$E$182="Activate",IF('WS Plan'!$H$182+1='WS calcu'!L3,'WS Plan'!$H$184,'WS calcu'!K23),'WS calcu'!K23)</f>
        <v>0</v>
      </c>
      <c r="M23" s="1174">
        <f>IF('WS Plan'!$E$182="Activate",IF('WS Plan'!$H$182+1='WS calcu'!M3,'WS Plan'!$H$184,'WS calcu'!L23),'WS calcu'!L23)</f>
        <v>0</v>
      </c>
      <c r="N23" s="1174">
        <f>IF('WS Plan'!$E$182="Activate",IF('WS Plan'!$H$182+1='WS calcu'!N3,'WS Plan'!$H$184,'WS calcu'!M23),'WS calcu'!M23)</f>
        <v>0</v>
      </c>
      <c r="O23" s="1174">
        <f>IF('WS Plan'!$E$182="Activate",IF('WS Plan'!$H$182+1='WS calcu'!O3,'WS Plan'!$H$184,'WS calcu'!N23),'WS calcu'!N23)</f>
        <v>0</v>
      </c>
    </row>
    <row r="24" spans="1:15" x14ac:dyDescent="0.25">
      <c r="A24" s="3"/>
      <c r="B24" s="680"/>
      <c r="C24" s="683" t="s">
        <v>241</v>
      </c>
      <c r="D24" s="684" t="s">
        <v>248</v>
      </c>
      <c r="E24" s="682">
        <f t="shared" ref="E24:O24" si="10">((E22-(E18+E19))*(1-E23))+(E18+E19)</f>
        <v>0</v>
      </c>
      <c r="F24" s="682">
        <f t="shared" si="10"/>
        <v>0</v>
      </c>
      <c r="G24" s="682">
        <f t="shared" si="10"/>
        <v>0</v>
      </c>
      <c r="H24" s="682">
        <f t="shared" si="10"/>
        <v>0</v>
      </c>
      <c r="I24" s="682">
        <f>((I22-(I18+I19))*(1-I23))+(I18+I19)</f>
        <v>0</v>
      </c>
      <c r="J24" s="682">
        <f t="shared" si="10"/>
        <v>0</v>
      </c>
      <c r="K24" s="682">
        <f t="shared" si="10"/>
        <v>0</v>
      </c>
      <c r="L24" s="682">
        <f t="shared" si="10"/>
        <v>0</v>
      </c>
      <c r="M24" s="682">
        <f t="shared" si="10"/>
        <v>0</v>
      </c>
      <c r="N24" s="682">
        <f t="shared" si="10"/>
        <v>0</v>
      </c>
      <c r="O24" s="682">
        <f t="shared" si="10"/>
        <v>0</v>
      </c>
    </row>
    <row r="25" spans="1:15" x14ac:dyDescent="0.25">
      <c r="A25" s="1169"/>
      <c r="B25" s="760"/>
      <c r="C25" s="1170" t="s">
        <v>102</v>
      </c>
      <c r="D25" s="1167" t="s">
        <v>251</v>
      </c>
      <c r="E25" s="1171">
        <f>'WSS Profile'!$G$146</f>
        <v>0</v>
      </c>
      <c r="F25" s="1172">
        <f>$E$25-SUM($F41)</f>
        <v>0</v>
      </c>
      <c r="G25" s="1172">
        <f>$E$25-SUM($F41:G41)</f>
        <v>0</v>
      </c>
      <c r="H25" s="1172">
        <f>$E$25-SUM($F41:H41)</f>
        <v>0</v>
      </c>
      <c r="I25" s="1172">
        <f>$E$25-SUM($F41:I41)</f>
        <v>0</v>
      </c>
      <c r="J25" s="1172">
        <f>$E$25-SUM($F41:J41)</f>
        <v>0</v>
      </c>
      <c r="K25" s="1172">
        <f>$E$25-SUM($F41:K41)</f>
        <v>0</v>
      </c>
      <c r="L25" s="1172">
        <f>$E$25-SUM($F41:L41)</f>
        <v>0</v>
      </c>
      <c r="M25" s="1172">
        <f>$E$25-SUM($F41:M41)</f>
        <v>0</v>
      </c>
      <c r="N25" s="1172">
        <f>$E$25-SUM($F41:N41)</f>
        <v>0</v>
      </c>
      <c r="O25" s="1172">
        <f>$E$25-SUM($F41:O41)</f>
        <v>0</v>
      </c>
    </row>
    <row r="26" spans="1:15" s="76" customFormat="1" ht="30" x14ac:dyDescent="0.25">
      <c r="A26" s="685"/>
      <c r="B26" s="680"/>
      <c r="C26" s="668" t="s">
        <v>250</v>
      </c>
      <c r="D26" s="684" t="s">
        <v>249</v>
      </c>
      <c r="E26" s="686">
        <f t="shared" ref="E26:O26" si="11">E24*(1-E25)</f>
        <v>0</v>
      </c>
      <c r="F26" s="686">
        <f t="shared" si="11"/>
        <v>0</v>
      </c>
      <c r="G26" s="686">
        <f t="shared" si="11"/>
        <v>0</v>
      </c>
      <c r="H26" s="686">
        <f>H24*(1-H25)</f>
        <v>0</v>
      </c>
      <c r="I26" s="686">
        <f t="shared" si="11"/>
        <v>0</v>
      </c>
      <c r="J26" s="686">
        <f t="shared" si="11"/>
        <v>0</v>
      </c>
      <c r="K26" s="686">
        <f t="shared" si="11"/>
        <v>0</v>
      </c>
      <c r="L26" s="686">
        <f t="shared" si="11"/>
        <v>0</v>
      </c>
      <c r="M26" s="686">
        <f t="shared" si="11"/>
        <v>0</v>
      </c>
      <c r="N26" s="686">
        <f t="shared" si="11"/>
        <v>0</v>
      </c>
      <c r="O26" s="686">
        <f t="shared" si="11"/>
        <v>0</v>
      </c>
    </row>
    <row r="27" spans="1:15" x14ac:dyDescent="0.25">
      <c r="B27" s="14"/>
      <c r="C27" s="18" t="s">
        <v>307</v>
      </c>
      <c r="D27" s="96"/>
      <c r="E27" s="150">
        <f t="shared" ref="E27:O27" si="12">E$233+E$234</f>
        <v>0</v>
      </c>
      <c r="F27" s="150">
        <f t="shared" si="12"/>
        <v>0</v>
      </c>
      <c r="G27" s="150">
        <f t="shared" si="12"/>
        <v>0</v>
      </c>
      <c r="H27" s="150">
        <f t="shared" si="12"/>
        <v>0</v>
      </c>
      <c r="I27" s="150">
        <f t="shared" si="12"/>
        <v>0</v>
      </c>
      <c r="J27" s="150">
        <f t="shared" si="12"/>
        <v>0</v>
      </c>
      <c r="K27" s="150">
        <f t="shared" si="12"/>
        <v>0</v>
      </c>
      <c r="L27" s="150">
        <f t="shared" si="12"/>
        <v>0</v>
      </c>
      <c r="M27" s="150">
        <f t="shared" si="12"/>
        <v>0</v>
      </c>
      <c r="N27" s="150">
        <f t="shared" si="12"/>
        <v>0</v>
      </c>
      <c r="O27" s="150">
        <f t="shared" si="12"/>
        <v>0</v>
      </c>
    </row>
    <row r="28" spans="1:15" s="260" customFormat="1" x14ac:dyDescent="0.25">
      <c r="A28" s="356"/>
      <c r="B28" s="357"/>
      <c r="C28" s="358" t="s">
        <v>306</v>
      </c>
      <c r="D28" s="359"/>
      <c r="E28" s="360">
        <f>E$235</f>
        <v>0</v>
      </c>
      <c r="F28" s="360">
        <f t="shared" ref="F28:O28" si="13">F$235</f>
        <v>0</v>
      </c>
      <c r="G28" s="360">
        <f t="shared" si="13"/>
        <v>0</v>
      </c>
      <c r="H28" s="360">
        <f t="shared" si="13"/>
        <v>0</v>
      </c>
      <c r="I28" s="360">
        <f t="shared" si="13"/>
        <v>0</v>
      </c>
      <c r="J28" s="360">
        <f t="shared" si="13"/>
        <v>0</v>
      </c>
      <c r="K28" s="360">
        <f t="shared" si="13"/>
        <v>0</v>
      </c>
      <c r="L28" s="360">
        <f t="shared" si="13"/>
        <v>0</v>
      </c>
      <c r="M28" s="360">
        <f t="shared" si="13"/>
        <v>0</v>
      </c>
      <c r="N28" s="360">
        <f t="shared" si="13"/>
        <v>0</v>
      </c>
      <c r="O28" s="360">
        <f t="shared" si="13"/>
        <v>0</v>
      </c>
    </row>
    <row r="29" spans="1:15" x14ac:dyDescent="0.25">
      <c r="A29" s="3"/>
      <c r="B29" s="680"/>
      <c r="C29" s="687" t="s">
        <v>103</v>
      </c>
      <c r="D29" s="684" t="s">
        <v>19</v>
      </c>
      <c r="E29" s="682">
        <f>E26-E27-E28</f>
        <v>0</v>
      </c>
      <c r="F29" s="682">
        <f t="shared" ref="F29:O29" si="14">F26-F27-F28</f>
        <v>0</v>
      </c>
      <c r="G29" s="682">
        <f t="shared" si="14"/>
        <v>0</v>
      </c>
      <c r="H29" s="682">
        <f t="shared" si="14"/>
        <v>0</v>
      </c>
      <c r="I29" s="682">
        <f t="shared" si="14"/>
        <v>0</v>
      </c>
      <c r="J29" s="682">
        <f t="shared" si="14"/>
        <v>0</v>
      </c>
      <c r="K29" s="682">
        <f t="shared" si="14"/>
        <v>0</v>
      </c>
      <c r="L29" s="682">
        <f t="shared" si="14"/>
        <v>0</v>
      </c>
      <c r="M29" s="682">
        <f t="shared" si="14"/>
        <v>0</v>
      </c>
      <c r="N29" s="682">
        <f t="shared" si="14"/>
        <v>0</v>
      </c>
      <c r="O29" s="682">
        <f t="shared" si="14"/>
        <v>0</v>
      </c>
    </row>
    <row r="30" spans="1:15" x14ac:dyDescent="0.25">
      <c r="B30" s="14"/>
      <c r="C30" s="18" t="s">
        <v>104</v>
      </c>
      <c r="D30" s="95" t="s">
        <v>19</v>
      </c>
      <c r="E30" s="59">
        <f>E22-E29</f>
        <v>0</v>
      </c>
      <c r="F30" s="59">
        <f t="shared" ref="F30:O30" si="15">F22-F29</f>
        <v>0</v>
      </c>
      <c r="G30" s="59">
        <f t="shared" si="15"/>
        <v>0</v>
      </c>
      <c r="H30" s="59">
        <f t="shared" si="15"/>
        <v>0</v>
      </c>
      <c r="I30" s="59">
        <f t="shared" si="15"/>
        <v>0</v>
      </c>
      <c r="J30" s="59">
        <f t="shared" si="15"/>
        <v>0</v>
      </c>
      <c r="K30" s="59">
        <f t="shared" si="15"/>
        <v>0</v>
      </c>
      <c r="L30" s="59">
        <f t="shared" si="15"/>
        <v>0</v>
      </c>
      <c r="M30" s="59">
        <f t="shared" si="15"/>
        <v>0</v>
      </c>
      <c r="N30" s="59">
        <f t="shared" si="15"/>
        <v>0</v>
      </c>
      <c r="O30" s="59">
        <f t="shared" si="15"/>
        <v>0</v>
      </c>
    </row>
    <row r="31" spans="1:15" x14ac:dyDescent="0.25">
      <c r="A31" s="750"/>
      <c r="B31" s="751"/>
      <c r="C31" s="752" t="s">
        <v>1360</v>
      </c>
      <c r="D31" s="771" t="s">
        <v>18</v>
      </c>
      <c r="E31" s="772">
        <f>IFERROR(E30/E22,0)</f>
        <v>0</v>
      </c>
      <c r="F31" s="772">
        <f t="shared" ref="F31:O31" si="16">IFERROR(F30/F22,0)</f>
        <v>0</v>
      </c>
      <c r="G31" s="772">
        <f t="shared" si="16"/>
        <v>0</v>
      </c>
      <c r="H31" s="772">
        <f t="shared" si="16"/>
        <v>0</v>
      </c>
      <c r="I31" s="772">
        <f t="shared" si="16"/>
        <v>0</v>
      </c>
      <c r="J31" s="772">
        <f t="shared" si="16"/>
        <v>0</v>
      </c>
      <c r="K31" s="772">
        <f t="shared" si="16"/>
        <v>0</v>
      </c>
      <c r="L31" s="772">
        <f t="shared" si="16"/>
        <v>0</v>
      </c>
      <c r="M31" s="772">
        <f t="shared" si="16"/>
        <v>0</v>
      </c>
      <c r="N31" s="772">
        <f t="shared" si="16"/>
        <v>0</v>
      </c>
      <c r="O31" s="772">
        <f t="shared" si="16"/>
        <v>0</v>
      </c>
    </row>
    <row r="32" spans="1:15" x14ac:dyDescent="0.25">
      <c r="A32" s="750"/>
      <c r="B32" s="751"/>
      <c r="C32" s="752" t="s">
        <v>1361</v>
      </c>
      <c r="D32" s="771"/>
      <c r="E32" s="772">
        <f>IFERROR((E8-E29)/E8,0)</f>
        <v>0</v>
      </c>
      <c r="F32" s="772">
        <f t="shared" ref="F32:O32" si="17">IFERROR((F8-F29)/F8,0)</f>
        <v>0</v>
      </c>
      <c r="G32" s="772">
        <f t="shared" si="17"/>
        <v>0</v>
      </c>
      <c r="H32" s="772">
        <f t="shared" si="17"/>
        <v>0</v>
      </c>
      <c r="I32" s="772">
        <f t="shared" si="17"/>
        <v>0</v>
      </c>
      <c r="J32" s="772">
        <f t="shared" si="17"/>
        <v>0</v>
      </c>
      <c r="K32" s="772">
        <f t="shared" si="17"/>
        <v>0</v>
      </c>
      <c r="L32" s="772">
        <f t="shared" si="17"/>
        <v>0</v>
      </c>
      <c r="M32" s="772">
        <f t="shared" si="17"/>
        <v>0</v>
      </c>
      <c r="N32" s="772">
        <f t="shared" si="17"/>
        <v>0</v>
      </c>
      <c r="O32" s="772">
        <f t="shared" si="17"/>
        <v>0</v>
      </c>
    </row>
    <row r="33" spans="1:15" x14ac:dyDescent="0.25">
      <c r="B33" s="14"/>
      <c r="C33" s="22" t="s">
        <v>105</v>
      </c>
      <c r="D33" s="95" t="s">
        <v>21</v>
      </c>
      <c r="E33" s="151">
        <f>'WS Plan'!$H$136</f>
        <v>0</v>
      </c>
      <c r="F33" s="59">
        <f>IF('WS Plan'!$E$135="Activate",IF('WS calcu'!F3='WS Plan'!$H$135+1,'WS Plan'!$H$138+'WS calcu'!E33,'WS calcu'!E33),'WS calcu'!E33)</f>
        <v>0</v>
      </c>
      <c r="G33" s="59">
        <f>IF('WS Plan'!$E$135="Activate",IF('WS calcu'!G3='WS Plan'!$H$135+1,'WS Plan'!$H$138+'WS calcu'!F33,'WS calcu'!F33),'WS calcu'!F33)</f>
        <v>0</v>
      </c>
      <c r="H33" s="59">
        <f>IF('WS Plan'!$E$135="Activate",IF('WS calcu'!H3='WS Plan'!$H$135+1,'WS Plan'!$H$138+'WS calcu'!G33,'WS calcu'!G33),'WS calcu'!G33)</f>
        <v>0</v>
      </c>
      <c r="I33" s="59">
        <f>IF('WS Plan'!$E$135="Activate",IF('WS calcu'!I3='WS Plan'!$H$135+1,'WS Plan'!$H$138+'WS calcu'!H33,'WS calcu'!H33),'WS calcu'!H33)</f>
        <v>0</v>
      </c>
      <c r="J33" s="59">
        <f>IF('WS Plan'!$E$135="Activate",IF('WS calcu'!J3='WS Plan'!$H$135+1,'WS Plan'!$H$138+'WS calcu'!I33,'WS calcu'!I33),'WS calcu'!I33)</f>
        <v>0</v>
      </c>
      <c r="K33" s="59">
        <f>IF('WS Plan'!$E$135="Activate",IF('WS calcu'!K3='WS Plan'!$H$135+1,'WS Plan'!$H$138+'WS calcu'!J33,'WS calcu'!J33),'WS calcu'!J33)</f>
        <v>0</v>
      </c>
      <c r="L33" s="59">
        <f>IF('WS Plan'!$E$135="Activate",IF('WS calcu'!L3='WS Plan'!$H$135+1,'WS Plan'!$H$138+'WS calcu'!K33,'WS calcu'!K33),'WS calcu'!K33)</f>
        <v>0</v>
      </c>
      <c r="M33" s="59">
        <f>IF('WS Plan'!$E$135="Activate",IF('WS calcu'!M3='WS Plan'!$H$135+1,'WS Plan'!$H$138+'WS calcu'!L33,'WS calcu'!L33),'WS calcu'!L33)</f>
        <v>0</v>
      </c>
      <c r="N33" s="59">
        <f>IF('WS Plan'!$E$135="Activate",IF('WS calcu'!N3='WS Plan'!$H$135+1,'WS Plan'!$H$138+'WS calcu'!M33,'WS calcu'!M33),'WS calcu'!M33)</f>
        <v>0</v>
      </c>
      <c r="O33" s="59">
        <f>IF('WS Plan'!$E$135="Activate",IF('WS calcu'!O3='WS Plan'!$H$135+1,'WS Plan'!$H$138+'WS calcu'!N33,'WS calcu'!N33),'WS calcu'!N33)</f>
        <v>0</v>
      </c>
    </row>
    <row r="35" spans="1:15" x14ac:dyDescent="0.25">
      <c r="A35" s="11" t="s">
        <v>12</v>
      </c>
      <c r="B35" s="11" t="s">
        <v>108</v>
      </c>
      <c r="C35" s="309"/>
    </row>
    <row r="36" spans="1:15" x14ac:dyDescent="0.25">
      <c r="B36" s="13" t="s">
        <v>3</v>
      </c>
      <c r="C36" s="310" t="s">
        <v>4</v>
      </c>
      <c r="D36" s="13" t="s">
        <v>33</v>
      </c>
      <c r="E36" s="13">
        <f>E$3</f>
        <v>2014</v>
      </c>
      <c r="F36" s="13">
        <f t="shared" ref="F36:O36" si="18">F$3</f>
        <v>2015</v>
      </c>
      <c r="G36" s="13">
        <f t="shared" si="18"/>
        <v>2016</v>
      </c>
      <c r="H36" s="13">
        <f t="shared" si="18"/>
        <v>2017</v>
      </c>
      <c r="I36" s="13">
        <f t="shared" si="18"/>
        <v>2018</v>
      </c>
      <c r="J36" s="13">
        <f t="shared" si="18"/>
        <v>2019</v>
      </c>
      <c r="K36" s="13">
        <f t="shared" si="18"/>
        <v>2020</v>
      </c>
      <c r="L36" s="13">
        <f t="shared" si="18"/>
        <v>2021</v>
      </c>
      <c r="M36" s="13">
        <f t="shared" si="18"/>
        <v>2022</v>
      </c>
      <c r="N36" s="13">
        <f t="shared" si="18"/>
        <v>2023</v>
      </c>
      <c r="O36" s="13">
        <f t="shared" si="18"/>
        <v>2024</v>
      </c>
    </row>
    <row r="37" spans="1:15" ht="30" x14ac:dyDescent="0.25">
      <c r="B37" s="6">
        <v>1</v>
      </c>
      <c r="C37" s="41" t="s">
        <v>109</v>
      </c>
      <c r="D37" s="96" t="s">
        <v>18</v>
      </c>
      <c r="E37" s="26">
        <f>IF('WS Plan'!$E$195="Activate", IF(AND('WS calcu'!E36&gt;='WS Plan'!$G$195,'WS calcu'!E36&lt;'WS Plan'!$H$195+1),'WS Plan'!$H$196/('WS Plan'!$H$195-'WS Plan'!$G$195+1),0),0)</f>
        <v>0</v>
      </c>
      <c r="F37" s="26">
        <f>IF('WS Plan'!$E$195="Activate", IF(AND('WS calcu'!F36&gt;='WS Plan'!$G$195,'WS calcu'!F36&lt;'WS Plan'!$H$195+1),'WS Plan'!$H$196/('WS Plan'!$H$195-'WS Plan'!$G$195+1),0),0)</f>
        <v>0</v>
      </c>
      <c r="G37" s="26">
        <f>IF('WS Plan'!$E$195="Activate", IF(AND('WS calcu'!G36&gt;='WS Plan'!$G$195,'WS calcu'!G36&lt;'WS Plan'!$H$195+1),'WS Plan'!$H$196/('WS Plan'!$H$195-'WS Plan'!$G$195+1),0),0)</f>
        <v>0</v>
      </c>
      <c r="H37" s="26">
        <f>IF('WS Plan'!$E$195="Activate", IF(AND('WS calcu'!H36&gt;='WS Plan'!$G$195,'WS calcu'!H36&lt;'WS Plan'!$H$195+1),'WS Plan'!$H$196/('WS Plan'!$H$195-'WS Plan'!$G$195+1),0),0)</f>
        <v>0</v>
      </c>
      <c r="I37" s="26">
        <f>IF('WS Plan'!$E$195="Activate", IF(AND('WS calcu'!I36&gt;='WS Plan'!$G$195,'WS calcu'!I36&lt;'WS Plan'!$H$195+1),'WS Plan'!$H$196/('WS Plan'!$H$195-'WS Plan'!$G$195+1),0),0)</f>
        <v>0</v>
      </c>
      <c r="J37" s="26">
        <f>IF('WS Plan'!$E$195="Activate", IF(AND('WS calcu'!J36&gt;='WS Plan'!$G$195,'WS calcu'!J36&lt;'WS Plan'!$H$195+1),'WS Plan'!$H$196/('WS Plan'!$H$195-'WS Plan'!$G$195+1),0),0)</f>
        <v>0</v>
      </c>
      <c r="K37" s="26">
        <f>IF('WS Plan'!$E$195="Activate", IF(AND('WS calcu'!K36&gt;='WS Plan'!$G$195,'WS calcu'!K36&lt;'WS Plan'!$H$195+1),'WS Plan'!$H$196/('WS Plan'!$H$195-'WS Plan'!$G$195+1),0),0)</f>
        <v>0</v>
      </c>
      <c r="L37" s="26">
        <f>IF('WS Plan'!$E$195="Activate", IF(AND('WS calcu'!L36&gt;='WS Plan'!$G$195,'WS calcu'!L36&lt;'WS Plan'!$H$195+1),'WS Plan'!$H$196/('WS Plan'!$H$195-'WS Plan'!$G$195+1),0),0)</f>
        <v>0</v>
      </c>
      <c r="M37" s="26">
        <f>IF('WS Plan'!$E$195="Activate", IF(AND('WS calcu'!M36&gt;='WS Plan'!$G$195,'WS calcu'!M36&lt;'WS Plan'!$H$195+1),'WS Plan'!$H$196/('WS Plan'!$H$195-'WS Plan'!$G$195+1),0),0)</f>
        <v>0</v>
      </c>
      <c r="N37" s="26">
        <f>IF('WS Plan'!$E$195="Activate", IF(AND('WS calcu'!N36&gt;='WS Plan'!$G$195,'WS calcu'!N36&lt;'WS Plan'!$H$195+1),'WS Plan'!$H$196/('WS Plan'!$H$195-'WS Plan'!$G$195+1),0),0)</f>
        <v>0</v>
      </c>
      <c r="O37" s="26">
        <f>IF('WS Plan'!$E$195="Activate", IF(AND('WS calcu'!O36&gt;='WS Plan'!$G$195,'WS calcu'!O36&lt;'WS Plan'!$H$195+1),'WS Plan'!$H$196/('WS Plan'!$H$195-'WS Plan'!$G$195+1),0),0)</f>
        <v>0</v>
      </c>
    </row>
    <row r="38" spans="1:15" ht="30" x14ac:dyDescent="0.25">
      <c r="B38" s="6">
        <v>2</v>
      </c>
      <c r="C38" s="41" t="s">
        <v>110</v>
      </c>
      <c r="D38" s="96" t="s">
        <v>18</v>
      </c>
      <c r="E38" s="26">
        <f>IF('WS Plan'!$E$198="Activate", IF(AND('WS calcu'!E36&gt;='WS Plan'!$G$198,'WS calcu'!E36&lt;'WS Plan'!$H$198+1),'WS Plan'!$H$200/('WS Plan'!$H$198+1-'WS Plan'!$G$198),0),0)</f>
        <v>0</v>
      </c>
      <c r="F38" s="26">
        <f>IF('WS Plan'!$E$198="Activate", IF(AND('WS calcu'!F36&gt;='WS Plan'!$G$198,'WS calcu'!F36&lt;'WS Plan'!$H$198+1),'WS Plan'!$H$200/('WS Plan'!$H$198+1-'WS Plan'!$G$198),0),0)</f>
        <v>0</v>
      </c>
      <c r="G38" s="26">
        <f>IF('WS Plan'!$E$198="Activate", IF(AND('WS calcu'!G36&gt;='WS Plan'!$G$198,'WS calcu'!G36&lt;'WS Plan'!$H$198+1),'WS Plan'!$H$200/('WS Plan'!$H$198+1-'WS Plan'!$G$198),0),0)</f>
        <v>0</v>
      </c>
      <c r="H38" s="26">
        <f>IF('WS Plan'!$E$198="Activate", IF(AND('WS calcu'!H36&gt;='WS Plan'!$G$198,'WS calcu'!H36&lt;'WS Plan'!$H$198+1),'WS Plan'!$H$200/('WS Plan'!$H$198+1-'WS Plan'!$G$198),0),0)</f>
        <v>0</v>
      </c>
      <c r="I38" s="26">
        <f>IF('WS Plan'!$E$198="Activate", IF(AND('WS calcu'!I36&gt;='WS Plan'!$G$198,'WS calcu'!I36&lt;'WS Plan'!$H$198+1),'WS Plan'!$H$200/('WS Plan'!$H$198+1-'WS Plan'!$G$198),0),0)</f>
        <v>0</v>
      </c>
      <c r="J38" s="26">
        <f>IF('WS Plan'!$E$198="Activate", IF(AND('WS calcu'!J36&gt;='WS Plan'!$G$198,'WS calcu'!J36&lt;'WS Plan'!$H$198+1),'WS Plan'!$H$200/('WS Plan'!$H$198+1-'WS Plan'!$G$198),0),0)</f>
        <v>0</v>
      </c>
      <c r="K38" s="26">
        <f>IF('WS Plan'!$E$198="Activate", IF(AND('WS calcu'!K36&gt;='WS Plan'!$G$198,'WS calcu'!K36&lt;'WS Plan'!$H$198+1),'WS Plan'!$H$200/('WS Plan'!$H$198+1-'WS Plan'!$G$198),0),0)</f>
        <v>0</v>
      </c>
      <c r="L38" s="26">
        <f>IF('WS Plan'!$E$198="Activate", IF(AND('WS calcu'!L36&gt;='WS Plan'!$G$198,'WS calcu'!L36&lt;'WS Plan'!$H$198+1),'WS Plan'!$H$200/('WS Plan'!$H$198+1-'WS Plan'!$G$198),0),0)</f>
        <v>0</v>
      </c>
      <c r="M38" s="26">
        <f>IF('WS Plan'!$E$198="Activate", IF(AND('WS calcu'!M36&gt;='WS Plan'!$G$198,'WS calcu'!M36&lt;'WS Plan'!$H$198+1),'WS Plan'!$H$200/('WS Plan'!$H$198+1-'WS Plan'!$G$198),0),0)</f>
        <v>0</v>
      </c>
      <c r="N38" s="26">
        <f>IF('WS Plan'!$E$198="Activate", IF(AND('WS calcu'!N36&gt;='WS Plan'!$G$198,'WS calcu'!N36&lt;'WS Plan'!$H$198+1),'WS Plan'!$H$200/('WS Plan'!$H$198+1-'WS Plan'!$G$198),0),0)</f>
        <v>0</v>
      </c>
      <c r="O38" s="26">
        <f>IF('WS Plan'!$E$198="Activate", IF(AND('WS calcu'!O36&gt;='WS Plan'!$G$198,'WS calcu'!O36&lt;'WS Plan'!$H$198+1),'WS Plan'!$H$200/('WS Plan'!$H$198+1-'WS Plan'!$G$198),0),0)</f>
        <v>0</v>
      </c>
    </row>
    <row r="39" spans="1:15" x14ac:dyDescent="0.25">
      <c r="B39" s="6">
        <v>4</v>
      </c>
      <c r="C39" s="41" t="s">
        <v>75</v>
      </c>
      <c r="D39" s="96" t="s">
        <v>18</v>
      </c>
      <c r="E39" s="25">
        <f>IF('WS Plan'!$E$192="Activate", IF(AND('WS calcu'!E36&gt;='WS Plan'!$G$192,'WS calcu'!E36&lt;'WS Plan'!$H$192+1),('WS Plan'!$H$193)/('WS Plan'!$H$192+1-'WS Plan'!$G$192),0),0)</f>
        <v>0</v>
      </c>
      <c r="F39" s="25">
        <f>IF('WS Plan'!$E$192="Activate", IF(AND('WS calcu'!F36&gt;='WS Plan'!$G$192,'WS calcu'!F36&lt;'WS Plan'!$H$192+1),('WS Plan'!$H$193)/('WS Plan'!$H$192+1-'WS Plan'!$G$192),0),0)</f>
        <v>0</v>
      </c>
      <c r="G39" s="25">
        <f>IF('WS Plan'!$E$192="Activate", IF(AND('WS calcu'!G36&gt;='WS Plan'!$G$192,'WS calcu'!G36&lt;'WS Plan'!$H$192+1),('WS Plan'!$H$193)/('WS Plan'!$H$192+1-'WS Plan'!$G$192),0),0)</f>
        <v>0</v>
      </c>
      <c r="H39" s="25">
        <f>IF('WS Plan'!$E$192="Activate", IF(AND('WS calcu'!H36&gt;='WS Plan'!$G$192,'WS calcu'!H36&lt;'WS Plan'!$H$192+1),('WS Plan'!$H$193)/('WS Plan'!$H$192+1-'WS Plan'!$G$192),0),0)</f>
        <v>0</v>
      </c>
      <c r="I39" s="25">
        <f>IF('WS Plan'!$E$192="Activate", IF(AND('WS calcu'!I36&gt;='WS Plan'!$G$192,'WS calcu'!I36&lt;'WS Plan'!$H$192+1),('WS Plan'!$H$193)/('WS Plan'!$H$192+1-'WS Plan'!$G$192),0),0)</f>
        <v>0</v>
      </c>
      <c r="J39" s="25">
        <f>IF('WS Plan'!$E$192="Activate", IF(AND('WS calcu'!J36&gt;='WS Plan'!$G$192,'WS calcu'!J36&lt;'WS Plan'!$H$192+1),('WS Plan'!$H$193)/('WS Plan'!$H$192+1-'WS Plan'!$G$192),0),0)</f>
        <v>0</v>
      </c>
      <c r="K39" s="25">
        <f>IF('WS Plan'!$E$192="Activate", IF(AND('WS calcu'!K36&gt;='WS Plan'!$G$192,'WS calcu'!K36&lt;'WS Plan'!$H$192+1),('WS Plan'!$H$193)/('WS Plan'!$H$192+1-'WS Plan'!$G$192),0),0)</f>
        <v>0</v>
      </c>
      <c r="L39" s="25">
        <f>IF('WS Plan'!$E$192="Activate", IF(AND('WS calcu'!L36&gt;='WS Plan'!$G$192,'WS calcu'!L36&lt;'WS Plan'!$H$192+1),('WS Plan'!$H$193)/('WS Plan'!$H$192+1-'WS Plan'!$G$192),0),0)</f>
        <v>0</v>
      </c>
      <c r="M39" s="25">
        <f>IF('WS Plan'!$E$192="Activate", IF(AND('WS calcu'!M36&gt;='WS Plan'!$G$192,'WS calcu'!M36&lt;'WS Plan'!$H$192+1),('WS Plan'!$H$193)/('WS Plan'!$H$192+1-'WS Plan'!$G$192),0),0)</f>
        <v>0</v>
      </c>
      <c r="N39" s="25">
        <f>IF('WS Plan'!$E$192="Activate", IF(AND('WS calcu'!N36&gt;='WS Plan'!$G$192,'WS calcu'!N36&lt;'WS Plan'!$H$192+1),('WS Plan'!$H$193)/('WS Plan'!$H$192+1-'WS Plan'!$G$192),0),0)</f>
        <v>0</v>
      </c>
      <c r="O39" s="25">
        <f>IF('WS Plan'!$E$192="Activate", IF(AND('WS calcu'!O36&gt;='WS Plan'!$G$192,'WS calcu'!O36&lt;'WS Plan'!$H$192+1),('WS Plan'!$H$193)/('WS Plan'!$H$192+1-'WS Plan'!$G$192),0),0)</f>
        <v>0</v>
      </c>
    </row>
    <row r="40" spans="1:15" x14ac:dyDescent="0.25">
      <c r="B40" s="6">
        <v>5</v>
      </c>
      <c r="C40" s="41" t="s">
        <v>111</v>
      </c>
      <c r="D40" s="96" t="s">
        <v>18</v>
      </c>
      <c r="E40" s="25">
        <f>IF('WS Plan'!$E$189="Activate", IF(AND('WS calcu'!E36&gt;='WS Plan'!$G$189,'WS calcu'!E36&lt;'WS Plan'!$H$189+1),'WS Plan'!$H$190/('WS Plan'!$H$189+1-'WS Plan'!$G$189),0),0)</f>
        <v>0</v>
      </c>
      <c r="F40" s="25">
        <f>IF('WS Plan'!$E$189="Activate", IF(AND('WS calcu'!F36&gt;='WS Plan'!$G$189,'WS calcu'!F36&lt;'WS Plan'!$H$189+1),'WS Plan'!$H$190/('WS Plan'!$H$189+1-'WS Plan'!$G$189),0),0)</f>
        <v>0</v>
      </c>
      <c r="G40" s="25">
        <f>IF('WS Plan'!$E$189="Activate", IF(AND('WS calcu'!G36&gt;='WS Plan'!$G$189,'WS calcu'!G36&lt;'WS Plan'!$H$189+1),'WS Plan'!$H$190/('WS Plan'!$H$189+1-'WS Plan'!$G$189),0),0)</f>
        <v>0</v>
      </c>
      <c r="H40" s="25">
        <f>IF('WS Plan'!$E$189="Activate", IF(AND('WS calcu'!H36&gt;='WS Plan'!$G$189,'WS calcu'!H36&lt;'WS Plan'!$H$189+1),'WS Plan'!$H$190/('WS Plan'!$H$189+1-'WS Plan'!$G$189),0),0)</f>
        <v>0</v>
      </c>
      <c r="I40" s="25">
        <f>IF('WS Plan'!$E$189="Activate", IF(AND('WS calcu'!I36&gt;='WS Plan'!$G$189,'WS calcu'!I36&lt;'WS Plan'!$H$189+1),'WS Plan'!$H$190/('WS Plan'!$H$189+1-'WS Plan'!$G$189),0),0)</f>
        <v>0</v>
      </c>
      <c r="J40" s="25">
        <f>IF('WS Plan'!$E$189="Activate", IF(AND('WS calcu'!J36&gt;='WS Plan'!$G$189,'WS calcu'!J36&lt;'WS Plan'!$H$189+1),'WS Plan'!$H$190/('WS Plan'!$H$189+1-'WS Plan'!$G$189),0),0)</f>
        <v>0</v>
      </c>
      <c r="K40" s="25">
        <f>IF('WS Plan'!$E$189="Activate", IF(AND('WS calcu'!K36&gt;='WS Plan'!$G$189,'WS calcu'!K36&lt;'WS Plan'!$H$189+1),'WS Plan'!$H$190/('WS Plan'!$H$189+1-'WS Plan'!$G$189),0),0)</f>
        <v>0</v>
      </c>
      <c r="L40" s="25">
        <f>IF('WS Plan'!$E$189="Activate", IF(AND('WS calcu'!L36&gt;='WS Plan'!$G$189,'WS calcu'!L36&lt;'WS Plan'!$H$189+1),'WS Plan'!$H$190/('WS Plan'!$H$189+1-'WS Plan'!$G$189),0),0)</f>
        <v>0</v>
      </c>
      <c r="M40" s="25">
        <f>IF('WS Plan'!$E$189="Activate", IF(AND('WS calcu'!M36&gt;='WS Plan'!$G$189,'WS calcu'!M36&lt;'WS Plan'!$H$189+1),'WS Plan'!$H$190/('WS Plan'!$H$189+1-'WS Plan'!$G$189),0),0)</f>
        <v>0</v>
      </c>
      <c r="N40" s="25">
        <f>IF('WS Plan'!$E$189="Activate", IF(AND('WS calcu'!N36&gt;='WS Plan'!$G$189,'WS calcu'!N36&lt;'WS Plan'!$H$189+1),'WS Plan'!$H$190/('WS Plan'!$H$189+1-'WS Plan'!$G$189),0),0)</f>
        <v>0</v>
      </c>
      <c r="O40" s="25">
        <f>IF('WS Plan'!$E$189="Activate", IF(AND('WS calcu'!O36&gt;='WS Plan'!$G$189,'WS calcu'!O36&lt;'WS Plan'!$H$189+1),'WS Plan'!$H$190/('WS Plan'!$H$189+1-'WS Plan'!$G$189),0),0)</f>
        <v>0</v>
      </c>
    </row>
    <row r="41" spans="1:15" s="80" customFormat="1" x14ac:dyDescent="0.25">
      <c r="A41" s="134"/>
      <c r="B41" s="135">
        <v>6</v>
      </c>
      <c r="C41" s="312" t="s">
        <v>112</v>
      </c>
      <c r="D41" s="136"/>
      <c r="E41" s="152">
        <f>SUM(E37:E40)</f>
        <v>0</v>
      </c>
      <c r="F41" s="152">
        <f t="shared" ref="F41:O41" si="19">SUM(F37:F40)</f>
        <v>0</v>
      </c>
      <c r="G41" s="152">
        <f t="shared" si="19"/>
        <v>0</v>
      </c>
      <c r="H41" s="152">
        <f t="shared" si="19"/>
        <v>0</v>
      </c>
      <c r="I41" s="152">
        <f t="shared" si="19"/>
        <v>0</v>
      </c>
      <c r="J41" s="152">
        <f t="shared" si="19"/>
        <v>0</v>
      </c>
      <c r="K41" s="152">
        <f t="shared" si="19"/>
        <v>0</v>
      </c>
      <c r="L41" s="152">
        <f t="shared" si="19"/>
        <v>0</v>
      </c>
      <c r="M41" s="152">
        <f t="shared" si="19"/>
        <v>0</v>
      </c>
      <c r="N41" s="152">
        <f t="shared" si="19"/>
        <v>0</v>
      </c>
      <c r="O41" s="152">
        <f t="shared" si="19"/>
        <v>0</v>
      </c>
    </row>
    <row r="42" spans="1:15" s="54" customFormat="1" x14ac:dyDescent="0.25">
      <c r="A42"/>
      <c r="B42"/>
      <c r="C42" s="7"/>
      <c r="D42" s="98"/>
      <c r="E42" s="65"/>
      <c r="F42" s="65"/>
      <c r="G42" s="65"/>
      <c r="H42" s="65"/>
      <c r="I42" s="65"/>
      <c r="J42" s="65"/>
      <c r="K42" s="65"/>
      <c r="L42" s="65"/>
      <c r="M42" s="65"/>
      <c r="N42" s="65"/>
      <c r="O42" s="65"/>
    </row>
    <row r="43" spans="1:15" x14ac:dyDescent="0.25">
      <c r="A43" s="11" t="s">
        <v>13</v>
      </c>
      <c r="B43" s="11" t="s">
        <v>113</v>
      </c>
      <c r="C43" s="309"/>
      <c r="E43" s="65"/>
      <c r="F43" s="65"/>
      <c r="G43" s="65"/>
      <c r="H43" s="65"/>
      <c r="I43" s="65"/>
      <c r="J43" s="65"/>
      <c r="K43" s="65"/>
      <c r="L43" s="65"/>
      <c r="M43" s="65"/>
      <c r="N43" s="65"/>
      <c r="O43" s="65"/>
    </row>
    <row r="44" spans="1:15" x14ac:dyDescent="0.25">
      <c r="B44" s="13" t="s">
        <v>3</v>
      </c>
      <c r="C44" s="310" t="s">
        <v>4</v>
      </c>
      <c r="D44" s="13" t="s">
        <v>33</v>
      </c>
      <c r="E44" s="13">
        <f>E$3</f>
        <v>2014</v>
      </c>
      <c r="F44" s="13">
        <f t="shared" ref="F44:O44" si="20">F$3</f>
        <v>2015</v>
      </c>
      <c r="G44" s="13">
        <f t="shared" si="20"/>
        <v>2016</v>
      </c>
      <c r="H44" s="13">
        <f t="shared" si="20"/>
        <v>2017</v>
      </c>
      <c r="I44" s="13">
        <f t="shared" si="20"/>
        <v>2018</v>
      </c>
      <c r="J44" s="13">
        <f t="shared" si="20"/>
        <v>2019</v>
      </c>
      <c r="K44" s="13">
        <f t="shared" si="20"/>
        <v>2020</v>
      </c>
      <c r="L44" s="13">
        <f t="shared" si="20"/>
        <v>2021</v>
      </c>
      <c r="M44" s="13">
        <f t="shared" si="20"/>
        <v>2022</v>
      </c>
      <c r="N44" s="13">
        <f t="shared" si="20"/>
        <v>2023</v>
      </c>
      <c r="O44" s="13">
        <f t="shared" si="20"/>
        <v>2024</v>
      </c>
    </row>
    <row r="45" spans="1:15" ht="30" x14ac:dyDescent="0.25">
      <c r="A45" s="48"/>
      <c r="B45" s="14">
        <v>1</v>
      </c>
      <c r="C45" s="41" t="s">
        <v>270</v>
      </c>
      <c r="D45" s="95"/>
      <c r="E45" s="78">
        <f>Population!E32</f>
        <v>0</v>
      </c>
      <c r="F45" s="78">
        <f>Population!F32</f>
        <v>0</v>
      </c>
      <c r="G45" s="78">
        <f>Population!G32</f>
        <v>0</v>
      </c>
      <c r="H45" s="78">
        <f>Population!H32</f>
        <v>0</v>
      </c>
      <c r="I45" s="78">
        <f>Population!I32</f>
        <v>0</v>
      </c>
      <c r="J45" s="78">
        <f>Population!J32</f>
        <v>0</v>
      </c>
      <c r="K45" s="78">
        <f>Population!K32</f>
        <v>0</v>
      </c>
      <c r="L45" s="78">
        <f>Population!L32</f>
        <v>0</v>
      </c>
      <c r="M45" s="78">
        <f>Population!M32</f>
        <v>0</v>
      </c>
      <c r="N45" s="78">
        <f>Population!N32</f>
        <v>0</v>
      </c>
      <c r="O45" s="78">
        <f>Population!O32</f>
        <v>0</v>
      </c>
    </row>
    <row r="46" spans="1:15" s="77" customFormat="1" x14ac:dyDescent="0.25">
      <c r="B46" s="72"/>
      <c r="C46" s="73" t="s">
        <v>271</v>
      </c>
      <c r="D46" s="100"/>
      <c r="E46" s="69">
        <v>0</v>
      </c>
      <c r="F46" s="69">
        <f t="shared" ref="F46:O46" si="21">F49-E49</f>
        <v>0</v>
      </c>
      <c r="G46" s="69">
        <f t="shared" si="21"/>
        <v>0</v>
      </c>
      <c r="H46" s="69">
        <f t="shared" si="21"/>
        <v>0</v>
      </c>
      <c r="I46" s="69">
        <f t="shared" si="21"/>
        <v>0</v>
      </c>
      <c r="J46" s="69">
        <f t="shared" si="21"/>
        <v>0</v>
      </c>
      <c r="K46" s="69">
        <f t="shared" si="21"/>
        <v>0</v>
      </c>
      <c r="L46" s="69">
        <f t="shared" si="21"/>
        <v>0</v>
      </c>
      <c r="M46" s="69">
        <f t="shared" si="21"/>
        <v>0</v>
      </c>
      <c r="N46" s="69">
        <f t="shared" si="21"/>
        <v>0</v>
      </c>
      <c r="O46" s="69">
        <f t="shared" si="21"/>
        <v>0</v>
      </c>
    </row>
    <row r="47" spans="1:15" s="77" customFormat="1" x14ac:dyDescent="0.25">
      <c r="B47" s="72"/>
      <c r="C47" s="73" t="s">
        <v>272</v>
      </c>
      <c r="D47" s="95" t="s">
        <v>268</v>
      </c>
      <c r="E47" s="69">
        <f t="shared" ref="E47:O47" si="22">E46-E48</f>
        <v>0</v>
      </c>
      <c r="F47" s="69">
        <f t="shared" si="22"/>
        <v>0</v>
      </c>
      <c r="G47" s="69">
        <f t="shared" si="22"/>
        <v>0</v>
      </c>
      <c r="H47" s="69">
        <f t="shared" si="22"/>
        <v>0</v>
      </c>
      <c r="I47" s="69">
        <f t="shared" si="22"/>
        <v>0</v>
      </c>
      <c r="J47" s="69">
        <f t="shared" si="22"/>
        <v>0</v>
      </c>
      <c r="K47" s="69">
        <f t="shared" si="22"/>
        <v>0</v>
      </c>
      <c r="L47" s="69">
        <f t="shared" si="22"/>
        <v>0</v>
      </c>
      <c r="M47" s="69">
        <f t="shared" si="22"/>
        <v>0</v>
      </c>
      <c r="N47" s="69">
        <f t="shared" si="22"/>
        <v>0</v>
      </c>
      <c r="O47" s="69">
        <f t="shared" si="22"/>
        <v>0</v>
      </c>
    </row>
    <row r="48" spans="1:15" s="77" customFormat="1" x14ac:dyDescent="0.25">
      <c r="B48" s="72"/>
      <c r="C48" s="73" t="s">
        <v>273</v>
      </c>
      <c r="D48" s="101">
        <f>IFERROR(E51/E49,0)</f>
        <v>0</v>
      </c>
      <c r="E48" s="69">
        <f>E46*$D$48</f>
        <v>0</v>
      </c>
      <c r="F48" s="69">
        <f t="shared" ref="F48:O48" si="23">F46*$D$48</f>
        <v>0</v>
      </c>
      <c r="G48" s="69">
        <f t="shared" si="23"/>
        <v>0</v>
      </c>
      <c r="H48" s="69">
        <f t="shared" si="23"/>
        <v>0</v>
      </c>
      <c r="I48" s="69">
        <f t="shared" si="23"/>
        <v>0</v>
      </c>
      <c r="J48" s="69">
        <f t="shared" si="23"/>
        <v>0</v>
      </c>
      <c r="K48" s="69">
        <f t="shared" si="23"/>
        <v>0</v>
      </c>
      <c r="L48" s="69">
        <f t="shared" si="23"/>
        <v>0</v>
      </c>
      <c r="M48" s="69">
        <f t="shared" si="23"/>
        <v>0</v>
      </c>
      <c r="N48" s="69">
        <f t="shared" si="23"/>
        <v>0</v>
      </c>
      <c r="O48" s="69">
        <f t="shared" si="23"/>
        <v>0</v>
      </c>
    </row>
    <row r="49" spans="1:15" s="82" customFormat="1" x14ac:dyDescent="0.25">
      <c r="B49" s="83"/>
      <c r="C49" s="313" t="s">
        <v>275</v>
      </c>
      <c r="D49" s="1133"/>
      <c r="E49" s="84">
        <f>'WSS Profile'!$F$115-'WSS Profile'!$F$114</f>
        <v>0</v>
      </c>
      <c r="F49" s="85">
        <f t="shared" ref="F49:O49" si="24">E49*(1+F45)</f>
        <v>0</v>
      </c>
      <c r="G49" s="85">
        <f t="shared" si="24"/>
        <v>0</v>
      </c>
      <c r="H49" s="85">
        <f t="shared" si="24"/>
        <v>0</v>
      </c>
      <c r="I49" s="85">
        <f t="shared" si="24"/>
        <v>0</v>
      </c>
      <c r="J49" s="85">
        <f t="shared" si="24"/>
        <v>0</v>
      </c>
      <c r="K49" s="85">
        <f t="shared" si="24"/>
        <v>0</v>
      </c>
      <c r="L49" s="85">
        <f t="shared" si="24"/>
        <v>0</v>
      </c>
      <c r="M49" s="85">
        <f t="shared" si="24"/>
        <v>0</v>
      </c>
      <c r="N49" s="85">
        <f t="shared" si="24"/>
        <v>0</v>
      </c>
      <c r="O49" s="85">
        <f t="shared" si="24"/>
        <v>0</v>
      </c>
    </row>
    <row r="50" spans="1:15" s="82" customFormat="1" x14ac:dyDescent="0.25">
      <c r="B50" s="83"/>
      <c r="C50" s="313" t="s">
        <v>274</v>
      </c>
      <c r="D50" s="1133"/>
      <c r="E50" s="84">
        <f>E49-E51</f>
        <v>0</v>
      </c>
      <c r="F50" s="84">
        <f>F49-F51</f>
        <v>0</v>
      </c>
      <c r="G50" s="84">
        <f>G49-G51</f>
        <v>0</v>
      </c>
      <c r="H50" s="84">
        <f>H49-H51</f>
        <v>0</v>
      </c>
      <c r="I50" s="85">
        <f t="shared" ref="I50:O50" si="25">H50+I47</f>
        <v>0</v>
      </c>
      <c r="J50" s="85">
        <f t="shared" si="25"/>
        <v>0</v>
      </c>
      <c r="K50" s="85">
        <f t="shared" si="25"/>
        <v>0</v>
      </c>
      <c r="L50" s="85">
        <f t="shared" si="25"/>
        <v>0</v>
      </c>
      <c r="M50" s="85">
        <f t="shared" si="25"/>
        <v>0</v>
      </c>
      <c r="N50" s="85">
        <f t="shared" si="25"/>
        <v>0</v>
      </c>
      <c r="O50" s="85">
        <f t="shared" si="25"/>
        <v>0</v>
      </c>
    </row>
    <row r="51" spans="1:15" s="82" customFormat="1" x14ac:dyDescent="0.25">
      <c r="B51" s="83"/>
      <c r="C51" s="313" t="s">
        <v>325</v>
      </c>
      <c r="D51" s="1133"/>
      <c r="E51" s="84">
        <f>SUM('WSS Profile'!$F$97:$F$100)</f>
        <v>0</v>
      </c>
      <c r="F51" s="85">
        <f t="shared" ref="F51:O51" si="26">E51+F$48</f>
        <v>0</v>
      </c>
      <c r="G51" s="85">
        <f t="shared" si="26"/>
        <v>0</v>
      </c>
      <c r="H51" s="85">
        <f t="shared" si="26"/>
        <v>0</v>
      </c>
      <c r="I51" s="85">
        <f t="shared" si="26"/>
        <v>0</v>
      </c>
      <c r="J51" s="85">
        <f t="shared" si="26"/>
        <v>0</v>
      </c>
      <c r="K51" s="85">
        <f t="shared" si="26"/>
        <v>0</v>
      </c>
      <c r="L51" s="85">
        <f t="shared" si="26"/>
        <v>0</v>
      </c>
      <c r="M51" s="85">
        <f t="shared" si="26"/>
        <v>0</v>
      </c>
      <c r="N51" s="85">
        <f t="shared" si="26"/>
        <v>0</v>
      </c>
      <c r="O51" s="85">
        <f t="shared" si="26"/>
        <v>0</v>
      </c>
    </row>
    <row r="52" spans="1:15" s="1253" customFormat="1" ht="12.75" x14ac:dyDescent="0.2">
      <c r="A52" s="1249"/>
      <c r="B52" s="1249"/>
      <c r="C52" s="1250" t="s">
        <v>1269</v>
      </c>
      <c r="D52" s="1251"/>
      <c r="E52" s="1252">
        <f>IFERROR(E49/E81,0)</f>
        <v>0</v>
      </c>
      <c r="F52" s="1252">
        <f t="shared" ref="F52:O52" si="27">IFERROR(F49/F81,0)</f>
        <v>0</v>
      </c>
      <c r="G52" s="1252">
        <f t="shared" si="27"/>
        <v>0</v>
      </c>
      <c r="H52" s="1252">
        <f t="shared" si="27"/>
        <v>0</v>
      </c>
      <c r="I52" s="1252">
        <f t="shared" si="27"/>
        <v>0</v>
      </c>
      <c r="J52" s="1252">
        <f t="shared" si="27"/>
        <v>0</v>
      </c>
      <c r="K52" s="1252">
        <f t="shared" si="27"/>
        <v>0</v>
      </c>
      <c r="L52" s="1252">
        <f t="shared" si="27"/>
        <v>0</v>
      </c>
      <c r="M52" s="1252">
        <f t="shared" si="27"/>
        <v>0</v>
      </c>
      <c r="N52" s="1252">
        <f t="shared" si="27"/>
        <v>0</v>
      </c>
      <c r="O52" s="1252">
        <f t="shared" si="27"/>
        <v>0</v>
      </c>
    </row>
    <row r="53" spans="1:15" s="54" customFormat="1" x14ac:dyDescent="0.25">
      <c r="A53"/>
      <c r="B53"/>
      <c r="C53" s="7"/>
      <c r="D53" s="102"/>
      <c r="E53" s="61"/>
      <c r="F53" s="61"/>
      <c r="G53" s="61"/>
      <c r="H53" s="61"/>
      <c r="I53" s="61"/>
      <c r="J53" s="61"/>
      <c r="K53" s="61"/>
      <c r="L53" s="61"/>
      <c r="M53" s="61"/>
      <c r="N53" s="61"/>
      <c r="O53" s="61"/>
    </row>
    <row r="54" spans="1:15" s="77" customFormat="1" x14ac:dyDescent="0.25">
      <c r="B54" s="72">
        <v>2</v>
      </c>
      <c r="C54" s="73" t="s">
        <v>276</v>
      </c>
      <c r="D54" s="869"/>
      <c r="E54" s="69">
        <f>E55+E56</f>
        <v>0</v>
      </c>
      <c r="F54" s="69">
        <f t="shared" ref="F54:O54" si="28">F55+F56</f>
        <v>0</v>
      </c>
      <c r="G54" s="69">
        <f t="shared" si="28"/>
        <v>0</v>
      </c>
      <c r="H54" s="69">
        <f t="shared" si="28"/>
        <v>0</v>
      </c>
      <c r="I54" s="69">
        <f t="shared" si="28"/>
        <v>0</v>
      </c>
      <c r="J54" s="69">
        <f t="shared" si="28"/>
        <v>0</v>
      </c>
      <c r="K54" s="69">
        <f t="shared" si="28"/>
        <v>0</v>
      </c>
      <c r="L54" s="69">
        <f t="shared" si="28"/>
        <v>0</v>
      </c>
      <c r="M54" s="69">
        <f t="shared" si="28"/>
        <v>0</v>
      </c>
      <c r="N54" s="69">
        <f t="shared" si="28"/>
        <v>0</v>
      </c>
      <c r="O54" s="69">
        <f t="shared" si="28"/>
        <v>0</v>
      </c>
    </row>
    <row r="55" spans="1:15" s="77" customFormat="1" x14ac:dyDescent="0.25">
      <c r="B55" s="72"/>
      <c r="C55" s="73" t="s">
        <v>277</v>
      </c>
      <c r="D55" s="869">
        <f>IFERROR(('WS Plan'!H47*E57)/SUM('WSS Profile'!G92:G100),0)</f>
        <v>0</v>
      </c>
      <c r="E55" s="69">
        <f>ROUND(IF('WS Plan'!$E$44="Activate",IF(AND(E44&gt;='WS Plan'!$G$44,E44&lt;'WS Plan'!$H$44+1),$D$55/('WS Plan'!$H$44+1-'WS Plan'!$G$44),0),0),0)</f>
        <v>0</v>
      </c>
      <c r="F55" s="69">
        <f>ROUND(IF('WS Plan'!$E$44="Activate",IF(AND(F44&gt;='WS Plan'!$G$44,F44&lt;'WS Plan'!$H$44+1),$D$55/('WS Plan'!$H$44+1-'WS Plan'!$G$44),0),0),0)</f>
        <v>0</v>
      </c>
      <c r="G55" s="69">
        <f>ROUND(IF('WS Plan'!$E$44="Activate",IF(AND(G44&gt;='WS Plan'!$G$44,G44&lt;'WS Plan'!$H$44+1),$D$55/('WS Plan'!$H$44+1-'WS Plan'!$G$44),0),0),0)</f>
        <v>0</v>
      </c>
      <c r="H55" s="69">
        <f>ROUND(IF('WS Plan'!$E$44="Activate",IF(AND(H44&gt;='WS Plan'!$G$44,H44&lt;'WS Plan'!$H$44+1),$D$55/('WS Plan'!$H$44+1-'WS Plan'!$G$44),0),0),0)</f>
        <v>0</v>
      </c>
      <c r="I55" s="69">
        <f>ROUND(IF('WS Plan'!$E$44="Activate",IF(AND(I44&gt;='WS Plan'!$G$44,I44&lt;'WS Plan'!$H$44+1),$D$55/('WS Plan'!$H$44+1-'WS Plan'!$G$44),0),0),0)</f>
        <v>0</v>
      </c>
      <c r="J55" s="69">
        <f>ROUND(IF('WS Plan'!$E$44="Activate",IF(AND(J44&gt;='WS Plan'!$G$44,J44&lt;'WS Plan'!$H$44+1),$D$55/('WS Plan'!$H$44+1-'WS Plan'!$G$44),0),0),0)</f>
        <v>0</v>
      </c>
      <c r="K55" s="69">
        <f>ROUND(IF('WS Plan'!$E$44="Activate",IF(AND(K44&gt;='WS Plan'!$G$44,K44&lt;'WS Plan'!$H$44+1),$D$55/('WS Plan'!$H$44+1-'WS Plan'!$G$44),0),0),0)</f>
        <v>0</v>
      </c>
      <c r="L55" s="69">
        <f>ROUND(IF('WS Plan'!$E$44="Activate",IF(AND(L44&gt;='WS Plan'!$G$44,L44&lt;'WS Plan'!$H$44+1),$D$55/('WS Plan'!$H$44+1-'WS Plan'!$G$44),0),0),0)</f>
        <v>0</v>
      </c>
      <c r="M55" s="69">
        <f>ROUND(IF('WS Plan'!$E$44="Activate",IF(AND(M44&gt;='WS Plan'!$G$44,M44&lt;'WS Plan'!$H$44+1),$D$55/('WS Plan'!$H$44+1-'WS Plan'!$G$44),0),0),0)</f>
        <v>0</v>
      </c>
      <c r="N55" s="69">
        <f>ROUND(IF('WS Plan'!$E$44="Activate",IF(AND(N44&gt;='WS Plan'!$G$44,N44&lt;'WS Plan'!$H$44+1),$D$55/('WS Plan'!$H$44+1-'WS Plan'!$G$44),0),0),0)</f>
        <v>0</v>
      </c>
      <c r="O55" s="69">
        <f>ROUND(IF('WS Plan'!$E$44="Activate",IF(AND(O44&gt;='WS Plan'!$G$44,O44&lt;'WS Plan'!$H$44+1),$D$55/('WS Plan'!$H$44+1-'WS Plan'!$G$44),0),0),0)</f>
        <v>0</v>
      </c>
    </row>
    <row r="56" spans="1:15" s="77" customFormat="1" x14ac:dyDescent="0.25">
      <c r="B56" s="72"/>
      <c r="C56" s="73" t="s">
        <v>278</v>
      </c>
      <c r="D56" s="104">
        <f>IFERROR(('WS Plan'!$H$48)*$E$59/SUM('WSS Profile'!$G$97:$G$100),0)</f>
        <v>0</v>
      </c>
      <c r="E56" s="69">
        <f>IF(E55&lt;&gt;0,$D$56/('WS Plan'!$H$44+1-'WS Plan'!$G$44),0)</f>
        <v>0</v>
      </c>
      <c r="F56" s="69">
        <f>IF(F55&lt;&gt;0,$D$56/('WS Plan'!$H$44+1-'WS Plan'!$G$44),0)</f>
        <v>0</v>
      </c>
      <c r="G56" s="69">
        <f>IF(G55&lt;&gt;0,$D$56/('WS Plan'!$H$44+1-'WS Plan'!$G$44),0)</f>
        <v>0</v>
      </c>
      <c r="H56" s="69">
        <f>IF(H55&lt;&gt;0,$D$56/('WS Plan'!$H$44+1-'WS Plan'!$G$44),0)</f>
        <v>0</v>
      </c>
      <c r="I56" s="69">
        <f>IF(I55&lt;&gt;0,$D$56/('WS Plan'!$H$44+1-'WS Plan'!$G$44),0)</f>
        <v>0</v>
      </c>
      <c r="J56" s="69">
        <f>IF(J55&lt;&gt;0,$D$56/('WS Plan'!$H$44+1-'WS Plan'!$G$44),0)</f>
        <v>0</v>
      </c>
      <c r="K56" s="69">
        <f>IF(K55&lt;&gt;0,$D$56/('WS Plan'!$H$44+1-'WS Plan'!$G$44),0)</f>
        <v>0</v>
      </c>
      <c r="L56" s="69">
        <f>IF(L55&lt;&gt;0,$D$56/('WS Plan'!$H$44+1-'WS Plan'!$G$44),0)</f>
        <v>0</v>
      </c>
      <c r="M56" s="69">
        <f>IF(M55&lt;&gt;0,$D$56/('WS Plan'!$H$44+1-'WS Plan'!$G$44),0)</f>
        <v>0</v>
      </c>
      <c r="N56" s="69">
        <f>IF(N55&lt;&gt;0,$D$56/('WS Plan'!$H$44+1-'WS Plan'!$G$44),0)</f>
        <v>0</v>
      </c>
      <c r="O56" s="69">
        <f>IF(O55&lt;&gt;0,$D$56/('WS Plan'!$H$44+1-'WS Plan'!$G$44),0)</f>
        <v>0</v>
      </c>
    </row>
    <row r="57" spans="1:15" s="82" customFormat="1" x14ac:dyDescent="0.25">
      <c r="B57" s="83"/>
      <c r="C57" s="313" t="s">
        <v>279</v>
      </c>
      <c r="D57" s="105"/>
      <c r="E57" s="84">
        <f>E65</f>
        <v>0</v>
      </c>
      <c r="F57" s="85">
        <f t="shared" ref="F57:O57" si="29">E57+F$46+F$54</f>
        <v>0</v>
      </c>
      <c r="G57" s="85">
        <f t="shared" si="29"/>
        <v>0</v>
      </c>
      <c r="H57" s="85">
        <f t="shared" si="29"/>
        <v>0</v>
      </c>
      <c r="I57" s="85">
        <f t="shared" si="29"/>
        <v>0</v>
      </c>
      <c r="J57" s="85">
        <f t="shared" si="29"/>
        <v>0</v>
      </c>
      <c r="K57" s="85">
        <f t="shared" si="29"/>
        <v>0</v>
      </c>
      <c r="L57" s="85">
        <f t="shared" si="29"/>
        <v>0</v>
      </c>
      <c r="M57" s="85">
        <f t="shared" si="29"/>
        <v>0</v>
      </c>
      <c r="N57" s="85">
        <f t="shared" si="29"/>
        <v>0</v>
      </c>
      <c r="O57" s="85">
        <f t="shared" si="29"/>
        <v>0</v>
      </c>
    </row>
    <row r="58" spans="1:15" s="82" customFormat="1" x14ac:dyDescent="0.25">
      <c r="B58" s="83"/>
      <c r="C58" s="313" t="s">
        <v>280</v>
      </c>
      <c r="D58" s="105"/>
      <c r="E58" s="84">
        <f>E50</f>
        <v>0</v>
      </c>
      <c r="F58" s="85">
        <f t="shared" ref="F58:O58" si="30">E58+F$47+F$55</f>
        <v>0</v>
      </c>
      <c r="G58" s="85">
        <f t="shared" si="30"/>
        <v>0</v>
      </c>
      <c r="H58" s="85">
        <f t="shared" si="30"/>
        <v>0</v>
      </c>
      <c r="I58" s="85">
        <f t="shared" si="30"/>
        <v>0</v>
      </c>
      <c r="J58" s="85">
        <f t="shared" si="30"/>
        <v>0</v>
      </c>
      <c r="K58" s="85">
        <f t="shared" si="30"/>
        <v>0</v>
      </c>
      <c r="L58" s="85">
        <f t="shared" si="30"/>
        <v>0</v>
      </c>
      <c r="M58" s="85">
        <f t="shared" si="30"/>
        <v>0</v>
      </c>
      <c r="N58" s="85">
        <f t="shared" si="30"/>
        <v>0</v>
      </c>
      <c r="O58" s="85">
        <f t="shared" si="30"/>
        <v>0</v>
      </c>
    </row>
    <row r="59" spans="1:15" s="82" customFormat="1" x14ac:dyDescent="0.25">
      <c r="B59" s="83"/>
      <c r="C59" s="313" t="s">
        <v>281</v>
      </c>
      <c r="D59" s="105"/>
      <c r="E59" s="84">
        <f>E51</f>
        <v>0</v>
      </c>
      <c r="F59" s="85">
        <f t="shared" ref="F59:O59" si="31">E59+F$48+F$56</f>
        <v>0</v>
      </c>
      <c r="G59" s="85">
        <f t="shared" si="31"/>
        <v>0</v>
      </c>
      <c r="H59" s="85">
        <f t="shared" si="31"/>
        <v>0</v>
      </c>
      <c r="I59" s="85">
        <f t="shared" si="31"/>
        <v>0</v>
      </c>
      <c r="J59" s="85">
        <f t="shared" si="31"/>
        <v>0</v>
      </c>
      <c r="K59" s="85">
        <f t="shared" si="31"/>
        <v>0</v>
      </c>
      <c r="L59" s="85">
        <f t="shared" si="31"/>
        <v>0</v>
      </c>
      <c r="M59" s="85">
        <f t="shared" si="31"/>
        <v>0</v>
      </c>
      <c r="N59" s="85">
        <f t="shared" si="31"/>
        <v>0</v>
      </c>
      <c r="O59" s="85">
        <f t="shared" si="31"/>
        <v>0</v>
      </c>
    </row>
    <row r="60" spans="1:15" x14ac:dyDescent="0.25">
      <c r="A60" s="48"/>
      <c r="B60" s="39"/>
      <c r="C60" s="50"/>
      <c r="D60" s="99"/>
      <c r="E60" s="67"/>
      <c r="F60" s="71"/>
      <c r="G60" s="71"/>
      <c r="H60" s="71"/>
      <c r="I60" s="71"/>
      <c r="J60" s="71"/>
      <c r="K60" s="71"/>
      <c r="L60" s="71"/>
      <c r="M60" s="71"/>
      <c r="N60" s="71"/>
      <c r="O60" s="71"/>
    </row>
    <row r="61" spans="1:15" ht="30" x14ac:dyDescent="0.25">
      <c r="A61" s="48"/>
      <c r="B61" s="14">
        <v>3</v>
      </c>
      <c r="C61" s="41" t="s">
        <v>282</v>
      </c>
      <c r="D61" s="95" t="s">
        <v>265</v>
      </c>
      <c r="E61" s="64">
        <v>0</v>
      </c>
      <c r="F61" s="86">
        <f t="shared" ref="F61:O61" si="32">E131-F131</f>
        <v>0</v>
      </c>
      <c r="G61" s="86">
        <f t="shared" si="32"/>
        <v>0</v>
      </c>
      <c r="H61" s="86">
        <f t="shared" si="32"/>
        <v>0</v>
      </c>
      <c r="I61" s="86">
        <f t="shared" si="32"/>
        <v>0</v>
      </c>
      <c r="J61" s="86">
        <f t="shared" si="32"/>
        <v>0</v>
      </c>
      <c r="K61" s="86">
        <f t="shared" si="32"/>
        <v>0</v>
      </c>
      <c r="L61" s="86">
        <f t="shared" si="32"/>
        <v>0</v>
      </c>
      <c r="M61" s="86">
        <f t="shared" si="32"/>
        <v>0</v>
      </c>
      <c r="N61" s="86">
        <f t="shared" si="32"/>
        <v>0</v>
      </c>
      <c r="O61" s="86">
        <f t="shared" si="32"/>
        <v>0</v>
      </c>
    </row>
    <row r="62" spans="1:15" s="51" customFormat="1" x14ac:dyDescent="0.25">
      <c r="B62" s="29"/>
      <c r="C62" s="73" t="s">
        <v>271</v>
      </c>
      <c r="D62" s="106"/>
      <c r="E62" s="40">
        <f t="shared" ref="E62:O62" si="33">E57*E61</f>
        <v>0</v>
      </c>
      <c r="F62" s="40">
        <f t="shared" si="33"/>
        <v>0</v>
      </c>
      <c r="G62" s="40">
        <f t="shared" si="33"/>
        <v>0</v>
      </c>
      <c r="H62" s="40">
        <f t="shared" si="33"/>
        <v>0</v>
      </c>
      <c r="I62" s="40">
        <f t="shared" si="33"/>
        <v>0</v>
      </c>
      <c r="J62" s="40">
        <f t="shared" si="33"/>
        <v>0</v>
      </c>
      <c r="K62" s="40">
        <f t="shared" si="33"/>
        <v>0</v>
      </c>
      <c r="L62" s="40">
        <f t="shared" si="33"/>
        <v>0</v>
      </c>
      <c r="M62" s="40">
        <f t="shared" si="33"/>
        <v>0</v>
      </c>
      <c r="N62" s="40">
        <f t="shared" si="33"/>
        <v>0</v>
      </c>
      <c r="O62" s="40">
        <f t="shared" si="33"/>
        <v>0</v>
      </c>
    </row>
    <row r="63" spans="1:15" s="51" customFormat="1" x14ac:dyDescent="0.25">
      <c r="B63" s="29"/>
      <c r="C63" s="73" t="s">
        <v>272</v>
      </c>
      <c r="D63" s="106"/>
      <c r="E63" s="40">
        <f>E62-E64</f>
        <v>0</v>
      </c>
      <c r="F63" s="40">
        <f t="shared" ref="F63:O63" si="34">F62-F64</f>
        <v>0</v>
      </c>
      <c r="G63" s="40">
        <f t="shared" si="34"/>
        <v>0</v>
      </c>
      <c r="H63" s="40">
        <f t="shared" si="34"/>
        <v>0</v>
      </c>
      <c r="I63" s="40">
        <f t="shared" si="34"/>
        <v>0</v>
      </c>
      <c r="J63" s="40">
        <f t="shared" si="34"/>
        <v>0</v>
      </c>
      <c r="K63" s="40">
        <f t="shared" si="34"/>
        <v>0</v>
      </c>
      <c r="L63" s="40">
        <f t="shared" si="34"/>
        <v>0</v>
      </c>
      <c r="M63" s="40">
        <f t="shared" si="34"/>
        <v>0</v>
      </c>
      <c r="N63" s="40">
        <f t="shared" si="34"/>
        <v>0</v>
      </c>
      <c r="O63" s="40">
        <f t="shared" si="34"/>
        <v>0</v>
      </c>
    </row>
    <row r="64" spans="1:15" s="51" customFormat="1" x14ac:dyDescent="0.25">
      <c r="B64" s="29"/>
      <c r="C64" s="73" t="s">
        <v>273</v>
      </c>
      <c r="D64" s="107">
        <f>IFERROR('WS Plan'!$H$41/'WS Plan'!$H$40,0)</f>
        <v>0</v>
      </c>
      <c r="E64" s="40">
        <f>$D$64*E62</f>
        <v>0</v>
      </c>
      <c r="F64" s="40">
        <f t="shared" ref="F64:O64" si="35">$D$64*F62</f>
        <v>0</v>
      </c>
      <c r="G64" s="40">
        <f t="shared" si="35"/>
        <v>0</v>
      </c>
      <c r="H64" s="40">
        <f t="shared" si="35"/>
        <v>0</v>
      </c>
      <c r="I64" s="40">
        <f t="shared" si="35"/>
        <v>0</v>
      </c>
      <c r="J64" s="40">
        <f t="shared" si="35"/>
        <v>0</v>
      </c>
      <c r="K64" s="40">
        <f t="shared" si="35"/>
        <v>0</v>
      </c>
      <c r="L64" s="40">
        <f t="shared" si="35"/>
        <v>0</v>
      </c>
      <c r="M64" s="40">
        <f t="shared" si="35"/>
        <v>0</v>
      </c>
      <c r="N64" s="40">
        <f t="shared" si="35"/>
        <v>0</v>
      </c>
      <c r="O64" s="40">
        <f t="shared" si="35"/>
        <v>0</v>
      </c>
    </row>
    <row r="65" spans="1:15" s="87" customFormat="1" x14ac:dyDescent="0.25">
      <c r="B65" s="88"/>
      <c r="C65" s="313" t="s">
        <v>283</v>
      </c>
      <c r="D65" s="108"/>
      <c r="E65" s="89">
        <f>E49</f>
        <v>0</v>
      </c>
      <c r="F65" s="90">
        <f t="shared" ref="F65:O65" si="36">E65+F$54+F$62+F$46</f>
        <v>0</v>
      </c>
      <c r="G65" s="90">
        <f t="shared" si="36"/>
        <v>0</v>
      </c>
      <c r="H65" s="90">
        <f t="shared" si="36"/>
        <v>0</v>
      </c>
      <c r="I65" s="90">
        <f t="shared" si="36"/>
        <v>0</v>
      </c>
      <c r="J65" s="90">
        <f t="shared" si="36"/>
        <v>0</v>
      </c>
      <c r="K65" s="90">
        <f t="shared" si="36"/>
        <v>0</v>
      </c>
      <c r="L65" s="90">
        <f t="shared" si="36"/>
        <v>0</v>
      </c>
      <c r="M65" s="90">
        <f t="shared" si="36"/>
        <v>0</v>
      </c>
      <c r="N65" s="90">
        <f t="shared" si="36"/>
        <v>0</v>
      </c>
      <c r="O65" s="90">
        <f t="shared" si="36"/>
        <v>0</v>
      </c>
    </row>
    <row r="66" spans="1:15" s="87" customFormat="1" x14ac:dyDescent="0.25">
      <c r="B66" s="88"/>
      <c r="C66" s="313" t="s">
        <v>284</v>
      </c>
      <c r="D66" s="108"/>
      <c r="E66" s="89">
        <f>E50</f>
        <v>0</v>
      </c>
      <c r="F66" s="90">
        <f>E66+F$55+F$63+F$47</f>
        <v>0</v>
      </c>
      <c r="G66" s="90">
        <f t="shared" ref="G66:O66" si="37">F66+G$55+G$63+G$47</f>
        <v>0</v>
      </c>
      <c r="H66" s="90">
        <f t="shared" si="37"/>
        <v>0</v>
      </c>
      <c r="I66" s="90">
        <f t="shared" si="37"/>
        <v>0</v>
      </c>
      <c r="J66" s="90">
        <f t="shared" si="37"/>
        <v>0</v>
      </c>
      <c r="K66" s="90">
        <f t="shared" si="37"/>
        <v>0</v>
      </c>
      <c r="L66" s="90">
        <f t="shared" si="37"/>
        <v>0</v>
      </c>
      <c r="M66" s="90">
        <f t="shared" si="37"/>
        <v>0</v>
      </c>
      <c r="N66" s="90">
        <f t="shared" si="37"/>
        <v>0</v>
      </c>
      <c r="O66" s="90">
        <f t="shared" si="37"/>
        <v>0</v>
      </c>
    </row>
    <row r="67" spans="1:15" s="87" customFormat="1" x14ac:dyDescent="0.25">
      <c r="B67" s="88"/>
      <c r="C67" s="313" t="s">
        <v>285</v>
      </c>
      <c r="D67" s="108"/>
      <c r="E67" s="89">
        <f>E51</f>
        <v>0</v>
      </c>
      <c r="F67" s="90">
        <f>E67+F$56+F$64+F$48</f>
        <v>0</v>
      </c>
      <c r="G67" s="90">
        <f t="shared" ref="G67:O67" si="38">F67+G$56+G$64+G$48</f>
        <v>0</v>
      </c>
      <c r="H67" s="90">
        <f t="shared" si="38"/>
        <v>0</v>
      </c>
      <c r="I67" s="90">
        <f t="shared" si="38"/>
        <v>0</v>
      </c>
      <c r="J67" s="90">
        <f t="shared" si="38"/>
        <v>0</v>
      </c>
      <c r="K67" s="90">
        <f t="shared" si="38"/>
        <v>0</v>
      </c>
      <c r="L67" s="90">
        <f t="shared" si="38"/>
        <v>0</v>
      </c>
      <c r="M67" s="90">
        <f t="shared" si="38"/>
        <v>0</v>
      </c>
      <c r="N67" s="90">
        <f t="shared" si="38"/>
        <v>0</v>
      </c>
      <c r="O67" s="90">
        <f t="shared" si="38"/>
        <v>0</v>
      </c>
    </row>
    <row r="68" spans="1:15" x14ac:dyDescent="0.25">
      <c r="A68" s="48"/>
      <c r="B68" s="39"/>
      <c r="C68" s="50"/>
      <c r="D68" s="99"/>
      <c r="E68" s="67"/>
      <c r="F68" s="71"/>
      <c r="G68" s="71"/>
      <c r="H68" s="71"/>
      <c r="I68" s="71"/>
      <c r="J68" s="71"/>
      <c r="K68" s="71"/>
      <c r="L68" s="71"/>
      <c r="M68" s="71"/>
      <c r="N68" s="71"/>
      <c r="O68" s="71"/>
    </row>
    <row r="69" spans="1:15" ht="30" x14ac:dyDescent="0.25">
      <c r="A69" s="48"/>
      <c r="B69" s="14"/>
      <c r="C69" s="41" t="s">
        <v>576</v>
      </c>
      <c r="D69" s="95"/>
      <c r="E69" s="64">
        <v>0</v>
      </c>
      <c r="F69" s="64">
        <f t="shared" ref="F69:O69" si="39">E119-F119</f>
        <v>0</v>
      </c>
      <c r="G69" s="64">
        <f t="shared" si="39"/>
        <v>0</v>
      </c>
      <c r="H69" s="64">
        <f t="shared" si="39"/>
        <v>0</v>
      </c>
      <c r="I69" s="64">
        <f t="shared" si="39"/>
        <v>0</v>
      </c>
      <c r="J69" s="64">
        <f t="shared" si="39"/>
        <v>0</v>
      </c>
      <c r="K69" s="64">
        <f t="shared" si="39"/>
        <v>0</v>
      </c>
      <c r="L69" s="64">
        <f t="shared" si="39"/>
        <v>0</v>
      </c>
      <c r="M69" s="64">
        <f t="shared" si="39"/>
        <v>0</v>
      </c>
      <c r="N69" s="64">
        <f t="shared" si="39"/>
        <v>0</v>
      </c>
      <c r="O69" s="64">
        <f t="shared" si="39"/>
        <v>0</v>
      </c>
    </row>
    <row r="70" spans="1:15" x14ac:dyDescent="0.25">
      <c r="A70" s="48"/>
      <c r="B70" s="14"/>
      <c r="C70" s="41" t="s">
        <v>577</v>
      </c>
      <c r="D70" s="95"/>
      <c r="E70" s="64">
        <f>E69</f>
        <v>0</v>
      </c>
      <c r="F70" s="64">
        <f t="shared" ref="F70:O70" si="40">F69</f>
        <v>0</v>
      </c>
      <c r="G70" s="64">
        <f t="shared" si="40"/>
        <v>0</v>
      </c>
      <c r="H70" s="64">
        <f t="shared" si="40"/>
        <v>0</v>
      </c>
      <c r="I70" s="64">
        <f t="shared" si="40"/>
        <v>0</v>
      </c>
      <c r="J70" s="64">
        <f t="shared" si="40"/>
        <v>0</v>
      </c>
      <c r="K70" s="64">
        <f t="shared" si="40"/>
        <v>0</v>
      </c>
      <c r="L70" s="64">
        <f t="shared" si="40"/>
        <v>0</v>
      </c>
      <c r="M70" s="64">
        <f t="shared" si="40"/>
        <v>0</v>
      </c>
      <c r="N70" s="64">
        <f t="shared" si="40"/>
        <v>0</v>
      </c>
      <c r="O70" s="64">
        <f t="shared" si="40"/>
        <v>0</v>
      </c>
    </row>
    <row r="71" spans="1:15" s="53" customFormat="1" x14ac:dyDescent="0.25">
      <c r="B71" s="30"/>
      <c r="C71" s="74" t="s">
        <v>578</v>
      </c>
      <c r="D71" s="103"/>
      <c r="E71" s="75">
        <f>E65</f>
        <v>0</v>
      </c>
      <c r="F71" s="90">
        <f>E71+F$54+F$62+F$46+F$69</f>
        <v>0</v>
      </c>
      <c r="G71" s="90">
        <f t="shared" ref="G71:O71" si="41">F71+G$54+G$62+G$46+G$69</f>
        <v>0</v>
      </c>
      <c r="H71" s="90">
        <f t="shared" si="41"/>
        <v>0</v>
      </c>
      <c r="I71" s="90">
        <f t="shared" si="41"/>
        <v>0</v>
      </c>
      <c r="J71" s="90">
        <f t="shared" si="41"/>
        <v>0</v>
      </c>
      <c r="K71" s="90">
        <f t="shared" si="41"/>
        <v>0</v>
      </c>
      <c r="L71" s="90">
        <f t="shared" si="41"/>
        <v>0</v>
      </c>
      <c r="M71" s="90">
        <f t="shared" si="41"/>
        <v>0</v>
      </c>
      <c r="N71" s="90">
        <f t="shared" si="41"/>
        <v>0</v>
      </c>
      <c r="O71" s="90">
        <f t="shared" si="41"/>
        <v>0</v>
      </c>
    </row>
    <row r="72" spans="1:15" s="53" customFormat="1" x14ac:dyDescent="0.25">
      <c r="B72" s="30"/>
      <c r="C72" s="74" t="s">
        <v>580</v>
      </c>
      <c r="D72" s="103"/>
      <c r="E72" s="75">
        <f>E66</f>
        <v>0</v>
      </c>
      <c r="F72" s="75">
        <f t="shared" ref="F72:O72" si="42">F66</f>
        <v>0</v>
      </c>
      <c r="G72" s="75">
        <f t="shared" si="42"/>
        <v>0</v>
      </c>
      <c r="H72" s="75">
        <f t="shared" si="42"/>
        <v>0</v>
      </c>
      <c r="I72" s="75">
        <f t="shared" si="42"/>
        <v>0</v>
      </c>
      <c r="J72" s="75">
        <f t="shared" si="42"/>
        <v>0</v>
      </c>
      <c r="K72" s="75">
        <f t="shared" si="42"/>
        <v>0</v>
      </c>
      <c r="L72" s="75">
        <f t="shared" si="42"/>
        <v>0</v>
      </c>
      <c r="M72" s="75">
        <f t="shared" si="42"/>
        <v>0</v>
      </c>
      <c r="N72" s="75">
        <f t="shared" si="42"/>
        <v>0</v>
      </c>
      <c r="O72" s="75">
        <f t="shared" si="42"/>
        <v>0</v>
      </c>
    </row>
    <row r="73" spans="1:15" s="53" customFormat="1" x14ac:dyDescent="0.25">
      <c r="B73" s="30"/>
      <c r="C73" s="74" t="s">
        <v>579</v>
      </c>
      <c r="D73" s="103"/>
      <c r="E73" s="75">
        <f>E67</f>
        <v>0</v>
      </c>
      <c r="F73" s="90">
        <f>E73+F$56+F$64+F$48+F$70</f>
        <v>0</v>
      </c>
      <c r="G73" s="90">
        <f t="shared" ref="G73:O73" si="43">F73+G$56+G$64+G$48+G$70</f>
        <v>0</v>
      </c>
      <c r="H73" s="90">
        <f t="shared" si="43"/>
        <v>0</v>
      </c>
      <c r="I73" s="90">
        <f t="shared" si="43"/>
        <v>0</v>
      </c>
      <c r="J73" s="90">
        <f t="shared" si="43"/>
        <v>0</v>
      </c>
      <c r="K73" s="90">
        <f t="shared" si="43"/>
        <v>0</v>
      </c>
      <c r="L73" s="90">
        <f t="shared" si="43"/>
        <v>0</v>
      </c>
      <c r="M73" s="90">
        <f t="shared" si="43"/>
        <v>0</v>
      </c>
      <c r="N73" s="90">
        <f t="shared" si="43"/>
        <v>0</v>
      </c>
      <c r="O73" s="90">
        <f t="shared" si="43"/>
        <v>0</v>
      </c>
    </row>
    <row r="74" spans="1:15" x14ac:dyDescent="0.25">
      <c r="A74" s="48"/>
      <c r="B74" s="39"/>
      <c r="C74" s="50"/>
      <c r="D74" s="99"/>
      <c r="E74" s="67"/>
      <c r="F74" s="71"/>
      <c r="G74" s="71"/>
      <c r="H74" s="71"/>
      <c r="I74" s="71"/>
      <c r="J74" s="71"/>
      <c r="K74" s="71"/>
      <c r="L74" s="71"/>
      <c r="M74" s="71"/>
      <c r="N74" s="71"/>
      <c r="O74" s="71"/>
    </row>
    <row r="75" spans="1:15" s="53" customFormat="1" x14ac:dyDescent="0.25">
      <c r="B75" s="30"/>
      <c r="C75" s="74" t="s">
        <v>143</v>
      </c>
      <c r="D75" s="103" t="s">
        <v>169</v>
      </c>
      <c r="E75" s="75">
        <f>'WSS Profile'!$G$85</f>
        <v>0</v>
      </c>
      <c r="F75" s="75">
        <f>E75+IF('WS Plan'!$E$55="Activate",IF(AND(F44&gt;='WS Plan'!$G$55,F44&lt;'WS Plan'!$H$55+1),(('WS Plan'!$H$59)/('WS Plan'!$H$55+1-'WS Plan'!$G$55)),0),0)</f>
        <v>0</v>
      </c>
      <c r="G75" s="75">
        <f>F75+IF('WS Plan'!$E$55="Activate",IF(AND(G44&gt;='WS Plan'!$G$55,G44&lt;'WS Plan'!$H$55+1),(('WS Plan'!$H$59)/('WS Plan'!$H$55+1-'WS Plan'!$G$55)),0),0)</f>
        <v>0</v>
      </c>
      <c r="H75" s="75">
        <f>G75+IF('WS Plan'!$E$55="Activate",IF(AND(H44&gt;='WS Plan'!$G$55,H44&lt;'WS Plan'!$H$55+1),(('WS Plan'!$H$59)/('WS Plan'!$H$55+1-'WS Plan'!$G$55)),0),0)</f>
        <v>0</v>
      </c>
      <c r="I75" s="75">
        <f>H75+IF('WS Plan'!$E$55="Activate",IF(AND(I44&gt;='WS Plan'!$G$55,I44&lt;'WS Plan'!$H$55+1),(('WS Plan'!$H$59)/('WS Plan'!$H$55+1-'WS Plan'!$G$55)),0),0)</f>
        <v>0</v>
      </c>
      <c r="J75" s="75">
        <f>I75+IF('WS Plan'!$E$55="Activate",IF(AND(J44&gt;='WS Plan'!$G$55,J44&lt;'WS Plan'!$H$55+1),(('WS Plan'!$H$59)/('WS Plan'!$H$55+1-'WS Plan'!$G$55)),0),0)</f>
        <v>0</v>
      </c>
      <c r="K75" s="75">
        <f>J75+IF('WS Plan'!$E$55="Activate",IF(AND(K44&gt;='WS Plan'!$G$55,K44&lt;'WS Plan'!$H$55+1),(('WS Plan'!$H$59)/('WS Plan'!$H$55+1-'WS Plan'!$G$55)),0),0)</f>
        <v>0</v>
      </c>
      <c r="L75" s="75">
        <f>K75+IF('WS Plan'!$E$55="Activate",IF(AND(L44&gt;='WS Plan'!$G$55,L44&lt;'WS Plan'!$H$55+1),(('WS Plan'!$H$59)/('WS Plan'!$H$55+1-'WS Plan'!$G$55)),0),0)</f>
        <v>0</v>
      </c>
      <c r="M75" s="75">
        <f>L75+IF('WS Plan'!$E$55="Activate",IF(AND(M44&gt;='WS Plan'!$G$55,M44&lt;'WS Plan'!$H$55+1),(('WS Plan'!$H$59)/('WS Plan'!$H$55+1-'WS Plan'!$G$55)),0),0)</f>
        <v>0</v>
      </c>
      <c r="N75" s="75">
        <f>M75+IF('WS Plan'!$E$55="Activate",IF(AND(N44&gt;='WS Plan'!$G$55,N44&lt;'WS Plan'!$H$55+1),(('WS Plan'!$H$59)/('WS Plan'!$H$55+1-'WS Plan'!$G$55)),0),0)</f>
        <v>0</v>
      </c>
      <c r="O75" s="75">
        <f>N75+IF('WS Plan'!$E$55="Activate",IF(AND(O44&gt;='WS Plan'!$G$55,O44&lt;'WS Plan'!$H$55+1),(('WS Plan'!$H$59)/('WS Plan'!$H$55+1-'WS Plan'!$G$55)),0),0)</f>
        <v>0</v>
      </c>
    </row>
    <row r="76" spans="1:15" s="53" customFormat="1" x14ac:dyDescent="0.25">
      <c r="B76" s="30"/>
      <c r="C76" s="74" t="s">
        <v>1353</v>
      </c>
      <c r="D76" s="103" t="s">
        <v>1354</v>
      </c>
      <c r="E76" s="75">
        <f>'WSS Profile'!G86</f>
        <v>0</v>
      </c>
      <c r="F76" s="1163">
        <f>E76+IF('WS Plan'!$E$55="Activate",IF(AND(F44&gt;='WS Plan'!$G$55,F44&lt;'WS Plan'!$H$55+1),(('WS Plan'!$H$60)/('WS Plan'!$H$55+1-'WS Plan'!$G$55)),0),0)</f>
        <v>0</v>
      </c>
      <c r="G76" s="1163">
        <f>F76+IF('WS Plan'!$E$55="Activate",IF(AND(G44&gt;='WS Plan'!$G$55,G44&lt;'WS Plan'!$H$55+1),(('WS Plan'!$H$60)/('WS Plan'!$H$55+1-'WS Plan'!$G$55)),0),0)</f>
        <v>0</v>
      </c>
      <c r="H76" s="1163">
        <f>G76+IF('WS Plan'!$E$55="Activate",IF(AND(H44&gt;='WS Plan'!$G$55,H44&lt;'WS Plan'!$H$55+1),(('WS Plan'!$H$60)/('WS Plan'!$H$55+1-'WS Plan'!$G$55)),0),0)</f>
        <v>0</v>
      </c>
      <c r="I76" s="1163">
        <f>H76+IF('WS Plan'!$E$55="Activate",IF(AND(I44&gt;='WS Plan'!$G$55,I44&lt;'WS Plan'!$H$55+1),(('WS Plan'!$H$60)/('WS Plan'!$H$55+1-'WS Plan'!$G$55)),0),0)</f>
        <v>0</v>
      </c>
      <c r="J76" s="1163">
        <f>I76+IF('WS Plan'!$E$55="Activate",IF(AND(J44&gt;='WS Plan'!$G$55,J44&lt;'WS Plan'!$H$55+1),(('WS Plan'!$H$60)/('WS Plan'!$H$55+1-'WS Plan'!$G$55)),0),0)</f>
        <v>0</v>
      </c>
      <c r="K76" s="1163">
        <f>J76+IF('WS Plan'!$E$55="Activate",IF(AND(K44&gt;='WS Plan'!$G$55,K44&lt;'WS Plan'!$H$55+1),(('WS Plan'!$H$60)/('WS Plan'!$H$55+1-'WS Plan'!$G$55)),0),0)</f>
        <v>0</v>
      </c>
      <c r="L76" s="1163">
        <f>K76+IF('WS Plan'!$E$55="Activate",IF(AND(L44&gt;='WS Plan'!$G$55,L44&lt;'WS Plan'!$H$55+1),(('WS Plan'!$H$60)/('WS Plan'!$H$55+1-'WS Plan'!$G$55)),0),0)</f>
        <v>0</v>
      </c>
      <c r="M76" s="1163">
        <f>L76+IF('WS Plan'!$E$55="Activate",IF(AND(M44&gt;='WS Plan'!$G$55,M44&lt;'WS Plan'!$H$55+1),(('WS Plan'!$H$60)/('WS Plan'!$H$55+1-'WS Plan'!$G$55)),0),0)</f>
        <v>0</v>
      </c>
      <c r="N76" s="1163">
        <f>M76+IF('WS Plan'!$E$55="Activate",IF(AND(N44&gt;='WS Plan'!$G$55,N44&lt;'WS Plan'!$H$55+1),(('WS Plan'!$H$60)/('WS Plan'!$H$55+1-'WS Plan'!$G$55)),0),0)</f>
        <v>0</v>
      </c>
      <c r="O76" s="1163">
        <f>N76+IF('WS Plan'!$E$55="Activate",IF(AND(O44&gt;='WS Plan'!$G$55,O44&lt;'WS Plan'!$H$55+1),(('WS Plan'!$H$60)/('WS Plan'!$H$55+1-'WS Plan'!$G$55)),0),0)</f>
        <v>0</v>
      </c>
    </row>
    <row r="77" spans="1:15" ht="30" x14ac:dyDescent="0.25">
      <c r="A77" s="48"/>
      <c r="B77" s="14">
        <v>4</v>
      </c>
      <c r="C77" s="41" t="s">
        <v>286</v>
      </c>
      <c r="D77" s="95" t="s">
        <v>333</v>
      </c>
      <c r="E77" s="64">
        <f>IF('WS Plan'!$E$55="Activate",IF(AND(E44&gt;='WS Plan'!$G$55,E44&lt;'WS Plan'!$H$55+1),(('WS Plan'!$H$61)/('WS Plan'!$H$55+1-'WS Plan'!$G$55)),0),0)</f>
        <v>0</v>
      </c>
      <c r="F77" s="64">
        <f>IF('WS Plan'!$E$55="Activate",IF(AND(F44&gt;='WS Plan'!$G$55,F44&lt;'WS Plan'!$H$55+1),(('WS Plan'!$H$61)/('WS Plan'!$H$55+1-'WS Plan'!$G$55)),0),0)</f>
        <v>0</v>
      </c>
      <c r="G77" s="64">
        <f>IF('WS Plan'!$E$55="Activate",IF(AND(G44&gt;='WS Plan'!$G$55,G44&lt;'WS Plan'!$H$55+1),(('WS Plan'!$H$61)/('WS Plan'!$H$55+1-'WS Plan'!$G$55)),0),0)</f>
        <v>0</v>
      </c>
      <c r="H77" s="64">
        <f>IF('WS Plan'!$E$55="Activate",IF(AND(H44&gt;='WS Plan'!$G$55,H44&lt;'WS Plan'!$H$55+1),(('WS Plan'!$H$61)/('WS Plan'!$H$55+1-'WS Plan'!$G$55)),0),0)</f>
        <v>0</v>
      </c>
      <c r="I77" s="64">
        <f>IF('WS Plan'!$E$55="Activate",IF(AND(I44&gt;='WS Plan'!$G$55,I44&lt;'WS Plan'!$H$55+1),(('WS Plan'!$H$61)/('WS Plan'!$H$55+1-'WS Plan'!$G$55)),0),0)</f>
        <v>0</v>
      </c>
      <c r="J77" s="64">
        <f>IF('WS Plan'!$E$55="Activate",IF(AND(J44&gt;='WS Plan'!$G$55,J44&lt;'WS Plan'!$H$55+1),(('WS Plan'!$H$61)/('WS Plan'!$H$55+1-'WS Plan'!$G$55)),0),0)</f>
        <v>0</v>
      </c>
      <c r="K77" s="64">
        <f>IF('WS Plan'!$E$55="Activate",IF(AND(K44&gt;='WS Plan'!$G$55,K44&lt;'WS Plan'!$H$55+1),(('WS Plan'!$H$61)/('WS Plan'!$H$55+1-'WS Plan'!$G$55)),0),0)</f>
        <v>0</v>
      </c>
      <c r="L77" s="64">
        <f>IF('WS Plan'!$E$55="Activate",IF(AND(L44&gt;='WS Plan'!$G$55,L44&lt;'WS Plan'!$H$55+1),(('WS Plan'!$H$61)/('WS Plan'!$H$55+1-'WS Plan'!$G$55)),0),0)</f>
        <v>0</v>
      </c>
      <c r="M77" s="64">
        <f>IF('WS Plan'!$E$55="Activate",IF(AND(M44&gt;='WS Plan'!$G$55,M44&lt;'WS Plan'!$H$55+1),(('WS Plan'!$H$61)/('WS Plan'!$H$55+1-'WS Plan'!$G$55)),0),0)</f>
        <v>0</v>
      </c>
      <c r="N77" s="64">
        <f>IF('WS Plan'!$E$55="Activate",IF(AND(N44&gt;='WS Plan'!$G$55,N44&lt;'WS Plan'!$H$55+1),(('WS Plan'!$H$61)/('WS Plan'!$H$55+1-'WS Plan'!$G$55)),0),0)</f>
        <v>0</v>
      </c>
      <c r="O77" s="64">
        <f>IF('WS Plan'!$E$55="Activate",IF(AND(O44&gt;='WS Plan'!$G$55,O44&lt;'WS Plan'!$H$55+1),(('WS Plan'!$H$61)/('WS Plan'!$H$55+1-'WS Plan'!$G$55)),0),0)</f>
        <v>0</v>
      </c>
    </row>
    <row r="78" spans="1:15" s="51" customFormat="1" x14ac:dyDescent="0.25">
      <c r="B78" s="29"/>
      <c r="C78" s="73" t="s">
        <v>273</v>
      </c>
      <c r="D78" s="106"/>
      <c r="E78" s="91">
        <f>IF('WS Plan'!$E$64="Activate",IF(AND(E44&gt;='WS Plan'!$G$64,E44&lt;'WS Plan'!$H$64+1),(('WS Plan'!$H$68)/('WS Plan'!$H$64+1-'WS Plan'!$G$64)),0),0)</f>
        <v>0</v>
      </c>
      <c r="F78" s="91">
        <f>IF('WS Plan'!$E$64="Activate",IF(AND(F44&gt;='WS Plan'!$G$64,F44&lt;'WS Plan'!$H$64+1),(('WS Plan'!$H$68)/('WS Plan'!$H$64+1-'WS Plan'!$G$64)),0),0)</f>
        <v>0</v>
      </c>
      <c r="G78" s="91">
        <f>IF('WS Plan'!$E$64="Activate",IF(AND(G44&gt;='WS Plan'!$G$64,G44&lt;'WS Plan'!$H$64+1),(('WS Plan'!$H$68)/('WS Plan'!$H$64+1-'WS Plan'!$G$64)),0),0)</f>
        <v>0</v>
      </c>
      <c r="H78" s="91">
        <f>IF('WS Plan'!$E$64="Activate",IF(AND(H44&gt;='WS Plan'!$G$64,H44&lt;'WS Plan'!$H$64+1),(('WS Plan'!$H$68)/('WS Plan'!$H$64+1-'WS Plan'!$G$64)),0),0)</f>
        <v>0</v>
      </c>
      <c r="I78" s="91">
        <f>IF('WS Plan'!$E$64="Activate",IF(AND(I44&gt;='WS Plan'!$G$64,I44&lt;'WS Plan'!$H$64+1),(('WS Plan'!$H$68)/('WS Plan'!$H$64+1-'WS Plan'!$G$64)),0),0)</f>
        <v>0</v>
      </c>
      <c r="J78" s="91">
        <f>IF('WS Plan'!$E$64="Activate",IF(AND(J44&gt;='WS Plan'!$G$64,J44&lt;'WS Plan'!$H$64+1),(('WS Plan'!$H$68)/('WS Plan'!$H$64+1-'WS Plan'!$G$64)),0),0)</f>
        <v>0</v>
      </c>
      <c r="K78" s="91">
        <f>IF('WS Plan'!$E$64="Activate",IF(AND(K44&gt;='WS Plan'!$G$64,K44&lt;'WS Plan'!$H$64+1),(('WS Plan'!$H$68)/('WS Plan'!$H$64+1-'WS Plan'!$G$64)),0),0)</f>
        <v>0</v>
      </c>
      <c r="L78" s="91">
        <f>IF('WS Plan'!$E$64="Activate",IF(AND(L44&gt;='WS Plan'!$G$64,L44&lt;'WS Plan'!$H$64+1),(('WS Plan'!$H$68)/('WS Plan'!$H$64+1-'WS Plan'!$G$64)),0),0)</f>
        <v>0</v>
      </c>
      <c r="M78" s="91">
        <f>IF('WS Plan'!$E$64="Activate",IF(AND(M44&gt;='WS Plan'!$G$64,M44&lt;'WS Plan'!$H$64+1),(('WS Plan'!$H$68)/('WS Plan'!$H$64+1-'WS Plan'!$G$64)),0),0)</f>
        <v>0</v>
      </c>
      <c r="N78" s="91">
        <f>IF('WS Plan'!$E$64="Activate",IF(AND(N44&gt;='WS Plan'!$G$64,N44&lt;'WS Plan'!$H$64+1),(('WS Plan'!$H$68)/('WS Plan'!$H$64+1-'WS Plan'!$G$64)),0),0)</f>
        <v>0</v>
      </c>
      <c r="O78" s="91">
        <f>IF('WS Plan'!$E$64="Activate",IF(AND(O44&gt;='WS Plan'!$G$64,O44&lt;'WS Plan'!$H$64+1),(('WS Plan'!$H$68)/('WS Plan'!$H$64+1-'WS Plan'!$G$64)),0),0)</f>
        <v>0</v>
      </c>
    </row>
    <row r="79" spans="1:15" s="87" customFormat="1" x14ac:dyDescent="0.25">
      <c r="B79" s="88"/>
      <c r="C79" s="313" t="s">
        <v>287</v>
      </c>
      <c r="D79" s="108"/>
      <c r="E79" s="89">
        <f>E66</f>
        <v>0</v>
      </c>
      <c r="F79" s="75">
        <f t="shared" ref="F79:O79" si="44">E79+F$55+F$63+F$47+F$77</f>
        <v>0</v>
      </c>
      <c r="G79" s="75">
        <f t="shared" si="44"/>
        <v>0</v>
      </c>
      <c r="H79" s="75">
        <f t="shared" si="44"/>
        <v>0</v>
      </c>
      <c r="I79" s="75">
        <f t="shared" si="44"/>
        <v>0</v>
      </c>
      <c r="J79" s="75">
        <f t="shared" si="44"/>
        <v>0</v>
      </c>
      <c r="K79" s="75">
        <f t="shared" si="44"/>
        <v>0</v>
      </c>
      <c r="L79" s="75">
        <f t="shared" si="44"/>
        <v>0</v>
      </c>
      <c r="M79" s="75">
        <f t="shared" si="44"/>
        <v>0</v>
      </c>
      <c r="N79" s="75">
        <f t="shared" si="44"/>
        <v>0</v>
      </c>
      <c r="O79" s="75">
        <f t="shared" si="44"/>
        <v>0</v>
      </c>
    </row>
    <row r="80" spans="1:15" s="87" customFormat="1" x14ac:dyDescent="0.25">
      <c r="B80" s="88"/>
      <c r="C80" s="313" t="s">
        <v>288</v>
      </c>
      <c r="D80" s="108"/>
      <c r="E80" s="89">
        <f>E67</f>
        <v>0</v>
      </c>
      <c r="F80" s="75">
        <f>E80+F$56+F$64+F$48+F$78+F$70</f>
        <v>0</v>
      </c>
      <c r="G80" s="75">
        <f t="shared" ref="G80:O80" si="45">F80+G$56+G$64+G$48+G$78+G$70</f>
        <v>0</v>
      </c>
      <c r="H80" s="75">
        <f t="shared" si="45"/>
        <v>0</v>
      </c>
      <c r="I80" s="75">
        <f t="shared" si="45"/>
        <v>0</v>
      </c>
      <c r="J80" s="75">
        <f t="shared" si="45"/>
        <v>0</v>
      </c>
      <c r="K80" s="75">
        <f t="shared" si="45"/>
        <v>0</v>
      </c>
      <c r="L80" s="75">
        <f t="shared" si="45"/>
        <v>0</v>
      </c>
      <c r="M80" s="75">
        <f t="shared" si="45"/>
        <v>0</v>
      </c>
      <c r="N80" s="75">
        <f t="shared" si="45"/>
        <v>0</v>
      </c>
      <c r="O80" s="75">
        <f t="shared" si="45"/>
        <v>0</v>
      </c>
    </row>
    <row r="81" spans="1:15" s="53" customFormat="1" x14ac:dyDescent="0.25">
      <c r="A81" s="47"/>
      <c r="B81" s="671"/>
      <c r="C81" s="688" t="s">
        <v>289</v>
      </c>
      <c r="D81" s="669"/>
      <c r="E81" s="689">
        <f>E80+E79</f>
        <v>0</v>
      </c>
      <c r="F81" s="689">
        <f>F80+F79</f>
        <v>0</v>
      </c>
      <c r="G81" s="689">
        <f>G80+G79</f>
        <v>0</v>
      </c>
      <c r="H81" s="689">
        <f t="shared" ref="H81:O81" si="46">H80+H79</f>
        <v>0</v>
      </c>
      <c r="I81" s="689">
        <f t="shared" si="46"/>
        <v>0</v>
      </c>
      <c r="J81" s="689">
        <f t="shared" si="46"/>
        <v>0</v>
      </c>
      <c r="K81" s="689">
        <f t="shared" si="46"/>
        <v>0</v>
      </c>
      <c r="L81" s="689">
        <f t="shared" si="46"/>
        <v>0</v>
      </c>
      <c r="M81" s="689">
        <f t="shared" si="46"/>
        <v>0</v>
      </c>
      <c r="N81" s="689">
        <f t="shared" si="46"/>
        <v>0</v>
      </c>
      <c r="O81" s="689">
        <f t="shared" si="46"/>
        <v>0</v>
      </c>
    </row>
    <row r="83" spans="1:15" s="260" customFormat="1" x14ac:dyDescent="0.25">
      <c r="A83" s="257" t="s">
        <v>13</v>
      </c>
      <c r="B83" s="257" t="s">
        <v>291</v>
      </c>
      <c r="C83" s="314"/>
      <c r="D83" s="258"/>
      <c r="E83" s="259"/>
      <c r="F83" s="259"/>
      <c r="G83" s="259"/>
      <c r="H83" s="259"/>
      <c r="I83" s="259"/>
      <c r="J83" s="259"/>
      <c r="K83" s="259"/>
      <c r="L83" s="259"/>
      <c r="M83" s="259"/>
      <c r="N83" s="259"/>
      <c r="O83" s="259"/>
    </row>
    <row r="84" spans="1:15" s="260" customFormat="1" x14ac:dyDescent="0.25">
      <c r="A84" s="256"/>
      <c r="B84" s="261" t="s">
        <v>3</v>
      </c>
      <c r="C84" s="315" t="s">
        <v>4</v>
      </c>
      <c r="D84" s="261" t="s">
        <v>33</v>
      </c>
      <c r="E84" s="261">
        <f>E$3</f>
        <v>2014</v>
      </c>
      <c r="F84" s="261">
        <f t="shared" ref="F84:O84" si="47">F$3</f>
        <v>2015</v>
      </c>
      <c r="G84" s="261">
        <f t="shared" si="47"/>
        <v>2016</v>
      </c>
      <c r="H84" s="261">
        <f t="shared" si="47"/>
        <v>2017</v>
      </c>
      <c r="I84" s="261">
        <f t="shared" si="47"/>
        <v>2018</v>
      </c>
      <c r="J84" s="261">
        <f t="shared" si="47"/>
        <v>2019</v>
      </c>
      <c r="K84" s="261">
        <f t="shared" si="47"/>
        <v>2020</v>
      </c>
      <c r="L84" s="261">
        <f t="shared" si="47"/>
        <v>2021</v>
      </c>
      <c r="M84" s="261">
        <f t="shared" si="47"/>
        <v>2022</v>
      </c>
      <c r="N84" s="261">
        <f t="shared" si="47"/>
        <v>2023</v>
      </c>
      <c r="O84" s="261">
        <f t="shared" si="47"/>
        <v>2024</v>
      </c>
    </row>
    <row r="85" spans="1:15" s="237" customFormat="1" x14ac:dyDescent="0.25">
      <c r="B85" s="239">
        <v>1</v>
      </c>
      <c r="C85" s="316" t="s">
        <v>258</v>
      </c>
      <c r="D85" s="248"/>
      <c r="E85" s="239"/>
      <c r="F85" s="338">
        <f t="shared" ref="F85:O85" si="48">F113-F80</f>
        <v>0</v>
      </c>
      <c r="G85" s="338">
        <f t="shared" si="48"/>
        <v>0</v>
      </c>
      <c r="H85" s="338">
        <f t="shared" si="48"/>
        <v>0</v>
      </c>
      <c r="I85" s="338">
        <f t="shared" si="48"/>
        <v>0</v>
      </c>
      <c r="J85" s="338">
        <f t="shared" si="48"/>
        <v>0</v>
      </c>
      <c r="K85" s="338">
        <f t="shared" si="48"/>
        <v>0</v>
      </c>
      <c r="L85" s="338">
        <f t="shared" si="48"/>
        <v>0</v>
      </c>
      <c r="M85" s="338">
        <f t="shared" si="48"/>
        <v>0</v>
      </c>
      <c r="N85" s="338">
        <f t="shared" si="48"/>
        <v>0</v>
      </c>
      <c r="O85" s="338">
        <f t="shared" si="48"/>
        <v>0</v>
      </c>
    </row>
    <row r="86" spans="1:15" s="237" customFormat="1" x14ac:dyDescent="0.25">
      <c r="A86" s="232"/>
      <c r="B86" s="249">
        <v>1.1000000000000001</v>
      </c>
      <c r="C86" s="317" t="s">
        <v>23</v>
      </c>
      <c r="D86" s="109">
        <f>IFERROR(E86/(SUM($E$86:$E$89)),0)</f>
        <v>0</v>
      </c>
      <c r="E86" s="233">
        <f>'WSS Profile'!F92</f>
        <v>0</v>
      </c>
      <c r="F86" s="233">
        <f>F$85*$D86</f>
        <v>0</v>
      </c>
      <c r="G86" s="233">
        <f t="shared" ref="G86:O89" si="49">G$85*$D86</f>
        <v>0</v>
      </c>
      <c r="H86" s="233">
        <f t="shared" si="49"/>
        <v>0</v>
      </c>
      <c r="I86" s="233">
        <f t="shared" si="49"/>
        <v>0</v>
      </c>
      <c r="J86" s="233">
        <f t="shared" si="49"/>
        <v>0</v>
      </c>
      <c r="K86" s="233">
        <f t="shared" si="49"/>
        <v>0</v>
      </c>
      <c r="L86" s="233">
        <f t="shared" si="49"/>
        <v>0</v>
      </c>
      <c r="M86" s="233">
        <f t="shared" si="49"/>
        <v>0</v>
      </c>
      <c r="N86" s="233">
        <f t="shared" si="49"/>
        <v>0</v>
      </c>
      <c r="O86" s="233">
        <f t="shared" si="49"/>
        <v>0</v>
      </c>
    </row>
    <row r="87" spans="1:15" s="237" customFormat="1" x14ac:dyDescent="0.25">
      <c r="A87" s="232"/>
      <c r="B87" s="249">
        <v>1.2</v>
      </c>
      <c r="C87" s="317" t="s">
        <v>24</v>
      </c>
      <c r="D87" s="109">
        <f>IFERROR(E87/(SUM($E$86:$E$89)),0)</f>
        <v>0</v>
      </c>
      <c r="E87" s="233">
        <f>'WSS Profile'!F93</f>
        <v>0</v>
      </c>
      <c r="F87" s="233">
        <f>F$85*$D87</f>
        <v>0</v>
      </c>
      <c r="G87" s="233">
        <f t="shared" ref="G87:O87" si="50">G$85*$D87</f>
        <v>0</v>
      </c>
      <c r="H87" s="233">
        <f t="shared" si="50"/>
        <v>0</v>
      </c>
      <c r="I87" s="233">
        <f t="shared" si="50"/>
        <v>0</v>
      </c>
      <c r="J87" s="233">
        <f t="shared" si="50"/>
        <v>0</v>
      </c>
      <c r="K87" s="233">
        <f t="shared" si="50"/>
        <v>0</v>
      </c>
      <c r="L87" s="233">
        <f t="shared" si="50"/>
        <v>0</v>
      </c>
      <c r="M87" s="233">
        <f t="shared" si="50"/>
        <v>0</v>
      </c>
      <c r="N87" s="233">
        <f t="shared" si="50"/>
        <v>0</v>
      </c>
      <c r="O87" s="233">
        <f t="shared" si="50"/>
        <v>0</v>
      </c>
    </row>
    <row r="88" spans="1:15" s="237" customFormat="1" x14ac:dyDescent="0.25">
      <c r="A88" s="232"/>
      <c r="B88" s="249">
        <v>1.3</v>
      </c>
      <c r="C88" s="317" t="s">
        <v>25</v>
      </c>
      <c r="D88" s="109">
        <f>IFERROR(E88/(SUM($E$86:$E$89)),0)</f>
        <v>0</v>
      </c>
      <c r="E88" s="233">
        <f>'WSS Profile'!F94</f>
        <v>0</v>
      </c>
      <c r="F88" s="233">
        <f>F$85*$D88</f>
        <v>0</v>
      </c>
      <c r="G88" s="233">
        <f t="shared" si="49"/>
        <v>0</v>
      </c>
      <c r="H88" s="233">
        <f t="shared" si="49"/>
        <v>0</v>
      </c>
      <c r="I88" s="233">
        <f t="shared" si="49"/>
        <v>0</v>
      </c>
      <c r="J88" s="233">
        <f t="shared" si="49"/>
        <v>0</v>
      </c>
      <c r="K88" s="233">
        <f t="shared" si="49"/>
        <v>0</v>
      </c>
      <c r="L88" s="233">
        <f t="shared" si="49"/>
        <v>0</v>
      </c>
      <c r="M88" s="233">
        <f t="shared" si="49"/>
        <v>0</v>
      </c>
      <c r="N88" s="233">
        <f t="shared" si="49"/>
        <v>0</v>
      </c>
      <c r="O88" s="233">
        <f t="shared" si="49"/>
        <v>0</v>
      </c>
    </row>
    <row r="89" spans="1:15" s="237" customFormat="1" x14ac:dyDescent="0.25">
      <c r="A89" s="232"/>
      <c r="B89" s="249">
        <v>1.4</v>
      </c>
      <c r="C89" s="317" t="s">
        <v>168</v>
      </c>
      <c r="D89" s="109">
        <f>IFERROR(E89/(SUM($E$86:$E$89)),0)</f>
        <v>0</v>
      </c>
      <c r="E89" s="233">
        <f>'WSS Profile'!F95</f>
        <v>0</v>
      </c>
      <c r="F89" s="233">
        <f>F$85*$D89</f>
        <v>0</v>
      </c>
      <c r="G89" s="233">
        <f t="shared" si="49"/>
        <v>0</v>
      </c>
      <c r="H89" s="233">
        <f t="shared" si="49"/>
        <v>0</v>
      </c>
      <c r="I89" s="233">
        <f t="shared" si="49"/>
        <v>0</v>
      </c>
      <c r="J89" s="233">
        <f t="shared" si="49"/>
        <v>0</v>
      </c>
      <c r="K89" s="233">
        <f t="shared" si="49"/>
        <v>0</v>
      </c>
      <c r="L89" s="233">
        <f t="shared" si="49"/>
        <v>0</v>
      </c>
      <c r="M89" s="233">
        <f t="shared" si="49"/>
        <v>0</v>
      </c>
      <c r="N89" s="233">
        <f t="shared" si="49"/>
        <v>0</v>
      </c>
      <c r="O89" s="233">
        <f t="shared" si="49"/>
        <v>0</v>
      </c>
    </row>
    <row r="90" spans="1:15" s="237" customFormat="1" x14ac:dyDescent="0.25">
      <c r="B90" s="239">
        <v>2</v>
      </c>
      <c r="C90" s="316" t="s">
        <v>257</v>
      </c>
      <c r="D90" s="115"/>
      <c r="E90" s="239"/>
      <c r="F90" s="239"/>
      <c r="G90" s="239"/>
      <c r="H90" s="239"/>
      <c r="I90" s="239"/>
      <c r="J90" s="239"/>
      <c r="K90" s="239"/>
      <c r="L90" s="239"/>
      <c r="M90" s="239"/>
      <c r="N90" s="239"/>
      <c r="O90" s="239"/>
    </row>
    <row r="91" spans="1:15" s="237" customFormat="1" x14ac:dyDescent="0.25">
      <c r="A91" s="232"/>
      <c r="B91" s="249">
        <v>2.1</v>
      </c>
      <c r="C91" s="317" t="s">
        <v>23</v>
      </c>
      <c r="D91" s="109">
        <f>IFERROR(E91/(SUM($E$91:$E$94)),0)</f>
        <v>0</v>
      </c>
      <c r="E91" s="233">
        <f>'WSS Profile'!F97</f>
        <v>0</v>
      </c>
      <c r="F91" s="233">
        <f>F$80*$D91</f>
        <v>0</v>
      </c>
      <c r="G91" s="233">
        <f t="shared" ref="G91:O94" si="51">G$80*$D91</f>
        <v>0</v>
      </c>
      <c r="H91" s="233">
        <f t="shared" si="51"/>
        <v>0</v>
      </c>
      <c r="I91" s="233">
        <f t="shared" si="51"/>
        <v>0</v>
      </c>
      <c r="J91" s="233">
        <f t="shared" si="51"/>
        <v>0</v>
      </c>
      <c r="K91" s="233">
        <f t="shared" si="51"/>
        <v>0</v>
      </c>
      <c r="L91" s="233">
        <f t="shared" si="51"/>
        <v>0</v>
      </c>
      <c r="M91" s="233">
        <f t="shared" si="51"/>
        <v>0</v>
      </c>
      <c r="N91" s="233">
        <f t="shared" si="51"/>
        <v>0</v>
      </c>
      <c r="O91" s="233">
        <f t="shared" si="51"/>
        <v>0</v>
      </c>
    </row>
    <row r="92" spans="1:15" s="237" customFormat="1" x14ac:dyDescent="0.25">
      <c r="A92" s="232"/>
      <c r="B92" s="249">
        <v>2.2000000000000002</v>
      </c>
      <c r="C92" s="317" t="s">
        <v>24</v>
      </c>
      <c r="D92" s="109">
        <f>IFERROR(E92/(SUM($E$91:$E$94)),0)</f>
        <v>0</v>
      </c>
      <c r="E92" s="233">
        <f>'WSS Profile'!F98</f>
        <v>0</v>
      </c>
      <c r="F92" s="233">
        <f>F$80*$D92</f>
        <v>0</v>
      </c>
      <c r="G92" s="233">
        <f t="shared" ref="G92:O92" si="52">G$80*$D92</f>
        <v>0</v>
      </c>
      <c r="H92" s="233">
        <f t="shared" si="52"/>
        <v>0</v>
      </c>
      <c r="I92" s="233">
        <f t="shared" si="52"/>
        <v>0</v>
      </c>
      <c r="J92" s="233">
        <f t="shared" si="52"/>
        <v>0</v>
      </c>
      <c r="K92" s="233">
        <f t="shared" si="52"/>
        <v>0</v>
      </c>
      <c r="L92" s="233">
        <f t="shared" si="52"/>
        <v>0</v>
      </c>
      <c r="M92" s="233">
        <f t="shared" si="52"/>
        <v>0</v>
      </c>
      <c r="N92" s="233">
        <f t="shared" si="52"/>
        <v>0</v>
      </c>
      <c r="O92" s="233">
        <f t="shared" si="52"/>
        <v>0</v>
      </c>
    </row>
    <row r="93" spans="1:15" s="237" customFormat="1" x14ac:dyDescent="0.25">
      <c r="A93" s="232"/>
      <c r="B93" s="249">
        <v>2.2999999999999998</v>
      </c>
      <c r="C93" s="317" t="s">
        <v>25</v>
      </c>
      <c r="D93" s="109">
        <f>IFERROR(E93/(SUM($E$91:$E$94)),0)</f>
        <v>0</v>
      </c>
      <c r="E93" s="233">
        <f>'WSS Profile'!F99</f>
        <v>0</v>
      </c>
      <c r="F93" s="233">
        <f>F$80*$D93</f>
        <v>0</v>
      </c>
      <c r="G93" s="233">
        <f t="shared" si="51"/>
        <v>0</v>
      </c>
      <c r="H93" s="233">
        <f t="shared" si="51"/>
        <v>0</v>
      </c>
      <c r="I93" s="233">
        <f t="shared" si="51"/>
        <v>0</v>
      </c>
      <c r="J93" s="233">
        <f t="shared" si="51"/>
        <v>0</v>
      </c>
      <c r="K93" s="233">
        <f t="shared" si="51"/>
        <v>0</v>
      </c>
      <c r="L93" s="233">
        <f t="shared" si="51"/>
        <v>0</v>
      </c>
      <c r="M93" s="233">
        <f t="shared" si="51"/>
        <v>0</v>
      </c>
      <c r="N93" s="233">
        <f t="shared" si="51"/>
        <v>0</v>
      </c>
      <c r="O93" s="233">
        <f t="shared" si="51"/>
        <v>0</v>
      </c>
    </row>
    <row r="94" spans="1:15" s="237" customFormat="1" x14ac:dyDescent="0.25">
      <c r="A94" s="232"/>
      <c r="B94" s="249">
        <v>2.4</v>
      </c>
      <c r="C94" s="317" t="s">
        <v>168</v>
      </c>
      <c r="D94" s="109">
        <f>IFERROR(E94/(SUM($E$91:$E$94)),0)</f>
        <v>0</v>
      </c>
      <c r="E94" s="233">
        <f>'WSS Profile'!F100</f>
        <v>0</v>
      </c>
      <c r="F94" s="233">
        <f>F$80*$D94</f>
        <v>0</v>
      </c>
      <c r="G94" s="233">
        <f t="shared" si="51"/>
        <v>0</v>
      </c>
      <c r="H94" s="233">
        <f t="shared" si="51"/>
        <v>0</v>
      </c>
      <c r="I94" s="233">
        <f t="shared" si="51"/>
        <v>0</v>
      </c>
      <c r="J94" s="233">
        <f t="shared" si="51"/>
        <v>0</v>
      </c>
      <c r="K94" s="233">
        <f t="shared" si="51"/>
        <v>0</v>
      </c>
      <c r="L94" s="233">
        <f t="shared" si="51"/>
        <v>0</v>
      </c>
      <c r="M94" s="233">
        <f t="shared" si="51"/>
        <v>0</v>
      </c>
      <c r="N94" s="233">
        <f t="shared" si="51"/>
        <v>0</v>
      </c>
      <c r="O94" s="233">
        <f t="shared" si="51"/>
        <v>0</v>
      </c>
    </row>
    <row r="95" spans="1:15" s="237" customFormat="1" x14ac:dyDescent="0.25">
      <c r="B95" s="239">
        <v>3</v>
      </c>
      <c r="C95" s="316" t="s">
        <v>259</v>
      </c>
      <c r="D95" s="115"/>
      <c r="E95" s="239"/>
      <c r="F95" s="239"/>
      <c r="G95" s="239"/>
      <c r="H95" s="239"/>
      <c r="I95" s="239"/>
      <c r="J95" s="239"/>
      <c r="K95" s="239"/>
      <c r="L95" s="239"/>
      <c r="M95" s="239"/>
      <c r="N95" s="239"/>
      <c r="O95" s="239"/>
    </row>
    <row r="96" spans="1:15" s="237" customFormat="1" x14ac:dyDescent="0.25">
      <c r="A96" s="232"/>
      <c r="B96" s="249">
        <v>3.1</v>
      </c>
      <c r="C96" s="317" t="s">
        <v>23</v>
      </c>
      <c r="D96" s="109">
        <f>IFERROR(E96/(SUM($E$96:$E$99)),0)</f>
        <v>0</v>
      </c>
      <c r="E96" s="233">
        <f>'WSS Profile'!F102</f>
        <v>0</v>
      </c>
      <c r="F96" s="233">
        <f t="shared" ref="F96:O99" si="53">F$114*$D96</f>
        <v>0</v>
      </c>
      <c r="G96" s="233">
        <f t="shared" si="53"/>
        <v>0</v>
      </c>
      <c r="H96" s="233">
        <f t="shared" si="53"/>
        <v>0</v>
      </c>
      <c r="I96" s="233">
        <f t="shared" si="53"/>
        <v>0</v>
      </c>
      <c r="J96" s="233">
        <f t="shared" si="53"/>
        <v>0</v>
      </c>
      <c r="K96" s="233">
        <f t="shared" si="53"/>
        <v>0</v>
      </c>
      <c r="L96" s="233">
        <f t="shared" si="53"/>
        <v>0</v>
      </c>
      <c r="M96" s="233">
        <f t="shared" si="53"/>
        <v>0</v>
      </c>
      <c r="N96" s="233">
        <f t="shared" si="53"/>
        <v>0</v>
      </c>
      <c r="O96" s="233">
        <f t="shared" si="53"/>
        <v>0</v>
      </c>
    </row>
    <row r="97" spans="1:15" s="237" customFormat="1" x14ac:dyDescent="0.25">
      <c r="A97" s="232"/>
      <c r="B97" s="249">
        <v>3.2</v>
      </c>
      <c r="C97" s="317" t="s">
        <v>24</v>
      </c>
      <c r="D97" s="109">
        <f>IFERROR(E97/(SUM($E$96:$E$99)),0)</f>
        <v>0</v>
      </c>
      <c r="E97" s="233">
        <f>'WSS Profile'!F103</f>
        <v>0</v>
      </c>
      <c r="F97" s="233">
        <f t="shared" si="53"/>
        <v>0</v>
      </c>
      <c r="G97" s="233">
        <f t="shared" si="53"/>
        <v>0</v>
      </c>
      <c r="H97" s="233">
        <f t="shared" si="53"/>
        <v>0</v>
      </c>
      <c r="I97" s="233">
        <f t="shared" si="53"/>
        <v>0</v>
      </c>
      <c r="J97" s="233">
        <f t="shared" si="53"/>
        <v>0</v>
      </c>
      <c r="K97" s="233">
        <f t="shared" si="53"/>
        <v>0</v>
      </c>
      <c r="L97" s="233">
        <f t="shared" si="53"/>
        <v>0</v>
      </c>
      <c r="M97" s="233">
        <f t="shared" si="53"/>
        <v>0</v>
      </c>
      <c r="N97" s="233">
        <f t="shared" si="53"/>
        <v>0</v>
      </c>
      <c r="O97" s="233">
        <f t="shared" si="53"/>
        <v>0</v>
      </c>
    </row>
    <row r="98" spans="1:15" s="237" customFormat="1" x14ac:dyDescent="0.25">
      <c r="A98" s="232"/>
      <c r="B98" s="249">
        <v>3.3</v>
      </c>
      <c r="C98" s="317" t="s">
        <v>25</v>
      </c>
      <c r="D98" s="109">
        <f>IFERROR(E98/(SUM($E$96:$E$99)),0)</f>
        <v>0</v>
      </c>
      <c r="E98" s="233">
        <f>'WSS Profile'!F104</f>
        <v>0</v>
      </c>
      <c r="F98" s="233">
        <f t="shared" si="53"/>
        <v>0</v>
      </c>
      <c r="G98" s="233">
        <f t="shared" si="53"/>
        <v>0</v>
      </c>
      <c r="H98" s="233">
        <f t="shared" si="53"/>
        <v>0</v>
      </c>
      <c r="I98" s="233">
        <f t="shared" si="53"/>
        <v>0</v>
      </c>
      <c r="J98" s="233">
        <f t="shared" si="53"/>
        <v>0</v>
      </c>
      <c r="K98" s="233">
        <f t="shared" si="53"/>
        <v>0</v>
      </c>
      <c r="L98" s="233">
        <f t="shared" si="53"/>
        <v>0</v>
      </c>
      <c r="M98" s="233">
        <f t="shared" si="53"/>
        <v>0</v>
      </c>
      <c r="N98" s="233">
        <f t="shared" si="53"/>
        <v>0</v>
      </c>
      <c r="O98" s="233">
        <f t="shared" si="53"/>
        <v>0</v>
      </c>
    </row>
    <row r="99" spans="1:15" s="237" customFormat="1" x14ac:dyDescent="0.25">
      <c r="A99" s="232"/>
      <c r="B99" s="249">
        <v>3.4</v>
      </c>
      <c r="C99" s="317" t="s">
        <v>168</v>
      </c>
      <c r="D99" s="109">
        <f>IFERROR(E99/(SUM($E$96:$E$99)),0)</f>
        <v>0</v>
      </c>
      <c r="E99" s="233">
        <f>'WSS Profile'!F105</f>
        <v>0</v>
      </c>
      <c r="F99" s="233">
        <f t="shared" si="53"/>
        <v>0</v>
      </c>
      <c r="G99" s="233">
        <f t="shared" si="53"/>
        <v>0</v>
      </c>
      <c r="H99" s="233">
        <f t="shared" si="53"/>
        <v>0</v>
      </c>
      <c r="I99" s="233">
        <f t="shared" si="53"/>
        <v>0</v>
      </c>
      <c r="J99" s="233">
        <f t="shared" si="53"/>
        <v>0</v>
      </c>
      <c r="K99" s="233">
        <f t="shared" si="53"/>
        <v>0</v>
      </c>
      <c r="L99" s="233">
        <f t="shared" si="53"/>
        <v>0</v>
      </c>
      <c r="M99" s="233">
        <f t="shared" si="53"/>
        <v>0</v>
      </c>
      <c r="N99" s="233">
        <f t="shared" si="53"/>
        <v>0</v>
      </c>
      <c r="O99" s="233">
        <f t="shared" si="53"/>
        <v>0</v>
      </c>
    </row>
    <row r="100" spans="1:15" s="237" customFormat="1" x14ac:dyDescent="0.25">
      <c r="B100" s="239">
        <v>4</v>
      </c>
      <c r="C100" s="316" t="s">
        <v>26</v>
      </c>
      <c r="D100" s="115"/>
      <c r="E100" s="239"/>
      <c r="F100" s="239"/>
      <c r="G100" s="239"/>
      <c r="H100" s="239"/>
      <c r="I100" s="239"/>
      <c r="J100" s="239"/>
      <c r="K100" s="239"/>
      <c r="L100" s="239"/>
      <c r="M100" s="239"/>
      <c r="N100" s="239"/>
      <c r="O100" s="239"/>
    </row>
    <row r="101" spans="1:15" s="237" customFormat="1" x14ac:dyDescent="0.25">
      <c r="A101" s="232"/>
      <c r="B101" s="249">
        <v>4.0999999999999996</v>
      </c>
      <c r="C101" s="317" t="s">
        <v>23</v>
      </c>
      <c r="D101" s="109">
        <f>IFERROR(E101/(SUM($E$101:$E$104)),0)</f>
        <v>0</v>
      </c>
      <c r="E101" s="233">
        <f>'WSS Profile'!F107</f>
        <v>0</v>
      </c>
      <c r="F101" s="233">
        <f t="shared" ref="F101:O104" si="54">F$115*$D101</f>
        <v>0</v>
      </c>
      <c r="G101" s="233">
        <f t="shared" si="54"/>
        <v>0</v>
      </c>
      <c r="H101" s="233">
        <f t="shared" si="54"/>
        <v>0</v>
      </c>
      <c r="I101" s="233">
        <f t="shared" si="54"/>
        <v>0</v>
      </c>
      <c r="J101" s="233">
        <f t="shared" si="54"/>
        <v>0</v>
      </c>
      <c r="K101" s="233">
        <f t="shared" si="54"/>
        <v>0</v>
      </c>
      <c r="L101" s="233">
        <f t="shared" si="54"/>
        <v>0</v>
      </c>
      <c r="M101" s="233">
        <f t="shared" si="54"/>
        <v>0</v>
      </c>
      <c r="N101" s="233">
        <f t="shared" si="54"/>
        <v>0</v>
      </c>
      <c r="O101" s="233">
        <f t="shared" si="54"/>
        <v>0</v>
      </c>
    </row>
    <row r="102" spans="1:15" s="237" customFormat="1" x14ac:dyDescent="0.25">
      <c r="A102" s="232"/>
      <c r="B102" s="249">
        <v>4.2</v>
      </c>
      <c r="C102" s="317" t="s">
        <v>24</v>
      </c>
      <c r="D102" s="109">
        <f>IFERROR(E102/(SUM($E$101:$E$104)),0)</f>
        <v>0</v>
      </c>
      <c r="E102" s="233">
        <f>'WSS Profile'!F108</f>
        <v>0</v>
      </c>
      <c r="F102" s="233">
        <f t="shared" si="54"/>
        <v>0</v>
      </c>
      <c r="G102" s="233">
        <f t="shared" si="54"/>
        <v>0</v>
      </c>
      <c r="H102" s="233">
        <f t="shared" si="54"/>
        <v>0</v>
      </c>
      <c r="I102" s="233">
        <f t="shared" si="54"/>
        <v>0</v>
      </c>
      <c r="J102" s="233">
        <f t="shared" si="54"/>
        <v>0</v>
      </c>
      <c r="K102" s="233">
        <f t="shared" si="54"/>
        <v>0</v>
      </c>
      <c r="L102" s="233">
        <f t="shared" si="54"/>
        <v>0</v>
      </c>
      <c r="M102" s="233">
        <f t="shared" si="54"/>
        <v>0</v>
      </c>
      <c r="N102" s="233">
        <f t="shared" si="54"/>
        <v>0</v>
      </c>
      <c r="O102" s="233">
        <f t="shared" si="54"/>
        <v>0</v>
      </c>
    </row>
    <row r="103" spans="1:15" s="237" customFormat="1" x14ac:dyDescent="0.25">
      <c r="A103" s="232"/>
      <c r="B103" s="249">
        <v>4.3</v>
      </c>
      <c r="C103" s="317" t="s">
        <v>25</v>
      </c>
      <c r="D103" s="109">
        <f>IFERROR(E103/(SUM($E$101:$E$104)),0)</f>
        <v>0</v>
      </c>
      <c r="E103" s="233">
        <f>'WSS Profile'!F109</f>
        <v>0</v>
      </c>
      <c r="F103" s="233">
        <f t="shared" si="54"/>
        <v>0</v>
      </c>
      <c r="G103" s="233">
        <f t="shared" si="54"/>
        <v>0</v>
      </c>
      <c r="H103" s="233">
        <f t="shared" si="54"/>
        <v>0</v>
      </c>
      <c r="I103" s="233">
        <f t="shared" si="54"/>
        <v>0</v>
      </c>
      <c r="J103" s="233">
        <f t="shared" si="54"/>
        <v>0</v>
      </c>
      <c r="K103" s="233">
        <f t="shared" si="54"/>
        <v>0</v>
      </c>
      <c r="L103" s="233">
        <f t="shared" si="54"/>
        <v>0</v>
      </c>
      <c r="M103" s="233">
        <f t="shared" si="54"/>
        <v>0</v>
      </c>
      <c r="N103" s="233">
        <f t="shared" si="54"/>
        <v>0</v>
      </c>
      <c r="O103" s="233">
        <f t="shared" si="54"/>
        <v>0</v>
      </c>
    </row>
    <row r="104" spans="1:15" s="237" customFormat="1" x14ac:dyDescent="0.25">
      <c r="A104" s="232"/>
      <c r="B104" s="249">
        <v>4.4000000000000004</v>
      </c>
      <c r="C104" s="317" t="s">
        <v>168</v>
      </c>
      <c r="D104" s="109">
        <f>IFERROR(E104/(SUM($E$101:$E$104)),0)</f>
        <v>0</v>
      </c>
      <c r="E104" s="233">
        <f>'WSS Profile'!F110</f>
        <v>0</v>
      </c>
      <c r="F104" s="233">
        <f t="shared" si="54"/>
        <v>0</v>
      </c>
      <c r="G104" s="233">
        <f t="shared" si="54"/>
        <v>0</v>
      </c>
      <c r="H104" s="233">
        <f t="shared" si="54"/>
        <v>0</v>
      </c>
      <c r="I104" s="233">
        <f t="shared" si="54"/>
        <v>0</v>
      </c>
      <c r="J104" s="233">
        <f t="shared" si="54"/>
        <v>0</v>
      </c>
      <c r="K104" s="233">
        <f t="shared" si="54"/>
        <v>0</v>
      </c>
      <c r="L104" s="233">
        <f t="shared" si="54"/>
        <v>0</v>
      </c>
      <c r="M104" s="233">
        <f t="shared" si="54"/>
        <v>0</v>
      </c>
      <c r="N104" s="233">
        <f t="shared" si="54"/>
        <v>0</v>
      </c>
      <c r="O104" s="233">
        <f t="shared" si="54"/>
        <v>0</v>
      </c>
    </row>
    <row r="105" spans="1:15" s="237" customFormat="1" x14ac:dyDescent="0.25">
      <c r="B105" s="239">
        <v>5</v>
      </c>
      <c r="C105" s="316" t="s">
        <v>254</v>
      </c>
      <c r="D105" s="115"/>
      <c r="E105" s="239"/>
      <c r="F105" s="239"/>
      <c r="G105" s="239"/>
      <c r="H105" s="239"/>
      <c r="I105" s="239"/>
      <c r="J105" s="239"/>
      <c r="K105" s="239"/>
      <c r="L105" s="239"/>
      <c r="M105" s="239"/>
      <c r="N105" s="239"/>
      <c r="O105" s="239"/>
    </row>
    <row r="106" spans="1:15" s="237" customFormat="1" x14ac:dyDescent="0.25">
      <c r="A106" s="232"/>
      <c r="B106" s="249">
        <v>5.0999999999999996</v>
      </c>
      <c r="C106" s="317" t="s">
        <v>256</v>
      </c>
      <c r="D106" s="110"/>
      <c r="E106" s="233">
        <f>'WSS Profile'!F112</f>
        <v>0</v>
      </c>
      <c r="F106" s="242">
        <f t="shared" ref="F106:O106" si="55">F116</f>
        <v>0</v>
      </c>
      <c r="G106" s="242">
        <f t="shared" si="55"/>
        <v>0</v>
      </c>
      <c r="H106" s="242">
        <f t="shared" si="55"/>
        <v>0</v>
      </c>
      <c r="I106" s="242">
        <f t="shared" si="55"/>
        <v>0</v>
      </c>
      <c r="J106" s="242">
        <f t="shared" si="55"/>
        <v>0</v>
      </c>
      <c r="K106" s="242">
        <f t="shared" si="55"/>
        <v>0</v>
      </c>
      <c r="L106" s="242">
        <f t="shared" si="55"/>
        <v>0</v>
      </c>
      <c r="M106" s="242">
        <f t="shared" si="55"/>
        <v>0</v>
      </c>
      <c r="N106" s="242">
        <f t="shared" si="55"/>
        <v>0</v>
      </c>
      <c r="O106" s="242">
        <f t="shared" si="55"/>
        <v>0</v>
      </c>
    </row>
    <row r="107" spans="1:15" s="237" customFormat="1" x14ac:dyDescent="0.25">
      <c r="A107" s="232"/>
      <c r="B107" s="249">
        <v>5.3</v>
      </c>
      <c r="C107" s="317" t="s">
        <v>255</v>
      </c>
      <c r="D107" s="250"/>
      <c r="E107" s="242">
        <f>'WSS Profile'!F113</f>
        <v>0</v>
      </c>
      <c r="F107" s="242">
        <f t="shared" ref="F107:O107" si="56">F117</f>
        <v>0</v>
      </c>
      <c r="G107" s="242">
        <f t="shared" si="56"/>
        <v>0</v>
      </c>
      <c r="H107" s="242">
        <f t="shared" si="56"/>
        <v>0</v>
      </c>
      <c r="I107" s="242">
        <f t="shared" si="56"/>
        <v>0</v>
      </c>
      <c r="J107" s="242">
        <f t="shared" si="56"/>
        <v>0</v>
      </c>
      <c r="K107" s="242">
        <f t="shared" si="56"/>
        <v>0</v>
      </c>
      <c r="L107" s="242">
        <f t="shared" si="56"/>
        <v>0</v>
      </c>
      <c r="M107" s="242">
        <f t="shared" si="56"/>
        <v>0</v>
      </c>
      <c r="N107" s="242">
        <f t="shared" si="56"/>
        <v>0</v>
      </c>
      <c r="O107" s="242">
        <f t="shared" si="56"/>
        <v>0</v>
      </c>
    </row>
    <row r="108" spans="1:15" s="243" customFormat="1" x14ac:dyDescent="0.25">
      <c r="A108" s="252"/>
      <c r="B108" s="253"/>
      <c r="C108" s="318" t="s">
        <v>16</v>
      </c>
      <c r="D108" s="254"/>
      <c r="E108" s="255">
        <f t="shared" ref="E108:O108" si="57">SUM(E86:E107)</f>
        <v>0</v>
      </c>
      <c r="F108" s="255">
        <f t="shared" si="57"/>
        <v>0</v>
      </c>
      <c r="G108" s="255">
        <f t="shared" si="57"/>
        <v>0</v>
      </c>
      <c r="H108" s="255">
        <f t="shared" si="57"/>
        <v>0</v>
      </c>
      <c r="I108" s="255">
        <f t="shared" si="57"/>
        <v>0</v>
      </c>
      <c r="J108" s="255">
        <f t="shared" si="57"/>
        <v>0</v>
      </c>
      <c r="K108" s="255">
        <f t="shared" si="57"/>
        <v>0</v>
      </c>
      <c r="L108" s="255">
        <f t="shared" si="57"/>
        <v>0</v>
      </c>
      <c r="M108" s="255">
        <f t="shared" si="57"/>
        <v>0</v>
      </c>
      <c r="N108" s="255">
        <f t="shared" si="57"/>
        <v>0</v>
      </c>
      <c r="O108" s="255">
        <f t="shared" si="57"/>
        <v>0</v>
      </c>
    </row>
    <row r="109" spans="1:15" s="237" customFormat="1" x14ac:dyDescent="0.25">
      <c r="A109" s="232"/>
      <c r="B109" s="249">
        <v>5.2</v>
      </c>
      <c r="C109" s="317" t="s">
        <v>253</v>
      </c>
      <c r="D109" s="251"/>
      <c r="E109" s="233">
        <f>'WSS Profile'!F114</f>
        <v>0</v>
      </c>
      <c r="F109" s="233">
        <f t="shared" ref="F109:O109" si="58">F119</f>
        <v>0</v>
      </c>
      <c r="G109" s="233">
        <f t="shared" si="58"/>
        <v>0</v>
      </c>
      <c r="H109" s="233">
        <f t="shared" si="58"/>
        <v>0</v>
      </c>
      <c r="I109" s="233">
        <f t="shared" si="58"/>
        <v>0</v>
      </c>
      <c r="J109" s="233">
        <f t="shared" si="58"/>
        <v>0</v>
      </c>
      <c r="K109" s="233">
        <f t="shared" si="58"/>
        <v>0</v>
      </c>
      <c r="L109" s="233">
        <f t="shared" si="58"/>
        <v>0</v>
      </c>
      <c r="M109" s="233">
        <f t="shared" si="58"/>
        <v>0</v>
      </c>
      <c r="N109" s="233">
        <f t="shared" si="58"/>
        <v>0</v>
      </c>
      <c r="O109" s="233">
        <f t="shared" si="58"/>
        <v>0</v>
      </c>
    </row>
    <row r="110" spans="1:15" x14ac:dyDescent="0.25">
      <c r="A110" s="48"/>
      <c r="B110" s="39"/>
      <c r="C110" s="50"/>
      <c r="D110" s="99"/>
      <c r="E110" s="67"/>
      <c r="F110" s="67"/>
      <c r="G110" s="67"/>
      <c r="H110" s="67"/>
      <c r="I110" s="67"/>
      <c r="J110" s="67"/>
      <c r="K110" s="67"/>
      <c r="L110" s="67"/>
      <c r="M110" s="67"/>
      <c r="N110" s="67"/>
      <c r="O110" s="67"/>
    </row>
    <row r="111" spans="1:15" s="260" customFormat="1" x14ac:dyDescent="0.25">
      <c r="A111" s="257" t="s">
        <v>13</v>
      </c>
      <c r="B111" s="257" t="s">
        <v>609</v>
      </c>
      <c r="C111" s="314"/>
      <c r="D111" s="258"/>
      <c r="E111" s="259"/>
      <c r="F111" s="259"/>
      <c r="G111" s="259"/>
      <c r="H111" s="259"/>
      <c r="I111" s="259"/>
      <c r="J111" s="259"/>
      <c r="K111" s="259"/>
      <c r="L111" s="259"/>
      <c r="M111" s="259"/>
      <c r="N111" s="259"/>
      <c r="O111" s="259"/>
    </row>
    <row r="112" spans="1:15" s="260" customFormat="1" x14ac:dyDescent="0.25">
      <c r="A112" s="256"/>
      <c r="B112" s="261" t="s">
        <v>3</v>
      </c>
      <c r="C112" s="315" t="s">
        <v>4</v>
      </c>
      <c r="D112" s="261" t="s">
        <v>33</v>
      </c>
      <c r="E112" s="261">
        <f>E$3</f>
        <v>2014</v>
      </c>
      <c r="F112" s="261">
        <f t="shared" ref="F112:O112" si="59">F$3</f>
        <v>2015</v>
      </c>
      <c r="G112" s="261">
        <f t="shared" si="59"/>
        <v>2016</v>
      </c>
      <c r="H112" s="261">
        <f t="shared" si="59"/>
        <v>2017</v>
      </c>
      <c r="I112" s="261">
        <f t="shared" si="59"/>
        <v>2018</v>
      </c>
      <c r="J112" s="261">
        <f t="shared" si="59"/>
        <v>2019</v>
      </c>
      <c r="K112" s="261">
        <f t="shared" si="59"/>
        <v>2020</v>
      </c>
      <c r="L112" s="261">
        <f t="shared" si="59"/>
        <v>2021</v>
      </c>
      <c r="M112" s="261">
        <f t="shared" si="59"/>
        <v>2022</v>
      </c>
      <c r="N112" s="261">
        <f t="shared" si="59"/>
        <v>2023</v>
      </c>
      <c r="O112" s="261">
        <f t="shared" si="59"/>
        <v>2024</v>
      </c>
    </row>
    <row r="113" spans="1:15" s="237" customFormat="1" x14ac:dyDescent="0.25">
      <c r="A113" s="232"/>
      <c r="B113" s="233">
        <v>1</v>
      </c>
      <c r="C113" s="234" t="s">
        <v>263</v>
      </c>
      <c r="D113" s="235"/>
      <c r="E113" s="242">
        <f>SUM($E$86:$E$89,E91:E94)</f>
        <v>0</v>
      </c>
      <c r="F113" s="242">
        <f>F$81*F124</f>
        <v>0</v>
      </c>
      <c r="G113" s="242">
        <f t="shared" ref="G113:O113" si="60">G$81*G124</f>
        <v>0</v>
      </c>
      <c r="H113" s="242">
        <f t="shared" si="60"/>
        <v>0</v>
      </c>
      <c r="I113" s="242">
        <f t="shared" si="60"/>
        <v>0</v>
      </c>
      <c r="J113" s="242">
        <f t="shared" si="60"/>
        <v>0</v>
      </c>
      <c r="K113" s="242">
        <f t="shared" si="60"/>
        <v>0</v>
      </c>
      <c r="L113" s="242">
        <f t="shared" si="60"/>
        <v>0</v>
      </c>
      <c r="M113" s="242">
        <f t="shared" si="60"/>
        <v>0</v>
      </c>
      <c r="N113" s="242">
        <f t="shared" si="60"/>
        <v>0</v>
      </c>
      <c r="O113" s="242">
        <f t="shared" si="60"/>
        <v>0</v>
      </c>
    </row>
    <row r="114" spans="1:15" s="237" customFormat="1" x14ac:dyDescent="0.25">
      <c r="A114" s="232"/>
      <c r="B114" s="233">
        <v>2</v>
      </c>
      <c r="C114" s="234" t="s">
        <v>259</v>
      </c>
      <c r="D114" s="235"/>
      <c r="E114" s="242">
        <f>SUM(E96:E99)</f>
        <v>0</v>
      </c>
      <c r="F114" s="242">
        <f t="shared" ref="F114:O114" si="61">F$81*F125</f>
        <v>0</v>
      </c>
      <c r="G114" s="242">
        <f t="shared" si="61"/>
        <v>0</v>
      </c>
      <c r="H114" s="242">
        <f t="shared" si="61"/>
        <v>0</v>
      </c>
      <c r="I114" s="242">
        <f t="shared" si="61"/>
        <v>0</v>
      </c>
      <c r="J114" s="242">
        <f t="shared" si="61"/>
        <v>0</v>
      </c>
      <c r="K114" s="242">
        <f t="shared" si="61"/>
        <v>0</v>
      </c>
      <c r="L114" s="242">
        <f t="shared" si="61"/>
        <v>0</v>
      </c>
      <c r="M114" s="242">
        <f t="shared" si="61"/>
        <v>0</v>
      </c>
      <c r="N114" s="242">
        <f t="shared" si="61"/>
        <v>0</v>
      </c>
      <c r="O114" s="242">
        <f t="shared" si="61"/>
        <v>0</v>
      </c>
    </row>
    <row r="115" spans="1:15" s="237" customFormat="1" x14ac:dyDescent="0.25">
      <c r="A115" s="232"/>
      <c r="B115" s="233">
        <v>3</v>
      </c>
      <c r="C115" s="234" t="s">
        <v>26</v>
      </c>
      <c r="D115" s="235"/>
      <c r="E115" s="242">
        <f>SUM(E101:E104)</f>
        <v>0</v>
      </c>
      <c r="F115" s="242">
        <f t="shared" ref="F115:O115" si="62">F$81*F126</f>
        <v>0</v>
      </c>
      <c r="G115" s="242">
        <f t="shared" si="62"/>
        <v>0</v>
      </c>
      <c r="H115" s="242">
        <f t="shared" si="62"/>
        <v>0</v>
      </c>
      <c r="I115" s="242">
        <f t="shared" si="62"/>
        <v>0</v>
      </c>
      <c r="J115" s="242">
        <f t="shared" si="62"/>
        <v>0</v>
      </c>
      <c r="K115" s="242">
        <f t="shared" si="62"/>
        <v>0</v>
      </c>
      <c r="L115" s="242">
        <f t="shared" si="62"/>
        <v>0</v>
      </c>
      <c r="M115" s="242">
        <f t="shared" si="62"/>
        <v>0</v>
      </c>
      <c r="N115" s="242">
        <f t="shared" si="62"/>
        <v>0</v>
      </c>
      <c r="O115" s="242">
        <f t="shared" si="62"/>
        <v>0</v>
      </c>
    </row>
    <row r="116" spans="1:15" s="237" customFormat="1" x14ac:dyDescent="0.25">
      <c r="A116" s="232"/>
      <c r="B116" s="233">
        <v>4</v>
      </c>
      <c r="C116" s="234" t="s">
        <v>256</v>
      </c>
      <c r="D116" s="238"/>
      <c r="E116" s="242">
        <f>E106</f>
        <v>0</v>
      </c>
      <c r="F116" s="242">
        <f t="shared" ref="F116:O116" si="63">E116+(E119-F119)</f>
        <v>0</v>
      </c>
      <c r="G116" s="242">
        <f t="shared" si="63"/>
        <v>0</v>
      </c>
      <c r="H116" s="242">
        <f t="shared" si="63"/>
        <v>0</v>
      </c>
      <c r="I116" s="242">
        <f t="shared" si="63"/>
        <v>0</v>
      </c>
      <c r="J116" s="242">
        <f t="shared" si="63"/>
        <v>0</v>
      </c>
      <c r="K116" s="242">
        <f t="shared" si="63"/>
        <v>0</v>
      </c>
      <c r="L116" s="242">
        <f t="shared" si="63"/>
        <v>0</v>
      </c>
      <c r="M116" s="242">
        <f t="shared" si="63"/>
        <v>0</v>
      </c>
      <c r="N116" s="242">
        <f t="shared" si="63"/>
        <v>0</v>
      </c>
      <c r="O116" s="242">
        <f t="shared" si="63"/>
        <v>0</v>
      </c>
    </row>
    <row r="117" spans="1:15" s="237" customFormat="1" x14ac:dyDescent="0.25">
      <c r="A117" s="232"/>
      <c r="B117" s="233">
        <v>5</v>
      </c>
      <c r="C117" s="234" t="s">
        <v>255</v>
      </c>
      <c r="D117" s="238"/>
      <c r="E117" s="242">
        <f>E107</f>
        <v>0</v>
      </c>
      <c r="F117" s="242">
        <f t="shared" ref="F117:O117" si="64">F$81*F128</f>
        <v>0</v>
      </c>
      <c r="G117" s="242">
        <f t="shared" si="64"/>
        <v>0</v>
      </c>
      <c r="H117" s="242">
        <f t="shared" si="64"/>
        <v>0</v>
      </c>
      <c r="I117" s="242">
        <f t="shared" si="64"/>
        <v>0</v>
      </c>
      <c r="J117" s="242">
        <f t="shared" si="64"/>
        <v>0</v>
      </c>
      <c r="K117" s="242">
        <f t="shared" si="64"/>
        <v>0</v>
      </c>
      <c r="L117" s="242">
        <f t="shared" si="64"/>
        <v>0</v>
      </c>
      <c r="M117" s="242">
        <f t="shared" si="64"/>
        <v>0</v>
      </c>
      <c r="N117" s="242">
        <f t="shared" si="64"/>
        <v>0</v>
      </c>
      <c r="O117" s="242">
        <f t="shared" si="64"/>
        <v>0</v>
      </c>
    </row>
    <row r="118" spans="1:15" s="243" customFormat="1" x14ac:dyDescent="0.25">
      <c r="B118" s="244"/>
      <c r="C118" s="245" t="s">
        <v>16</v>
      </c>
      <c r="D118" s="246"/>
      <c r="E118" s="247">
        <f t="shared" ref="E118:O118" si="65">SUM(E113:E117)</f>
        <v>0</v>
      </c>
      <c r="F118" s="247">
        <f t="shared" si="65"/>
        <v>0</v>
      </c>
      <c r="G118" s="247">
        <f t="shared" si="65"/>
        <v>0</v>
      </c>
      <c r="H118" s="247">
        <f t="shared" si="65"/>
        <v>0</v>
      </c>
      <c r="I118" s="247">
        <f t="shared" si="65"/>
        <v>0</v>
      </c>
      <c r="J118" s="247">
        <f t="shared" si="65"/>
        <v>0</v>
      </c>
      <c r="K118" s="247">
        <f t="shared" si="65"/>
        <v>0</v>
      </c>
      <c r="L118" s="247">
        <f t="shared" si="65"/>
        <v>0</v>
      </c>
      <c r="M118" s="247">
        <f t="shared" si="65"/>
        <v>0</v>
      </c>
      <c r="N118" s="247">
        <f t="shared" si="65"/>
        <v>0</v>
      </c>
      <c r="O118" s="247">
        <f t="shared" si="65"/>
        <v>0</v>
      </c>
    </row>
    <row r="119" spans="1:15" s="237" customFormat="1" x14ac:dyDescent="0.25">
      <c r="A119" s="232"/>
      <c r="B119" s="233">
        <v>6</v>
      </c>
      <c r="C119" s="234" t="s">
        <v>253</v>
      </c>
      <c r="D119" s="238"/>
      <c r="E119" s="242">
        <f>E109</f>
        <v>0</v>
      </c>
      <c r="F119" s="242">
        <f>E$119-IF('WS Plan'!$E$49="Activate",IF(AND('WS calcu'!F$112&gt;='WS Plan'!$G$49,'WS calcu'!F$112&lt;'WS Plan'!$H$49+1),('WS Plan'!$H$51)/('WS Plan'!$H$49+1-'WS Plan'!$G$49),0),0)</f>
        <v>0</v>
      </c>
      <c r="G119" s="242">
        <f>F$119-IF('WS Plan'!$E$49="Activate",IF(AND('WS calcu'!G$112&gt;='WS Plan'!$G$49,'WS calcu'!G$112&lt;'WS Plan'!$H$49+1),('WS Plan'!$H$51)/('WS Plan'!$H$49+1-'WS Plan'!$G$49),0),0)</f>
        <v>0</v>
      </c>
      <c r="H119" s="242">
        <f>G$119-IF('WS Plan'!$E$49="Activate",IF(AND('WS calcu'!H$112&gt;='WS Plan'!$G$49,'WS calcu'!H$112&lt;'WS Plan'!$H$49+1),('WS Plan'!$H$51)/('WS Plan'!$H$49+1-'WS Plan'!$G$49),0),0)</f>
        <v>0</v>
      </c>
      <c r="I119" s="242">
        <f>H$119-IF('WS Plan'!$E$49="Activate",IF(AND('WS calcu'!I$112&gt;='WS Plan'!$G$49,'WS calcu'!I$112&lt;'WS Plan'!$H$49+1),('WS Plan'!$H$51)/('WS Plan'!$H$49+1-'WS Plan'!$G$49),0),0)</f>
        <v>0</v>
      </c>
      <c r="J119" s="242">
        <f>I$119-IF('WS Plan'!$E$49="Activate",IF(AND('WS calcu'!J$112&gt;='WS Plan'!$G$49,'WS calcu'!J$112&lt;'WS Plan'!$H$49+1),('WS Plan'!$H$51)/('WS Plan'!$H$49+1-'WS Plan'!$G$49),0),0)</f>
        <v>0</v>
      </c>
      <c r="K119" s="242">
        <f>J$119-IF('WS Plan'!$E$49="Activate",IF(AND('WS calcu'!K$112&gt;='WS Plan'!$G$49,'WS calcu'!K$112&lt;'WS Plan'!$H$49+1),('WS Plan'!$H$51)/('WS Plan'!$H$49+1-'WS Plan'!$G$49),0),0)</f>
        <v>0</v>
      </c>
      <c r="L119" s="242">
        <f>K$119-IF('WS Plan'!$E$49="Activate",IF(AND('WS calcu'!L$112&gt;='WS Plan'!$G$49,'WS calcu'!L$112&lt;'WS Plan'!$H$49+1),('WS Plan'!$H$51)/('WS Plan'!$H$49+1-'WS Plan'!$G$49),0),0)</f>
        <v>0</v>
      </c>
      <c r="M119" s="242">
        <f>L$119-IF('WS Plan'!$E$49="Activate",IF(AND('WS calcu'!M$112&gt;='WS Plan'!$G$49,'WS calcu'!M$112&lt;'WS Plan'!$H$49+1),('WS Plan'!$H$51)/('WS Plan'!$H$49+1-'WS Plan'!$G$49),0),0)</f>
        <v>0</v>
      </c>
      <c r="N119" s="242">
        <f>M$119-IF('WS Plan'!$E$49="Activate",IF(AND('WS calcu'!N$112&gt;='WS Plan'!$G$49,'WS calcu'!N$112&lt;'WS Plan'!$H$49+1),('WS Plan'!$H$51)/('WS Plan'!$H$49+1-'WS Plan'!$G$49),0),0)</f>
        <v>0</v>
      </c>
      <c r="O119" s="242">
        <f>N$119-IF('WS Plan'!$E$49="Activate",IF(AND('WS calcu'!O$112&gt;='WS Plan'!$G$49,'WS calcu'!O$112&lt;'WS Plan'!$H$49+1),('WS Plan'!$H$51)/('WS Plan'!$H$49+1-'WS Plan'!$G$49),0),0)</f>
        <v>0</v>
      </c>
    </row>
    <row r="120" spans="1:15" s="237" customFormat="1" x14ac:dyDescent="0.25">
      <c r="A120" s="232"/>
      <c r="B120" s="242"/>
      <c r="C120" s="354" t="s">
        <v>343</v>
      </c>
      <c r="D120" s="236"/>
      <c r="E120" s="355">
        <f t="shared" ref="E120:O120" si="66">E131*E57</f>
        <v>0</v>
      </c>
      <c r="F120" s="355">
        <f t="shared" si="66"/>
        <v>0</v>
      </c>
      <c r="G120" s="355">
        <f t="shared" si="66"/>
        <v>0</v>
      </c>
      <c r="H120" s="355">
        <f t="shared" si="66"/>
        <v>0</v>
      </c>
      <c r="I120" s="355">
        <f t="shared" si="66"/>
        <v>0</v>
      </c>
      <c r="J120" s="355">
        <f t="shared" si="66"/>
        <v>0</v>
      </c>
      <c r="K120" s="355">
        <f t="shared" si="66"/>
        <v>0</v>
      </c>
      <c r="L120" s="355">
        <f t="shared" si="66"/>
        <v>0</v>
      </c>
      <c r="M120" s="355">
        <f t="shared" si="66"/>
        <v>0</v>
      </c>
      <c r="N120" s="355">
        <f t="shared" si="66"/>
        <v>0</v>
      </c>
      <c r="O120" s="355">
        <f t="shared" si="66"/>
        <v>0</v>
      </c>
    </row>
    <row r="121" spans="1:15" s="237" customFormat="1" x14ac:dyDescent="0.25">
      <c r="A121" s="232"/>
      <c r="B121" s="433"/>
      <c r="C121" s="434"/>
      <c r="D121" s="241"/>
      <c r="E121" s="435"/>
      <c r="F121" s="435"/>
      <c r="G121" s="435"/>
      <c r="H121" s="435"/>
      <c r="I121" s="435"/>
      <c r="J121" s="435"/>
      <c r="K121" s="435"/>
      <c r="L121" s="435"/>
      <c r="M121" s="435"/>
      <c r="N121" s="435"/>
      <c r="O121" s="435"/>
    </row>
    <row r="122" spans="1:15" s="260" customFormat="1" x14ac:dyDescent="0.25">
      <c r="A122" s="257" t="s">
        <v>13</v>
      </c>
      <c r="B122" s="257" t="s">
        <v>290</v>
      </c>
      <c r="C122" s="314"/>
      <c r="D122" s="258"/>
      <c r="E122" s="259"/>
      <c r="F122" s="259"/>
      <c r="G122" s="259"/>
      <c r="H122" s="259"/>
      <c r="I122" s="259"/>
      <c r="J122" s="259"/>
      <c r="K122" s="259"/>
      <c r="L122" s="259"/>
      <c r="M122" s="259"/>
      <c r="N122" s="259"/>
      <c r="O122" s="259"/>
    </row>
    <row r="123" spans="1:15" s="260" customFormat="1" x14ac:dyDescent="0.25">
      <c r="A123" s="256"/>
      <c r="B123" s="261" t="s">
        <v>3</v>
      </c>
      <c r="C123" s="315" t="s">
        <v>4</v>
      </c>
      <c r="D123" s="261" t="s">
        <v>33</v>
      </c>
      <c r="E123" s="261">
        <f>E$3</f>
        <v>2014</v>
      </c>
      <c r="F123" s="261">
        <f t="shared" ref="F123:O123" si="67">F$3</f>
        <v>2015</v>
      </c>
      <c r="G123" s="261">
        <f t="shared" si="67"/>
        <v>2016</v>
      </c>
      <c r="H123" s="261">
        <f t="shared" si="67"/>
        <v>2017</v>
      </c>
      <c r="I123" s="261">
        <f t="shared" si="67"/>
        <v>2018</v>
      </c>
      <c r="J123" s="261">
        <f t="shared" si="67"/>
        <v>2019</v>
      </c>
      <c r="K123" s="261">
        <f t="shared" si="67"/>
        <v>2020</v>
      </c>
      <c r="L123" s="261">
        <f t="shared" si="67"/>
        <v>2021</v>
      </c>
      <c r="M123" s="261">
        <f t="shared" si="67"/>
        <v>2022</v>
      </c>
      <c r="N123" s="261">
        <f t="shared" si="67"/>
        <v>2023</v>
      </c>
      <c r="O123" s="261">
        <f t="shared" si="67"/>
        <v>2024</v>
      </c>
    </row>
    <row r="124" spans="1:15" s="237" customFormat="1" x14ac:dyDescent="0.25">
      <c r="A124" s="232"/>
      <c r="B124" s="233">
        <v>1</v>
      </c>
      <c r="C124" s="234" t="s">
        <v>263</v>
      </c>
      <c r="D124" s="235"/>
      <c r="E124" s="236">
        <f>IFERROR(E113/$E$118,0)</f>
        <v>0</v>
      </c>
      <c r="F124" s="236">
        <f>1-(F125+F126+F128+F127)</f>
        <v>1</v>
      </c>
      <c r="G124" s="236">
        <f t="shared" ref="G124:O124" si="68">1-(G125+G126+G128+G127)</f>
        <v>1</v>
      </c>
      <c r="H124" s="236">
        <f t="shared" si="68"/>
        <v>1</v>
      </c>
      <c r="I124" s="236">
        <f>1-(I125+I126+I128+I127)</f>
        <v>1</v>
      </c>
      <c r="J124" s="236">
        <f t="shared" si="68"/>
        <v>1</v>
      </c>
      <c r="K124" s="236">
        <f t="shared" si="68"/>
        <v>1</v>
      </c>
      <c r="L124" s="236">
        <f t="shared" si="68"/>
        <v>1</v>
      </c>
      <c r="M124" s="236">
        <f t="shared" si="68"/>
        <v>1</v>
      </c>
      <c r="N124" s="236">
        <f t="shared" si="68"/>
        <v>1</v>
      </c>
      <c r="O124" s="236">
        <f t="shared" si="68"/>
        <v>1</v>
      </c>
    </row>
    <row r="125" spans="1:15" s="237" customFormat="1" x14ac:dyDescent="0.25">
      <c r="A125" s="232"/>
      <c r="B125" s="233">
        <v>2</v>
      </c>
      <c r="C125" s="234" t="s">
        <v>259</v>
      </c>
      <c r="D125" s="235"/>
      <c r="E125" s="236">
        <f>IFERROR(E114/$E$118,0)</f>
        <v>0</v>
      </c>
      <c r="F125" s="236">
        <f>E125</f>
        <v>0</v>
      </c>
      <c r="G125" s="236">
        <f t="shared" ref="G125:O125" si="69">F125</f>
        <v>0</v>
      </c>
      <c r="H125" s="236">
        <f t="shared" si="69"/>
        <v>0</v>
      </c>
      <c r="I125" s="236">
        <f t="shared" si="69"/>
        <v>0</v>
      </c>
      <c r="J125" s="236">
        <f t="shared" si="69"/>
        <v>0</v>
      </c>
      <c r="K125" s="236">
        <f t="shared" si="69"/>
        <v>0</v>
      </c>
      <c r="L125" s="236">
        <f t="shared" si="69"/>
        <v>0</v>
      </c>
      <c r="M125" s="236">
        <f t="shared" si="69"/>
        <v>0</v>
      </c>
      <c r="N125" s="236">
        <f t="shared" si="69"/>
        <v>0</v>
      </c>
      <c r="O125" s="236">
        <f t="shared" si="69"/>
        <v>0</v>
      </c>
    </row>
    <row r="126" spans="1:15" s="237" customFormat="1" x14ac:dyDescent="0.25">
      <c r="A126" s="232"/>
      <c r="B126" s="233">
        <v>3</v>
      </c>
      <c r="C126" s="234" t="s">
        <v>26</v>
      </c>
      <c r="D126" s="235"/>
      <c r="E126" s="236">
        <f>IFERROR(E115/$E$118,0)</f>
        <v>0</v>
      </c>
      <c r="F126" s="236">
        <f>E126</f>
        <v>0</v>
      </c>
      <c r="G126" s="236">
        <f t="shared" ref="G126:O126" si="70">F126</f>
        <v>0</v>
      </c>
      <c r="H126" s="236">
        <f t="shared" si="70"/>
        <v>0</v>
      </c>
      <c r="I126" s="236">
        <f t="shared" si="70"/>
        <v>0</v>
      </c>
      <c r="J126" s="236">
        <f t="shared" si="70"/>
        <v>0</v>
      </c>
      <c r="K126" s="236">
        <f t="shared" si="70"/>
        <v>0</v>
      </c>
      <c r="L126" s="236">
        <f t="shared" si="70"/>
        <v>0</v>
      </c>
      <c r="M126" s="236">
        <f t="shared" si="70"/>
        <v>0</v>
      </c>
      <c r="N126" s="236">
        <f t="shared" si="70"/>
        <v>0</v>
      </c>
      <c r="O126" s="236">
        <f t="shared" si="70"/>
        <v>0</v>
      </c>
    </row>
    <row r="127" spans="1:15" s="237" customFormat="1" x14ac:dyDescent="0.25">
      <c r="A127" s="232"/>
      <c r="B127" s="233">
        <v>4</v>
      </c>
      <c r="C127" s="234" t="s">
        <v>256</v>
      </c>
      <c r="D127" s="238"/>
      <c r="E127" s="236">
        <f>IFERROR(E116/E$118,0)</f>
        <v>0</v>
      </c>
      <c r="F127" s="236">
        <f>IFERROR(F116/F$81,0)</f>
        <v>0</v>
      </c>
      <c r="G127" s="236">
        <f t="shared" ref="G127:O127" si="71">IFERROR(G116/G$81,0)</f>
        <v>0</v>
      </c>
      <c r="H127" s="236">
        <f t="shared" si="71"/>
        <v>0</v>
      </c>
      <c r="I127" s="236">
        <f t="shared" si="71"/>
        <v>0</v>
      </c>
      <c r="J127" s="236">
        <f t="shared" si="71"/>
        <v>0</v>
      </c>
      <c r="K127" s="236">
        <f t="shared" si="71"/>
        <v>0</v>
      </c>
      <c r="L127" s="236">
        <f t="shared" si="71"/>
        <v>0</v>
      </c>
      <c r="M127" s="236">
        <f t="shared" si="71"/>
        <v>0</v>
      </c>
      <c r="N127" s="236">
        <f t="shared" si="71"/>
        <v>0</v>
      </c>
      <c r="O127" s="236">
        <f t="shared" si="71"/>
        <v>0</v>
      </c>
    </row>
    <row r="128" spans="1:15" s="237" customFormat="1" x14ac:dyDescent="0.25">
      <c r="A128" s="232"/>
      <c r="B128" s="233">
        <v>5</v>
      </c>
      <c r="C128" s="234" t="s">
        <v>255</v>
      </c>
      <c r="D128" s="95" t="s">
        <v>267</v>
      </c>
      <c r="E128" s="236">
        <f>IFERROR(E117/$E$118,0)</f>
        <v>0</v>
      </c>
      <c r="F128" s="236">
        <f>E$128-IF('WS Plan'!$E$202="Activate",IF(AND('WS calcu'!F123&gt;='WS Plan'!$G$202,'WS calcu'!F123&lt;'WS Plan'!$H$202+1),(SUM($E128)-'WS Plan'!$H$205)/('WS Plan'!$H$202+1-'WS Plan'!$G$202),0),0)</f>
        <v>0</v>
      </c>
      <c r="G128" s="236">
        <f>F$128-IF('WS Plan'!$E$202="Activate",IF(AND('WS calcu'!G123&gt;='WS Plan'!$G$202,'WS calcu'!G123&lt;'WS Plan'!$H$202+1),(SUM($E128)-'WS Plan'!$H$205)/('WS Plan'!$H$202+1-'WS Plan'!$G$202),0),0)</f>
        <v>0</v>
      </c>
      <c r="H128" s="236">
        <f>G$128-IF('WS Plan'!$E$202="Activate",IF(AND('WS calcu'!H123&gt;='WS Plan'!$G$202,'WS calcu'!H123&lt;'WS Plan'!$H$202+1),(SUM($E128)-'WS Plan'!$H$205)/('WS Plan'!$H$202+1-'WS Plan'!$G$202),0),0)</f>
        <v>0</v>
      </c>
      <c r="I128" s="236">
        <f>H$128-IF('WS Plan'!$E$202="Activate",IF(AND('WS calcu'!I123&gt;='WS Plan'!$G$202,'WS calcu'!I123&lt;'WS Plan'!$H$202+1),(SUM($E128)-'WS Plan'!$H$205)/('WS Plan'!$H$202+1-'WS Plan'!$G$202),0),0)</f>
        <v>0</v>
      </c>
      <c r="J128" s="236">
        <f>I$128-IF('WS Plan'!$E$202="Activate",IF(AND('WS calcu'!J123&gt;='WS Plan'!$G$202,'WS calcu'!J123&lt;'WS Plan'!$H$202+1),(SUM($E128)-'WS Plan'!$H$205)/('WS Plan'!$H$202+1-'WS Plan'!$G$202),0),0)</f>
        <v>0</v>
      </c>
      <c r="K128" s="236">
        <f>J$128-IF('WS Plan'!$E$202="Activate",IF(AND('WS calcu'!K123&gt;='WS Plan'!$G$202,'WS calcu'!K123&lt;'WS Plan'!$H$202+1),(SUM($E128)-'WS Plan'!$H$205)/('WS Plan'!$H$202+1-'WS Plan'!$G$202),0),0)</f>
        <v>0</v>
      </c>
      <c r="L128" s="236">
        <f>K$128-IF('WS Plan'!$E$202="Activate",IF(AND('WS calcu'!L123&gt;='WS Plan'!$G$202,'WS calcu'!L123&lt;'WS Plan'!$H$202+1),(SUM($E128)-'WS Plan'!$H$205)/('WS Plan'!$H$202+1-'WS Plan'!$G$202),0),0)</f>
        <v>0</v>
      </c>
      <c r="M128" s="236">
        <f>L$128-IF('WS Plan'!$E$202="Activate",IF(AND('WS calcu'!M123&gt;='WS Plan'!$G$202,'WS calcu'!M123&lt;'WS Plan'!$H$202+1),(SUM($E128)-'WS Plan'!$H$205)/('WS Plan'!$H$202+1-'WS Plan'!$G$202),0),0)</f>
        <v>0</v>
      </c>
      <c r="N128" s="236">
        <f>M$128-IF('WS Plan'!$E$202="Activate",IF(AND('WS calcu'!N123&gt;='WS Plan'!$G$202,'WS calcu'!N123&lt;'WS Plan'!$H$202+1),(SUM($E128)-'WS Plan'!$H$205)/('WS Plan'!$H$202+1-'WS Plan'!$G$202),0),0)</f>
        <v>0</v>
      </c>
      <c r="O128" s="236">
        <f>N$128-IF('WS Plan'!$E$202="Activate",IF(AND('WS calcu'!O123&gt;='WS Plan'!$G$202,'WS calcu'!O123&lt;'WS Plan'!$H$202+1),(SUM($E128)-'WS Plan'!$H$205)/('WS Plan'!$H$202+1-'WS Plan'!$G$202),0),0)</f>
        <v>0</v>
      </c>
    </row>
    <row r="129" spans="1:15" s="237" customFormat="1" x14ac:dyDescent="0.25">
      <c r="B129" s="239"/>
      <c r="C129" s="240" t="s">
        <v>16</v>
      </c>
      <c r="D129" s="99"/>
      <c r="E129" s="241">
        <f t="shared" ref="E129:O129" si="72">SUM(E124:E128)</f>
        <v>0</v>
      </c>
      <c r="F129" s="241">
        <f t="shared" si="72"/>
        <v>1</v>
      </c>
      <c r="G129" s="241">
        <f t="shared" si="72"/>
        <v>1</v>
      </c>
      <c r="H129" s="241">
        <f t="shared" si="72"/>
        <v>1</v>
      </c>
      <c r="I129" s="241">
        <f t="shared" si="72"/>
        <v>1</v>
      </c>
      <c r="J129" s="241">
        <f t="shared" si="72"/>
        <v>1</v>
      </c>
      <c r="K129" s="241">
        <f t="shared" si="72"/>
        <v>1</v>
      </c>
      <c r="L129" s="241">
        <f t="shared" si="72"/>
        <v>1</v>
      </c>
      <c r="M129" s="241">
        <f t="shared" si="72"/>
        <v>1</v>
      </c>
      <c r="N129" s="241">
        <f t="shared" si="72"/>
        <v>1</v>
      </c>
      <c r="O129" s="241">
        <f t="shared" si="72"/>
        <v>1</v>
      </c>
    </row>
    <row r="130" spans="1:15" s="237" customFormat="1" x14ac:dyDescent="0.25">
      <c r="A130" s="232"/>
      <c r="B130" s="233">
        <v>6</v>
      </c>
      <c r="C130" s="234" t="s">
        <v>253</v>
      </c>
      <c r="D130" s="95"/>
      <c r="E130" s="236">
        <f>IFERROR(E119/E$118,0)</f>
        <v>0</v>
      </c>
      <c r="F130" s="236">
        <f>IFERROR(F119/F$81,0)</f>
        <v>0</v>
      </c>
      <c r="G130" s="236">
        <f t="shared" ref="G130:O130" si="73">IFERROR(G119/G$81,0)</f>
        <v>0</v>
      </c>
      <c r="H130" s="236">
        <f t="shared" si="73"/>
        <v>0</v>
      </c>
      <c r="I130" s="236">
        <f t="shared" si="73"/>
        <v>0</v>
      </c>
      <c r="J130" s="236">
        <f t="shared" si="73"/>
        <v>0</v>
      </c>
      <c r="K130" s="236">
        <f t="shared" si="73"/>
        <v>0</v>
      </c>
      <c r="L130" s="236">
        <f t="shared" si="73"/>
        <v>0</v>
      </c>
      <c r="M130" s="236">
        <f t="shared" si="73"/>
        <v>0</v>
      </c>
      <c r="N130" s="236">
        <f t="shared" si="73"/>
        <v>0</v>
      </c>
      <c r="O130" s="236">
        <f t="shared" si="73"/>
        <v>0</v>
      </c>
    </row>
    <row r="131" spans="1:15" s="237" customFormat="1" x14ac:dyDescent="0.25">
      <c r="A131" s="1164"/>
      <c r="B131" s="1165">
        <v>7</v>
      </c>
      <c r="C131" s="1166" t="s">
        <v>264</v>
      </c>
      <c r="D131" s="1167" t="s">
        <v>266</v>
      </c>
      <c r="E131" s="1168">
        <f>'WS Plan'!$H$40</f>
        <v>0</v>
      </c>
      <c r="F131" s="1168">
        <f>E131-IF('WS Plan'!$E$39="Activate",IF(AND('WS calcu'!F123&gt;='WS Plan'!$G$39,'WS calcu'!F123&lt;'WS Plan'!$H$39+1),('WS Plan'!$H$42)/('WS Plan'!$H$39+1-'WS Plan'!$G$39),0),0)</f>
        <v>0</v>
      </c>
      <c r="G131" s="1168">
        <f>F131-IF('WS Plan'!$E$39="Activate",IF(AND('WS calcu'!G123&gt;='WS Plan'!$G$39,'WS calcu'!G123&lt;'WS Plan'!$H$39+1),('WS Plan'!$H$42)/('WS Plan'!$H$39+1-'WS Plan'!$G$39),0),0)</f>
        <v>0</v>
      </c>
      <c r="H131" s="1168">
        <f>G131-IF('WS Plan'!$E$39="Activate",IF(AND('WS calcu'!H123&gt;='WS Plan'!$G$39,'WS calcu'!H123&lt;'WS Plan'!$H$39+1),('WS Plan'!$H$42)/('WS Plan'!$H$39+1-'WS Plan'!$G$39),0),0)</f>
        <v>0</v>
      </c>
      <c r="I131" s="1168">
        <f>H131-IF('WS Plan'!$E$39="Activate",IF(AND('WS calcu'!I123&gt;='WS Plan'!$G$39,'WS calcu'!I123&lt;'WS Plan'!$H$39+1),('WS Plan'!$H$42)/('WS Plan'!$H$39+1-'WS Plan'!$G$39),0),0)</f>
        <v>0</v>
      </c>
      <c r="J131" s="1168">
        <f>I131-IF('WS Plan'!$E$39="Activate",IF(AND('WS calcu'!J123&gt;='WS Plan'!$G$39,'WS calcu'!J123&lt;'WS Plan'!$H$39+1),('WS Plan'!$H$42)/('WS Plan'!$H$39+1-'WS Plan'!$G$39),0),0)</f>
        <v>0</v>
      </c>
      <c r="K131" s="1168">
        <f>J131-IF('WS Plan'!$E$39="Activate",IF(AND('WS calcu'!K123&gt;='WS Plan'!$G$39,'WS calcu'!K123&lt;'WS Plan'!$H$39+1),('WS Plan'!$H$42)/('WS Plan'!$H$39+1-'WS Plan'!$G$39),0),0)</f>
        <v>0</v>
      </c>
      <c r="L131" s="1168">
        <f>K131-IF('WS Plan'!$E$39="Activate",IF(AND('WS calcu'!L123&gt;='WS Plan'!$G$39,'WS calcu'!L123&lt;'WS Plan'!$H$39+1),('WS Plan'!$H$42)/('WS Plan'!$H$39+1-'WS Plan'!$G$39),0),0)</f>
        <v>0</v>
      </c>
      <c r="M131" s="1168">
        <f>L131-IF('WS Plan'!$E$39="Activate",IF(AND('WS calcu'!M123&gt;='WS Plan'!$G$39,'WS calcu'!M123&lt;'WS Plan'!$H$39+1),('WS Plan'!$H$42)/('WS Plan'!$H$39+1-'WS Plan'!$G$39),0),0)</f>
        <v>0</v>
      </c>
      <c r="N131" s="1168">
        <f>M131-IF('WS Plan'!$E$39="Activate",IF(AND('WS calcu'!N123&gt;='WS Plan'!$G$39,'WS calcu'!N123&lt;'WS Plan'!$H$39+1),('WS Plan'!$H$42)/('WS Plan'!$H$39+1-'WS Plan'!$G$39),0),0)</f>
        <v>0</v>
      </c>
      <c r="O131" s="1168">
        <f>N131-IF('WS Plan'!$E$39="Activate",IF(AND('WS calcu'!O123&gt;='WS Plan'!$G$39,'WS calcu'!O123&lt;'WS Plan'!$H$39+1),('WS Plan'!$H$42)/('WS Plan'!$H$39+1-'WS Plan'!$G$39),0),0)</f>
        <v>0</v>
      </c>
    </row>
    <row r="132" spans="1:15" s="260" customFormat="1" x14ac:dyDescent="0.25">
      <c r="B132" s="262"/>
      <c r="C132" s="263"/>
      <c r="D132" s="264"/>
      <c r="E132" s="265"/>
      <c r="F132" s="1925"/>
      <c r="G132" s="1925"/>
      <c r="H132" s="1925"/>
      <c r="I132" s="1925"/>
      <c r="J132" s="1925"/>
      <c r="K132" s="1925"/>
      <c r="L132" s="1925"/>
      <c r="M132" s="1925"/>
      <c r="N132" s="1925"/>
      <c r="O132" s="1925"/>
    </row>
    <row r="133" spans="1:15" s="260" customFormat="1" x14ac:dyDescent="0.25">
      <c r="A133" s="257" t="s">
        <v>13</v>
      </c>
      <c r="B133" s="257" t="s">
        <v>298</v>
      </c>
      <c r="C133" s="314"/>
      <c r="D133" s="258"/>
      <c r="E133" s="259"/>
      <c r="F133" s="259"/>
      <c r="G133" s="259"/>
      <c r="H133" s="259"/>
      <c r="I133" s="259"/>
      <c r="J133" s="259"/>
      <c r="K133" s="259"/>
      <c r="L133" s="259"/>
      <c r="M133" s="259"/>
      <c r="N133" s="259"/>
      <c r="O133" s="259"/>
    </row>
    <row r="134" spans="1:15" s="260" customFormat="1" x14ac:dyDescent="0.25">
      <c r="A134" s="256"/>
      <c r="B134" s="261" t="s">
        <v>3</v>
      </c>
      <c r="C134" s="315" t="s">
        <v>4</v>
      </c>
      <c r="D134" s="13" t="s">
        <v>33</v>
      </c>
      <c r="E134" s="261">
        <f>E$3</f>
        <v>2014</v>
      </c>
      <c r="F134" s="261">
        <f t="shared" ref="F134:O134" si="74">F$3</f>
        <v>2015</v>
      </c>
      <c r="G134" s="261">
        <f t="shared" si="74"/>
        <v>2016</v>
      </c>
      <c r="H134" s="261">
        <f t="shared" si="74"/>
        <v>2017</v>
      </c>
      <c r="I134" s="261">
        <f t="shared" si="74"/>
        <v>2018</v>
      </c>
      <c r="J134" s="261">
        <f t="shared" si="74"/>
        <v>2019</v>
      </c>
      <c r="K134" s="261">
        <f t="shared" si="74"/>
        <v>2020</v>
      </c>
      <c r="L134" s="261">
        <f t="shared" si="74"/>
        <v>2021</v>
      </c>
      <c r="M134" s="261">
        <f t="shared" si="74"/>
        <v>2022</v>
      </c>
      <c r="N134" s="261">
        <f t="shared" si="74"/>
        <v>2023</v>
      </c>
      <c r="O134" s="261">
        <f t="shared" si="74"/>
        <v>2024</v>
      </c>
    </row>
    <row r="135" spans="1:15" s="237" customFormat="1" x14ac:dyDescent="0.25">
      <c r="A135" s="232"/>
      <c r="B135" s="233"/>
      <c r="C135" s="234" t="s">
        <v>292</v>
      </c>
      <c r="D135" s="266"/>
      <c r="E135" s="242"/>
      <c r="F135" s="242"/>
      <c r="G135" s="242"/>
      <c r="H135" s="242"/>
      <c r="I135" s="242"/>
      <c r="J135" s="242"/>
      <c r="K135" s="242"/>
      <c r="L135" s="242"/>
      <c r="M135" s="242"/>
      <c r="N135" s="242"/>
      <c r="O135" s="242"/>
    </row>
    <row r="136" spans="1:15" s="237" customFormat="1" x14ac:dyDescent="0.25">
      <c r="A136" s="232"/>
      <c r="B136" s="267"/>
      <c r="C136" s="234" t="s">
        <v>23</v>
      </c>
      <c r="D136" s="870">
        <f>IFERROR('WSS Profile'!G92/'WSS Profile'!F92,0)</f>
        <v>0</v>
      </c>
      <c r="E136" s="242">
        <f t="shared" ref="E136:O136" si="75">$D136*E86</f>
        <v>0</v>
      </c>
      <c r="F136" s="242">
        <f t="shared" si="75"/>
        <v>0</v>
      </c>
      <c r="G136" s="242">
        <f t="shared" si="75"/>
        <v>0</v>
      </c>
      <c r="H136" s="242">
        <f t="shared" si="75"/>
        <v>0</v>
      </c>
      <c r="I136" s="242">
        <f t="shared" si="75"/>
        <v>0</v>
      </c>
      <c r="J136" s="242">
        <f t="shared" si="75"/>
        <v>0</v>
      </c>
      <c r="K136" s="242">
        <f t="shared" si="75"/>
        <v>0</v>
      </c>
      <c r="L136" s="242">
        <f t="shared" si="75"/>
        <v>0</v>
      </c>
      <c r="M136" s="242">
        <f t="shared" si="75"/>
        <v>0</v>
      </c>
      <c r="N136" s="242">
        <f t="shared" si="75"/>
        <v>0</v>
      </c>
      <c r="O136" s="242">
        <f t="shared" si="75"/>
        <v>0</v>
      </c>
    </row>
    <row r="137" spans="1:15" s="237" customFormat="1" x14ac:dyDescent="0.25">
      <c r="A137" s="232"/>
      <c r="B137" s="267"/>
      <c r="C137" s="234" t="s">
        <v>24</v>
      </c>
      <c r="D137" s="870">
        <f>IFERROR('WSS Profile'!G93/'WSS Profile'!F93,0)</f>
        <v>0</v>
      </c>
      <c r="E137" s="242">
        <f t="shared" ref="E137:O137" si="76">$D137*E87</f>
        <v>0</v>
      </c>
      <c r="F137" s="242">
        <f t="shared" si="76"/>
        <v>0</v>
      </c>
      <c r="G137" s="242">
        <f t="shared" si="76"/>
        <v>0</v>
      </c>
      <c r="H137" s="242">
        <f t="shared" si="76"/>
        <v>0</v>
      </c>
      <c r="I137" s="242">
        <f t="shared" si="76"/>
        <v>0</v>
      </c>
      <c r="J137" s="242">
        <f t="shared" si="76"/>
        <v>0</v>
      </c>
      <c r="K137" s="242">
        <f t="shared" si="76"/>
        <v>0</v>
      </c>
      <c r="L137" s="242">
        <f t="shared" si="76"/>
        <v>0</v>
      </c>
      <c r="M137" s="242">
        <f t="shared" si="76"/>
        <v>0</v>
      </c>
      <c r="N137" s="242">
        <f t="shared" si="76"/>
        <v>0</v>
      </c>
      <c r="O137" s="242">
        <f t="shared" si="76"/>
        <v>0</v>
      </c>
    </row>
    <row r="138" spans="1:15" s="237" customFormat="1" x14ac:dyDescent="0.25">
      <c r="A138" s="232"/>
      <c r="B138" s="267"/>
      <c r="C138" s="234" t="s">
        <v>25</v>
      </c>
      <c r="D138" s="870">
        <f>IFERROR('WSS Profile'!G94/'WSS Profile'!F94,0)</f>
        <v>0</v>
      </c>
      <c r="E138" s="242">
        <f t="shared" ref="E138:O138" si="77">$D138*E88</f>
        <v>0</v>
      </c>
      <c r="F138" s="242">
        <f t="shared" si="77"/>
        <v>0</v>
      </c>
      <c r="G138" s="242">
        <f t="shared" si="77"/>
        <v>0</v>
      </c>
      <c r="H138" s="242">
        <f t="shared" si="77"/>
        <v>0</v>
      </c>
      <c r="I138" s="242">
        <f t="shared" si="77"/>
        <v>0</v>
      </c>
      <c r="J138" s="242">
        <f t="shared" si="77"/>
        <v>0</v>
      </c>
      <c r="K138" s="242">
        <f t="shared" si="77"/>
        <v>0</v>
      </c>
      <c r="L138" s="242">
        <f t="shared" si="77"/>
        <v>0</v>
      </c>
      <c r="M138" s="242">
        <f t="shared" si="77"/>
        <v>0</v>
      </c>
      <c r="N138" s="242">
        <f t="shared" si="77"/>
        <v>0</v>
      </c>
      <c r="O138" s="242">
        <f t="shared" si="77"/>
        <v>0</v>
      </c>
    </row>
    <row r="139" spans="1:15" s="237" customFormat="1" x14ac:dyDescent="0.25">
      <c r="A139" s="232"/>
      <c r="B139" s="267"/>
      <c r="C139" s="234" t="s">
        <v>168</v>
      </c>
      <c r="D139" s="870">
        <f>IFERROR('WSS Profile'!G95/'WSS Profile'!F95,0)</f>
        <v>0</v>
      </c>
      <c r="E139" s="242">
        <f t="shared" ref="E139:O139" si="78">$D139*E89</f>
        <v>0</v>
      </c>
      <c r="F139" s="242">
        <f t="shared" si="78"/>
        <v>0</v>
      </c>
      <c r="G139" s="242">
        <f t="shared" si="78"/>
        <v>0</v>
      </c>
      <c r="H139" s="242">
        <f t="shared" si="78"/>
        <v>0</v>
      </c>
      <c r="I139" s="242">
        <f t="shared" si="78"/>
        <v>0</v>
      </c>
      <c r="J139" s="242">
        <f t="shared" si="78"/>
        <v>0</v>
      </c>
      <c r="K139" s="242">
        <f t="shared" si="78"/>
        <v>0</v>
      </c>
      <c r="L139" s="242">
        <f t="shared" si="78"/>
        <v>0</v>
      </c>
      <c r="M139" s="242">
        <f t="shared" si="78"/>
        <v>0</v>
      </c>
      <c r="N139" s="242">
        <f t="shared" si="78"/>
        <v>0</v>
      </c>
      <c r="O139" s="242">
        <f t="shared" si="78"/>
        <v>0</v>
      </c>
    </row>
    <row r="140" spans="1:15" s="243" customFormat="1" x14ac:dyDescent="0.25">
      <c r="A140" s="252"/>
      <c r="B140" s="267"/>
      <c r="C140" s="319" t="s">
        <v>294</v>
      </c>
      <c r="D140" s="871"/>
      <c r="E140" s="268">
        <f t="shared" ref="E140:O140" si="79">SUM(E136:E139)</f>
        <v>0</v>
      </c>
      <c r="F140" s="268">
        <f t="shared" si="79"/>
        <v>0</v>
      </c>
      <c r="G140" s="268">
        <f t="shared" si="79"/>
        <v>0</v>
      </c>
      <c r="H140" s="268">
        <f t="shared" si="79"/>
        <v>0</v>
      </c>
      <c r="I140" s="268">
        <f t="shared" si="79"/>
        <v>0</v>
      </c>
      <c r="J140" s="268">
        <f t="shared" si="79"/>
        <v>0</v>
      </c>
      <c r="K140" s="268">
        <f t="shared" si="79"/>
        <v>0</v>
      </c>
      <c r="L140" s="268">
        <f t="shared" si="79"/>
        <v>0</v>
      </c>
      <c r="M140" s="268">
        <f t="shared" si="79"/>
        <v>0</v>
      </c>
      <c r="N140" s="268">
        <f t="shared" si="79"/>
        <v>0</v>
      </c>
      <c r="O140" s="268">
        <f t="shared" si="79"/>
        <v>0</v>
      </c>
    </row>
    <row r="141" spans="1:15" s="237" customFormat="1" x14ac:dyDescent="0.25">
      <c r="A141" s="232"/>
      <c r="B141" s="233"/>
      <c r="C141" s="234" t="s">
        <v>293</v>
      </c>
      <c r="D141" s="870"/>
      <c r="E141" s="242"/>
      <c r="F141" s="242"/>
      <c r="G141" s="242"/>
      <c r="H141" s="242"/>
      <c r="I141" s="242"/>
      <c r="J141" s="242"/>
      <c r="K141" s="242"/>
      <c r="L141" s="242"/>
      <c r="M141" s="242"/>
      <c r="N141" s="242"/>
      <c r="O141" s="242"/>
    </row>
    <row r="142" spans="1:15" s="237" customFormat="1" x14ac:dyDescent="0.25">
      <c r="A142" s="232"/>
      <c r="B142" s="233"/>
      <c r="C142" s="234" t="s">
        <v>23</v>
      </c>
      <c r="D142" s="870">
        <f>IFERROR('WSS Profile'!G97/'WSS Profile'!F97,D136)</f>
        <v>0</v>
      </c>
      <c r="E142" s="242">
        <f t="shared" ref="E142:O142" si="80">$D142*E91</f>
        <v>0</v>
      </c>
      <c r="F142" s="242">
        <f t="shared" si="80"/>
        <v>0</v>
      </c>
      <c r="G142" s="242">
        <f t="shared" si="80"/>
        <v>0</v>
      </c>
      <c r="H142" s="242">
        <f t="shared" si="80"/>
        <v>0</v>
      </c>
      <c r="I142" s="242">
        <f t="shared" si="80"/>
        <v>0</v>
      </c>
      <c r="J142" s="242">
        <f t="shared" si="80"/>
        <v>0</v>
      </c>
      <c r="K142" s="242">
        <f t="shared" si="80"/>
        <v>0</v>
      </c>
      <c r="L142" s="242">
        <f t="shared" si="80"/>
        <v>0</v>
      </c>
      <c r="M142" s="242">
        <f t="shared" si="80"/>
        <v>0</v>
      </c>
      <c r="N142" s="242">
        <f t="shared" si="80"/>
        <v>0</v>
      </c>
      <c r="O142" s="242">
        <f t="shared" si="80"/>
        <v>0</v>
      </c>
    </row>
    <row r="143" spans="1:15" s="237" customFormat="1" x14ac:dyDescent="0.25">
      <c r="A143" s="232"/>
      <c r="B143" s="233"/>
      <c r="C143" s="234" t="s">
        <v>24</v>
      </c>
      <c r="D143" s="870">
        <f>IFERROR('WSS Profile'!G98/'WSS Profile'!F98,D137)</f>
        <v>0</v>
      </c>
      <c r="E143" s="242">
        <f t="shared" ref="E143:O143" si="81">$D143*E92</f>
        <v>0</v>
      </c>
      <c r="F143" s="242">
        <f t="shared" si="81"/>
        <v>0</v>
      </c>
      <c r="G143" s="242">
        <f t="shared" si="81"/>
        <v>0</v>
      </c>
      <c r="H143" s="242">
        <f t="shared" si="81"/>
        <v>0</v>
      </c>
      <c r="I143" s="242">
        <f t="shared" si="81"/>
        <v>0</v>
      </c>
      <c r="J143" s="242">
        <f t="shared" si="81"/>
        <v>0</v>
      </c>
      <c r="K143" s="242">
        <f t="shared" si="81"/>
        <v>0</v>
      </c>
      <c r="L143" s="242">
        <f t="shared" si="81"/>
        <v>0</v>
      </c>
      <c r="M143" s="242">
        <f t="shared" si="81"/>
        <v>0</v>
      </c>
      <c r="N143" s="242">
        <f t="shared" si="81"/>
        <v>0</v>
      </c>
      <c r="O143" s="242">
        <f t="shared" si="81"/>
        <v>0</v>
      </c>
    </row>
    <row r="144" spans="1:15" s="237" customFormat="1" x14ac:dyDescent="0.25">
      <c r="A144" s="232"/>
      <c r="B144" s="233"/>
      <c r="C144" s="234" t="s">
        <v>25</v>
      </c>
      <c r="D144" s="870">
        <f>IFERROR('WSS Profile'!G99/'WSS Profile'!F99,D138)</f>
        <v>0</v>
      </c>
      <c r="E144" s="242">
        <f t="shared" ref="E144:O144" si="82">$D144*E93</f>
        <v>0</v>
      </c>
      <c r="F144" s="242">
        <f t="shared" si="82"/>
        <v>0</v>
      </c>
      <c r="G144" s="242">
        <f t="shared" si="82"/>
        <v>0</v>
      </c>
      <c r="H144" s="242">
        <f t="shared" si="82"/>
        <v>0</v>
      </c>
      <c r="I144" s="242">
        <f t="shared" si="82"/>
        <v>0</v>
      </c>
      <c r="J144" s="242">
        <f t="shared" si="82"/>
        <v>0</v>
      </c>
      <c r="K144" s="242">
        <f t="shared" si="82"/>
        <v>0</v>
      </c>
      <c r="L144" s="242">
        <f t="shared" si="82"/>
        <v>0</v>
      </c>
      <c r="M144" s="242">
        <f t="shared" si="82"/>
        <v>0</v>
      </c>
      <c r="N144" s="242">
        <f t="shared" si="82"/>
        <v>0</v>
      </c>
      <c r="O144" s="242">
        <f t="shared" si="82"/>
        <v>0</v>
      </c>
    </row>
    <row r="145" spans="1:15" s="237" customFormat="1" x14ac:dyDescent="0.25">
      <c r="A145" s="232"/>
      <c r="B145" s="233"/>
      <c r="C145" s="234" t="s">
        <v>168</v>
      </c>
      <c r="D145" s="870">
        <f>IFERROR('WSS Profile'!G100/'WSS Profile'!F100,D139)</f>
        <v>0</v>
      </c>
      <c r="E145" s="242">
        <f t="shared" ref="E145:O145" si="83">$D145*E94</f>
        <v>0</v>
      </c>
      <c r="F145" s="242">
        <f t="shared" si="83"/>
        <v>0</v>
      </c>
      <c r="G145" s="242">
        <f t="shared" si="83"/>
        <v>0</v>
      </c>
      <c r="H145" s="242">
        <f t="shared" si="83"/>
        <v>0</v>
      </c>
      <c r="I145" s="242">
        <f t="shared" si="83"/>
        <v>0</v>
      </c>
      <c r="J145" s="242">
        <f t="shared" si="83"/>
        <v>0</v>
      </c>
      <c r="K145" s="242">
        <f t="shared" si="83"/>
        <v>0</v>
      </c>
      <c r="L145" s="242">
        <f t="shared" si="83"/>
        <v>0</v>
      </c>
      <c r="M145" s="242">
        <f t="shared" si="83"/>
        <v>0</v>
      </c>
      <c r="N145" s="242">
        <f t="shared" si="83"/>
        <v>0</v>
      </c>
      <c r="O145" s="242">
        <f t="shared" si="83"/>
        <v>0</v>
      </c>
    </row>
    <row r="146" spans="1:15" s="243" customFormat="1" x14ac:dyDescent="0.25">
      <c r="A146" s="252"/>
      <c r="B146" s="255"/>
      <c r="C146" s="319" t="s">
        <v>295</v>
      </c>
      <c r="D146" s="871"/>
      <c r="E146" s="268">
        <f t="shared" ref="E146:O146" si="84">SUM(E142:E145)</f>
        <v>0</v>
      </c>
      <c r="F146" s="268">
        <f t="shared" si="84"/>
        <v>0</v>
      </c>
      <c r="G146" s="268">
        <f t="shared" si="84"/>
        <v>0</v>
      </c>
      <c r="H146" s="268">
        <f t="shared" si="84"/>
        <v>0</v>
      </c>
      <c r="I146" s="268">
        <f t="shared" si="84"/>
        <v>0</v>
      </c>
      <c r="J146" s="268">
        <f t="shared" si="84"/>
        <v>0</v>
      </c>
      <c r="K146" s="268">
        <f t="shared" si="84"/>
        <v>0</v>
      </c>
      <c r="L146" s="268">
        <f t="shared" si="84"/>
        <v>0</v>
      </c>
      <c r="M146" s="268">
        <f t="shared" si="84"/>
        <v>0</v>
      </c>
      <c r="N146" s="268">
        <f t="shared" si="84"/>
        <v>0</v>
      </c>
      <c r="O146" s="268">
        <f t="shared" si="84"/>
        <v>0</v>
      </c>
    </row>
    <row r="147" spans="1:15" s="243" customFormat="1" x14ac:dyDescent="0.25">
      <c r="A147" s="252"/>
      <c r="B147" s="255"/>
      <c r="C147" s="269" t="s">
        <v>269</v>
      </c>
      <c r="D147" s="871">
        <f>IFERROR('WSS Profile'!G112/'WSS Profile'!F112,0)</f>
        <v>0</v>
      </c>
      <c r="E147" s="242">
        <f t="shared" ref="E147:O147" si="85">$D147*E106</f>
        <v>0</v>
      </c>
      <c r="F147" s="242">
        <f t="shared" si="85"/>
        <v>0</v>
      </c>
      <c r="G147" s="242">
        <f t="shared" si="85"/>
        <v>0</v>
      </c>
      <c r="H147" s="242">
        <f t="shared" si="85"/>
        <v>0</v>
      </c>
      <c r="I147" s="242">
        <f t="shared" si="85"/>
        <v>0</v>
      </c>
      <c r="J147" s="242">
        <f t="shared" si="85"/>
        <v>0</v>
      </c>
      <c r="K147" s="242">
        <f t="shared" si="85"/>
        <v>0</v>
      </c>
      <c r="L147" s="242">
        <f t="shared" si="85"/>
        <v>0</v>
      </c>
      <c r="M147" s="242">
        <f t="shared" si="85"/>
        <v>0</v>
      </c>
      <c r="N147" s="242">
        <f t="shared" si="85"/>
        <v>0</v>
      </c>
      <c r="O147" s="242">
        <f t="shared" si="85"/>
        <v>0</v>
      </c>
    </row>
    <row r="148" spans="1:15" s="243" customFormat="1" x14ac:dyDescent="0.25">
      <c r="A148" s="252"/>
      <c r="B148" s="255"/>
      <c r="C148" s="269" t="s">
        <v>317</v>
      </c>
      <c r="D148" s="871">
        <f>IFERROR('WSS Profile'!G114/'WSS Profile'!F114,0)</f>
        <v>0</v>
      </c>
      <c r="E148" s="242">
        <f t="shared" ref="E148:O148" si="86">$D148*E109</f>
        <v>0</v>
      </c>
      <c r="F148" s="242">
        <f t="shared" si="86"/>
        <v>0</v>
      </c>
      <c r="G148" s="242">
        <f t="shared" si="86"/>
        <v>0</v>
      </c>
      <c r="H148" s="242">
        <f t="shared" si="86"/>
        <v>0</v>
      </c>
      <c r="I148" s="242">
        <f t="shared" si="86"/>
        <v>0</v>
      </c>
      <c r="J148" s="242">
        <f t="shared" si="86"/>
        <v>0</v>
      </c>
      <c r="K148" s="242">
        <f t="shared" si="86"/>
        <v>0</v>
      </c>
      <c r="L148" s="242">
        <f t="shared" si="86"/>
        <v>0</v>
      </c>
      <c r="M148" s="242">
        <f t="shared" si="86"/>
        <v>0</v>
      </c>
      <c r="N148" s="242">
        <f t="shared" si="86"/>
        <v>0</v>
      </c>
      <c r="O148" s="242">
        <f t="shared" si="86"/>
        <v>0</v>
      </c>
    </row>
    <row r="149" spans="1:15" x14ac:dyDescent="0.25">
      <c r="A149" s="48"/>
      <c r="B149" s="39"/>
      <c r="C149" s="50"/>
      <c r="D149" s="99"/>
      <c r="E149" s="67"/>
      <c r="F149" s="67"/>
      <c r="G149" s="67"/>
      <c r="H149" s="67"/>
      <c r="I149" s="67"/>
      <c r="J149" s="67"/>
      <c r="K149" s="67"/>
      <c r="L149" s="67"/>
      <c r="M149" s="67"/>
      <c r="N149" s="67"/>
      <c r="O149" s="67"/>
    </row>
    <row r="150" spans="1:15" x14ac:dyDescent="0.25">
      <c r="A150" s="11" t="s">
        <v>13</v>
      </c>
      <c r="B150" s="11" t="s">
        <v>611</v>
      </c>
      <c r="C150" s="309"/>
      <c r="E150" s="65"/>
      <c r="F150" s="65"/>
      <c r="G150" s="65"/>
      <c r="H150" s="65"/>
      <c r="I150" s="65"/>
      <c r="J150" s="65"/>
      <c r="K150" s="65"/>
      <c r="L150" s="65"/>
      <c r="M150" s="65"/>
      <c r="N150" s="65"/>
      <c r="O150" s="65"/>
    </row>
    <row r="151" spans="1:15" x14ac:dyDescent="0.25">
      <c r="B151" s="13" t="s">
        <v>3</v>
      </c>
      <c r="C151" s="310" t="s">
        <v>4</v>
      </c>
      <c r="D151" s="13" t="s">
        <v>33</v>
      </c>
      <c r="E151" s="13">
        <f>E$3</f>
        <v>2014</v>
      </c>
      <c r="F151" s="13">
        <f t="shared" ref="F151:O151" si="87">F$3</f>
        <v>2015</v>
      </c>
      <c r="G151" s="13">
        <f t="shared" si="87"/>
        <v>2016</v>
      </c>
      <c r="H151" s="13">
        <f t="shared" si="87"/>
        <v>2017</v>
      </c>
      <c r="I151" s="13">
        <f t="shared" si="87"/>
        <v>2018</v>
      </c>
      <c r="J151" s="13">
        <f t="shared" si="87"/>
        <v>2019</v>
      </c>
      <c r="K151" s="13">
        <f t="shared" si="87"/>
        <v>2020</v>
      </c>
      <c r="L151" s="13">
        <f t="shared" si="87"/>
        <v>2021</v>
      </c>
      <c r="M151" s="13">
        <f t="shared" si="87"/>
        <v>2022</v>
      </c>
      <c r="N151" s="13">
        <f t="shared" si="87"/>
        <v>2023</v>
      </c>
      <c r="O151" s="13">
        <f t="shared" si="87"/>
        <v>2024</v>
      </c>
    </row>
    <row r="152" spans="1:15" x14ac:dyDescent="0.25">
      <c r="A152" s="27"/>
      <c r="B152" s="14"/>
      <c r="C152" s="41" t="s">
        <v>292</v>
      </c>
      <c r="D152" s="111"/>
      <c r="E152" s="64"/>
      <c r="F152" s="64"/>
      <c r="G152" s="64"/>
      <c r="H152" s="64"/>
      <c r="I152" s="64"/>
      <c r="J152" s="64"/>
      <c r="K152" s="64"/>
      <c r="L152" s="64"/>
      <c r="M152" s="64"/>
      <c r="N152" s="64"/>
      <c r="O152" s="64"/>
    </row>
    <row r="153" spans="1:15" x14ac:dyDescent="0.25">
      <c r="A153" s="27"/>
      <c r="B153" s="14"/>
      <c r="C153" s="41" t="s">
        <v>23</v>
      </c>
      <c r="D153" s="111">
        <f>IFERROR(E136/E$140,0)</f>
        <v>0</v>
      </c>
      <c r="E153" s="64">
        <f t="shared" ref="E153:O153" si="88">E$157*$D153</f>
        <v>0</v>
      </c>
      <c r="F153" s="64">
        <f t="shared" si="88"/>
        <v>0</v>
      </c>
      <c r="G153" s="64">
        <f t="shared" si="88"/>
        <v>0</v>
      </c>
      <c r="H153" s="64">
        <f t="shared" si="88"/>
        <v>0</v>
      </c>
      <c r="I153" s="64">
        <f t="shared" si="88"/>
        <v>0</v>
      </c>
      <c r="J153" s="64">
        <f t="shared" si="88"/>
        <v>0</v>
      </c>
      <c r="K153" s="64">
        <f t="shared" si="88"/>
        <v>0</v>
      </c>
      <c r="L153" s="64">
        <f t="shared" si="88"/>
        <v>0</v>
      </c>
      <c r="M153" s="64">
        <f t="shared" si="88"/>
        <v>0</v>
      </c>
      <c r="N153" s="64">
        <f t="shared" si="88"/>
        <v>0</v>
      </c>
      <c r="O153" s="64">
        <f t="shared" si="88"/>
        <v>0</v>
      </c>
    </row>
    <row r="154" spans="1:15" x14ac:dyDescent="0.25">
      <c r="A154" s="27"/>
      <c r="B154" s="14"/>
      <c r="C154" s="41" t="s">
        <v>24</v>
      </c>
      <c r="D154" s="111">
        <f>IFERROR(E137/E$140,0)</f>
        <v>0</v>
      </c>
      <c r="E154" s="64">
        <f t="shared" ref="E154:O156" si="89">E$157*$D154</f>
        <v>0</v>
      </c>
      <c r="F154" s="64">
        <f t="shared" si="89"/>
        <v>0</v>
      </c>
      <c r="G154" s="64">
        <f t="shared" si="89"/>
        <v>0</v>
      </c>
      <c r="H154" s="64">
        <f t="shared" si="89"/>
        <v>0</v>
      </c>
      <c r="I154" s="64">
        <f t="shared" si="89"/>
        <v>0</v>
      </c>
      <c r="J154" s="64">
        <f t="shared" si="89"/>
        <v>0</v>
      </c>
      <c r="K154" s="64">
        <f t="shared" si="89"/>
        <v>0</v>
      </c>
      <c r="L154" s="64">
        <f t="shared" si="89"/>
        <v>0</v>
      </c>
      <c r="M154" s="64">
        <f t="shared" si="89"/>
        <v>0</v>
      </c>
      <c r="N154" s="64">
        <f t="shared" si="89"/>
        <v>0</v>
      </c>
      <c r="O154" s="64">
        <f t="shared" si="89"/>
        <v>0</v>
      </c>
    </row>
    <row r="155" spans="1:15" x14ac:dyDescent="0.25">
      <c r="A155" s="27"/>
      <c r="B155" s="14"/>
      <c r="C155" s="41" t="s">
        <v>25</v>
      </c>
      <c r="D155" s="111">
        <f>IFERROR(E138/E$140,0)</f>
        <v>0</v>
      </c>
      <c r="E155" s="64">
        <f t="shared" si="89"/>
        <v>0</v>
      </c>
      <c r="F155" s="64">
        <f t="shared" si="89"/>
        <v>0</v>
      </c>
      <c r="G155" s="64">
        <f t="shared" si="89"/>
        <v>0</v>
      </c>
      <c r="H155" s="64">
        <f t="shared" si="89"/>
        <v>0</v>
      </c>
      <c r="I155" s="64">
        <f t="shared" si="89"/>
        <v>0</v>
      </c>
      <c r="J155" s="64">
        <f t="shared" si="89"/>
        <v>0</v>
      </c>
      <c r="K155" s="64">
        <f t="shared" si="89"/>
        <v>0</v>
      </c>
      <c r="L155" s="64">
        <f t="shared" ref="L155:O156" si="90">L$157*$D155</f>
        <v>0</v>
      </c>
      <c r="M155" s="64">
        <f t="shared" si="90"/>
        <v>0</v>
      </c>
      <c r="N155" s="64">
        <f t="shared" si="90"/>
        <v>0</v>
      </c>
      <c r="O155" s="64">
        <f t="shared" si="90"/>
        <v>0</v>
      </c>
    </row>
    <row r="156" spans="1:15" x14ac:dyDescent="0.25">
      <c r="A156" s="27"/>
      <c r="B156" s="14"/>
      <c r="C156" s="41" t="s">
        <v>168</v>
      </c>
      <c r="D156" s="111">
        <f>IFERROR(E139/E$140,0)</f>
        <v>0</v>
      </c>
      <c r="E156" s="64">
        <f t="shared" si="89"/>
        <v>0</v>
      </c>
      <c r="F156" s="64">
        <f t="shared" si="89"/>
        <v>0</v>
      </c>
      <c r="G156" s="64">
        <f t="shared" si="89"/>
        <v>0</v>
      </c>
      <c r="H156" s="64">
        <f t="shared" si="89"/>
        <v>0</v>
      </c>
      <c r="I156" s="64">
        <f t="shared" si="89"/>
        <v>0</v>
      </c>
      <c r="J156" s="64">
        <f t="shared" si="89"/>
        <v>0</v>
      </c>
      <c r="K156" s="64">
        <f t="shared" si="89"/>
        <v>0</v>
      </c>
      <c r="L156" s="64">
        <f t="shared" si="90"/>
        <v>0</v>
      </c>
      <c r="M156" s="64">
        <f t="shared" si="90"/>
        <v>0</v>
      </c>
      <c r="N156" s="64">
        <f t="shared" si="90"/>
        <v>0</v>
      </c>
      <c r="O156" s="64">
        <f t="shared" si="90"/>
        <v>0</v>
      </c>
    </row>
    <row r="157" spans="1:15" s="80" customFormat="1" x14ac:dyDescent="0.25">
      <c r="A157" s="92"/>
      <c r="B157" s="159"/>
      <c r="C157" s="690" t="s">
        <v>294</v>
      </c>
      <c r="D157" s="691"/>
      <c r="E157" s="81">
        <f>IF(E140&gt;Population!E$29,Population!E$29,E140)</f>
        <v>0</v>
      </c>
      <c r="F157" s="81">
        <f>IF(F140&gt;Population!F$29,Population!F$29,F140)</f>
        <v>0</v>
      </c>
      <c r="G157" s="81">
        <f>IF(G140&gt;Population!G$29,Population!G$29,G140)</f>
        <v>0</v>
      </c>
      <c r="H157" s="81">
        <f>IF(H140&gt;Population!H$29,Population!H$29,H140)</f>
        <v>0</v>
      </c>
      <c r="I157" s="81">
        <f>IF(I140&gt;Population!I$29,Population!I$29,I140)</f>
        <v>0</v>
      </c>
      <c r="J157" s="81">
        <f>IF(J140&gt;Population!J$29,Population!J$29,J140)</f>
        <v>0</v>
      </c>
      <c r="K157" s="81">
        <f>IF(K140&gt;Population!K$29,Population!K$29,K140)</f>
        <v>0</v>
      </c>
      <c r="L157" s="81">
        <f>IF(L140&gt;Population!L$29,Population!L$29,L140)</f>
        <v>0</v>
      </c>
      <c r="M157" s="81">
        <f>IF(M140&gt;Population!M$29,Population!M$29,M140)</f>
        <v>0</v>
      </c>
      <c r="N157" s="81">
        <f>IF(N140&gt;Population!N$29,Population!N$29,N140)</f>
        <v>0</v>
      </c>
      <c r="O157" s="81">
        <f>IF(O140&gt;Population!O$29,Population!O$29,O140)</f>
        <v>0</v>
      </c>
    </row>
    <row r="158" spans="1:15" x14ac:dyDescent="0.25">
      <c r="A158" s="27"/>
      <c r="B158" s="14"/>
      <c r="C158" s="41" t="s">
        <v>344</v>
      </c>
      <c r="D158" s="111"/>
      <c r="E158" s="64"/>
      <c r="F158" s="64"/>
      <c r="G158" s="64"/>
      <c r="H158" s="64"/>
      <c r="I158" s="64"/>
      <c r="J158" s="64"/>
      <c r="K158" s="64"/>
      <c r="L158" s="64"/>
      <c r="M158" s="64"/>
      <c r="N158" s="64"/>
      <c r="O158" s="64"/>
    </row>
    <row r="159" spans="1:15" x14ac:dyDescent="0.25">
      <c r="A159" s="27"/>
      <c r="B159" s="14"/>
      <c r="C159" s="41" t="s">
        <v>23</v>
      </c>
      <c r="D159" s="111">
        <f>IFERROR(E142/E$146,0)</f>
        <v>0</v>
      </c>
      <c r="E159" s="64">
        <f t="shared" ref="E159:O159" si="91">E$163*$D159</f>
        <v>0</v>
      </c>
      <c r="F159" s="64">
        <f t="shared" si="91"/>
        <v>0</v>
      </c>
      <c r="G159" s="64">
        <f t="shared" si="91"/>
        <v>0</v>
      </c>
      <c r="H159" s="64">
        <f t="shared" si="91"/>
        <v>0</v>
      </c>
      <c r="I159" s="64">
        <f t="shared" si="91"/>
        <v>0</v>
      </c>
      <c r="J159" s="64">
        <f t="shared" si="91"/>
        <v>0</v>
      </c>
      <c r="K159" s="64">
        <f t="shared" si="91"/>
        <v>0</v>
      </c>
      <c r="L159" s="64">
        <f t="shared" si="91"/>
        <v>0</v>
      </c>
      <c r="M159" s="64">
        <f t="shared" si="91"/>
        <v>0</v>
      </c>
      <c r="N159" s="64">
        <f t="shared" si="91"/>
        <v>0</v>
      </c>
      <c r="O159" s="64">
        <f t="shared" si="91"/>
        <v>0</v>
      </c>
    </row>
    <row r="160" spans="1:15" x14ac:dyDescent="0.25">
      <c r="A160" s="27"/>
      <c r="B160" s="14"/>
      <c r="C160" s="41" t="s">
        <v>24</v>
      </c>
      <c r="D160" s="111">
        <f>IFERROR(E143/E$146,0)</f>
        <v>0</v>
      </c>
      <c r="E160" s="64">
        <f t="shared" ref="E160:O162" si="92">E$163*$D160</f>
        <v>0</v>
      </c>
      <c r="F160" s="64">
        <f t="shared" si="92"/>
        <v>0</v>
      </c>
      <c r="G160" s="64">
        <f t="shared" si="92"/>
        <v>0</v>
      </c>
      <c r="H160" s="64">
        <f t="shared" si="92"/>
        <v>0</v>
      </c>
      <c r="I160" s="64">
        <f t="shared" si="92"/>
        <v>0</v>
      </c>
      <c r="J160" s="64">
        <f t="shared" si="92"/>
        <v>0</v>
      </c>
      <c r="K160" s="64">
        <f t="shared" si="92"/>
        <v>0</v>
      </c>
      <c r="L160" s="64">
        <f t="shared" si="92"/>
        <v>0</v>
      </c>
      <c r="M160" s="64">
        <f t="shared" si="92"/>
        <v>0</v>
      </c>
      <c r="N160" s="64">
        <f t="shared" si="92"/>
        <v>0</v>
      </c>
      <c r="O160" s="64">
        <f t="shared" si="92"/>
        <v>0</v>
      </c>
    </row>
    <row r="161" spans="1:15" x14ac:dyDescent="0.25">
      <c r="A161" s="27"/>
      <c r="B161" s="14"/>
      <c r="C161" s="41" t="s">
        <v>25</v>
      </c>
      <c r="D161" s="111">
        <f>IFERROR(E144/E$146,0)</f>
        <v>0</v>
      </c>
      <c r="E161" s="64">
        <f t="shared" si="92"/>
        <v>0</v>
      </c>
      <c r="F161" s="64">
        <f t="shared" si="92"/>
        <v>0</v>
      </c>
      <c r="G161" s="64">
        <f t="shared" si="92"/>
        <v>0</v>
      </c>
      <c r="H161" s="64">
        <f t="shared" si="92"/>
        <v>0</v>
      </c>
      <c r="I161" s="64">
        <f t="shared" si="92"/>
        <v>0</v>
      </c>
      <c r="J161" s="64">
        <f t="shared" si="92"/>
        <v>0</v>
      </c>
      <c r="K161" s="64">
        <f t="shared" si="92"/>
        <v>0</v>
      </c>
      <c r="L161" s="64">
        <f t="shared" ref="L161:O162" si="93">L$163*$D161</f>
        <v>0</v>
      </c>
      <c r="M161" s="64">
        <f t="shared" si="93"/>
        <v>0</v>
      </c>
      <c r="N161" s="64">
        <f t="shared" si="93"/>
        <v>0</v>
      </c>
      <c r="O161" s="64">
        <f t="shared" si="93"/>
        <v>0</v>
      </c>
    </row>
    <row r="162" spans="1:15" x14ac:dyDescent="0.25">
      <c r="A162" s="27"/>
      <c r="B162" s="14"/>
      <c r="C162" s="41" t="s">
        <v>168</v>
      </c>
      <c r="D162" s="111">
        <f>IFERROR(E145/E$146,0)</f>
        <v>0</v>
      </c>
      <c r="E162" s="64">
        <f t="shared" si="92"/>
        <v>0</v>
      </c>
      <c r="F162" s="64">
        <f t="shared" si="92"/>
        <v>0</v>
      </c>
      <c r="G162" s="64">
        <f t="shared" si="92"/>
        <v>0</v>
      </c>
      <c r="H162" s="64">
        <f t="shared" si="92"/>
        <v>0</v>
      </c>
      <c r="I162" s="64">
        <f t="shared" si="92"/>
        <v>0</v>
      </c>
      <c r="J162" s="64">
        <f t="shared" si="92"/>
        <v>0</v>
      </c>
      <c r="K162" s="64">
        <f t="shared" si="92"/>
        <v>0</v>
      </c>
      <c r="L162" s="64">
        <f t="shared" si="93"/>
        <v>0</v>
      </c>
      <c r="M162" s="64">
        <f t="shared" si="93"/>
        <v>0</v>
      </c>
      <c r="N162" s="64">
        <f t="shared" si="93"/>
        <v>0</v>
      </c>
      <c r="O162" s="64">
        <f t="shared" si="93"/>
        <v>0</v>
      </c>
    </row>
    <row r="163" spans="1:15" s="80" customFormat="1" x14ac:dyDescent="0.25">
      <c r="A163" s="92"/>
      <c r="B163" s="159"/>
      <c r="C163" s="690" t="s">
        <v>295</v>
      </c>
      <c r="D163" s="691"/>
      <c r="E163" s="81">
        <f>IF(E146+E147&gt;Population!E$30,Population!E$30,E146)</f>
        <v>0</v>
      </c>
      <c r="F163" s="81">
        <f>IF(F146+F147&gt;Population!F$30,Population!F$30,F146)</f>
        <v>0</v>
      </c>
      <c r="G163" s="81">
        <f>IF(G146+G147&gt;Population!G$30,Population!G$30,G146)</f>
        <v>0</v>
      </c>
      <c r="H163" s="81">
        <f>IF(H146+H147&gt;Population!H$30,Population!H$30,H146)</f>
        <v>0</v>
      </c>
      <c r="I163" s="81">
        <f>IF(I146+I147&gt;Population!I$30,Population!I$30,I146)</f>
        <v>0</v>
      </c>
      <c r="J163" s="81">
        <f>IF(J146+J147&gt;Population!J$30,Population!J$30,J146)</f>
        <v>0</v>
      </c>
      <c r="K163" s="81">
        <f>IF(K146+K147&gt;Population!K$30,Population!K$30,K146)</f>
        <v>0</v>
      </c>
      <c r="L163" s="81">
        <f>IF(L146+L147&gt;Population!L$30,Population!L$30,L146)</f>
        <v>0</v>
      </c>
      <c r="M163" s="81">
        <f>IF(M146+M147&gt;Population!M$30,Population!M$30,M146)</f>
        <v>0</v>
      </c>
      <c r="N163" s="81">
        <f>IF(N146+N147&gt;Population!N$30,Population!N$30,N146)</f>
        <v>0</v>
      </c>
      <c r="O163" s="81">
        <f>IF(O146+O147&gt;Population!O$30,Population!O$30,O146)</f>
        <v>0</v>
      </c>
    </row>
    <row r="164" spans="1:15" s="53" customFormat="1" x14ac:dyDescent="0.25">
      <c r="A164" s="49"/>
      <c r="B164" s="30"/>
      <c r="C164" s="74" t="s">
        <v>269</v>
      </c>
      <c r="D164" s="112">
        <f>D147</f>
        <v>0</v>
      </c>
      <c r="E164" s="64">
        <f>E147</f>
        <v>0</v>
      </c>
      <c r="F164" s="64">
        <f t="shared" ref="F164:O164" si="94">F147</f>
        <v>0</v>
      </c>
      <c r="G164" s="64">
        <f t="shared" si="94"/>
        <v>0</v>
      </c>
      <c r="H164" s="64">
        <f t="shared" si="94"/>
        <v>0</v>
      </c>
      <c r="I164" s="64">
        <f t="shared" si="94"/>
        <v>0</v>
      </c>
      <c r="J164" s="64">
        <f t="shared" si="94"/>
        <v>0</v>
      </c>
      <c r="K164" s="64">
        <f t="shared" si="94"/>
        <v>0</v>
      </c>
      <c r="L164" s="64">
        <f t="shared" si="94"/>
        <v>0</v>
      </c>
      <c r="M164" s="64">
        <f t="shared" si="94"/>
        <v>0</v>
      </c>
      <c r="N164" s="64">
        <f t="shared" si="94"/>
        <v>0</v>
      </c>
      <c r="O164" s="64">
        <f t="shared" si="94"/>
        <v>0</v>
      </c>
    </row>
    <row r="165" spans="1:15" s="53" customFormat="1" x14ac:dyDescent="0.25">
      <c r="A165" s="49"/>
      <c r="B165" s="30"/>
      <c r="C165" s="74" t="s">
        <v>317</v>
      </c>
      <c r="D165" s="112">
        <f>D148</f>
        <v>0</v>
      </c>
      <c r="E165" s="64">
        <f>E148</f>
        <v>0</v>
      </c>
      <c r="F165" s="64">
        <f t="shared" ref="F165:O165" si="95">F148</f>
        <v>0</v>
      </c>
      <c r="G165" s="64">
        <f t="shared" si="95"/>
        <v>0</v>
      </c>
      <c r="H165" s="64">
        <f t="shared" si="95"/>
        <v>0</v>
      </c>
      <c r="I165" s="64">
        <f t="shared" si="95"/>
        <v>0</v>
      </c>
      <c r="J165" s="64">
        <f t="shared" si="95"/>
        <v>0</v>
      </c>
      <c r="K165" s="64">
        <f t="shared" si="95"/>
        <v>0</v>
      </c>
      <c r="L165" s="64">
        <f t="shared" si="95"/>
        <v>0</v>
      </c>
      <c r="M165" s="64">
        <f t="shared" si="95"/>
        <v>0</v>
      </c>
      <c r="N165" s="64">
        <f t="shared" si="95"/>
        <v>0</v>
      </c>
      <c r="O165" s="64">
        <f t="shared" si="95"/>
        <v>0</v>
      </c>
    </row>
    <row r="166" spans="1:15" x14ac:dyDescent="0.25">
      <c r="A166" s="48"/>
      <c r="B166" s="39"/>
      <c r="C166" s="50"/>
      <c r="D166" s="99"/>
      <c r="E166" s="67"/>
      <c r="F166" s="67"/>
      <c r="G166" s="67"/>
      <c r="H166" s="67"/>
      <c r="I166" s="67"/>
      <c r="J166" s="67"/>
      <c r="K166" s="67"/>
      <c r="L166" s="67"/>
      <c r="M166" s="67"/>
      <c r="N166" s="67"/>
      <c r="O166" s="67"/>
    </row>
    <row r="167" spans="1:15" s="123" customFormat="1" x14ac:dyDescent="0.25">
      <c r="A167" s="129"/>
      <c r="B167" s="130"/>
      <c r="C167" s="131" t="s">
        <v>296</v>
      </c>
      <c r="D167" s="110"/>
      <c r="E167" s="130">
        <f>IFERROR((E$140+E$146+E$147+E$148)/Population!E$31,0)</f>
        <v>0</v>
      </c>
      <c r="F167" s="130">
        <f>IFERROR((F$140+F$146+F$147+F$148)/Population!F$31,0)</f>
        <v>0</v>
      </c>
      <c r="G167" s="130">
        <f>IFERROR((G$140+G$146+G$147+G$148)/Population!G$31,0)</f>
        <v>0</v>
      </c>
      <c r="H167" s="130">
        <f>IFERROR((H$140+H$146+H$147+H$148)/Population!H$31,0)</f>
        <v>0</v>
      </c>
      <c r="I167" s="130">
        <f>IFERROR((I$140+I$146+I$147+I$148)/Population!I$31,0)</f>
        <v>0</v>
      </c>
      <c r="J167" s="130">
        <f>IFERROR((J$140+J$146+J$147+J$148)/Population!J$31,0)</f>
        <v>0</v>
      </c>
      <c r="K167" s="130">
        <f>IFERROR((K$140+K$146+K$147+K$148)/Population!K$31,0)</f>
        <v>0</v>
      </c>
      <c r="L167" s="130">
        <f>IFERROR((L$140+L$146+L$147+L$148)/Population!L$31,0)</f>
        <v>0</v>
      </c>
      <c r="M167" s="130">
        <f>IFERROR((M$140+M$146+M$147+M$148)/Population!M$31,0)</f>
        <v>0</v>
      </c>
      <c r="N167" s="130">
        <f>IFERROR((N$140+N$146+N$147+N$148)/Population!N$31,0)</f>
        <v>0</v>
      </c>
      <c r="O167" s="130">
        <f>IFERROR((O$140+O$146+O$147+O$148)/Population!O$31,0)</f>
        <v>0</v>
      </c>
    </row>
    <row r="168" spans="1:15" s="123" customFormat="1" x14ac:dyDescent="0.25">
      <c r="A168" s="129"/>
      <c r="B168" s="130"/>
      <c r="C168" s="131" t="s">
        <v>297</v>
      </c>
      <c r="D168" s="110"/>
      <c r="E168" s="130">
        <f>IFERROR((E$146+E$147+E$148)/Population!E$30,0)</f>
        <v>0</v>
      </c>
      <c r="F168" s="130">
        <f>IFERROR((F$146+F$147+F$148)/Population!F$30,0)</f>
        <v>0</v>
      </c>
      <c r="G168" s="130">
        <f>IFERROR((G$146+G$147+G$148)/Population!G$30,0)</f>
        <v>0</v>
      </c>
      <c r="H168" s="130">
        <f>IFERROR((H$146+H$147+H$148)/Population!H$30,0)</f>
        <v>0</v>
      </c>
      <c r="I168" s="130">
        <f>IFERROR((I$146+I$147+I$148)/Population!I$30,0)</f>
        <v>0</v>
      </c>
      <c r="J168" s="130">
        <f>IFERROR((J$146+J$147+J$148)/Population!J$30,0)</f>
        <v>0</v>
      </c>
      <c r="K168" s="130">
        <f>IFERROR((K$146+K$147+K$148)/Population!K$30,0)</f>
        <v>0</v>
      </c>
      <c r="L168" s="130">
        <f>IFERROR((L$146+L$147+L$148)/Population!L$30,0)</f>
        <v>0</v>
      </c>
      <c r="M168" s="130">
        <f>IFERROR((M$146+M$147+M$148)/Population!M$30,0)</f>
        <v>0</v>
      </c>
      <c r="N168" s="130">
        <f>IFERROR((N$146+N$147+N$148)/Population!N$30,0)</f>
        <v>0</v>
      </c>
      <c r="O168" s="130">
        <f>IFERROR((O$146+O$147+O$148)/Population!O$30,0)</f>
        <v>0</v>
      </c>
    </row>
    <row r="169" spans="1:15" x14ac:dyDescent="0.25">
      <c r="A169" s="48"/>
      <c r="B169" s="39"/>
      <c r="C169" s="50"/>
      <c r="D169" s="99"/>
      <c r="E169" s="67"/>
      <c r="F169" s="67"/>
      <c r="G169" s="67"/>
      <c r="H169" s="67"/>
      <c r="I169" s="67"/>
      <c r="J169" s="67"/>
      <c r="K169" s="67"/>
      <c r="L169" s="67"/>
      <c r="M169" s="67"/>
      <c r="N169" s="67"/>
      <c r="O169" s="67"/>
    </row>
    <row r="170" spans="1:15" s="80" customFormat="1" x14ac:dyDescent="0.25">
      <c r="A170" s="770"/>
      <c r="B170" s="742"/>
      <c r="C170" s="763" t="s">
        <v>318</v>
      </c>
      <c r="D170" s="764"/>
      <c r="E170" s="747">
        <f>MIN(IFERROR((E$157+E$163)/Population!E$31,0),100%)</f>
        <v>0</v>
      </c>
      <c r="F170" s="747">
        <f>MIN(IFERROR((F$157+F$163)/Population!F$31,0),100%)</f>
        <v>0</v>
      </c>
      <c r="G170" s="747">
        <f>MIN(IFERROR((G$157+G$163)/Population!G$31,0),100%)</f>
        <v>0</v>
      </c>
      <c r="H170" s="747">
        <f>MIN(IFERROR((H$157+H$163)/Population!H$31,0),100%)</f>
        <v>0</v>
      </c>
      <c r="I170" s="747">
        <f>MIN(IFERROR((I$157+I$163)/Population!I$31,0),100%)</f>
        <v>0</v>
      </c>
      <c r="J170" s="747">
        <f>MIN(IFERROR((J$157+J$163)/Population!J$31,0),100%)</f>
        <v>0</v>
      </c>
      <c r="K170" s="747">
        <f>MIN(IFERROR((K$157+K$163)/Population!K$31,0),100%)</f>
        <v>0</v>
      </c>
      <c r="L170" s="747">
        <f>MIN(IFERROR((L$157+L$163)/Population!L$31,0),100%)</f>
        <v>0</v>
      </c>
      <c r="M170" s="747">
        <f>MIN(IFERROR((M$157+M$163)/Population!M$31,0),100%)</f>
        <v>0</v>
      </c>
      <c r="N170" s="747">
        <f>MIN(IFERROR((N$157+N$163)/Population!N$31,0),100%)</f>
        <v>0</v>
      </c>
      <c r="O170" s="747">
        <f>MIN(IFERROR((O$157+O$163)/Population!O$31,0),100%)</f>
        <v>0</v>
      </c>
    </row>
    <row r="171" spans="1:15" s="80" customFormat="1" x14ac:dyDescent="0.25">
      <c r="A171" s="770"/>
      <c r="B171" s="742"/>
      <c r="C171" s="763" t="s">
        <v>319</v>
      </c>
      <c r="D171" s="764"/>
      <c r="E171" s="747">
        <f>MIN(IFERROR((E$163)/Population!E$30,0),100%)</f>
        <v>0</v>
      </c>
      <c r="F171" s="747">
        <f>MIN(IFERROR((F$163)/Population!F$30,0),100%)</f>
        <v>0</v>
      </c>
      <c r="G171" s="747">
        <f>MIN(IFERROR((G$163)/Population!G$30,0),100%)</f>
        <v>0</v>
      </c>
      <c r="H171" s="747">
        <f>MIN(IFERROR((H$163)/Population!H$30,0),100%)</f>
        <v>0</v>
      </c>
      <c r="I171" s="747">
        <f>MIN(IFERROR((I$163)/Population!I$30,0),100%)</f>
        <v>0</v>
      </c>
      <c r="J171" s="747">
        <f>MIN(IFERROR((J$163)/Population!J$30,0),100%)</f>
        <v>0</v>
      </c>
      <c r="K171" s="747">
        <f>MIN(IFERROR((K$163)/Population!K$30,0),100%)</f>
        <v>0</v>
      </c>
      <c r="L171" s="747">
        <f>MIN(IFERROR((L$163)/Population!L$30,0),100%)</f>
        <v>0</v>
      </c>
      <c r="M171" s="747">
        <f>MIN(IFERROR((M$163)/Population!M$30,0),100%)</f>
        <v>0</v>
      </c>
      <c r="N171" s="747">
        <f>MIN(IFERROR((N$163)/Population!N$30,0),100%)</f>
        <v>0</v>
      </c>
      <c r="O171" s="747">
        <f>MIN(IFERROR((O$163)/Population!O$30,0),100%)</f>
        <v>0</v>
      </c>
    </row>
    <row r="172" spans="1:15" s="80" customFormat="1" ht="30" x14ac:dyDescent="0.25">
      <c r="A172" s="770"/>
      <c r="B172" s="742"/>
      <c r="C172" s="763" t="s">
        <v>320</v>
      </c>
      <c r="D172" s="764"/>
      <c r="E172" s="747">
        <f>MIN(IFERROR((E$157+E$163+E$164+E$165)/Population!E$31,0),100%)</f>
        <v>0</v>
      </c>
      <c r="F172" s="747">
        <f>MIN(IFERROR((F$157+F$163+F$164+F$165)/Population!F$31,0),100%)</f>
        <v>0</v>
      </c>
      <c r="G172" s="747">
        <f>MIN(IFERROR((G$157+G$163+G$164+G$165)/Population!G$31,0),100%)</f>
        <v>0</v>
      </c>
      <c r="H172" s="747">
        <f>MIN(IFERROR((H$157+H$163+H$164+H$165)/Population!H$31,0),100%)</f>
        <v>0</v>
      </c>
      <c r="I172" s="747">
        <f>MIN(IFERROR((I$157+I$163+I$164+I$165)/Population!I$31,0),100%)</f>
        <v>0</v>
      </c>
      <c r="J172" s="747">
        <f>MIN(IFERROR((J$157+J$163+J$164+J$165)/Population!J$31,0),100%)</f>
        <v>0</v>
      </c>
      <c r="K172" s="747">
        <f>MIN(IFERROR((K$157+K$163+K$164+K$165)/Population!K$31,0),100%)</f>
        <v>0</v>
      </c>
      <c r="L172" s="747">
        <f>MIN(IFERROR((L$157+L$163+L$164+L$165)/Population!L$31,0),100%)</f>
        <v>0</v>
      </c>
      <c r="M172" s="747">
        <f>MIN(IFERROR((M$157+M$163+M$164+M$165)/Population!M$31,0),100%)</f>
        <v>0</v>
      </c>
      <c r="N172" s="747">
        <f>MIN(IFERROR((N$157+N$163+N$164+N$165)/Population!N$31,0),100%)</f>
        <v>0</v>
      </c>
      <c r="O172" s="747">
        <f>MIN(IFERROR((O$157+O$163+O$164+O$165)/Population!O$31,0),100%)</f>
        <v>0</v>
      </c>
    </row>
    <row r="173" spans="1:15" s="80" customFormat="1" x14ac:dyDescent="0.25">
      <c r="A173" s="770"/>
      <c r="B173" s="742"/>
      <c r="C173" s="763" t="s">
        <v>1338</v>
      </c>
      <c r="D173" s="764">
        <f>'WSS Profile'!G36</f>
        <v>0</v>
      </c>
      <c r="E173" s="747">
        <f>MIN(IFERROR(E76/$D$173,0),100%)</f>
        <v>0</v>
      </c>
      <c r="F173" s="747">
        <f t="shared" ref="F173:O173" si="96">MIN(IFERROR(F76/$D$173,0),100%)</f>
        <v>0</v>
      </c>
      <c r="G173" s="747">
        <f t="shared" si="96"/>
        <v>0</v>
      </c>
      <c r="H173" s="747">
        <f t="shared" si="96"/>
        <v>0</v>
      </c>
      <c r="I173" s="747">
        <f t="shared" si="96"/>
        <v>0</v>
      </c>
      <c r="J173" s="747">
        <f t="shared" si="96"/>
        <v>0</v>
      </c>
      <c r="K173" s="747">
        <f t="shared" si="96"/>
        <v>0</v>
      </c>
      <c r="L173" s="747">
        <f t="shared" si="96"/>
        <v>0</v>
      </c>
      <c r="M173" s="747">
        <f t="shared" si="96"/>
        <v>0</v>
      </c>
      <c r="N173" s="747">
        <f t="shared" si="96"/>
        <v>0</v>
      </c>
      <c r="O173" s="747">
        <f t="shared" si="96"/>
        <v>0</v>
      </c>
    </row>
    <row r="174" spans="1:15" x14ac:dyDescent="0.25">
      <c r="A174" s="48"/>
      <c r="B174" s="39"/>
      <c r="C174" s="50"/>
      <c r="D174" s="99"/>
      <c r="E174" s="67"/>
      <c r="F174" s="67"/>
      <c r="G174" s="67"/>
      <c r="H174" s="67"/>
      <c r="I174" s="67"/>
      <c r="J174" s="67"/>
      <c r="K174" s="67"/>
      <c r="L174" s="67"/>
      <c r="M174" s="67"/>
      <c r="N174" s="67"/>
      <c r="O174" s="67"/>
    </row>
    <row r="175" spans="1:15" x14ac:dyDescent="0.25">
      <c r="A175" s="48"/>
      <c r="B175" s="11" t="s">
        <v>610</v>
      </c>
      <c r="C175" s="50"/>
      <c r="D175" s="99"/>
      <c r="E175" s="67"/>
      <c r="F175" s="67"/>
      <c r="G175" s="67"/>
      <c r="H175" s="67"/>
      <c r="I175" s="67"/>
      <c r="J175" s="67"/>
      <c r="K175" s="67"/>
      <c r="L175" s="67"/>
      <c r="M175" s="67"/>
      <c r="N175" s="67"/>
      <c r="O175" s="67"/>
    </row>
    <row r="176" spans="1:15" x14ac:dyDescent="0.25">
      <c r="A176" s="27"/>
      <c r="B176" s="19"/>
      <c r="C176" s="18" t="s">
        <v>263</v>
      </c>
      <c r="D176" s="110"/>
      <c r="E176" s="86">
        <f t="shared" ref="E176:O176" si="97">1-SUM(E177:E180)</f>
        <v>1</v>
      </c>
      <c r="F176" s="86">
        <f t="shared" si="97"/>
        <v>1</v>
      </c>
      <c r="G176" s="86">
        <f t="shared" si="97"/>
        <v>1</v>
      </c>
      <c r="H176" s="86">
        <f t="shared" si="97"/>
        <v>1</v>
      </c>
      <c r="I176" s="86">
        <f t="shared" si="97"/>
        <v>1</v>
      </c>
      <c r="J176" s="86">
        <f t="shared" si="97"/>
        <v>1</v>
      </c>
      <c r="K176" s="86">
        <f t="shared" si="97"/>
        <v>1</v>
      </c>
      <c r="L176" s="86">
        <f t="shared" si="97"/>
        <v>1</v>
      </c>
      <c r="M176" s="86">
        <f t="shared" si="97"/>
        <v>1</v>
      </c>
      <c r="N176" s="86">
        <f t="shared" si="97"/>
        <v>1</v>
      </c>
      <c r="O176" s="86">
        <f t="shared" si="97"/>
        <v>1</v>
      </c>
    </row>
    <row r="177" spans="1:15" x14ac:dyDescent="0.25">
      <c r="A177" s="27"/>
      <c r="B177" s="19"/>
      <c r="C177" s="18" t="s">
        <v>259</v>
      </c>
      <c r="D177" s="110"/>
      <c r="E177" s="78">
        <f t="shared" ref="E177:O177" si="98">E125</f>
        <v>0</v>
      </c>
      <c r="F177" s="78">
        <f t="shared" si="98"/>
        <v>0</v>
      </c>
      <c r="G177" s="78">
        <f t="shared" si="98"/>
        <v>0</v>
      </c>
      <c r="H177" s="78">
        <f t="shared" si="98"/>
        <v>0</v>
      </c>
      <c r="I177" s="78">
        <f t="shared" si="98"/>
        <v>0</v>
      </c>
      <c r="J177" s="78">
        <f t="shared" si="98"/>
        <v>0</v>
      </c>
      <c r="K177" s="78">
        <f t="shared" si="98"/>
        <v>0</v>
      </c>
      <c r="L177" s="78">
        <f t="shared" si="98"/>
        <v>0</v>
      </c>
      <c r="M177" s="78">
        <f t="shared" si="98"/>
        <v>0</v>
      </c>
      <c r="N177" s="78">
        <f t="shared" si="98"/>
        <v>0</v>
      </c>
      <c r="O177" s="78">
        <f t="shared" si="98"/>
        <v>0</v>
      </c>
    </row>
    <row r="178" spans="1:15" x14ac:dyDescent="0.25">
      <c r="A178" s="27"/>
      <c r="B178" s="19"/>
      <c r="C178" s="18" t="s">
        <v>26</v>
      </c>
      <c r="D178" s="110"/>
      <c r="E178" s="78">
        <f t="shared" ref="E178:O178" si="99">E126</f>
        <v>0</v>
      </c>
      <c r="F178" s="78">
        <f t="shared" si="99"/>
        <v>0</v>
      </c>
      <c r="G178" s="78">
        <f t="shared" si="99"/>
        <v>0</v>
      </c>
      <c r="H178" s="78">
        <f t="shared" si="99"/>
        <v>0</v>
      </c>
      <c r="I178" s="78">
        <f t="shared" si="99"/>
        <v>0</v>
      </c>
      <c r="J178" s="78">
        <f t="shared" si="99"/>
        <v>0</v>
      </c>
      <c r="K178" s="78">
        <f t="shared" si="99"/>
        <v>0</v>
      </c>
      <c r="L178" s="78">
        <f t="shared" si="99"/>
        <v>0</v>
      </c>
      <c r="M178" s="78">
        <f t="shared" si="99"/>
        <v>0</v>
      </c>
      <c r="N178" s="78">
        <f t="shared" si="99"/>
        <v>0</v>
      </c>
      <c r="O178" s="78">
        <f t="shared" si="99"/>
        <v>0</v>
      </c>
    </row>
    <row r="179" spans="1:15" x14ac:dyDescent="0.25">
      <c r="A179" s="27"/>
      <c r="B179" s="19"/>
      <c r="C179" s="18" t="s">
        <v>256</v>
      </c>
      <c r="D179" s="110"/>
      <c r="E179" s="78">
        <f t="shared" ref="E179:O179" si="100">E127</f>
        <v>0</v>
      </c>
      <c r="F179" s="78">
        <f t="shared" si="100"/>
        <v>0</v>
      </c>
      <c r="G179" s="78">
        <f t="shared" si="100"/>
        <v>0</v>
      </c>
      <c r="H179" s="78">
        <f t="shared" si="100"/>
        <v>0</v>
      </c>
      <c r="I179" s="78">
        <f t="shared" si="100"/>
        <v>0</v>
      </c>
      <c r="J179" s="78">
        <f t="shared" si="100"/>
        <v>0</v>
      </c>
      <c r="K179" s="78">
        <f t="shared" si="100"/>
        <v>0</v>
      </c>
      <c r="L179" s="78">
        <f t="shared" si="100"/>
        <v>0</v>
      </c>
      <c r="M179" s="78">
        <f t="shared" si="100"/>
        <v>0</v>
      </c>
      <c r="N179" s="78">
        <f t="shared" si="100"/>
        <v>0</v>
      </c>
      <c r="O179" s="78">
        <f t="shared" si="100"/>
        <v>0</v>
      </c>
    </row>
    <row r="180" spans="1:15" x14ac:dyDescent="0.25">
      <c r="A180" s="27"/>
      <c r="B180" s="19"/>
      <c r="C180" s="18" t="s">
        <v>255</v>
      </c>
      <c r="D180" s="110"/>
      <c r="E180" s="78">
        <f t="shared" ref="E180:O180" si="101">E128</f>
        <v>0</v>
      </c>
      <c r="F180" s="78">
        <f t="shared" si="101"/>
        <v>0</v>
      </c>
      <c r="G180" s="78">
        <f t="shared" si="101"/>
        <v>0</v>
      </c>
      <c r="H180" s="78">
        <f t="shared" si="101"/>
        <v>0</v>
      </c>
      <c r="I180" s="78">
        <f t="shared" si="101"/>
        <v>0</v>
      </c>
      <c r="J180" s="78">
        <f t="shared" si="101"/>
        <v>0</v>
      </c>
      <c r="K180" s="78">
        <f t="shared" si="101"/>
        <v>0</v>
      </c>
      <c r="L180" s="78">
        <f t="shared" si="101"/>
        <v>0</v>
      </c>
      <c r="M180" s="78">
        <f t="shared" si="101"/>
        <v>0</v>
      </c>
      <c r="N180" s="78">
        <f t="shared" si="101"/>
        <v>0</v>
      </c>
      <c r="O180" s="78">
        <f t="shared" si="101"/>
        <v>0</v>
      </c>
    </row>
    <row r="181" spans="1:15" x14ac:dyDescent="0.25">
      <c r="A181" s="48"/>
      <c r="B181" s="39"/>
      <c r="C181" s="70"/>
      <c r="D181" s="99"/>
      <c r="E181" s="67"/>
      <c r="F181" s="67"/>
      <c r="G181" s="67"/>
      <c r="H181" s="67"/>
      <c r="I181" s="67"/>
      <c r="J181" s="67"/>
      <c r="K181" s="67"/>
      <c r="L181" s="67"/>
      <c r="M181" s="67"/>
      <c r="N181" s="67"/>
      <c r="O181" s="67"/>
    </row>
    <row r="182" spans="1:15" x14ac:dyDescent="0.25">
      <c r="A182" s="11" t="s">
        <v>13</v>
      </c>
      <c r="B182" s="11" t="s">
        <v>299</v>
      </c>
      <c r="C182" s="309"/>
      <c r="E182" s="65"/>
      <c r="F182" s="65"/>
      <c r="G182" s="65"/>
      <c r="H182" s="65"/>
      <c r="I182" s="65"/>
      <c r="J182" s="65"/>
      <c r="K182" s="65"/>
      <c r="L182" s="65"/>
      <c r="M182" s="65"/>
      <c r="N182" s="65"/>
      <c r="O182" s="65"/>
    </row>
    <row r="183" spans="1:15" x14ac:dyDescent="0.25">
      <c r="B183" s="13" t="s">
        <v>3</v>
      </c>
      <c r="C183" s="310" t="s">
        <v>4</v>
      </c>
      <c r="D183" s="13" t="s">
        <v>33</v>
      </c>
      <c r="E183" s="13">
        <f>E$3</f>
        <v>2014</v>
      </c>
      <c r="F183" s="13">
        <f t="shared" ref="F183:O183" si="102">F$3</f>
        <v>2015</v>
      </c>
      <c r="G183" s="13">
        <f t="shared" si="102"/>
        <v>2016</v>
      </c>
      <c r="H183" s="13">
        <f t="shared" si="102"/>
        <v>2017</v>
      </c>
      <c r="I183" s="13">
        <f t="shared" si="102"/>
        <v>2018</v>
      </c>
      <c r="J183" s="13">
        <f t="shared" si="102"/>
        <v>2019</v>
      </c>
      <c r="K183" s="13">
        <f t="shared" si="102"/>
        <v>2020</v>
      </c>
      <c r="L183" s="13">
        <f t="shared" si="102"/>
        <v>2021</v>
      </c>
      <c r="M183" s="13">
        <f t="shared" si="102"/>
        <v>2022</v>
      </c>
      <c r="N183" s="13">
        <f t="shared" si="102"/>
        <v>2023</v>
      </c>
      <c r="O183" s="13">
        <f t="shared" si="102"/>
        <v>2024</v>
      </c>
    </row>
    <row r="184" spans="1:15" x14ac:dyDescent="0.25">
      <c r="A184" s="48"/>
      <c r="B184" s="39">
        <v>1</v>
      </c>
      <c r="C184" s="320" t="s">
        <v>258</v>
      </c>
      <c r="D184" s="115"/>
      <c r="E184" s="133">
        <f>SUM(E185:E188)</f>
        <v>0</v>
      </c>
      <c r="F184" s="133">
        <f t="shared" ref="F184:O184" si="103">SUM(F185:F188)</f>
        <v>0</v>
      </c>
      <c r="G184" s="133">
        <f t="shared" si="103"/>
        <v>0</v>
      </c>
      <c r="H184" s="133">
        <f t="shared" si="103"/>
        <v>0</v>
      </c>
      <c r="I184" s="133">
        <f t="shared" si="103"/>
        <v>0</v>
      </c>
      <c r="J184" s="133">
        <f t="shared" si="103"/>
        <v>0</v>
      </c>
      <c r="K184" s="133">
        <f t="shared" si="103"/>
        <v>0</v>
      </c>
      <c r="L184" s="133">
        <f t="shared" si="103"/>
        <v>0</v>
      </c>
      <c r="M184" s="133">
        <f t="shared" si="103"/>
        <v>0</v>
      </c>
      <c r="N184" s="133">
        <f t="shared" si="103"/>
        <v>0</v>
      </c>
      <c r="O184" s="133">
        <f t="shared" si="103"/>
        <v>0</v>
      </c>
    </row>
    <row r="185" spans="1:15" x14ac:dyDescent="0.25">
      <c r="A185" s="27"/>
      <c r="B185" s="19">
        <v>1.1000000000000001</v>
      </c>
      <c r="C185" s="18" t="s">
        <v>23</v>
      </c>
      <c r="D185" s="117">
        <f>D136</f>
        <v>0</v>
      </c>
      <c r="E185" s="14">
        <f t="shared" ref="E185:O185" si="104">IFERROR(E153/$D185,0)</f>
        <v>0</v>
      </c>
      <c r="F185" s="14">
        <f t="shared" si="104"/>
        <v>0</v>
      </c>
      <c r="G185" s="14">
        <f t="shared" si="104"/>
        <v>0</v>
      </c>
      <c r="H185" s="14">
        <f t="shared" si="104"/>
        <v>0</v>
      </c>
      <c r="I185" s="14">
        <f t="shared" si="104"/>
        <v>0</v>
      </c>
      <c r="J185" s="14">
        <f t="shared" si="104"/>
        <v>0</v>
      </c>
      <c r="K185" s="14">
        <f t="shared" si="104"/>
        <v>0</v>
      </c>
      <c r="L185" s="14">
        <f t="shared" si="104"/>
        <v>0</v>
      </c>
      <c r="M185" s="14">
        <f t="shared" si="104"/>
        <v>0</v>
      </c>
      <c r="N185" s="14">
        <f t="shared" si="104"/>
        <v>0</v>
      </c>
      <c r="O185" s="14">
        <f t="shared" si="104"/>
        <v>0</v>
      </c>
    </row>
    <row r="186" spans="1:15" x14ac:dyDescent="0.25">
      <c r="A186" s="27"/>
      <c r="B186" s="19">
        <v>1.2</v>
      </c>
      <c r="C186" s="18" t="s">
        <v>24</v>
      </c>
      <c r="D186" s="117">
        <f>D137</f>
        <v>0</v>
      </c>
      <c r="E186" s="14">
        <f t="shared" ref="E186:O186" si="105">IFERROR(E154/$D186,0)</f>
        <v>0</v>
      </c>
      <c r="F186" s="14">
        <f t="shared" si="105"/>
        <v>0</v>
      </c>
      <c r="G186" s="14">
        <f t="shared" si="105"/>
        <v>0</v>
      </c>
      <c r="H186" s="14">
        <f t="shared" si="105"/>
        <v>0</v>
      </c>
      <c r="I186" s="14">
        <f t="shared" si="105"/>
        <v>0</v>
      </c>
      <c r="J186" s="14">
        <f t="shared" si="105"/>
        <v>0</v>
      </c>
      <c r="K186" s="14">
        <f t="shared" si="105"/>
        <v>0</v>
      </c>
      <c r="L186" s="14">
        <f t="shared" si="105"/>
        <v>0</v>
      </c>
      <c r="M186" s="14">
        <f t="shared" si="105"/>
        <v>0</v>
      </c>
      <c r="N186" s="14">
        <f t="shared" si="105"/>
        <v>0</v>
      </c>
      <c r="O186" s="14">
        <f t="shared" si="105"/>
        <v>0</v>
      </c>
    </row>
    <row r="187" spans="1:15" x14ac:dyDescent="0.25">
      <c r="A187" s="27"/>
      <c r="B187" s="19">
        <v>1.3</v>
      </c>
      <c r="C187" s="18" t="s">
        <v>25</v>
      </c>
      <c r="D187" s="117">
        <f>D138</f>
        <v>0</v>
      </c>
      <c r="E187" s="14">
        <f t="shared" ref="E187:O187" si="106">IFERROR(E155/$D187,0)</f>
        <v>0</v>
      </c>
      <c r="F187" s="14">
        <f t="shared" si="106"/>
        <v>0</v>
      </c>
      <c r="G187" s="14">
        <f t="shared" si="106"/>
        <v>0</v>
      </c>
      <c r="H187" s="14">
        <f t="shared" si="106"/>
        <v>0</v>
      </c>
      <c r="I187" s="14">
        <f t="shared" si="106"/>
        <v>0</v>
      </c>
      <c r="J187" s="14">
        <f t="shared" si="106"/>
        <v>0</v>
      </c>
      <c r="K187" s="14">
        <f t="shared" si="106"/>
        <v>0</v>
      </c>
      <c r="L187" s="14">
        <f t="shared" si="106"/>
        <v>0</v>
      </c>
      <c r="M187" s="14">
        <f t="shared" si="106"/>
        <v>0</v>
      </c>
      <c r="N187" s="14">
        <f t="shared" si="106"/>
        <v>0</v>
      </c>
      <c r="O187" s="14">
        <f t="shared" si="106"/>
        <v>0</v>
      </c>
    </row>
    <row r="188" spans="1:15" x14ac:dyDescent="0.25">
      <c r="A188" s="27"/>
      <c r="B188" s="19">
        <v>1.4</v>
      </c>
      <c r="C188" s="18" t="s">
        <v>168</v>
      </c>
      <c r="D188" s="117">
        <f>D139</f>
        <v>0</v>
      </c>
      <c r="E188" s="14">
        <f t="shared" ref="E188:O188" si="107">IFERROR(E156/$D188,0)</f>
        <v>0</v>
      </c>
      <c r="F188" s="14">
        <f t="shared" si="107"/>
        <v>0</v>
      </c>
      <c r="G188" s="14">
        <f t="shared" si="107"/>
        <v>0</v>
      </c>
      <c r="H188" s="14">
        <f t="shared" si="107"/>
        <v>0</v>
      </c>
      <c r="I188" s="14">
        <f t="shared" si="107"/>
        <v>0</v>
      </c>
      <c r="J188" s="14">
        <f t="shared" si="107"/>
        <v>0</v>
      </c>
      <c r="K188" s="14">
        <f t="shared" si="107"/>
        <v>0</v>
      </c>
      <c r="L188" s="14">
        <f t="shared" si="107"/>
        <v>0</v>
      </c>
      <c r="M188" s="14">
        <f t="shared" si="107"/>
        <v>0</v>
      </c>
      <c r="N188" s="14">
        <f t="shared" si="107"/>
        <v>0</v>
      </c>
      <c r="O188" s="14">
        <f t="shared" si="107"/>
        <v>0</v>
      </c>
    </row>
    <row r="189" spans="1:15" x14ac:dyDescent="0.25">
      <c r="A189" s="48"/>
      <c r="B189" s="39">
        <v>2</v>
      </c>
      <c r="C189" s="320" t="s">
        <v>257</v>
      </c>
      <c r="D189" s="115"/>
      <c r="E189" s="133">
        <f t="shared" ref="E189:O189" si="108">SUM(E190:E193)</f>
        <v>0</v>
      </c>
      <c r="F189" s="133">
        <f t="shared" si="108"/>
        <v>0</v>
      </c>
      <c r="G189" s="133">
        <f t="shared" si="108"/>
        <v>0</v>
      </c>
      <c r="H189" s="133">
        <f t="shared" si="108"/>
        <v>0</v>
      </c>
      <c r="I189" s="133">
        <f t="shared" si="108"/>
        <v>0</v>
      </c>
      <c r="J189" s="133">
        <f t="shared" si="108"/>
        <v>0</v>
      </c>
      <c r="K189" s="133">
        <f t="shared" si="108"/>
        <v>0</v>
      </c>
      <c r="L189" s="133">
        <f t="shared" si="108"/>
        <v>0</v>
      </c>
      <c r="M189" s="133">
        <f t="shared" si="108"/>
        <v>0</v>
      </c>
      <c r="N189" s="133">
        <f t="shared" si="108"/>
        <v>0</v>
      </c>
      <c r="O189" s="133">
        <f t="shared" si="108"/>
        <v>0</v>
      </c>
    </row>
    <row r="190" spans="1:15" x14ac:dyDescent="0.25">
      <c r="A190" s="27"/>
      <c r="B190" s="19">
        <v>2.1</v>
      </c>
      <c r="C190" s="18" t="s">
        <v>23</v>
      </c>
      <c r="D190" s="117">
        <f>D142</f>
        <v>0</v>
      </c>
      <c r="E190" s="14">
        <f t="shared" ref="E190:O190" si="109">IFERROR(E159/$D190,0)</f>
        <v>0</v>
      </c>
      <c r="F190" s="14">
        <f t="shared" si="109"/>
        <v>0</v>
      </c>
      <c r="G190" s="14">
        <f t="shared" si="109"/>
        <v>0</v>
      </c>
      <c r="H190" s="14">
        <f t="shared" si="109"/>
        <v>0</v>
      </c>
      <c r="I190" s="14">
        <f t="shared" si="109"/>
        <v>0</v>
      </c>
      <c r="J190" s="14">
        <f t="shared" si="109"/>
        <v>0</v>
      </c>
      <c r="K190" s="14">
        <f t="shared" si="109"/>
        <v>0</v>
      </c>
      <c r="L190" s="14">
        <f t="shared" si="109"/>
        <v>0</v>
      </c>
      <c r="M190" s="14">
        <f t="shared" si="109"/>
        <v>0</v>
      </c>
      <c r="N190" s="14">
        <f t="shared" si="109"/>
        <v>0</v>
      </c>
      <c r="O190" s="14">
        <f t="shared" si="109"/>
        <v>0</v>
      </c>
    </row>
    <row r="191" spans="1:15" x14ac:dyDescent="0.25">
      <c r="A191" s="27"/>
      <c r="B191" s="19">
        <v>2.2000000000000002</v>
      </c>
      <c r="C191" s="18" t="s">
        <v>24</v>
      </c>
      <c r="D191" s="117">
        <f>D143</f>
        <v>0</v>
      </c>
      <c r="E191" s="14">
        <f t="shared" ref="E191:O191" si="110">IFERROR(E160/$D191,0)</f>
        <v>0</v>
      </c>
      <c r="F191" s="14">
        <f t="shared" si="110"/>
        <v>0</v>
      </c>
      <c r="G191" s="14">
        <f t="shared" si="110"/>
        <v>0</v>
      </c>
      <c r="H191" s="14">
        <f t="shared" si="110"/>
        <v>0</v>
      </c>
      <c r="I191" s="14">
        <f t="shared" si="110"/>
        <v>0</v>
      </c>
      <c r="J191" s="14">
        <f t="shared" si="110"/>
        <v>0</v>
      </c>
      <c r="K191" s="14">
        <f t="shared" si="110"/>
        <v>0</v>
      </c>
      <c r="L191" s="14">
        <f t="shared" si="110"/>
        <v>0</v>
      </c>
      <c r="M191" s="14">
        <f t="shared" si="110"/>
        <v>0</v>
      </c>
      <c r="N191" s="14">
        <f t="shared" si="110"/>
        <v>0</v>
      </c>
      <c r="O191" s="14">
        <f t="shared" si="110"/>
        <v>0</v>
      </c>
    </row>
    <row r="192" spans="1:15" x14ac:dyDescent="0.25">
      <c r="A192" s="27"/>
      <c r="B192" s="19">
        <v>2.2999999999999998</v>
      </c>
      <c r="C192" s="18" t="s">
        <v>25</v>
      </c>
      <c r="D192" s="117">
        <f>D144</f>
        <v>0</v>
      </c>
      <c r="E192" s="14">
        <f t="shared" ref="E192:O192" si="111">IFERROR(E161/$D192,0)</f>
        <v>0</v>
      </c>
      <c r="F192" s="14">
        <f t="shared" si="111"/>
        <v>0</v>
      </c>
      <c r="G192" s="14">
        <f t="shared" si="111"/>
        <v>0</v>
      </c>
      <c r="H192" s="14">
        <f t="shared" si="111"/>
        <v>0</v>
      </c>
      <c r="I192" s="14">
        <f t="shared" si="111"/>
        <v>0</v>
      </c>
      <c r="J192" s="14">
        <f t="shared" si="111"/>
        <v>0</v>
      </c>
      <c r="K192" s="14">
        <f t="shared" si="111"/>
        <v>0</v>
      </c>
      <c r="L192" s="14">
        <f t="shared" si="111"/>
        <v>0</v>
      </c>
      <c r="M192" s="14">
        <f t="shared" si="111"/>
        <v>0</v>
      </c>
      <c r="N192" s="14">
        <f t="shared" si="111"/>
        <v>0</v>
      </c>
      <c r="O192" s="14">
        <f t="shared" si="111"/>
        <v>0</v>
      </c>
    </row>
    <row r="193" spans="1:18" x14ac:dyDescent="0.25">
      <c r="A193" s="27"/>
      <c r="B193" s="19">
        <v>2.4</v>
      </c>
      <c r="C193" s="18" t="s">
        <v>168</v>
      </c>
      <c r="D193" s="117">
        <f>D145</f>
        <v>0</v>
      </c>
      <c r="E193" s="14">
        <f t="shared" ref="E193:O193" si="112">IFERROR(E162/$D193,0)</f>
        <v>0</v>
      </c>
      <c r="F193" s="14">
        <f t="shared" si="112"/>
        <v>0</v>
      </c>
      <c r="G193" s="14">
        <f t="shared" si="112"/>
        <v>0</v>
      </c>
      <c r="H193" s="14">
        <f t="shared" si="112"/>
        <v>0</v>
      </c>
      <c r="I193" s="14">
        <f t="shared" si="112"/>
        <v>0</v>
      </c>
      <c r="J193" s="14">
        <f t="shared" si="112"/>
        <v>0</v>
      </c>
      <c r="K193" s="14">
        <f t="shared" si="112"/>
        <v>0</v>
      </c>
      <c r="L193" s="14">
        <f t="shared" si="112"/>
        <v>0</v>
      </c>
      <c r="M193" s="14">
        <f t="shared" si="112"/>
        <v>0</v>
      </c>
      <c r="N193" s="14">
        <f t="shared" si="112"/>
        <v>0</v>
      </c>
      <c r="O193" s="14">
        <f t="shared" si="112"/>
        <v>0</v>
      </c>
    </row>
    <row r="194" spans="1:18" x14ac:dyDescent="0.25">
      <c r="A194" s="48"/>
      <c r="B194" s="39">
        <v>3</v>
      </c>
      <c r="C194" s="1132" t="s">
        <v>259</v>
      </c>
      <c r="D194" s="115"/>
      <c r="E194" s="133">
        <f>IFERROR(E$207*E177,0)</f>
        <v>0</v>
      </c>
      <c r="F194" s="133">
        <f t="shared" ref="F194:O194" si="113">IFERROR(F$207*F177,0)</f>
        <v>0</v>
      </c>
      <c r="G194" s="133">
        <f t="shared" si="113"/>
        <v>0</v>
      </c>
      <c r="H194" s="133">
        <f t="shared" si="113"/>
        <v>0</v>
      </c>
      <c r="I194" s="133">
        <f t="shared" si="113"/>
        <v>0</v>
      </c>
      <c r="J194" s="133">
        <f t="shared" si="113"/>
        <v>0</v>
      </c>
      <c r="K194" s="133">
        <f t="shared" si="113"/>
        <v>0</v>
      </c>
      <c r="L194" s="133">
        <f t="shared" si="113"/>
        <v>0</v>
      </c>
      <c r="M194" s="133">
        <f t="shared" si="113"/>
        <v>0</v>
      </c>
      <c r="N194" s="133">
        <f t="shared" si="113"/>
        <v>0</v>
      </c>
      <c r="O194" s="133">
        <f t="shared" si="113"/>
        <v>0</v>
      </c>
    </row>
    <row r="195" spans="1:18" x14ac:dyDescent="0.25">
      <c r="A195" s="27"/>
      <c r="B195" s="19">
        <v>3.1</v>
      </c>
      <c r="C195" s="18" t="s">
        <v>23</v>
      </c>
      <c r="D195" s="109">
        <f>D96</f>
        <v>0</v>
      </c>
      <c r="E195" s="14">
        <f>IFERROR(E$194*$D195,0)</f>
        <v>0</v>
      </c>
      <c r="F195" s="14">
        <f>IFERROR(F$194*$D195,0)</f>
        <v>0</v>
      </c>
      <c r="G195" s="14">
        <f t="shared" ref="G195:O195" si="114">IFERROR(G$194*$D195,0)</f>
        <v>0</v>
      </c>
      <c r="H195" s="14">
        <f t="shared" si="114"/>
        <v>0</v>
      </c>
      <c r="I195" s="14">
        <f t="shared" si="114"/>
        <v>0</v>
      </c>
      <c r="J195" s="14">
        <f t="shared" si="114"/>
        <v>0</v>
      </c>
      <c r="K195" s="14">
        <f t="shared" si="114"/>
        <v>0</v>
      </c>
      <c r="L195" s="14">
        <f t="shared" si="114"/>
        <v>0</v>
      </c>
      <c r="M195" s="14">
        <f t="shared" si="114"/>
        <v>0</v>
      </c>
      <c r="N195" s="14">
        <f t="shared" si="114"/>
        <v>0</v>
      </c>
      <c r="O195" s="14">
        <f t="shared" si="114"/>
        <v>0</v>
      </c>
    </row>
    <row r="196" spans="1:18" x14ac:dyDescent="0.25">
      <c r="A196" s="27"/>
      <c r="B196" s="19">
        <v>3.2</v>
      </c>
      <c r="C196" s="18" t="s">
        <v>24</v>
      </c>
      <c r="D196" s="109">
        <f>D97</f>
        <v>0</v>
      </c>
      <c r="E196" s="14">
        <f t="shared" ref="E196:O198" si="115">IFERROR(E$194*$D196,0)</f>
        <v>0</v>
      </c>
      <c r="F196" s="14">
        <f t="shared" si="115"/>
        <v>0</v>
      </c>
      <c r="G196" s="14">
        <f t="shared" si="115"/>
        <v>0</v>
      </c>
      <c r="H196" s="14">
        <f t="shared" si="115"/>
        <v>0</v>
      </c>
      <c r="I196" s="14">
        <f t="shared" si="115"/>
        <v>0</v>
      </c>
      <c r="J196" s="14">
        <f t="shared" si="115"/>
        <v>0</v>
      </c>
      <c r="K196" s="14">
        <f t="shared" si="115"/>
        <v>0</v>
      </c>
      <c r="L196" s="14">
        <f t="shared" si="115"/>
        <v>0</v>
      </c>
      <c r="M196" s="14">
        <f t="shared" si="115"/>
        <v>0</v>
      </c>
      <c r="N196" s="14">
        <f t="shared" si="115"/>
        <v>0</v>
      </c>
      <c r="O196" s="14">
        <f t="shared" si="115"/>
        <v>0</v>
      </c>
    </row>
    <row r="197" spans="1:18" x14ac:dyDescent="0.25">
      <c r="A197" s="27"/>
      <c r="B197" s="19">
        <v>3.3</v>
      </c>
      <c r="C197" s="18" t="s">
        <v>25</v>
      </c>
      <c r="D197" s="109">
        <f>D98</f>
        <v>0</v>
      </c>
      <c r="E197" s="14">
        <f t="shared" si="115"/>
        <v>0</v>
      </c>
      <c r="F197" s="14">
        <f t="shared" si="115"/>
        <v>0</v>
      </c>
      <c r="G197" s="14">
        <f t="shared" si="115"/>
        <v>0</v>
      </c>
      <c r="H197" s="14">
        <f t="shared" si="115"/>
        <v>0</v>
      </c>
      <c r="I197" s="14">
        <f t="shared" si="115"/>
        <v>0</v>
      </c>
      <c r="J197" s="14">
        <f t="shared" si="115"/>
        <v>0</v>
      </c>
      <c r="K197" s="14">
        <f t="shared" si="115"/>
        <v>0</v>
      </c>
      <c r="L197" s="14">
        <f t="shared" si="115"/>
        <v>0</v>
      </c>
      <c r="M197" s="14">
        <f t="shared" si="115"/>
        <v>0</v>
      </c>
      <c r="N197" s="14">
        <f t="shared" si="115"/>
        <v>0</v>
      </c>
      <c r="O197" s="14">
        <f t="shared" si="115"/>
        <v>0</v>
      </c>
    </row>
    <row r="198" spans="1:18" x14ac:dyDescent="0.25">
      <c r="A198" s="27"/>
      <c r="B198" s="19">
        <v>3.4</v>
      </c>
      <c r="C198" s="18" t="s">
        <v>168</v>
      </c>
      <c r="D198" s="109">
        <f>D99</f>
        <v>0</v>
      </c>
      <c r="E198" s="14">
        <f t="shared" si="115"/>
        <v>0</v>
      </c>
      <c r="F198" s="14">
        <f t="shared" si="115"/>
        <v>0</v>
      </c>
      <c r="G198" s="14">
        <f t="shared" si="115"/>
        <v>0</v>
      </c>
      <c r="H198" s="14">
        <f t="shared" si="115"/>
        <v>0</v>
      </c>
      <c r="I198" s="14">
        <f t="shared" si="115"/>
        <v>0</v>
      </c>
      <c r="J198" s="14">
        <f t="shared" si="115"/>
        <v>0</v>
      </c>
      <c r="K198" s="14">
        <f t="shared" si="115"/>
        <v>0</v>
      </c>
      <c r="L198" s="14">
        <f t="shared" si="115"/>
        <v>0</v>
      </c>
      <c r="M198" s="14">
        <f t="shared" si="115"/>
        <v>0</v>
      </c>
      <c r="N198" s="14">
        <f t="shared" si="115"/>
        <v>0</v>
      </c>
      <c r="O198" s="14">
        <f t="shared" si="115"/>
        <v>0</v>
      </c>
    </row>
    <row r="199" spans="1:18" x14ac:dyDescent="0.25">
      <c r="A199" s="48"/>
      <c r="B199" s="39">
        <v>4</v>
      </c>
      <c r="C199" s="320" t="s">
        <v>26</v>
      </c>
      <c r="D199" s="115"/>
      <c r="E199" s="133">
        <f>IFERROR(E$207*E178,0)</f>
        <v>0</v>
      </c>
      <c r="F199" s="133">
        <f t="shared" ref="F199:N199" si="116">IFERROR(F$207*F178,0)</f>
        <v>0</v>
      </c>
      <c r="G199" s="133">
        <f t="shared" si="116"/>
        <v>0</v>
      </c>
      <c r="H199" s="133">
        <f t="shared" si="116"/>
        <v>0</v>
      </c>
      <c r="I199" s="133">
        <f t="shared" si="116"/>
        <v>0</v>
      </c>
      <c r="J199" s="133">
        <f t="shared" si="116"/>
        <v>0</v>
      </c>
      <c r="K199" s="133">
        <f t="shared" si="116"/>
        <v>0</v>
      </c>
      <c r="L199" s="133">
        <f t="shared" si="116"/>
        <v>0</v>
      </c>
      <c r="M199" s="133">
        <f t="shared" si="116"/>
        <v>0</v>
      </c>
      <c r="N199" s="133">
        <f t="shared" si="116"/>
        <v>0</v>
      </c>
      <c r="O199" s="133">
        <f>IFERROR(O$207*O178,0)</f>
        <v>0</v>
      </c>
      <c r="P199" s="133"/>
      <c r="Q199" s="133"/>
      <c r="R199" s="133"/>
    </row>
    <row r="200" spans="1:18" x14ac:dyDescent="0.25">
      <c r="A200" s="27"/>
      <c r="B200" s="19">
        <v>4.0999999999999996</v>
      </c>
      <c r="C200" s="18" t="s">
        <v>23</v>
      </c>
      <c r="D200" s="109">
        <f>D101</f>
        <v>0</v>
      </c>
      <c r="E200" s="14">
        <f>IFERROR(E$199*$D200,0)</f>
        <v>0</v>
      </c>
      <c r="F200" s="14">
        <f t="shared" ref="F200:O200" si="117">IFERROR(F$199*$D200,0)</f>
        <v>0</v>
      </c>
      <c r="G200" s="14">
        <f t="shared" si="117"/>
        <v>0</v>
      </c>
      <c r="H200" s="14">
        <f t="shared" si="117"/>
        <v>0</v>
      </c>
      <c r="I200" s="14">
        <f t="shared" si="117"/>
        <v>0</v>
      </c>
      <c r="J200" s="14">
        <f t="shared" si="117"/>
        <v>0</v>
      </c>
      <c r="K200" s="14">
        <f t="shared" si="117"/>
        <v>0</v>
      </c>
      <c r="L200" s="14">
        <f t="shared" si="117"/>
        <v>0</v>
      </c>
      <c r="M200" s="14">
        <f t="shared" si="117"/>
        <v>0</v>
      </c>
      <c r="N200" s="14">
        <f t="shared" si="117"/>
        <v>0</v>
      </c>
      <c r="O200" s="14">
        <f t="shared" si="117"/>
        <v>0</v>
      </c>
    </row>
    <row r="201" spans="1:18" x14ac:dyDescent="0.25">
      <c r="A201" s="27"/>
      <c r="B201" s="19">
        <v>4.2</v>
      </c>
      <c r="C201" s="18" t="s">
        <v>24</v>
      </c>
      <c r="D201" s="109">
        <f>D102</f>
        <v>0</v>
      </c>
      <c r="E201" s="14">
        <f t="shared" ref="E201:O203" si="118">IFERROR(E$199*$D201,0)</f>
        <v>0</v>
      </c>
      <c r="F201" s="14">
        <f t="shared" si="118"/>
        <v>0</v>
      </c>
      <c r="G201" s="14">
        <f t="shared" si="118"/>
        <v>0</v>
      </c>
      <c r="H201" s="14">
        <f t="shared" si="118"/>
        <v>0</v>
      </c>
      <c r="I201" s="14">
        <f t="shared" si="118"/>
        <v>0</v>
      </c>
      <c r="J201" s="14">
        <f t="shared" si="118"/>
        <v>0</v>
      </c>
      <c r="K201" s="14">
        <f t="shared" si="118"/>
        <v>0</v>
      </c>
      <c r="L201" s="14">
        <f t="shared" si="118"/>
        <v>0</v>
      </c>
      <c r="M201" s="14">
        <f t="shared" si="118"/>
        <v>0</v>
      </c>
      <c r="N201" s="14">
        <f t="shared" si="118"/>
        <v>0</v>
      </c>
      <c r="O201" s="14">
        <f t="shared" si="118"/>
        <v>0</v>
      </c>
    </row>
    <row r="202" spans="1:18" x14ac:dyDescent="0.25">
      <c r="A202" s="27"/>
      <c r="B202" s="19">
        <v>4.3</v>
      </c>
      <c r="C202" s="18" t="s">
        <v>25</v>
      </c>
      <c r="D202" s="109">
        <f>D103</f>
        <v>0</v>
      </c>
      <c r="E202" s="14">
        <f t="shared" si="118"/>
        <v>0</v>
      </c>
      <c r="F202" s="14">
        <f t="shared" si="118"/>
        <v>0</v>
      </c>
      <c r="G202" s="14">
        <f t="shared" si="118"/>
        <v>0</v>
      </c>
      <c r="H202" s="14">
        <f t="shared" si="118"/>
        <v>0</v>
      </c>
      <c r="I202" s="14">
        <f t="shared" si="118"/>
        <v>0</v>
      </c>
      <c r="J202" s="14">
        <f t="shared" si="118"/>
        <v>0</v>
      </c>
      <c r="K202" s="14">
        <f t="shared" si="118"/>
        <v>0</v>
      </c>
      <c r="L202" s="14">
        <f t="shared" si="118"/>
        <v>0</v>
      </c>
      <c r="M202" s="14">
        <f t="shared" si="118"/>
        <v>0</v>
      </c>
      <c r="N202" s="14">
        <f t="shared" si="118"/>
        <v>0</v>
      </c>
      <c r="O202" s="14">
        <f t="shared" si="118"/>
        <v>0</v>
      </c>
    </row>
    <row r="203" spans="1:18" x14ac:dyDescent="0.25">
      <c r="A203" s="27"/>
      <c r="B203" s="19">
        <v>4.4000000000000004</v>
      </c>
      <c r="C203" s="18" t="s">
        <v>168</v>
      </c>
      <c r="D203" s="109">
        <f>D104</f>
        <v>0</v>
      </c>
      <c r="E203" s="14">
        <f t="shared" si="118"/>
        <v>0</v>
      </c>
      <c r="F203" s="14">
        <f t="shared" si="118"/>
        <v>0</v>
      </c>
      <c r="G203" s="14">
        <f t="shared" si="118"/>
        <v>0</v>
      </c>
      <c r="H203" s="14">
        <f t="shared" si="118"/>
        <v>0</v>
      </c>
      <c r="I203" s="14">
        <f t="shared" si="118"/>
        <v>0</v>
      </c>
      <c r="J203" s="14">
        <f t="shared" si="118"/>
        <v>0</v>
      </c>
      <c r="K203" s="14">
        <f t="shared" si="118"/>
        <v>0</v>
      </c>
      <c r="L203" s="14">
        <f t="shared" si="118"/>
        <v>0</v>
      </c>
      <c r="M203" s="14">
        <f t="shared" si="118"/>
        <v>0</v>
      </c>
      <c r="N203" s="14">
        <f t="shared" si="118"/>
        <v>0</v>
      </c>
      <c r="O203" s="14">
        <f t="shared" si="118"/>
        <v>0</v>
      </c>
    </row>
    <row r="204" spans="1:18" x14ac:dyDescent="0.25">
      <c r="A204" s="48"/>
      <c r="B204" s="39">
        <v>5</v>
      </c>
      <c r="C204" s="320" t="s">
        <v>254</v>
      </c>
      <c r="D204" s="115"/>
      <c r="E204" s="116"/>
      <c r="F204" s="118"/>
      <c r="G204" s="118"/>
      <c r="H204" s="118"/>
      <c r="I204" s="118"/>
      <c r="J204" s="118"/>
      <c r="K204" s="118"/>
      <c r="L204" s="118"/>
      <c r="M204" s="118"/>
      <c r="N204" s="118"/>
      <c r="O204" s="118"/>
    </row>
    <row r="205" spans="1:18" x14ac:dyDescent="0.25">
      <c r="A205" s="27"/>
      <c r="B205" s="19">
        <v>5.0999999999999996</v>
      </c>
      <c r="C205" s="18" t="s">
        <v>256</v>
      </c>
      <c r="D205" s="110"/>
      <c r="E205" s="69">
        <f>IFERROR(E$207*E179,0)</f>
        <v>0</v>
      </c>
      <c r="F205" s="69">
        <f t="shared" ref="F205:O205" si="119">IFERROR(F$207*F179,0)</f>
        <v>0</v>
      </c>
      <c r="G205" s="69">
        <f t="shared" si="119"/>
        <v>0</v>
      </c>
      <c r="H205" s="69">
        <f t="shared" si="119"/>
        <v>0</v>
      </c>
      <c r="I205" s="69">
        <f t="shared" si="119"/>
        <v>0</v>
      </c>
      <c r="J205" s="69">
        <f t="shared" si="119"/>
        <v>0</v>
      </c>
      <c r="K205" s="69">
        <f t="shared" si="119"/>
        <v>0</v>
      </c>
      <c r="L205" s="69">
        <f t="shared" si="119"/>
        <v>0</v>
      </c>
      <c r="M205" s="69">
        <f t="shared" si="119"/>
        <v>0</v>
      </c>
      <c r="N205" s="69">
        <f t="shared" si="119"/>
        <v>0</v>
      </c>
      <c r="O205" s="69">
        <f t="shared" si="119"/>
        <v>0</v>
      </c>
    </row>
    <row r="206" spans="1:18" x14ac:dyDescent="0.25">
      <c r="A206" s="27"/>
      <c r="B206" s="19">
        <v>5.3</v>
      </c>
      <c r="C206" s="18" t="s">
        <v>255</v>
      </c>
      <c r="D206" s="109"/>
      <c r="E206" s="69">
        <f>IFERROR(E$207*E180,0)</f>
        <v>0</v>
      </c>
      <c r="F206" s="69">
        <f t="shared" ref="F206:O206" si="120">IFERROR(F$207*F180,0)</f>
        <v>0</v>
      </c>
      <c r="G206" s="69">
        <f t="shared" si="120"/>
        <v>0</v>
      </c>
      <c r="H206" s="69">
        <f t="shared" si="120"/>
        <v>0</v>
      </c>
      <c r="I206" s="69">
        <f t="shared" si="120"/>
        <v>0</v>
      </c>
      <c r="J206" s="69">
        <f t="shared" si="120"/>
        <v>0</v>
      </c>
      <c r="K206" s="69">
        <f t="shared" si="120"/>
        <v>0</v>
      </c>
      <c r="L206" s="69">
        <f t="shared" si="120"/>
        <v>0</v>
      </c>
      <c r="M206" s="69">
        <f t="shared" si="120"/>
        <v>0</v>
      </c>
      <c r="N206" s="69">
        <f t="shared" si="120"/>
        <v>0</v>
      </c>
      <c r="O206" s="69">
        <f t="shared" si="120"/>
        <v>0</v>
      </c>
    </row>
    <row r="207" spans="1:18" s="80" customFormat="1" x14ac:dyDescent="0.25">
      <c r="A207" s="55"/>
      <c r="B207" s="692"/>
      <c r="C207" s="693" t="s">
        <v>16</v>
      </c>
      <c r="D207" s="694"/>
      <c r="E207" s="692">
        <f>IFERROR((E184+E189)/E176,0)</f>
        <v>0</v>
      </c>
      <c r="F207" s="692">
        <f t="shared" ref="F207:O207" si="121">IFERROR((F184+F189)/F176,0)</f>
        <v>0</v>
      </c>
      <c r="G207" s="692">
        <f t="shared" si="121"/>
        <v>0</v>
      </c>
      <c r="H207" s="692">
        <f t="shared" si="121"/>
        <v>0</v>
      </c>
      <c r="I207" s="692">
        <f t="shared" si="121"/>
        <v>0</v>
      </c>
      <c r="J207" s="692">
        <f t="shared" si="121"/>
        <v>0</v>
      </c>
      <c r="K207" s="692">
        <f t="shared" si="121"/>
        <v>0</v>
      </c>
      <c r="L207" s="692">
        <f t="shared" si="121"/>
        <v>0</v>
      </c>
      <c r="M207" s="692">
        <f t="shared" si="121"/>
        <v>0</v>
      </c>
      <c r="N207" s="692">
        <f t="shared" si="121"/>
        <v>0</v>
      </c>
      <c r="O207" s="692">
        <f t="shared" si="121"/>
        <v>0</v>
      </c>
    </row>
    <row r="208" spans="1:18" x14ac:dyDescent="0.25">
      <c r="A208" s="27"/>
      <c r="B208" s="19">
        <v>5.2</v>
      </c>
      <c r="C208" s="18" t="s">
        <v>253</v>
      </c>
      <c r="D208" s="110"/>
      <c r="E208" s="14">
        <f>E109</f>
        <v>0</v>
      </c>
      <c r="F208" s="14">
        <f t="shared" ref="F208:O208" si="122">F109</f>
        <v>0</v>
      </c>
      <c r="G208" s="14">
        <f t="shared" si="122"/>
        <v>0</v>
      </c>
      <c r="H208" s="14">
        <f t="shared" si="122"/>
        <v>0</v>
      </c>
      <c r="I208" s="14">
        <f t="shared" si="122"/>
        <v>0</v>
      </c>
      <c r="J208" s="14">
        <f t="shared" si="122"/>
        <v>0</v>
      </c>
      <c r="K208" s="14">
        <f t="shared" si="122"/>
        <v>0</v>
      </c>
      <c r="L208" s="14">
        <f t="shared" si="122"/>
        <v>0</v>
      </c>
      <c r="M208" s="14">
        <f t="shared" si="122"/>
        <v>0</v>
      </c>
      <c r="N208" s="14">
        <f t="shared" si="122"/>
        <v>0</v>
      </c>
      <c r="O208" s="14">
        <f t="shared" si="122"/>
        <v>0</v>
      </c>
    </row>
    <row r="209" spans="1:16" x14ac:dyDescent="0.25">
      <c r="A209" s="48"/>
      <c r="B209" s="39"/>
      <c r="C209" s="50"/>
      <c r="D209" s="99"/>
      <c r="E209" s="67"/>
      <c r="F209" s="67"/>
      <c r="G209" s="67"/>
      <c r="H209" s="67"/>
      <c r="I209" s="67"/>
      <c r="J209" s="67"/>
      <c r="K209" s="67"/>
      <c r="L209" s="67"/>
      <c r="M209" s="67"/>
      <c r="N209" s="67"/>
      <c r="O209" s="67"/>
    </row>
    <row r="210" spans="1:16" x14ac:dyDescent="0.25">
      <c r="A210" s="48"/>
      <c r="B210" s="39"/>
      <c r="C210" s="50"/>
      <c r="D210" s="99"/>
      <c r="E210" s="67"/>
      <c r="F210" s="67"/>
      <c r="G210" s="67"/>
      <c r="H210" s="67"/>
      <c r="I210" s="67"/>
      <c r="J210" s="67"/>
      <c r="K210" s="67"/>
      <c r="L210" s="67"/>
      <c r="M210" s="67"/>
      <c r="N210" s="67"/>
      <c r="O210" s="67"/>
    </row>
    <row r="211" spans="1:16" x14ac:dyDescent="0.25">
      <c r="A211" s="48"/>
      <c r="B211" s="39"/>
      <c r="C211" s="50"/>
      <c r="D211" s="99" t="s">
        <v>308</v>
      </c>
      <c r="E211" s="132">
        <v>0.5</v>
      </c>
      <c r="F211" s="132">
        <v>0.75</v>
      </c>
      <c r="G211" s="132">
        <v>1</v>
      </c>
      <c r="H211" s="132">
        <v>2</v>
      </c>
      <c r="I211" s="67"/>
      <c r="J211" s="67"/>
      <c r="K211" s="67"/>
      <c r="L211" s="67"/>
      <c r="M211" s="67"/>
      <c r="N211" s="67"/>
      <c r="O211" s="67"/>
    </row>
    <row r="212" spans="1:16" x14ac:dyDescent="0.25">
      <c r="A212" s="11" t="s">
        <v>13</v>
      </c>
      <c r="B212" s="11" t="s">
        <v>310</v>
      </c>
      <c r="C212" s="309"/>
      <c r="D212" s="94" t="s">
        <v>309</v>
      </c>
      <c r="E212" s="132">
        <f>E211^2/E211^2</f>
        <v>1</v>
      </c>
      <c r="F212" s="132">
        <f>F211^2/$E$211^2</f>
        <v>2.25</v>
      </c>
      <c r="G212" s="132">
        <f>G211^2/$E$211^2</f>
        <v>4</v>
      </c>
      <c r="H212" s="132">
        <f>H211^2/$E$211^2</f>
        <v>16</v>
      </c>
      <c r="I212" s="65"/>
      <c r="J212" s="65"/>
      <c r="K212" s="65"/>
      <c r="L212" s="65"/>
      <c r="M212" s="65"/>
      <c r="N212" s="65"/>
      <c r="O212" s="65"/>
    </row>
    <row r="213" spans="1:16" x14ac:dyDescent="0.25">
      <c r="B213" s="13" t="s">
        <v>3</v>
      </c>
      <c r="C213" s="310" t="s">
        <v>4</v>
      </c>
      <c r="D213" s="13" t="s">
        <v>33</v>
      </c>
      <c r="E213" s="13">
        <f>E$3</f>
        <v>2014</v>
      </c>
      <c r="F213" s="13">
        <f t="shared" ref="F213:O213" si="123">F$3</f>
        <v>2015</v>
      </c>
      <c r="G213" s="13">
        <f t="shared" si="123"/>
        <v>2016</v>
      </c>
      <c r="H213" s="13">
        <f t="shared" si="123"/>
        <v>2017</v>
      </c>
      <c r="I213" s="13">
        <f t="shared" si="123"/>
        <v>2018</v>
      </c>
      <c r="J213" s="13">
        <f t="shared" si="123"/>
        <v>2019</v>
      </c>
      <c r="K213" s="13">
        <f t="shared" si="123"/>
        <v>2020</v>
      </c>
      <c r="L213" s="13">
        <f t="shared" si="123"/>
        <v>2021</v>
      </c>
      <c r="M213" s="13">
        <f t="shared" si="123"/>
        <v>2022</v>
      </c>
      <c r="N213" s="13">
        <f t="shared" si="123"/>
        <v>2023</v>
      </c>
      <c r="O213" s="13">
        <f t="shared" si="123"/>
        <v>2024</v>
      </c>
    </row>
    <row r="214" spans="1:16" s="77" customFormat="1" x14ac:dyDescent="0.25">
      <c r="A214" s="124"/>
      <c r="B214" s="69">
        <v>1</v>
      </c>
      <c r="C214" s="321" t="s">
        <v>258</v>
      </c>
      <c r="D214" s="69"/>
      <c r="E214" s="69">
        <f>(E185*$E$212)+(E186*$F$212)+(E187*$G$212)+(E188*$H$212)</f>
        <v>0</v>
      </c>
      <c r="F214" s="69">
        <f t="shared" ref="F214:O214" si="124">(F185*$E$212)+(F186*$F$212)+(F187*$G$212)+(F188*$H$212)</f>
        <v>0</v>
      </c>
      <c r="G214" s="69">
        <f t="shared" si="124"/>
        <v>0</v>
      </c>
      <c r="H214" s="69">
        <f t="shared" si="124"/>
        <v>0</v>
      </c>
      <c r="I214" s="69">
        <f t="shared" si="124"/>
        <v>0</v>
      </c>
      <c r="J214" s="69">
        <f t="shared" si="124"/>
        <v>0</v>
      </c>
      <c r="K214" s="69">
        <f t="shared" si="124"/>
        <v>0</v>
      </c>
      <c r="L214" s="69">
        <f t="shared" si="124"/>
        <v>0</v>
      </c>
      <c r="M214" s="69">
        <f t="shared" si="124"/>
        <v>0</v>
      </c>
      <c r="N214" s="69">
        <f t="shared" si="124"/>
        <v>0</v>
      </c>
      <c r="O214" s="69">
        <f t="shared" si="124"/>
        <v>0</v>
      </c>
      <c r="P214" s="77" t="s">
        <v>1087</v>
      </c>
    </row>
    <row r="215" spans="1:16" s="77" customFormat="1" x14ac:dyDescent="0.25">
      <c r="A215" s="124"/>
      <c r="B215" s="69">
        <v>2</v>
      </c>
      <c r="C215" s="321" t="s">
        <v>257</v>
      </c>
      <c r="D215" s="69"/>
      <c r="E215" s="69">
        <f>(E190*$E$212)+(E191*$F$212)+(E192*$G$212)+(E193*$H$212)</f>
        <v>0</v>
      </c>
      <c r="F215" s="69">
        <f t="shared" ref="F215:O215" si="125">(F190*$E$212)+(F191*$F$212)+(F192*$G$212)+(F193*$H$212)</f>
        <v>0</v>
      </c>
      <c r="G215" s="69">
        <f t="shared" si="125"/>
        <v>0</v>
      </c>
      <c r="H215" s="69">
        <f t="shared" si="125"/>
        <v>0</v>
      </c>
      <c r="I215" s="69">
        <f t="shared" si="125"/>
        <v>0</v>
      </c>
      <c r="J215" s="69">
        <f t="shared" si="125"/>
        <v>0</v>
      </c>
      <c r="K215" s="69">
        <f t="shared" si="125"/>
        <v>0</v>
      </c>
      <c r="L215" s="69">
        <f t="shared" si="125"/>
        <v>0</v>
      </c>
      <c r="M215" s="69">
        <f t="shared" si="125"/>
        <v>0</v>
      </c>
      <c r="N215" s="69">
        <f t="shared" si="125"/>
        <v>0</v>
      </c>
      <c r="O215" s="69">
        <f t="shared" si="125"/>
        <v>0</v>
      </c>
    </row>
    <row r="216" spans="1:16" s="77" customFormat="1" x14ac:dyDescent="0.25">
      <c r="A216" s="124"/>
      <c r="B216" s="69">
        <v>3</v>
      </c>
      <c r="C216" s="321" t="s">
        <v>259</v>
      </c>
      <c r="D216" s="69"/>
      <c r="E216" s="69">
        <f>(E195*$E$212)+(E196*$F$212)+(E197*$G$212)+(E198*$H$212)</f>
        <v>0</v>
      </c>
      <c r="F216" s="69">
        <f t="shared" ref="F216:O216" si="126">(F195*$E$212)+(F196*$F$212)+(F197*$G$212)+(F198*$H$212)</f>
        <v>0</v>
      </c>
      <c r="G216" s="69">
        <f t="shared" si="126"/>
        <v>0</v>
      </c>
      <c r="H216" s="69">
        <f t="shared" si="126"/>
        <v>0</v>
      </c>
      <c r="I216" s="69">
        <f t="shared" si="126"/>
        <v>0</v>
      </c>
      <c r="J216" s="69">
        <f t="shared" si="126"/>
        <v>0</v>
      </c>
      <c r="K216" s="69">
        <f t="shared" si="126"/>
        <v>0</v>
      </c>
      <c r="L216" s="69">
        <f t="shared" si="126"/>
        <v>0</v>
      </c>
      <c r="M216" s="69">
        <f t="shared" si="126"/>
        <v>0</v>
      </c>
      <c r="N216" s="69">
        <f t="shared" si="126"/>
        <v>0</v>
      </c>
      <c r="O216" s="69">
        <f t="shared" si="126"/>
        <v>0</v>
      </c>
    </row>
    <row r="217" spans="1:16" s="77" customFormat="1" x14ac:dyDescent="0.25">
      <c r="A217" s="124"/>
      <c r="B217" s="69">
        <v>4</v>
      </c>
      <c r="C217" s="321" t="s">
        <v>26</v>
      </c>
      <c r="D217" s="69"/>
      <c r="E217" s="69">
        <f>(E200*$E$212)+(E201*$F$212)+(E202*$G$212)+(E203*$H$212)</f>
        <v>0</v>
      </c>
      <c r="F217" s="69">
        <f t="shared" ref="F217:O217" si="127">(F200*$E$212)+(F201*$F$212)+(F202*$G$212)+(F203*$H$212)</f>
        <v>0</v>
      </c>
      <c r="G217" s="69">
        <f t="shared" si="127"/>
        <v>0</v>
      </c>
      <c r="H217" s="69">
        <f t="shared" si="127"/>
        <v>0</v>
      </c>
      <c r="I217" s="69">
        <f t="shared" si="127"/>
        <v>0</v>
      </c>
      <c r="J217" s="69">
        <f t="shared" si="127"/>
        <v>0</v>
      </c>
      <c r="K217" s="69">
        <f t="shared" si="127"/>
        <v>0</v>
      </c>
      <c r="L217" s="69">
        <f t="shared" si="127"/>
        <v>0</v>
      </c>
      <c r="M217" s="69">
        <f t="shared" si="127"/>
        <v>0</v>
      </c>
      <c r="N217" s="69">
        <f t="shared" si="127"/>
        <v>0</v>
      </c>
      <c r="O217" s="69">
        <f t="shared" si="127"/>
        <v>0</v>
      </c>
    </row>
    <row r="218" spans="1:16" s="77" customFormat="1" x14ac:dyDescent="0.25">
      <c r="A218" s="124"/>
      <c r="B218" s="69">
        <v>5</v>
      </c>
      <c r="C218" s="321" t="s">
        <v>255</v>
      </c>
      <c r="D218" s="69"/>
      <c r="E218" s="69">
        <f>E206*$E$212</f>
        <v>0</v>
      </c>
      <c r="F218" s="69">
        <f t="shared" ref="F218:L218" si="128">F206*$E$212</f>
        <v>0</v>
      </c>
      <c r="G218" s="69">
        <f t="shared" si="128"/>
        <v>0</v>
      </c>
      <c r="H218" s="69">
        <f t="shared" si="128"/>
        <v>0</v>
      </c>
      <c r="I218" s="69">
        <f t="shared" si="128"/>
        <v>0</v>
      </c>
      <c r="J218" s="69">
        <f t="shared" si="128"/>
        <v>0</v>
      </c>
      <c r="K218" s="69">
        <f t="shared" si="128"/>
        <v>0</v>
      </c>
      <c r="L218" s="69">
        <f t="shared" si="128"/>
        <v>0</v>
      </c>
      <c r="M218" s="69">
        <f>M206*$E$212</f>
        <v>0</v>
      </c>
      <c r="N218" s="69">
        <f>N206*$E$212</f>
        <v>0</v>
      </c>
      <c r="O218" s="69">
        <f>O206*$E$212</f>
        <v>0</v>
      </c>
    </row>
    <row r="219" spans="1:16" s="77" customFormat="1" x14ac:dyDescent="0.25">
      <c r="A219" s="124"/>
      <c r="B219" s="69">
        <v>6</v>
      </c>
      <c r="C219" s="321" t="s">
        <v>256</v>
      </c>
      <c r="D219" s="69"/>
      <c r="E219" s="69">
        <f t="shared" ref="E219:O219" si="129">(E205*$E$212)</f>
        <v>0</v>
      </c>
      <c r="F219" s="69">
        <f t="shared" si="129"/>
        <v>0</v>
      </c>
      <c r="G219" s="69">
        <f t="shared" si="129"/>
        <v>0</v>
      </c>
      <c r="H219" s="69">
        <f t="shared" si="129"/>
        <v>0</v>
      </c>
      <c r="I219" s="69">
        <f t="shared" si="129"/>
        <v>0</v>
      </c>
      <c r="J219" s="69">
        <f t="shared" si="129"/>
        <v>0</v>
      </c>
      <c r="K219" s="69">
        <f t="shared" si="129"/>
        <v>0</v>
      </c>
      <c r="L219" s="69">
        <f t="shared" si="129"/>
        <v>0</v>
      </c>
      <c r="M219" s="69">
        <f t="shared" si="129"/>
        <v>0</v>
      </c>
      <c r="N219" s="69">
        <f t="shared" si="129"/>
        <v>0</v>
      </c>
      <c r="O219" s="69">
        <f t="shared" si="129"/>
        <v>0</v>
      </c>
    </row>
    <row r="220" spans="1:16" s="77" customFormat="1" x14ac:dyDescent="0.25">
      <c r="A220" s="124"/>
      <c r="B220" s="69">
        <v>7</v>
      </c>
      <c r="C220" s="321" t="s">
        <v>253</v>
      </c>
      <c r="D220" s="69"/>
      <c r="E220" s="69">
        <f>E208*$E$212</f>
        <v>0</v>
      </c>
      <c r="F220" s="69">
        <f t="shared" ref="F220:L220" si="130">F208*$E$212</f>
        <v>0</v>
      </c>
      <c r="G220" s="69">
        <f t="shared" si="130"/>
        <v>0</v>
      </c>
      <c r="H220" s="69">
        <f t="shared" si="130"/>
        <v>0</v>
      </c>
      <c r="I220" s="69">
        <f t="shared" si="130"/>
        <v>0</v>
      </c>
      <c r="J220" s="69">
        <f t="shared" si="130"/>
        <v>0</v>
      </c>
      <c r="K220" s="69">
        <f t="shared" si="130"/>
        <v>0</v>
      </c>
      <c r="L220" s="69">
        <f t="shared" si="130"/>
        <v>0</v>
      </c>
      <c r="M220" s="69">
        <f>M208*$E$212</f>
        <v>0</v>
      </c>
      <c r="N220" s="69">
        <f>N208*$E$212</f>
        <v>0</v>
      </c>
      <c r="O220" s="69">
        <f>O208*$E$212</f>
        <v>0</v>
      </c>
    </row>
    <row r="221" spans="1:16" s="80" customFormat="1" x14ac:dyDescent="0.25">
      <c r="A221" s="92"/>
      <c r="B221" s="81"/>
      <c r="C221" s="322" t="s">
        <v>16</v>
      </c>
      <c r="D221" s="81"/>
      <c r="E221" s="81">
        <f>SUM(E214:E220)</f>
        <v>0</v>
      </c>
      <c r="F221" s="81">
        <f t="shared" ref="F221:O221" si="131">SUM(F214:F220)</f>
        <v>0</v>
      </c>
      <c r="G221" s="81">
        <f t="shared" si="131"/>
        <v>0</v>
      </c>
      <c r="H221" s="81">
        <f>SUM(H214:H220)</f>
        <v>0</v>
      </c>
      <c r="I221" s="81">
        <f t="shared" si="131"/>
        <v>0</v>
      </c>
      <c r="J221" s="81">
        <f t="shared" si="131"/>
        <v>0</v>
      </c>
      <c r="K221" s="81">
        <f t="shared" si="131"/>
        <v>0</v>
      </c>
      <c r="L221" s="81">
        <f t="shared" si="131"/>
        <v>0</v>
      </c>
      <c r="M221" s="81">
        <f t="shared" si="131"/>
        <v>0</v>
      </c>
      <c r="N221" s="81">
        <f t="shared" si="131"/>
        <v>0</v>
      </c>
      <c r="O221" s="81">
        <f t="shared" si="131"/>
        <v>0</v>
      </c>
    </row>
    <row r="222" spans="1:16" s="237" customFormat="1" x14ac:dyDescent="0.25">
      <c r="A222" s="232"/>
      <c r="B222" s="242"/>
      <c r="C222" s="354" t="s">
        <v>264</v>
      </c>
      <c r="D222" s="236"/>
      <c r="E222" s="355">
        <f t="shared" ref="E222:O222" si="132">E120</f>
        <v>0</v>
      </c>
      <c r="F222" s="355">
        <f t="shared" si="132"/>
        <v>0</v>
      </c>
      <c r="G222" s="355">
        <f t="shared" si="132"/>
        <v>0</v>
      </c>
      <c r="H222" s="355">
        <f t="shared" si="132"/>
        <v>0</v>
      </c>
      <c r="I222" s="355">
        <f t="shared" si="132"/>
        <v>0</v>
      </c>
      <c r="J222" s="355">
        <f t="shared" si="132"/>
        <v>0</v>
      </c>
      <c r="K222" s="355">
        <f t="shared" si="132"/>
        <v>0</v>
      </c>
      <c r="L222" s="355">
        <f t="shared" si="132"/>
        <v>0</v>
      </c>
      <c r="M222" s="355">
        <f t="shared" si="132"/>
        <v>0</v>
      </c>
      <c r="N222" s="355">
        <f t="shared" si="132"/>
        <v>0</v>
      </c>
      <c r="O222" s="355">
        <f t="shared" si="132"/>
        <v>0</v>
      </c>
    </row>
    <row r="223" spans="1:16" s="77" customFormat="1" x14ac:dyDescent="0.25">
      <c r="A223" s="124"/>
      <c r="B223" s="125"/>
      <c r="C223" s="156"/>
      <c r="D223" s="119"/>
      <c r="E223" s="119"/>
      <c r="F223" s="119"/>
      <c r="G223" s="119"/>
      <c r="H223" s="119"/>
      <c r="I223" s="119"/>
      <c r="J223" s="119"/>
      <c r="K223" s="119"/>
      <c r="L223" s="119"/>
      <c r="M223" s="119"/>
      <c r="N223" s="119"/>
      <c r="O223" s="119"/>
    </row>
    <row r="224" spans="1:16" s="237" customFormat="1" x14ac:dyDescent="0.25">
      <c r="A224" s="232"/>
      <c r="B224" s="433"/>
      <c r="C224" s="434"/>
      <c r="D224" s="241"/>
      <c r="E224" s="435"/>
      <c r="F224" s="435"/>
      <c r="G224" s="435"/>
      <c r="H224" s="435"/>
      <c r="I224" s="435"/>
      <c r="J224" s="435"/>
      <c r="K224" s="435"/>
      <c r="L224" s="435"/>
      <c r="M224" s="435"/>
      <c r="N224" s="435"/>
      <c r="O224" s="435"/>
    </row>
    <row r="225" spans="1:15" x14ac:dyDescent="0.25">
      <c r="A225" s="48"/>
      <c r="B225" s="11" t="s">
        <v>312</v>
      </c>
      <c r="C225" s="50"/>
      <c r="D225" s="99"/>
      <c r="E225" s="48"/>
      <c r="F225" s="48"/>
      <c r="G225" s="48"/>
      <c r="H225" s="48"/>
      <c r="I225" s="48"/>
      <c r="J225" s="48"/>
      <c r="K225" s="48"/>
      <c r="L225" s="48"/>
      <c r="M225" s="48"/>
      <c r="N225" s="48"/>
      <c r="O225" s="48"/>
    </row>
    <row r="226" spans="1:15" x14ac:dyDescent="0.25">
      <c r="B226" s="13" t="s">
        <v>3</v>
      </c>
      <c r="C226" s="310" t="s">
        <v>4</v>
      </c>
      <c r="D226" s="13" t="s">
        <v>33</v>
      </c>
      <c r="E226" s="13">
        <f>E$3</f>
        <v>2014</v>
      </c>
      <c r="F226" s="13">
        <f t="shared" ref="F226:O226" si="133">F$3</f>
        <v>2015</v>
      </c>
      <c r="G226" s="13">
        <f t="shared" si="133"/>
        <v>2016</v>
      </c>
      <c r="H226" s="13">
        <f t="shared" si="133"/>
        <v>2017</v>
      </c>
      <c r="I226" s="13">
        <f t="shared" si="133"/>
        <v>2018</v>
      </c>
      <c r="J226" s="13">
        <f t="shared" si="133"/>
        <v>2019</v>
      </c>
      <c r="K226" s="13">
        <f t="shared" si="133"/>
        <v>2020</v>
      </c>
      <c r="L226" s="13">
        <f t="shared" si="133"/>
        <v>2021</v>
      </c>
      <c r="M226" s="13">
        <f t="shared" si="133"/>
        <v>2022</v>
      </c>
      <c r="N226" s="13">
        <f t="shared" si="133"/>
        <v>2023</v>
      </c>
      <c r="O226" s="13">
        <f t="shared" si="133"/>
        <v>2024</v>
      </c>
    </row>
    <row r="227" spans="1:15" s="80" customFormat="1" x14ac:dyDescent="0.25">
      <c r="A227" s="92"/>
      <c r="B227" s="159"/>
      <c r="C227" s="177" t="s">
        <v>311</v>
      </c>
      <c r="D227" s="81"/>
      <c r="E227" s="81">
        <f>IFERROR(E26*10^6/(E221+E222),0)</f>
        <v>0</v>
      </c>
      <c r="F227" s="81">
        <f>IFERROR(F26*10^6/(F221+F222),0)</f>
        <v>0</v>
      </c>
      <c r="G227" s="81">
        <f t="shared" ref="G227:O227" si="134">IFERROR(G26*10^6/(G221+G222),0)</f>
        <v>0</v>
      </c>
      <c r="H227" s="81">
        <f t="shared" si="134"/>
        <v>0</v>
      </c>
      <c r="I227" s="81">
        <f t="shared" si="134"/>
        <v>0</v>
      </c>
      <c r="J227" s="81">
        <f t="shared" si="134"/>
        <v>0</v>
      </c>
      <c r="K227" s="81">
        <f t="shared" si="134"/>
        <v>0</v>
      </c>
      <c r="L227" s="81">
        <f t="shared" si="134"/>
        <v>0</v>
      </c>
      <c r="M227" s="81">
        <f t="shared" si="134"/>
        <v>0</v>
      </c>
      <c r="N227" s="81">
        <f t="shared" si="134"/>
        <v>0</v>
      </c>
      <c r="O227" s="81">
        <f t="shared" si="134"/>
        <v>0</v>
      </c>
    </row>
    <row r="228" spans="1:15" s="77" customFormat="1" x14ac:dyDescent="0.25">
      <c r="A228" s="124"/>
      <c r="B228" s="69">
        <v>1</v>
      </c>
      <c r="C228" s="321" t="s">
        <v>258</v>
      </c>
      <c r="D228" s="121"/>
      <c r="E228" s="120">
        <f t="shared" ref="E228:O228" si="135">E214*E$227/10^6</f>
        <v>0</v>
      </c>
      <c r="F228" s="120">
        <f t="shared" si="135"/>
        <v>0</v>
      </c>
      <c r="G228" s="120">
        <f t="shared" si="135"/>
        <v>0</v>
      </c>
      <c r="H228" s="120">
        <f t="shared" si="135"/>
        <v>0</v>
      </c>
      <c r="I228" s="120">
        <f t="shared" si="135"/>
        <v>0</v>
      </c>
      <c r="J228" s="120">
        <f t="shared" si="135"/>
        <v>0</v>
      </c>
      <c r="K228" s="120">
        <f t="shared" si="135"/>
        <v>0</v>
      </c>
      <c r="L228" s="120">
        <f t="shared" si="135"/>
        <v>0</v>
      </c>
      <c r="M228" s="120">
        <f t="shared" si="135"/>
        <v>0</v>
      </c>
      <c r="N228" s="120">
        <f t="shared" si="135"/>
        <v>0</v>
      </c>
      <c r="O228" s="120">
        <f t="shared" si="135"/>
        <v>0</v>
      </c>
    </row>
    <row r="229" spans="1:15" s="77" customFormat="1" x14ac:dyDescent="0.25">
      <c r="A229" s="124"/>
      <c r="B229" s="69">
        <v>2</v>
      </c>
      <c r="C229" s="321" t="s">
        <v>257</v>
      </c>
      <c r="D229" s="121"/>
      <c r="E229" s="120">
        <f t="shared" ref="E229:O229" si="136">E215*E$227/10^6</f>
        <v>0</v>
      </c>
      <c r="F229" s="120">
        <f t="shared" si="136"/>
        <v>0</v>
      </c>
      <c r="G229" s="120">
        <f t="shared" si="136"/>
        <v>0</v>
      </c>
      <c r="H229" s="120">
        <f t="shared" si="136"/>
        <v>0</v>
      </c>
      <c r="I229" s="120">
        <f t="shared" si="136"/>
        <v>0</v>
      </c>
      <c r="J229" s="120">
        <f t="shared" si="136"/>
        <v>0</v>
      </c>
      <c r="K229" s="120">
        <f t="shared" si="136"/>
        <v>0</v>
      </c>
      <c r="L229" s="120">
        <f t="shared" si="136"/>
        <v>0</v>
      </c>
      <c r="M229" s="120">
        <f t="shared" si="136"/>
        <v>0</v>
      </c>
      <c r="N229" s="120">
        <f t="shared" si="136"/>
        <v>0</v>
      </c>
      <c r="O229" s="120">
        <f t="shared" si="136"/>
        <v>0</v>
      </c>
    </row>
    <row r="230" spans="1:15" s="77" customFormat="1" x14ac:dyDescent="0.25">
      <c r="A230" s="124"/>
      <c r="B230" s="69">
        <v>3</v>
      </c>
      <c r="C230" s="321" t="s">
        <v>259</v>
      </c>
      <c r="D230" s="121"/>
      <c r="E230" s="120">
        <f t="shared" ref="E230:O230" si="137">E216*E$227/10^6</f>
        <v>0</v>
      </c>
      <c r="F230" s="120">
        <f t="shared" si="137"/>
        <v>0</v>
      </c>
      <c r="G230" s="120">
        <f t="shared" si="137"/>
        <v>0</v>
      </c>
      <c r="H230" s="120">
        <f t="shared" si="137"/>
        <v>0</v>
      </c>
      <c r="I230" s="120">
        <f t="shared" si="137"/>
        <v>0</v>
      </c>
      <c r="J230" s="120">
        <f t="shared" si="137"/>
        <v>0</v>
      </c>
      <c r="K230" s="120">
        <f t="shared" si="137"/>
        <v>0</v>
      </c>
      <c r="L230" s="120">
        <f t="shared" si="137"/>
        <v>0</v>
      </c>
      <c r="M230" s="120">
        <f t="shared" si="137"/>
        <v>0</v>
      </c>
      <c r="N230" s="120">
        <f t="shared" si="137"/>
        <v>0</v>
      </c>
      <c r="O230" s="120">
        <f t="shared" si="137"/>
        <v>0</v>
      </c>
    </row>
    <row r="231" spans="1:15" s="77" customFormat="1" x14ac:dyDescent="0.25">
      <c r="A231" s="124"/>
      <c r="B231" s="69">
        <v>4</v>
      </c>
      <c r="C231" s="321" t="s">
        <v>26</v>
      </c>
      <c r="D231" s="121"/>
      <c r="E231" s="120">
        <f t="shared" ref="E231:O231" si="138">E217*E$227/10^6</f>
        <v>0</v>
      </c>
      <c r="F231" s="120">
        <f t="shared" si="138"/>
        <v>0</v>
      </c>
      <c r="G231" s="120">
        <f t="shared" si="138"/>
        <v>0</v>
      </c>
      <c r="H231" s="120">
        <f t="shared" si="138"/>
        <v>0</v>
      </c>
      <c r="I231" s="120">
        <f t="shared" si="138"/>
        <v>0</v>
      </c>
      <c r="J231" s="120">
        <f t="shared" si="138"/>
        <v>0</v>
      </c>
      <c r="K231" s="120">
        <f t="shared" si="138"/>
        <v>0</v>
      </c>
      <c r="L231" s="120">
        <f t="shared" si="138"/>
        <v>0</v>
      </c>
      <c r="M231" s="120">
        <f t="shared" si="138"/>
        <v>0</v>
      </c>
      <c r="N231" s="120">
        <f t="shared" si="138"/>
        <v>0</v>
      </c>
      <c r="O231" s="120">
        <f t="shared" si="138"/>
        <v>0</v>
      </c>
    </row>
    <row r="232" spans="1:15" s="77" customFormat="1" x14ac:dyDescent="0.25">
      <c r="A232" s="124"/>
      <c r="B232" s="69">
        <v>6</v>
      </c>
      <c r="C232" s="321" t="s">
        <v>256</v>
      </c>
      <c r="D232" s="121"/>
      <c r="E232" s="120">
        <f t="shared" ref="E232:O232" si="139">E219*E$227/10^6</f>
        <v>0</v>
      </c>
      <c r="F232" s="120">
        <f t="shared" si="139"/>
        <v>0</v>
      </c>
      <c r="G232" s="120">
        <f t="shared" si="139"/>
        <v>0</v>
      </c>
      <c r="H232" s="120">
        <f t="shared" si="139"/>
        <v>0</v>
      </c>
      <c r="I232" s="120">
        <f t="shared" si="139"/>
        <v>0</v>
      </c>
      <c r="J232" s="120">
        <f t="shared" si="139"/>
        <v>0</v>
      </c>
      <c r="K232" s="120">
        <f t="shared" si="139"/>
        <v>0</v>
      </c>
      <c r="L232" s="120">
        <f t="shared" si="139"/>
        <v>0</v>
      </c>
      <c r="M232" s="120">
        <f t="shared" si="139"/>
        <v>0</v>
      </c>
      <c r="N232" s="120">
        <f t="shared" si="139"/>
        <v>0</v>
      </c>
      <c r="O232" s="120">
        <f t="shared" si="139"/>
        <v>0</v>
      </c>
    </row>
    <row r="233" spans="1:15" s="77" customFormat="1" x14ac:dyDescent="0.25">
      <c r="A233" s="124"/>
      <c r="B233" s="69">
        <v>5</v>
      </c>
      <c r="C233" s="321" t="s">
        <v>255</v>
      </c>
      <c r="D233" s="121"/>
      <c r="E233" s="120">
        <f t="shared" ref="E233:O233" si="140">E218*E$227/10^6</f>
        <v>0</v>
      </c>
      <c r="F233" s="120">
        <f t="shared" si="140"/>
        <v>0</v>
      </c>
      <c r="G233" s="120">
        <f t="shared" si="140"/>
        <v>0</v>
      </c>
      <c r="H233" s="120">
        <f t="shared" si="140"/>
        <v>0</v>
      </c>
      <c r="I233" s="120">
        <f t="shared" si="140"/>
        <v>0</v>
      </c>
      <c r="J233" s="120">
        <f t="shared" si="140"/>
        <v>0</v>
      </c>
      <c r="K233" s="120">
        <f t="shared" si="140"/>
        <v>0</v>
      </c>
      <c r="L233" s="120">
        <f t="shared" si="140"/>
        <v>0</v>
      </c>
      <c r="M233" s="120">
        <f t="shared" si="140"/>
        <v>0</v>
      </c>
      <c r="N233" s="120">
        <f t="shared" si="140"/>
        <v>0</v>
      </c>
      <c r="O233" s="120">
        <f t="shared" si="140"/>
        <v>0</v>
      </c>
    </row>
    <row r="234" spans="1:15" s="77" customFormat="1" x14ac:dyDescent="0.25">
      <c r="A234" s="124"/>
      <c r="B234" s="69">
        <v>7</v>
      </c>
      <c r="C234" s="321" t="s">
        <v>253</v>
      </c>
      <c r="D234" s="121"/>
      <c r="E234" s="120">
        <f t="shared" ref="E234:O234" si="141">E220*E$227/10^6</f>
        <v>0</v>
      </c>
      <c r="F234" s="120">
        <f t="shared" si="141"/>
        <v>0</v>
      </c>
      <c r="G234" s="120">
        <f t="shared" si="141"/>
        <v>0</v>
      </c>
      <c r="H234" s="120">
        <f t="shared" si="141"/>
        <v>0</v>
      </c>
      <c r="I234" s="120">
        <f t="shared" si="141"/>
        <v>0</v>
      </c>
      <c r="J234" s="120">
        <f t="shared" si="141"/>
        <v>0</v>
      </c>
      <c r="K234" s="120">
        <f t="shared" si="141"/>
        <v>0</v>
      </c>
      <c r="L234" s="120">
        <f t="shared" si="141"/>
        <v>0</v>
      </c>
      <c r="M234" s="120">
        <f t="shared" si="141"/>
        <v>0</v>
      </c>
      <c r="N234" s="120">
        <f t="shared" si="141"/>
        <v>0</v>
      </c>
      <c r="O234" s="120">
        <f t="shared" si="141"/>
        <v>0</v>
      </c>
    </row>
    <row r="235" spans="1:15" s="237" customFormat="1" x14ac:dyDescent="0.25">
      <c r="A235" s="232"/>
      <c r="B235" s="242">
        <v>8</v>
      </c>
      <c r="C235" s="354" t="s">
        <v>264</v>
      </c>
      <c r="D235" s="236"/>
      <c r="E235" s="355">
        <f t="shared" ref="E235:O235" si="142">E222*E$227/10^6</f>
        <v>0</v>
      </c>
      <c r="F235" s="355">
        <f t="shared" si="142"/>
        <v>0</v>
      </c>
      <c r="G235" s="355">
        <f t="shared" si="142"/>
        <v>0</v>
      </c>
      <c r="H235" s="355">
        <f t="shared" si="142"/>
        <v>0</v>
      </c>
      <c r="I235" s="355">
        <f t="shared" si="142"/>
        <v>0</v>
      </c>
      <c r="J235" s="355">
        <f t="shared" si="142"/>
        <v>0</v>
      </c>
      <c r="K235" s="355">
        <f t="shared" si="142"/>
        <v>0</v>
      </c>
      <c r="L235" s="355">
        <f t="shared" si="142"/>
        <v>0</v>
      </c>
      <c r="M235" s="355">
        <f t="shared" si="142"/>
        <v>0</v>
      </c>
      <c r="N235" s="355">
        <f t="shared" si="142"/>
        <v>0</v>
      </c>
      <c r="O235" s="355">
        <f t="shared" si="142"/>
        <v>0</v>
      </c>
    </row>
    <row r="236" spans="1:15" s="80" customFormat="1" x14ac:dyDescent="0.25">
      <c r="A236" s="92"/>
      <c r="B236" s="81"/>
      <c r="C236" s="322" t="s">
        <v>16</v>
      </c>
      <c r="D236" s="81"/>
      <c r="E236" s="126">
        <f>SUM(E228:E235)</f>
        <v>0</v>
      </c>
      <c r="F236" s="126">
        <f t="shared" ref="F236:O236" si="143">SUM(F228:F235)</f>
        <v>0</v>
      </c>
      <c r="G236" s="126">
        <f t="shared" si="143"/>
        <v>0</v>
      </c>
      <c r="H236" s="126">
        <f t="shared" si="143"/>
        <v>0</v>
      </c>
      <c r="I236" s="126">
        <f t="shared" si="143"/>
        <v>0</v>
      </c>
      <c r="J236" s="126">
        <f t="shared" si="143"/>
        <v>0</v>
      </c>
      <c r="K236" s="126">
        <f t="shared" si="143"/>
        <v>0</v>
      </c>
      <c r="L236" s="126">
        <f t="shared" si="143"/>
        <v>0</v>
      </c>
      <c r="M236" s="126">
        <f t="shared" si="143"/>
        <v>0</v>
      </c>
      <c r="N236" s="126">
        <f t="shared" si="143"/>
        <v>0</v>
      </c>
      <c r="O236" s="126">
        <f t="shared" si="143"/>
        <v>0</v>
      </c>
    </row>
    <row r="237" spans="1:15" x14ac:dyDescent="0.25">
      <c r="A237" s="48"/>
      <c r="B237" s="39"/>
      <c r="C237" s="50"/>
      <c r="D237" s="99"/>
      <c r="E237" s="48"/>
      <c r="F237" s="48"/>
      <c r="G237" s="48"/>
      <c r="H237" s="48"/>
      <c r="I237" s="48"/>
      <c r="J237" s="48"/>
      <c r="K237" s="48"/>
      <c r="L237" s="48"/>
      <c r="M237" s="48"/>
      <c r="N237" s="48"/>
      <c r="O237" s="48"/>
    </row>
    <row r="238" spans="1:15" x14ac:dyDescent="0.25">
      <c r="A238" s="48"/>
      <c r="B238" s="11" t="s">
        <v>106</v>
      </c>
      <c r="C238" s="50"/>
      <c r="D238" s="99"/>
      <c r="E238" s="48"/>
      <c r="F238" s="48"/>
      <c r="G238" s="48"/>
      <c r="H238" s="48"/>
      <c r="I238" s="48"/>
      <c r="J238" s="48"/>
      <c r="K238" s="48"/>
      <c r="L238" s="48"/>
      <c r="M238" s="48"/>
      <c r="N238" s="48"/>
      <c r="O238" s="48"/>
    </row>
    <row r="239" spans="1:15" x14ac:dyDescent="0.25">
      <c r="B239" s="13" t="s">
        <v>3</v>
      </c>
      <c r="C239" s="310" t="s">
        <v>4</v>
      </c>
      <c r="D239" s="13" t="s">
        <v>33</v>
      </c>
      <c r="E239" s="13">
        <f>E$3</f>
        <v>2014</v>
      </c>
      <c r="F239" s="13">
        <f t="shared" ref="F239:O239" si="144">F$3</f>
        <v>2015</v>
      </c>
      <c r="G239" s="13">
        <f t="shared" si="144"/>
        <v>2016</v>
      </c>
      <c r="H239" s="13">
        <f t="shared" si="144"/>
        <v>2017</v>
      </c>
      <c r="I239" s="13">
        <f t="shared" si="144"/>
        <v>2018</v>
      </c>
      <c r="J239" s="13">
        <f t="shared" si="144"/>
        <v>2019</v>
      </c>
      <c r="K239" s="13">
        <f t="shared" si="144"/>
        <v>2020</v>
      </c>
      <c r="L239" s="13">
        <f t="shared" si="144"/>
        <v>2021</v>
      </c>
      <c r="M239" s="13">
        <f t="shared" si="144"/>
        <v>2022</v>
      </c>
      <c r="N239" s="13">
        <f t="shared" si="144"/>
        <v>2023</v>
      </c>
      <c r="O239" s="13">
        <f t="shared" si="144"/>
        <v>2024</v>
      </c>
    </row>
    <row r="240" spans="1:15" x14ac:dyDescent="0.25">
      <c r="A240" s="48"/>
      <c r="B240" s="39"/>
      <c r="C240" s="323" t="s">
        <v>313</v>
      </c>
      <c r="D240" s="99"/>
      <c r="E240" s="48"/>
      <c r="F240" s="48"/>
      <c r="G240" s="48"/>
      <c r="H240" s="48"/>
      <c r="I240" s="48"/>
      <c r="J240" s="48"/>
      <c r="K240" s="48"/>
      <c r="L240" s="48"/>
      <c r="M240" s="48"/>
      <c r="N240" s="48"/>
      <c r="O240" s="48"/>
    </row>
    <row r="241" spans="1:15" x14ac:dyDescent="0.25">
      <c r="A241" s="27"/>
      <c r="B241" s="14"/>
      <c r="C241" s="22" t="s">
        <v>302</v>
      </c>
      <c r="D241" s="113"/>
      <c r="E241" s="69">
        <f>(E$157+E$163)*Population!E$34</f>
        <v>0</v>
      </c>
      <c r="F241" s="69">
        <f>(F$157+F$163)*Population!F$34</f>
        <v>0</v>
      </c>
      <c r="G241" s="69">
        <f>(G$157+G$163)*Population!G$34</f>
        <v>0</v>
      </c>
      <c r="H241" s="69">
        <f>(H$157+H$163)*Population!H$34</f>
        <v>0</v>
      </c>
      <c r="I241" s="69">
        <f>(I$157+I$163)*Population!I$34</f>
        <v>0</v>
      </c>
      <c r="J241" s="69">
        <f>(J$157+J$163)*Population!J$34</f>
        <v>0</v>
      </c>
      <c r="K241" s="69">
        <f>(K$157+K$163)*Population!K$34</f>
        <v>0</v>
      </c>
      <c r="L241" s="69">
        <f>(L$157+L$163)*Population!L$34</f>
        <v>0</v>
      </c>
      <c r="M241" s="69">
        <f>(M$157+M$163)*Population!M$34</f>
        <v>0</v>
      </c>
      <c r="N241" s="69">
        <f>(N$157+N$163)*Population!N$34</f>
        <v>0</v>
      </c>
      <c r="O241" s="69">
        <f>(O$157+O$163)*Population!O$34</f>
        <v>0</v>
      </c>
    </row>
    <row r="242" spans="1:15" x14ac:dyDescent="0.25">
      <c r="A242" s="27"/>
      <c r="B242" s="14"/>
      <c r="C242" s="22" t="s">
        <v>303</v>
      </c>
      <c r="D242" s="113"/>
      <c r="E242" s="69">
        <f>E$163*Population!E$35</f>
        <v>0</v>
      </c>
      <c r="F242" s="69">
        <f>F$163*Population!F$35</f>
        <v>0</v>
      </c>
      <c r="G242" s="69">
        <f>G$163*Population!G$35</f>
        <v>0</v>
      </c>
      <c r="H242" s="69">
        <f>H$163*Population!H$35</f>
        <v>0</v>
      </c>
      <c r="I242" s="69">
        <f>I$163*Population!I$35</f>
        <v>0</v>
      </c>
      <c r="J242" s="69">
        <f>J$163*Population!J$35</f>
        <v>0</v>
      </c>
      <c r="K242" s="69">
        <f>K$163*Population!K$35</f>
        <v>0</v>
      </c>
      <c r="L242" s="69">
        <f>L$163*Population!L$35</f>
        <v>0</v>
      </c>
      <c r="M242" s="69">
        <f>M$163*Population!M$35</f>
        <v>0</v>
      </c>
      <c r="N242" s="69">
        <f>N$163*Population!N$35</f>
        <v>0</v>
      </c>
      <c r="O242" s="69">
        <f>O$163*Population!O$35</f>
        <v>0</v>
      </c>
    </row>
    <row r="243" spans="1:15" x14ac:dyDescent="0.25">
      <c r="A243" s="48"/>
      <c r="B243" s="39"/>
      <c r="C243" s="353" t="s">
        <v>321</v>
      </c>
      <c r="D243" s="99"/>
      <c r="E243" s="48"/>
      <c r="F243" s="48"/>
      <c r="G243" s="48"/>
      <c r="H243" s="48"/>
      <c r="I243" s="48"/>
      <c r="J243" s="48"/>
      <c r="K243" s="48"/>
      <c r="L243" s="48"/>
      <c r="M243" s="48"/>
      <c r="N243" s="48"/>
      <c r="O243" s="48"/>
    </row>
    <row r="244" spans="1:15" x14ac:dyDescent="0.25">
      <c r="A244" s="27"/>
      <c r="B244" s="14"/>
      <c r="C244" s="22" t="s">
        <v>304</v>
      </c>
      <c r="D244" s="113"/>
      <c r="E244" s="69">
        <f>(E$157+E$163+E$164+E$165)*Population!E$34</f>
        <v>0</v>
      </c>
      <c r="F244" s="69">
        <f>(F$157+F$163+F$164+F$165)*Population!F$34</f>
        <v>0</v>
      </c>
      <c r="G244" s="69">
        <f>(G$157+G$163+G$164+G$165)*Population!G$34</f>
        <v>0</v>
      </c>
      <c r="H244" s="69">
        <f>(H$157+H$163+H$164+H$165)*Population!H$34</f>
        <v>0</v>
      </c>
      <c r="I244" s="69">
        <f>(I$157+I$163+I$164+I$165)*Population!I$34</f>
        <v>0</v>
      </c>
      <c r="J244" s="69">
        <f>(J$157+J$163+J$164+J$165)*Population!J$34</f>
        <v>0</v>
      </c>
      <c r="K244" s="69">
        <f>(K$157+K$163+K$164+K$165)*Population!K$34</f>
        <v>0</v>
      </c>
      <c r="L244" s="69">
        <f>(L$157+L$163+L$164+L$165)*Population!L$34</f>
        <v>0</v>
      </c>
      <c r="M244" s="69">
        <f>(M$157+M$163+M$164+M$165)*Population!M$34</f>
        <v>0</v>
      </c>
      <c r="N244" s="69">
        <f>(N$157+N$163+N$164+N$165)*Population!N$34</f>
        <v>0</v>
      </c>
      <c r="O244" s="69">
        <f>(O$157+O$163+O$164+O$165)*Population!O$34</f>
        <v>0</v>
      </c>
    </row>
    <row r="245" spans="1:15" x14ac:dyDescent="0.25">
      <c r="A245" s="27"/>
      <c r="B245" s="14"/>
      <c r="C245" s="22" t="s">
        <v>305</v>
      </c>
      <c r="D245" s="113"/>
      <c r="E245" s="69">
        <f>(E$163+E$164+E$165)*Population!E$35</f>
        <v>0</v>
      </c>
      <c r="F245" s="69">
        <f>(F$163+F$164+F$165)*Population!F$35</f>
        <v>0</v>
      </c>
      <c r="G245" s="69">
        <f>(G$163+G$164+G$165)*Population!G$35</f>
        <v>0</v>
      </c>
      <c r="H245" s="69">
        <f>(H$163+H$164+H$165)*Population!H$35</f>
        <v>0</v>
      </c>
      <c r="I245" s="69">
        <f>(I$163+I$164+I$165)*Population!I$35</f>
        <v>0</v>
      </c>
      <c r="J245" s="69">
        <f>(J$163+J$164+J$165)*Population!J$35</f>
        <v>0</v>
      </c>
      <c r="K245" s="69">
        <f>(K$163+K$164+K$165)*Population!K$35</f>
        <v>0</v>
      </c>
      <c r="L245" s="69">
        <f>(L$163+L$164+L$165)*Population!L$35</f>
        <v>0</v>
      </c>
      <c r="M245" s="69">
        <f>(M$163+M$164+M$165)*Population!M$35</f>
        <v>0</v>
      </c>
      <c r="N245" s="69">
        <f>(N$163+N$164+N$165)*Population!N$35</f>
        <v>0</v>
      </c>
      <c r="O245" s="69">
        <f>(O$163+O$164+O$165)*Population!O$35</f>
        <v>0</v>
      </c>
    </row>
    <row r="246" spans="1:15" x14ac:dyDescent="0.25">
      <c r="A246" s="48"/>
      <c r="B246" s="39"/>
      <c r="C246" s="50"/>
      <c r="D246" s="99"/>
      <c r="E246" s="48"/>
      <c r="F246" s="48"/>
      <c r="G246" s="48"/>
      <c r="H246" s="48"/>
      <c r="I246" s="48"/>
      <c r="J246" s="48"/>
      <c r="K246" s="48"/>
      <c r="L246" s="48"/>
      <c r="M246" s="48"/>
      <c r="N246" s="48"/>
      <c r="O246" s="48"/>
    </row>
    <row r="247" spans="1:15" ht="30" x14ac:dyDescent="0.25">
      <c r="C247" s="323" t="s">
        <v>1357</v>
      </c>
      <c r="N247" s="24"/>
    </row>
    <row r="248" spans="1:15" s="122" customFormat="1" x14ac:dyDescent="0.25">
      <c r="A248" s="766"/>
      <c r="B248" s="760"/>
      <c r="C248" s="767" t="s">
        <v>314</v>
      </c>
      <c r="D248" s="768"/>
      <c r="E248" s="769">
        <f>IFERROR((E$228+E$229)*10^6/E$241,0)</f>
        <v>0</v>
      </c>
      <c r="F248" s="769">
        <f t="shared" ref="F248:O248" si="145">IFERROR((F$228+F$229)*10^6/F$241,0)</f>
        <v>0</v>
      </c>
      <c r="G248" s="769">
        <f t="shared" si="145"/>
        <v>0</v>
      </c>
      <c r="H248" s="769">
        <f t="shared" si="145"/>
        <v>0</v>
      </c>
      <c r="I248" s="769">
        <f t="shared" si="145"/>
        <v>0</v>
      </c>
      <c r="J248" s="769">
        <f t="shared" si="145"/>
        <v>0</v>
      </c>
      <c r="K248" s="769">
        <f t="shared" si="145"/>
        <v>0</v>
      </c>
      <c r="L248" s="769">
        <f t="shared" si="145"/>
        <v>0</v>
      </c>
      <c r="M248" s="769">
        <f t="shared" si="145"/>
        <v>0</v>
      </c>
      <c r="N248" s="769">
        <f t="shared" si="145"/>
        <v>0</v>
      </c>
      <c r="O248" s="769">
        <f t="shared" si="145"/>
        <v>0</v>
      </c>
    </row>
    <row r="249" spans="1:15" s="122" customFormat="1" x14ac:dyDescent="0.25">
      <c r="A249" s="127"/>
      <c r="B249" s="14"/>
      <c r="C249" s="324" t="s">
        <v>315</v>
      </c>
      <c r="D249" s="128"/>
      <c r="E249" s="69">
        <f>IFERROR(E$229*10^6/E$242,0)</f>
        <v>0</v>
      </c>
      <c r="F249" s="69">
        <f t="shared" ref="F249:O249" si="146">IFERROR(F$229*10^6/F$242,0)</f>
        <v>0</v>
      </c>
      <c r="G249" s="69">
        <f t="shared" si="146"/>
        <v>0</v>
      </c>
      <c r="H249" s="69">
        <f t="shared" si="146"/>
        <v>0</v>
      </c>
      <c r="I249" s="69">
        <f t="shared" si="146"/>
        <v>0</v>
      </c>
      <c r="J249" s="69">
        <f t="shared" si="146"/>
        <v>0</v>
      </c>
      <c r="K249" s="69">
        <f t="shared" si="146"/>
        <v>0</v>
      </c>
      <c r="L249" s="69">
        <f t="shared" si="146"/>
        <v>0</v>
      </c>
      <c r="M249" s="69">
        <f t="shared" si="146"/>
        <v>0</v>
      </c>
      <c r="N249" s="69">
        <f t="shared" si="146"/>
        <v>0</v>
      </c>
      <c r="O249" s="69">
        <f t="shared" si="146"/>
        <v>0</v>
      </c>
    </row>
    <row r="250" spans="1:15" x14ac:dyDescent="0.25">
      <c r="C250" s="353" t="s">
        <v>322</v>
      </c>
    </row>
    <row r="251" spans="1:15" s="122" customFormat="1" x14ac:dyDescent="0.25">
      <c r="A251" s="766"/>
      <c r="B251" s="760"/>
      <c r="C251" s="767" t="s">
        <v>314</v>
      </c>
      <c r="D251" s="768"/>
      <c r="E251" s="769">
        <f>IFERROR((E$228+E$229+E$232+E$234)*10^6/E$244,0)</f>
        <v>0</v>
      </c>
      <c r="F251" s="769">
        <f t="shared" ref="F251:O251" si="147">IFERROR((F$228+F$229+F$232+F$234)*10^6/F$244,0)</f>
        <v>0</v>
      </c>
      <c r="G251" s="769">
        <f t="shared" si="147"/>
        <v>0</v>
      </c>
      <c r="H251" s="769">
        <f t="shared" si="147"/>
        <v>0</v>
      </c>
      <c r="I251" s="769">
        <f t="shared" si="147"/>
        <v>0</v>
      </c>
      <c r="J251" s="769">
        <f t="shared" si="147"/>
        <v>0</v>
      </c>
      <c r="K251" s="769">
        <f t="shared" si="147"/>
        <v>0</v>
      </c>
      <c r="L251" s="769">
        <f t="shared" si="147"/>
        <v>0</v>
      </c>
      <c r="M251" s="769">
        <f t="shared" si="147"/>
        <v>0</v>
      </c>
      <c r="N251" s="769">
        <f t="shared" si="147"/>
        <v>0</v>
      </c>
      <c r="O251" s="769">
        <f t="shared" si="147"/>
        <v>0</v>
      </c>
    </row>
    <row r="252" spans="1:15" s="122" customFormat="1" x14ac:dyDescent="0.25">
      <c r="A252" s="127"/>
      <c r="B252" s="14"/>
      <c r="C252" s="324" t="s">
        <v>315</v>
      </c>
      <c r="D252" s="128"/>
      <c r="E252" s="69">
        <f>IFERROR(((E$229+E232+E$234)*10^6)/E$245,0)</f>
        <v>0</v>
      </c>
      <c r="F252" s="69">
        <f t="shared" ref="F252:O252" si="148">IFERROR(((F$229+F232+F$234)*10^6)/F$245,0)</f>
        <v>0</v>
      </c>
      <c r="G252" s="69">
        <f t="shared" si="148"/>
        <v>0</v>
      </c>
      <c r="H252" s="69">
        <f t="shared" si="148"/>
        <v>0</v>
      </c>
      <c r="I252" s="69">
        <f t="shared" si="148"/>
        <v>0</v>
      </c>
      <c r="J252" s="69">
        <f t="shared" si="148"/>
        <v>0</v>
      </c>
      <c r="K252" s="69">
        <f t="shared" si="148"/>
        <v>0</v>
      </c>
      <c r="L252" s="69">
        <f t="shared" si="148"/>
        <v>0</v>
      </c>
      <c r="M252" s="69">
        <f t="shared" si="148"/>
        <v>0</v>
      </c>
      <c r="N252" s="69">
        <f t="shared" si="148"/>
        <v>0</v>
      </c>
      <c r="O252" s="69">
        <f t="shared" si="148"/>
        <v>0</v>
      </c>
    </row>
    <row r="253" spans="1:15" x14ac:dyDescent="0.25">
      <c r="C253" s="323" t="s">
        <v>316</v>
      </c>
    </row>
    <row r="254" spans="1:15" s="122" customFormat="1" x14ac:dyDescent="0.25">
      <c r="A254" s="766"/>
      <c r="B254" s="760"/>
      <c r="C254" s="767" t="s">
        <v>314</v>
      </c>
      <c r="D254" s="768"/>
      <c r="E254" s="769">
        <f>IFERROR((E$228+E$229+E$232+E$234)*10^6/Population!E$24,0)</f>
        <v>0</v>
      </c>
      <c r="F254" s="769">
        <f>IFERROR((F$228+F$229+F$232+F$234)*10^6/Population!F$24,0)</f>
        <v>0</v>
      </c>
      <c r="G254" s="769">
        <f>IFERROR((G$228+G$229+G$232+G$234)*10^6/Population!G$24,0)</f>
        <v>0</v>
      </c>
      <c r="H254" s="769">
        <f>IFERROR((H$228+H$229+H$232+H$234)*10^6/Population!H$24,0)</f>
        <v>0</v>
      </c>
      <c r="I254" s="769">
        <f>IFERROR((I$228+I$229+I$232+I$234)*10^6/Population!I$24,0)</f>
        <v>0</v>
      </c>
      <c r="J254" s="769">
        <f>IFERROR((J$228+J$229+J$232+J$234)*10^6/Population!J$24,0)</f>
        <v>0</v>
      </c>
      <c r="K254" s="769">
        <f>IFERROR((K$228+K$229+K$232+K$234)*10^6/Population!K$24,0)</f>
        <v>0</v>
      </c>
      <c r="L254" s="769">
        <f>IFERROR((L$228+L$229+L$232+L$234)*10^6/Population!L$24,0)</f>
        <v>0</v>
      </c>
      <c r="M254" s="769">
        <f>IFERROR((M$228+M$229+M$232+M$234)*10^6/Population!M$24,0)</f>
        <v>0</v>
      </c>
      <c r="N254" s="769">
        <f>IFERROR((N$228+N$229+N$232+N$234)*10^6/Population!N$24,0)</f>
        <v>0</v>
      </c>
      <c r="O254" s="769">
        <f>IFERROR((O$228+O$229+O$232+O$234)*10^6/Population!O$24,0)</f>
        <v>0</v>
      </c>
    </row>
    <row r="255" spans="1:15" s="122" customFormat="1" x14ac:dyDescent="0.25">
      <c r="A255" s="127"/>
      <c r="B255" s="14"/>
      <c r="C255" s="324" t="s">
        <v>315</v>
      </c>
      <c r="D255" s="128"/>
      <c r="E255" s="69">
        <f>IFERROR((E$229+E$232+E$234)*10^6/Population!E$23,0)</f>
        <v>0</v>
      </c>
      <c r="F255" s="69">
        <f>IFERROR((F$229+F$232+F$234)*10^6/Population!F$23,0)</f>
        <v>0</v>
      </c>
      <c r="G255" s="69">
        <f>IFERROR((G$229+G$232+G$234)*10^6/Population!G$23,0)</f>
        <v>0</v>
      </c>
      <c r="H255" s="69">
        <f>IFERROR((H$229+H$232+H$234)*10^6/Population!H$23,0)</f>
        <v>0</v>
      </c>
      <c r="I255" s="69">
        <f>IFERROR((I$229+I$232+I$234)*10^6/Population!I$23,0)</f>
        <v>0</v>
      </c>
      <c r="J255" s="69">
        <f>IFERROR((J$229+J$232+J$234)*10^6/Population!J$23,0)</f>
        <v>0</v>
      </c>
      <c r="K255" s="69">
        <f>IFERROR((K$229+K$232+K$234)*10^6/Population!K$23,0)</f>
        <v>0</v>
      </c>
      <c r="L255" s="69">
        <f>IFERROR((L$229+L$232+L$234)*10^6/Population!L$23,0)</f>
        <v>0</v>
      </c>
      <c r="M255" s="69">
        <f>IFERROR((M$229+M$232+M$234)*10^6/Population!M$23,0)</f>
        <v>0</v>
      </c>
      <c r="N255" s="69">
        <f>IFERROR((N$229+N$232+N$234)*10^6/Population!N$23,0)</f>
        <v>0</v>
      </c>
      <c r="O255" s="69">
        <f>IFERROR((O$229+O$232+O$234)*10^6/Population!O$23,0)</f>
        <v>0</v>
      </c>
    </row>
    <row r="256" spans="1:15" x14ac:dyDescent="0.25">
      <c r="E256" s="17" t="s">
        <v>107</v>
      </c>
      <c r="F256" s="171" t="s">
        <v>1082</v>
      </c>
    </row>
    <row r="257" spans="1:15" s="80" customFormat="1" x14ac:dyDescent="0.25">
      <c r="A257" s="762"/>
      <c r="B257" s="742"/>
      <c r="C257" s="763" t="s">
        <v>323</v>
      </c>
      <c r="D257" s="764"/>
      <c r="E257" s="765">
        <f>IF($F$256="Popn. served",E$251,E$254)</f>
        <v>0</v>
      </c>
      <c r="F257" s="765">
        <f>IF($F$256="Popn. served",F$251,F$254)</f>
        <v>0</v>
      </c>
      <c r="G257" s="765">
        <f t="shared" ref="G257:O257" si="149">IF($F$256="Popn. served",G$251,G$254)</f>
        <v>0</v>
      </c>
      <c r="H257" s="765">
        <f t="shared" si="149"/>
        <v>0</v>
      </c>
      <c r="I257" s="765">
        <f t="shared" si="149"/>
        <v>0</v>
      </c>
      <c r="J257" s="765">
        <f t="shared" si="149"/>
        <v>0</v>
      </c>
      <c r="K257" s="765">
        <f t="shared" si="149"/>
        <v>0</v>
      </c>
      <c r="L257" s="765">
        <f t="shared" si="149"/>
        <v>0</v>
      </c>
      <c r="M257" s="765">
        <f t="shared" si="149"/>
        <v>0</v>
      </c>
      <c r="N257" s="765">
        <f t="shared" si="149"/>
        <v>0</v>
      </c>
      <c r="O257" s="765">
        <f t="shared" si="149"/>
        <v>0</v>
      </c>
    </row>
    <row r="259" spans="1:15" x14ac:dyDescent="0.25">
      <c r="C259" s="1175" t="s">
        <v>1358</v>
      </c>
    </row>
    <row r="260" spans="1:15" s="122" customFormat="1" x14ac:dyDescent="0.25">
      <c r="A260" s="766"/>
      <c r="B260" s="760"/>
      <c r="C260" s="767" t="s">
        <v>314</v>
      </c>
      <c r="D260" s="768"/>
      <c r="E260" s="769">
        <f t="shared" ref="E260:O260" si="150">IFERROR((E8*10^6)/E244,0)</f>
        <v>0</v>
      </c>
      <c r="F260" s="769">
        <f t="shared" si="150"/>
        <v>0</v>
      </c>
      <c r="G260" s="769">
        <f t="shared" si="150"/>
        <v>0</v>
      </c>
      <c r="H260" s="769">
        <f t="shared" si="150"/>
        <v>0</v>
      </c>
      <c r="I260" s="769">
        <f t="shared" si="150"/>
        <v>0</v>
      </c>
      <c r="J260" s="769">
        <f t="shared" si="150"/>
        <v>0</v>
      </c>
      <c r="K260" s="769">
        <f t="shared" si="150"/>
        <v>0</v>
      </c>
      <c r="L260" s="769">
        <f t="shared" si="150"/>
        <v>0</v>
      </c>
      <c r="M260" s="769">
        <f t="shared" si="150"/>
        <v>0</v>
      </c>
      <c r="N260" s="769">
        <f t="shared" si="150"/>
        <v>0</v>
      </c>
      <c r="O260" s="769">
        <f t="shared" si="150"/>
        <v>0</v>
      </c>
    </row>
    <row r="262" spans="1:15" s="77" customFormat="1" x14ac:dyDescent="0.25">
      <c r="A262" s="11" t="s">
        <v>118</v>
      </c>
      <c r="B262" s="11" t="s">
        <v>759</v>
      </c>
      <c r="C262" s="330"/>
      <c r="D262" s="271"/>
      <c r="E262" s="163"/>
      <c r="F262" s="366"/>
      <c r="G262" s="366"/>
      <c r="H262" s="366"/>
      <c r="I262" s="366"/>
      <c r="J262" s="366"/>
      <c r="K262" s="366"/>
      <c r="L262" s="366"/>
      <c r="M262" s="366"/>
      <c r="N262" s="366"/>
      <c r="O262" s="366"/>
    </row>
    <row r="263" spans="1:15" s="275" customFormat="1" x14ac:dyDescent="0.25">
      <c r="A263" s="272"/>
      <c r="B263" s="273" t="s">
        <v>3</v>
      </c>
      <c r="C263" s="331" t="s">
        <v>4</v>
      </c>
      <c r="D263" s="274" t="s">
        <v>33</v>
      </c>
      <c r="E263" s="273">
        <f>E$3</f>
        <v>2014</v>
      </c>
      <c r="F263" s="273">
        <f t="shared" ref="F263:O263" si="151">F$3</f>
        <v>2015</v>
      </c>
      <c r="G263" s="273">
        <f t="shared" si="151"/>
        <v>2016</v>
      </c>
      <c r="H263" s="273">
        <f t="shared" si="151"/>
        <v>2017</v>
      </c>
      <c r="I263" s="273">
        <f t="shared" si="151"/>
        <v>2018</v>
      </c>
      <c r="J263" s="273">
        <f t="shared" si="151"/>
        <v>2019</v>
      </c>
      <c r="K263" s="273">
        <f t="shared" si="151"/>
        <v>2020</v>
      </c>
      <c r="L263" s="273">
        <f t="shared" si="151"/>
        <v>2021</v>
      </c>
      <c r="M263" s="273">
        <f t="shared" si="151"/>
        <v>2022</v>
      </c>
      <c r="N263" s="273">
        <f t="shared" si="151"/>
        <v>2023</v>
      </c>
      <c r="O263" s="273">
        <f t="shared" si="151"/>
        <v>2024</v>
      </c>
    </row>
    <row r="264" spans="1:15" s="77" customFormat="1" x14ac:dyDescent="0.25">
      <c r="A264" s="741"/>
      <c r="B264" s="742"/>
      <c r="C264" s="743" t="s">
        <v>764</v>
      </c>
      <c r="D264" s="744" t="s">
        <v>18</v>
      </c>
      <c r="E264" s="782">
        <f>IFERROR('WS Plan'!$H$216,0)</f>
        <v>0</v>
      </c>
      <c r="F264" s="782">
        <f>IFERROR(E264+IF('WS Plan'!$E$215="Activate",IF(AND('WS calcu'!F263&gt;='WS Plan'!$G$215,'WS calcu'!F263&lt;'WS Plan'!$H$215+1),('WS Plan'!$H$217-'WS Plan'!$H$216)/('WS Plan'!$H$215+1-'WS Plan'!$G$215),0),0),0)</f>
        <v>0</v>
      </c>
      <c r="G264" s="782">
        <f>IFERROR(F264+IF('WS Plan'!$E$215="Activate",IF(AND('WS calcu'!G263&gt;='WS Plan'!$G$215,'WS calcu'!G263&lt;'WS Plan'!$H$215+1),('WS Plan'!$H$217-'WS Plan'!$H$216)/('WS Plan'!$H$215+1-'WS Plan'!$G$215),0),0),0)</f>
        <v>0</v>
      </c>
      <c r="H264" s="782">
        <f>IFERROR(G264+IF('WS Plan'!$E$215="Activate",IF(AND('WS calcu'!H263&gt;='WS Plan'!$G$215,'WS calcu'!H263&lt;'WS Plan'!$H$215+1),('WS Plan'!$H$217-'WS Plan'!$H$216)/('WS Plan'!$H$215+1-'WS Plan'!$G$215),0),0),0)</f>
        <v>0</v>
      </c>
      <c r="I264" s="782">
        <f>IFERROR(H264+IF('WS Plan'!$E$215="Activate",IF(AND('WS calcu'!I263&gt;='WS Plan'!$G$215,'WS calcu'!I263&lt;'WS Plan'!$H$215+1),('WS Plan'!$H$217-'WS Plan'!$H$216)/('WS Plan'!$H$215+1-'WS Plan'!$G$215),0),0),0)</f>
        <v>0</v>
      </c>
      <c r="J264" s="782">
        <f>IFERROR(I264+IF('WS Plan'!$E$215="Activate",IF(AND('WS calcu'!J263&gt;='WS Plan'!$G$215,'WS calcu'!J263&lt;'WS Plan'!$H$215+1),('WS Plan'!$H$217-'WS Plan'!$H$216)/('WS Plan'!$H$215+1-'WS Plan'!$G$215),0),0),0)</f>
        <v>0</v>
      </c>
      <c r="K264" s="782">
        <f>IFERROR(J264+IF('WS Plan'!$E$215="Activate",IF(AND('WS calcu'!K263&gt;='WS Plan'!$G$215,'WS calcu'!K263&lt;'WS Plan'!$H$215+1),('WS Plan'!$H$217-'WS Plan'!$H$216)/('WS Plan'!$H$215+1-'WS Plan'!$G$215),0),0),0)</f>
        <v>0</v>
      </c>
      <c r="L264" s="782">
        <f>IFERROR(K264+IF('WS Plan'!$E$215="Activate",IF(AND('WS calcu'!L263&gt;='WS Plan'!$G$215,'WS calcu'!L263&lt;'WS Plan'!$H$215+1),('WS Plan'!$H$217-'WS Plan'!$H$216)/('WS Plan'!$H$215+1-'WS Plan'!$G$215),0),0),0)</f>
        <v>0</v>
      </c>
      <c r="M264" s="782">
        <f>IFERROR(L264+IF('WS Plan'!$E$215="Activate",IF(AND('WS calcu'!M263&gt;='WS Plan'!$G$215,'WS calcu'!M263&lt;'WS Plan'!$H$215+1),('WS Plan'!$H$217-'WS Plan'!$H$216)/('WS Plan'!$H$215+1-'WS Plan'!$G$215),0),0),0)</f>
        <v>0</v>
      </c>
      <c r="N264" s="782">
        <f>IFERROR(M264+IF('WS Plan'!$E$215="Activate",IF(AND('WS calcu'!N263&gt;='WS Plan'!$G$215,'WS calcu'!N263&lt;'WS Plan'!$H$215+1),('WS Plan'!$H$217-'WS Plan'!$H$216)/('WS Plan'!$H$215+1-'WS Plan'!$G$215),0),0),0)</f>
        <v>0</v>
      </c>
      <c r="O264" s="782">
        <f>IFERROR(N264+IF('WS Plan'!$E$215="Activate",IF(AND('WS calcu'!O263&gt;='WS Plan'!$G$215,'WS calcu'!O263&lt;'WS Plan'!$H$215+1),('WS Plan'!$H$217-'WS Plan'!$H$216)/('WS Plan'!$H$215+1-'WS Plan'!$G$215),0),0),0)</f>
        <v>0</v>
      </c>
    </row>
    <row r="265" spans="1:15" s="77" customFormat="1" x14ac:dyDescent="0.25">
      <c r="A265" s="741"/>
      <c r="B265" s="742"/>
      <c r="C265" s="743" t="s">
        <v>906</v>
      </c>
      <c r="D265" s="744"/>
      <c r="E265" s="783">
        <f>'WS Plan'!H81</f>
        <v>0</v>
      </c>
      <c r="F265" s="784">
        <f>E265+IF('WS Plan'!$E$80="Activate",IF(AND('WS calcu'!F263&gt;='WS Plan'!$G$80,'WS calcu'!F263&lt;'WS Plan'!$H$80+1),('WS Plan'!$H$83-'WS Plan'!$H$81)/('WS Plan'!$H$80+1-'WS Plan'!$G$80),0),0)</f>
        <v>0</v>
      </c>
      <c r="G265" s="784">
        <f>F265+IF('WS Plan'!$E$80="Activate",IF(AND('WS calcu'!G263&gt;='WS Plan'!$G$80,'WS calcu'!G263&lt;'WS Plan'!$H$80+1),('WS Plan'!$H$83-'WS Plan'!$H$81)/('WS Plan'!$H$80+1-'WS Plan'!$G$80),0),0)</f>
        <v>0</v>
      </c>
      <c r="H265" s="784">
        <f>G265+IF('WS Plan'!$E$80="Activate",IF(AND('WS calcu'!H263&gt;='WS Plan'!$G$80,'WS calcu'!H263&lt;'WS Plan'!$H$80+1),('WS Plan'!$H$83-'WS Plan'!$H$81)/('WS Plan'!$H$80+1-'WS Plan'!$G$80),0),0)</f>
        <v>0</v>
      </c>
      <c r="I265" s="784">
        <f>H265+IF('WS Plan'!$E$80="Activate",IF(AND('WS calcu'!I263&gt;='WS Plan'!$G$80,'WS calcu'!I263&lt;'WS Plan'!$H$80+1),('WS Plan'!$H$83-'WS Plan'!$H$81)/('WS Plan'!$H$80+1-'WS Plan'!$G$80),0),0)</f>
        <v>0</v>
      </c>
      <c r="J265" s="784">
        <f>I265+IF('WS Plan'!$E$80="Activate",IF(AND('WS calcu'!J263&gt;='WS Plan'!$G$80,'WS calcu'!J263&lt;'WS Plan'!$H$80+1),('WS Plan'!$H$83-'WS Plan'!$H$81)/('WS Plan'!$H$80+1-'WS Plan'!$G$80),0),0)</f>
        <v>0</v>
      </c>
      <c r="K265" s="784">
        <f>J265+IF('WS Plan'!$E$80="Activate",IF(AND('WS calcu'!K263&gt;='WS Plan'!$G$80,'WS calcu'!K263&lt;'WS Plan'!$H$80+1),('WS Plan'!$H$83-'WS Plan'!$H$81)/('WS Plan'!$H$80+1-'WS Plan'!$G$80),0),0)</f>
        <v>0</v>
      </c>
      <c r="L265" s="784">
        <f>K265+IF('WS Plan'!$E$80="Activate",IF(AND('WS calcu'!L263&gt;='WS Plan'!$G$80,'WS calcu'!L263&lt;'WS Plan'!$H$80+1),('WS Plan'!$H$83-'WS Plan'!$H$81)/('WS Plan'!$H$80+1-'WS Plan'!$G$80),0),0)</f>
        <v>0</v>
      </c>
      <c r="M265" s="784">
        <f>L265+IF('WS Plan'!$E$80="Activate",IF(AND('WS calcu'!M263&gt;='WS Plan'!$G$80,'WS calcu'!M263&lt;'WS Plan'!$H$80+1),('WS Plan'!$H$83-'WS Plan'!$H$81)/('WS Plan'!$H$80+1-'WS Plan'!$G$80),0),0)</f>
        <v>0</v>
      </c>
      <c r="N265" s="784">
        <f>M265+IF('WS Plan'!$E$80="Activate",IF(AND('WS calcu'!N263&gt;='WS Plan'!$G$80,'WS calcu'!N263&lt;'WS Plan'!$H$80+1),('WS Plan'!$H$83-'WS Plan'!$H$81)/('WS Plan'!$H$80+1-'WS Plan'!$G$80),0),0)</f>
        <v>0</v>
      </c>
      <c r="O265" s="784">
        <f>N265+IF('WS Plan'!$E$80="Activate",IF(AND('WS calcu'!O263&gt;='WS Plan'!$G$80,'WS calcu'!O263&lt;'WS Plan'!$H$80+1),('WS Plan'!$H$83-'WS Plan'!$H$81)/('WS Plan'!$H$80+1-'WS Plan'!$G$80),0),0)</f>
        <v>0</v>
      </c>
    </row>
    <row r="266" spans="1:15" s="77" customFormat="1" x14ac:dyDescent="0.25">
      <c r="A266" s="741"/>
      <c r="B266" s="742"/>
      <c r="C266" s="743" t="s">
        <v>763</v>
      </c>
      <c r="D266" s="744"/>
      <c r="E266" s="783">
        <f>'WS Plan'!H82</f>
        <v>0</v>
      </c>
      <c r="F266" s="784">
        <f>E266+IF('WS Plan'!$E$80="Activate",IF(AND('WS calcu'!F263&gt;='WS Plan'!$G$80,'WS calcu'!F263&lt;'WS Plan'!$H$80+1),('WS Plan'!$H$84-'WS Plan'!$H$82)/('WS Plan'!$H$80+1-'WS Plan'!$G$80),0),0)</f>
        <v>0</v>
      </c>
      <c r="G266" s="784">
        <f>F266+IF('WS Plan'!$E$80="Activate",IF(AND('WS calcu'!G263&gt;='WS Plan'!$G$80,'WS calcu'!G263&lt;'WS Plan'!$H$80+1),('WS Plan'!$H$84-'WS Plan'!$H$82)/('WS Plan'!$H$80+1-'WS Plan'!$G$80),0),0)</f>
        <v>0</v>
      </c>
      <c r="H266" s="784">
        <f>G266+IF('WS Plan'!$E$80="Activate",IF(AND('WS calcu'!H263&gt;='WS Plan'!$G$80,'WS calcu'!H263&lt;'WS Plan'!$H$80+1),('WS Plan'!$H$84-'WS Plan'!$H$82)/('WS Plan'!$H$80+1-'WS Plan'!$G$80),0),0)</f>
        <v>0</v>
      </c>
      <c r="I266" s="784">
        <f>H266+IF('WS Plan'!$E$80="Activate",IF(AND('WS calcu'!I263&gt;='WS Plan'!$G$80,'WS calcu'!I263&lt;'WS Plan'!$H$80+1),('WS Plan'!$H$84-'WS Plan'!$H$82)/('WS Plan'!$H$80+1-'WS Plan'!$G$80),0),0)</f>
        <v>0</v>
      </c>
      <c r="J266" s="784">
        <f>I266+IF('WS Plan'!$E$80="Activate",IF(AND('WS calcu'!J263&gt;='WS Plan'!$G$80,'WS calcu'!J263&lt;'WS Plan'!$H$80+1),('WS Plan'!$H$84-'WS Plan'!$H$82)/('WS Plan'!$H$80+1-'WS Plan'!$G$80),0),0)</f>
        <v>0</v>
      </c>
      <c r="K266" s="784">
        <f>J266+IF('WS Plan'!$E$80="Activate",IF(AND('WS calcu'!K263&gt;='WS Plan'!$G$80,'WS calcu'!K263&lt;'WS Plan'!$H$80+1),('WS Plan'!$H$84-'WS Plan'!$H$82)/('WS Plan'!$H$80+1-'WS Plan'!$G$80),0),0)</f>
        <v>0</v>
      </c>
      <c r="L266" s="784">
        <f>K266+IF('WS Plan'!$E$80="Activate",IF(AND('WS calcu'!L263&gt;='WS Plan'!$G$80,'WS calcu'!L263&lt;'WS Plan'!$H$80+1),('WS Plan'!$H$84-'WS Plan'!$H$82)/('WS Plan'!$H$80+1-'WS Plan'!$G$80),0),0)</f>
        <v>0</v>
      </c>
      <c r="M266" s="784">
        <f>L266+IF('WS Plan'!$E$80="Activate",IF(AND('WS calcu'!M263&gt;='WS Plan'!$G$80,'WS calcu'!M263&lt;'WS Plan'!$H$80+1),('WS Plan'!$H$84-'WS Plan'!$H$82)/('WS Plan'!$H$80+1-'WS Plan'!$G$80),0),0)</f>
        <v>0</v>
      </c>
      <c r="N266" s="784">
        <f>M266+IF('WS Plan'!$E$80="Activate",IF(AND('WS calcu'!N263&gt;='WS Plan'!$G$80,'WS calcu'!N263&lt;'WS Plan'!$H$80+1),('WS Plan'!$H$84-'WS Plan'!$H$82)/('WS Plan'!$H$80+1-'WS Plan'!$G$80),0),0)</f>
        <v>0</v>
      </c>
      <c r="O266" s="784">
        <f>N266+IF('WS Plan'!$E$80="Activate",IF(AND('WS calcu'!O263&gt;='WS Plan'!$G$80,'WS calcu'!O263&lt;'WS Plan'!$H$80+1),('WS Plan'!$H$84-'WS Plan'!$H$82)/('WS Plan'!$H$80+1-'WS Plan'!$G$80),0),0)</f>
        <v>0</v>
      </c>
    </row>
    <row r="267" spans="1:15" s="77" customFormat="1" ht="30" x14ac:dyDescent="0.25">
      <c r="A267" s="741"/>
      <c r="B267" s="742"/>
      <c r="C267" s="743" t="s">
        <v>907</v>
      </c>
      <c r="D267" s="744"/>
      <c r="E267" s="783">
        <f>E265*E266/30</f>
        <v>0</v>
      </c>
      <c r="F267" s="783">
        <f t="shared" ref="F267:O267" si="152">F265*F266/30</f>
        <v>0</v>
      </c>
      <c r="G267" s="783">
        <f t="shared" si="152"/>
        <v>0</v>
      </c>
      <c r="H267" s="783">
        <f t="shared" si="152"/>
        <v>0</v>
      </c>
      <c r="I267" s="783">
        <f t="shared" si="152"/>
        <v>0</v>
      </c>
      <c r="J267" s="783">
        <f t="shared" si="152"/>
        <v>0</v>
      </c>
      <c r="K267" s="783">
        <f t="shared" si="152"/>
        <v>0</v>
      </c>
      <c r="L267" s="783">
        <f t="shared" si="152"/>
        <v>0</v>
      </c>
      <c r="M267" s="783">
        <f t="shared" si="152"/>
        <v>0</v>
      </c>
      <c r="N267" s="783">
        <f t="shared" si="152"/>
        <v>0</v>
      </c>
      <c r="O267" s="783">
        <f t="shared" si="152"/>
        <v>0</v>
      </c>
    </row>
    <row r="268" spans="1:15" s="77" customFormat="1" x14ac:dyDescent="0.25">
      <c r="A268" s="741"/>
      <c r="B268" s="742"/>
      <c r="C268" s="743" t="s">
        <v>754</v>
      </c>
      <c r="D268" s="744"/>
      <c r="E268" s="782">
        <f>MIN('WS Plan'!H89,100%)</f>
        <v>0</v>
      </c>
      <c r="F268" s="782">
        <f>MIN(E268+IF('WS Plan'!$E$87="Activate",IF(AND('WS calcu'!F263&gt;='WS Plan'!$G$87,'WS calcu'!F263&lt;'WS Plan'!$H$87+1),('WS Plan'!$H$91-'WS Plan'!$H$89)/('WS Plan'!$H$87+1-'WS Plan'!$G$87),0),0),100%)</f>
        <v>0</v>
      </c>
      <c r="G268" s="782">
        <f>MIN(F268+IF('WS Plan'!$E$87="Activate",IF(AND('WS calcu'!G263&gt;='WS Plan'!$G$87,'WS calcu'!G263&lt;'WS Plan'!$H$87+1),('WS Plan'!$H$91-'WS Plan'!$H$89)/('WS Plan'!$H$87+1-'WS Plan'!$G$87),0),0),100%)</f>
        <v>0</v>
      </c>
      <c r="H268" s="782">
        <f>MIN(G268+IF('WS Plan'!$E$87="Activate",IF(AND('WS calcu'!H263&gt;='WS Plan'!$G$87,'WS calcu'!H263&lt;'WS Plan'!$H$87+1),('WS Plan'!$H$91-'WS Plan'!$H$89)/('WS Plan'!$H$87+1-'WS Plan'!$G$87),0),0),100%)</f>
        <v>0</v>
      </c>
      <c r="I268" s="782">
        <f>MIN(H268+IF('WS Plan'!$E$87="Activate",IF(AND('WS calcu'!I263&gt;='WS Plan'!$G$87,'WS calcu'!I263&lt;'WS Plan'!$H$87+1),('WS Plan'!$H$91-'WS Plan'!$H$89)/('WS Plan'!$H$87+1-'WS Plan'!$G$87),0),0),100%)</f>
        <v>0</v>
      </c>
      <c r="J268" s="782">
        <f>MIN(I268+IF('WS Plan'!$E$87="Activate",IF(AND('WS calcu'!J263&gt;='WS Plan'!$G$87,'WS calcu'!J263&lt;'WS Plan'!$H$87+1),('WS Plan'!$H$91-'WS Plan'!$H$89)/('WS Plan'!$H$87+1-'WS Plan'!$G$87),0),0),100%)</f>
        <v>0</v>
      </c>
      <c r="K268" s="782">
        <f>MIN(J268+IF('WS Plan'!$E$87="Activate",IF(AND('WS calcu'!K263&gt;='WS Plan'!$G$87,'WS calcu'!K263&lt;'WS Plan'!$H$87+1),('WS Plan'!$H$91-'WS Plan'!$H$89)/('WS Plan'!$H$87+1-'WS Plan'!$G$87),0),0),100%)</f>
        <v>0</v>
      </c>
      <c r="L268" s="782">
        <f>MIN(K268+IF('WS Plan'!$E$87="Activate",IF(AND('WS calcu'!L263&gt;='WS Plan'!$G$87,'WS calcu'!L263&lt;'WS Plan'!$H$87+1),('WS Plan'!$H$91-'WS Plan'!$H$89)/('WS Plan'!$H$87+1-'WS Plan'!$G$87),0),0),100%)</f>
        <v>0</v>
      </c>
      <c r="M268" s="782">
        <f>MIN(L268+IF('WS Plan'!$E$87="Activate",IF(AND('WS calcu'!M263&gt;='WS Plan'!$G$87,'WS calcu'!M263&lt;'WS Plan'!$H$87+1),('WS Plan'!$H$91-'WS Plan'!$H$89)/('WS Plan'!$H$87+1-'WS Plan'!$G$87),0),0),100%)</f>
        <v>0</v>
      </c>
      <c r="N268" s="782">
        <f>MIN(M268+IF('WS Plan'!$E$87="Activate",IF(AND('WS calcu'!N263&gt;='WS Plan'!$G$87,'WS calcu'!N263&lt;'WS Plan'!$H$87+1),('WS Plan'!$H$91-'WS Plan'!$H$89)/('WS Plan'!$H$87+1-'WS Plan'!$G$87),0),0),100%)</f>
        <v>0</v>
      </c>
      <c r="O268" s="782">
        <f>MIN(N268+IF('WS Plan'!$E$87="Activate",IF(AND('WS calcu'!O263&gt;='WS Plan'!$G$87,'WS calcu'!O263&lt;'WS Plan'!$H$87+1),('WS Plan'!$H$91-'WS Plan'!$H$89)/('WS Plan'!$H$87+1-'WS Plan'!$G$87),0),0),100%)</f>
        <v>0</v>
      </c>
    </row>
    <row r="269" spans="1:15" customFormat="1" x14ac:dyDescent="0.25"/>
    <row r="270" spans="1:15" customFormat="1" x14ac:dyDescent="0.25">
      <c r="E270" s="994"/>
    </row>
    <row r="271" spans="1:15" x14ac:dyDescent="0.25">
      <c r="A271" s="11" t="s">
        <v>119</v>
      </c>
      <c r="B271" s="11" t="s">
        <v>120</v>
      </c>
      <c r="C271" s="309"/>
      <c r="E271" s="138"/>
    </row>
    <row r="272" spans="1:15" x14ac:dyDescent="0.25">
      <c r="B272" s="13" t="s">
        <v>3</v>
      </c>
      <c r="C272" s="310" t="s">
        <v>4</v>
      </c>
      <c r="D272" s="13" t="s">
        <v>33</v>
      </c>
      <c r="E272" s="13">
        <f>E$3</f>
        <v>2014</v>
      </c>
      <c r="F272" s="13">
        <f t="shared" ref="F272:O272" si="153">F$3</f>
        <v>2015</v>
      </c>
      <c r="G272" s="13">
        <f t="shared" si="153"/>
        <v>2016</v>
      </c>
      <c r="H272" s="13">
        <f t="shared" si="153"/>
        <v>2017</v>
      </c>
      <c r="I272" s="13">
        <f t="shared" si="153"/>
        <v>2018</v>
      </c>
      <c r="J272" s="13">
        <f t="shared" si="153"/>
        <v>2019</v>
      </c>
      <c r="K272" s="13">
        <f t="shared" si="153"/>
        <v>2020</v>
      </c>
      <c r="L272" s="13">
        <f t="shared" si="153"/>
        <v>2021</v>
      </c>
      <c r="M272" s="13">
        <f t="shared" si="153"/>
        <v>2022</v>
      </c>
      <c r="N272" s="13">
        <f t="shared" si="153"/>
        <v>2023</v>
      </c>
      <c r="O272" s="13">
        <f t="shared" si="153"/>
        <v>2024</v>
      </c>
    </row>
    <row r="273" spans="1:15" x14ac:dyDescent="0.25">
      <c r="A273" s="195"/>
      <c r="B273" s="196"/>
      <c r="C273" s="197" t="s">
        <v>908</v>
      </c>
      <c r="D273" s="198"/>
      <c r="E273" s="196"/>
      <c r="F273" s="196"/>
      <c r="G273" s="196"/>
      <c r="H273" s="196"/>
      <c r="I273" s="196"/>
      <c r="J273" s="196"/>
      <c r="K273" s="196"/>
      <c r="L273" s="196"/>
      <c r="M273" s="196"/>
      <c r="N273" s="196"/>
      <c r="O273" s="196"/>
    </row>
    <row r="274" spans="1:15" x14ac:dyDescent="0.25">
      <c r="B274" s="14"/>
      <c r="C274" s="18" t="s">
        <v>258</v>
      </c>
      <c r="D274" s="885">
        <f>'WS Plan'!H208</f>
        <v>0</v>
      </c>
      <c r="E274" s="20">
        <f>ROUND(IF('WS Plan'!$E$206="Activate",IF(AND('WS calcu'!E$272&gt;='WS Plan'!$G$206,'WS calcu'!E$272&lt;'WS Plan'!$H$206+1),$D274/('WS Plan'!$H$206+1-'WS Plan'!$G$206),0)),0)</f>
        <v>0</v>
      </c>
      <c r="F274" s="20">
        <f>ROUND(IF('WS Plan'!$E$206="Activate",IF(AND('WS calcu'!F$272&gt;='WS Plan'!$G$206,'WS calcu'!F$272&lt;'WS Plan'!$H$206+1),$D274/('WS Plan'!$H$206+1-'WS Plan'!$G$206),0)),0)+E274</f>
        <v>0</v>
      </c>
      <c r="G274" s="20">
        <f>ROUND(IF('WS Plan'!$E$206="Activate",IF(AND('WS calcu'!G$272&gt;='WS Plan'!$G$206,'WS calcu'!G$272&lt;'WS Plan'!$H$206+1),$D274/('WS Plan'!$H$206+1-'WS Plan'!$G$206),0)),0)+F274</f>
        <v>0</v>
      </c>
      <c r="H274" s="20">
        <f>ROUND(IF('WS Plan'!$E$206="Activate",IF(AND('WS calcu'!H$272&gt;='WS Plan'!$G$206,'WS calcu'!H$272&lt;'WS Plan'!$H$206+1),$D274/('WS Plan'!$H$206+1-'WS Plan'!$G$206),0)),0)+G274</f>
        <v>0</v>
      </c>
      <c r="I274" s="20">
        <f>ROUND(IF('WS Plan'!$E$206="Activate",IF(AND('WS calcu'!I$272&gt;='WS Plan'!$G$206,'WS calcu'!I$272&lt;'WS Plan'!$H$206+1),$D274/('WS Plan'!$H$206+1-'WS Plan'!$G$206),0)),0)+H274</f>
        <v>0</v>
      </c>
      <c r="J274" s="20">
        <f>ROUND(IF('WS Plan'!$E$206="Activate",IF(AND('WS calcu'!J$272&gt;='WS Plan'!$G$206,'WS calcu'!J$272&lt;'WS Plan'!$H$206+1),$D274/('WS Plan'!$H$206+1-'WS Plan'!$G$206),0)),0)+I274</f>
        <v>0</v>
      </c>
      <c r="K274" s="20">
        <f>ROUND(IF('WS Plan'!$E$206="Activate",IF(AND('WS calcu'!K$272&gt;='WS Plan'!$G$206,'WS calcu'!K$272&lt;'WS Plan'!$H$206+1),$D274/('WS Plan'!$H$206+1-'WS Plan'!$G$206),0)),0)+J274</f>
        <v>0</v>
      </c>
      <c r="L274" s="20">
        <f>ROUND(IF('WS Plan'!$E$206="Activate",IF(AND('WS calcu'!L$272&gt;='WS Plan'!$G$206,'WS calcu'!L$272&lt;'WS Plan'!$H$206+1),$D274/('WS Plan'!$H$206+1-'WS Plan'!$G$206),0)),0)+K274</f>
        <v>0</v>
      </c>
      <c r="M274" s="20">
        <f>ROUND(IF('WS Plan'!$E$206="Activate",IF(AND('WS calcu'!M$272&gt;='WS Plan'!$G$206,'WS calcu'!M$272&lt;'WS Plan'!$H$206+1),$D274/('WS Plan'!$H$206+1-'WS Plan'!$G$206),0)),0)+L274</f>
        <v>0</v>
      </c>
      <c r="N274" s="20">
        <f>ROUND(IF('WS Plan'!$E$206="Activate",IF(AND('WS calcu'!N$272&gt;='WS Plan'!$G$206,'WS calcu'!N$272&lt;'WS Plan'!$H$206+1),$D274/('WS Plan'!$H$206+1-'WS Plan'!$G$206),0)),0)+M274</f>
        <v>0</v>
      </c>
      <c r="O274" s="20">
        <f>ROUND(IF('WS Plan'!$E$206="Activate",IF(AND('WS calcu'!O$272&gt;='WS Plan'!$G$206,'WS calcu'!O$272&lt;'WS Plan'!$H$206+1),$D274/('WS Plan'!$H$206+1-'WS Plan'!$G$206),0)),0)+N274</f>
        <v>0</v>
      </c>
    </row>
    <row r="275" spans="1:15" x14ac:dyDescent="0.25">
      <c r="B275" s="14"/>
      <c r="C275" s="18" t="s">
        <v>257</v>
      </c>
      <c r="D275" s="885">
        <f>'WS Plan'!H209</f>
        <v>0</v>
      </c>
      <c r="E275" s="20">
        <f>ROUND(IF('WS Plan'!$E$206="Activate",IF(AND('WS calcu'!E$272&gt;='WS Plan'!$G$206,'WS calcu'!E$272&lt;'WS Plan'!$H$206+1),$D275/('WS Plan'!$H$206+1-'WS Plan'!$G$206),0)),0)</f>
        <v>0</v>
      </c>
      <c r="F275" s="20">
        <f>ROUND(IF('WS Plan'!$E$206="Activate",IF(AND('WS calcu'!F$272&gt;='WS Plan'!$G$206,'WS calcu'!F$272&lt;'WS Plan'!$H$206+1),$D275/('WS Plan'!$H$206+1-'WS Plan'!$G$206),0)),0)+E275</f>
        <v>0</v>
      </c>
      <c r="G275" s="20">
        <f>ROUND(IF('WS Plan'!$E$206="Activate",IF(AND('WS calcu'!G$272&gt;='WS Plan'!$G$206,'WS calcu'!G$272&lt;'WS Plan'!$H$206+1),$D275/('WS Plan'!$H$206+1-'WS Plan'!$G$206),0)),0)+F275</f>
        <v>0</v>
      </c>
      <c r="H275" s="20">
        <f>ROUND(IF('WS Plan'!$E$206="Activate",IF(AND('WS calcu'!H$272&gt;='WS Plan'!$G$206,'WS calcu'!H$272&lt;'WS Plan'!$H$206+1),$D275/('WS Plan'!$H$206+1-'WS Plan'!$G$206),0)),0)+G275</f>
        <v>0</v>
      </c>
      <c r="I275" s="20">
        <f>ROUND(IF('WS Plan'!$E$206="Activate",IF(AND('WS calcu'!I$272&gt;='WS Plan'!$G$206,'WS calcu'!I$272&lt;'WS Plan'!$H$206+1),$D275/('WS Plan'!$H$206+1-'WS Plan'!$G$206),0)),0)+H275</f>
        <v>0</v>
      </c>
      <c r="J275" s="20">
        <f>ROUND(IF('WS Plan'!$E$206="Activate",IF(AND('WS calcu'!J$272&gt;='WS Plan'!$G$206,'WS calcu'!J$272&lt;'WS Plan'!$H$206+1),$D275/('WS Plan'!$H$206+1-'WS Plan'!$G$206),0)),0)+I275</f>
        <v>0</v>
      </c>
      <c r="K275" s="20">
        <f>ROUND(IF('WS Plan'!$E$206="Activate",IF(AND('WS calcu'!K$272&gt;='WS Plan'!$G$206,'WS calcu'!K$272&lt;'WS Plan'!$H$206+1),$D275/('WS Plan'!$H$206+1-'WS Plan'!$G$206),0)),0)+J275</f>
        <v>0</v>
      </c>
      <c r="L275" s="20">
        <f>ROUND(IF('WS Plan'!$E$206="Activate",IF(AND('WS calcu'!L$272&gt;='WS Plan'!$G$206,'WS calcu'!L$272&lt;'WS Plan'!$H$206+1),$D275/('WS Plan'!$H$206+1-'WS Plan'!$G$206),0)),0)+K275</f>
        <v>0</v>
      </c>
      <c r="M275" s="20">
        <f>ROUND(IF('WS Plan'!$E$206="Activate",IF(AND('WS calcu'!M$272&gt;='WS Plan'!$G$206,'WS calcu'!M$272&lt;'WS Plan'!$H$206+1),$D275/('WS Plan'!$H$206+1-'WS Plan'!$G$206),0)),0)+L275</f>
        <v>0</v>
      </c>
      <c r="N275" s="20">
        <f>ROUND(IF('WS Plan'!$E$206="Activate",IF(AND('WS calcu'!N$272&gt;='WS Plan'!$G$206,'WS calcu'!N$272&lt;'WS Plan'!$H$206+1),$D275/('WS Plan'!$H$206+1-'WS Plan'!$G$206),0)),0)+M275</f>
        <v>0</v>
      </c>
      <c r="O275" s="20">
        <f>ROUND(IF('WS Plan'!$E$206="Activate",IF(AND('WS calcu'!O$272&gt;='WS Plan'!$G$206,'WS calcu'!O$272&lt;'WS Plan'!$H$206+1),$D275/('WS Plan'!$H$206+1-'WS Plan'!$G$206),0)),0)+N275</f>
        <v>0</v>
      </c>
    </row>
    <row r="276" spans="1:15" x14ac:dyDescent="0.25">
      <c r="B276" s="14"/>
      <c r="C276" s="18" t="s">
        <v>259</v>
      </c>
      <c r="D276" s="885">
        <f>'WS Plan'!H210</f>
        <v>0</v>
      </c>
      <c r="E276" s="20">
        <f>ROUND(IF('WS Plan'!$E$206="Activate",IF(AND('WS calcu'!E$272&gt;='WS Plan'!$G$206,'WS calcu'!E$272&lt;'WS Plan'!$H$206+1),$D276/('WS Plan'!$H$206+1-'WS Plan'!$G$206),0)),0)</f>
        <v>0</v>
      </c>
      <c r="F276" s="20">
        <f>ROUND(IF('WS Plan'!$E$206="Activate",IF(AND('WS calcu'!F$272&gt;='WS Plan'!$G$206,'WS calcu'!F$272&lt;'WS Plan'!$H$206+1),$D276/('WS Plan'!$H$206+1-'WS Plan'!$G$206),0)),0)+E276</f>
        <v>0</v>
      </c>
      <c r="G276" s="20">
        <f>ROUND(IF('WS Plan'!$E$206="Activate",IF(AND('WS calcu'!G$272&gt;='WS Plan'!$G$206,'WS calcu'!G$272&lt;'WS Plan'!$H$206+1),$D276/('WS Plan'!$H$206+1-'WS Plan'!$G$206),0)),0)+F276</f>
        <v>0</v>
      </c>
      <c r="H276" s="20">
        <f>ROUND(IF('WS Plan'!$E$206="Activate",IF(AND('WS calcu'!H$272&gt;='WS Plan'!$G$206,'WS calcu'!H$272&lt;'WS Plan'!$H$206+1),$D276/('WS Plan'!$H$206+1-'WS Plan'!$G$206),0)),0)+G276</f>
        <v>0</v>
      </c>
      <c r="I276" s="20">
        <f>ROUND(IF('WS Plan'!$E$206="Activate",IF(AND('WS calcu'!I$272&gt;='WS Plan'!$G$206,'WS calcu'!I$272&lt;'WS Plan'!$H$206+1),$D276/('WS Plan'!$H$206+1-'WS Plan'!$G$206),0)),0)+H276</f>
        <v>0</v>
      </c>
      <c r="J276" s="20">
        <f>ROUND(IF('WS Plan'!$E$206="Activate",IF(AND('WS calcu'!J$272&gt;='WS Plan'!$G$206,'WS calcu'!J$272&lt;'WS Plan'!$H$206+1),$D276/('WS Plan'!$H$206+1-'WS Plan'!$G$206),0)),0)+I276</f>
        <v>0</v>
      </c>
      <c r="K276" s="20">
        <f>ROUND(IF('WS Plan'!$E$206="Activate",IF(AND('WS calcu'!K$272&gt;='WS Plan'!$G$206,'WS calcu'!K$272&lt;'WS Plan'!$H$206+1),$D276/('WS Plan'!$H$206+1-'WS Plan'!$G$206),0)),0)+J276</f>
        <v>0</v>
      </c>
      <c r="L276" s="20">
        <f>ROUND(IF('WS Plan'!$E$206="Activate",IF(AND('WS calcu'!L$272&gt;='WS Plan'!$G$206,'WS calcu'!L$272&lt;'WS Plan'!$H$206+1),$D276/('WS Plan'!$H$206+1-'WS Plan'!$G$206),0)),0)+K276</f>
        <v>0</v>
      </c>
      <c r="M276" s="20">
        <f>ROUND(IF('WS Plan'!$E$206="Activate",IF(AND('WS calcu'!M$272&gt;='WS Plan'!$G$206,'WS calcu'!M$272&lt;'WS Plan'!$H$206+1),$D276/('WS Plan'!$H$206+1-'WS Plan'!$G$206),0)),0)+L276</f>
        <v>0</v>
      </c>
      <c r="N276" s="20">
        <f>ROUND(IF('WS Plan'!$E$206="Activate",IF(AND('WS calcu'!N$272&gt;='WS Plan'!$G$206,'WS calcu'!N$272&lt;'WS Plan'!$H$206+1),$D276/('WS Plan'!$H$206+1-'WS Plan'!$G$206),0)),0)+M276</f>
        <v>0</v>
      </c>
      <c r="O276" s="20">
        <f>ROUND(IF('WS Plan'!$E$206="Activate",IF(AND('WS calcu'!O$272&gt;='WS Plan'!$G$206,'WS calcu'!O$272&lt;'WS Plan'!$H$206+1),$D276/('WS Plan'!$H$206+1-'WS Plan'!$G$206),0)),0)+N276</f>
        <v>0</v>
      </c>
    </row>
    <row r="277" spans="1:15" x14ac:dyDescent="0.25">
      <c r="B277" s="14"/>
      <c r="C277" s="18" t="s">
        <v>324</v>
      </c>
      <c r="D277" s="885">
        <f>'WS Plan'!H211</f>
        <v>0</v>
      </c>
      <c r="E277" s="20">
        <f>ROUND(IF('WS Plan'!$E$206="Activate",IF(AND('WS calcu'!E$272&gt;='WS Plan'!$G$206,'WS calcu'!E$272&lt;'WS Plan'!$H$206+1),$D277/('WS Plan'!$H$206+1-'WS Plan'!$G$206),0)),0)</f>
        <v>0</v>
      </c>
      <c r="F277" s="20">
        <f>ROUND(IF('WS Plan'!$E$206="Activate",IF(AND('WS calcu'!F$272&gt;='WS Plan'!$G$206,'WS calcu'!F$272&lt;'WS Plan'!$H$206+1),$D277/('WS Plan'!$H$206+1-'WS Plan'!$G$206),0)),0)+E277</f>
        <v>0</v>
      </c>
      <c r="G277" s="20">
        <f>ROUND(IF('WS Plan'!$E$206="Activate",IF(AND('WS calcu'!G$272&gt;='WS Plan'!$G$206,'WS calcu'!G$272&lt;'WS Plan'!$H$206+1),$D277/('WS Plan'!$H$206+1-'WS Plan'!$G$206),0)),0)+F277</f>
        <v>0</v>
      </c>
      <c r="H277" s="20">
        <f>ROUND(IF('WS Plan'!$E$206="Activate",IF(AND('WS calcu'!H$272&gt;='WS Plan'!$G$206,'WS calcu'!H$272&lt;'WS Plan'!$H$206+1),$D277/('WS Plan'!$H$206+1-'WS Plan'!$G$206),0)),0)+G277</f>
        <v>0</v>
      </c>
      <c r="I277" s="20">
        <f>ROUND(IF('WS Plan'!$E$206="Activate",IF(AND('WS calcu'!I$272&gt;='WS Plan'!$G$206,'WS calcu'!I$272&lt;'WS Plan'!$H$206+1),$D277/('WS Plan'!$H$206+1-'WS Plan'!$G$206),0)),0)+H277</f>
        <v>0</v>
      </c>
      <c r="J277" s="20">
        <f>ROUND(IF('WS Plan'!$E$206="Activate",IF(AND('WS calcu'!J$272&gt;='WS Plan'!$G$206,'WS calcu'!J$272&lt;'WS Plan'!$H$206+1),$D277/('WS Plan'!$H$206+1-'WS Plan'!$G$206),0)),0)+I277</f>
        <v>0</v>
      </c>
      <c r="K277" s="20">
        <f>ROUND(IF('WS Plan'!$E$206="Activate",IF(AND('WS calcu'!K$272&gt;='WS Plan'!$G$206,'WS calcu'!K$272&lt;'WS Plan'!$H$206+1),$D277/('WS Plan'!$H$206+1-'WS Plan'!$G$206),0)),0)+J277</f>
        <v>0</v>
      </c>
      <c r="L277" s="20">
        <f>ROUND(IF('WS Plan'!$E$206="Activate",IF(AND('WS calcu'!L$272&gt;='WS Plan'!$G$206,'WS calcu'!L$272&lt;'WS Plan'!$H$206+1),$D277/('WS Plan'!$H$206+1-'WS Plan'!$G$206),0)),0)+K277</f>
        <v>0</v>
      </c>
      <c r="M277" s="20">
        <f>ROUND(IF('WS Plan'!$E$206="Activate",IF(AND('WS calcu'!M$272&gt;='WS Plan'!$G$206,'WS calcu'!M$272&lt;'WS Plan'!$H$206+1),$D277/('WS Plan'!$H$206+1-'WS Plan'!$G$206),0)),0)+L277</f>
        <v>0</v>
      </c>
      <c r="N277" s="20">
        <f>ROUND(IF('WS Plan'!$E$206="Activate",IF(AND('WS calcu'!N$272&gt;='WS Plan'!$G$206,'WS calcu'!N$272&lt;'WS Plan'!$H$206+1),$D277/('WS Plan'!$H$206+1-'WS Plan'!$G$206),0)),0)+M277</f>
        <v>0</v>
      </c>
      <c r="O277" s="20">
        <f>ROUND(IF('WS Plan'!$E$206="Activate",IF(AND('WS calcu'!O$272&gt;='WS Plan'!$G$206,'WS calcu'!O$272&lt;'WS Plan'!$H$206+1),$D277/('WS Plan'!$H$206+1-'WS Plan'!$G$206),0)),0)+N277</f>
        <v>0</v>
      </c>
    </row>
    <row r="278" spans="1:15" x14ac:dyDescent="0.25">
      <c r="B278" s="14"/>
      <c r="C278" s="18" t="s">
        <v>256</v>
      </c>
      <c r="D278" s="885">
        <f>'WS Plan'!H212</f>
        <v>0</v>
      </c>
      <c r="E278" s="20">
        <f>ROUND(IF('WS Plan'!$E$206="Activate",IF(AND('WS calcu'!E$272&gt;='WS Plan'!$G$206,'WS calcu'!E$272&lt;'WS Plan'!$H$206+1),$D278/('WS Plan'!$H$206+1-'WS Plan'!$G$206),0)),0)</f>
        <v>0</v>
      </c>
      <c r="F278" s="20">
        <f>ROUND(IF('WS Plan'!$E$206="Activate",IF(AND('WS calcu'!F$272&gt;='WS Plan'!$G$206,'WS calcu'!F$272&lt;'WS Plan'!$H$206+1),$D278/('WS Plan'!$H$206+1-'WS Plan'!$G$206),0)),0)+E278</f>
        <v>0</v>
      </c>
      <c r="G278" s="20">
        <f>ROUND(IF('WS Plan'!$E$206="Activate",IF(AND('WS calcu'!G$272&gt;='WS Plan'!$G$206,'WS calcu'!G$272&lt;'WS Plan'!$H$206+1),$D278/('WS Plan'!$H$206+1-'WS Plan'!$G$206),0)),0)+F278</f>
        <v>0</v>
      </c>
      <c r="H278" s="20">
        <f>ROUND(IF('WS Plan'!$E$206="Activate",IF(AND('WS calcu'!H$272&gt;='WS Plan'!$G$206,'WS calcu'!H$272&lt;'WS Plan'!$H$206+1),$D278/('WS Plan'!$H$206+1-'WS Plan'!$G$206),0)),0)+G278</f>
        <v>0</v>
      </c>
      <c r="I278" s="20">
        <f>ROUND(IF('WS Plan'!$E$206="Activate",IF(AND('WS calcu'!I$272&gt;='WS Plan'!$G$206,'WS calcu'!I$272&lt;'WS Plan'!$H$206+1),$D278/('WS Plan'!$H$206+1-'WS Plan'!$G$206),0)),0)+H278</f>
        <v>0</v>
      </c>
      <c r="J278" s="20">
        <f>ROUND(IF('WS Plan'!$E$206="Activate",IF(AND('WS calcu'!J$272&gt;='WS Plan'!$G$206,'WS calcu'!J$272&lt;'WS Plan'!$H$206+1),$D278/('WS Plan'!$H$206+1-'WS Plan'!$G$206),0)),0)+I278</f>
        <v>0</v>
      </c>
      <c r="K278" s="20">
        <f>ROUND(IF('WS Plan'!$E$206="Activate",IF(AND('WS calcu'!K$272&gt;='WS Plan'!$G$206,'WS calcu'!K$272&lt;'WS Plan'!$H$206+1),$D278/('WS Plan'!$H$206+1-'WS Plan'!$G$206),0)),0)+J278</f>
        <v>0</v>
      </c>
      <c r="L278" s="20">
        <f>ROUND(IF('WS Plan'!$E$206="Activate",IF(AND('WS calcu'!L$272&gt;='WS Plan'!$G$206,'WS calcu'!L$272&lt;'WS Plan'!$H$206+1),$D278/('WS Plan'!$H$206+1-'WS Plan'!$G$206),0)),0)+K278</f>
        <v>0</v>
      </c>
      <c r="M278" s="20">
        <f>ROUND(IF('WS Plan'!$E$206="Activate",IF(AND('WS calcu'!M$272&gt;='WS Plan'!$G$206,'WS calcu'!M$272&lt;'WS Plan'!$H$206+1),$D278/('WS Plan'!$H$206+1-'WS Plan'!$G$206),0)),0)+L278</f>
        <v>0</v>
      </c>
      <c r="N278" s="20">
        <f>ROUND(IF('WS Plan'!$E$206="Activate",IF(AND('WS calcu'!N$272&gt;='WS Plan'!$G$206,'WS calcu'!N$272&lt;'WS Plan'!$H$206+1),$D278/('WS Plan'!$H$206+1-'WS Plan'!$G$206),0)),0)+M278</f>
        <v>0</v>
      </c>
      <c r="O278" s="20">
        <f>ROUND(IF('WS Plan'!$E$206="Activate",IF(AND('WS calcu'!O$272&gt;='WS Plan'!$G$206,'WS calcu'!O$272&lt;'WS Plan'!$H$206+1),$D278/('WS Plan'!$H$206+1-'WS Plan'!$G$206),0)),0)+N278</f>
        <v>0</v>
      </c>
    </row>
    <row r="279" spans="1:15" x14ac:dyDescent="0.25">
      <c r="B279" s="14"/>
      <c r="C279" s="28" t="s">
        <v>908</v>
      </c>
      <c r="D279" s="885">
        <f>SUM('WS Plan'!$H$208:$H$212)</f>
        <v>0</v>
      </c>
      <c r="E279" s="142">
        <f>SUM(E274:E278)</f>
        <v>0</v>
      </c>
      <c r="F279" s="142">
        <f t="shared" ref="F279:O279" si="154">SUM(F274:F278)</f>
        <v>0</v>
      </c>
      <c r="G279" s="142">
        <f t="shared" si="154"/>
        <v>0</v>
      </c>
      <c r="H279" s="142">
        <f t="shared" si="154"/>
        <v>0</v>
      </c>
      <c r="I279" s="142">
        <f t="shared" si="154"/>
        <v>0</v>
      </c>
      <c r="J279" s="142">
        <f t="shared" si="154"/>
        <v>0</v>
      </c>
      <c r="K279" s="142">
        <f t="shared" si="154"/>
        <v>0</v>
      </c>
      <c r="L279" s="142">
        <f t="shared" si="154"/>
        <v>0</v>
      </c>
      <c r="M279" s="142">
        <f t="shared" si="154"/>
        <v>0</v>
      </c>
      <c r="N279" s="142">
        <f t="shared" si="154"/>
        <v>0</v>
      </c>
      <c r="O279" s="142">
        <f t="shared" si="154"/>
        <v>0</v>
      </c>
    </row>
    <row r="280" spans="1:15" x14ac:dyDescent="0.25">
      <c r="B280" s="14"/>
      <c r="C280" s="22" t="s">
        <v>376</v>
      </c>
      <c r="D280" s="885">
        <f>SUM('WS Plan'!$G$208:$G$212)</f>
        <v>0</v>
      </c>
      <c r="E280" s="20">
        <f>$D$280</f>
        <v>0</v>
      </c>
      <c r="F280" s="20">
        <f t="shared" ref="F280:O280" si="155">$E$280-F279</f>
        <v>0</v>
      </c>
      <c r="G280" s="20">
        <f t="shared" si="155"/>
        <v>0</v>
      </c>
      <c r="H280" s="20">
        <f t="shared" si="155"/>
        <v>0</v>
      </c>
      <c r="I280" s="20">
        <f t="shared" si="155"/>
        <v>0</v>
      </c>
      <c r="J280" s="20">
        <f t="shared" si="155"/>
        <v>0</v>
      </c>
      <c r="K280" s="20">
        <f t="shared" si="155"/>
        <v>0</v>
      </c>
      <c r="L280" s="20">
        <f t="shared" si="155"/>
        <v>0</v>
      </c>
      <c r="M280" s="20">
        <f t="shared" si="155"/>
        <v>0</v>
      </c>
      <c r="N280" s="20">
        <f t="shared" si="155"/>
        <v>0</v>
      </c>
      <c r="O280" s="20">
        <f t="shared" si="155"/>
        <v>0</v>
      </c>
    </row>
    <row r="281" spans="1:15" s="77" customFormat="1" x14ac:dyDescent="0.25">
      <c r="A281" s="227"/>
      <c r="B281" s="1254"/>
      <c r="C281" s="1255" t="s">
        <v>910</v>
      </c>
      <c r="D281" s="1256" t="s">
        <v>372</v>
      </c>
      <c r="E281" s="1254"/>
      <c r="F281" s="1254"/>
      <c r="G281" s="1254"/>
      <c r="H281" s="1254"/>
      <c r="I281" s="1254"/>
      <c r="J281" s="1254"/>
      <c r="K281" s="1254"/>
      <c r="L281" s="1254"/>
      <c r="M281" s="1254"/>
      <c r="N281" s="1254"/>
      <c r="O281" s="1254"/>
    </row>
    <row r="282" spans="1:15" s="77" customFormat="1" x14ac:dyDescent="0.25">
      <c r="A282" s="163"/>
      <c r="B282" s="72">
        <v>1</v>
      </c>
      <c r="C282" s="62" t="s">
        <v>258</v>
      </c>
      <c r="D282" s="1257">
        <f>SUM('WSS Profile'!F120:F123)-SUM('WSS Profile'!G120:G123)</f>
        <v>0</v>
      </c>
      <c r="E282" s="351">
        <f t="shared" ref="E282:O282" si="156">ROUND((1-E311)*SUM(E$185:E$188),0)-$D282</f>
        <v>0</v>
      </c>
      <c r="F282" s="351">
        <f t="shared" si="156"/>
        <v>0</v>
      </c>
      <c r="G282" s="351">
        <f t="shared" si="156"/>
        <v>0</v>
      </c>
      <c r="H282" s="351">
        <f t="shared" si="156"/>
        <v>0</v>
      </c>
      <c r="I282" s="351">
        <f t="shared" si="156"/>
        <v>0</v>
      </c>
      <c r="J282" s="351">
        <f t="shared" si="156"/>
        <v>0</v>
      </c>
      <c r="K282" s="351">
        <f t="shared" si="156"/>
        <v>0</v>
      </c>
      <c r="L282" s="351">
        <f t="shared" si="156"/>
        <v>0</v>
      </c>
      <c r="M282" s="351">
        <f t="shared" si="156"/>
        <v>0</v>
      </c>
      <c r="N282" s="351">
        <f t="shared" si="156"/>
        <v>0</v>
      </c>
      <c r="O282" s="351">
        <f t="shared" si="156"/>
        <v>0</v>
      </c>
    </row>
    <row r="283" spans="1:15" s="77" customFormat="1" x14ac:dyDescent="0.25">
      <c r="A283" s="163"/>
      <c r="B283" s="72">
        <v>2</v>
      </c>
      <c r="C283" s="62" t="s">
        <v>257</v>
      </c>
      <c r="D283" s="1257">
        <f>SUM('WSS Profile'!F125:F128)-SUM('WSS Profile'!G125:G128)</f>
        <v>0</v>
      </c>
      <c r="E283" s="351">
        <f t="shared" ref="E283:O283" si="157">ROUND((1-E312)*SUM(E$190:E$193),0)-$D283</f>
        <v>0</v>
      </c>
      <c r="F283" s="351">
        <f>ROUND((1-F312)*SUM(F$190:F$193),0)-$D283</f>
        <v>0</v>
      </c>
      <c r="G283" s="351">
        <f t="shared" si="157"/>
        <v>0</v>
      </c>
      <c r="H283" s="351">
        <f t="shared" si="157"/>
        <v>0</v>
      </c>
      <c r="I283" s="351">
        <f t="shared" si="157"/>
        <v>0</v>
      </c>
      <c r="J283" s="351">
        <f t="shared" si="157"/>
        <v>0</v>
      </c>
      <c r="K283" s="351">
        <f t="shared" si="157"/>
        <v>0</v>
      </c>
      <c r="L283" s="351">
        <f t="shared" si="157"/>
        <v>0</v>
      </c>
      <c r="M283" s="351">
        <f t="shared" si="157"/>
        <v>0</v>
      </c>
      <c r="N283" s="351">
        <f>ROUND((1-N312)*SUM(N$190:N$193),0)-$D283</f>
        <v>0</v>
      </c>
      <c r="O283" s="351">
        <f t="shared" si="157"/>
        <v>0</v>
      </c>
    </row>
    <row r="284" spans="1:15" s="77" customFormat="1" x14ac:dyDescent="0.25">
      <c r="A284" s="163"/>
      <c r="B284" s="72">
        <v>3</v>
      </c>
      <c r="C284" s="62" t="s">
        <v>259</v>
      </c>
      <c r="D284" s="1257">
        <f>SUM('WSS Profile'!F130:F133)-SUM('WSS Profile'!G130:G133)</f>
        <v>0</v>
      </c>
      <c r="E284" s="351">
        <f t="shared" ref="E284:O284" si="158">ROUND((1-E313)*SUM(E$195:E$198),0)-$D284</f>
        <v>0</v>
      </c>
      <c r="F284" s="351">
        <f t="shared" si="158"/>
        <v>0</v>
      </c>
      <c r="G284" s="351">
        <f t="shared" si="158"/>
        <v>0</v>
      </c>
      <c r="H284" s="351">
        <f t="shared" si="158"/>
        <v>0</v>
      </c>
      <c r="I284" s="351">
        <f t="shared" si="158"/>
        <v>0</v>
      </c>
      <c r="J284" s="351">
        <f t="shared" si="158"/>
        <v>0</v>
      </c>
      <c r="K284" s="351">
        <f t="shared" si="158"/>
        <v>0</v>
      </c>
      <c r="L284" s="351">
        <f t="shared" si="158"/>
        <v>0</v>
      </c>
      <c r="M284" s="351">
        <f t="shared" si="158"/>
        <v>0</v>
      </c>
      <c r="N284" s="351">
        <f t="shared" si="158"/>
        <v>0</v>
      </c>
      <c r="O284" s="351">
        <f t="shared" si="158"/>
        <v>0</v>
      </c>
    </row>
    <row r="285" spans="1:15" s="77" customFormat="1" x14ac:dyDescent="0.25">
      <c r="A285" s="163"/>
      <c r="B285" s="72">
        <v>4</v>
      </c>
      <c r="C285" s="62" t="s">
        <v>324</v>
      </c>
      <c r="D285" s="1257">
        <f>SUM('WSS Profile'!F135:F138)-SUM('WSS Profile'!G135:G138)</f>
        <v>0</v>
      </c>
      <c r="E285" s="351">
        <f t="shared" ref="E285:O285" si="159">ROUND((1-E314)*SUM(E$200:E$203),0)-$D285</f>
        <v>0</v>
      </c>
      <c r="F285" s="351">
        <f t="shared" si="159"/>
        <v>0</v>
      </c>
      <c r="G285" s="351">
        <f t="shared" si="159"/>
        <v>0</v>
      </c>
      <c r="H285" s="351">
        <f t="shared" si="159"/>
        <v>0</v>
      </c>
      <c r="I285" s="351">
        <f t="shared" si="159"/>
        <v>0</v>
      </c>
      <c r="J285" s="351">
        <f t="shared" si="159"/>
        <v>0</v>
      </c>
      <c r="K285" s="351">
        <f t="shared" si="159"/>
        <v>0</v>
      </c>
      <c r="L285" s="351">
        <f t="shared" si="159"/>
        <v>0</v>
      </c>
      <c r="M285" s="351">
        <f t="shared" si="159"/>
        <v>0</v>
      </c>
      <c r="N285" s="351">
        <f t="shared" si="159"/>
        <v>0</v>
      </c>
      <c r="O285" s="351">
        <f t="shared" si="159"/>
        <v>0</v>
      </c>
    </row>
    <row r="286" spans="1:15" s="77" customFormat="1" x14ac:dyDescent="0.25">
      <c r="A286" s="163"/>
      <c r="B286" s="72">
        <v>5</v>
      </c>
      <c r="C286" s="62" t="s">
        <v>256</v>
      </c>
      <c r="D286" s="1257">
        <f>'WSS Profile'!F140-'WSS Profile'!G140</f>
        <v>0</v>
      </c>
      <c r="E286" s="351">
        <f t="shared" ref="E286:O286" si="160">ROUND((1-E315)*SUM(E$205),0)-$D286</f>
        <v>0</v>
      </c>
      <c r="F286" s="351">
        <f t="shared" si="160"/>
        <v>0</v>
      </c>
      <c r="G286" s="351">
        <f t="shared" si="160"/>
        <v>0</v>
      </c>
      <c r="H286" s="351">
        <f t="shared" si="160"/>
        <v>0</v>
      </c>
      <c r="I286" s="351">
        <f t="shared" si="160"/>
        <v>0</v>
      </c>
      <c r="J286" s="351">
        <f t="shared" si="160"/>
        <v>0</v>
      </c>
      <c r="K286" s="351">
        <f t="shared" si="160"/>
        <v>0</v>
      </c>
      <c r="L286" s="351">
        <f t="shared" si="160"/>
        <v>0</v>
      </c>
      <c r="M286" s="351">
        <f t="shared" si="160"/>
        <v>0</v>
      </c>
      <c r="N286" s="351">
        <f t="shared" si="160"/>
        <v>0</v>
      </c>
      <c r="O286" s="351">
        <f t="shared" si="160"/>
        <v>0</v>
      </c>
    </row>
    <row r="287" spans="1:15" s="53" customFormat="1" x14ac:dyDescent="0.25">
      <c r="A287" s="63"/>
      <c r="B287" s="30">
        <v>6</v>
      </c>
      <c r="C287" s="28" t="s">
        <v>374</v>
      </c>
      <c r="D287" s="200">
        <f>SUM(D282:D286)</f>
        <v>0</v>
      </c>
      <c r="E287" s="142">
        <f t="shared" ref="E287:O287" si="161">SUM(E$282:E$286)</f>
        <v>0</v>
      </c>
      <c r="F287" s="142">
        <f t="shared" si="161"/>
        <v>0</v>
      </c>
      <c r="G287" s="142">
        <f t="shared" si="161"/>
        <v>0</v>
      </c>
      <c r="H287" s="142">
        <f t="shared" si="161"/>
        <v>0</v>
      </c>
      <c r="I287" s="142">
        <f t="shared" si="161"/>
        <v>0</v>
      </c>
      <c r="J287" s="142">
        <f t="shared" si="161"/>
        <v>0</v>
      </c>
      <c r="K287" s="142">
        <f t="shared" si="161"/>
        <v>0</v>
      </c>
      <c r="L287" s="142">
        <f t="shared" si="161"/>
        <v>0</v>
      </c>
      <c r="M287" s="142">
        <f t="shared" si="161"/>
        <v>0</v>
      </c>
      <c r="N287" s="142">
        <f t="shared" si="161"/>
        <v>0</v>
      </c>
      <c r="O287" s="142">
        <f t="shared" si="161"/>
        <v>0</v>
      </c>
    </row>
    <row r="288" spans="1:15" ht="30" x14ac:dyDescent="0.25">
      <c r="B288" s="14">
        <v>7</v>
      </c>
      <c r="C288" s="18" t="s">
        <v>373</v>
      </c>
      <c r="D288" s="96"/>
      <c r="E288" s="20">
        <v>0</v>
      </c>
      <c r="F288" s="20">
        <f>F287-E287</f>
        <v>0</v>
      </c>
      <c r="G288" s="20">
        <f>G287-F287</f>
        <v>0</v>
      </c>
      <c r="H288" s="20">
        <f t="shared" ref="H288:O288" si="162">H287-G287</f>
        <v>0</v>
      </c>
      <c r="I288" s="20">
        <f t="shared" si="162"/>
        <v>0</v>
      </c>
      <c r="J288" s="20">
        <f t="shared" si="162"/>
        <v>0</v>
      </c>
      <c r="K288" s="20">
        <f t="shared" si="162"/>
        <v>0</v>
      </c>
      <c r="L288" s="20">
        <f t="shared" si="162"/>
        <v>0</v>
      </c>
      <c r="M288" s="20">
        <f t="shared" si="162"/>
        <v>0</v>
      </c>
      <c r="N288" s="20">
        <f t="shared" si="162"/>
        <v>0</v>
      </c>
      <c r="O288" s="20">
        <f t="shared" si="162"/>
        <v>0</v>
      </c>
    </row>
    <row r="289" spans="1:16" x14ac:dyDescent="0.25">
      <c r="A289" s="195"/>
      <c r="B289" s="196"/>
      <c r="C289" s="197" t="s">
        <v>375</v>
      </c>
      <c r="D289" s="198"/>
      <c r="E289" s="196"/>
      <c r="F289" s="196"/>
      <c r="G289" s="196"/>
      <c r="H289" s="196"/>
      <c r="I289" s="196"/>
      <c r="J289" s="196"/>
      <c r="K289" s="196"/>
      <c r="L289" s="196"/>
      <c r="M289" s="196"/>
      <c r="N289" s="196"/>
      <c r="O289" s="196"/>
    </row>
    <row r="290" spans="1:16" x14ac:dyDescent="0.25">
      <c r="B290" s="14"/>
      <c r="C290" s="18" t="s">
        <v>258</v>
      </c>
      <c r="D290" s="96"/>
      <c r="E290" s="20">
        <f>E282+E274</f>
        <v>0</v>
      </c>
      <c r="F290" s="20">
        <f t="shared" ref="F290:O290" si="163">F282+F274</f>
        <v>0</v>
      </c>
      <c r="G290" s="20">
        <f t="shared" si="163"/>
        <v>0</v>
      </c>
      <c r="H290" s="20">
        <f t="shared" si="163"/>
        <v>0</v>
      </c>
      <c r="I290" s="20">
        <f t="shared" si="163"/>
        <v>0</v>
      </c>
      <c r="J290" s="20">
        <f t="shared" si="163"/>
        <v>0</v>
      </c>
      <c r="K290" s="20">
        <f t="shared" si="163"/>
        <v>0</v>
      </c>
      <c r="L290" s="20">
        <f t="shared" si="163"/>
        <v>0</v>
      </c>
      <c r="M290" s="20">
        <f t="shared" si="163"/>
        <v>0</v>
      </c>
      <c r="N290" s="20">
        <f t="shared" si="163"/>
        <v>0</v>
      </c>
      <c r="O290" s="20">
        <f t="shared" si="163"/>
        <v>0</v>
      </c>
    </row>
    <row r="291" spans="1:16" x14ac:dyDescent="0.25">
      <c r="B291" s="14"/>
      <c r="C291" s="18" t="s">
        <v>257</v>
      </c>
      <c r="D291" s="96"/>
      <c r="E291" s="20">
        <f>E283+E275</f>
        <v>0</v>
      </c>
      <c r="F291" s="20">
        <f t="shared" ref="F291:O291" si="164">F283+F275</f>
        <v>0</v>
      </c>
      <c r="G291" s="20">
        <f t="shared" si="164"/>
        <v>0</v>
      </c>
      <c r="H291" s="20">
        <f t="shared" si="164"/>
        <v>0</v>
      </c>
      <c r="I291" s="20">
        <f t="shared" si="164"/>
        <v>0</v>
      </c>
      <c r="J291" s="20">
        <f t="shared" si="164"/>
        <v>0</v>
      </c>
      <c r="K291" s="20">
        <f t="shared" si="164"/>
        <v>0</v>
      </c>
      <c r="L291" s="20">
        <f t="shared" si="164"/>
        <v>0</v>
      </c>
      <c r="M291" s="20">
        <f t="shared" si="164"/>
        <v>0</v>
      </c>
      <c r="N291" s="20">
        <f t="shared" si="164"/>
        <v>0</v>
      </c>
      <c r="O291" s="20">
        <f t="shared" si="164"/>
        <v>0</v>
      </c>
    </row>
    <row r="292" spans="1:16" x14ac:dyDescent="0.25">
      <c r="B292" s="14"/>
      <c r="C292" s="18" t="s">
        <v>259</v>
      </c>
      <c r="D292" s="96"/>
      <c r="E292" s="20">
        <f>E284+E276</f>
        <v>0</v>
      </c>
      <c r="F292" s="20">
        <f t="shared" ref="F292:O292" si="165">F284+F276</f>
        <v>0</v>
      </c>
      <c r="G292" s="20">
        <f t="shared" si="165"/>
        <v>0</v>
      </c>
      <c r="H292" s="20">
        <f t="shared" si="165"/>
        <v>0</v>
      </c>
      <c r="I292" s="20">
        <f t="shared" si="165"/>
        <v>0</v>
      </c>
      <c r="J292" s="20">
        <f t="shared" si="165"/>
        <v>0</v>
      </c>
      <c r="K292" s="20">
        <f t="shared" si="165"/>
        <v>0</v>
      </c>
      <c r="L292" s="20">
        <f t="shared" si="165"/>
        <v>0</v>
      </c>
      <c r="M292" s="20">
        <f t="shared" si="165"/>
        <v>0</v>
      </c>
      <c r="N292" s="20">
        <f t="shared" si="165"/>
        <v>0</v>
      </c>
      <c r="O292" s="20">
        <f t="shared" si="165"/>
        <v>0</v>
      </c>
    </row>
    <row r="293" spans="1:16" x14ac:dyDescent="0.25">
      <c r="B293" s="14"/>
      <c r="C293" s="18" t="s">
        <v>324</v>
      </c>
      <c r="D293" s="96"/>
      <c r="E293" s="20">
        <f>E285+E277</f>
        <v>0</v>
      </c>
      <c r="F293" s="20">
        <f t="shared" ref="F293:O293" si="166">F285+F277</f>
        <v>0</v>
      </c>
      <c r="G293" s="20">
        <f t="shared" si="166"/>
        <v>0</v>
      </c>
      <c r="H293" s="20">
        <f t="shared" si="166"/>
        <v>0</v>
      </c>
      <c r="I293" s="20">
        <f t="shared" si="166"/>
        <v>0</v>
      </c>
      <c r="J293" s="20">
        <f t="shared" si="166"/>
        <v>0</v>
      </c>
      <c r="K293" s="20">
        <f t="shared" si="166"/>
        <v>0</v>
      </c>
      <c r="L293" s="20">
        <f t="shared" si="166"/>
        <v>0</v>
      </c>
      <c r="M293" s="20">
        <f t="shared" si="166"/>
        <v>0</v>
      </c>
      <c r="N293" s="20">
        <f t="shared" si="166"/>
        <v>0</v>
      </c>
      <c r="O293" s="20">
        <f t="shared" si="166"/>
        <v>0</v>
      </c>
    </row>
    <row r="294" spans="1:16" x14ac:dyDescent="0.25">
      <c r="B294" s="14"/>
      <c r="C294" s="18" t="s">
        <v>256</v>
      </c>
      <c r="D294" s="96"/>
      <c r="E294" s="20">
        <f>E286+E278</f>
        <v>0</v>
      </c>
      <c r="F294" s="20">
        <f t="shared" ref="F294:O294" si="167">F286+F278</f>
        <v>0</v>
      </c>
      <c r="G294" s="20">
        <f t="shared" si="167"/>
        <v>0</v>
      </c>
      <c r="H294" s="20">
        <f t="shared" si="167"/>
        <v>0</v>
      </c>
      <c r="I294" s="20">
        <f t="shared" si="167"/>
        <v>0</v>
      </c>
      <c r="J294" s="20">
        <f t="shared" si="167"/>
        <v>0</v>
      </c>
      <c r="K294" s="20">
        <f t="shared" si="167"/>
        <v>0</v>
      </c>
      <c r="L294" s="20">
        <f t="shared" si="167"/>
        <v>0</v>
      </c>
      <c r="M294" s="20">
        <f t="shared" si="167"/>
        <v>0</v>
      </c>
      <c r="N294" s="20">
        <f t="shared" si="167"/>
        <v>0</v>
      </c>
      <c r="O294" s="20">
        <f t="shared" si="167"/>
        <v>0</v>
      </c>
    </row>
    <row r="295" spans="1:16" s="53" customFormat="1" x14ac:dyDescent="0.25">
      <c r="A295" s="63"/>
      <c r="B295" s="30"/>
      <c r="C295" s="28" t="s">
        <v>16</v>
      </c>
      <c r="D295" s="97"/>
      <c r="E295" s="142">
        <f>SUM(E290:E294)</f>
        <v>0</v>
      </c>
      <c r="F295" s="142">
        <f t="shared" ref="F295:O295" si="168">SUM(F290:F294)</f>
        <v>0</v>
      </c>
      <c r="G295" s="142">
        <f t="shared" si="168"/>
        <v>0</v>
      </c>
      <c r="H295" s="142">
        <f t="shared" si="168"/>
        <v>0</v>
      </c>
      <c r="I295" s="142">
        <f t="shared" si="168"/>
        <v>0</v>
      </c>
      <c r="J295" s="142">
        <f t="shared" si="168"/>
        <v>0</v>
      </c>
      <c r="K295" s="142">
        <f t="shared" si="168"/>
        <v>0</v>
      </c>
      <c r="L295" s="142">
        <f t="shared" si="168"/>
        <v>0</v>
      </c>
      <c r="M295" s="142">
        <f t="shared" si="168"/>
        <v>0</v>
      </c>
      <c r="N295" s="142">
        <f t="shared" si="168"/>
        <v>0</v>
      </c>
      <c r="O295" s="142">
        <f t="shared" si="168"/>
        <v>0</v>
      </c>
    </row>
    <row r="296" spans="1:16" ht="30" x14ac:dyDescent="0.25">
      <c r="A296" s="750"/>
      <c r="B296" s="751">
        <v>9</v>
      </c>
      <c r="C296" s="752" t="s">
        <v>1356</v>
      </c>
      <c r="D296" s="753"/>
      <c r="E296" s="761">
        <f>MIN(IFERROR(E295/E$207,0),100%)</f>
        <v>0</v>
      </c>
      <c r="F296" s="761">
        <f t="shared" ref="F296:O296" si="169">MIN(IFERROR(F295/F$207,0),100%)</f>
        <v>0</v>
      </c>
      <c r="G296" s="761">
        <f t="shared" si="169"/>
        <v>0</v>
      </c>
      <c r="H296" s="761">
        <f t="shared" si="169"/>
        <v>0</v>
      </c>
      <c r="I296" s="761">
        <f t="shared" si="169"/>
        <v>0</v>
      </c>
      <c r="J296" s="761">
        <f t="shared" si="169"/>
        <v>0</v>
      </c>
      <c r="K296" s="761">
        <f t="shared" si="169"/>
        <v>0</v>
      </c>
      <c r="L296" s="761">
        <f t="shared" si="169"/>
        <v>0</v>
      </c>
      <c r="M296" s="761">
        <f t="shared" si="169"/>
        <v>0</v>
      </c>
      <c r="N296" s="761">
        <f t="shared" si="169"/>
        <v>0</v>
      </c>
      <c r="O296" s="761">
        <f t="shared" si="169"/>
        <v>0</v>
      </c>
    </row>
    <row r="297" spans="1:16" ht="30" x14ac:dyDescent="0.25">
      <c r="A297" s="750"/>
      <c r="B297" s="751"/>
      <c r="C297" s="752" t="s">
        <v>1355</v>
      </c>
      <c r="D297" s="753"/>
      <c r="E297" s="761">
        <f>IFERROR((E295+E280)/E$207,0)</f>
        <v>0</v>
      </c>
      <c r="F297" s="761">
        <f>MIN(IFERROR((F295+F280)/F$207,0),100%)</f>
        <v>0</v>
      </c>
      <c r="G297" s="761">
        <f t="shared" ref="G297:O297" si="170">MIN(IFERROR((G295+G280)/G$207,0),100%)</f>
        <v>0</v>
      </c>
      <c r="H297" s="761">
        <f t="shared" si="170"/>
        <v>0</v>
      </c>
      <c r="I297" s="761">
        <f t="shared" si="170"/>
        <v>0</v>
      </c>
      <c r="J297" s="761">
        <f t="shared" si="170"/>
        <v>0</v>
      </c>
      <c r="K297" s="761">
        <f t="shared" si="170"/>
        <v>0</v>
      </c>
      <c r="L297" s="761">
        <f t="shared" si="170"/>
        <v>0</v>
      </c>
      <c r="M297" s="761">
        <f t="shared" si="170"/>
        <v>0</v>
      </c>
      <c r="N297" s="761">
        <f t="shared" si="170"/>
        <v>0</v>
      </c>
      <c r="O297" s="761">
        <f t="shared" si="170"/>
        <v>0</v>
      </c>
    </row>
    <row r="298" spans="1:16" x14ac:dyDescent="0.25">
      <c r="A298" s="195"/>
      <c r="B298" s="196"/>
      <c r="C298" s="197" t="s">
        <v>2779</v>
      </c>
      <c r="D298" s="198"/>
      <c r="E298" s="196"/>
      <c r="F298" s="1037"/>
      <c r="G298" s="1037"/>
      <c r="H298" s="1037"/>
      <c r="I298" s="1037"/>
      <c r="J298" s="1037"/>
      <c r="K298" s="1037"/>
      <c r="L298" s="1037"/>
      <c r="M298" s="1037"/>
      <c r="N298" s="1037"/>
      <c r="O298" s="1037"/>
    </row>
    <row r="299" spans="1:16" s="76" customFormat="1" x14ac:dyDescent="0.25">
      <c r="A299" s="43"/>
      <c r="B299" s="137"/>
      <c r="C299" s="62" t="s">
        <v>258</v>
      </c>
      <c r="D299" s="96">
        <f>'WS Plan'!H227</f>
        <v>0</v>
      </c>
      <c r="E299" s="351"/>
      <c r="F299" s="5754">
        <f>((F282-E282)*'WS Plan'!$H$228*$D$299)/'General info'!$G$44</f>
        <v>0</v>
      </c>
      <c r="G299" s="447">
        <f>((G282-F282)*'WS Plan'!$H$228*$D$299)/'General info'!$G$44</f>
        <v>0</v>
      </c>
      <c r="H299" s="447">
        <f>((H282-G282)*'WS Plan'!$H$228*$D$299)/'General info'!$G$44</f>
        <v>0</v>
      </c>
      <c r="I299" s="447">
        <f>((I282-H282)*'WS Plan'!$H$228*$D$299)/'General info'!$G$44</f>
        <v>0</v>
      </c>
      <c r="J299" s="447">
        <f>((J282-I282)*'WS Plan'!$H$228*$D$299)/'General info'!$G$44</f>
        <v>0</v>
      </c>
      <c r="K299" s="447">
        <f>((K282-J282)*'WS Plan'!$H$228*$D$299)/'General info'!$G$44</f>
        <v>0</v>
      </c>
      <c r="L299" s="447">
        <f>((L282-K282)*'WS Plan'!$H$228*$D$299)/'General info'!$G$44</f>
        <v>0</v>
      </c>
      <c r="M299" s="447">
        <f>((M282-L282)*'WS Plan'!$H$228*$D$299)/'General info'!$G$44</f>
        <v>0</v>
      </c>
      <c r="N299" s="447">
        <f>((N282-M282)*'WS Plan'!$H$228*$D$299)/'General info'!$G$44</f>
        <v>0</v>
      </c>
      <c r="O299" s="447">
        <f>((O282-N282)*'WS Plan'!$H$228*$D$299)/'General info'!$G$44</f>
        <v>0</v>
      </c>
    </row>
    <row r="300" spans="1:16" s="76" customFormat="1" x14ac:dyDescent="0.25">
      <c r="A300" s="43"/>
      <c r="B300" s="137"/>
      <c r="C300" s="62" t="s">
        <v>257</v>
      </c>
      <c r="D300" s="96">
        <f>'WS Plan'!H233</f>
        <v>0</v>
      </c>
      <c r="E300" s="351"/>
      <c r="F300" s="5754">
        <f>((F283-E283)*'WS Plan'!$H$234*$D$300)/'General info'!$G$44</f>
        <v>0</v>
      </c>
      <c r="G300" s="447">
        <f>((G283-F283)*'WS Plan'!$H$234*$D$300)/'General info'!$G$44</f>
        <v>0</v>
      </c>
      <c r="H300" s="447">
        <f>((H283-G283)*'WS Plan'!$H$234*$D$300)/'General info'!$G$44</f>
        <v>0</v>
      </c>
      <c r="I300" s="447">
        <f>((I283-H283)*'WS Plan'!$H$234*$D$300)/'General info'!$G$44</f>
        <v>0</v>
      </c>
      <c r="J300" s="447">
        <f>((J283-I283)*'WS Plan'!$H$234*$D$300)/'General info'!$G$44</f>
        <v>0</v>
      </c>
      <c r="K300" s="447">
        <f>((K283-J283)*'WS Plan'!$H$234*$D$300)/'General info'!$G$44</f>
        <v>0</v>
      </c>
      <c r="L300" s="447">
        <f>((L283-K283)*'WS Plan'!$H$234*$D$300)/'General info'!$G$44</f>
        <v>0</v>
      </c>
      <c r="M300" s="447">
        <f>((M283-L283)*'WS Plan'!$H$234*$D$300)/'General info'!$G$44</f>
        <v>0</v>
      </c>
      <c r="N300" s="447">
        <f>((N283-M283)*'WS Plan'!$H$234*$D$300)/'General info'!$G$44</f>
        <v>0</v>
      </c>
      <c r="O300" s="447">
        <f>((O283-N283)*'WS Plan'!$H$234*$D$300)/'General info'!$G$44</f>
        <v>0</v>
      </c>
    </row>
    <row r="301" spans="1:16" s="76" customFormat="1" x14ac:dyDescent="0.25">
      <c r="A301" s="43"/>
      <c r="B301" s="137"/>
      <c r="C301" s="62" t="s">
        <v>259</v>
      </c>
      <c r="D301" s="96">
        <f>'WS Plan'!H239</f>
        <v>0</v>
      </c>
      <c r="E301" s="351"/>
      <c r="F301" s="5754">
        <f>((F284-E284)*'WS Plan'!$H$240*$D$301)/'General info'!$G$44</f>
        <v>0</v>
      </c>
      <c r="G301" s="447">
        <f>((G284-F284)*'WS Plan'!$H$240*$D$301)/'General info'!$G$44</f>
        <v>0</v>
      </c>
      <c r="H301" s="447">
        <f>((H284-G284)*'WS Plan'!$H$240*$D$301)/'General info'!$G$44</f>
        <v>0</v>
      </c>
      <c r="I301" s="447">
        <f>((I284-H284)*'WS Plan'!$H$240*$D$301)/'General info'!$G$44</f>
        <v>0</v>
      </c>
      <c r="J301" s="447">
        <f>((J284-I284)*'WS Plan'!$H$240*$D$301)/'General info'!$G$44</f>
        <v>0</v>
      </c>
      <c r="K301" s="447">
        <f>((K284-J284)*'WS Plan'!$H$240*$D$301)/'General info'!$G$44</f>
        <v>0</v>
      </c>
      <c r="L301" s="447">
        <f>((L284-K284)*'WS Plan'!$H$240*$D$301)/'General info'!$G$44</f>
        <v>0</v>
      </c>
      <c r="M301" s="447">
        <f>((M284-L284)*'WS Plan'!$H$240*$D$301)/'General info'!$G$44</f>
        <v>0</v>
      </c>
      <c r="N301" s="447">
        <f>((N284-M284)*'WS Plan'!$H$240*$D$301)/'General info'!$G$44</f>
        <v>0</v>
      </c>
      <c r="O301" s="447">
        <f>((O284-N284)*'WS Plan'!$H$240*$D$301)/'General info'!$G$44</f>
        <v>0</v>
      </c>
    </row>
    <row r="302" spans="1:16" s="76" customFormat="1" x14ac:dyDescent="0.25">
      <c r="A302" s="43"/>
      <c r="B302" s="137"/>
      <c r="C302" s="62" t="s">
        <v>324</v>
      </c>
      <c r="D302" s="96">
        <f>'WS Plan'!H245</f>
        <v>0</v>
      </c>
      <c r="E302" s="351"/>
      <c r="F302" s="5754">
        <f>((F285-E285)*'WS Plan'!$H$246*$D$302)/'General info'!$G$44</f>
        <v>0</v>
      </c>
      <c r="G302" s="447">
        <f>((G285-F285)*'WS Plan'!$H$246*$D$302)/'General info'!$G$44</f>
        <v>0</v>
      </c>
      <c r="H302" s="447">
        <f>((H285-G285)*'WS Plan'!$H$246*$D$302)/'General info'!$G$44</f>
        <v>0</v>
      </c>
      <c r="I302" s="447">
        <f>((I285-H285)*'WS Plan'!$H$246*$D$302)/'General info'!$G$44</f>
        <v>0</v>
      </c>
      <c r="J302" s="447">
        <f>((J285-I285)*'WS Plan'!$H$246*$D$302)/'General info'!$G$44</f>
        <v>0</v>
      </c>
      <c r="K302" s="447">
        <f>((K285-J285)*'WS Plan'!$H$246*$D$302)/'General info'!$G$44</f>
        <v>0</v>
      </c>
      <c r="L302" s="447">
        <f>((L285-K285)*'WS Plan'!$H$246*$D$302)/'General info'!$G$44</f>
        <v>0</v>
      </c>
      <c r="M302" s="447">
        <f>((M285-L285)*'WS Plan'!$H$246*$D$302)/'General info'!$G$44</f>
        <v>0</v>
      </c>
      <c r="N302" s="447">
        <f>((N285-M285)*'WS Plan'!$H$246*$D$302)/'General info'!$G$44</f>
        <v>0</v>
      </c>
      <c r="O302" s="447">
        <f>((O285-N285)*'WS Plan'!$H$246*$D$302)/'General info'!$G$44</f>
        <v>0</v>
      </c>
    </row>
    <row r="303" spans="1:16" s="76" customFormat="1" x14ac:dyDescent="0.25">
      <c r="A303" s="43"/>
      <c r="B303" s="137"/>
      <c r="C303" s="62" t="s">
        <v>256</v>
      </c>
      <c r="D303" s="96">
        <f>'WS Plan'!H251</f>
        <v>0</v>
      </c>
      <c r="E303" s="351"/>
      <c r="F303" s="5754">
        <f>((F286-E286)*'WS Plan'!$H$252*$D$303)/'General info'!$G$44</f>
        <v>0</v>
      </c>
      <c r="G303" s="447">
        <f>((G286-F286)*'WS Plan'!$H$252*$D$303)/'General info'!$G$44</f>
        <v>0</v>
      </c>
      <c r="H303" s="447">
        <f>((H286-G286)*'WS Plan'!$H$252*$D$303)/'General info'!$G$44</f>
        <v>0</v>
      </c>
      <c r="I303" s="447">
        <f>((I286-H286)*'WS Plan'!$H$252*$D$303)/'General info'!$G$44</f>
        <v>0</v>
      </c>
      <c r="J303" s="447">
        <f>((J286-I286)*'WS Plan'!$H$252*$D$303)/'General info'!$G$44</f>
        <v>0</v>
      </c>
      <c r="K303" s="447">
        <f>((K286-J286)*'WS Plan'!$H$252*$D$303)/'General info'!$G$44</f>
        <v>0</v>
      </c>
      <c r="L303" s="447">
        <f>((L286-K286)*'WS Plan'!$H$252*$D$303)/'General info'!$G$44</f>
        <v>0</v>
      </c>
      <c r="M303" s="447">
        <f>((M286-L286)*'WS Plan'!$H$252*$D$303)/'General info'!$G$44</f>
        <v>0</v>
      </c>
      <c r="N303" s="447">
        <f>((N286-M286)*'WS Plan'!$H$252*$D$303)/'General info'!$G$44</f>
        <v>0</v>
      </c>
      <c r="O303" s="447">
        <f>((O286-N286)*'WS Plan'!$H$252*$D$303)/'General info'!$G$44</f>
        <v>0</v>
      </c>
    </row>
    <row r="304" spans="1:16" s="53" customFormat="1" ht="30" x14ac:dyDescent="0.25">
      <c r="A304" s="63"/>
      <c r="B304" s="30">
        <v>8</v>
      </c>
      <c r="C304" s="28" t="s">
        <v>1511</v>
      </c>
      <c r="D304" s="97"/>
      <c r="E304" s="442"/>
      <c r="F304" s="5755">
        <f>SUM(F299:F303)</f>
        <v>0</v>
      </c>
      <c r="G304" s="179">
        <f t="shared" ref="G304:O304" si="171">SUM(G299:G303)</f>
        <v>0</v>
      </c>
      <c r="H304" s="179">
        <f t="shared" si="171"/>
        <v>0</v>
      </c>
      <c r="I304" s="179">
        <f t="shared" si="171"/>
        <v>0</v>
      </c>
      <c r="J304" s="179">
        <f t="shared" si="171"/>
        <v>0</v>
      </c>
      <c r="K304" s="179">
        <f t="shared" si="171"/>
        <v>0</v>
      </c>
      <c r="L304" s="179">
        <f t="shared" si="171"/>
        <v>0</v>
      </c>
      <c r="M304" s="179">
        <f t="shared" si="171"/>
        <v>0</v>
      </c>
      <c r="N304" s="179">
        <f t="shared" si="171"/>
        <v>0</v>
      </c>
      <c r="O304" s="179">
        <f t="shared" si="171"/>
        <v>0</v>
      </c>
      <c r="P304" s="1536">
        <f>SUM(E304:O304)</f>
        <v>0</v>
      </c>
    </row>
    <row r="305" spans="1:16" s="53" customFormat="1" ht="30" x14ac:dyDescent="0.25">
      <c r="A305" s="49"/>
      <c r="B305" s="30"/>
      <c r="C305" s="28" t="s">
        <v>2780</v>
      </c>
      <c r="D305" s="175"/>
      <c r="E305" s="159"/>
      <c r="F305" s="5755">
        <f>((((F282-E282)*$D$299)+((F283-E283)*$D$300)+((F284-E284)*$D$301)+((F285-E285)*$D$302)+((F286-E286)*$D$303))/'General info'!$G$44)</f>
        <v>0</v>
      </c>
      <c r="G305" s="1529">
        <f>((((G282-F282)*$D$299)+((G283-F283)*$D$300)+((G284-F284)*$D$301)+((G285-F285)*$D$302)+((G286-F286)*$D$303))/'General info'!$G$44)</f>
        <v>0</v>
      </c>
      <c r="H305" s="1529">
        <f>((((H282-G282)*$D$299)+((H283-G283)*$D$300)+((H284-G284)*$D$301)+((H285-G285)*$D$302)+((H286-G286)*$D$303))/'General info'!$G$44)</f>
        <v>0</v>
      </c>
      <c r="I305" s="1529">
        <f>((((I282-H282)*$D$299)+((I283-H283)*$D$300)+((I284-H284)*$D$301)+((I285-H285)*$D$302)+((I286-H286)*$D$303))/'General info'!$G$44)</f>
        <v>0</v>
      </c>
      <c r="J305" s="1529">
        <f>((((J282-I282)*$D$299)+((J283-I283)*$D$300)+((J284-I284)*$D$301)+((J285-I285)*$D$302)+((J286-I286)*$D$303))/'General info'!$G$44)</f>
        <v>0</v>
      </c>
      <c r="K305" s="1529">
        <f>((((K282-J282)*$D$299)+((K283-J283)*$D$300)+((K284-J284)*$D$301)+((K285-J285)*$D$302)+((K286-J286)*$D$303))/'General info'!$G$44)</f>
        <v>0</v>
      </c>
      <c r="L305" s="1529">
        <f>((((L282-K282)*$D$299)+((L283-K283)*$D$300)+((L284-K284)*$D$301)+((L285-K285)*$D$302)+((L286-K286)*$D$303))/'General info'!$G$44)</f>
        <v>0</v>
      </c>
      <c r="M305" s="1529">
        <f>((((M282-L282)*$D$299)+((M283-L283)*$D$300)+((M284-L284)*$D$301)+((M285-L285)*$D$302)+((M286-L286)*$D$303))/'General info'!$G$44)</f>
        <v>0</v>
      </c>
      <c r="N305" s="1529">
        <f>((((N282-M282)*$D$299)+((N283-M283)*$D$300)+((N284-M284)*$D$301)+((N285-M285)*$D$302)+((N286-M286)*$D$303))/'General info'!$G$44)</f>
        <v>0</v>
      </c>
      <c r="O305" s="1529">
        <f>((((O282-N282)*$D$299)+((O283-N283)*$D$300)+((O284-N284)*$D$301)+((O285-N285)*$D$302)+((O286-N286)*$D$303))/'General info'!$G$44)</f>
        <v>0</v>
      </c>
      <c r="P305" s="1536">
        <f>SUM(E305:O305)</f>
        <v>0</v>
      </c>
    </row>
    <row r="306" spans="1:16" s="51" customFormat="1" x14ac:dyDescent="0.25">
      <c r="A306" s="52"/>
      <c r="B306" s="14"/>
      <c r="C306" s="22" t="s">
        <v>2777</v>
      </c>
      <c r="D306" s="113"/>
      <c r="E306" s="1145">
        <v>0</v>
      </c>
      <c r="F306" s="5756">
        <f>((F279-E279)*'WS Plan'!$H$213)/'General info'!$G$44</f>
        <v>0</v>
      </c>
      <c r="G306" s="219">
        <f>((G279-F279)*'WS Plan'!$H$213)/'General info'!$G$44</f>
        <v>0</v>
      </c>
      <c r="H306" s="219">
        <f>((H279-G279)*'WS Plan'!$H$213)/'General info'!$G$44</f>
        <v>0</v>
      </c>
      <c r="I306" s="219">
        <f>((I279-H279)*'WS Plan'!$H$213)/'General info'!$G$44</f>
        <v>0</v>
      </c>
      <c r="J306" s="219">
        <f>((J279-I279)*'WS Plan'!$H$213)/'General info'!$G$44</f>
        <v>0</v>
      </c>
      <c r="K306" s="219">
        <f>((K279-J279)*'WS Plan'!$H$213)/'General info'!$G$44</f>
        <v>0</v>
      </c>
      <c r="L306" s="219">
        <f>((L279-K279)*'WS Plan'!$H$213)/'General info'!$G$44</f>
        <v>0</v>
      </c>
      <c r="M306" s="219">
        <f>((M279-L279)*'WS Plan'!$H$213)/'General info'!$G$44</f>
        <v>0</v>
      </c>
      <c r="N306" s="219">
        <f>((N279-M279)*'WS Plan'!$H$213)/'General info'!$G$44</f>
        <v>0</v>
      </c>
      <c r="O306" s="219">
        <f>((O279-N279)*'WS Plan'!$H$213)/'General info'!$G$44</f>
        <v>0</v>
      </c>
      <c r="P306" s="1536">
        <f>SUM(E306:O306)</f>
        <v>0</v>
      </c>
    </row>
    <row r="307" spans="1:16" ht="30" x14ac:dyDescent="0.25">
      <c r="A307" s="27"/>
      <c r="B307" s="14"/>
      <c r="C307" s="22" t="s">
        <v>1510</v>
      </c>
      <c r="D307" s="113"/>
      <c r="E307" s="26"/>
      <c r="F307" s="5757">
        <f>(((F279-E279)*'WS Plan'!$H$213)*'WS Plan'!$H$214/'General info'!$G$44)</f>
        <v>0</v>
      </c>
      <c r="G307" s="1145">
        <f>(((G279-F279)*'WS Plan'!$H$213)*'WS Plan'!$H$214/'General info'!$G$44)</f>
        <v>0</v>
      </c>
      <c r="H307" s="1145">
        <f>(((H279-G279)*'WS Plan'!$H$213)*'WS Plan'!$H$214/'General info'!$G$44)</f>
        <v>0</v>
      </c>
      <c r="I307" s="1145">
        <f>(((I279-H279)*'WS Plan'!$H$213)*'WS Plan'!$H$214/'General info'!$G$44)</f>
        <v>0</v>
      </c>
      <c r="J307" s="1145">
        <f>(((J279-I279)*'WS Plan'!$H$213)*'WS Plan'!$H$214/'General info'!$G$44)</f>
        <v>0</v>
      </c>
      <c r="K307" s="1145">
        <f>(((K279-J279)*'WS Plan'!$H$213)*'WS Plan'!$H$214/'General info'!$G$44)</f>
        <v>0</v>
      </c>
      <c r="L307" s="1145">
        <f>(((L279-K279)*'WS Plan'!$H$213)*'WS Plan'!$H$214/'General info'!$G$44)</f>
        <v>0</v>
      </c>
      <c r="M307" s="1145">
        <f>(((M279-L279)*'WS Plan'!$H$213)*'WS Plan'!$H$214/'General info'!$G$44)</f>
        <v>0</v>
      </c>
      <c r="N307" s="1145">
        <f>(((N279-M279)*'WS Plan'!$H$213)*'WS Plan'!$H$214/'General info'!$G$44)</f>
        <v>0</v>
      </c>
      <c r="O307" s="1145">
        <f>(((O279-N279)*'WS Plan'!$H$213)*'WS Plan'!$H$214/'General info'!$G$44)</f>
        <v>0</v>
      </c>
      <c r="P307" s="1536">
        <f>SUM(E307:O307)</f>
        <v>0</v>
      </c>
    </row>
    <row r="308" spans="1:16" x14ac:dyDescent="0.25">
      <c r="B308" s="39"/>
      <c r="C308" s="139"/>
      <c r="D308" s="114"/>
      <c r="E308" s="140"/>
      <c r="F308" s="998"/>
      <c r="G308" s="998"/>
      <c r="H308" s="998"/>
      <c r="I308" s="998"/>
      <c r="J308" s="998"/>
      <c r="K308" s="998"/>
      <c r="L308" s="998"/>
      <c r="M308" s="998"/>
      <c r="N308" s="998"/>
      <c r="O308" s="998"/>
    </row>
    <row r="309" spans="1:16" s="260" customFormat="1" x14ac:dyDescent="0.25">
      <c r="A309" s="257" t="s">
        <v>30</v>
      </c>
      <c r="B309" s="257" t="s">
        <v>612</v>
      </c>
      <c r="C309" s="314"/>
      <c r="D309" s="258"/>
      <c r="E309" s="256"/>
      <c r="F309" s="256"/>
      <c r="G309" s="256"/>
      <c r="H309" s="256"/>
      <c r="I309" s="256"/>
      <c r="J309" s="256"/>
      <c r="K309" s="256"/>
      <c r="L309" s="256"/>
      <c r="M309" s="256"/>
      <c r="N309" s="256"/>
      <c r="O309" s="256"/>
    </row>
    <row r="310" spans="1:16" s="260" customFormat="1" x14ac:dyDescent="0.25">
      <c r="A310" s="256"/>
      <c r="B310" s="261" t="s">
        <v>3</v>
      </c>
      <c r="C310" s="315" t="s">
        <v>4</v>
      </c>
      <c r="D310" s="270" t="s">
        <v>371</v>
      </c>
      <c r="E310" s="261">
        <f>E$3</f>
        <v>2014</v>
      </c>
      <c r="F310" s="261">
        <f t="shared" ref="F310:O310" si="172">F$3</f>
        <v>2015</v>
      </c>
      <c r="G310" s="261">
        <f t="shared" si="172"/>
        <v>2016</v>
      </c>
      <c r="H310" s="261">
        <f t="shared" si="172"/>
        <v>2017</v>
      </c>
      <c r="I310" s="261">
        <f t="shared" si="172"/>
        <v>2018</v>
      </c>
      <c r="J310" s="261">
        <f t="shared" si="172"/>
        <v>2019</v>
      </c>
      <c r="K310" s="261">
        <f t="shared" si="172"/>
        <v>2020</v>
      </c>
      <c r="L310" s="261">
        <f t="shared" si="172"/>
        <v>2021</v>
      </c>
      <c r="M310" s="261">
        <f t="shared" si="172"/>
        <v>2022</v>
      </c>
      <c r="N310" s="261">
        <f t="shared" si="172"/>
        <v>2023</v>
      </c>
      <c r="O310" s="261">
        <f t="shared" si="172"/>
        <v>2024</v>
      </c>
    </row>
    <row r="311" spans="1:16" s="295" customFormat="1" x14ac:dyDescent="0.25">
      <c r="A311" s="292"/>
      <c r="B311" s="293"/>
      <c r="C311" s="325" t="s">
        <v>258</v>
      </c>
      <c r="D311" s="332">
        <f>('WS Plan'!$H226-'WS Plan'!$H225)/('WS Plan'!$H223+1-'WS Plan'!$G223)</f>
        <v>0</v>
      </c>
      <c r="E311" s="294">
        <f>(1-'WS Plan'!$H225)</f>
        <v>1</v>
      </c>
      <c r="F311" s="294">
        <f>MAX(IF('WS Plan'!$E$222="Activate",IF(AND(F$310&gt;='WS Plan'!$G223,F$310&lt;'WS Plan'!$H223+1),E311-$D311,E311),E311),0)</f>
        <v>1</v>
      </c>
      <c r="G311" s="294">
        <f>MAX(IF('WS Plan'!$E$222="Activate",IF(AND('WS calcu'!G$310&gt;='WS Plan'!$G223,'WS calcu'!G$310&lt;'WS Plan'!$H223+1),F311-$D311,'WS calcu'!F311),'WS calcu'!F311),0)</f>
        <v>1</v>
      </c>
      <c r="H311" s="294">
        <f>MAX(IF('WS Plan'!$E$222="Activate",IF(AND('WS calcu'!H$310&gt;='WS Plan'!$G223,'WS calcu'!H$310&lt;'WS Plan'!$H223+1),G311-$D311,'WS calcu'!G311),'WS calcu'!G311),0)</f>
        <v>1</v>
      </c>
      <c r="I311" s="294">
        <f>MAX(IF('WS Plan'!$E$222="Activate",IF(AND('WS calcu'!I$310&gt;='WS Plan'!$G223,'WS calcu'!I$310&lt;'WS Plan'!$H223+1),H311-$D311,'WS calcu'!H311),'WS calcu'!H311),0)</f>
        <v>1</v>
      </c>
      <c r="J311" s="294">
        <f>MAX(IF('WS Plan'!$E$222="Activate",IF(AND('WS calcu'!J$310&gt;='WS Plan'!$G223,'WS calcu'!J$310&lt;'WS Plan'!$H223+1),I311-$D311,'WS calcu'!I311),'WS calcu'!I311),0)</f>
        <v>1</v>
      </c>
      <c r="K311" s="294">
        <f>MAX(IF('WS Plan'!$E$222="Activate",IF(AND('WS calcu'!K$310&gt;='WS Plan'!$G223,'WS calcu'!K$310&lt;'WS Plan'!$H223+1),J311-$D311,'WS calcu'!J311),'WS calcu'!J311),0)</f>
        <v>1</v>
      </c>
      <c r="L311" s="294">
        <f>MAX(IF('WS Plan'!$E$222="Activate",IF(AND('WS calcu'!L$310&gt;='WS Plan'!$G223,'WS calcu'!L$310&lt;'WS Plan'!$H223+1),K311-$D311,'WS calcu'!K311),'WS calcu'!K311),0)</f>
        <v>1</v>
      </c>
      <c r="M311" s="294">
        <f>MAX(IF('WS Plan'!$E$222="Activate",IF(AND('WS calcu'!M$310&gt;='WS Plan'!$G223,'WS calcu'!M$310&lt;'WS Plan'!$H223+1),L311-$D311,'WS calcu'!L311),'WS calcu'!L311),0)</f>
        <v>1</v>
      </c>
      <c r="N311" s="294">
        <f>MAX(IF('WS Plan'!$E$222="Activate",IF(AND('WS calcu'!N$310&gt;='WS Plan'!$G223,'WS calcu'!N$310&lt;'WS Plan'!$H223+1),M311-$D311,'WS calcu'!M311),'WS calcu'!M311),0)</f>
        <v>1</v>
      </c>
      <c r="O311" s="294">
        <f>MAX(IF('WS Plan'!$E$222="Activate",IF(AND('WS calcu'!O$310&gt;='WS Plan'!$G223,'WS calcu'!O$310&lt;'WS Plan'!$H223+1),N311-$D311,'WS calcu'!N311),'WS calcu'!N311),0)</f>
        <v>1</v>
      </c>
    </row>
    <row r="312" spans="1:16" s="237" customFormat="1" x14ac:dyDescent="0.25">
      <c r="A312" s="296"/>
      <c r="B312" s="233"/>
      <c r="C312" s="317" t="s">
        <v>257</v>
      </c>
      <c r="D312" s="332">
        <f>('WS Plan'!$H232-'WS Plan'!$H231)/('WS Plan'!$H229+1-'WS Plan'!$G229)</f>
        <v>0</v>
      </c>
      <c r="E312" s="297">
        <f>1-'WS Plan'!$H231</f>
        <v>1</v>
      </c>
      <c r="F312" s="297">
        <f>MAX(IF('WS Plan'!$E$222="Activate",IF(AND('WS calcu'!F$310&gt;='WS Plan'!$G229,'WS calcu'!F$310&lt;'WS Plan'!$H229+1),E312-$D312,'WS calcu'!E312),'WS calcu'!E312),0)</f>
        <v>1</v>
      </c>
      <c r="G312" s="297">
        <f>MAX(IF('WS Plan'!$E$222="Activate",IF(AND('WS calcu'!G$310&gt;='WS Plan'!$G229,'WS calcu'!G$310&lt;'WS Plan'!$H229+1),F312-$D312,'WS calcu'!F312),'WS calcu'!F312),0)</f>
        <v>1</v>
      </c>
      <c r="H312" s="297">
        <f>MAX(IF('WS Plan'!$E$222="Activate",IF(AND('WS calcu'!H$310&gt;='WS Plan'!$G229,'WS calcu'!H$310&lt;'WS Plan'!$H229+1),G312-$D312,'WS calcu'!G312),'WS calcu'!G312),0)</f>
        <v>1</v>
      </c>
      <c r="I312" s="297">
        <f>MAX(IF('WS Plan'!$E$222="Activate",IF(AND('WS calcu'!I$310&gt;='WS Plan'!$G229,'WS calcu'!I$310&lt;'WS Plan'!$H229+1),H312-$D312,'WS calcu'!H312),'WS calcu'!H312),0)</f>
        <v>1</v>
      </c>
      <c r="J312" s="297">
        <f>MAX(IF('WS Plan'!$E$222="Activate",IF(AND('WS calcu'!J$310&gt;='WS Plan'!$G229,'WS calcu'!J$310&lt;'WS Plan'!$H229+1),I312-$D312,'WS calcu'!I312),'WS calcu'!I312),0)</f>
        <v>1</v>
      </c>
      <c r="K312" s="297">
        <f>MAX(IF('WS Plan'!$E$222="Activate",IF(AND('WS calcu'!K$310&gt;='WS Plan'!$G229,'WS calcu'!K$310&lt;'WS Plan'!$H229+1),J312-$D312,'WS calcu'!J312),'WS calcu'!J312),0)</f>
        <v>1</v>
      </c>
      <c r="L312" s="297">
        <f>MAX(IF('WS Plan'!$E$222="Activate",IF(AND('WS calcu'!L$310&gt;='WS Plan'!$G229,'WS calcu'!L$310&lt;'WS Plan'!$H229+1),K312-$D312,'WS calcu'!K312),'WS calcu'!K312),0)</f>
        <v>1</v>
      </c>
      <c r="M312" s="297">
        <f>MAX(IF('WS Plan'!$E$222="Activate",IF(AND('WS calcu'!M$310&gt;='WS Plan'!$G229,'WS calcu'!M$310&lt;'WS Plan'!$H229+1),L312-$D312,'WS calcu'!L312),'WS calcu'!L312),0)</f>
        <v>1</v>
      </c>
      <c r="N312" s="297">
        <f>MAX(IF('WS Plan'!$E$222="Activate",IF(AND('WS calcu'!N$310&gt;='WS Plan'!$G229,'WS calcu'!N$310&lt;'WS Plan'!$H229+1),M312-$D312,'WS calcu'!M312),'WS calcu'!M312),0)</f>
        <v>1</v>
      </c>
      <c r="O312" s="297">
        <f>MAX(IF('WS Plan'!$E$222="Activate",IF(AND('WS calcu'!O$310&gt;='WS Plan'!$G229,'WS calcu'!O$310&lt;'WS Plan'!$H229+1),N312-$D312,'WS calcu'!N312),'WS calcu'!N312),0)</f>
        <v>1</v>
      </c>
    </row>
    <row r="313" spans="1:16" s="237" customFormat="1" x14ac:dyDescent="0.25">
      <c r="A313" s="296"/>
      <c r="B313" s="233"/>
      <c r="C313" s="317" t="s">
        <v>259</v>
      </c>
      <c r="D313" s="332">
        <f>('WS Plan'!$H238-'WS Plan'!$H237)/('WS Plan'!$H235+1-'WS Plan'!$G235)</f>
        <v>0</v>
      </c>
      <c r="E313" s="202">
        <f>(1-'WS Plan'!$H237)</f>
        <v>1</v>
      </c>
      <c r="F313" s="297">
        <f>MAX(IF('WS Plan'!$E$222="Activate",IF(AND('WS calcu'!F$310&gt;='WS Plan'!$G235,'WS calcu'!F$310&lt;'WS Plan'!$H235+1),E313-$D313,'WS calcu'!E313),'WS calcu'!E313),0)</f>
        <v>1</v>
      </c>
      <c r="G313" s="297">
        <f>MAX(IF('WS Plan'!$E$222="Activate",IF(AND('WS calcu'!G$310&gt;='WS Plan'!$G235,'WS calcu'!G$310&lt;'WS Plan'!$H235+1),F313-$D313,'WS calcu'!F313),'WS calcu'!F313),0)</f>
        <v>1</v>
      </c>
      <c r="H313" s="297">
        <f>MAX(IF('WS Plan'!$E$222="Activate",IF(AND('WS calcu'!H$310&gt;='WS Plan'!$G235,'WS calcu'!H$310&lt;'WS Plan'!$H235+1),G313-$D313,'WS calcu'!G313),'WS calcu'!G313),0)</f>
        <v>1</v>
      </c>
      <c r="I313" s="297">
        <f>MAX(IF('WS Plan'!$E$222="Activate",IF(AND('WS calcu'!I$310&gt;='WS Plan'!$G235,'WS calcu'!I$310&lt;'WS Plan'!$H235+1),H313-$D313,'WS calcu'!H313),'WS calcu'!H313),0)</f>
        <v>1</v>
      </c>
      <c r="J313" s="297">
        <f>MAX(IF('WS Plan'!$E$222="Activate",IF(AND('WS calcu'!J$310&gt;='WS Plan'!$G235,'WS calcu'!J$310&lt;'WS Plan'!$H235+1),I313-$D313,'WS calcu'!I313),'WS calcu'!I313),0)</f>
        <v>1</v>
      </c>
      <c r="K313" s="297">
        <f>MAX(IF('WS Plan'!$E$222="Activate",IF(AND('WS calcu'!K$310&gt;='WS Plan'!$G235,'WS calcu'!K$310&lt;'WS Plan'!$H235+1),J313-$D313,'WS calcu'!J313),'WS calcu'!J313),0)</f>
        <v>1</v>
      </c>
      <c r="L313" s="297">
        <f>MAX(IF('WS Plan'!$E$222="Activate",IF(AND('WS calcu'!L$310&gt;='WS Plan'!$G235,'WS calcu'!L$310&lt;'WS Plan'!$H235+1),K313-$D313,'WS calcu'!K313),'WS calcu'!K313),0)</f>
        <v>1</v>
      </c>
      <c r="M313" s="297">
        <f>MAX(IF('WS Plan'!$E$222="Activate",IF(AND('WS calcu'!M$310&gt;='WS Plan'!$G235,'WS calcu'!M$310&lt;'WS Plan'!$H235+1),L313-$D313,'WS calcu'!L313),'WS calcu'!L313),0)</f>
        <v>1</v>
      </c>
      <c r="N313" s="297">
        <f>MAX(IF('WS Plan'!$E$222="Activate",IF(AND('WS calcu'!N$310&gt;='WS Plan'!$G235,'WS calcu'!N$310&lt;'WS Plan'!$H235+1),M313-$D313,'WS calcu'!M313),'WS calcu'!M313),0)</f>
        <v>1</v>
      </c>
      <c r="O313" s="297">
        <f>MAX(IF('WS Plan'!$E$222="Activate",IF(AND('WS calcu'!O$310&gt;='WS Plan'!$G235,'WS calcu'!O$310&lt;'WS Plan'!$H235+1),N313-$D313,'WS calcu'!N313),'WS calcu'!N313),0)</f>
        <v>1</v>
      </c>
    </row>
    <row r="314" spans="1:16" s="237" customFormat="1" x14ac:dyDescent="0.25">
      <c r="A314" s="296"/>
      <c r="B314" s="233"/>
      <c r="C314" s="317" t="s">
        <v>324</v>
      </c>
      <c r="D314" s="332">
        <f>('WS Plan'!$H244-'WS Plan'!$H243)/('WS Plan'!$H241+1-'WS Plan'!$G241)</f>
        <v>0</v>
      </c>
      <c r="E314" s="202">
        <f>(1-'WS Plan'!$H243)</f>
        <v>1</v>
      </c>
      <c r="F314" s="297">
        <f>MAX(IF('WS Plan'!$E$222="Activate",IF(AND('WS calcu'!F$310&gt;='WS Plan'!$G241,'WS calcu'!F$310&lt;'WS Plan'!$H241+1),E314-$D314,'WS calcu'!E314),'WS calcu'!E314),0)</f>
        <v>1</v>
      </c>
      <c r="G314" s="297">
        <f>MAX(IF('WS Plan'!$E$222="Activate",IF(AND('WS calcu'!G$310&gt;='WS Plan'!$G241,'WS calcu'!G$310&lt;'WS Plan'!$H241+1),F314-$D314,'WS calcu'!F314),'WS calcu'!F314),0)</f>
        <v>1</v>
      </c>
      <c r="H314" s="297">
        <f>MAX(IF('WS Plan'!$E$222="Activate",IF(AND('WS calcu'!H$310&gt;='WS Plan'!$G241,'WS calcu'!H$310&lt;'WS Plan'!$H241+1),G314-$D314,'WS calcu'!G314),'WS calcu'!G314),0)</f>
        <v>1</v>
      </c>
      <c r="I314" s="297">
        <f>MAX(IF('WS Plan'!$E$222="Activate",IF(AND('WS calcu'!I$310&gt;='WS Plan'!$G241,'WS calcu'!I$310&lt;'WS Plan'!$H241+1),H314-$D314,'WS calcu'!H314),'WS calcu'!H314),0)</f>
        <v>1</v>
      </c>
      <c r="J314" s="297">
        <f>MAX(IF('WS Plan'!$E$222="Activate",IF(AND('WS calcu'!J$310&gt;='WS Plan'!$G241,'WS calcu'!J$310&lt;'WS Plan'!$H241+1),I314-$D314,'WS calcu'!I314),'WS calcu'!I314),0)</f>
        <v>1</v>
      </c>
      <c r="K314" s="297">
        <f>MAX(IF('WS Plan'!$E$222="Activate",IF(AND('WS calcu'!K$310&gt;='WS Plan'!$G241,'WS calcu'!K$310&lt;'WS Plan'!$H241+1),J314-$D314,'WS calcu'!J314),'WS calcu'!J314),0)</f>
        <v>1</v>
      </c>
      <c r="L314" s="297">
        <f>MAX(IF('WS Plan'!$E$222="Activate",IF(AND('WS calcu'!L$310&gt;='WS Plan'!$G241,'WS calcu'!L$310&lt;'WS Plan'!$H241+1),K314-$D314,'WS calcu'!K314),'WS calcu'!K314),0)</f>
        <v>1</v>
      </c>
      <c r="M314" s="297">
        <f>MAX(IF('WS Plan'!$E$222="Activate",IF(AND('WS calcu'!M$310&gt;='WS Plan'!$G241,'WS calcu'!M$310&lt;'WS Plan'!$H241+1),L314-$D314,'WS calcu'!L314),'WS calcu'!L314),0)</f>
        <v>1</v>
      </c>
      <c r="N314" s="297">
        <f>MAX(IF('WS Plan'!$E$222="Activate",IF(AND('WS calcu'!N$310&gt;='WS Plan'!$G241,'WS calcu'!N$310&lt;'WS Plan'!$H241+1),M314-$D314,'WS calcu'!M314),'WS calcu'!M314),0)</f>
        <v>1</v>
      </c>
      <c r="O314" s="297">
        <f>MAX(IF('WS Plan'!$E$222="Activate",IF(AND('WS calcu'!O$310&gt;='WS Plan'!$G241,'WS calcu'!O$310&lt;'WS Plan'!$H241+1),N314-$D314,'WS calcu'!N314),'WS calcu'!N314),0)</f>
        <v>1</v>
      </c>
    </row>
    <row r="315" spans="1:16" s="237" customFormat="1" x14ac:dyDescent="0.25">
      <c r="A315" s="296"/>
      <c r="B315" s="233"/>
      <c r="C315" s="317" t="s">
        <v>256</v>
      </c>
      <c r="D315" s="332">
        <f>('WS Plan'!$H250-'WS Plan'!$H249)/('WS Plan'!$H247+1-'WS Plan'!$G247)</f>
        <v>0</v>
      </c>
      <c r="E315" s="202">
        <f>(1-'WS Plan'!$H249)</f>
        <v>1</v>
      </c>
      <c r="F315" s="297">
        <f>MAX(IF('WS Plan'!$E$222="Activate",IF(AND('WS calcu'!F$310&gt;='WS Plan'!$G247,'WS calcu'!F$310&lt;'WS Plan'!$H247+1),E315-$D315,'WS calcu'!E315),'WS calcu'!E315),0)</f>
        <v>1</v>
      </c>
      <c r="G315" s="297">
        <f>MAX(IF('WS Plan'!$E$222="Activate",IF(AND('WS calcu'!G$310&gt;='WS Plan'!$G247,'WS calcu'!G$310&lt;'WS Plan'!$H247+1),F315-$D315,'WS calcu'!F315),'WS calcu'!F315),0)</f>
        <v>1</v>
      </c>
      <c r="H315" s="297">
        <f>MAX(IF('WS Plan'!$E$222="Activate",IF(AND('WS calcu'!H$310&gt;='WS Plan'!$G247,'WS calcu'!H$310&lt;'WS Plan'!$H247+1),G315-$D315,'WS calcu'!G315),'WS calcu'!G315),0)</f>
        <v>1</v>
      </c>
      <c r="I315" s="297">
        <f>MAX(IF('WS Plan'!$E$222="Activate",IF(AND('WS calcu'!I$310&gt;='WS Plan'!$G247,'WS calcu'!I$310&lt;'WS Plan'!$H247+1),H315-$D315,'WS calcu'!H315),'WS calcu'!H315),0)</f>
        <v>1</v>
      </c>
      <c r="J315" s="297">
        <f>MAX(IF('WS Plan'!$E$222="Activate",IF(AND('WS calcu'!J$310&gt;='WS Plan'!$G247,'WS calcu'!J$310&lt;'WS Plan'!$H247+1),I315-$D315,'WS calcu'!I315),'WS calcu'!I315),0)</f>
        <v>1</v>
      </c>
      <c r="K315" s="297">
        <f>MAX(IF('WS Plan'!$E$222="Activate",IF(AND('WS calcu'!K$310&gt;='WS Plan'!$G247,'WS calcu'!K$310&lt;'WS Plan'!$H247+1),J315-$D315,'WS calcu'!J315),'WS calcu'!J315),0)</f>
        <v>1</v>
      </c>
      <c r="L315" s="297">
        <f>MAX(IF('WS Plan'!$E$222="Activate",IF(AND('WS calcu'!L$310&gt;='WS Plan'!$G247,'WS calcu'!L$310&lt;'WS Plan'!$H247+1),K315-$D315,'WS calcu'!K315),'WS calcu'!K315),0)</f>
        <v>1</v>
      </c>
      <c r="M315" s="297">
        <f>MAX(IF('WS Plan'!$E$222="Activate",IF(AND('WS calcu'!M$310&gt;='WS Plan'!$G247,'WS calcu'!M$310&lt;'WS Plan'!$H247+1),L315-$D315,'WS calcu'!L315),'WS calcu'!L315),0)</f>
        <v>1</v>
      </c>
      <c r="N315" s="297">
        <f>MAX(IF('WS Plan'!$E$222="Activate",IF(AND('WS calcu'!N$310&gt;='WS Plan'!$G247,'WS calcu'!N$310&lt;'WS Plan'!$H247+1),M315-$D315,'WS calcu'!M315),'WS calcu'!M315),0)</f>
        <v>1</v>
      </c>
      <c r="O315" s="297">
        <f>MAX(IF('WS Plan'!$E$222="Activate",IF(AND('WS calcu'!O$310&gt;='WS Plan'!$G247,'WS calcu'!O$310&lt;'WS Plan'!$H247+1),N315-$D315,'WS calcu'!N315),'WS calcu'!N315),0)</f>
        <v>1</v>
      </c>
    </row>
    <row r="316" spans="1:16" x14ac:dyDescent="0.25">
      <c r="D316" s="48"/>
      <c r="E316" s="211"/>
      <c r="F316" s="48"/>
      <c r="G316" s="211"/>
    </row>
    <row r="317" spans="1:16" x14ac:dyDescent="0.25">
      <c r="D317" s="211"/>
      <c r="E317" s="663" t="s">
        <v>468</v>
      </c>
      <c r="G317" s="664" t="s">
        <v>469</v>
      </c>
      <c r="H317" s="663"/>
    </row>
    <row r="318" spans="1:16" x14ac:dyDescent="0.25">
      <c r="B318" s="11" t="s">
        <v>613</v>
      </c>
      <c r="D318" s="48"/>
      <c r="E318" s="663">
        <f>'WSS Profile'!$G$170</f>
        <v>0</v>
      </c>
      <c r="G318" s="663" t="str">
        <f>IF($H$318&lt;&gt;0,"Yes","No")</f>
        <v>No</v>
      </c>
      <c r="H318" s="663">
        <f>'Financing Plan'!$J$164</f>
        <v>0</v>
      </c>
    </row>
    <row r="319" spans="1:16" s="291" customFormat="1" x14ac:dyDescent="0.25">
      <c r="A319" s="287"/>
      <c r="B319" s="288"/>
      <c r="C319" s="326" t="s">
        <v>258</v>
      </c>
      <c r="D319" s="289"/>
      <c r="E319" s="290">
        <f t="shared" ref="E319:O319" si="173">IF($E$318="Yes",E311-(IFERROR(E274/E$184,0)),IF(AND($G$318="Yes",E$310&gt;=$H$318),E311-(IFERROR(E274/E$184,0)),100%))</f>
        <v>1</v>
      </c>
      <c r="F319" s="290">
        <f t="shared" si="173"/>
        <v>1</v>
      </c>
      <c r="G319" s="290">
        <f t="shared" si="173"/>
        <v>1</v>
      </c>
      <c r="H319" s="290">
        <f t="shared" si="173"/>
        <v>1</v>
      </c>
      <c r="I319" s="290">
        <f t="shared" si="173"/>
        <v>1</v>
      </c>
      <c r="J319" s="290">
        <f t="shared" si="173"/>
        <v>1</v>
      </c>
      <c r="K319" s="290">
        <f t="shared" si="173"/>
        <v>1</v>
      </c>
      <c r="L319" s="290">
        <f t="shared" si="173"/>
        <v>1</v>
      </c>
      <c r="M319" s="290">
        <f t="shared" si="173"/>
        <v>1</v>
      </c>
      <c r="N319" s="290">
        <f t="shared" si="173"/>
        <v>1</v>
      </c>
      <c r="O319" s="290">
        <f t="shared" si="173"/>
        <v>1</v>
      </c>
    </row>
    <row r="320" spans="1:16" s="77" customFormat="1" x14ac:dyDescent="0.25">
      <c r="A320" s="163"/>
      <c r="B320" s="72"/>
      <c r="C320" s="62" t="s">
        <v>257</v>
      </c>
      <c r="D320" s="201"/>
      <c r="E320" s="290">
        <f t="shared" ref="E320:O320" si="174">IF($E$318="Yes",E312-(IFERROR(E275/E$189,0)),IF(AND($G$318="Yes",E$310&gt;=$H$318),E312-(IFERROR(E275/E$189,0)),100%))</f>
        <v>1</v>
      </c>
      <c r="F320" s="290">
        <f t="shared" si="174"/>
        <v>1</v>
      </c>
      <c r="G320" s="290">
        <f t="shared" si="174"/>
        <v>1</v>
      </c>
      <c r="H320" s="290">
        <f t="shared" si="174"/>
        <v>1</v>
      </c>
      <c r="I320" s="290">
        <f t="shared" si="174"/>
        <v>1</v>
      </c>
      <c r="J320" s="290">
        <f t="shared" si="174"/>
        <v>1</v>
      </c>
      <c r="K320" s="290">
        <f t="shared" si="174"/>
        <v>1</v>
      </c>
      <c r="L320" s="290">
        <f t="shared" si="174"/>
        <v>1</v>
      </c>
      <c r="M320" s="290">
        <f t="shared" si="174"/>
        <v>1</v>
      </c>
      <c r="N320" s="290">
        <f t="shared" si="174"/>
        <v>1</v>
      </c>
      <c r="O320" s="290">
        <f t="shared" si="174"/>
        <v>1</v>
      </c>
    </row>
    <row r="321" spans="1:15" s="77" customFormat="1" x14ac:dyDescent="0.25">
      <c r="A321" s="163"/>
      <c r="B321" s="72"/>
      <c r="C321" s="62" t="s">
        <v>259</v>
      </c>
      <c r="D321" s="201"/>
      <c r="E321" s="290">
        <f t="shared" ref="E321:O321" si="175">IF($E$318="Yes",E313-(IFERROR(E276/E$194,0)),IF(AND($G$318="Yes",E$310&gt;=$H$318),E313-(IFERROR(E276/E$194,0)),100%))</f>
        <v>1</v>
      </c>
      <c r="F321" s="290">
        <f t="shared" si="175"/>
        <v>1</v>
      </c>
      <c r="G321" s="290">
        <f t="shared" si="175"/>
        <v>1</v>
      </c>
      <c r="H321" s="290">
        <f t="shared" si="175"/>
        <v>1</v>
      </c>
      <c r="I321" s="290">
        <f t="shared" si="175"/>
        <v>1</v>
      </c>
      <c r="J321" s="290">
        <f t="shared" si="175"/>
        <v>1</v>
      </c>
      <c r="K321" s="290">
        <f t="shared" si="175"/>
        <v>1</v>
      </c>
      <c r="L321" s="290">
        <f t="shared" si="175"/>
        <v>1</v>
      </c>
      <c r="M321" s="290">
        <f t="shared" si="175"/>
        <v>1</v>
      </c>
      <c r="N321" s="290">
        <f t="shared" si="175"/>
        <v>1</v>
      </c>
      <c r="O321" s="290">
        <f t="shared" si="175"/>
        <v>1</v>
      </c>
    </row>
    <row r="322" spans="1:15" s="77" customFormat="1" x14ac:dyDescent="0.25">
      <c r="A322" s="163"/>
      <c r="B322" s="72"/>
      <c r="C322" s="62" t="s">
        <v>324</v>
      </c>
      <c r="D322" s="201"/>
      <c r="E322" s="290">
        <f t="shared" ref="E322:O322" si="176">IF($E$318="Yes",E314-(IFERROR(E277/E$199,0)),IF(AND($G$318="Yes",E$310&gt;=$H$318),E314-(IFERROR(E277/E$199,0)),100%))</f>
        <v>1</v>
      </c>
      <c r="F322" s="290">
        <f t="shared" si="176"/>
        <v>1</v>
      </c>
      <c r="G322" s="290">
        <f t="shared" si="176"/>
        <v>1</v>
      </c>
      <c r="H322" s="290">
        <f t="shared" si="176"/>
        <v>1</v>
      </c>
      <c r="I322" s="290">
        <f t="shared" si="176"/>
        <v>1</v>
      </c>
      <c r="J322" s="290">
        <f t="shared" si="176"/>
        <v>1</v>
      </c>
      <c r="K322" s="290">
        <f t="shared" si="176"/>
        <v>1</v>
      </c>
      <c r="L322" s="290">
        <f t="shared" si="176"/>
        <v>1</v>
      </c>
      <c r="M322" s="290">
        <f t="shared" si="176"/>
        <v>1</v>
      </c>
      <c r="N322" s="290">
        <f t="shared" si="176"/>
        <v>1</v>
      </c>
      <c r="O322" s="290">
        <f t="shared" si="176"/>
        <v>1</v>
      </c>
    </row>
    <row r="323" spans="1:15" s="77" customFormat="1" x14ac:dyDescent="0.25">
      <c r="A323" s="163"/>
      <c r="B323" s="72"/>
      <c r="C323" s="62" t="s">
        <v>256</v>
      </c>
      <c r="D323" s="201"/>
      <c r="E323" s="290">
        <f t="shared" ref="E323:O323" si="177">IF($E$318="Yes",E315-(IFERROR(E278/E$205,0)),IF(AND($G$318="Yes",E$310&gt;=$H$318),E315-(IFERROR(E278/E$205,0)),100%))</f>
        <v>1</v>
      </c>
      <c r="F323" s="290">
        <f t="shared" si="177"/>
        <v>1</v>
      </c>
      <c r="G323" s="290">
        <f t="shared" si="177"/>
        <v>1</v>
      </c>
      <c r="H323" s="290">
        <f t="shared" si="177"/>
        <v>1</v>
      </c>
      <c r="I323" s="290">
        <f t="shared" si="177"/>
        <v>1</v>
      </c>
      <c r="J323" s="290">
        <f t="shared" si="177"/>
        <v>1</v>
      </c>
      <c r="K323" s="290">
        <f t="shared" si="177"/>
        <v>1</v>
      </c>
      <c r="L323" s="290">
        <f t="shared" si="177"/>
        <v>1</v>
      </c>
      <c r="M323" s="290">
        <f t="shared" si="177"/>
        <v>1</v>
      </c>
      <c r="N323" s="290">
        <f t="shared" si="177"/>
        <v>1</v>
      </c>
      <c r="O323" s="290">
        <f t="shared" si="177"/>
        <v>1</v>
      </c>
    </row>
    <row r="325" spans="1:15" x14ac:dyDescent="0.25">
      <c r="A325" s="11" t="s">
        <v>13</v>
      </c>
      <c r="B325" s="11" t="s">
        <v>614</v>
      </c>
      <c r="C325" s="50"/>
    </row>
    <row r="326" spans="1:15" x14ac:dyDescent="0.25">
      <c r="B326" s="13" t="s">
        <v>3</v>
      </c>
      <c r="C326" s="310" t="s">
        <v>4</v>
      </c>
      <c r="D326" s="13" t="s">
        <v>33</v>
      </c>
      <c r="E326" s="13">
        <f>E$3</f>
        <v>2014</v>
      </c>
      <c r="F326" s="13">
        <f t="shared" ref="F326:O326" si="178">F$3</f>
        <v>2015</v>
      </c>
      <c r="G326" s="13">
        <f t="shared" si="178"/>
        <v>2016</v>
      </c>
      <c r="H326" s="13">
        <f t="shared" si="178"/>
        <v>2017</v>
      </c>
      <c r="I326" s="13">
        <f t="shared" si="178"/>
        <v>2018</v>
      </c>
      <c r="J326" s="13">
        <f t="shared" si="178"/>
        <v>2019</v>
      </c>
      <c r="K326" s="13">
        <f t="shared" si="178"/>
        <v>2020</v>
      </c>
      <c r="L326" s="13">
        <f t="shared" si="178"/>
        <v>2021</v>
      </c>
      <c r="M326" s="13">
        <f t="shared" si="178"/>
        <v>2022</v>
      </c>
      <c r="N326" s="13">
        <f t="shared" si="178"/>
        <v>2023</v>
      </c>
      <c r="O326" s="13">
        <f t="shared" si="178"/>
        <v>2024</v>
      </c>
    </row>
    <row r="327" spans="1:15" s="170" customFormat="1" x14ac:dyDescent="0.25">
      <c r="A327" s="204"/>
      <c r="B327" s="369"/>
      <c r="C327" s="207" t="s">
        <v>615</v>
      </c>
      <c r="D327" s="369"/>
      <c r="E327" s="370"/>
      <c r="F327" s="370"/>
      <c r="G327" s="370"/>
      <c r="H327" s="370"/>
      <c r="I327" s="370"/>
      <c r="J327" s="370"/>
      <c r="K327" s="370"/>
      <c r="L327" s="370"/>
      <c r="M327" s="370"/>
      <c r="N327" s="370"/>
      <c r="O327" s="370"/>
    </row>
    <row r="328" spans="1:15" s="170" customFormat="1" x14ac:dyDescent="0.25">
      <c r="B328" s="374"/>
      <c r="C328" s="436" t="s">
        <v>633</v>
      </c>
      <c r="D328" s="1131"/>
      <c r="E328" s="1258">
        <f t="shared" ref="E328:O328" si="179">E207*E52</f>
        <v>0</v>
      </c>
      <c r="F328" s="1258">
        <f t="shared" si="179"/>
        <v>0</v>
      </c>
      <c r="G328" s="1258">
        <f t="shared" si="179"/>
        <v>0</v>
      </c>
      <c r="H328" s="1258">
        <f t="shared" si="179"/>
        <v>0</v>
      </c>
      <c r="I328" s="1258">
        <f t="shared" si="179"/>
        <v>0</v>
      </c>
      <c r="J328" s="1258">
        <f t="shared" si="179"/>
        <v>0</v>
      </c>
      <c r="K328" s="1258">
        <f t="shared" si="179"/>
        <v>0</v>
      </c>
      <c r="L328" s="1258">
        <f t="shared" si="179"/>
        <v>0</v>
      </c>
      <c r="M328" s="1258">
        <f t="shared" si="179"/>
        <v>0</v>
      </c>
      <c r="N328" s="1258">
        <f t="shared" si="179"/>
        <v>0</v>
      </c>
      <c r="O328" s="1258">
        <f t="shared" si="179"/>
        <v>0</v>
      </c>
    </row>
    <row r="329" spans="1:15" s="77" customFormat="1" x14ac:dyDescent="0.25">
      <c r="A329" s="163"/>
      <c r="B329" s="72">
        <v>1</v>
      </c>
      <c r="C329" s="62" t="s">
        <v>258</v>
      </c>
      <c r="D329" s="925"/>
      <c r="E329" s="926"/>
      <c r="F329" s="926"/>
      <c r="G329" s="926"/>
      <c r="H329" s="926"/>
      <c r="I329" s="926"/>
      <c r="J329" s="926"/>
      <c r="K329" s="926"/>
      <c r="L329" s="926"/>
      <c r="M329" s="926"/>
      <c r="N329" s="926"/>
      <c r="O329" s="927"/>
    </row>
    <row r="330" spans="1:15" s="77" customFormat="1" x14ac:dyDescent="0.25">
      <c r="A330" s="163"/>
      <c r="B330" s="445">
        <v>1.1000000000000001</v>
      </c>
      <c r="C330" s="62" t="s">
        <v>23</v>
      </c>
      <c r="D330" s="1259">
        <f>IFERROR(E185/$E$328,0)</f>
        <v>0</v>
      </c>
      <c r="E330" s="351">
        <f>$D330*E$328</f>
        <v>0</v>
      </c>
      <c r="F330" s="351">
        <f t="shared" ref="F330:O345" si="180">$D330*F$328</f>
        <v>0</v>
      </c>
      <c r="G330" s="351">
        <f t="shared" si="180"/>
        <v>0</v>
      </c>
      <c r="H330" s="351">
        <f t="shared" si="180"/>
        <v>0</v>
      </c>
      <c r="I330" s="351">
        <f t="shared" si="180"/>
        <v>0</v>
      </c>
      <c r="J330" s="351">
        <f t="shared" si="180"/>
        <v>0</v>
      </c>
      <c r="K330" s="351">
        <f t="shared" si="180"/>
        <v>0</v>
      </c>
      <c r="L330" s="351">
        <f t="shared" si="180"/>
        <v>0</v>
      </c>
      <c r="M330" s="351">
        <f t="shared" si="180"/>
        <v>0</v>
      </c>
      <c r="N330" s="351">
        <f t="shared" si="180"/>
        <v>0</v>
      </c>
      <c r="O330" s="351">
        <f t="shared" si="180"/>
        <v>0</v>
      </c>
    </row>
    <row r="331" spans="1:15" s="77" customFormat="1" x14ac:dyDescent="0.25">
      <c r="A331" s="163"/>
      <c r="B331" s="445">
        <v>1.2</v>
      </c>
      <c r="C331" s="62" t="s">
        <v>24</v>
      </c>
      <c r="D331" s="1259">
        <f>IFERROR(E186/$E$328,0)</f>
        <v>0</v>
      </c>
      <c r="E331" s="351">
        <f>$D331*E$328</f>
        <v>0</v>
      </c>
      <c r="F331" s="351">
        <f t="shared" si="180"/>
        <v>0</v>
      </c>
      <c r="G331" s="351">
        <f t="shared" si="180"/>
        <v>0</v>
      </c>
      <c r="H331" s="351">
        <f t="shared" si="180"/>
        <v>0</v>
      </c>
      <c r="I331" s="351">
        <f t="shared" si="180"/>
        <v>0</v>
      </c>
      <c r="J331" s="351">
        <f t="shared" si="180"/>
        <v>0</v>
      </c>
      <c r="K331" s="351">
        <f t="shared" si="180"/>
        <v>0</v>
      </c>
      <c r="L331" s="351">
        <f t="shared" si="180"/>
        <v>0</v>
      </c>
      <c r="M331" s="351">
        <f t="shared" si="180"/>
        <v>0</v>
      </c>
      <c r="N331" s="351">
        <f t="shared" si="180"/>
        <v>0</v>
      </c>
      <c r="O331" s="351">
        <f t="shared" si="180"/>
        <v>0</v>
      </c>
    </row>
    <row r="332" spans="1:15" s="77" customFormat="1" x14ac:dyDescent="0.25">
      <c r="A332" s="163"/>
      <c r="B332" s="445">
        <v>1.3</v>
      </c>
      <c r="C332" s="62" t="s">
        <v>25</v>
      </c>
      <c r="D332" s="1259">
        <f>IFERROR(E187/$E$328,0)</f>
        <v>0</v>
      </c>
      <c r="E332" s="351">
        <f>$D332*E$328</f>
        <v>0</v>
      </c>
      <c r="F332" s="351">
        <f t="shared" si="180"/>
        <v>0</v>
      </c>
      <c r="G332" s="351">
        <f t="shared" si="180"/>
        <v>0</v>
      </c>
      <c r="H332" s="351">
        <f t="shared" si="180"/>
        <v>0</v>
      </c>
      <c r="I332" s="351">
        <f t="shared" si="180"/>
        <v>0</v>
      </c>
      <c r="J332" s="351">
        <f t="shared" si="180"/>
        <v>0</v>
      </c>
      <c r="K332" s="351">
        <f t="shared" si="180"/>
        <v>0</v>
      </c>
      <c r="L332" s="351">
        <f t="shared" si="180"/>
        <v>0</v>
      </c>
      <c r="M332" s="351">
        <f t="shared" si="180"/>
        <v>0</v>
      </c>
      <c r="N332" s="351">
        <f t="shared" si="180"/>
        <v>0</v>
      </c>
      <c r="O332" s="351">
        <f t="shared" si="180"/>
        <v>0</v>
      </c>
    </row>
    <row r="333" spans="1:15" s="77" customFormat="1" x14ac:dyDescent="0.25">
      <c r="A333" s="163"/>
      <c r="B333" s="445">
        <v>1.4</v>
      </c>
      <c r="C333" s="62" t="s">
        <v>168</v>
      </c>
      <c r="D333" s="1259">
        <f>IFERROR(E188/$E$328,0)</f>
        <v>0</v>
      </c>
      <c r="E333" s="351">
        <f>$D333*E$328</f>
        <v>0</v>
      </c>
      <c r="F333" s="351">
        <f t="shared" si="180"/>
        <v>0</v>
      </c>
      <c r="G333" s="351">
        <f t="shared" si="180"/>
        <v>0</v>
      </c>
      <c r="H333" s="351">
        <f t="shared" si="180"/>
        <v>0</v>
      </c>
      <c r="I333" s="351">
        <f t="shared" si="180"/>
        <v>0</v>
      </c>
      <c r="J333" s="351">
        <f t="shared" si="180"/>
        <v>0</v>
      </c>
      <c r="K333" s="351">
        <f t="shared" si="180"/>
        <v>0</v>
      </c>
      <c r="L333" s="351">
        <f t="shared" si="180"/>
        <v>0</v>
      </c>
      <c r="M333" s="351">
        <f t="shared" si="180"/>
        <v>0</v>
      </c>
      <c r="N333" s="351">
        <f t="shared" si="180"/>
        <v>0</v>
      </c>
      <c r="O333" s="351">
        <f t="shared" si="180"/>
        <v>0</v>
      </c>
    </row>
    <row r="334" spans="1:15" s="77" customFormat="1" x14ac:dyDescent="0.25">
      <c r="A334" s="163"/>
      <c r="B334" s="72">
        <v>2</v>
      </c>
      <c r="C334" s="62" t="s">
        <v>257</v>
      </c>
      <c r="D334" s="925"/>
      <c r="E334" s="926"/>
      <c r="F334" s="926"/>
      <c r="G334" s="926"/>
      <c r="H334" s="926"/>
      <c r="I334" s="926"/>
      <c r="J334" s="926"/>
      <c r="K334" s="926"/>
      <c r="L334" s="926"/>
      <c r="M334" s="926"/>
      <c r="N334" s="926"/>
      <c r="O334" s="927"/>
    </row>
    <row r="335" spans="1:15" s="77" customFormat="1" x14ac:dyDescent="0.25">
      <c r="A335" s="163"/>
      <c r="B335" s="445">
        <v>2.1</v>
      </c>
      <c r="C335" s="62" t="s">
        <v>23</v>
      </c>
      <c r="D335" s="1259">
        <f>IFERROR(E190/$E$328,0)</f>
        <v>0</v>
      </c>
      <c r="E335" s="351">
        <f>$D335*E$328</f>
        <v>0</v>
      </c>
      <c r="F335" s="351">
        <f t="shared" si="180"/>
        <v>0</v>
      </c>
      <c r="G335" s="351">
        <f t="shared" si="180"/>
        <v>0</v>
      </c>
      <c r="H335" s="351">
        <f t="shared" si="180"/>
        <v>0</v>
      </c>
      <c r="I335" s="351">
        <f t="shared" si="180"/>
        <v>0</v>
      </c>
      <c r="J335" s="351">
        <f t="shared" si="180"/>
        <v>0</v>
      </c>
      <c r="K335" s="351">
        <f t="shared" si="180"/>
        <v>0</v>
      </c>
      <c r="L335" s="351">
        <f t="shared" si="180"/>
        <v>0</v>
      </c>
      <c r="M335" s="351">
        <f t="shared" si="180"/>
        <v>0</v>
      </c>
      <c r="N335" s="351">
        <f t="shared" si="180"/>
        <v>0</v>
      </c>
      <c r="O335" s="351">
        <f t="shared" si="180"/>
        <v>0</v>
      </c>
    </row>
    <row r="336" spans="1:15" s="77" customFormat="1" x14ac:dyDescent="0.25">
      <c r="A336" s="163"/>
      <c r="B336" s="445">
        <v>2.2000000000000002</v>
      </c>
      <c r="C336" s="62" t="s">
        <v>24</v>
      </c>
      <c r="D336" s="1259">
        <f>IFERROR(E191/$E$328,0)</f>
        <v>0</v>
      </c>
      <c r="E336" s="351">
        <f>$D336*E$328</f>
        <v>0</v>
      </c>
      <c r="F336" s="351">
        <f t="shared" si="180"/>
        <v>0</v>
      </c>
      <c r="G336" s="351">
        <f t="shared" si="180"/>
        <v>0</v>
      </c>
      <c r="H336" s="351">
        <f t="shared" si="180"/>
        <v>0</v>
      </c>
      <c r="I336" s="351">
        <f t="shared" si="180"/>
        <v>0</v>
      </c>
      <c r="J336" s="351">
        <f t="shared" si="180"/>
        <v>0</v>
      </c>
      <c r="K336" s="351">
        <f t="shared" si="180"/>
        <v>0</v>
      </c>
      <c r="L336" s="351">
        <f t="shared" si="180"/>
        <v>0</v>
      </c>
      <c r="M336" s="351">
        <f t="shared" si="180"/>
        <v>0</v>
      </c>
      <c r="N336" s="351">
        <f t="shared" si="180"/>
        <v>0</v>
      </c>
      <c r="O336" s="351">
        <f t="shared" si="180"/>
        <v>0</v>
      </c>
    </row>
    <row r="337" spans="1:15" s="77" customFormat="1" x14ac:dyDescent="0.25">
      <c r="A337" s="163"/>
      <c r="B337" s="445">
        <v>2.2999999999999998</v>
      </c>
      <c r="C337" s="62" t="s">
        <v>25</v>
      </c>
      <c r="D337" s="1259">
        <f>IFERROR(E192/$E$328,0)</f>
        <v>0</v>
      </c>
      <c r="E337" s="351">
        <f>$D337*E$328</f>
        <v>0</v>
      </c>
      <c r="F337" s="351">
        <f t="shared" si="180"/>
        <v>0</v>
      </c>
      <c r="G337" s="351">
        <f t="shared" si="180"/>
        <v>0</v>
      </c>
      <c r="H337" s="351">
        <f t="shared" si="180"/>
        <v>0</v>
      </c>
      <c r="I337" s="351">
        <f t="shared" si="180"/>
        <v>0</v>
      </c>
      <c r="J337" s="351">
        <f t="shared" si="180"/>
        <v>0</v>
      </c>
      <c r="K337" s="351">
        <f t="shared" si="180"/>
        <v>0</v>
      </c>
      <c r="L337" s="351">
        <f t="shared" si="180"/>
        <v>0</v>
      </c>
      <c r="M337" s="351">
        <f t="shared" si="180"/>
        <v>0</v>
      </c>
      <c r="N337" s="351">
        <f t="shared" si="180"/>
        <v>0</v>
      </c>
      <c r="O337" s="351">
        <f t="shared" si="180"/>
        <v>0</v>
      </c>
    </row>
    <row r="338" spans="1:15" s="77" customFormat="1" x14ac:dyDescent="0.25">
      <c r="A338" s="163"/>
      <c r="B338" s="445">
        <v>2.4</v>
      </c>
      <c r="C338" s="62" t="s">
        <v>168</v>
      </c>
      <c r="D338" s="1259">
        <f>IFERROR(E193/$E$328,0)</f>
        <v>0</v>
      </c>
      <c r="E338" s="351">
        <f>$D338*E$328</f>
        <v>0</v>
      </c>
      <c r="F338" s="351">
        <f t="shared" si="180"/>
        <v>0</v>
      </c>
      <c r="G338" s="351">
        <f t="shared" si="180"/>
        <v>0</v>
      </c>
      <c r="H338" s="351">
        <f t="shared" si="180"/>
        <v>0</v>
      </c>
      <c r="I338" s="351">
        <f t="shared" si="180"/>
        <v>0</v>
      </c>
      <c r="J338" s="351">
        <f t="shared" si="180"/>
        <v>0</v>
      </c>
      <c r="K338" s="351">
        <f t="shared" si="180"/>
        <v>0</v>
      </c>
      <c r="L338" s="351">
        <f t="shared" si="180"/>
        <v>0</v>
      </c>
      <c r="M338" s="351">
        <f t="shared" si="180"/>
        <v>0</v>
      </c>
      <c r="N338" s="351">
        <f t="shared" si="180"/>
        <v>0</v>
      </c>
      <c r="O338" s="351">
        <f t="shared" si="180"/>
        <v>0</v>
      </c>
    </row>
    <row r="339" spans="1:15" s="77" customFormat="1" x14ac:dyDescent="0.25">
      <c r="A339" s="163"/>
      <c r="B339" s="72">
        <v>3</v>
      </c>
      <c r="C339" s="62" t="s">
        <v>259</v>
      </c>
      <c r="D339" s="925"/>
      <c r="E339" s="926"/>
      <c r="F339" s="926"/>
      <c r="G339" s="926"/>
      <c r="H339" s="926"/>
      <c r="I339" s="926"/>
      <c r="J339" s="926"/>
      <c r="K339" s="926"/>
      <c r="L339" s="926"/>
      <c r="M339" s="926"/>
      <c r="N339" s="926"/>
      <c r="O339" s="927"/>
    </row>
    <row r="340" spans="1:15" s="77" customFormat="1" x14ac:dyDescent="0.25">
      <c r="A340" s="163"/>
      <c r="B340" s="445">
        <v>3.1</v>
      </c>
      <c r="C340" s="62" t="s">
        <v>23</v>
      </c>
      <c r="D340" s="1259">
        <f>IFERROR(E195/$E$328,0)</f>
        <v>0</v>
      </c>
      <c r="E340" s="351">
        <f>$D340*E$328</f>
        <v>0</v>
      </c>
      <c r="F340" s="351">
        <f t="shared" si="180"/>
        <v>0</v>
      </c>
      <c r="G340" s="351">
        <f t="shared" si="180"/>
        <v>0</v>
      </c>
      <c r="H340" s="351">
        <f t="shared" si="180"/>
        <v>0</v>
      </c>
      <c r="I340" s="351">
        <f t="shared" si="180"/>
        <v>0</v>
      </c>
      <c r="J340" s="351">
        <f t="shared" si="180"/>
        <v>0</v>
      </c>
      <c r="K340" s="351">
        <f t="shared" si="180"/>
        <v>0</v>
      </c>
      <c r="L340" s="351">
        <f t="shared" si="180"/>
        <v>0</v>
      </c>
      <c r="M340" s="351">
        <f t="shared" si="180"/>
        <v>0</v>
      </c>
      <c r="N340" s="351">
        <f t="shared" si="180"/>
        <v>0</v>
      </c>
      <c r="O340" s="351">
        <f t="shared" si="180"/>
        <v>0</v>
      </c>
    </row>
    <row r="341" spans="1:15" s="77" customFormat="1" x14ac:dyDescent="0.25">
      <c r="A341" s="163"/>
      <c r="B341" s="445">
        <v>3.2</v>
      </c>
      <c r="C341" s="62" t="s">
        <v>24</v>
      </c>
      <c r="D341" s="1259">
        <f>IFERROR(E196/$E$328,0)</f>
        <v>0</v>
      </c>
      <c r="E341" s="351">
        <f>$D341*E$328</f>
        <v>0</v>
      </c>
      <c r="F341" s="351">
        <f t="shared" si="180"/>
        <v>0</v>
      </c>
      <c r="G341" s="351">
        <f t="shared" si="180"/>
        <v>0</v>
      </c>
      <c r="H341" s="351">
        <f t="shared" si="180"/>
        <v>0</v>
      </c>
      <c r="I341" s="351">
        <f t="shared" si="180"/>
        <v>0</v>
      </c>
      <c r="J341" s="351">
        <f t="shared" si="180"/>
        <v>0</v>
      </c>
      <c r="K341" s="351">
        <f t="shared" si="180"/>
        <v>0</v>
      </c>
      <c r="L341" s="351">
        <f t="shared" si="180"/>
        <v>0</v>
      </c>
      <c r="M341" s="351">
        <f t="shared" si="180"/>
        <v>0</v>
      </c>
      <c r="N341" s="351">
        <f t="shared" si="180"/>
        <v>0</v>
      </c>
      <c r="O341" s="351">
        <f t="shared" si="180"/>
        <v>0</v>
      </c>
    </row>
    <row r="342" spans="1:15" s="77" customFormat="1" x14ac:dyDescent="0.25">
      <c r="A342" s="163"/>
      <c r="B342" s="445">
        <v>3.3</v>
      </c>
      <c r="C342" s="62" t="s">
        <v>25</v>
      </c>
      <c r="D342" s="1259">
        <f>IFERROR(E197/$E$328,0)</f>
        <v>0</v>
      </c>
      <c r="E342" s="351">
        <f>$D342*E$328</f>
        <v>0</v>
      </c>
      <c r="F342" s="351">
        <f t="shared" si="180"/>
        <v>0</v>
      </c>
      <c r="G342" s="351">
        <f t="shared" si="180"/>
        <v>0</v>
      </c>
      <c r="H342" s="351">
        <f t="shared" si="180"/>
        <v>0</v>
      </c>
      <c r="I342" s="351">
        <f t="shared" si="180"/>
        <v>0</v>
      </c>
      <c r="J342" s="351">
        <f t="shared" si="180"/>
        <v>0</v>
      </c>
      <c r="K342" s="351">
        <f t="shared" si="180"/>
        <v>0</v>
      </c>
      <c r="L342" s="351">
        <f t="shared" si="180"/>
        <v>0</v>
      </c>
      <c r="M342" s="351">
        <f t="shared" si="180"/>
        <v>0</v>
      </c>
      <c r="N342" s="351">
        <f t="shared" si="180"/>
        <v>0</v>
      </c>
      <c r="O342" s="351">
        <f t="shared" si="180"/>
        <v>0</v>
      </c>
    </row>
    <row r="343" spans="1:15" s="77" customFormat="1" x14ac:dyDescent="0.25">
      <c r="A343" s="163"/>
      <c r="B343" s="445">
        <v>3.4</v>
      </c>
      <c r="C343" s="62" t="s">
        <v>168</v>
      </c>
      <c r="D343" s="1259">
        <f>IFERROR(E198/$E$328,0)</f>
        <v>0</v>
      </c>
      <c r="E343" s="351">
        <f>$D343*E$328</f>
        <v>0</v>
      </c>
      <c r="F343" s="351">
        <f t="shared" si="180"/>
        <v>0</v>
      </c>
      <c r="G343" s="351">
        <f t="shared" si="180"/>
        <v>0</v>
      </c>
      <c r="H343" s="351">
        <f t="shared" si="180"/>
        <v>0</v>
      </c>
      <c r="I343" s="351">
        <f t="shared" si="180"/>
        <v>0</v>
      </c>
      <c r="J343" s="351">
        <f t="shared" si="180"/>
        <v>0</v>
      </c>
      <c r="K343" s="351">
        <f t="shared" si="180"/>
        <v>0</v>
      </c>
      <c r="L343" s="351">
        <f t="shared" si="180"/>
        <v>0</v>
      </c>
      <c r="M343" s="351">
        <f t="shared" si="180"/>
        <v>0</v>
      </c>
      <c r="N343" s="351">
        <f t="shared" si="180"/>
        <v>0</v>
      </c>
      <c r="O343" s="351">
        <f t="shared" si="180"/>
        <v>0</v>
      </c>
    </row>
    <row r="344" spans="1:15" s="77" customFormat="1" x14ac:dyDescent="0.25">
      <c r="A344" s="163"/>
      <c r="B344" s="72">
        <v>4</v>
      </c>
      <c r="C344" s="62" t="s">
        <v>26</v>
      </c>
      <c r="D344" s="925"/>
      <c r="E344" s="926"/>
      <c r="F344" s="926"/>
      <c r="G344" s="926"/>
      <c r="H344" s="926"/>
      <c r="I344" s="926"/>
      <c r="J344" s="926"/>
      <c r="K344" s="926"/>
      <c r="L344" s="926"/>
      <c r="M344" s="926"/>
      <c r="N344" s="926"/>
      <c r="O344" s="927"/>
    </row>
    <row r="345" spans="1:15" s="77" customFormat="1" x14ac:dyDescent="0.25">
      <c r="A345" s="163"/>
      <c r="B345" s="445">
        <v>4.0999999999999996</v>
      </c>
      <c r="C345" s="62" t="s">
        <v>23</v>
      </c>
      <c r="D345" s="1259">
        <f>IFERROR(E200/$E$328,0)</f>
        <v>0</v>
      </c>
      <c r="E345" s="351">
        <f>$D345*E$328</f>
        <v>0</v>
      </c>
      <c r="F345" s="351">
        <f t="shared" si="180"/>
        <v>0</v>
      </c>
      <c r="G345" s="351">
        <f t="shared" si="180"/>
        <v>0</v>
      </c>
      <c r="H345" s="351">
        <f t="shared" si="180"/>
        <v>0</v>
      </c>
      <c r="I345" s="351">
        <f t="shared" si="180"/>
        <v>0</v>
      </c>
      <c r="J345" s="351">
        <f t="shared" si="180"/>
        <v>0</v>
      </c>
      <c r="K345" s="351">
        <f t="shared" si="180"/>
        <v>0</v>
      </c>
      <c r="L345" s="351">
        <f t="shared" si="180"/>
        <v>0</v>
      </c>
      <c r="M345" s="351">
        <f t="shared" si="180"/>
        <v>0</v>
      </c>
      <c r="N345" s="351">
        <f t="shared" si="180"/>
        <v>0</v>
      </c>
      <c r="O345" s="351">
        <f t="shared" si="180"/>
        <v>0</v>
      </c>
    </row>
    <row r="346" spans="1:15" s="77" customFormat="1" x14ac:dyDescent="0.25">
      <c r="A346" s="163"/>
      <c r="B346" s="445">
        <v>4.2</v>
      </c>
      <c r="C346" s="62" t="s">
        <v>24</v>
      </c>
      <c r="D346" s="1259">
        <f>IFERROR(E201/$E$328,0)</f>
        <v>0</v>
      </c>
      <c r="E346" s="351">
        <f>$D346*E$328</f>
        <v>0</v>
      </c>
      <c r="F346" s="351">
        <f t="shared" ref="F346:O348" si="181">$D346*F$328</f>
        <v>0</v>
      </c>
      <c r="G346" s="351">
        <f t="shared" si="181"/>
        <v>0</v>
      </c>
      <c r="H346" s="351">
        <f t="shared" si="181"/>
        <v>0</v>
      </c>
      <c r="I346" s="351">
        <f t="shared" si="181"/>
        <v>0</v>
      </c>
      <c r="J346" s="351">
        <f t="shared" si="181"/>
        <v>0</v>
      </c>
      <c r="K346" s="351">
        <f t="shared" si="181"/>
        <v>0</v>
      </c>
      <c r="L346" s="351">
        <f t="shared" si="181"/>
        <v>0</v>
      </c>
      <c r="M346" s="351">
        <f t="shared" si="181"/>
        <v>0</v>
      </c>
      <c r="N346" s="351">
        <f t="shared" si="181"/>
        <v>0</v>
      </c>
      <c r="O346" s="351">
        <f t="shared" si="181"/>
        <v>0</v>
      </c>
    </row>
    <row r="347" spans="1:15" s="77" customFormat="1" x14ac:dyDescent="0.25">
      <c r="A347" s="163"/>
      <c r="B347" s="445">
        <v>4.3</v>
      </c>
      <c r="C347" s="62" t="s">
        <v>25</v>
      </c>
      <c r="D347" s="1259">
        <f>IFERROR(E202/$E$328,0)</f>
        <v>0</v>
      </c>
      <c r="E347" s="351">
        <f>$D347*E$328</f>
        <v>0</v>
      </c>
      <c r="F347" s="351">
        <f t="shared" si="181"/>
        <v>0</v>
      </c>
      <c r="G347" s="351">
        <f t="shared" si="181"/>
        <v>0</v>
      </c>
      <c r="H347" s="351">
        <f t="shared" si="181"/>
        <v>0</v>
      </c>
      <c r="I347" s="351">
        <f t="shared" si="181"/>
        <v>0</v>
      </c>
      <c r="J347" s="351">
        <f t="shared" si="181"/>
        <v>0</v>
      </c>
      <c r="K347" s="351">
        <f t="shared" si="181"/>
        <v>0</v>
      </c>
      <c r="L347" s="351">
        <f t="shared" si="181"/>
        <v>0</v>
      </c>
      <c r="M347" s="351">
        <f t="shared" si="181"/>
        <v>0</v>
      </c>
      <c r="N347" s="351">
        <f t="shared" si="181"/>
        <v>0</v>
      </c>
      <c r="O347" s="351">
        <f t="shared" si="181"/>
        <v>0</v>
      </c>
    </row>
    <row r="348" spans="1:15" s="77" customFormat="1" x14ac:dyDescent="0.25">
      <c r="A348" s="163"/>
      <c r="B348" s="445">
        <v>4.4000000000000004</v>
      </c>
      <c r="C348" s="62" t="s">
        <v>168</v>
      </c>
      <c r="D348" s="1259">
        <f>IFERROR(E203/$E$328,0)</f>
        <v>0</v>
      </c>
      <c r="E348" s="351">
        <f>$D348*E$328</f>
        <v>0</v>
      </c>
      <c r="F348" s="351">
        <f t="shared" si="181"/>
        <v>0</v>
      </c>
      <c r="G348" s="351">
        <f t="shared" si="181"/>
        <v>0</v>
      </c>
      <c r="H348" s="351">
        <f t="shared" si="181"/>
        <v>0</v>
      </c>
      <c r="I348" s="351">
        <f t="shared" si="181"/>
        <v>0</v>
      </c>
      <c r="J348" s="351">
        <f t="shared" si="181"/>
        <v>0</v>
      </c>
      <c r="K348" s="351">
        <f t="shared" si="181"/>
        <v>0</v>
      </c>
      <c r="L348" s="351">
        <f t="shared" si="181"/>
        <v>0</v>
      </c>
      <c r="M348" s="351">
        <f t="shared" si="181"/>
        <v>0</v>
      </c>
      <c r="N348" s="351">
        <f t="shared" si="181"/>
        <v>0</v>
      </c>
      <c r="O348" s="351">
        <f t="shared" si="181"/>
        <v>0</v>
      </c>
    </row>
    <row r="349" spans="1:15" s="77" customFormat="1" x14ac:dyDescent="0.25">
      <c r="A349" s="163"/>
      <c r="B349" s="72">
        <v>5</v>
      </c>
      <c r="C349" s="62" t="s">
        <v>254</v>
      </c>
      <c r="D349" s="925"/>
      <c r="E349" s="926"/>
      <c r="F349" s="926"/>
      <c r="G349" s="926"/>
      <c r="H349" s="926"/>
      <c r="I349" s="926"/>
      <c r="J349" s="926"/>
      <c r="K349" s="926"/>
      <c r="L349" s="926"/>
      <c r="M349" s="926"/>
      <c r="N349" s="926"/>
      <c r="O349" s="927"/>
    </row>
    <row r="350" spans="1:15" s="77" customFormat="1" x14ac:dyDescent="0.25">
      <c r="A350" s="163"/>
      <c r="B350" s="445">
        <v>5.2</v>
      </c>
      <c r="C350" s="321" t="s">
        <v>256</v>
      </c>
      <c r="D350" s="1259">
        <f>IFERROR(E205/$E$328,0)</f>
        <v>0</v>
      </c>
      <c r="E350" s="351">
        <f t="shared" ref="E350:O351" si="182">$D350*E$328</f>
        <v>0</v>
      </c>
      <c r="F350" s="351">
        <f t="shared" si="182"/>
        <v>0</v>
      </c>
      <c r="G350" s="351">
        <f t="shared" si="182"/>
        <v>0</v>
      </c>
      <c r="H350" s="351">
        <f t="shared" si="182"/>
        <v>0</v>
      </c>
      <c r="I350" s="351">
        <f t="shared" si="182"/>
        <v>0</v>
      </c>
      <c r="J350" s="351">
        <f t="shared" si="182"/>
        <v>0</v>
      </c>
      <c r="K350" s="351">
        <f t="shared" si="182"/>
        <v>0</v>
      </c>
      <c r="L350" s="351">
        <f t="shared" si="182"/>
        <v>0</v>
      </c>
      <c r="M350" s="351">
        <f t="shared" si="182"/>
        <v>0</v>
      </c>
      <c r="N350" s="351">
        <f t="shared" si="182"/>
        <v>0</v>
      </c>
      <c r="O350" s="351">
        <f t="shared" si="182"/>
        <v>0</v>
      </c>
    </row>
    <row r="351" spans="1:15" s="77" customFormat="1" x14ac:dyDescent="0.25">
      <c r="A351" s="163"/>
      <c r="B351" s="445">
        <v>5.0999999999999996</v>
      </c>
      <c r="C351" s="62" t="s">
        <v>255</v>
      </c>
      <c r="D351" s="1259">
        <f>IFERROR(E206/$E$328,0)</f>
        <v>0</v>
      </c>
      <c r="E351" s="351">
        <f t="shared" si="182"/>
        <v>0</v>
      </c>
      <c r="F351" s="351">
        <f t="shared" si="182"/>
        <v>0</v>
      </c>
      <c r="G351" s="351">
        <f t="shared" si="182"/>
        <v>0</v>
      </c>
      <c r="H351" s="351">
        <f t="shared" si="182"/>
        <v>0</v>
      </c>
      <c r="I351" s="351">
        <f t="shared" si="182"/>
        <v>0</v>
      </c>
      <c r="J351" s="351">
        <f t="shared" si="182"/>
        <v>0</v>
      </c>
      <c r="K351" s="351">
        <f t="shared" si="182"/>
        <v>0</v>
      </c>
      <c r="L351" s="351">
        <f t="shared" si="182"/>
        <v>0</v>
      </c>
      <c r="M351" s="351">
        <f t="shared" si="182"/>
        <v>0</v>
      </c>
      <c r="N351" s="351">
        <f t="shared" si="182"/>
        <v>0</v>
      </c>
      <c r="O351" s="351">
        <f t="shared" si="182"/>
        <v>0</v>
      </c>
    </row>
    <row r="352" spans="1:15" s="77" customFormat="1" x14ac:dyDescent="0.25">
      <c r="A352" s="163"/>
      <c r="B352" s="445">
        <v>5.3</v>
      </c>
      <c r="C352" s="321" t="s">
        <v>253</v>
      </c>
      <c r="D352" s="872">
        <f>IFERROR(E352/E328,0)</f>
        <v>0</v>
      </c>
      <c r="E352" s="351">
        <f>E109</f>
        <v>0</v>
      </c>
      <c r="F352" s="351">
        <f>E352</f>
        <v>0</v>
      </c>
      <c r="G352" s="351">
        <f t="shared" ref="G352:O352" si="183">F352</f>
        <v>0</v>
      </c>
      <c r="H352" s="351">
        <f t="shared" si="183"/>
        <v>0</v>
      </c>
      <c r="I352" s="351">
        <f t="shared" si="183"/>
        <v>0</v>
      </c>
      <c r="J352" s="351">
        <f t="shared" si="183"/>
        <v>0</v>
      </c>
      <c r="K352" s="351">
        <f t="shared" si="183"/>
        <v>0</v>
      </c>
      <c r="L352" s="351">
        <f t="shared" si="183"/>
        <v>0</v>
      </c>
      <c r="M352" s="351">
        <f t="shared" si="183"/>
        <v>0</v>
      </c>
      <c r="N352" s="351">
        <f t="shared" si="183"/>
        <v>0</v>
      </c>
      <c r="O352" s="351">
        <f t="shared" si="183"/>
        <v>0</v>
      </c>
    </row>
    <row r="353" spans="1:15" s="170" customFormat="1" x14ac:dyDescent="0.25">
      <c r="B353" s="374"/>
      <c r="C353" s="436" t="s">
        <v>634</v>
      </c>
      <c r="D353" s="1260">
        <f>IF('WSS Profile'!$G$169="Yes",1,0)</f>
        <v>0</v>
      </c>
      <c r="E353" s="444"/>
      <c r="F353" s="444"/>
      <c r="G353" s="444"/>
      <c r="H353" s="444"/>
      <c r="I353" s="444"/>
      <c r="J353" s="444"/>
      <c r="K353" s="444"/>
      <c r="L353" s="444"/>
      <c r="M353" s="444"/>
      <c r="N353" s="444"/>
      <c r="O353" s="444"/>
    </row>
    <row r="354" spans="1:15" s="77" customFormat="1" x14ac:dyDescent="0.25">
      <c r="A354" s="163"/>
      <c r="B354" s="72">
        <v>1</v>
      </c>
      <c r="C354" s="62" t="s">
        <v>258</v>
      </c>
      <c r="D354" s="925"/>
      <c r="E354" s="926"/>
      <c r="F354" s="926"/>
      <c r="G354" s="926"/>
      <c r="H354" s="926"/>
      <c r="I354" s="926"/>
      <c r="J354" s="926"/>
      <c r="K354" s="926"/>
      <c r="L354" s="926"/>
      <c r="M354" s="926"/>
      <c r="N354" s="926"/>
      <c r="O354" s="927"/>
    </row>
    <row r="355" spans="1:15" s="77" customFormat="1" x14ac:dyDescent="0.25">
      <c r="A355" s="163"/>
      <c r="B355" s="445">
        <v>1.1000000000000001</v>
      </c>
      <c r="C355" s="62" t="s">
        <v>23</v>
      </c>
      <c r="D355" s="873">
        <f>'WSS Profile'!$G180*$D$353</f>
        <v>0</v>
      </c>
      <c r="E355" s="5801">
        <f>E330*$D355/CurrencyMultiplier</f>
        <v>0</v>
      </c>
      <c r="F355" s="165">
        <f>F330*$D355/CurrencyMultiplier</f>
        <v>0</v>
      </c>
      <c r="G355" s="165">
        <f>G330*$D355/CurrencyMultiplier</f>
        <v>0</v>
      </c>
      <c r="H355" s="165">
        <f>H330*$D355/CurrencyMultiplier</f>
        <v>0</v>
      </c>
      <c r="I355" s="165">
        <f>I330*$D355/CurrencyMultiplier</f>
        <v>0</v>
      </c>
      <c r="J355" s="165">
        <f>J330*$D355/CurrencyMultiplier</f>
        <v>0</v>
      </c>
      <c r="K355" s="165">
        <f>K330*$D355/CurrencyMultiplier</f>
        <v>0</v>
      </c>
      <c r="L355" s="165">
        <f>L330*$D355/CurrencyMultiplier</f>
        <v>0</v>
      </c>
      <c r="M355" s="165">
        <f>M330*$D355/CurrencyMultiplier</f>
        <v>0</v>
      </c>
      <c r="N355" s="165">
        <f>N330*$D355/CurrencyMultiplier</f>
        <v>0</v>
      </c>
      <c r="O355" s="165">
        <f>O330*$D355/CurrencyMultiplier</f>
        <v>0</v>
      </c>
    </row>
    <row r="356" spans="1:15" s="77" customFormat="1" x14ac:dyDescent="0.25">
      <c r="A356" s="163"/>
      <c r="B356" s="445">
        <v>1.2</v>
      </c>
      <c r="C356" s="62" t="s">
        <v>24</v>
      </c>
      <c r="D356" s="873">
        <f>'WSS Profile'!$G181*$D$353</f>
        <v>0</v>
      </c>
      <c r="E356" s="5801">
        <f>E331*$D356/CurrencyMultiplier</f>
        <v>0</v>
      </c>
      <c r="F356" s="165">
        <f>F331*$D356/CurrencyMultiplier</f>
        <v>0</v>
      </c>
      <c r="G356" s="165">
        <f>G331*$D356/CurrencyMultiplier</f>
        <v>0</v>
      </c>
      <c r="H356" s="165">
        <f>H331*$D356/CurrencyMultiplier</f>
        <v>0</v>
      </c>
      <c r="I356" s="165">
        <f>I331*$D356/CurrencyMultiplier</f>
        <v>0</v>
      </c>
      <c r="J356" s="165">
        <f>J331*$D356/CurrencyMultiplier</f>
        <v>0</v>
      </c>
      <c r="K356" s="165">
        <f>K331*$D356/CurrencyMultiplier</f>
        <v>0</v>
      </c>
      <c r="L356" s="165">
        <f>L331*$D356/CurrencyMultiplier</f>
        <v>0</v>
      </c>
      <c r="M356" s="165">
        <f>M331*$D356/CurrencyMultiplier</f>
        <v>0</v>
      </c>
      <c r="N356" s="165">
        <f>N331*$D356/CurrencyMultiplier</f>
        <v>0</v>
      </c>
      <c r="O356" s="165">
        <f>O331*$D356/CurrencyMultiplier</f>
        <v>0</v>
      </c>
    </row>
    <row r="357" spans="1:15" s="77" customFormat="1" x14ac:dyDescent="0.25">
      <c r="A357" s="163"/>
      <c r="B357" s="445">
        <v>1.3</v>
      </c>
      <c r="C357" s="62" t="s">
        <v>25</v>
      </c>
      <c r="D357" s="873">
        <f>'WSS Profile'!$G182*$D$353</f>
        <v>0</v>
      </c>
      <c r="E357" s="5801">
        <f>E332*$D357/CurrencyMultiplier</f>
        <v>0</v>
      </c>
      <c r="F357" s="165">
        <f>F332*$D357/CurrencyMultiplier</f>
        <v>0</v>
      </c>
      <c r="G357" s="165">
        <f>G332*$D357/CurrencyMultiplier</f>
        <v>0</v>
      </c>
      <c r="H357" s="165">
        <f>H332*$D357/CurrencyMultiplier</f>
        <v>0</v>
      </c>
      <c r="I357" s="165">
        <f>I332*$D357/CurrencyMultiplier</f>
        <v>0</v>
      </c>
      <c r="J357" s="165">
        <f>J332*$D357/CurrencyMultiplier</f>
        <v>0</v>
      </c>
      <c r="K357" s="165">
        <f>K332*$D357/CurrencyMultiplier</f>
        <v>0</v>
      </c>
      <c r="L357" s="165">
        <f>L332*$D357/CurrencyMultiplier</f>
        <v>0</v>
      </c>
      <c r="M357" s="165">
        <f>M332*$D357/CurrencyMultiplier</f>
        <v>0</v>
      </c>
      <c r="N357" s="165">
        <f>N332*$D357/CurrencyMultiplier</f>
        <v>0</v>
      </c>
      <c r="O357" s="165">
        <f>O332*$D357/CurrencyMultiplier</f>
        <v>0</v>
      </c>
    </row>
    <row r="358" spans="1:15" s="77" customFormat="1" x14ac:dyDescent="0.25">
      <c r="A358" s="163"/>
      <c r="B358" s="445">
        <v>1.4</v>
      </c>
      <c r="C358" s="62" t="s">
        <v>168</v>
      </c>
      <c r="D358" s="873">
        <f>'WSS Profile'!$G183*$D$353</f>
        <v>0</v>
      </c>
      <c r="E358" s="5801">
        <f>E333*$D358/CurrencyMultiplier</f>
        <v>0</v>
      </c>
      <c r="F358" s="165">
        <f>F333*$D358/CurrencyMultiplier</f>
        <v>0</v>
      </c>
      <c r="G358" s="165">
        <f>G333*$D358/CurrencyMultiplier</f>
        <v>0</v>
      </c>
      <c r="H358" s="165">
        <f>H333*$D358/CurrencyMultiplier</f>
        <v>0</v>
      </c>
      <c r="I358" s="165">
        <f>I333*$D358/CurrencyMultiplier</f>
        <v>0</v>
      </c>
      <c r="J358" s="165">
        <f>J333*$D358/CurrencyMultiplier</f>
        <v>0</v>
      </c>
      <c r="K358" s="165">
        <f>K333*$D358/CurrencyMultiplier</f>
        <v>0</v>
      </c>
      <c r="L358" s="165">
        <f>L333*$D358/CurrencyMultiplier</f>
        <v>0</v>
      </c>
      <c r="M358" s="165">
        <f>M333*$D358/CurrencyMultiplier</f>
        <v>0</v>
      </c>
      <c r="N358" s="165">
        <f>N333*$D358/CurrencyMultiplier</f>
        <v>0</v>
      </c>
      <c r="O358" s="165">
        <f>O333*$D358/CurrencyMultiplier</f>
        <v>0</v>
      </c>
    </row>
    <row r="359" spans="1:15" s="77" customFormat="1" x14ac:dyDescent="0.25">
      <c r="A359" s="163"/>
      <c r="B359" s="72">
        <v>2</v>
      </c>
      <c r="C359" s="62" t="s">
        <v>257</v>
      </c>
      <c r="D359" s="925"/>
      <c r="E359" s="926"/>
      <c r="F359" s="926"/>
      <c r="G359" s="926"/>
      <c r="H359" s="926"/>
      <c r="I359" s="926"/>
      <c r="J359" s="926"/>
      <c r="K359" s="926"/>
      <c r="L359" s="926"/>
      <c r="M359" s="926"/>
      <c r="N359" s="926"/>
      <c r="O359" s="927"/>
    </row>
    <row r="360" spans="1:15" s="77" customFormat="1" x14ac:dyDescent="0.25">
      <c r="A360" s="163"/>
      <c r="B360" s="445">
        <v>2.1</v>
      </c>
      <c r="C360" s="62" t="s">
        <v>23</v>
      </c>
      <c r="D360" s="873">
        <f>'WSS Profile'!$G185*$D$353</f>
        <v>0</v>
      </c>
      <c r="E360" s="5801">
        <f>E335*$D360/CurrencyMultiplier</f>
        <v>0</v>
      </c>
      <c r="F360" s="165">
        <f>F335*$D360/CurrencyMultiplier</f>
        <v>0</v>
      </c>
      <c r="G360" s="165">
        <f>G335*$D360/CurrencyMultiplier</f>
        <v>0</v>
      </c>
      <c r="H360" s="165">
        <f>H335*$D360/CurrencyMultiplier</f>
        <v>0</v>
      </c>
      <c r="I360" s="165">
        <f>I335*$D360/CurrencyMultiplier</f>
        <v>0</v>
      </c>
      <c r="J360" s="165">
        <f>J335*$D360/CurrencyMultiplier</f>
        <v>0</v>
      </c>
      <c r="K360" s="165">
        <f>K335*$D360/CurrencyMultiplier</f>
        <v>0</v>
      </c>
      <c r="L360" s="165">
        <f>L335*$D360/CurrencyMultiplier</f>
        <v>0</v>
      </c>
      <c r="M360" s="165">
        <f>M335*$D360/CurrencyMultiplier</f>
        <v>0</v>
      </c>
      <c r="N360" s="165">
        <f>N335*$D360/CurrencyMultiplier</f>
        <v>0</v>
      </c>
      <c r="O360" s="165">
        <f>O335*$D360/CurrencyMultiplier</f>
        <v>0</v>
      </c>
    </row>
    <row r="361" spans="1:15" s="77" customFormat="1" x14ac:dyDescent="0.25">
      <c r="A361" s="163"/>
      <c r="B361" s="445">
        <v>2.2000000000000002</v>
      </c>
      <c r="C361" s="62" t="s">
        <v>24</v>
      </c>
      <c r="D361" s="873">
        <f>'WSS Profile'!$G186*$D$353</f>
        <v>0</v>
      </c>
      <c r="E361" s="5801">
        <f>E336*$D361/CurrencyMultiplier</f>
        <v>0</v>
      </c>
      <c r="F361" s="165">
        <f>F336*$D361/CurrencyMultiplier</f>
        <v>0</v>
      </c>
      <c r="G361" s="165">
        <f>G336*$D361/CurrencyMultiplier</f>
        <v>0</v>
      </c>
      <c r="H361" s="165">
        <f>H336*$D361/CurrencyMultiplier</f>
        <v>0</v>
      </c>
      <c r="I361" s="165">
        <f>I336*$D361/CurrencyMultiplier</f>
        <v>0</v>
      </c>
      <c r="J361" s="165">
        <f>J336*$D361/CurrencyMultiplier</f>
        <v>0</v>
      </c>
      <c r="K361" s="165">
        <f>K336*$D361/CurrencyMultiplier</f>
        <v>0</v>
      </c>
      <c r="L361" s="165">
        <f>L336*$D361/CurrencyMultiplier</f>
        <v>0</v>
      </c>
      <c r="M361" s="165">
        <f>M336*$D361/CurrencyMultiplier</f>
        <v>0</v>
      </c>
      <c r="N361" s="165">
        <f>N336*$D361/CurrencyMultiplier</f>
        <v>0</v>
      </c>
      <c r="O361" s="165">
        <f>O336*$D361/CurrencyMultiplier</f>
        <v>0</v>
      </c>
    </row>
    <row r="362" spans="1:15" s="77" customFormat="1" x14ac:dyDescent="0.25">
      <c r="A362" s="163"/>
      <c r="B362" s="445">
        <v>2.2999999999999998</v>
      </c>
      <c r="C362" s="62" t="s">
        <v>25</v>
      </c>
      <c r="D362" s="873">
        <f>'WSS Profile'!$G187*$D$353</f>
        <v>0</v>
      </c>
      <c r="E362" s="5801">
        <f>E337*$D362/CurrencyMultiplier</f>
        <v>0</v>
      </c>
      <c r="F362" s="165">
        <f>F337*$D362/CurrencyMultiplier</f>
        <v>0</v>
      </c>
      <c r="G362" s="165">
        <f>G337*$D362/CurrencyMultiplier</f>
        <v>0</v>
      </c>
      <c r="H362" s="165">
        <f>H337*$D362/CurrencyMultiplier</f>
        <v>0</v>
      </c>
      <c r="I362" s="165">
        <f>I337*$D362/CurrencyMultiplier</f>
        <v>0</v>
      </c>
      <c r="J362" s="165">
        <f>J337*$D362/CurrencyMultiplier</f>
        <v>0</v>
      </c>
      <c r="K362" s="165">
        <f>K337*$D362/CurrencyMultiplier</f>
        <v>0</v>
      </c>
      <c r="L362" s="165">
        <f>L337*$D362/CurrencyMultiplier</f>
        <v>0</v>
      </c>
      <c r="M362" s="165">
        <f>M337*$D362/CurrencyMultiplier</f>
        <v>0</v>
      </c>
      <c r="N362" s="165">
        <f>N337*$D362/CurrencyMultiplier</f>
        <v>0</v>
      </c>
      <c r="O362" s="165">
        <f>O337*$D362/CurrencyMultiplier</f>
        <v>0</v>
      </c>
    </row>
    <row r="363" spans="1:15" s="77" customFormat="1" x14ac:dyDescent="0.25">
      <c r="A363" s="163"/>
      <c r="B363" s="445">
        <v>2.4</v>
      </c>
      <c r="C363" s="62" t="s">
        <v>168</v>
      </c>
      <c r="D363" s="873">
        <f>'WSS Profile'!$G188*$D$353</f>
        <v>0</v>
      </c>
      <c r="E363" s="5801">
        <f>E338*$D363/CurrencyMultiplier</f>
        <v>0</v>
      </c>
      <c r="F363" s="165">
        <f>F338*$D363/CurrencyMultiplier</f>
        <v>0</v>
      </c>
      <c r="G363" s="165">
        <f>G338*$D363/CurrencyMultiplier</f>
        <v>0</v>
      </c>
      <c r="H363" s="165">
        <f>H338*$D363/CurrencyMultiplier</f>
        <v>0</v>
      </c>
      <c r="I363" s="165">
        <f>I338*$D363/CurrencyMultiplier</f>
        <v>0</v>
      </c>
      <c r="J363" s="165">
        <f>J338*$D363/CurrencyMultiplier</f>
        <v>0</v>
      </c>
      <c r="K363" s="165">
        <f>K338*$D363/CurrencyMultiplier</f>
        <v>0</v>
      </c>
      <c r="L363" s="165">
        <f>L338*$D363/CurrencyMultiplier</f>
        <v>0</v>
      </c>
      <c r="M363" s="165">
        <f>M338*$D363/CurrencyMultiplier</f>
        <v>0</v>
      </c>
      <c r="N363" s="165">
        <f>N338*$D363/CurrencyMultiplier</f>
        <v>0</v>
      </c>
      <c r="O363" s="165">
        <f>O338*$D363/CurrencyMultiplier</f>
        <v>0</v>
      </c>
    </row>
    <row r="364" spans="1:15" s="77" customFormat="1" x14ac:dyDescent="0.25">
      <c r="A364" s="163"/>
      <c r="B364" s="72">
        <v>3</v>
      </c>
      <c r="C364" s="62" t="s">
        <v>259</v>
      </c>
      <c r="D364" s="925"/>
      <c r="E364" s="926"/>
      <c r="F364" s="926"/>
      <c r="G364" s="926"/>
      <c r="H364" s="926"/>
      <c r="I364" s="926"/>
      <c r="J364" s="926"/>
      <c r="K364" s="926"/>
      <c r="L364" s="926"/>
      <c r="M364" s="926"/>
      <c r="N364" s="926"/>
      <c r="O364" s="926"/>
    </row>
    <row r="365" spans="1:15" s="77" customFormat="1" x14ac:dyDescent="0.25">
      <c r="A365" s="163"/>
      <c r="B365" s="445">
        <v>3.1</v>
      </c>
      <c r="C365" s="62" t="s">
        <v>23</v>
      </c>
      <c r="D365" s="873">
        <f>'WSS Profile'!$G190*$D$353</f>
        <v>0</v>
      </c>
      <c r="E365" s="5801">
        <f>E340*$D365/CurrencyMultiplier</f>
        <v>0</v>
      </c>
      <c r="F365" s="165">
        <f>F340*$D365/CurrencyMultiplier</f>
        <v>0</v>
      </c>
      <c r="G365" s="165">
        <f>G340*$D365/CurrencyMultiplier</f>
        <v>0</v>
      </c>
      <c r="H365" s="165">
        <f>H340*$D365/CurrencyMultiplier</f>
        <v>0</v>
      </c>
      <c r="I365" s="165">
        <f>I340*$D365/CurrencyMultiplier</f>
        <v>0</v>
      </c>
      <c r="J365" s="165">
        <f>J340*$D365/CurrencyMultiplier</f>
        <v>0</v>
      </c>
      <c r="K365" s="165">
        <f>K340*$D365/CurrencyMultiplier</f>
        <v>0</v>
      </c>
      <c r="L365" s="165">
        <f>L340*$D365/CurrencyMultiplier</f>
        <v>0</v>
      </c>
      <c r="M365" s="165">
        <f>M340*$D365/CurrencyMultiplier</f>
        <v>0</v>
      </c>
      <c r="N365" s="165">
        <f>N340*$D365/CurrencyMultiplier</f>
        <v>0</v>
      </c>
      <c r="O365" s="165">
        <f>O340*$D365/CurrencyMultiplier</f>
        <v>0</v>
      </c>
    </row>
    <row r="366" spans="1:15" s="77" customFormat="1" x14ac:dyDescent="0.25">
      <c r="A366" s="163"/>
      <c r="B366" s="445">
        <v>3.2</v>
      </c>
      <c r="C366" s="62" t="s">
        <v>24</v>
      </c>
      <c r="D366" s="873">
        <f>'WSS Profile'!$G191*$D$353</f>
        <v>0</v>
      </c>
      <c r="E366" s="5801">
        <f>E341*$D366/CurrencyMultiplier</f>
        <v>0</v>
      </c>
      <c r="F366" s="165">
        <f>F341*$D366/CurrencyMultiplier</f>
        <v>0</v>
      </c>
      <c r="G366" s="165">
        <f>G341*$D366/CurrencyMultiplier</f>
        <v>0</v>
      </c>
      <c r="H366" s="165">
        <f>H341*$D366/CurrencyMultiplier</f>
        <v>0</v>
      </c>
      <c r="I366" s="165">
        <f>I341*$D366/CurrencyMultiplier</f>
        <v>0</v>
      </c>
      <c r="J366" s="165">
        <f>J341*$D366/CurrencyMultiplier</f>
        <v>0</v>
      </c>
      <c r="K366" s="165">
        <f>K341*$D366/CurrencyMultiplier</f>
        <v>0</v>
      </c>
      <c r="L366" s="165">
        <f>L341*$D366/CurrencyMultiplier</f>
        <v>0</v>
      </c>
      <c r="M366" s="165">
        <f>M341*$D366/CurrencyMultiplier</f>
        <v>0</v>
      </c>
      <c r="N366" s="165">
        <f>N341*$D366/CurrencyMultiplier</f>
        <v>0</v>
      </c>
      <c r="O366" s="165">
        <f>O341*$D366/CurrencyMultiplier</f>
        <v>0</v>
      </c>
    </row>
    <row r="367" spans="1:15" s="77" customFormat="1" x14ac:dyDescent="0.25">
      <c r="A367" s="163"/>
      <c r="B367" s="445">
        <v>3.3</v>
      </c>
      <c r="C367" s="62" t="s">
        <v>25</v>
      </c>
      <c r="D367" s="873">
        <f>'WSS Profile'!$G192*$D$353</f>
        <v>0</v>
      </c>
      <c r="E367" s="5801">
        <f>E342*$D367/CurrencyMultiplier</f>
        <v>0</v>
      </c>
      <c r="F367" s="165">
        <f>F342*$D367/CurrencyMultiplier</f>
        <v>0</v>
      </c>
      <c r="G367" s="165">
        <f>G342*$D367/CurrencyMultiplier</f>
        <v>0</v>
      </c>
      <c r="H367" s="165">
        <f>H342*$D367/CurrencyMultiplier</f>
        <v>0</v>
      </c>
      <c r="I367" s="165">
        <f>I342*$D367/CurrencyMultiplier</f>
        <v>0</v>
      </c>
      <c r="J367" s="165">
        <f>J342*$D367/CurrencyMultiplier</f>
        <v>0</v>
      </c>
      <c r="K367" s="165">
        <f>K342*$D367/CurrencyMultiplier</f>
        <v>0</v>
      </c>
      <c r="L367" s="165">
        <f>L342*$D367/CurrencyMultiplier</f>
        <v>0</v>
      </c>
      <c r="M367" s="165">
        <f>M342*$D367/CurrencyMultiplier</f>
        <v>0</v>
      </c>
      <c r="N367" s="165">
        <f>N342*$D367/CurrencyMultiplier</f>
        <v>0</v>
      </c>
      <c r="O367" s="165">
        <f>O342*$D367/CurrencyMultiplier</f>
        <v>0</v>
      </c>
    </row>
    <row r="368" spans="1:15" s="77" customFormat="1" x14ac:dyDescent="0.25">
      <c r="A368" s="163"/>
      <c r="B368" s="445">
        <v>3.4</v>
      </c>
      <c r="C368" s="62" t="s">
        <v>168</v>
      </c>
      <c r="D368" s="873">
        <f>'WSS Profile'!$G193*$D$353</f>
        <v>0</v>
      </c>
      <c r="E368" s="5801">
        <f>E343*$D368/CurrencyMultiplier</f>
        <v>0</v>
      </c>
      <c r="F368" s="165">
        <f>F343*$D368/CurrencyMultiplier</f>
        <v>0</v>
      </c>
      <c r="G368" s="165">
        <f>G343*$D368/CurrencyMultiplier</f>
        <v>0</v>
      </c>
      <c r="H368" s="165">
        <f>H343*$D368/CurrencyMultiplier</f>
        <v>0</v>
      </c>
      <c r="I368" s="165">
        <f>I343*$D368/CurrencyMultiplier</f>
        <v>0</v>
      </c>
      <c r="J368" s="165">
        <f>J343*$D368/CurrencyMultiplier</f>
        <v>0</v>
      </c>
      <c r="K368" s="165">
        <f>K343*$D368/CurrencyMultiplier</f>
        <v>0</v>
      </c>
      <c r="L368" s="165">
        <f>L343*$D368/CurrencyMultiplier</f>
        <v>0</v>
      </c>
      <c r="M368" s="165">
        <f>M343*$D368/CurrencyMultiplier</f>
        <v>0</v>
      </c>
      <c r="N368" s="165">
        <f>N343*$D368/CurrencyMultiplier</f>
        <v>0</v>
      </c>
      <c r="O368" s="165">
        <f>O343*$D368/CurrencyMultiplier</f>
        <v>0</v>
      </c>
    </row>
    <row r="369" spans="1:15" s="77" customFormat="1" x14ac:dyDescent="0.25">
      <c r="A369" s="163"/>
      <c r="B369" s="72">
        <v>4</v>
      </c>
      <c r="C369" s="62" t="s">
        <v>26</v>
      </c>
      <c r="D369" s="925"/>
      <c r="E369" s="926"/>
      <c r="F369" s="926"/>
      <c r="G369" s="926"/>
      <c r="H369" s="926"/>
      <c r="I369" s="926"/>
      <c r="J369" s="926"/>
      <c r="K369" s="926"/>
      <c r="L369" s="926"/>
      <c r="M369" s="926"/>
      <c r="N369" s="926"/>
      <c r="O369" s="926"/>
    </row>
    <row r="370" spans="1:15" s="77" customFormat="1" x14ac:dyDescent="0.25">
      <c r="A370" s="163"/>
      <c r="B370" s="445">
        <v>4.0999999999999996</v>
      </c>
      <c r="C370" s="62" t="s">
        <v>23</v>
      </c>
      <c r="D370" s="873">
        <f>'WSS Profile'!$G195*$D$353</f>
        <v>0</v>
      </c>
      <c r="E370" s="5801">
        <f>E345*$D370/CurrencyMultiplier</f>
        <v>0</v>
      </c>
      <c r="F370" s="165">
        <f>F345*$D370/CurrencyMultiplier</f>
        <v>0</v>
      </c>
      <c r="G370" s="165">
        <f>G345*$D370/CurrencyMultiplier</f>
        <v>0</v>
      </c>
      <c r="H370" s="165">
        <f>H345*$D370/CurrencyMultiplier</f>
        <v>0</v>
      </c>
      <c r="I370" s="165">
        <f>I345*$D370/CurrencyMultiplier</f>
        <v>0</v>
      </c>
      <c r="J370" s="165">
        <f>J345*$D370/CurrencyMultiplier</f>
        <v>0</v>
      </c>
      <c r="K370" s="165">
        <f>K345*$D370/CurrencyMultiplier</f>
        <v>0</v>
      </c>
      <c r="L370" s="165">
        <f>L345*$D370/CurrencyMultiplier</f>
        <v>0</v>
      </c>
      <c r="M370" s="165">
        <f>M345*$D370/CurrencyMultiplier</f>
        <v>0</v>
      </c>
      <c r="N370" s="165">
        <f>N345*$D370/CurrencyMultiplier</f>
        <v>0</v>
      </c>
      <c r="O370" s="165">
        <f>O345*$D370/CurrencyMultiplier</f>
        <v>0</v>
      </c>
    </row>
    <row r="371" spans="1:15" s="77" customFormat="1" x14ac:dyDescent="0.25">
      <c r="A371" s="163"/>
      <c r="B371" s="445">
        <v>4.2</v>
      </c>
      <c r="C371" s="62" t="s">
        <v>24</v>
      </c>
      <c r="D371" s="873">
        <f>'WSS Profile'!$G196*$D$353</f>
        <v>0</v>
      </c>
      <c r="E371" s="5801">
        <f>E346*$D371/CurrencyMultiplier</f>
        <v>0</v>
      </c>
      <c r="F371" s="165">
        <f>F346*$D371/CurrencyMultiplier</f>
        <v>0</v>
      </c>
      <c r="G371" s="165">
        <f>G346*$D371/CurrencyMultiplier</f>
        <v>0</v>
      </c>
      <c r="H371" s="165">
        <f>H346*$D371/CurrencyMultiplier</f>
        <v>0</v>
      </c>
      <c r="I371" s="165">
        <f>I346*$D371/CurrencyMultiplier</f>
        <v>0</v>
      </c>
      <c r="J371" s="165">
        <f>J346*$D371/CurrencyMultiplier</f>
        <v>0</v>
      </c>
      <c r="K371" s="165">
        <f>K346*$D371/CurrencyMultiplier</f>
        <v>0</v>
      </c>
      <c r="L371" s="165">
        <f>L346*$D371/CurrencyMultiplier</f>
        <v>0</v>
      </c>
      <c r="M371" s="165">
        <f>M346*$D371/CurrencyMultiplier</f>
        <v>0</v>
      </c>
      <c r="N371" s="165">
        <f>N346*$D371/CurrencyMultiplier</f>
        <v>0</v>
      </c>
      <c r="O371" s="165">
        <f>O346*$D371/CurrencyMultiplier</f>
        <v>0</v>
      </c>
    </row>
    <row r="372" spans="1:15" s="77" customFormat="1" x14ac:dyDescent="0.25">
      <c r="A372" s="163"/>
      <c r="B372" s="445">
        <v>4.3</v>
      </c>
      <c r="C372" s="62" t="s">
        <v>25</v>
      </c>
      <c r="D372" s="873">
        <f>'WSS Profile'!$G197*$D$353</f>
        <v>0</v>
      </c>
      <c r="E372" s="5801">
        <f>E347*$D372/CurrencyMultiplier</f>
        <v>0</v>
      </c>
      <c r="F372" s="165">
        <f>F347*$D372/CurrencyMultiplier</f>
        <v>0</v>
      </c>
      <c r="G372" s="165">
        <f>G347*$D372/CurrencyMultiplier</f>
        <v>0</v>
      </c>
      <c r="H372" s="165">
        <f>H347*$D372/CurrencyMultiplier</f>
        <v>0</v>
      </c>
      <c r="I372" s="165">
        <f>I347*$D372/CurrencyMultiplier</f>
        <v>0</v>
      </c>
      <c r="J372" s="165">
        <f>J347*$D372/CurrencyMultiplier</f>
        <v>0</v>
      </c>
      <c r="K372" s="165">
        <f>K347*$D372/CurrencyMultiplier</f>
        <v>0</v>
      </c>
      <c r="L372" s="165">
        <f>L347*$D372/CurrencyMultiplier</f>
        <v>0</v>
      </c>
      <c r="M372" s="165">
        <f>M347*$D372/CurrencyMultiplier</f>
        <v>0</v>
      </c>
      <c r="N372" s="165">
        <f>N347*$D372/CurrencyMultiplier</f>
        <v>0</v>
      </c>
      <c r="O372" s="165">
        <f>O347*$D372/CurrencyMultiplier</f>
        <v>0</v>
      </c>
    </row>
    <row r="373" spans="1:15" s="77" customFormat="1" x14ac:dyDescent="0.25">
      <c r="A373" s="163"/>
      <c r="B373" s="445">
        <v>4.4000000000000004</v>
      </c>
      <c r="C373" s="62" t="s">
        <v>168</v>
      </c>
      <c r="D373" s="873">
        <f>'WSS Profile'!$G198*$D$353</f>
        <v>0</v>
      </c>
      <c r="E373" s="5801">
        <f>E348*$D373/CurrencyMultiplier</f>
        <v>0</v>
      </c>
      <c r="F373" s="165">
        <f>F348*$D373/CurrencyMultiplier</f>
        <v>0</v>
      </c>
      <c r="G373" s="165">
        <f>G348*$D373/CurrencyMultiplier</f>
        <v>0</v>
      </c>
      <c r="H373" s="165">
        <f>H348*$D373/CurrencyMultiplier</f>
        <v>0</v>
      </c>
      <c r="I373" s="165">
        <f>I348*$D373/CurrencyMultiplier</f>
        <v>0</v>
      </c>
      <c r="J373" s="165">
        <f>J348*$D373/CurrencyMultiplier</f>
        <v>0</v>
      </c>
      <c r="K373" s="165">
        <f>K348*$D373/CurrencyMultiplier</f>
        <v>0</v>
      </c>
      <c r="L373" s="165">
        <f>L348*$D373/CurrencyMultiplier</f>
        <v>0</v>
      </c>
      <c r="M373" s="165">
        <f>M348*$D373/CurrencyMultiplier</f>
        <v>0</v>
      </c>
      <c r="N373" s="165">
        <f>N348*$D373/CurrencyMultiplier</f>
        <v>0</v>
      </c>
      <c r="O373" s="165">
        <f>O348*$D373/CurrencyMultiplier</f>
        <v>0</v>
      </c>
    </row>
    <row r="374" spans="1:15" s="77" customFormat="1" x14ac:dyDescent="0.25">
      <c r="A374" s="163"/>
      <c r="B374" s="72">
        <v>5</v>
      </c>
      <c r="C374" s="62" t="s">
        <v>254</v>
      </c>
      <c r="D374" s="925"/>
      <c r="E374" s="926"/>
      <c r="F374" s="926"/>
      <c r="G374" s="926"/>
      <c r="H374" s="926"/>
      <c r="I374" s="926"/>
      <c r="J374" s="926"/>
      <c r="K374" s="926"/>
      <c r="L374" s="926"/>
      <c r="M374" s="926"/>
      <c r="N374" s="926"/>
      <c r="O374" s="926"/>
    </row>
    <row r="375" spans="1:15" s="77" customFormat="1" x14ac:dyDescent="0.25">
      <c r="A375" s="163"/>
      <c r="B375" s="445">
        <v>5.2</v>
      </c>
      <c r="C375" s="321" t="s">
        <v>256</v>
      </c>
      <c r="D375" s="873">
        <f>'WSS Profile'!$G200*$D$353</f>
        <v>0</v>
      </c>
      <c r="E375" s="5801">
        <f>E350*$D375/CurrencyMultiplier</f>
        <v>0</v>
      </c>
      <c r="F375" s="165">
        <f>F350*$D375/CurrencyMultiplier</f>
        <v>0</v>
      </c>
      <c r="G375" s="165">
        <f>G350*$D375/CurrencyMultiplier</f>
        <v>0</v>
      </c>
      <c r="H375" s="165">
        <f>H350*$D375/CurrencyMultiplier</f>
        <v>0</v>
      </c>
      <c r="I375" s="165">
        <f>I350*$D375/CurrencyMultiplier</f>
        <v>0</v>
      </c>
      <c r="J375" s="165">
        <f>J350*$D375/CurrencyMultiplier</f>
        <v>0</v>
      </c>
      <c r="K375" s="165">
        <f>K350*$D375/CurrencyMultiplier</f>
        <v>0</v>
      </c>
      <c r="L375" s="165">
        <f>L350*$D375/CurrencyMultiplier</f>
        <v>0</v>
      </c>
      <c r="M375" s="165">
        <f>M350*$D375/CurrencyMultiplier</f>
        <v>0</v>
      </c>
      <c r="N375" s="165">
        <f>N350*$D375/CurrencyMultiplier</f>
        <v>0</v>
      </c>
      <c r="O375" s="165">
        <f>O350*$D375/CurrencyMultiplier</f>
        <v>0</v>
      </c>
    </row>
    <row r="376" spans="1:15" s="77" customFormat="1" x14ac:dyDescent="0.25">
      <c r="A376" s="163"/>
      <c r="B376" s="445">
        <v>5.0999999999999996</v>
      </c>
      <c r="C376" s="62" t="s">
        <v>255</v>
      </c>
      <c r="D376" s="873">
        <f>'WSS Profile'!$G201*$D$353</f>
        <v>0</v>
      </c>
      <c r="E376" s="5801">
        <f>E351*$D376/CurrencyMultiplier</f>
        <v>0</v>
      </c>
      <c r="F376" s="165">
        <f>F351*$D376/CurrencyMultiplier</f>
        <v>0</v>
      </c>
      <c r="G376" s="165">
        <f>G351*$D376/CurrencyMultiplier</f>
        <v>0</v>
      </c>
      <c r="H376" s="165">
        <f>H351*$D376/CurrencyMultiplier</f>
        <v>0</v>
      </c>
      <c r="I376" s="165">
        <f>I351*$D376/CurrencyMultiplier</f>
        <v>0</v>
      </c>
      <c r="J376" s="165">
        <f>J351*$D376/CurrencyMultiplier</f>
        <v>0</v>
      </c>
      <c r="K376" s="165">
        <f>K351*$D376/CurrencyMultiplier</f>
        <v>0</v>
      </c>
      <c r="L376" s="165">
        <f>L351*$D376/CurrencyMultiplier</f>
        <v>0</v>
      </c>
      <c r="M376" s="165">
        <f>M351*$D376/CurrencyMultiplier</f>
        <v>0</v>
      </c>
      <c r="N376" s="165">
        <f>N351*$D376/CurrencyMultiplier</f>
        <v>0</v>
      </c>
      <c r="O376" s="165">
        <f>O351*$D376/CurrencyMultiplier</f>
        <v>0</v>
      </c>
    </row>
    <row r="377" spans="1:15" s="77" customFormat="1" x14ac:dyDescent="0.25">
      <c r="A377" s="163"/>
      <c r="B377" s="445">
        <v>5.3</v>
      </c>
      <c r="C377" s="321" t="s">
        <v>253</v>
      </c>
      <c r="D377" s="873">
        <f>'WSS Profile'!$G202*$D$353</f>
        <v>0</v>
      </c>
      <c r="E377" s="5801">
        <f>E352*$D377/CurrencyMultiplier</f>
        <v>0</v>
      </c>
      <c r="F377" s="165">
        <f>F352*$D377/CurrencyMultiplier</f>
        <v>0</v>
      </c>
      <c r="G377" s="165">
        <f>G352*$D377/CurrencyMultiplier</f>
        <v>0</v>
      </c>
      <c r="H377" s="165">
        <f>H352*$D377/CurrencyMultiplier</f>
        <v>0</v>
      </c>
      <c r="I377" s="165">
        <f>I352*$D377/CurrencyMultiplier</f>
        <v>0</v>
      </c>
      <c r="J377" s="165">
        <f>J352*$D377/CurrencyMultiplier</f>
        <v>0</v>
      </c>
      <c r="K377" s="165">
        <f>K352*$D377/CurrencyMultiplier</f>
        <v>0</v>
      </c>
      <c r="L377" s="165">
        <f>L352*$D377/CurrencyMultiplier</f>
        <v>0</v>
      </c>
      <c r="M377" s="165">
        <f>M352*$D377/CurrencyMultiplier</f>
        <v>0</v>
      </c>
      <c r="N377" s="165">
        <f>N352*$D377/CurrencyMultiplier</f>
        <v>0</v>
      </c>
      <c r="O377" s="165">
        <f>O352*$D377/CurrencyMultiplier</f>
        <v>0</v>
      </c>
    </row>
    <row r="378" spans="1:15" s="80" customFormat="1" x14ac:dyDescent="0.25">
      <c r="A378" s="134"/>
      <c r="B378" s="159">
        <v>6</v>
      </c>
      <c r="C378" s="220" t="s">
        <v>16</v>
      </c>
      <c r="D378" s="874"/>
      <c r="E378" s="446">
        <f>SUM(E355:E377)</f>
        <v>0</v>
      </c>
      <c r="F378" s="446">
        <f t="shared" ref="F378:O378" si="184">SUM(F355:F377)</f>
        <v>0</v>
      </c>
      <c r="G378" s="446">
        <f t="shared" si="184"/>
        <v>0</v>
      </c>
      <c r="H378" s="446">
        <f t="shared" si="184"/>
        <v>0</v>
      </c>
      <c r="I378" s="446">
        <f t="shared" si="184"/>
        <v>0</v>
      </c>
      <c r="J378" s="446">
        <f t="shared" si="184"/>
        <v>0</v>
      </c>
      <c r="K378" s="446">
        <f t="shared" si="184"/>
        <v>0</v>
      </c>
      <c r="L378" s="446">
        <f t="shared" si="184"/>
        <v>0</v>
      </c>
      <c r="M378" s="446">
        <f t="shared" si="184"/>
        <v>0</v>
      </c>
      <c r="N378" s="446">
        <f t="shared" si="184"/>
        <v>0</v>
      </c>
      <c r="O378" s="446">
        <f t="shared" si="184"/>
        <v>0</v>
      </c>
    </row>
    <row r="379" spans="1:15" s="170" customFormat="1" x14ac:dyDescent="0.25">
      <c r="A379" s="204"/>
      <c r="B379" s="369"/>
      <c r="C379" s="207" t="s">
        <v>635</v>
      </c>
      <c r="D379" s="369"/>
      <c r="E379" s="370"/>
      <c r="F379" s="370"/>
      <c r="G379" s="370"/>
      <c r="H379" s="370"/>
      <c r="I379" s="370"/>
      <c r="J379" s="370"/>
      <c r="K379" s="370"/>
      <c r="L379" s="370"/>
      <c r="M379" s="370"/>
      <c r="N379" s="370"/>
      <c r="O379" s="370"/>
    </row>
    <row r="380" spans="1:15" s="77" customFormat="1" x14ac:dyDescent="0.25">
      <c r="A380" s="163"/>
      <c r="B380" s="72">
        <v>1</v>
      </c>
      <c r="C380" s="62" t="s">
        <v>258</v>
      </c>
      <c r="D380" s="926"/>
      <c r="E380" s="926"/>
      <c r="F380" s="926"/>
      <c r="G380" s="926"/>
      <c r="H380" s="926"/>
      <c r="I380" s="926"/>
      <c r="J380" s="926"/>
      <c r="K380" s="926"/>
      <c r="L380" s="926"/>
      <c r="M380" s="926"/>
      <c r="N380" s="926"/>
      <c r="O380" s="927"/>
    </row>
    <row r="381" spans="1:15" s="77" customFormat="1" x14ac:dyDescent="0.25">
      <c r="A381" s="163"/>
      <c r="B381" s="445">
        <v>1.1000000000000001</v>
      </c>
      <c r="C381" s="62" t="s">
        <v>23</v>
      </c>
      <c r="D381" s="1081">
        <f>D355</f>
        <v>0</v>
      </c>
      <c r="E381" s="5801">
        <f>E185*$D381/CurrencyMultiplier</f>
        <v>0</v>
      </c>
      <c r="F381" s="165">
        <f>F185*$D381/CurrencyMultiplier</f>
        <v>0</v>
      </c>
      <c r="G381" s="165">
        <f>G185*$D381/CurrencyMultiplier</f>
        <v>0</v>
      </c>
      <c r="H381" s="165">
        <f>H185*$D381/CurrencyMultiplier</f>
        <v>0</v>
      </c>
      <c r="I381" s="165">
        <f>I185*$D381/CurrencyMultiplier</f>
        <v>0</v>
      </c>
      <c r="J381" s="165">
        <f>J185*$D381/CurrencyMultiplier</f>
        <v>0</v>
      </c>
      <c r="K381" s="165">
        <f>K185*$D381/CurrencyMultiplier</f>
        <v>0</v>
      </c>
      <c r="L381" s="165">
        <f>L185*$D381/CurrencyMultiplier</f>
        <v>0</v>
      </c>
      <c r="M381" s="165">
        <f>M185*$D381/CurrencyMultiplier</f>
        <v>0</v>
      </c>
      <c r="N381" s="165">
        <f>N185*$D381/CurrencyMultiplier</f>
        <v>0</v>
      </c>
      <c r="O381" s="165">
        <f>O185*$D381/CurrencyMultiplier</f>
        <v>0</v>
      </c>
    </row>
    <row r="382" spans="1:15" s="77" customFormat="1" x14ac:dyDescent="0.25">
      <c r="A382" s="163"/>
      <c r="B382" s="445">
        <v>1.2</v>
      </c>
      <c r="C382" s="62" t="s">
        <v>24</v>
      </c>
      <c r="D382" s="1081">
        <f t="shared" ref="D382:D403" si="185">D356</f>
        <v>0</v>
      </c>
      <c r="E382" s="5801">
        <f>E186*$D382/CurrencyMultiplier</f>
        <v>0</v>
      </c>
      <c r="F382" s="165">
        <f>F186*$D382/CurrencyMultiplier</f>
        <v>0</v>
      </c>
      <c r="G382" s="165">
        <f>G186*$D382/CurrencyMultiplier</f>
        <v>0</v>
      </c>
      <c r="H382" s="165">
        <f>H186*$D382/CurrencyMultiplier</f>
        <v>0</v>
      </c>
      <c r="I382" s="165">
        <f>I186*$D382/CurrencyMultiplier</f>
        <v>0</v>
      </c>
      <c r="J382" s="165">
        <f>J186*$D382/CurrencyMultiplier</f>
        <v>0</v>
      </c>
      <c r="K382" s="165">
        <f>K186*$D382/CurrencyMultiplier</f>
        <v>0</v>
      </c>
      <c r="L382" s="165">
        <f>L186*$D382/CurrencyMultiplier</f>
        <v>0</v>
      </c>
      <c r="M382" s="165">
        <f>M186*$D382/CurrencyMultiplier</f>
        <v>0</v>
      </c>
      <c r="N382" s="165">
        <f>N186*$D382/CurrencyMultiplier</f>
        <v>0</v>
      </c>
      <c r="O382" s="165">
        <f>O186*$D382/CurrencyMultiplier</f>
        <v>0</v>
      </c>
    </row>
    <row r="383" spans="1:15" s="77" customFormat="1" x14ac:dyDescent="0.25">
      <c r="A383" s="163"/>
      <c r="B383" s="445">
        <v>1.3</v>
      </c>
      <c r="C383" s="62" t="s">
        <v>25</v>
      </c>
      <c r="D383" s="1081">
        <f t="shared" si="185"/>
        <v>0</v>
      </c>
      <c r="E383" s="5801">
        <f>E187*$D383/CurrencyMultiplier</f>
        <v>0</v>
      </c>
      <c r="F383" s="165">
        <f>F187*$D383/CurrencyMultiplier</f>
        <v>0</v>
      </c>
      <c r="G383" s="165">
        <f>G187*$D383/CurrencyMultiplier</f>
        <v>0</v>
      </c>
      <c r="H383" s="165">
        <f>H187*$D383/CurrencyMultiplier</f>
        <v>0</v>
      </c>
      <c r="I383" s="165">
        <f>I187*$D383/CurrencyMultiplier</f>
        <v>0</v>
      </c>
      <c r="J383" s="165">
        <f>J187*$D383/CurrencyMultiplier</f>
        <v>0</v>
      </c>
      <c r="K383" s="165">
        <f>K187*$D383/CurrencyMultiplier</f>
        <v>0</v>
      </c>
      <c r="L383" s="165">
        <f>L187*$D383/CurrencyMultiplier</f>
        <v>0</v>
      </c>
      <c r="M383" s="165">
        <f>M187*$D383/CurrencyMultiplier</f>
        <v>0</v>
      </c>
      <c r="N383" s="165">
        <f>N187*$D383/CurrencyMultiplier</f>
        <v>0</v>
      </c>
      <c r="O383" s="165">
        <f>O187*$D383/CurrencyMultiplier</f>
        <v>0</v>
      </c>
    </row>
    <row r="384" spans="1:15" s="77" customFormat="1" x14ac:dyDescent="0.25">
      <c r="A384" s="163"/>
      <c r="B384" s="445">
        <v>1.4</v>
      </c>
      <c r="C384" s="62" t="s">
        <v>168</v>
      </c>
      <c r="D384" s="1081">
        <f t="shared" si="185"/>
        <v>0</v>
      </c>
      <c r="E384" s="5801">
        <f>E188*$D384/CurrencyMultiplier</f>
        <v>0</v>
      </c>
      <c r="F384" s="165">
        <f>F188*$D384/CurrencyMultiplier</f>
        <v>0</v>
      </c>
      <c r="G384" s="165">
        <f>G188*$D384/CurrencyMultiplier</f>
        <v>0</v>
      </c>
      <c r="H384" s="165">
        <f>H188*$D384/CurrencyMultiplier</f>
        <v>0</v>
      </c>
      <c r="I384" s="165">
        <f>I188*$D384/CurrencyMultiplier</f>
        <v>0</v>
      </c>
      <c r="J384" s="165">
        <f>J188*$D384/CurrencyMultiplier</f>
        <v>0</v>
      </c>
      <c r="K384" s="165">
        <f>K188*$D384/CurrencyMultiplier</f>
        <v>0</v>
      </c>
      <c r="L384" s="165">
        <f>L188*$D384/CurrencyMultiplier</f>
        <v>0</v>
      </c>
      <c r="M384" s="165">
        <f>M188*$D384/CurrencyMultiplier</f>
        <v>0</v>
      </c>
      <c r="N384" s="165">
        <f>N188*$D384/CurrencyMultiplier</f>
        <v>0</v>
      </c>
      <c r="O384" s="165">
        <f>O188*$D384/CurrencyMultiplier</f>
        <v>0</v>
      </c>
    </row>
    <row r="385" spans="1:15" s="77" customFormat="1" x14ac:dyDescent="0.25">
      <c r="A385" s="163"/>
      <c r="B385" s="72">
        <v>2</v>
      </c>
      <c r="C385" s="62" t="s">
        <v>257</v>
      </c>
      <c r="D385" s="1082"/>
      <c r="E385" s="926"/>
      <c r="F385" s="926"/>
      <c r="G385" s="926"/>
      <c r="H385" s="926"/>
      <c r="I385" s="926"/>
      <c r="J385" s="926"/>
      <c r="K385" s="926"/>
      <c r="L385" s="926"/>
      <c r="M385" s="926"/>
      <c r="N385" s="926"/>
      <c r="O385" s="926"/>
    </row>
    <row r="386" spans="1:15" s="77" customFormat="1" x14ac:dyDescent="0.25">
      <c r="A386" s="163"/>
      <c r="B386" s="445">
        <v>2.1</v>
      </c>
      <c r="C386" s="62" t="s">
        <v>23</v>
      </c>
      <c r="D386" s="1081">
        <f t="shared" si="185"/>
        <v>0</v>
      </c>
      <c r="E386" s="5801">
        <f>E190*$D386/CurrencyMultiplier</f>
        <v>0</v>
      </c>
      <c r="F386" s="165">
        <f>F190*$D386/CurrencyMultiplier</f>
        <v>0</v>
      </c>
      <c r="G386" s="165">
        <f>G190*$D386/CurrencyMultiplier</f>
        <v>0</v>
      </c>
      <c r="H386" s="165">
        <f>H190*$D386/CurrencyMultiplier</f>
        <v>0</v>
      </c>
      <c r="I386" s="165">
        <f>I190*$D386/CurrencyMultiplier</f>
        <v>0</v>
      </c>
      <c r="J386" s="165">
        <f>J190*$D386/CurrencyMultiplier</f>
        <v>0</v>
      </c>
      <c r="K386" s="165">
        <f>K190*$D386/CurrencyMultiplier</f>
        <v>0</v>
      </c>
      <c r="L386" s="165">
        <f>L190*$D386/CurrencyMultiplier</f>
        <v>0</v>
      </c>
      <c r="M386" s="165">
        <f>M190*$D386/CurrencyMultiplier</f>
        <v>0</v>
      </c>
      <c r="N386" s="165">
        <f>N190*$D386/CurrencyMultiplier</f>
        <v>0</v>
      </c>
      <c r="O386" s="165">
        <f>O190*$D386/CurrencyMultiplier</f>
        <v>0</v>
      </c>
    </row>
    <row r="387" spans="1:15" s="77" customFormat="1" x14ac:dyDescent="0.25">
      <c r="A387" s="163"/>
      <c r="B387" s="445">
        <v>2.2000000000000002</v>
      </c>
      <c r="C387" s="62" t="s">
        <v>24</v>
      </c>
      <c r="D387" s="1081">
        <f t="shared" si="185"/>
        <v>0</v>
      </c>
      <c r="E387" s="5801">
        <f>E191*$D387/CurrencyMultiplier</f>
        <v>0</v>
      </c>
      <c r="F387" s="165">
        <f>F191*$D387/CurrencyMultiplier</f>
        <v>0</v>
      </c>
      <c r="G387" s="165">
        <f>G191*$D387/CurrencyMultiplier</f>
        <v>0</v>
      </c>
      <c r="H387" s="165">
        <f>H191*$D387/CurrencyMultiplier</f>
        <v>0</v>
      </c>
      <c r="I387" s="165">
        <f>I191*$D387/CurrencyMultiplier</f>
        <v>0</v>
      </c>
      <c r="J387" s="165">
        <f>J191*$D387/CurrencyMultiplier</f>
        <v>0</v>
      </c>
      <c r="K387" s="165">
        <f>K191*$D387/CurrencyMultiplier</f>
        <v>0</v>
      </c>
      <c r="L387" s="165">
        <f>L191*$D387/CurrencyMultiplier</f>
        <v>0</v>
      </c>
      <c r="M387" s="165">
        <f>M191*$D387/CurrencyMultiplier</f>
        <v>0</v>
      </c>
      <c r="N387" s="165">
        <f>N191*$D387/CurrencyMultiplier</f>
        <v>0</v>
      </c>
      <c r="O387" s="165">
        <f>O191*$D387/CurrencyMultiplier</f>
        <v>0</v>
      </c>
    </row>
    <row r="388" spans="1:15" s="77" customFormat="1" x14ac:dyDescent="0.25">
      <c r="A388" s="163"/>
      <c r="B388" s="445">
        <v>2.2999999999999998</v>
      </c>
      <c r="C388" s="62" t="s">
        <v>25</v>
      </c>
      <c r="D388" s="1081">
        <f t="shared" si="185"/>
        <v>0</v>
      </c>
      <c r="E388" s="5801">
        <f>E192*$D388/CurrencyMultiplier</f>
        <v>0</v>
      </c>
      <c r="F388" s="165">
        <f>F192*$D388/CurrencyMultiplier</f>
        <v>0</v>
      </c>
      <c r="G388" s="165">
        <f>G192*$D388/CurrencyMultiplier</f>
        <v>0</v>
      </c>
      <c r="H388" s="165">
        <f>H192*$D388/CurrencyMultiplier</f>
        <v>0</v>
      </c>
      <c r="I388" s="165">
        <f>I192*$D388/CurrencyMultiplier</f>
        <v>0</v>
      </c>
      <c r="J388" s="165">
        <f>J192*$D388/CurrencyMultiplier</f>
        <v>0</v>
      </c>
      <c r="K388" s="165">
        <f>K192*$D388/CurrencyMultiplier</f>
        <v>0</v>
      </c>
      <c r="L388" s="165">
        <f>L192*$D388/CurrencyMultiplier</f>
        <v>0</v>
      </c>
      <c r="M388" s="165">
        <f>M192*$D388/CurrencyMultiplier</f>
        <v>0</v>
      </c>
      <c r="N388" s="165">
        <f>N192*$D388/CurrencyMultiplier</f>
        <v>0</v>
      </c>
      <c r="O388" s="165">
        <f>O192*$D388/CurrencyMultiplier</f>
        <v>0</v>
      </c>
    </row>
    <row r="389" spans="1:15" s="77" customFormat="1" x14ac:dyDescent="0.25">
      <c r="A389" s="163"/>
      <c r="B389" s="445">
        <v>2.4</v>
      </c>
      <c r="C389" s="62" t="s">
        <v>168</v>
      </c>
      <c r="D389" s="1081">
        <f t="shared" si="185"/>
        <v>0</v>
      </c>
      <c r="E389" s="5801">
        <f>E193*$D389/CurrencyMultiplier</f>
        <v>0</v>
      </c>
      <c r="F389" s="165">
        <f>F193*$D389/CurrencyMultiplier</f>
        <v>0</v>
      </c>
      <c r="G389" s="165">
        <f>G193*$D389/CurrencyMultiplier</f>
        <v>0</v>
      </c>
      <c r="H389" s="165">
        <f>H193*$D389/CurrencyMultiplier</f>
        <v>0</v>
      </c>
      <c r="I389" s="165">
        <f>I193*$D389/CurrencyMultiplier</f>
        <v>0</v>
      </c>
      <c r="J389" s="165">
        <f>J193*$D389/CurrencyMultiplier</f>
        <v>0</v>
      </c>
      <c r="K389" s="165">
        <f>K193*$D389/CurrencyMultiplier</f>
        <v>0</v>
      </c>
      <c r="L389" s="165">
        <f>L193*$D389/CurrencyMultiplier</f>
        <v>0</v>
      </c>
      <c r="M389" s="165">
        <f>M193*$D389/CurrencyMultiplier</f>
        <v>0</v>
      </c>
      <c r="N389" s="165">
        <f>N193*$D389/CurrencyMultiplier</f>
        <v>0</v>
      </c>
      <c r="O389" s="165">
        <f>O193*$D389/CurrencyMultiplier</f>
        <v>0</v>
      </c>
    </row>
    <row r="390" spans="1:15" s="77" customFormat="1" x14ac:dyDescent="0.25">
      <c r="A390" s="163"/>
      <c r="B390" s="72">
        <v>3</v>
      </c>
      <c r="C390" s="62" t="s">
        <v>259</v>
      </c>
      <c r="D390" s="1082"/>
      <c r="E390" s="926"/>
      <c r="F390" s="926"/>
      <c r="G390" s="926"/>
      <c r="H390" s="926"/>
      <c r="I390" s="926"/>
      <c r="J390" s="926"/>
      <c r="K390" s="926"/>
      <c r="L390" s="926"/>
      <c r="M390" s="926"/>
      <c r="N390" s="926"/>
      <c r="O390" s="926"/>
    </row>
    <row r="391" spans="1:15" s="77" customFormat="1" x14ac:dyDescent="0.25">
      <c r="A391" s="163"/>
      <c r="B391" s="445">
        <v>3.1</v>
      </c>
      <c r="C391" s="62" t="s">
        <v>23</v>
      </c>
      <c r="D391" s="1081">
        <f t="shared" si="185"/>
        <v>0</v>
      </c>
      <c r="E391" s="5801">
        <f>E195*$D391/CurrencyMultiplier</f>
        <v>0</v>
      </c>
      <c r="F391" s="165">
        <f>F195*$D391/CurrencyMultiplier</f>
        <v>0</v>
      </c>
      <c r="G391" s="165">
        <f>G195*$D391/CurrencyMultiplier</f>
        <v>0</v>
      </c>
      <c r="H391" s="165">
        <f>H195*$D391/CurrencyMultiplier</f>
        <v>0</v>
      </c>
      <c r="I391" s="165">
        <f>I195*$D391/CurrencyMultiplier</f>
        <v>0</v>
      </c>
      <c r="J391" s="165">
        <f>J195*$D391/CurrencyMultiplier</f>
        <v>0</v>
      </c>
      <c r="K391" s="165">
        <f>K195*$D391/CurrencyMultiplier</f>
        <v>0</v>
      </c>
      <c r="L391" s="165">
        <f>L195*$D391/CurrencyMultiplier</f>
        <v>0</v>
      </c>
      <c r="M391" s="165">
        <f>M195*$D391/CurrencyMultiplier</f>
        <v>0</v>
      </c>
      <c r="N391" s="165">
        <f>N195*$D391/CurrencyMultiplier</f>
        <v>0</v>
      </c>
      <c r="O391" s="165">
        <f>O195*$D391/CurrencyMultiplier</f>
        <v>0</v>
      </c>
    </row>
    <row r="392" spans="1:15" s="77" customFormat="1" x14ac:dyDescent="0.25">
      <c r="A392" s="163"/>
      <c r="B392" s="445">
        <v>3.2</v>
      </c>
      <c r="C392" s="62" t="s">
        <v>24</v>
      </c>
      <c r="D392" s="1081">
        <f t="shared" si="185"/>
        <v>0</v>
      </c>
      <c r="E392" s="5801">
        <f>E196*$D392/CurrencyMultiplier</f>
        <v>0</v>
      </c>
      <c r="F392" s="165">
        <f>F196*$D392/CurrencyMultiplier</f>
        <v>0</v>
      </c>
      <c r="G392" s="165">
        <f>G196*$D392/CurrencyMultiplier</f>
        <v>0</v>
      </c>
      <c r="H392" s="165">
        <f>H196*$D392/CurrencyMultiplier</f>
        <v>0</v>
      </c>
      <c r="I392" s="165">
        <f>I196*$D392/CurrencyMultiplier</f>
        <v>0</v>
      </c>
      <c r="J392" s="165">
        <f>J196*$D392/CurrencyMultiplier</f>
        <v>0</v>
      </c>
      <c r="K392" s="165">
        <f>K196*$D392/CurrencyMultiplier</f>
        <v>0</v>
      </c>
      <c r="L392" s="165">
        <f>L196*$D392/CurrencyMultiplier</f>
        <v>0</v>
      </c>
      <c r="M392" s="165">
        <f>M196*$D392/CurrencyMultiplier</f>
        <v>0</v>
      </c>
      <c r="N392" s="165">
        <f>N196*$D392/CurrencyMultiplier</f>
        <v>0</v>
      </c>
      <c r="O392" s="165">
        <f>O196*$D392/CurrencyMultiplier</f>
        <v>0</v>
      </c>
    </row>
    <row r="393" spans="1:15" s="77" customFormat="1" x14ac:dyDescent="0.25">
      <c r="A393" s="163"/>
      <c r="B393" s="445">
        <v>3.3</v>
      </c>
      <c r="C393" s="62" t="s">
        <v>25</v>
      </c>
      <c r="D393" s="1081">
        <f t="shared" si="185"/>
        <v>0</v>
      </c>
      <c r="E393" s="5801">
        <f>E197*$D393/CurrencyMultiplier</f>
        <v>0</v>
      </c>
      <c r="F393" s="165">
        <f>F197*$D393/CurrencyMultiplier</f>
        <v>0</v>
      </c>
      <c r="G393" s="165">
        <f>G197*$D393/CurrencyMultiplier</f>
        <v>0</v>
      </c>
      <c r="H393" s="165">
        <f>H197*$D393/CurrencyMultiplier</f>
        <v>0</v>
      </c>
      <c r="I393" s="165">
        <f>I197*$D393/CurrencyMultiplier</f>
        <v>0</v>
      </c>
      <c r="J393" s="165">
        <f>J197*$D393/CurrencyMultiplier</f>
        <v>0</v>
      </c>
      <c r="K393" s="165">
        <f>K197*$D393/CurrencyMultiplier</f>
        <v>0</v>
      </c>
      <c r="L393" s="165">
        <f>L197*$D393/CurrencyMultiplier</f>
        <v>0</v>
      </c>
      <c r="M393" s="165">
        <f>M197*$D393/CurrencyMultiplier</f>
        <v>0</v>
      </c>
      <c r="N393" s="165">
        <f>N197*$D393/CurrencyMultiplier</f>
        <v>0</v>
      </c>
      <c r="O393" s="165">
        <f>O197*$D393/CurrencyMultiplier</f>
        <v>0</v>
      </c>
    </row>
    <row r="394" spans="1:15" s="77" customFormat="1" x14ac:dyDescent="0.25">
      <c r="A394" s="163"/>
      <c r="B394" s="445">
        <v>3.4</v>
      </c>
      <c r="C394" s="62" t="s">
        <v>168</v>
      </c>
      <c r="D394" s="1081">
        <f t="shared" si="185"/>
        <v>0</v>
      </c>
      <c r="E394" s="5801">
        <f>E198*$D394/CurrencyMultiplier</f>
        <v>0</v>
      </c>
      <c r="F394" s="165">
        <f>F198*$D394/CurrencyMultiplier</f>
        <v>0</v>
      </c>
      <c r="G394" s="165">
        <f>G198*$D394/CurrencyMultiplier</f>
        <v>0</v>
      </c>
      <c r="H394" s="165">
        <f>H198*$D394/CurrencyMultiplier</f>
        <v>0</v>
      </c>
      <c r="I394" s="165">
        <f>I198*$D394/CurrencyMultiplier</f>
        <v>0</v>
      </c>
      <c r="J394" s="165">
        <f>J198*$D394/CurrencyMultiplier</f>
        <v>0</v>
      </c>
      <c r="K394" s="165">
        <f>K198*$D394/CurrencyMultiplier</f>
        <v>0</v>
      </c>
      <c r="L394" s="165">
        <f>L198*$D394/CurrencyMultiplier</f>
        <v>0</v>
      </c>
      <c r="M394" s="165">
        <f>M198*$D394/CurrencyMultiplier</f>
        <v>0</v>
      </c>
      <c r="N394" s="165">
        <f>N198*$D394/CurrencyMultiplier</f>
        <v>0</v>
      </c>
      <c r="O394" s="165">
        <f>O198*$D394/CurrencyMultiplier</f>
        <v>0</v>
      </c>
    </row>
    <row r="395" spans="1:15" s="77" customFormat="1" x14ac:dyDescent="0.25">
      <c r="A395" s="163"/>
      <c r="B395" s="72">
        <v>4</v>
      </c>
      <c r="C395" s="62" t="s">
        <v>26</v>
      </c>
      <c r="D395" s="1082"/>
      <c r="E395" s="926"/>
      <c r="F395" s="926"/>
      <c r="G395" s="926"/>
      <c r="H395" s="926"/>
      <c r="I395" s="926"/>
      <c r="J395" s="926"/>
      <c r="K395" s="926"/>
      <c r="L395" s="926"/>
      <c r="M395" s="926"/>
      <c r="N395" s="926"/>
      <c r="O395" s="926"/>
    </row>
    <row r="396" spans="1:15" s="77" customFormat="1" x14ac:dyDescent="0.25">
      <c r="A396" s="163"/>
      <c r="B396" s="445">
        <v>4.0999999999999996</v>
      </c>
      <c r="C396" s="62" t="s">
        <v>23</v>
      </c>
      <c r="D396" s="1081">
        <f t="shared" si="185"/>
        <v>0</v>
      </c>
      <c r="E396" s="5801">
        <f>E200*$D396/CurrencyMultiplier</f>
        <v>0</v>
      </c>
      <c r="F396" s="165">
        <f>F200*$D396/CurrencyMultiplier</f>
        <v>0</v>
      </c>
      <c r="G396" s="165">
        <f>G200*$D396/CurrencyMultiplier</f>
        <v>0</v>
      </c>
      <c r="H396" s="165">
        <f>H200*$D396/CurrencyMultiplier</f>
        <v>0</v>
      </c>
      <c r="I396" s="165">
        <f>I200*$D396/CurrencyMultiplier</f>
        <v>0</v>
      </c>
      <c r="J396" s="165">
        <f>J200*$D396/CurrencyMultiplier</f>
        <v>0</v>
      </c>
      <c r="K396" s="165">
        <f>K200*$D396/CurrencyMultiplier</f>
        <v>0</v>
      </c>
      <c r="L396" s="165">
        <f>L200*$D396/CurrencyMultiplier</f>
        <v>0</v>
      </c>
      <c r="M396" s="165">
        <f>M200*$D396/CurrencyMultiplier</f>
        <v>0</v>
      </c>
      <c r="N396" s="165">
        <f>N200*$D396/CurrencyMultiplier</f>
        <v>0</v>
      </c>
      <c r="O396" s="165">
        <f>O200*$D396/CurrencyMultiplier</f>
        <v>0</v>
      </c>
    </row>
    <row r="397" spans="1:15" s="77" customFormat="1" x14ac:dyDescent="0.25">
      <c r="A397" s="163"/>
      <c r="B397" s="445">
        <v>4.2</v>
      </c>
      <c r="C397" s="62" t="s">
        <v>24</v>
      </c>
      <c r="D397" s="1081">
        <f t="shared" si="185"/>
        <v>0</v>
      </c>
      <c r="E397" s="5801">
        <f>E201*$D397/CurrencyMultiplier</f>
        <v>0</v>
      </c>
      <c r="F397" s="165">
        <f>F201*$D397/CurrencyMultiplier</f>
        <v>0</v>
      </c>
      <c r="G397" s="165">
        <f>G201*$D397/CurrencyMultiplier</f>
        <v>0</v>
      </c>
      <c r="H397" s="165">
        <f>H201*$D397/CurrencyMultiplier</f>
        <v>0</v>
      </c>
      <c r="I397" s="165">
        <f>I201*$D397/CurrencyMultiplier</f>
        <v>0</v>
      </c>
      <c r="J397" s="165">
        <f>J201*$D397/CurrencyMultiplier</f>
        <v>0</v>
      </c>
      <c r="K397" s="165">
        <f>K201*$D397/CurrencyMultiplier</f>
        <v>0</v>
      </c>
      <c r="L397" s="165">
        <f>L201*$D397/CurrencyMultiplier</f>
        <v>0</v>
      </c>
      <c r="M397" s="165">
        <f>M201*$D397/CurrencyMultiplier</f>
        <v>0</v>
      </c>
      <c r="N397" s="165">
        <f>N201*$D397/CurrencyMultiplier</f>
        <v>0</v>
      </c>
      <c r="O397" s="165">
        <f>O201*$D397/CurrencyMultiplier</f>
        <v>0</v>
      </c>
    </row>
    <row r="398" spans="1:15" s="77" customFormat="1" x14ac:dyDescent="0.25">
      <c r="A398" s="163"/>
      <c r="B398" s="445">
        <v>4.3</v>
      </c>
      <c r="C398" s="62" t="s">
        <v>25</v>
      </c>
      <c r="D398" s="1081">
        <f t="shared" si="185"/>
        <v>0</v>
      </c>
      <c r="E398" s="5801">
        <f>E202*$D398/CurrencyMultiplier</f>
        <v>0</v>
      </c>
      <c r="F398" s="165">
        <f>F202*$D398/CurrencyMultiplier</f>
        <v>0</v>
      </c>
      <c r="G398" s="165">
        <f>G202*$D398/CurrencyMultiplier</f>
        <v>0</v>
      </c>
      <c r="H398" s="165">
        <f>H202*$D398/CurrencyMultiplier</f>
        <v>0</v>
      </c>
      <c r="I398" s="165">
        <f>I202*$D398/CurrencyMultiplier</f>
        <v>0</v>
      </c>
      <c r="J398" s="165">
        <f>J202*$D398/CurrencyMultiplier</f>
        <v>0</v>
      </c>
      <c r="K398" s="165">
        <f>K202*$D398/CurrencyMultiplier</f>
        <v>0</v>
      </c>
      <c r="L398" s="165">
        <f>L202*$D398/CurrencyMultiplier</f>
        <v>0</v>
      </c>
      <c r="M398" s="165">
        <f>M202*$D398/CurrencyMultiplier</f>
        <v>0</v>
      </c>
      <c r="N398" s="165">
        <f>N202*$D398/CurrencyMultiplier</f>
        <v>0</v>
      </c>
      <c r="O398" s="165">
        <f>O202*$D398/CurrencyMultiplier</f>
        <v>0</v>
      </c>
    </row>
    <row r="399" spans="1:15" s="77" customFormat="1" x14ac:dyDescent="0.25">
      <c r="A399" s="163"/>
      <c r="B399" s="445">
        <v>4.4000000000000004</v>
      </c>
      <c r="C399" s="62" t="s">
        <v>168</v>
      </c>
      <c r="D399" s="1081">
        <f t="shared" si="185"/>
        <v>0</v>
      </c>
      <c r="E399" s="5801">
        <f>E203*$D399/CurrencyMultiplier</f>
        <v>0</v>
      </c>
      <c r="F399" s="165">
        <f>F203*$D399/CurrencyMultiplier</f>
        <v>0</v>
      </c>
      <c r="G399" s="165">
        <f>G203*$D399/CurrencyMultiplier</f>
        <v>0</v>
      </c>
      <c r="H399" s="165">
        <f>H203*$D399/CurrencyMultiplier</f>
        <v>0</v>
      </c>
      <c r="I399" s="165">
        <f>I203*$D399/CurrencyMultiplier</f>
        <v>0</v>
      </c>
      <c r="J399" s="165">
        <f>J203*$D399/CurrencyMultiplier</f>
        <v>0</v>
      </c>
      <c r="K399" s="165">
        <f>K203*$D399/CurrencyMultiplier</f>
        <v>0</v>
      </c>
      <c r="L399" s="165">
        <f>L203*$D399/CurrencyMultiplier</f>
        <v>0</v>
      </c>
      <c r="M399" s="165">
        <f>M203*$D399/CurrencyMultiplier</f>
        <v>0</v>
      </c>
      <c r="N399" s="165">
        <f>N203*$D399/CurrencyMultiplier</f>
        <v>0</v>
      </c>
      <c r="O399" s="165">
        <f>O203*$D399/CurrencyMultiplier</f>
        <v>0</v>
      </c>
    </row>
    <row r="400" spans="1:15" s="77" customFormat="1" x14ac:dyDescent="0.25">
      <c r="A400" s="163"/>
      <c r="B400" s="72">
        <v>5</v>
      </c>
      <c r="C400" s="62" t="s">
        <v>254</v>
      </c>
      <c r="D400" s="1082"/>
      <c r="E400" s="926"/>
      <c r="F400" s="926"/>
      <c r="G400" s="926"/>
      <c r="H400" s="926"/>
      <c r="I400" s="926"/>
      <c r="J400" s="926"/>
      <c r="K400" s="926"/>
      <c r="L400" s="926"/>
      <c r="M400" s="926"/>
      <c r="N400" s="926"/>
      <c r="O400" s="927"/>
    </row>
    <row r="401" spans="1:15" s="77" customFormat="1" x14ac:dyDescent="0.25">
      <c r="A401" s="163"/>
      <c r="B401" s="445">
        <v>5.2</v>
      </c>
      <c r="C401" s="321" t="s">
        <v>256</v>
      </c>
      <c r="D401" s="1081">
        <f t="shared" si="185"/>
        <v>0</v>
      </c>
      <c r="E401" s="5801">
        <f>E205*$D401/CurrencyMultiplier</f>
        <v>0</v>
      </c>
      <c r="F401" s="165">
        <f>F205*$D401/CurrencyMultiplier</f>
        <v>0</v>
      </c>
      <c r="G401" s="165">
        <f>G205*$D401/CurrencyMultiplier</f>
        <v>0</v>
      </c>
      <c r="H401" s="165">
        <f>H205*$D401/CurrencyMultiplier</f>
        <v>0</v>
      </c>
      <c r="I401" s="165">
        <f>I205*$D401/CurrencyMultiplier</f>
        <v>0</v>
      </c>
      <c r="J401" s="165">
        <f>J205*$D401/CurrencyMultiplier</f>
        <v>0</v>
      </c>
      <c r="K401" s="165">
        <f>K205*$D401/CurrencyMultiplier</f>
        <v>0</v>
      </c>
      <c r="L401" s="165">
        <f>L205*$D401/CurrencyMultiplier</f>
        <v>0</v>
      </c>
      <c r="M401" s="165">
        <f>M205*$D401/CurrencyMultiplier</f>
        <v>0</v>
      </c>
      <c r="N401" s="165">
        <f>N205*$D401/CurrencyMultiplier</f>
        <v>0</v>
      </c>
      <c r="O401" s="165">
        <f>O205*$D401/CurrencyMultiplier</f>
        <v>0</v>
      </c>
    </row>
    <row r="402" spans="1:15" s="77" customFormat="1" x14ac:dyDescent="0.25">
      <c r="A402" s="163"/>
      <c r="B402" s="445">
        <v>5.0999999999999996</v>
      </c>
      <c r="C402" s="62" t="s">
        <v>255</v>
      </c>
      <c r="D402" s="1081">
        <f t="shared" si="185"/>
        <v>0</v>
      </c>
      <c r="E402" s="5801">
        <f>E206*$D402/CurrencyMultiplier</f>
        <v>0</v>
      </c>
      <c r="F402" s="165">
        <f>F206*$D402/CurrencyMultiplier</f>
        <v>0</v>
      </c>
      <c r="G402" s="165">
        <f>G206*$D402/CurrencyMultiplier</f>
        <v>0</v>
      </c>
      <c r="H402" s="165">
        <f>H206*$D402/CurrencyMultiplier</f>
        <v>0</v>
      </c>
      <c r="I402" s="165">
        <f>I206*$D402/CurrencyMultiplier</f>
        <v>0</v>
      </c>
      <c r="J402" s="165">
        <f>J206*$D402/CurrencyMultiplier</f>
        <v>0</v>
      </c>
      <c r="K402" s="165">
        <f>K206*$D402/CurrencyMultiplier</f>
        <v>0</v>
      </c>
      <c r="L402" s="165">
        <f>L206*$D402/CurrencyMultiplier</f>
        <v>0</v>
      </c>
      <c r="M402" s="165">
        <f>M206*$D402/CurrencyMultiplier</f>
        <v>0</v>
      </c>
      <c r="N402" s="165">
        <f>N206*$D402/CurrencyMultiplier</f>
        <v>0</v>
      </c>
      <c r="O402" s="165">
        <f>O206*$D402/CurrencyMultiplier</f>
        <v>0</v>
      </c>
    </row>
    <row r="403" spans="1:15" s="77" customFormat="1" x14ac:dyDescent="0.25">
      <c r="A403" s="163"/>
      <c r="B403" s="445">
        <v>5.3</v>
      </c>
      <c r="C403" s="321" t="s">
        <v>253</v>
      </c>
      <c r="D403" s="1081">
        <f t="shared" si="185"/>
        <v>0</v>
      </c>
      <c r="E403" s="5801">
        <f>E208*$D403/CurrencyMultiplier</f>
        <v>0</v>
      </c>
      <c r="F403" s="165">
        <f>F208*$D403/CurrencyMultiplier</f>
        <v>0</v>
      </c>
      <c r="G403" s="165">
        <f>G208*$D403/CurrencyMultiplier</f>
        <v>0</v>
      </c>
      <c r="H403" s="165">
        <f>H208*$D403/CurrencyMultiplier</f>
        <v>0</v>
      </c>
      <c r="I403" s="165">
        <f>I208*$D403/CurrencyMultiplier</f>
        <v>0</v>
      </c>
      <c r="J403" s="165">
        <f>J208*$D403/CurrencyMultiplier</f>
        <v>0</v>
      </c>
      <c r="K403" s="165">
        <f>K208*$D403/CurrencyMultiplier</f>
        <v>0</v>
      </c>
      <c r="L403" s="165">
        <f>L208*$D403/CurrencyMultiplier</f>
        <v>0</v>
      </c>
      <c r="M403" s="165">
        <f>M208*$D403/CurrencyMultiplier</f>
        <v>0</v>
      </c>
      <c r="N403" s="165">
        <f>N208*$D403/CurrencyMultiplier</f>
        <v>0</v>
      </c>
      <c r="O403" s="165">
        <f>O208*$D403/CurrencyMultiplier</f>
        <v>0</v>
      </c>
    </row>
    <row r="404" spans="1:15" s="80" customFormat="1" x14ac:dyDescent="0.25">
      <c r="A404" s="134"/>
      <c r="B404" s="159">
        <v>6</v>
      </c>
      <c r="C404" s="220" t="s">
        <v>16</v>
      </c>
      <c r="D404" s="1083"/>
      <c r="E404" s="446">
        <f t="shared" ref="E404:O404" si="186">SUM(E381:E403)</f>
        <v>0</v>
      </c>
      <c r="F404" s="446">
        <f t="shared" si="186"/>
        <v>0</v>
      </c>
      <c r="G404" s="446">
        <f t="shared" si="186"/>
        <v>0</v>
      </c>
      <c r="H404" s="446">
        <f t="shared" si="186"/>
        <v>0</v>
      </c>
      <c r="I404" s="446">
        <f t="shared" si="186"/>
        <v>0</v>
      </c>
      <c r="J404" s="446">
        <f t="shared" si="186"/>
        <v>0</v>
      </c>
      <c r="K404" s="446">
        <f t="shared" si="186"/>
        <v>0</v>
      </c>
      <c r="L404" s="446">
        <f t="shared" si="186"/>
        <v>0</v>
      </c>
      <c r="M404" s="446">
        <f t="shared" si="186"/>
        <v>0</v>
      </c>
      <c r="N404" s="446">
        <f t="shared" si="186"/>
        <v>0</v>
      </c>
      <c r="O404" s="446">
        <f t="shared" si="186"/>
        <v>0</v>
      </c>
    </row>
    <row r="405" spans="1:15" s="170" customFormat="1" x14ac:dyDescent="0.25">
      <c r="A405" s="204"/>
      <c r="B405" s="369"/>
      <c r="C405" s="207" t="s">
        <v>636</v>
      </c>
      <c r="D405" s="369"/>
      <c r="E405" s="370"/>
      <c r="F405" s="370"/>
      <c r="G405" s="370"/>
      <c r="H405" s="370"/>
      <c r="I405" s="370"/>
      <c r="J405" s="370"/>
      <c r="K405" s="370"/>
      <c r="L405" s="370"/>
      <c r="M405" s="370"/>
      <c r="N405" s="370"/>
      <c r="O405" s="370"/>
    </row>
    <row r="406" spans="1:15" s="80" customFormat="1" x14ac:dyDescent="0.25">
      <c r="A406" s="134"/>
      <c r="B406" s="159"/>
      <c r="C406" s="177" t="s">
        <v>1001</v>
      </c>
      <c r="D406" s="1155" t="s">
        <v>993</v>
      </c>
      <c r="E406" s="142">
        <f>IF('WSS Profile'!$G$169="Yes",'WSS Profile'!$G$180,0)</f>
        <v>0</v>
      </c>
      <c r="F406" s="14">
        <f>IF(E406&lt;&gt;0,E406,IF(F$437='Financing Plan'!$J$158,'Financing Plan'!$M$158,$E$406))</f>
        <v>0</v>
      </c>
      <c r="G406" s="14">
        <f>IF(F406&lt;&gt;0,F406,IF(G$437='Financing Plan'!$J$158,'Financing Plan'!$M$158,$E$406))</f>
        <v>0</v>
      </c>
      <c r="H406" s="14">
        <f>IF(G406&lt;&gt;0,G406,IF(H$437='Financing Plan'!$J$158,'Financing Plan'!$M$158,$E$406))</f>
        <v>0</v>
      </c>
      <c r="I406" s="14">
        <f>IF(H406&lt;&gt;0,H406,IF(I$437='Financing Plan'!$J$158,'Financing Plan'!$M$158,$E$406))</f>
        <v>0</v>
      </c>
      <c r="J406" s="14">
        <f>IF(I406&lt;&gt;0,I406,IF(J$437='Financing Plan'!$J$158,'Financing Plan'!$M$158,$E$406))</f>
        <v>0</v>
      </c>
      <c r="K406" s="14">
        <f>IF(J406&lt;&gt;0,J406,IF(K$437='Financing Plan'!$J$158,'Financing Plan'!$M$158,$E$406))</f>
        <v>0</v>
      </c>
      <c r="L406" s="14">
        <f>IF(K406&lt;&gt;0,K406,IF(L$437='Financing Plan'!$J$158,'Financing Plan'!$M$158,$E$406))</f>
        <v>0</v>
      </c>
      <c r="M406" s="14">
        <f>IF(L406&lt;&gt;0,L406,IF(M$437='Financing Plan'!$J$158,'Financing Plan'!$M$158,$E$406))</f>
        <v>0</v>
      </c>
      <c r="N406" s="14">
        <f>IF(M406&lt;&gt;0,M406,IF(N$437='Financing Plan'!$J$158,'Financing Plan'!$M$158,$E$406))</f>
        <v>0</v>
      </c>
      <c r="O406" s="14">
        <f>IF(N406&lt;&gt;0,N406,IF(O$437='Financing Plan'!$J$158,'Financing Plan'!$M$158,$E$406))</f>
        <v>0</v>
      </c>
    </row>
    <row r="407" spans="1:15" s="80" customFormat="1" ht="22.5" x14ac:dyDescent="0.25">
      <c r="A407" s="134"/>
      <c r="B407" s="159"/>
      <c r="C407" s="177"/>
      <c r="D407" s="1158" t="s">
        <v>994</v>
      </c>
      <c r="E407" s="142">
        <f>E406</f>
        <v>0</v>
      </c>
      <c r="F407" s="5503">
        <f>IF(F406&lt;&gt;E406,F406,E407*(1+'Financing Plan'!F160))</f>
        <v>0</v>
      </c>
      <c r="G407" s="5503">
        <f>IF(G406&lt;&gt;F406,G406,F407*(1+'Financing Plan'!G160))</f>
        <v>0</v>
      </c>
      <c r="H407" s="5503">
        <f>IF(H406&lt;&gt;G406,H406,G407*(1+'Financing Plan'!H160))</f>
        <v>0</v>
      </c>
      <c r="I407" s="5503">
        <f>IF(I406&lt;&gt;H406,I406,H407*(1+'Financing Plan'!I160))</f>
        <v>0</v>
      </c>
      <c r="J407" s="5503">
        <f>IF(J406&lt;&gt;I406,J406,I407*(1+'Financing Plan'!J160))</f>
        <v>0</v>
      </c>
      <c r="K407" s="5503">
        <f>IF(K406&lt;&gt;J406,K406,J407*(1+'Financing Plan'!K160))</f>
        <v>0</v>
      </c>
      <c r="L407" s="5503">
        <f>IF(L406&lt;&gt;K406,L406,K407*(1+'Financing Plan'!L160))</f>
        <v>0</v>
      </c>
      <c r="M407" s="5503">
        <f>IF(M406&lt;&gt;L406,M406,L407*(1+'Financing Plan'!M160))</f>
        <v>0</v>
      </c>
      <c r="N407" s="5503">
        <f>IF(N406&lt;&gt;M406,N406,M407*(1+'Financing Plan'!N160))</f>
        <v>0</v>
      </c>
      <c r="O407" s="5503">
        <f>IF(O406&lt;&gt;N406,O406,N407*(1+'Financing Plan'!O160))</f>
        <v>0</v>
      </c>
    </row>
    <row r="408" spans="1:15" s="80" customFormat="1" x14ac:dyDescent="0.25">
      <c r="A408" s="134"/>
      <c r="B408" s="159"/>
      <c r="C408" s="177"/>
      <c r="D408" s="113" t="s">
        <v>1002</v>
      </c>
      <c r="E408" s="16">
        <f>IF(E407=0,0,1)</f>
        <v>0</v>
      </c>
      <c r="F408" s="16">
        <f t="shared" ref="F408:O408" si="187">IF(F407=0,0,IFERROR(E408*(1+(F407-E407)/E407),1))</f>
        <v>0</v>
      </c>
      <c r="G408" s="16">
        <f t="shared" si="187"/>
        <v>0</v>
      </c>
      <c r="H408" s="16">
        <f t="shared" si="187"/>
        <v>0</v>
      </c>
      <c r="I408" s="16">
        <f t="shared" si="187"/>
        <v>0</v>
      </c>
      <c r="J408" s="16">
        <f t="shared" si="187"/>
        <v>0</v>
      </c>
      <c r="K408" s="16">
        <f t="shared" si="187"/>
        <v>0</v>
      </c>
      <c r="L408" s="16">
        <f t="shared" si="187"/>
        <v>0</v>
      </c>
      <c r="M408" s="16">
        <f t="shared" si="187"/>
        <v>0</v>
      </c>
      <c r="N408" s="16">
        <f t="shared" si="187"/>
        <v>0</v>
      </c>
      <c r="O408" s="16">
        <f t="shared" si="187"/>
        <v>0</v>
      </c>
    </row>
    <row r="409" spans="1:15" s="77" customFormat="1" x14ac:dyDescent="0.25">
      <c r="A409" s="163"/>
      <c r="B409" s="72">
        <v>1</v>
      </c>
      <c r="C409" s="62" t="s">
        <v>258</v>
      </c>
      <c r="D409" s="869">
        <f>$K$559</f>
        <v>0</v>
      </c>
      <c r="E409" s="1084"/>
      <c r="F409" s="1084"/>
      <c r="G409" s="1084"/>
      <c r="H409" s="1084"/>
      <c r="I409" s="1084"/>
      <c r="J409" s="1084"/>
      <c r="K409" s="1084"/>
      <c r="L409" s="1084"/>
      <c r="M409" s="1084"/>
      <c r="N409" s="1084"/>
      <c r="O409" s="1084"/>
    </row>
    <row r="410" spans="1:15" s="77" customFormat="1" x14ac:dyDescent="0.25">
      <c r="A410" s="163"/>
      <c r="B410" s="445">
        <v>1.1000000000000001</v>
      </c>
      <c r="C410" s="62" t="s">
        <v>23</v>
      </c>
      <c r="D410" s="876">
        <f>IFERROR('WSS Profile'!$G180/'WSS Profile'!$G$180,0)</f>
        <v>0</v>
      </c>
      <c r="E410" s="5801">
        <f>E185*'WSS Profile'!$G180/CurrencyMultiplier</f>
        <v>0</v>
      </c>
      <c r="F410" s="5801">
        <f>$D410*$D$409*F185*F$408/CurrencyMultiplier</f>
        <v>0</v>
      </c>
      <c r="G410" s="59">
        <f>$D410*$D$409*G185*G$408/CurrencyMultiplier</f>
        <v>0</v>
      </c>
      <c r="H410" s="59">
        <f>$D410*$D$409*H185*H$408/CurrencyMultiplier</f>
        <v>0</v>
      </c>
      <c r="I410" s="59">
        <f>$D410*$D$409*I185*I$408/CurrencyMultiplier</f>
        <v>0</v>
      </c>
      <c r="J410" s="59">
        <f>$D410*$D$409*J185*J$408/CurrencyMultiplier</f>
        <v>0</v>
      </c>
      <c r="K410" s="59">
        <f>$D410*$D$409*K185*K$408/CurrencyMultiplier</f>
        <v>0</v>
      </c>
      <c r="L410" s="59">
        <f>$D410*$D$409*L185*L$408/CurrencyMultiplier</f>
        <v>0</v>
      </c>
      <c r="M410" s="59">
        <f>$D410*$D$409*M185*M$408/CurrencyMultiplier</f>
        <v>0</v>
      </c>
      <c r="N410" s="59">
        <f>$D410*$D$409*N185*N$408/CurrencyMultiplier</f>
        <v>0</v>
      </c>
      <c r="O410" s="59">
        <f>$D410*$D$409*O185*O$408/CurrencyMultiplier</f>
        <v>0</v>
      </c>
    </row>
    <row r="411" spans="1:15" s="77" customFormat="1" x14ac:dyDescent="0.25">
      <c r="A411" s="163"/>
      <c r="B411" s="445">
        <v>1.2</v>
      </c>
      <c r="C411" s="62" t="s">
        <v>24</v>
      </c>
      <c r="D411" s="876">
        <f>IFERROR('WSS Profile'!$G181/'WSS Profile'!$G$180,0)</f>
        <v>0</v>
      </c>
      <c r="E411" s="5801">
        <f>E186*'WSS Profile'!$G181/CurrencyMultiplier</f>
        <v>0</v>
      </c>
      <c r="F411" s="5801">
        <f>$D411*$D$409*F186*F$408/CurrencyMultiplier</f>
        <v>0</v>
      </c>
      <c r="G411" s="59">
        <f>$D411*$D$409*G186*G$408/CurrencyMultiplier</f>
        <v>0</v>
      </c>
      <c r="H411" s="59">
        <f>$D411*$D$409*H186*H$408/CurrencyMultiplier</f>
        <v>0</v>
      </c>
      <c r="I411" s="59">
        <f>$D411*$D$409*I186*I$408/CurrencyMultiplier</f>
        <v>0</v>
      </c>
      <c r="J411" s="59">
        <f>$D411*$D$409*J186*J$408/CurrencyMultiplier</f>
        <v>0</v>
      </c>
      <c r="K411" s="59">
        <f>$D411*$D$409*K186*K$408/CurrencyMultiplier</f>
        <v>0</v>
      </c>
      <c r="L411" s="59">
        <f>$D411*$D$409*L186*L$408/CurrencyMultiplier</f>
        <v>0</v>
      </c>
      <c r="M411" s="59">
        <f>$D411*$D$409*M186*M$408/CurrencyMultiplier</f>
        <v>0</v>
      </c>
      <c r="N411" s="59">
        <f>$D411*$D$409*N186*N$408/CurrencyMultiplier</f>
        <v>0</v>
      </c>
      <c r="O411" s="59">
        <f>$D411*$D$409*O186*O$408/CurrencyMultiplier</f>
        <v>0</v>
      </c>
    </row>
    <row r="412" spans="1:15" s="77" customFormat="1" x14ac:dyDescent="0.25">
      <c r="A412" s="163"/>
      <c r="B412" s="445">
        <v>1.3</v>
      </c>
      <c r="C412" s="62" t="s">
        <v>25</v>
      </c>
      <c r="D412" s="876">
        <f>IFERROR('WSS Profile'!$G182/'WSS Profile'!$G$180,0)</f>
        <v>0</v>
      </c>
      <c r="E412" s="5801">
        <f>E187*'WSS Profile'!$G182/CurrencyMultiplier</f>
        <v>0</v>
      </c>
      <c r="F412" s="5801">
        <f>$D412*$D$409*F187*F$408/CurrencyMultiplier</f>
        <v>0</v>
      </c>
      <c r="G412" s="59">
        <f>$D412*$D$409*G187*G$408/CurrencyMultiplier</f>
        <v>0</v>
      </c>
      <c r="H412" s="59">
        <f>$D412*$D$409*H187*H$408/CurrencyMultiplier</f>
        <v>0</v>
      </c>
      <c r="I412" s="59">
        <f>$D412*$D$409*I187*I$408/CurrencyMultiplier</f>
        <v>0</v>
      </c>
      <c r="J412" s="59">
        <f>$D412*$D$409*J187*J$408/CurrencyMultiplier</f>
        <v>0</v>
      </c>
      <c r="K412" s="59">
        <f>$D412*$D$409*K187*K$408/CurrencyMultiplier</f>
        <v>0</v>
      </c>
      <c r="L412" s="59">
        <f>$D412*$D$409*L187*L$408/CurrencyMultiplier</f>
        <v>0</v>
      </c>
      <c r="M412" s="59">
        <f>$D412*$D$409*M187*M$408/CurrencyMultiplier</f>
        <v>0</v>
      </c>
      <c r="N412" s="59">
        <f>$D412*$D$409*N187*N$408/CurrencyMultiplier</f>
        <v>0</v>
      </c>
      <c r="O412" s="59">
        <f>$D412*$D$409*O187*O$408/CurrencyMultiplier</f>
        <v>0</v>
      </c>
    </row>
    <row r="413" spans="1:15" s="77" customFormat="1" x14ac:dyDescent="0.25">
      <c r="A413" s="163"/>
      <c r="B413" s="445">
        <v>1.4</v>
      </c>
      <c r="C413" s="62" t="s">
        <v>168</v>
      </c>
      <c r="D413" s="876">
        <f>IFERROR('WSS Profile'!$G183/'WSS Profile'!$G$180,0)</f>
        <v>0</v>
      </c>
      <c r="E413" s="5801">
        <f>E188*'WSS Profile'!$G183/CurrencyMultiplier</f>
        <v>0</v>
      </c>
      <c r="F413" s="5801">
        <f>$D413*$D$409*F188*F$408/CurrencyMultiplier</f>
        <v>0</v>
      </c>
      <c r="G413" s="59">
        <f>$D413*$D$409*G188*G$408/CurrencyMultiplier</f>
        <v>0</v>
      </c>
      <c r="H413" s="59">
        <f>$D413*$D$409*H188*H$408/CurrencyMultiplier</f>
        <v>0</v>
      </c>
      <c r="I413" s="59">
        <f>$D413*$D$409*I188*I$408/CurrencyMultiplier</f>
        <v>0</v>
      </c>
      <c r="J413" s="59">
        <f>$D413*$D$409*J188*J$408/CurrencyMultiplier</f>
        <v>0</v>
      </c>
      <c r="K413" s="59">
        <f>$D413*$D$409*K188*K$408/CurrencyMultiplier</f>
        <v>0</v>
      </c>
      <c r="L413" s="59">
        <f>$D413*$D$409*L188*L$408/CurrencyMultiplier</f>
        <v>0</v>
      </c>
      <c r="M413" s="59">
        <f>$D413*$D$409*M188*M$408/CurrencyMultiplier</f>
        <v>0</v>
      </c>
      <c r="N413" s="59">
        <f>$D413*$D$409*N188*N$408/CurrencyMultiplier</f>
        <v>0</v>
      </c>
      <c r="O413" s="59">
        <f>$D413*$D$409*O188*O$408/CurrencyMultiplier</f>
        <v>0</v>
      </c>
    </row>
    <row r="414" spans="1:15" s="77" customFormat="1" x14ac:dyDescent="0.25">
      <c r="A414" s="163"/>
      <c r="B414" s="72">
        <v>2</v>
      </c>
      <c r="C414" s="62" t="s">
        <v>257</v>
      </c>
      <c r="D414" s="869">
        <f>$K$560</f>
        <v>0</v>
      </c>
      <c r="E414" s="928"/>
      <c r="F414" s="929"/>
      <c r="G414" s="929"/>
      <c r="H414" s="929"/>
      <c r="I414" s="929"/>
      <c r="J414" s="929"/>
      <c r="K414" s="929"/>
      <c r="L414" s="929"/>
      <c r="M414" s="929"/>
      <c r="N414" s="929"/>
      <c r="O414" s="930"/>
    </row>
    <row r="415" spans="1:15" s="77" customFormat="1" x14ac:dyDescent="0.25">
      <c r="A415" s="163"/>
      <c r="B415" s="445">
        <v>2.1</v>
      </c>
      <c r="C415" s="62" t="s">
        <v>23</v>
      </c>
      <c r="D415" s="876">
        <f>IFERROR(IF('WSS Profile'!$G185/'WSS Profile'!$G$185=0,D410,'WSS Profile'!$G185/'WSS Profile'!$G$185),0)</f>
        <v>0</v>
      </c>
      <c r="E415" s="5801">
        <f>E190*'WSS Profile'!$G185/CurrencyMultiplier</f>
        <v>0</v>
      </c>
      <c r="F415" s="5801">
        <f>$D415*$D$414*F190*F$408/CurrencyMultiplier</f>
        <v>0</v>
      </c>
      <c r="G415" s="165">
        <f>$D415*$D$414*G190*G$408/CurrencyMultiplier</f>
        <v>0</v>
      </c>
      <c r="H415" s="165">
        <f>$D415*$D$414*H190*H$408/CurrencyMultiplier</f>
        <v>0</v>
      </c>
      <c r="I415" s="165">
        <f>$D415*$D$414*I190*I$408/CurrencyMultiplier</f>
        <v>0</v>
      </c>
      <c r="J415" s="165">
        <f>$D415*$D$414*J190*J$408/CurrencyMultiplier</f>
        <v>0</v>
      </c>
      <c r="K415" s="165">
        <f>$D415*$D$414*K190*K$408/CurrencyMultiplier</f>
        <v>0</v>
      </c>
      <c r="L415" s="165">
        <f>$D415*$D$414*L190*L$408/CurrencyMultiplier</f>
        <v>0</v>
      </c>
      <c r="M415" s="165">
        <f>$D415*$D$414*M190*M$408/CurrencyMultiplier</f>
        <v>0</v>
      </c>
      <c r="N415" s="165">
        <f>$D415*$D$414*N190*N$408/CurrencyMultiplier</f>
        <v>0</v>
      </c>
      <c r="O415" s="165">
        <f>$D415*$D$414*O190*O$408/CurrencyMultiplier</f>
        <v>0</v>
      </c>
    </row>
    <row r="416" spans="1:15" s="77" customFormat="1" x14ac:dyDescent="0.25">
      <c r="A416" s="163"/>
      <c r="B416" s="445">
        <v>2.2000000000000002</v>
      </c>
      <c r="C416" s="62" t="s">
        <v>24</v>
      </c>
      <c r="D416" s="876">
        <f>IFERROR(IF('WSS Profile'!$G186/'WSS Profile'!$G$185=0,D411,'WSS Profile'!$G186/'WSS Profile'!$G$185),0)</f>
        <v>0</v>
      </c>
      <c r="E416" s="5801">
        <f>E191*'WSS Profile'!$G186/CurrencyMultiplier</f>
        <v>0</v>
      </c>
      <c r="F416" s="5801">
        <f>$D416*$D$414*F191*F$408/CurrencyMultiplier</f>
        <v>0</v>
      </c>
      <c r="G416" s="165">
        <f>$D416*$D$414*G191*G$408/CurrencyMultiplier</f>
        <v>0</v>
      </c>
      <c r="H416" s="165">
        <f>$D416*$D$414*H191*H$408/CurrencyMultiplier</f>
        <v>0</v>
      </c>
      <c r="I416" s="165">
        <f>$D416*$D$414*I191*I$408/CurrencyMultiplier</f>
        <v>0</v>
      </c>
      <c r="J416" s="165">
        <f>$D416*$D$414*J191*J$408/CurrencyMultiplier</f>
        <v>0</v>
      </c>
      <c r="K416" s="165">
        <f>$D416*$D$414*K191*K$408/CurrencyMultiplier</f>
        <v>0</v>
      </c>
      <c r="L416" s="165">
        <f>$D416*$D$414*L191*L$408/CurrencyMultiplier</f>
        <v>0</v>
      </c>
      <c r="M416" s="165">
        <f>$D416*$D$414*M191*M$408/CurrencyMultiplier</f>
        <v>0</v>
      </c>
      <c r="N416" s="165">
        <f>$D416*$D$414*N191*N$408/CurrencyMultiplier</f>
        <v>0</v>
      </c>
      <c r="O416" s="165">
        <f>$D416*$D$414*O191*O$408/CurrencyMultiplier</f>
        <v>0</v>
      </c>
    </row>
    <row r="417" spans="1:15" s="77" customFormat="1" x14ac:dyDescent="0.25">
      <c r="A417" s="163"/>
      <c r="B417" s="445">
        <v>2.2999999999999998</v>
      </c>
      <c r="C417" s="62" t="s">
        <v>25</v>
      </c>
      <c r="D417" s="876">
        <f>IFERROR(IF('WSS Profile'!$G187/'WSS Profile'!$G$185=0,D412,'WSS Profile'!$G187/'WSS Profile'!$G$185),0)</f>
        <v>0</v>
      </c>
      <c r="E417" s="5801">
        <f>E192*'WSS Profile'!$G187/CurrencyMultiplier</f>
        <v>0</v>
      </c>
      <c r="F417" s="5801">
        <f>$D417*$D$414*F192*F$408/CurrencyMultiplier</f>
        <v>0</v>
      </c>
      <c r="G417" s="165">
        <f>$D417*$D$414*G192*G$408/CurrencyMultiplier</f>
        <v>0</v>
      </c>
      <c r="H417" s="165">
        <f>$D417*$D$414*H192*H$408/CurrencyMultiplier</f>
        <v>0</v>
      </c>
      <c r="I417" s="165">
        <f>$D417*$D$414*I192*I$408/CurrencyMultiplier</f>
        <v>0</v>
      </c>
      <c r="J417" s="165">
        <f>$D417*$D$414*J192*J$408/CurrencyMultiplier</f>
        <v>0</v>
      </c>
      <c r="K417" s="165">
        <f>$D417*$D$414*K192*K$408/CurrencyMultiplier</f>
        <v>0</v>
      </c>
      <c r="L417" s="165">
        <f>$D417*$D$414*L192*L$408/CurrencyMultiplier</f>
        <v>0</v>
      </c>
      <c r="M417" s="165">
        <f>$D417*$D$414*M192*M$408/CurrencyMultiplier</f>
        <v>0</v>
      </c>
      <c r="N417" s="165">
        <f>$D417*$D$414*N192*N$408/CurrencyMultiplier</f>
        <v>0</v>
      </c>
      <c r="O417" s="165">
        <f>$D417*$D$414*O192*O$408/CurrencyMultiplier</f>
        <v>0</v>
      </c>
    </row>
    <row r="418" spans="1:15" s="77" customFormat="1" x14ac:dyDescent="0.25">
      <c r="A418" s="163"/>
      <c r="B418" s="445">
        <v>2.4</v>
      </c>
      <c r="C418" s="62" t="s">
        <v>168</v>
      </c>
      <c r="D418" s="876">
        <f>IFERROR(IF('WSS Profile'!$G188/'WSS Profile'!$G$185=0,D413,'WSS Profile'!$G188/'WSS Profile'!$G$185),0)</f>
        <v>0</v>
      </c>
      <c r="E418" s="5801">
        <f>E193*'WSS Profile'!$G188/CurrencyMultiplier</f>
        <v>0</v>
      </c>
      <c r="F418" s="5801">
        <f>$D418*$D$414*F193*F$408/CurrencyMultiplier</f>
        <v>0</v>
      </c>
      <c r="G418" s="165">
        <f>$D418*$D$414*G193*G$408/CurrencyMultiplier</f>
        <v>0</v>
      </c>
      <c r="H418" s="165">
        <f>$D418*$D$414*H193*H$408/CurrencyMultiplier</f>
        <v>0</v>
      </c>
      <c r="I418" s="165">
        <f>$D418*$D$414*I193*I$408/CurrencyMultiplier</f>
        <v>0</v>
      </c>
      <c r="J418" s="165">
        <f>$D418*$D$414*J193*J$408/CurrencyMultiplier</f>
        <v>0</v>
      </c>
      <c r="K418" s="165">
        <f>$D418*$D$414*K193*K$408/CurrencyMultiplier</f>
        <v>0</v>
      </c>
      <c r="L418" s="165">
        <f>$D418*$D$414*L193*L$408/CurrencyMultiplier</f>
        <v>0</v>
      </c>
      <c r="M418" s="165">
        <f>$D418*$D$414*M193*M$408/CurrencyMultiplier</f>
        <v>0</v>
      </c>
      <c r="N418" s="165">
        <f>$D418*$D$414*N193*N$408/CurrencyMultiplier</f>
        <v>0</v>
      </c>
      <c r="O418" s="165">
        <f>$D418*$D$414*O193*O$408/CurrencyMultiplier</f>
        <v>0</v>
      </c>
    </row>
    <row r="419" spans="1:15" s="77" customFormat="1" x14ac:dyDescent="0.25">
      <c r="A419" s="163"/>
      <c r="B419" s="72">
        <v>3</v>
      </c>
      <c r="C419" s="62" t="s">
        <v>259</v>
      </c>
      <c r="D419" s="869">
        <f>$K$561</f>
        <v>0</v>
      </c>
      <c r="E419" s="928"/>
      <c r="F419" s="929"/>
      <c r="G419" s="929"/>
      <c r="H419" s="929"/>
      <c r="I419" s="929"/>
      <c r="J419" s="929"/>
      <c r="K419" s="929"/>
      <c r="L419" s="929"/>
      <c r="M419" s="929"/>
      <c r="N419" s="929"/>
      <c r="O419" s="930"/>
    </row>
    <row r="420" spans="1:15" s="77" customFormat="1" x14ac:dyDescent="0.25">
      <c r="A420" s="163"/>
      <c r="B420" s="445">
        <v>3.1</v>
      </c>
      <c r="C420" s="62" t="s">
        <v>23</v>
      </c>
      <c r="D420" s="876">
        <f>IFERROR('WSS Profile'!$G190/'WSS Profile'!$G$190,0)</f>
        <v>0</v>
      </c>
      <c r="E420" s="5801">
        <f>E195*'WSS Profile'!$G190/CurrencyMultiplier</f>
        <v>0</v>
      </c>
      <c r="F420" s="5801">
        <f>$D420*F195*F$408*$D$419/CurrencyMultiplier</f>
        <v>0</v>
      </c>
      <c r="G420" s="165">
        <f>$D420*G195*G$408*$D$419/CurrencyMultiplier</f>
        <v>0</v>
      </c>
      <c r="H420" s="165">
        <f>$D420*H195*H$408*$D$419/CurrencyMultiplier</f>
        <v>0</v>
      </c>
      <c r="I420" s="165">
        <f>$D420*I195*I$408*$D$419/CurrencyMultiplier</f>
        <v>0</v>
      </c>
      <c r="J420" s="165">
        <f>$D420*J195*J$408*$D$419/CurrencyMultiplier</f>
        <v>0</v>
      </c>
      <c r="K420" s="165">
        <f>$D420*K195*K$408*$D$419/CurrencyMultiplier</f>
        <v>0</v>
      </c>
      <c r="L420" s="165">
        <f>$D420*L195*L$408*$D$419/CurrencyMultiplier</f>
        <v>0</v>
      </c>
      <c r="M420" s="165">
        <f>$D420*M195*M$408*$D$419/CurrencyMultiplier</f>
        <v>0</v>
      </c>
      <c r="N420" s="165">
        <f>$D420*N195*N$408*$D$419/CurrencyMultiplier</f>
        <v>0</v>
      </c>
      <c r="O420" s="165">
        <f>$D420*O195*O$408*$D$419/CurrencyMultiplier</f>
        <v>0</v>
      </c>
    </row>
    <row r="421" spans="1:15" s="77" customFormat="1" x14ac:dyDescent="0.25">
      <c r="A421" s="163"/>
      <c r="B421" s="445">
        <v>3.2</v>
      </c>
      <c r="C421" s="62" t="s">
        <v>24</v>
      </c>
      <c r="D421" s="876">
        <f>IFERROR('WSS Profile'!$G191/'WSS Profile'!$G$190,0)</f>
        <v>0</v>
      </c>
      <c r="E421" s="5801">
        <f>E196*'WSS Profile'!$G191/CurrencyMultiplier</f>
        <v>0</v>
      </c>
      <c r="F421" s="5801">
        <f>$D421*F196*F$408*$D$419/CurrencyMultiplier</f>
        <v>0</v>
      </c>
      <c r="G421" s="165">
        <f>$D421*G196*G$408*$D$419/CurrencyMultiplier</f>
        <v>0</v>
      </c>
      <c r="H421" s="165">
        <f>$D421*H196*H$408*$D$419/CurrencyMultiplier</f>
        <v>0</v>
      </c>
      <c r="I421" s="165">
        <f>$D421*I196*I$408*$D$419/CurrencyMultiplier</f>
        <v>0</v>
      </c>
      <c r="J421" s="165">
        <f>$D421*J196*J$408*$D$419/CurrencyMultiplier</f>
        <v>0</v>
      </c>
      <c r="K421" s="165">
        <f>$D421*K196*K$408*$D$419/CurrencyMultiplier</f>
        <v>0</v>
      </c>
      <c r="L421" s="165">
        <f>$D421*L196*L$408*$D$419/CurrencyMultiplier</f>
        <v>0</v>
      </c>
      <c r="M421" s="165">
        <f>$D421*M196*M$408*$D$419/CurrencyMultiplier</f>
        <v>0</v>
      </c>
      <c r="N421" s="165">
        <f>$D421*N196*N$408*$D$419/CurrencyMultiplier</f>
        <v>0</v>
      </c>
      <c r="O421" s="165">
        <f>$D421*O196*O$408*$D$419/CurrencyMultiplier</f>
        <v>0</v>
      </c>
    </row>
    <row r="422" spans="1:15" s="77" customFormat="1" x14ac:dyDescent="0.25">
      <c r="A422" s="163"/>
      <c r="B422" s="445">
        <v>3.3</v>
      </c>
      <c r="C422" s="62" t="s">
        <v>25</v>
      </c>
      <c r="D422" s="876">
        <f>IFERROR('WSS Profile'!$G192/'WSS Profile'!$G$190,0)</f>
        <v>0</v>
      </c>
      <c r="E422" s="5801">
        <f>E197*'WSS Profile'!$G192/CurrencyMultiplier</f>
        <v>0</v>
      </c>
      <c r="F422" s="5801">
        <f>$D422*F197*F$408*$D$419/CurrencyMultiplier</f>
        <v>0</v>
      </c>
      <c r="G422" s="165">
        <f>$D422*G197*G$408*$D$419/CurrencyMultiplier</f>
        <v>0</v>
      </c>
      <c r="H422" s="165">
        <f>$D422*H197*H$408*$D$419/CurrencyMultiplier</f>
        <v>0</v>
      </c>
      <c r="I422" s="165">
        <f>$D422*I197*I$408*$D$419/CurrencyMultiplier</f>
        <v>0</v>
      </c>
      <c r="J422" s="165">
        <f>$D422*J197*J$408*$D$419/CurrencyMultiplier</f>
        <v>0</v>
      </c>
      <c r="K422" s="165">
        <f>$D422*K197*K$408*$D$419/CurrencyMultiplier</f>
        <v>0</v>
      </c>
      <c r="L422" s="165">
        <f>$D422*L197*L$408*$D$419/CurrencyMultiplier</f>
        <v>0</v>
      </c>
      <c r="M422" s="165">
        <f>$D422*M197*M$408*$D$419/CurrencyMultiplier</f>
        <v>0</v>
      </c>
      <c r="N422" s="165">
        <f>$D422*N197*N$408*$D$419/CurrencyMultiplier</f>
        <v>0</v>
      </c>
      <c r="O422" s="165">
        <f>$D422*O197*O$408*$D$419/CurrencyMultiplier</f>
        <v>0</v>
      </c>
    </row>
    <row r="423" spans="1:15" s="77" customFormat="1" x14ac:dyDescent="0.25">
      <c r="A423" s="163"/>
      <c r="B423" s="445">
        <v>3.4</v>
      </c>
      <c r="C423" s="62" t="s">
        <v>168</v>
      </c>
      <c r="D423" s="876">
        <f>IFERROR('WSS Profile'!$G193/'WSS Profile'!$G$190,0)</f>
        <v>0</v>
      </c>
      <c r="E423" s="5801">
        <f>E198*'WSS Profile'!$G193/CurrencyMultiplier</f>
        <v>0</v>
      </c>
      <c r="F423" s="5801">
        <f>$D423*F198*F$408*$D$419/CurrencyMultiplier</f>
        <v>0</v>
      </c>
      <c r="G423" s="165">
        <f>$D423*G198*G$408*$D$419/CurrencyMultiplier</f>
        <v>0</v>
      </c>
      <c r="H423" s="165">
        <f>$D423*H198*H$408*$D$419/CurrencyMultiplier</f>
        <v>0</v>
      </c>
      <c r="I423" s="165">
        <f>$D423*I198*I$408*$D$419/CurrencyMultiplier</f>
        <v>0</v>
      </c>
      <c r="J423" s="165">
        <f>$D423*J198*J$408*$D$419/CurrencyMultiplier</f>
        <v>0</v>
      </c>
      <c r="K423" s="165">
        <f>$D423*K198*K$408*$D$419/CurrencyMultiplier</f>
        <v>0</v>
      </c>
      <c r="L423" s="165">
        <f>$D423*L198*L$408*$D$419/CurrencyMultiplier</f>
        <v>0</v>
      </c>
      <c r="M423" s="165">
        <f>$D423*M198*M$408*$D$419/CurrencyMultiplier</f>
        <v>0</v>
      </c>
      <c r="N423" s="165">
        <f>$D423*N198*N$408*$D$419/CurrencyMultiplier</f>
        <v>0</v>
      </c>
      <c r="O423" s="165">
        <f>$D423*O198*O$408*$D$419/CurrencyMultiplier</f>
        <v>0</v>
      </c>
    </row>
    <row r="424" spans="1:15" s="77" customFormat="1" x14ac:dyDescent="0.25">
      <c r="A424" s="163"/>
      <c r="B424" s="72">
        <v>4</v>
      </c>
      <c r="C424" s="62" t="s">
        <v>26</v>
      </c>
      <c r="D424" s="869">
        <f>$K$562</f>
        <v>0</v>
      </c>
      <c r="E424" s="928"/>
      <c r="F424" s="929"/>
      <c r="G424" s="929"/>
      <c r="H424" s="929"/>
      <c r="I424" s="929"/>
      <c r="J424" s="929"/>
      <c r="K424" s="929"/>
      <c r="L424" s="929"/>
      <c r="M424" s="929"/>
      <c r="N424" s="929"/>
      <c r="O424" s="929"/>
    </row>
    <row r="425" spans="1:15" s="77" customFormat="1" x14ac:dyDescent="0.25">
      <c r="A425" s="163"/>
      <c r="B425" s="445">
        <v>4.0999999999999996</v>
      </c>
      <c r="C425" s="62" t="s">
        <v>23</v>
      </c>
      <c r="D425" s="876">
        <f>IFERROR('WSS Profile'!$G195/'WSS Profile'!$G$195,0)</f>
        <v>0</v>
      </c>
      <c r="E425" s="5801">
        <f>E200*'WSS Profile'!$G195/CurrencyMultiplier</f>
        <v>0</v>
      </c>
      <c r="F425" s="5801">
        <f>$D425*F200*F$408*$D$424/CurrencyMultiplier</f>
        <v>0</v>
      </c>
      <c r="G425" s="165">
        <f>$D425*G200*G$408*$D$424/CurrencyMultiplier</f>
        <v>0</v>
      </c>
      <c r="H425" s="165">
        <f>$D425*H200*H$408*$D$424/CurrencyMultiplier</f>
        <v>0</v>
      </c>
      <c r="I425" s="165">
        <f>$D425*I200*I$408*$D$424/CurrencyMultiplier</f>
        <v>0</v>
      </c>
      <c r="J425" s="165">
        <f>$D425*J200*J$408*$D$424/CurrencyMultiplier</f>
        <v>0</v>
      </c>
      <c r="K425" s="165">
        <f>$D425*K200*K$408*$D$424/CurrencyMultiplier</f>
        <v>0</v>
      </c>
      <c r="L425" s="165">
        <f>$D425*L200*L$408*$D$424/CurrencyMultiplier</f>
        <v>0</v>
      </c>
      <c r="M425" s="165">
        <f>$D425*M200*M$408*$D$424/CurrencyMultiplier</f>
        <v>0</v>
      </c>
      <c r="N425" s="165">
        <f>$D425*N200*N$408*$D$424/CurrencyMultiplier</f>
        <v>0</v>
      </c>
      <c r="O425" s="165">
        <f>$D425*O200*O$408*$D$424/CurrencyMultiplier</f>
        <v>0</v>
      </c>
    </row>
    <row r="426" spans="1:15" s="77" customFormat="1" x14ac:dyDescent="0.25">
      <c r="A426" s="163"/>
      <c r="B426" s="445">
        <v>4.2</v>
      </c>
      <c r="C426" s="62" t="s">
        <v>24</v>
      </c>
      <c r="D426" s="876">
        <f>IFERROR('WSS Profile'!$G196/'WSS Profile'!$G$195,0)</f>
        <v>0</v>
      </c>
      <c r="E426" s="5801">
        <f>E201*'WSS Profile'!$G196/CurrencyMultiplier</f>
        <v>0</v>
      </c>
      <c r="F426" s="5801">
        <f>$D426*F201*F$408*$D$424/CurrencyMultiplier</f>
        <v>0</v>
      </c>
      <c r="G426" s="165">
        <f>$D426*G201*G$408*$D$424/CurrencyMultiplier</f>
        <v>0</v>
      </c>
      <c r="H426" s="165">
        <f>$D426*H201*H$408*$D$424/CurrencyMultiplier</f>
        <v>0</v>
      </c>
      <c r="I426" s="165">
        <f>$D426*I201*I$408*$D$424/CurrencyMultiplier</f>
        <v>0</v>
      </c>
      <c r="J426" s="165">
        <f>$D426*J201*J$408*$D$424/CurrencyMultiplier</f>
        <v>0</v>
      </c>
      <c r="K426" s="165">
        <f>$D426*K201*K$408*$D$424/CurrencyMultiplier</f>
        <v>0</v>
      </c>
      <c r="L426" s="165">
        <f>$D426*L201*L$408*$D$424/CurrencyMultiplier</f>
        <v>0</v>
      </c>
      <c r="M426" s="165">
        <f>$D426*M201*M$408*$D$424/CurrencyMultiplier</f>
        <v>0</v>
      </c>
      <c r="N426" s="165">
        <f>$D426*N201*N$408*$D$424/CurrencyMultiplier</f>
        <v>0</v>
      </c>
      <c r="O426" s="165">
        <f>$D426*O201*O$408*$D$424/CurrencyMultiplier</f>
        <v>0</v>
      </c>
    </row>
    <row r="427" spans="1:15" s="77" customFormat="1" x14ac:dyDescent="0.25">
      <c r="A427" s="163"/>
      <c r="B427" s="445">
        <v>4.3</v>
      </c>
      <c r="C427" s="62" t="s">
        <v>25</v>
      </c>
      <c r="D427" s="876">
        <f>IFERROR('WSS Profile'!$G197/'WSS Profile'!$G$195,0)</f>
        <v>0</v>
      </c>
      <c r="E427" s="5801">
        <f>E202*'WSS Profile'!$G197/CurrencyMultiplier</f>
        <v>0</v>
      </c>
      <c r="F427" s="5801">
        <f>$D427*F202*F$408*$D$424/CurrencyMultiplier</f>
        <v>0</v>
      </c>
      <c r="G427" s="165">
        <f>$D427*G202*G$408*$D$424/CurrencyMultiplier</f>
        <v>0</v>
      </c>
      <c r="H427" s="165">
        <f>$D427*H202*H$408*$D$424/CurrencyMultiplier</f>
        <v>0</v>
      </c>
      <c r="I427" s="165">
        <f>$D427*I202*I$408*$D$424/CurrencyMultiplier</f>
        <v>0</v>
      </c>
      <c r="J427" s="165">
        <f>$D427*J202*J$408*$D$424/CurrencyMultiplier</f>
        <v>0</v>
      </c>
      <c r="K427" s="165">
        <f>$D427*K202*K$408*$D$424/CurrencyMultiplier</f>
        <v>0</v>
      </c>
      <c r="L427" s="165">
        <f>$D427*L202*L$408*$D$424/CurrencyMultiplier</f>
        <v>0</v>
      </c>
      <c r="M427" s="165">
        <f>$D427*M202*M$408*$D$424/CurrencyMultiplier</f>
        <v>0</v>
      </c>
      <c r="N427" s="165">
        <f>$D427*N202*N$408*$D$424/CurrencyMultiplier</f>
        <v>0</v>
      </c>
      <c r="O427" s="165">
        <f>$D427*O202*O$408*$D$424/CurrencyMultiplier</f>
        <v>0</v>
      </c>
    </row>
    <row r="428" spans="1:15" s="77" customFormat="1" x14ac:dyDescent="0.25">
      <c r="A428" s="163"/>
      <c r="B428" s="445">
        <v>4.4000000000000004</v>
      </c>
      <c r="C428" s="62" t="s">
        <v>168</v>
      </c>
      <c r="D428" s="876">
        <f>IFERROR('WSS Profile'!$G198/'WSS Profile'!$G$195,0)</f>
        <v>0</v>
      </c>
      <c r="E428" s="5801">
        <f>E203*'WSS Profile'!$G198/CurrencyMultiplier</f>
        <v>0</v>
      </c>
      <c r="F428" s="5801">
        <f>$D428*F203*F$408*$D$424/CurrencyMultiplier</f>
        <v>0</v>
      </c>
      <c r="G428" s="165">
        <f>$D428*G203*G$408*$D$424/CurrencyMultiplier</f>
        <v>0</v>
      </c>
      <c r="H428" s="165">
        <f>$D428*H203*H$408*$D$424/CurrencyMultiplier</f>
        <v>0</v>
      </c>
      <c r="I428" s="165">
        <f>$D428*I203*I$408*$D$424/CurrencyMultiplier</f>
        <v>0</v>
      </c>
      <c r="J428" s="165">
        <f>$D428*J203*J$408*$D$424/CurrencyMultiplier</f>
        <v>0</v>
      </c>
      <c r="K428" s="165">
        <f>$D428*K203*K$408*$D$424/CurrencyMultiplier</f>
        <v>0</v>
      </c>
      <c r="L428" s="165">
        <f>$D428*L203*L$408*$D$424/CurrencyMultiplier</f>
        <v>0</v>
      </c>
      <c r="M428" s="165">
        <f>$D428*M203*M$408*$D$424/CurrencyMultiplier</f>
        <v>0</v>
      </c>
      <c r="N428" s="165">
        <f>$D428*N203*N$408*$D$424/CurrencyMultiplier</f>
        <v>0</v>
      </c>
      <c r="O428" s="165">
        <f>$D428*O203*O$408*$D$424/CurrencyMultiplier</f>
        <v>0</v>
      </c>
    </row>
    <row r="429" spans="1:15" s="77" customFormat="1" x14ac:dyDescent="0.25">
      <c r="A429" s="163"/>
      <c r="B429" s="72">
        <v>5</v>
      </c>
      <c r="C429" s="62" t="s">
        <v>254</v>
      </c>
      <c r="D429" s="869">
        <f>$K$563</f>
        <v>0</v>
      </c>
      <c r="E429" s="928"/>
      <c r="F429" s="929"/>
      <c r="G429" s="929"/>
      <c r="H429" s="929"/>
      <c r="I429" s="929"/>
      <c r="J429" s="929"/>
      <c r="K429" s="929"/>
      <c r="L429" s="929"/>
      <c r="M429" s="929"/>
      <c r="N429" s="929"/>
      <c r="O429" s="929"/>
    </row>
    <row r="430" spans="1:15" s="77" customFormat="1" x14ac:dyDescent="0.25">
      <c r="A430" s="163"/>
      <c r="B430" s="445">
        <v>5.2</v>
      </c>
      <c r="C430" s="321" t="s">
        <v>256</v>
      </c>
      <c r="D430" s="876">
        <f>IFERROR('WSS Profile'!$G200/'WSS Profile'!$G$200,0)</f>
        <v>0</v>
      </c>
      <c r="E430" s="5801">
        <f>E205*'WSS Profile'!$G200/CurrencyMultiplier</f>
        <v>0</v>
      </c>
      <c r="F430" s="5801">
        <f>F205*$D430*$D$429*F$408/CurrencyMultiplier</f>
        <v>0</v>
      </c>
      <c r="G430" s="165">
        <f>G205*$D430*$D$429*G$408/CurrencyMultiplier</f>
        <v>0</v>
      </c>
      <c r="H430" s="165">
        <f>H205*$D430*$D$429*H$408/CurrencyMultiplier</f>
        <v>0</v>
      </c>
      <c r="I430" s="165">
        <f>I205*$D430*$D$429*I$408/CurrencyMultiplier</f>
        <v>0</v>
      </c>
      <c r="J430" s="165">
        <f>J205*$D430*$D$429*J$408/CurrencyMultiplier</f>
        <v>0</v>
      </c>
      <c r="K430" s="165">
        <f>K205*$D430*$D$429*K$408/CurrencyMultiplier</f>
        <v>0</v>
      </c>
      <c r="L430" s="165">
        <f>L205*$D430*$D$429*L$408/CurrencyMultiplier</f>
        <v>0</v>
      </c>
      <c r="M430" s="165">
        <f>M205*$D430*$D$429*M$408/CurrencyMultiplier</f>
        <v>0</v>
      </c>
      <c r="N430" s="165">
        <f>N205*$D430*$D$429*N$408/CurrencyMultiplier</f>
        <v>0</v>
      </c>
      <c r="O430" s="165">
        <f>O205*$D430*$D$429*O$408/CurrencyMultiplier</f>
        <v>0</v>
      </c>
    </row>
    <row r="431" spans="1:15" s="77" customFormat="1" x14ac:dyDescent="0.25">
      <c r="A431" s="163"/>
      <c r="B431" s="445">
        <v>5.0999999999999996</v>
      </c>
      <c r="C431" s="62" t="s">
        <v>255</v>
      </c>
      <c r="D431" s="877">
        <f>IFERROR('WSS Profile'!$G202/'WSS Profile'!$G$180,0)</f>
        <v>0</v>
      </c>
      <c r="E431" s="5801">
        <f>E206*'WSS Profile'!$G201/CurrencyMultiplier</f>
        <v>0</v>
      </c>
      <c r="F431" s="5801">
        <f>F206*$D431*$D$429*F$408/CurrencyMultiplier</f>
        <v>0</v>
      </c>
      <c r="G431" s="165">
        <f>G206*$D431*$D$429*G$408/CurrencyMultiplier</f>
        <v>0</v>
      </c>
      <c r="H431" s="165">
        <f>H206*$D431*$D$429*H$408/CurrencyMultiplier</f>
        <v>0</v>
      </c>
      <c r="I431" s="165">
        <f>I206*$D431*$D$429*I$408/CurrencyMultiplier</f>
        <v>0</v>
      </c>
      <c r="J431" s="165">
        <f>J206*$D431*$D$429*J$408/CurrencyMultiplier</f>
        <v>0</v>
      </c>
      <c r="K431" s="165">
        <f>K206*$D431*$D$429*K$408/CurrencyMultiplier</f>
        <v>0</v>
      </c>
      <c r="L431" s="165">
        <f>L206*$D431*$D$429*L$408/CurrencyMultiplier</f>
        <v>0</v>
      </c>
      <c r="M431" s="165">
        <f>M206*$D431*$D$429*M$408/CurrencyMultiplier</f>
        <v>0</v>
      </c>
      <c r="N431" s="165">
        <f>N206*$D431*$D$429*N$408/CurrencyMultiplier</f>
        <v>0</v>
      </c>
      <c r="O431" s="165">
        <f>O206*$D431*$D$429*O$408/CurrencyMultiplier</f>
        <v>0</v>
      </c>
    </row>
    <row r="432" spans="1:15" s="77" customFormat="1" x14ac:dyDescent="0.25">
      <c r="A432" s="163"/>
      <c r="B432" s="445">
        <v>5.3</v>
      </c>
      <c r="C432" s="321" t="s">
        <v>253</v>
      </c>
      <c r="D432" s="877">
        <f>IFERROR('WSS Profile'!$G201/'WSS Profile'!$G$180,0)</f>
        <v>0</v>
      </c>
      <c r="E432" s="5801">
        <f>E207*'WSS Profile'!$G202/CurrencyMultiplier</f>
        <v>0</v>
      </c>
      <c r="F432" s="5801">
        <f>F208*$D432*$D$429*F$408/CurrencyMultiplier</f>
        <v>0</v>
      </c>
      <c r="G432" s="165">
        <f>G208*$D432*$D$429*G$408/CurrencyMultiplier</f>
        <v>0</v>
      </c>
      <c r="H432" s="165">
        <f>H208*$D432*$D$429*H$408/CurrencyMultiplier</f>
        <v>0</v>
      </c>
      <c r="I432" s="165">
        <f>I208*$D432*$D$429*I$408/CurrencyMultiplier</f>
        <v>0</v>
      </c>
      <c r="J432" s="165">
        <f>J208*$D432*$D$429*J$408/CurrencyMultiplier</f>
        <v>0</v>
      </c>
      <c r="K432" s="165">
        <f>K208*$D432*$D$429*K$408/CurrencyMultiplier</f>
        <v>0</v>
      </c>
      <c r="L432" s="165">
        <f>L208*$D432*$D$429*L$408/CurrencyMultiplier</f>
        <v>0</v>
      </c>
      <c r="M432" s="165">
        <f>M208*$D432*$D$429*M$408/CurrencyMultiplier</f>
        <v>0</v>
      </c>
      <c r="N432" s="165">
        <f>N208*$D432*$D$429*N$408/CurrencyMultiplier</f>
        <v>0</v>
      </c>
      <c r="O432" s="165">
        <f>O208*$D432*$D$429*O$408/CurrencyMultiplier</f>
        <v>0</v>
      </c>
    </row>
    <row r="433" spans="1:16" s="80" customFormat="1" x14ac:dyDescent="0.25">
      <c r="A433" s="134"/>
      <c r="B433" s="159">
        <v>6</v>
      </c>
      <c r="C433" s="220" t="s">
        <v>16</v>
      </c>
      <c r="D433" s="875"/>
      <c r="E433" s="446">
        <f t="shared" ref="E433:O433" si="188">SUM(E410:E432)</f>
        <v>0</v>
      </c>
      <c r="F433" s="446">
        <f t="shared" si="188"/>
        <v>0</v>
      </c>
      <c r="G433" s="446">
        <f t="shared" si="188"/>
        <v>0</v>
      </c>
      <c r="H433" s="446">
        <f t="shared" si="188"/>
        <v>0</v>
      </c>
      <c r="I433" s="446">
        <f t="shared" si="188"/>
        <v>0</v>
      </c>
      <c r="J433" s="446">
        <f t="shared" si="188"/>
        <v>0</v>
      </c>
      <c r="K433" s="446">
        <f t="shared" si="188"/>
        <v>0</v>
      </c>
      <c r="L433" s="446">
        <f t="shared" si="188"/>
        <v>0</v>
      </c>
      <c r="M433" s="446">
        <f t="shared" si="188"/>
        <v>0</v>
      </c>
      <c r="N433" s="446">
        <f t="shared" si="188"/>
        <v>0</v>
      </c>
      <c r="O433" s="446">
        <f t="shared" si="188"/>
        <v>0</v>
      </c>
    </row>
    <row r="435" spans="1:16" x14ac:dyDescent="0.25">
      <c r="D435" s="182"/>
      <c r="G435" s="23"/>
      <c r="H435" s="23"/>
      <c r="I435" s="23"/>
      <c r="J435" s="23"/>
      <c r="K435" s="23"/>
      <c r="L435" s="23"/>
      <c r="M435" s="23"/>
      <c r="N435" s="23"/>
      <c r="O435" s="23"/>
    </row>
    <row r="436" spans="1:16" x14ac:dyDescent="0.25">
      <c r="A436" s="11" t="s">
        <v>22</v>
      </c>
      <c r="B436" s="11" t="s">
        <v>115</v>
      </c>
      <c r="C436" s="309"/>
      <c r="E436" s="17" t="s">
        <v>369</v>
      </c>
      <c r="F436" s="171" t="s">
        <v>370</v>
      </c>
    </row>
    <row r="437" spans="1:16" x14ac:dyDescent="0.25">
      <c r="B437" s="13" t="s">
        <v>3</v>
      </c>
      <c r="C437" s="310" t="s">
        <v>4</v>
      </c>
      <c r="D437" s="13" t="s">
        <v>33</v>
      </c>
      <c r="E437" s="13">
        <f>E$3</f>
        <v>2014</v>
      </c>
      <c r="F437" s="13">
        <f t="shared" ref="F437:O437" si="189">F$3</f>
        <v>2015</v>
      </c>
      <c r="G437" s="13">
        <f t="shared" si="189"/>
        <v>2016</v>
      </c>
      <c r="H437" s="13">
        <f t="shared" si="189"/>
        <v>2017</v>
      </c>
      <c r="I437" s="13">
        <f t="shared" si="189"/>
        <v>2018</v>
      </c>
      <c r="J437" s="13">
        <f t="shared" si="189"/>
        <v>2019</v>
      </c>
      <c r="K437" s="13">
        <f t="shared" si="189"/>
        <v>2020</v>
      </c>
      <c r="L437" s="13">
        <f t="shared" si="189"/>
        <v>2021</v>
      </c>
      <c r="M437" s="13">
        <f t="shared" si="189"/>
        <v>2022</v>
      </c>
      <c r="N437" s="13">
        <f t="shared" si="189"/>
        <v>2023</v>
      </c>
      <c r="O437" s="13">
        <f t="shared" si="189"/>
        <v>2024</v>
      </c>
      <c r="P437" s="362"/>
    </row>
    <row r="438" spans="1:16" s="170" customFormat="1" x14ac:dyDescent="0.25">
      <c r="A438" s="204"/>
      <c r="B438" s="205"/>
      <c r="C438" s="207" t="s">
        <v>615</v>
      </c>
      <c r="D438" s="205"/>
      <c r="E438" s="206"/>
      <c r="F438" s="206"/>
      <c r="G438" s="206"/>
      <c r="H438" s="206"/>
      <c r="I438" s="206"/>
      <c r="J438" s="206"/>
      <c r="K438" s="206"/>
      <c r="L438" s="206"/>
      <c r="M438" s="206"/>
      <c r="N438" s="206"/>
      <c r="O438" s="206"/>
    </row>
    <row r="439" spans="1:16" s="124" customFormat="1" x14ac:dyDescent="0.25">
      <c r="C439" s="80" t="s">
        <v>637</v>
      </c>
      <c r="D439" s="77"/>
      <c r="E439" s="452"/>
      <c r="F439" s="452"/>
      <c r="G439" s="452"/>
      <c r="H439" s="452"/>
      <c r="I439" s="452"/>
      <c r="J439" s="452"/>
      <c r="K439" s="452"/>
      <c r="L439" s="452"/>
      <c r="M439" s="452"/>
      <c r="N439" s="452"/>
      <c r="O439" s="452"/>
    </row>
    <row r="440" spans="1:16" s="77" customFormat="1" x14ac:dyDescent="0.25">
      <c r="A440" s="124"/>
      <c r="B440" s="69">
        <v>1</v>
      </c>
      <c r="C440" s="321" t="s">
        <v>258</v>
      </c>
      <c r="D440" s="69"/>
      <c r="E440" s="69">
        <f t="shared" ref="E440:O440" si="190">(E330*$E$212)+(E331*$F$212)+(E332*$G$212)+(E333*$H$212)</f>
        <v>0</v>
      </c>
      <c r="F440" s="69">
        <f t="shared" si="190"/>
        <v>0</v>
      </c>
      <c r="G440" s="69">
        <f t="shared" si="190"/>
        <v>0</v>
      </c>
      <c r="H440" s="69">
        <f t="shared" si="190"/>
        <v>0</v>
      </c>
      <c r="I440" s="69">
        <f t="shared" si="190"/>
        <v>0</v>
      </c>
      <c r="J440" s="69">
        <f t="shared" si="190"/>
        <v>0</v>
      </c>
      <c r="K440" s="69">
        <f t="shared" si="190"/>
        <v>0</v>
      </c>
      <c r="L440" s="69">
        <f t="shared" si="190"/>
        <v>0</v>
      </c>
      <c r="M440" s="69">
        <f t="shared" si="190"/>
        <v>0</v>
      </c>
      <c r="N440" s="69">
        <f t="shared" si="190"/>
        <v>0</v>
      </c>
      <c r="O440" s="69">
        <f t="shared" si="190"/>
        <v>0</v>
      </c>
    </row>
    <row r="441" spans="1:16" s="77" customFormat="1" x14ac:dyDescent="0.25">
      <c r="A441" s="124"/>
      <c r="B441" s="69">
        <v>2</v>
      </c>
      <c r="C441" s="321" t="s">
        <v>257</v>
      </c>
      <c r="D441" s="69"/>
      <c r="E441" s="69">
        <f t="shared" ref="E441:O441" si="191">(E335*$E$212)+(E336*$F$212)+(E337*$G$212)+(E338*$H$212)</f>
        <v>0</v>
      </c>
      <c r="F441" s="69">
        <f t="shared" si="191"/>
        <v>0</v>
      </c>
      <c r="G441" s="69">
        <f t="shared" si="191"/>
        <v>0</v>
      </c>
      <c r="H441" s="69">
        <f t="shared" si="191"/>
        <v>0</v>
      </c>
      <c r="I441" s="69">
        <f t="shared" si="191"/>
        <v>0</v>
      </c>
      <c r="J441" s="69">
        <f t="shared" si="191"/>
        <v>0</v>
      </c>
      <c r="K441" s="69">
        <f t="shared" si="191"/>
        <v>0</v>
      </c>
      <c r="L441" s="69">
        <f t="shared" si="191"/>
        <v>0</v>
      </c>
      <c r="M441" s="69">
        <f t="shared" si="191"/>
        <v>0</v>
      </c>
      <c r="N441" s="69">
        <f t="shared" si="191"/>
        <v>0</v>
      </c>
      <c r="O441" s="69">
        <f t="shared" si="191"/>
        <v>0</v>
      </c>
    </row>
    <row r="442" spans="1:16" s="77" customFormat="1" x14ac:dyDescent="0.25">
      <c r="A442" s="124"/>
      <c r="B442" s="69">
        <v>3</v>
      </c>
      <c r="C442" s="321" t="s">
        <v>259</v>
      </c>
      <c r="D442" s="69"/>
      <c r="E442" s="69">
        <f t="shared" ref="E442:O442" si="192">(E340*$E$212)+(E341*$F$212)+(E342*$G$212)+(E343*$H$212)</f>
        <v>0</v>
      </c>
      <c r="F442" s="69">
        <f t="shared" si="192"/>
        <v>0</v>
      </c>
      <c r="G442" s="69">
        <f t="shared" si="192"/>
        <v>0</v>
      </c>
      <c r="H442" s="69">
        <f t="shared" si="192"/>
        <v>0</v>
      </c>
      <c r="I442" s="69">
        <f t="shared" si="192"/>
        <v>0</v>
      </c>
      <c r="J442" s="69">
        <f t="shared" si="192"/>
        <v>0</v>
      </c>
      <c r="K442" s="69">
        <f t="shared" si="192"/>
        <v>0</v>
      </c>
      <c r="L442" s="69">
        <f t="shared" si="192"/>
        <v>0</v>
      </c>
      <c r="M442" s="69">
        <f t="shared" si="192"/>
        <v>0</v>
      </c>
      <c r="N442" s="69">
        <f t="shared" si="192"/>
        <v>0</v>
      </c>
      <c r="O442" s="69">
        <f t="shared" si="192"/>
        <v>0</v>
      </c>
    </row>
    <row r="443" spans="1:16" s="77" customFormat="1" x14ac:dyDescent="0.25">
      <c r="A443" s="124"/>
      <c r="B443" s="69">
        <v>4</v>
      </c>
      <c r="C443" s="321" t="s">
        <v>26</v>
      </c>
      <c r="D443" s="69"/>
      <c r="E443" s="69">
        <f t="shared" ref="E443:O443" si="193">(E345*$E$212)+(E346*$F$212)+(E347*$G$212)+(E348*$H$212)</f>
        <v>0</v>
      </c>
      <c r="F443" s="69">
        <f t="shared" si="193"/>
        <v>0</v>
      </c>
      <c r="G443" s="69">
        <f t="shared" si="193"/>
        <v>0</v>
      </c>
      <c r="H443" s="69">
        <f t="shared" si="193"/>
        <v>0</v>
      </c>
      <c r="I443" s="69">
        <f t="shared" si="193"/>
        <v>0</v>
      </c>
      <c r="J443" s="69">
        <f t="shared" si="193"/>
        <v>0</v>
      </c>
      <c r="K443" s="69">
        <f t="shared" si="193"/>
        <v>0</v>
      </c>
      <c r="L443" s="69">
        <f t="shared" si="193"/>
        <v>0</v>
      </c>
      <c r="M443" s="69">
        <f t="shared" si="193"/>
        <v>0</v>
      </c>
      <c r="N443" s="69">
        <f t="shared" si="193"/>
        <v>0</v>
      </c>
      <c r="O443" s="69">
        <f t="shared" si="193"/>
        <v>0</v>
      </c>
    </row>
    <row r="444" spans="1:16" s="77" customFormat="1" x14ac:dyDescent="0.25">
      <c r="A444" s="124"/>
      <c r="B444" s="69">
        <v>6</v>
      </c>
      <c r="C444" s="321" t="s">
        <v>256</v>
      </c>
      <c r="D444" s="69"/>
      <c r="E444" s="69">
        <f t="shared" ref="E444:O444" si="194">(E350*$E$212)</f>
        <v>0</v>
      </c>
      <c r="F444" s="69">
        <f t="shared" si="194"/>
        <v>0</v>
      </c>
      <c r="G444" s="69">
        <f t="shared" si="194"/>
        <v>0</v>
      </c>
      <c r="H444" s="69">
        <f t="shared" si="194"/>
        <v>0</v>
      </c>
      <c r="I444" s="69">
        <f t="shared" si="194"/>
        <v>0</v>
      </c>
      <c r="J444" s="69">
        <f t="shared" si="194"/>
        <v>0</v>
      </c>
      <c r="K444" s="69">
        <f t="shared" si="194"/>
        <v>0</v>
      </c>
      <c r="L444" s="69">
        <f t="shared" si="194"/>
        <v>0</v>
      </c>
      <c r="M444" s="69">
        <f t="shared" si="194"/>
        <v>0</v>
      </c>
      <c r="N444" s="69">
        <f t="shared" si="194"/>
        <v>0</v>
      </c>
      <c r="O444" s="69">
        <f t="shared" si="194"/>
        <v>0</v>
      </c>
    </row>
    <row r="445" spans="1:16" s="77" customFormat="1" x14ac:dyDescent="0.25">
      <c r="A445" s="124"/>
      <c r="B445" s="69">
        <v>5</v>
      </c>
      <c r="C445" s="321" t="s">
        <v>255</v>
      </c>
      <c r="D445" s="69"/>
      <c r="E445" s="69">
        <f t="shared" ref="E445:O445" si="195">E351*$E$212</f>
        <v>0</v>
      </c>
      <c r="F445" s="69">
        <f t="shared" si="195"/>
        <v>0</v>
      </c>
      <c r="G445" s="69">
        <f t="shared" si="195"/>
        <v>0</v>
      </c>
      <c r="H445" s="69">
        <f t="shared" si="195"/>
        <v>0</v>
      </c>
      <c r="I445" s="69">
        <f t="shared" si="195"/>
        <v>0</v>
      </c>
      <c r="J445" s="69">
        <f t="shared" si="195"/>
        <v>0</v>
      </c>
      <c r="K445" s="69">
        <f t="shared" si="195"/>
        <v>0</v>
      </c>
      <c r="L445" s="69">
        <f t="shared" si="195"/>
        <v>0</v>
      </c>
      <c r="M445" s="69">
        <f t="shared" si="195"/>
        <v>0</v>
      </c>
      <c r="N445" s="69">
        <f t="shared" si="195"/>
        <v>0</v>
      </c>
      <c r="O445" s="69">
        <f t="shared" si="195"/>
        <v>0</v>
      </c>
    </row>
    <row r="446" spans="1:16" s="77" customFormat="1" x14ac:dyDescent="0.25">
      <c r="A446" s="124"/>
      <c r="B446" s="69">
        <v>7</v>
      </c>
      <c r="C446" s="321" t="s">
        <v>253</v>
      </c>
      <c r="D446" s="69"/>
      <c r="E446" s="69">
        <f t="shared" ref="E446:O446" si="196">E352</f>
        <v>0</v>
      </c>
      <c r="F446" s="69">
        <f t="shared" si="196"/>
        <v>0</v>
      </c>
      <c r="G446" s="69">
        <f t="shared" si="196"/>
        <v>0</v>
      </c>
      <c r="H446" s="69">
        <f t="shared" si="196"/>
        <v>0</v>
      </c>
      <c r="I446" s="69">
        <f t="shared" si="196"/>
        <v>0</v>
      </c>
      <c r="J446" s="69">
        <f t="shared" si="196"/>
        <v>0</v>
      </c>
      <c r="K446" s="69">
        <f t="shared" si="196"/>
        <v>0</v>
      </c>
      <c r="L446" s="69">
        <f t="shared" si="196"/>
        <v>0</v>
      </c>
      <c r="M446" s="69">
        <f t="shared" si="196"/>
        <v>0</v>
      </c>
      <c r="N446" s="69">
        <f t="shared" si="196"/>
        <v>0</v>
      </c>
      <c r="O446" s="69">
        <f t="shared" si="196"/>
        <v>0</v>
      </c>
    </row>
    <row r="447" spans="1:16" s="80" customFormat="1" x14ac:dyDescent="0.25">
      <c r="A447" s="92"/>
      <c r="B447" s="81"/>
      <c r="C447" s="322" t="s">
        <v>16</v>
      </c>
      <c r="D447" s="81"/>
      <c r="E447" s="81">
        <f t="shared" ref="E447:O447" si="197">SUM(E440:E446)</f>
        <v>0</v>
      </c>
      <c r="F447" s="81">
        <f t="shared" si="197"/>
        <v>0</v>
      </c>
      <c r="G447" s="81">
        <f t="shared" si="197"/>
        <v>0</v>
      </c>
      <c r="H447" s="81">
        <f t="shared" si="197"/>
        <v>0</v>
      </c>
      <c r="I447" s="81">
        <f t="shared" si="197"/>
        <v>0</v>
      </c>
      <c r="J447" s="81">
        <f t="shared" si="197"/>
        <v>0</v>
      </c>
      <c r="K447" s="81">
        <f t="shared" si="197"/>
        <v>0</v>
      </c>
      <c r="L447" s="81">
        <f t="shared" si="197"/>
        <v>0</v>
      </c>
      <c r="M447" s="81">
        <f t="shared" si="197"/>
        <v>0</v>
      </c>
      <c r="N447" s="81">
        <f t="shared" si="197"/>
        <v>0</v>
      </c>
      <c r="O447" s="81">
        <f t="shared" si="197"/>
        <v>0</v>
      </c>
    </row>
    <row r="448" spans="1:16" s="237" customFormat="1" x14ac:dyDescent="0.25">
      <c r="A448" s="232"/>
      <c r="B448" s="242"/>
      <c r="C448" s="354" t="s">
        <v>264</v>
      </c>
      <c r="D448" s="236"/>
      <c r="E448" s="242">
        <f t="shared" ref="E448:O448" si="198">$E$131*E447</f>
        <v>0</v>
      </c>
      <c r="F448" s="242">
        <f t="shared" si="198"/>
        <v>0</v>
      </c>
      <c r="G448" s="242">
        <f t="shared" si="198"/>
        <v>0</v>
      </c>
      <c r="H448" s="242">
        <f t="shared" si="198"/>
        <v>0</v>
      </c>
      <c r="I448" s="242">
        <f t="shared" si="198"/>
        <v>0</v>
      </c>
      <c r="J448" s="242">
        <f t="shared" si="198"/>
        <v>0</v>
      </c>
      <c r="K448" s="242">
        <f t="shared" si="198"/>
        <v>0</v>
      </c>
      <c r="L448" s="242">
        <f t="shared" si="198"/>
        <v>0</v>
      </c>
      <c r="M448" s="242">
        <f t="shared" si="198"/>
        <v>0</v>
      </c>
      <c r="N448" s="242">
        <f t="shared" si="198"/>
        <v>0</v>
      </c>
      <c r="O448" s="242">
        <f t="shared" si="198"/>
        <v>0</v>
      </c>
    </row>
    <row r="449" spans="1:19" s="124" customFormat="1" x14ac:dyDescent="0.25">
      <c r="C449" s="80" t="s">
        <v>641</v>
      </c>
      <c r="D449" s="77"/>
      <c r="E449" s="452"/>
      <c r="F449" s="452"/>
      <c r="G449" s="452"/>
      <c r="H449" s="452"/>
      <c r="I449" s="452"/>
      <c r="J449" s="452"/>
      <c r="K449" s="452"/>
      <c r="L449" s="452"/>
      <c r="M449" s="452"/>
      <c r="N449" s="452"/>
      <c r="O449" s="452"/>
    </row>
    <row r="450" spans="1:19" s="80" customFormat="1" x14ac:dyDescent="0.25">
      <c r="A450" s="92"/>
      <c r="B450" s="159"/>
      <c r="C450" s="177" t="s">
        <v>311</v>
      </c>
      <c r="D450" s="81"/>
      <c r="E450" s="81">
        <f>IFERROR($E$26*10^6/(E447+E448),0)</f>
        <v>0</v>
      </c>
      <c r="F450" s="81">
        <f t="shared" ref="F450:O450" si="199">IFERROR($E$26*10^6/(F447+F448),0)</f>
        <v>0</v>
      </c>
      <c r="G450" s="81">
        <f t="shared" si="199"/>
        <v>0</v>
      </c>
      <c r="H450" s="81">
        <f t="shared" si="199"/>
        <v>0</v>
      </c>
      <c r="I450" s="81">
        <f t="shared" si="199"/>
        <v>0</v>
      </c>
      <c r="J450" s="81">
        <f t="shared" si="199"/>
        <v>0</v>
      </c>
      <c r="K450" s="81">
        <f t="shared" si="199"/>
        <v>0</v>
      </c>
      <c r="L450" s="81">
        <f t="shared" si="199"/>
        <v>0</v>
      </c>
      <c r="M450" s="81">
        <f t="shared" si="199"/>
        <v>0</v>
      </c>
      <c r="N450" s="81">
        <f t="shared" si="199"/>
        <v>0</v>
      </c>
      <c r="O450" s="81">
        <f t="shared" si="199"/>
        <v>0</v>
      </c>
    </row>
    <row r="451" spans="1:19" s="77" customFormat="1" x14ac:dyDescent="0.25">
      <c r="A451" s="124"/>
      <c r="B451" s="69">
        <v>1</v>
      </c>
      <c r="C451" s="321" t="s">
        <v>258</v>
      </c>
      <c r="D451" s="69"/>
      <c r="E451" s="120">
        <f>E440*E$450/10^6</f>
        <v>0</v>
      </c>
      <c r="F451" s="120">
        <f t="shared" ref="F451:O451" si="200">F440*F$450/10^6</f>
        <v>0</v>
      </c>
      <c r="G451" s="120">
        <f t="shared" si="200"/>
        <v>0</v>
      </c>
      <c r="H451" s="120">
        <f t="shared" si="200"/>
        <v>0</v>
      </c>
      <c r="I451" s="120">
        <f t="shared" si="200"/>
        <v>0</v>
      </c>
      <c r="J451" s="120">
        <f t="shared" si="200"/>
        <v>0</v>
      </c>
      <c r="K451" s="120">
        <f t="shared" si="200"/>
        <v>0</v>
      </c>
      <c r="L451" s="120">
        <f t="shared" si="200"/>
        <v>0</v>
      </c>
      <c r="M451" s="120">
        <f t="shared" si="200"/>
        <v>0</v>
      </c>
      <c r="N451" s="120">
        <f t="shared" si="200"/>
        <v>0</v>
      </c>
      <c r="O451" s="120">
        <f t="shared" si="200"/>
        <v>0</v>
      </c>
    </row>
    <row r="452" spans="1:19" s="77" customFormat="1" x14ac:dyDescent="0.25">
      <c r="A452" s="124"/>
      <c r="B452" s="69">
        <v>2</v>
      </c>
      <c r="C452" s="321" t="s">
        <v>257</v>
      </c>
      <c r="D452" s="69"/>
      <c r="E452" s="120">
        <f t="shared" ref="E452:O457" si="201">E441*E$450/10^6</f>
        <v>0</v>
      </c>
      <c r="F452" s="120">
        <f t="shared" si="201"/>
        <v>0</v>
      </c>
      <c r="G452" s="120">
        <f t="shared" si="201"/>
        <v>0</v>
      </c>
      <c r="H452" s="120">
        <f t="shared" si="201"/>
        <v>0</v>
      </c>
      <c r="I452" s="120">
        <f t="shared" si="201"/>
        <v>0</v>
      </c>
      <c r="J452" s="120">
        <f t="shared" si="201"/>
        <v>0</v>
      </c>
      <c r="K452" s="120">
        <f t="shared" si="201"/>
        <v>0</v>
      </c>
      <c r="L452" s="120">
        <f t="shared" si="201"/>
        <v>0</v>
      </c>
      <c r="M452" s="120">
        <f t="shared" si="201"/>
        <v>0</v>
      </c>
      <c r="N452" s="120">
        <f t="shared" si="201"/>
        <v>0</v>
      </c>
      <c r="O452" s="120">
        <f t="shared" si="201"/>
        <v>0</v>
      </c>
    </row>
    <row r="453" spans="1:19" s="77" customFormat="1" x14ac:dyDescent="0.25">
      <c r="A453" s="124"/>
      <c r="B453" s="69">
        <v>3</v>
      </c>
      <c r="C453" s="321" t="s">
        <v>259</v>
      </c>
      <c r="D453" s="69"/>
      <c r="E453" s="120">
        <f t="shared" si="201"/>
        <v>0</v>
      </c>
      <c r="F453" s="120">
        <f t="shared" si="201"/>
        <v>0</v>
      </c>
      <c r="G453" s="120">
        <f t="shared" si="201"/>
        <v>0</v>
      </c>
      <c r="H453" s="120">
        <f t="shared" si="201"/>
        <v>0</v>
      </c>
      <c r="I453" s="120">
        <f t="shared" si="201"/>
        <v>0</v>
      </c>
      <c r="J453" s="120">
        <f t="shared" si="201"/>
        <v>0</v>
      </c>
      <c r="K453" s="120">
        <f t="shared" si="201"/>
        <v>0</v>
      </c>
      <c r="L453" s="120">
        <f t="shared" si="201"/>
        <v>0</v>
      </c>
      <c r="M453" s="120">
        <f t="shared" si="201"/>
        <v>0</v>
      </c>
      <c r="N453" s="120">
        <f t="shared" si="201"/>
        <v>0</v>
      </c>
      <c r="O453" s="120">
        <f t="shared" si="201"/>
        <v>0</v>
      </c>
    </row>
    <row r="454" spans="1:19" s="77" customFormat="1" x14ac:dyDescent="0.25">
      <c r="A454" s="124"/>
      <c r="B454" s="69">
        <v>4</v>
      </c>
      <c r="C454" s="321" t="s">
        <v>26</v>
      </c>
      <c r="D454" s="69"/>
      <c r="E454" s="120">
        <f t="shared" si="201"/>
        <v>0</v>
      </c>
      <c r="F454" s="120">
        <f t="shared" si="201"/>
        <v>0</v>
      </c>
      <c r="G454" s="120">
        <f t="shared" si="201"/>
        <v>0</v>
      </c>
      <c r="H454" s="120">
        <f t="shared" si="201"/>
        <v>0</v>
      </c>
      <c r="I454" s="120">
        <f t="shared" si="201"/>
        <v>0</v>
      </c>
      <c r="J454" s="120">
        <f t="shared" si="201"/>
        <v>0</v>
      </c>
      <c r="K454" s="120">
        <f t="shared" si="201"/>
        <v>0</v>
      </c>
      <c r="L454" s="120">
        <f t="shared" si="201"/>
        <v>0</v>
      </c>
      <c r="M454" s="120">
        <f t="shared" si="201"/>
        <v>0</v>
      </c>
      <c r="N454" s="120">
        <f t="shared" si="201"/>
        <v>0</v>
      </c>
      <c r="O454" s="120">
        <f t="shared" si="201"/>
        <v>0</v>
      </c>
    </row>
    <row r="455" spans="1:19" s="77" customFormat="1" x14ac:dyDescent="0.25">
      <c r="A455" s="124"/>
      <c r="B455" s="69">
        <v>6</v>
      </c>
      <c r="C455" s="321" t="s">
        <v>256</v>
      </c>
      <c r="D455" s="69"/>
      <c r="E455" s="120">
        <f t="shared" si="201"/>
        <v>0</v>
      </c>
      <c r="F455" s="120">
        <f t="shared" si="201"/>
        <v>0</v>
      </c>
      <c r="G455" s="120">
        <f t="shared" si="201"/>
        <v>0</v>
      </c>
      <c r="H455" s="120">
        <f t="shared" si="201"/>
        <v>0</v>
      </c>
      <c r="I455" s="120">
        <f t="shared" si="201"/>
        <v>0</v>
      </c>
      <c r="J455" s="120">
        <f t="shared" si="201"/>
        <v>0</v>
      </c>
      <c r="K455" s="120">
        <f t="shared" si="201"/>
        <v>0</v>
      </c>
      <c r="L455" s="120">
        <f t="shared" si="201"/>
        <v>0</v>
      </c>
      <c r="M455" s="120">
        <f t="shared" si="201"/>
        <v>0</v>
      </c>
      <c r="N455" s="120">
        <f t="shared" si="201"/>
        <v>0</v>
      </c>
      <c r="O455" s="120">
        <f t="shared" si="201"/>
        <v>0</v>
      </c>
    </row>
    <row r="456" spans="1:19" s="77" customFormat="1" x14ac:dyDescent="0.25">
      <c r="A456" s="124"/>
      <c r="B456" s="69">
        <v>5</v>
      </c>
      <c r="C456" s="321" t="s">
        <v>255</v>
      </c>
      <c r="D456" s="69"/>
      <c r="E456" s="120">
        <f t="shared" si="201"/>
        <v>0</v>
      </c>
      <c r="F456" s="120">
        <f t="shared" si="201"/>
        <v>0</v>
      </c>
      <c r="G456" s="120">
        <f t="shared" si="201"/>
        <v>0</v>
      </c>
      <c r="H456" s="120">
        <f t="shared" si="201"/>
        <v>0</v>
      </c>
      <c r="I456" s="120">
        <f t="shared" si="201"/>
        <v>0</v>
      </c>
      <c r="J456" s="120">
        <f t="shared" si="201"/>
        <v>0</v>
      </c>
      <c r="K456" s="120">
        <f t="shared" si="201"/>
        <v>0</v>
      </c>
      <c r="L456" s="120">
        <f t="shared" si="201"/>
        <v>0</v>
      </c>
      <c r="M456" s="120">
        <f t="shared" si="201"/>
        <v>0</v>
      </c>
      <c r="N456" s="120">
        <f t="shared" si="201"/>
        <v>0</v>
      </c>
      <c r="O456" s="120">
        <f t="shared" si="201"/>
        <v>0</v>
      </c>
    </row>
    <row r="457" spans="1:19" s="77" customFormat="1" x14ac:dyDescent="0.25">
      <c r="A457" s="124"/>
      <c r="B457" s="69">
        <v>7</v>
      </c>
      <c r="C457" s="321" t="s">
        <v>253</v>
      </c>
      <c r="D457" s="69"/>
      <c r="E457" s="120">
        <f t="shared" si="201"/>
        <v>0</v>
      </c>
      <c r="F457" s="120">
        <f t="shared" si="201"/>
        <v>0</v>
      </c>
      <c r="G457" s="120">
        <f t="shared" si="201"/>
        <v>0</v>
      </c>
      <c r="H457" s="120">
        <f t="shared" si="201"/>
        <v>0</v>
      </c>
      <c r="I457" s="120">
        <f t="shared" si="201"/>
        <v>0</v>
      </c>
      <c r="J457" s="120">
        <f t="shared" si="201"/>
        <v>0</v>
      </c>
      <c r="K457" s="120">
        <f t="shared" si="201"/>
        <v>0</v>
      </c>
      <c r="L457" s="120">
        <f t="shared" si="201"/>
        <v>0</v>
      </c>
      <c r="M457" s="120">
        <f t="shared" si="201"/>
        <v>0</v>
      </c>
      <c r="N457" s="120">
        <f t="shared" si="201"/>
        <v>0</v>
      </c>
      <c r="O457" s="120">
        <f t="shared" si="201"/>
        <v>0</v>
      </c>
    </row>
    <row r="458" spans="1:19" s="237" customFormat="1" x14ac:dyDescent="0.25">
      <c r="A458" s="232"/>
      <c r="B458" s="242"/>
      <c r="C458" s="354" t="s">
        <v>264</v>
      </c>
      <c r="D458" s="236"/>
      <c r="E458" s="120">
        <f>E448*E$450/10^6</f>
        <v>0</v>
      </c>
      <c r="F458" s="120">
        <f t="shared" ref="F458:O458" si="202">F448*F$450/10^6</f>
        <v>0</v>
      </c>
      <c r="G458" s="120">
        <f t="shared" si="202"/>
        <v>0</v>
      </c>
      <c r="H458" s="120">
        <f t="shared" si="202"/>
        <v>0</v>
      </c>
      <c r="I458" s="120">
        <f t="shared" si="202"/>
        <v>0</v>
      </c>
      <c r="J458" s="120">
        <f t="shared" si="202"/>
        <v>0</v>
      </c>
      <c r="K458" s="120">
        <f t="shared" si="202"/>
        <v>0</v>
      </c>
      <c r="L458" s="120">
        <f t="shared" si="202"/>
        <v>0</v>
      </c>
      <c r="M458" s="120">
        <f t="shared" si="202"/>
        <v>0</v>
      </c>
      <c r="N458" s="120">
        <f t="shared" si="202"/>
        <v>0</v>
      </c>
      <c r="O458" s="120">
        <f t="shared" si="202"/>
        <v>0</v>
      </c>
    </row>
    <row r="459" spans="1:19" s="80" customFormat="1" x14ac:dyDescent="0.25">
      <c r="A459" s="92"/>
      <c r="B459" s="81"/>
      <c r="C459" s="322" t="s">
        <v>16</v>
      </c>
      <c r="D459" s="81"/>
      <c r="E459" s="126">
        <f>SUM(E451:E458)</f>
        <v>0</v>
      </c>
      <c r="F459" s="126">
        <f t="shared" ref="F459:O459" si="203">SUM(F451:F458)</f>
        <v>0</v>
      </c>
      <c r="G459" s="126">
        <f t="shared" si="203"/>
        <v>0</v>
      </c>
      <c r="H459" s="126">
        <f t="shared" si="203"/>
        <v>0</v>
      </c>
      <c r="I459" s="126">
        <f t="shared" si="203"/>
        <v>0</v>
      </c>
      <c r="J459" s="126">
        <f t="shared" si="203"/>
        <v>0</v>
      </c>
      <c r="K459" s="126">
        <f t="shared" si="203"/>
        <v>0</v>
      </c>
      <c r="L459" s="126">
        <f t="shared" si="203"/>
        <v>0</v>
      </c>
      <c r="M459" s="126">
        <f t="shared" si="203"/>
        <v>0</v>
      </c>
      <c r="N459" s="126">
        <f t="shared" si="203"/>
        <v>0</v>
      </c>
      <c r="O459" s="126">
        <f t="shared" si="203"/>
        <v>0</v>
      </c>
    </row>
    <row r="460" spans="1:19" s="124" customFormat="1" x14ac:dyDescent="0.25">
      <c r="B460" s="77"/>
      <c r="C460" s="436" t="s">
        <v>638</v>
      </c>
      <c r="D460" s="76">
        <f>$D$585</f>
        <v>0</v>
      </c>
      <c r="E460" s="452"/>
      <c r="F460" s="452"/>
      <c r="G460" s="452"/>
      <c r="H460" s="452"/>
      <c r="I460" s="452"/>
      <c r="J460" s="452"/>
      <c r="K460" s="452"/>
      <c r="L460" s="452"/>
      <c r="M460" s="452"/>
      <c r="N460" s="452"/>
      <c r="O460" s="452"/>
    </row>
    <row r="461" spans="1:19" s="77" customFormat="1" x14ac:dyDescent="0.25">
      <c r="A461" s="163"/>
      <c r="B461" s="72">
        <v>1</v>
      </c>
      <c r="C461" s="210" t="s">
        <v>258</v>
      </c>
      <c r="D461" s="149">
        <f>D468</f>
        <v>0</v>
      </c>
      <c r="E461" s="5754">
        <f>(E451*365*$D461*10^3)/CurrencyMultiplier</f>
        <v>0</v>
      </c>
      <c r="F461" s="447">
        <f>(F451*365*$D461*10^3)/CurrencyMultiplier</f>
        <v>0</v>
      </c>
      <c r="G461" s="447">
        <f>(G451*365*$D461*10^3)/CurrencyMultiplier</f>
        <v>0</v>
      </c>
      <c r="H461" s="447">
        <f>(H451*365*$D461*10^3)/CurrencyMultiplier</f>
        <v>0</v>
      </c>
      <c r="I461" s="447">
        <f>(I451*365*$D461*10^3)/CurrencyMultiplier</f>
        <v>0</v>
      </c>
      <c r="J461" s="447">
        <f>(J451*365*$D461*10^3)/CurrencyMultiplier</f>
        <v>0</v>
      </c>
      <c r="K461" s="447">
        <f>(K451*365*$D461*10^3)/CurrencyMultiplier</f>
        <v>0</v>
      </c>
      <c r="L461" s="447">
        <f>(L451*365*$D461*10^3)/CurrencyMultiplier</f>
        <v>0</v>
      </c>
      <c r="M461" s="447">
        <f>(M451*365*$D461*10^3)/CurrencyMultiplier</f>
        <v>0</v>
      </c>
      <c r="N461" s="447">
        <f>(N451*365*$D461*10^3)/CurrencyMultiplier</f>
        <v>0</v>
      </c>
      <c r="O461" s="447">
        <f>(O451*365*$D461*10^3)/CurrencyMultiplier</f>
        <v>0</v>
      </c>
      <c r="P461" s="174"/>
      <c r="Q461" s="174"/>
      <c r="R461" s="361"/>
      <c r="S461" s="361"/>
    </row>
    <row r="462" spans="1:19" s="77" customFormat="1" x14ac:dyDescent="0.25">
      <c r="A462" s="163"/>
      <c r="B462" s="72"/>
      <c r="C462" s="210" t="s">
        <v>257</v>
      </c>
      <c r="D462" s="149">
        <f>D469</f>
        <v>0</v>
      </c>
      <c r="E462" s="5754">
        <f>(E452*365*$D462*10^3)/CurrencyMultiplier</f>
        <v>0</v>
      </c>
      <c r="F462" s="447">
        <f>(F452*365*$D462*10^3)/CurrencyMultiplier</f>
        <v>0</v>
      </c>
      <c r="G462" s="447">
        <f>(G452*365*$D462*10^3)/CurrencyMultiplier</f>
        <v>0</v>
      </c>
      <c r="H462" s="447">
        <f>(H452*365*$D462*10^3)/CurrencyMultiplier</f>
        <v>0</v>
      </c>
      <c r="I462" s="447">
        <f>(I452*365*$D462*10^3)/CurrencyMultiplier</f>
        <v>0</v>
      </c>
      <c r="J462" s="447">
        <f>(J452*365*$D462*10^3)/CurrencyMultiplier</f>
        <v>0</v>
      </c>
      <c r="K462" s="447">
        <f>(K452*365*$D462*10^3)/CurrencyMultiplier</f>
        <v>0</v>
      </c>
      <c r="L462" s="447">
        <f>(L452*365*$D462*10^3)/CurrencyMultiplier</f>
        <v>0</v>
      </c>
      <c r="M462" s="447">
        <f>(M452*365*$D462*10^3)/CurrencyMultiplier</f>
        <v>0</v>
      </c>
      <c r="N462" s="447">
        <f>(N452*365*$D462*10^3)/CurrencyMultiplier</f>
        <v>0</v>
      </c>
      <c r="O462" s="447">
        <f>(O452*365*$D462*10^3)/CurrencyMultiplier</f>
        <v>0</v>
      </c>
      <c r="P462" s="174"/>
      <c r="Q462" s="174"/>
      <c r="R462" s="361"/>
      <c r="S462" s="361"/>
    </row>
    <row r="463" spans="1:19" s="77" customFormat="1" x14ac:dyDescent="0.25">
      <c r="A463" s="163"/>
      <c r="B463" s="72">
        <v>3</v>
      </c>
      <c r="C463" s="210" t="s">
        <v>259</v>
      </c>
      <c r="D463" s="149">
        <f>D470</f>
        <v>0</v>
      </c>
      <c r="E463" s="5754">
        <f>(E453*365*$D463*10^3)/CurrencyMultiplier</f>
        <v>0</v>
      </c>
      <c r="F463" s="447">
        <f>(F453*365*$D463*10^3)/CurrencyMultiplier</f>
        <v>0</v>
      </c>
      <c r="G463" s="447">
        <f>(G453*365*$D463*10^3)/CurrencyMultiplier</f>
        <v>0</v>
      </c>
      <c r="H463" s="447">
        <f>(H453*365*$D463*10^3)/CurrencyMultiplier</f>
        <v>0</v>
      </c>
      <c r="I463" s="447">
        <f>(I453*365*$D463*10^3)/CurrencyMultiplier</f>
        <v>0</v>
      </c>
      <c r="J463" s="447">
        <f>(J453*365*$D463*10^3)/CurrencyMultiplier</f>
        <v>0</v>
      </c>
      <c r="K463" s="447">
        <f>(K453*365*$D463*10^3)/CurrencyMultiplier</f>
        <v>0</v>
      </c>
      <c r="L463" s="447">
        <f>(L453*365*$D463*10^3)/CurrencyMultiplier</f>
        <v>0</v>
      </c>
      <c r="M463" s="447">
        <f>(M453*365*$D463*10^3)/CurrencyMultiplier</f>
        <v>0</v>
      </c>
      <c r="N463" s="447">
        <f>(N453*365*$D463*10^3)/CurrencyMultiplier</f>
        <v>0</v>
      </c>
      <c r="O463" s="447">
        <f>(O453*365*$D463*10^3)/CurrencyMultiplier</f>
        <v>0</v>
      </c>
      <c r="P463" s="174"/>
      <c r="Q463" s="174"/>
      <c r="R463" s="361"/>
      <c r="S463" s="361"/>
    </row>
    <row r="464" spans="1:19" s="77" customFormat="1" x14ac:dyDescent="0.25">
      <c r="A464" s="163"/>
      <c r="B464" s="72">
        <v>4</v>
      </c>
      <c r="C464" s="210" t="s">
        <v>26</v>
      </c>
      <c r="D464" s="149">
        <f>D471</f>
        <v>0</v>
      </c>
      <c r="E464" s="5754">
        <f>(E454*365*$D464*10^3)/CurrencyMultiplier</f>
        <v>0</v>
      </c>
      <c r="F464" s="447">
        <f>(F454*365*$D464*10^3)/CurrencyMultiplier</f>
        <v>0</v>
      </c>
      <c r="G464" s="447">
        <f>(G454*365*$D464*10^3)/CurrencyMultiplier</f>
        <v>0</v>
      </c>
      <c r="H464" s="447">
        <f>(H454*365*$D464*10^3)/CurrencyMultiplier</f>
        <v>0</v>
      </c>
      <c r="I464" s="447">
        <f>(I454*365*$D464*10^3)/CurrencyMultiplier</f>
        <v>0</v>
      </c>
      <c r="J464" s="447">
        <f>(J454*365*$D464*10^3)/CurrencyMultiplier</f>
        <v>0</v>
      </c>
      <c r="K464" s="447">
        <f>(K454*365*$D464*10^3)/CurrencyMultiplier</f>
        <v>0</v>
      </c>
      <c r="L464" s="447">
        <f>(L454*365*$D464*10^3)/CurrencyMultiplier</f>
        <v>0</v>
      </c>
      <c r="M464" s="447">
        <f>(M454*365*$D464*10^3)/CurrencyMultiplier</f>
        <v>0</v>
      </c>
      <c r="N464" s="447">
        <f>(N454*365*$D464*10^3)/CurrencyMultiplier</f>
        <v>0</v>
      </c>
      <c r="O464" s="447">
        <f>(O454*365*$D464*10^3)/CurrencyMultiplier</f>
        <v>0</v>
      </c>
      <c r="P464" s="174"/>
      <c r="Q464" s="174"/>
      <c r="R464" s="361"/>
      <c r="S464" s="361"/>
    </row>
    <row r="465" spans="1:19" s="77" customFormat="1" x14ac:dyDescent="0.25">
      <c r="A465" s="163"/>
      <c r="B465" s="72">
        <v>5</v>
      </c>
      <c r="C465" s="448" t="s">
        <v>364</v>
      </c>
      <c r="D465" s="149">
        <f>D472</f>
        <v>0</v>
      </c>
      <c r="E465" s="5754">
        <f>(E455*365*$D465*10^3)/CurrencyMultiplier</f>
        <v>0</v>
      </c>
      <c r="F465" s="447">
        <f>(F455*365*$D465*10^3)/CurrencyMultiplier</f>
        <v>0</v>
      </c>
      <c r="G465" s="447">
        <f>(G455*365*$D465*10^3)/CurrencyMultiplier</f>
        <v>0</v>
      </c>
      <c r="H465" s="447">
        <f>(H455*365*$D465*10^3)/CurrencyMultiplier</f>
        <v>0</v>
      </c>
      <c r="I465" s="447">
        <f>(I455*365*$D465*10^3)/CurrencyMultiplier</f>
        <v>0</v>
      </c>
      <c r="J465" s="447">
        <f>(J455*365*$D465*10^3)/CurrencyMultiplier</f>
        <v>0</v>
      </c>
      <c r="K465" s="447">
        <f>(K455*365*$D465*10^3)/CurrencyMultiplier</f>
        <v>0</v>
      </c>
      <c r="L465" s="447">
        <f>(L455*365*$D465*10^3)/CurrencyMultiplier</f>
        <v>0</v>
      </c>
      <c r="M465" s="447">
        <f>(M455*365*$D465*10^3)/CurrencyMultiplier</f>
        <v>0</v>
      </c>
      <c r="N465" s="447">
        <f>(N455*365*$D465*10^3)/CurrencyMultiplier</f>
        <v>0</v>
      </c>
      <c r="O465" s="447">
        <f>(O455*365*$D465*10^3)/CurrencyMultiplier</f>
        <v>0</v>
      </c>
      <c r="P465" s="174"/>
      <c r="Q465" s="174"/>
      <c r="R465" s="361"/>
      <c r="S465" s="361"/>
    </row>
    <row r="466" spans="1:19" s="80" customFormat="1" x14ac:dyDescent="0.25">
      <c r="A466" s="134"/>
      <c r="B466" s="159">
        <v>6</v>
      </c>
      <c r="C466" s="177" t="s">
        <v>16</v>
      </c>
      <c r="D466" s="136"/>
      <c r="E466" s="179">
        <f>SUM(E461:E465)</f>
        <v>0</v>
      </c>
      <c r="F466" s="179">
        <f t="shared" ref="F466:O466" si="204">SUM(F461:F465)</f>
        <v>0</v>
      </c>
      <c r="G466" s="179">
        <f t="shared" si="204"/>
        <v>0</v>
      </c>
      <c r="H466" s="179">
        <f t="shared" si="204"/>
        <v>0</v>
      </c>
      <c r="I466" s="179">
        <f t="shared" si="204"/>
        <v>0</v>
      </c>
      <c r="J466" s="179">
        <f t="shared" si="204"/>
        <v>0</v>
      </c>
      <c r="K466" s="179">
        <f t="shared" si="204"/>
        <v>0</v>
      </c>
      <c r="L466" s="179">
        <f t="shared" si="204"/>
        <v>0</v>
      </c>
      <c r="M466" s="179">
        <f t="shared" si="204"/>
        <v>0</v>
      </c>
      <c r="N466" s="179">
        <f t="shared" si="204"/>
        <v>0</v>
      </c>
      <c r="O466" s="179">
        <f t="shared" si="204"/>
        <v>0</v>
      </c>
      <c r="P466" s="449"/>
      <c r="R466" s="361"/>
    </row>
    <row r="467" spans="1:19" s="124" customFormat="1" x14ac:dyDescent="0.25">
      <c r="A467" s="227"/>
      <c r="B467" s="450"/>
      <c r="C467" s="207" t="s">
        <v>639</v>
      </c>
      <c r="D467" s="450"/>
      <c r="E467" s="451"/>
      <c r="F467" s="451"/>
      <c r="G467" s="451"/>
      <c r="H467" s="451"/>
      <c r="I467" s="451"/>
      <c r="J467" s="451"/>
      <c r="K467" s="451"/>
      <c r="L467" s="451"/>
      <c r="M467" s="451"/>
      <c r="N467" s="451"/>
      <c r="O467" s="451"/>
    </row>
    <row r="468" spans="1:19" s="77" customFormat="1" x14ac:dyDescent="0.25">
      <c r="A468" s="163"/>
      <c r="B468" s="72">
        <v>1</v>
      </c>
      <c r="C468" s="210" t="s">
        <v>258</v>
      </c>
      <c r="D468" s="149">
        <f>'WSS Profile'!$G206*$D$460</f>
        <v>0</v>
      </c>
      <c r="E468" s="5754">
        <f>(E228*365*$D468*10^3)/CurrencyMultiplier</f>
        <v>0</v>
      </c>
      <c r="F468" s="447">
        <f>(F228*365*$D468*10^3)/CurrencyMultiplier</f>
        <v>0</v>
      </c>
      <c r="G468" s="447">
        <f>(G228*365*$D468*10^3)/CurrencyMultiplier</f>
        <v>0</v>
      </c>
      <c r="H468" s="447">
        <f>(H228*365*$D468*10^3)/CurrencyMultiplier</f>
        <v>0</v>
      </c>
      <c r="I468" s="447">
        <f>(I228*365*$D468*10^3)/CurrencyMultiplier</f>
        <v>0</v>
      </c>
      <c r="J468" s="447">
        <f>(J228*365*$D468*10^3)/CurrencyMultiplier</f>
        <v>0</v>
      </c>
      <c r="K468" s="447">
        <f>(K228*365*$D468*10^3)/CurrencyMultiplier</f>
        <v>0</v>
      </c>
      <c r="L468" s="447">
        <f>(L228*365*$D468*10^3)/CurrencyMultiplier</f>
        <v>0</v>
      </c>
      <c r="M468" s="447">
        <f>(M228*365*$D468*10^3)/CurrencyMultiplier</f>
        <v>0</v>
      </c>
      <c r="N468" s="447">
        <f>(N228*365*$D468*10^3)/CurrencyMultiplier</f>
        <v>0</v>
      </c>
      <c r="O468" s="447">
        <f>(O228*365*$D468*10^3)/CurrencyMultiplier</f>
        <v>0</v>
      </c>
      <c r="P468" s="174"/>
      <c r="Q468" s="174"/>
      <c r="R468" s="361"/>
      <c r="S468" s="361"/>
    </row>
    <row r="469" spans="1:19" s="77" customFormat="1" x14ac:dyDescent="0.25">
      <c r="A469" s="163"/>
      <c r="B469" s="72"/>
      <c r="C469" s="210" t="s">
        <v>257</v>
      </c>
      <c r="D469" s="149">
        <f>'WSS Profile'!$G207*$D$460</f>
        <v>0</v>
      </c>
      <c r="E469" s="5754">
        <f>(E229*365*$D469*10^3)/CurrencyMultiplier</f>
        <v>0</v>
      </c>
      <c r="F469" s="447">
        <f>(F229*365*$D469*10^3)/CurrencyMultiplier</f>
        <v>0</v>
      </c>
      <c r="G469" s="447">
        <f>(G229*365*$D469*10^3)/CurrencyMultiplier</f>
        <v>0</v>
      </c>
      <c r="H469" s="447">
        <f>(H229*365*$D469*10^3)/CurrencyMultiplier</f>
        <v>0</v>
      </c>
      <c r="I469" s="447">
        <f>(I229*365*$D469*10^3)/CurrencyMultiplier</f>
        <v>0</v>
      </c>
      <c r="J469" s="447">
        <f>(J229*365*$D469*10^3)/CurrencyMultiplier</f>
        <v>0</v>
      </c>
      <c r="K469" s="447">
        <f>(K229*365*$D469*10^3)/CurrencyMultiplier</f>
        <v>0</v>
      </c>
      <c r="L469" s="447">
        <f>(L229*365*$D469*10^3)/CurrencyMultiplier</f>
        <v>0</v>
      </c>
      <c r="M469" s="447">
        <f>(M229*365*$D469*10^3)/CurrencyMultiplier</f>
        <v>0</v>
      </c>
      <c r="N469" s="447">
        <f>(N229*365*$D469*10^3)/CurrencyMultiplier</f>
        <v>0</v>
      </c>
      <c r="O469" s="447">
        <f>(O229*365*$D469*10^3)/CurrencyMultiplier</f>
        <v>0</v>
      </c>
      <c r="P469" s="174"/>
      <c r="Q469" s="174"/>
      <c r="R469" s="361"/>
      <c r="S469" s="361"/>
    </row>
    <row r="470" spans="1:19" s="77" customFormat="1" x14ac:dyDescent="0.25">
      <c r="A470" s="163"/>
      <c r="B470" s="72">
        <v>3</v>
      </c>
      <c r="C470" s="210" t="s">
        <v>259</v>
      </c>
      <c r="D470" s="149">
        <f>'WSS Profile'!$G208*$D$460</f>
        <v>0</v>
      </c>
      <c r="E470" s="5754">
        <f>(E230*365*$D470*10^3)/CurrencyMultiplier</f>
        <v>0</v>
      </c>
      <c r="F470" s="447">
        <f>(F230*365*$D470*10^3)/CurrencyMultiplier</f>
        <v>0</v>
      </c>
      <c r="G470" s="447">
        <f>(G230*365*$D470*10^3)/CurrencyMultiplier</f>
        <v>0</v>
      </c>
      <c r="H470" s="447">
        <f>(H230*365*$D470*10^3)/CurrencyMultiplier</f>
        <v>0</v>
      </c>
      <c r="I470" s="447">
        <f>(I230*365*$D470*10^3)/CurrencyMultiplier</f>
        <v>0</v>
      </c>
      <c r="J470" s="447">
        <f>(J230*365*$D470*10^3)/CurrencyMultiplier</f>
        <v>0</v>
      </c>
      <c r="K470" s="447">
        <f>(K230*365*$D470*10^3)/CurrencyMultiplier</f>
        <v>0</v>
      </c>
      <c r="L470" s="447">
        <f>(L230*365*$D470*10^3)/CurrencyMultiplier</f>
        <v>0</v>
      </c>
      <c r="M470" s="447">
        <f>(M230*365*$D470*10^3)/CurrencyMultiplier</f>
        <v>0</v>
      </c>
      <c r="N470" s="447">
        <f>(N230*365*$D470*10^3)/CurrencyMultiplier</f>
        <v>0</v>
      </c>
      <c r="O470" s="447">
        <f>(O230*365*$D470*10^3)/CurrencyMultiplier</f>
        <v>0</v>
      </c>
      <c r="P470" s="174"/>
      <c r="Q470" s="174"/>
      <c r="R470" s="361"/>
      <c r="S470" s="361"/>
    </row>
    <row r="471" spans="1:19" s="77" customFormat="1" x14ac:dyDescent="0.25">
      <c r="A471" s="163"/>
      <c r="B471" s="72">
        <v>4</v>
      </c>
      <c r="C471" s="210" t="s">
        <v>26</v>
      </c>
      <c r="D471" s="149">
        <f>'WSS Profile'!$G209*$D$460</f>
        <v>0</v>
      </c>
      <c r="E471" s="5754">
        <f>(E231*365*$D471*10^3)/CurrencyMultiplier</f>
        <v>0</v>
      </c>
      <c r="F471" s="447">
        <f>(F231*365*$D471*10^3)/CurrencyMultiplier</f>
        <v>0</v>
      </c>
      <c r="G471" s="447">
        <f>(G231*365*$D471*10^3)/CurrencyMultiplier</f>
        <v>0</v>
      </c>
      <c r="H471" s="447">
        <f>(H231*365*$D471*10^3)/CurrencyMultiplier</f>
        <v>0</v>
      </c>
      <c r="I471" s="447">
        <f>(I231*365*$D471*10^3)/CurrencyMultiplier</f>
        <v>0</v>
      </c>
      <c r="J471" s="447">
        <f>(J231*365*$D471*10^3)/CurrencyMultiplier</f>
        <v>0</v>
      </c>
      <c r="K471" s="447">
        <f>(K231*365*$D471*10^3)/CurrencyMultiplier</f>
        <v>0</v>
      </c>
      <c r="L471" s="447">
        <f>(L231*365*$D471*10^3)/CurrencyMultiplier</f>
        <v>0</v>
      </c>
      <c r="M471" s="447">
        <f>(M231*365*$D471*10^3)/CurrencyMultiplier</f>
        <v>0</v>
      </c>
      <c r="N471" s="447">
        <f>(N231*365*$D471*10^3)/CurrencyMultiplier</f>
        <v>0</v>
      </c>
      <c r="O471" s="447">
        <f>(O231*365*$D471*10^3)/CurrencyMultiplier</f>
        <v>0</v>
      </c>
      <c r="P471" s="174"/>
      <c r="Q471" s="174"/>
      <c r="R471" s="361"/>
      <c r="S471" s="361"/>
    </row>
    <row r="472" spans="1:19" s="77" customFormat="1" x14ac:dyDescent="0.25">
      <c r="A472" s="163"/>
      <c r="B472" s="72">
        <v>5</v>
      </c>
      <c r="C472" s="448" t="s">
        <v>364</v>
      </c>
      <c r="D472" s="149">
        <f>'WSS Profile'!$G210*$D$460</f>
        <v>0</v>
      </c>
      <c r="E472" s="5754">
        <f>(E232*365*$D472*10^3)/CurrencyMultiplier</f>
        <v>0</v>
      </c>
      <c r="F472" s="447">
        <f>(F232*365*$D472*10^3)/CurrencyMultiplier</f>
        <v>0</v>
      </c>
      <c r="G472" s="447">
        <f>(G232*365*$D472*10^3)/CurrencyMultiplier</f>
        <v>0</v>
      </c>
      <c r="H472" s="447">
        <f>(H232*365*$D472*10^3)/CurrencyMultiplier</f>
        <v>0</v>
      </c>
      <c r="I472" s="447">
        <f>(I232*365*$D472*10^3)/CurrencyMultiplier</f>
        <v>0</v>
      </c>
      <c r="J472" s="447">
        <f>(J232*365*$D472*10^3)/CurrencyMultiplier</f>
        <v>0</v>
      </c>
      <c r="K472" s="447">
        <f>(K232*365*$D472*10^3)/CurrencyMultiplier</f>
        <v>0</v>
      </c>
      <c r="L472" s="447">
        <f>(L232*365*$D472*10^3)/CurrencyMultiplier</f>
        <v>0</v>
      </c>
      <c r="M472" s="447">
        <f>(M232*365*$D472*10^3)/CurrencyMultiplier</f>
        <v>0</v>
      </c>
      <c r="N472" s="447">
        <f>(N232*365*$D472*10^3)/CurrencyMultiplier</f>
        <v>0</v>
      </c>
      <c r="O472" s="447">
        <f>(O232*365*$D472*10^3)/CurrencyMultiplier</f>
        <v>0</v>
      </c>
      <c r="P472" s="174"/>
      <c r="Q472" s="174"/>
      <c r="R472" s="361"/>
      <c r="S472" s="361"/>
    </row>
    <row r="473" spans="1:19" s="80" customFormat="1" x14ac:dyDescent="0.25">
      <c r="A473" s="134"/>
      <c r="B473" s="159">
        <v>6</v>
      </c>
      <c r="C473" s="177" t="s">
        <v>16</v>
      </c>
      <c r="D473" s="136"/>
      <c r="E473" s="179">
        <f>SUM(E468:E472)</f>
        <v>0</v>
      </c>
      <c r="F473" s="179">
        <f t="shared" ref="F473:O473" si="205">SUM(F468:F472)</f>
        <v>0</v>
      </c>
      <c r="G473" s="179">
        <f t="shared" si="205"/>
        <v>0</v>
      </c>
      <c r="H473" s="179">
        <f t="shared" si="205"/>
        <v>0</v>
      </c>
      <c r="I473" s="179">
        <f t="shared" si="205"/>
        <v>0</v>
      </c>
      <c r="J473" s="179">
        <f t="shared" si="205"/>
        <v>0</v>
      </c>
      <c r="K473" s="179">
        <f t="shared" si="205"/>
        <v>0</v>
      </c>
      <c r="L473" s="179">
        <f t="shared" si="205"/>
        <v>0</v>
      </c>
      <c r="M473" s="179">
        <f t="shared" si="205"/>
        <v>0</v>
      </c>
      <c r="N473" s="179">
        <f t="shared" si="205"/>
        <v>0</v>
      </c>
      <c r="O473" s="179">
        <f t="shared" si="205"/>
        <v>0</v>
      </c>
      <c r="P473" s="449"/>
      <c r="R473" s="361"/>
    </row>
    <row r="474" spans="1:19" s="124" customFormat="1" x14ac:dyDescent="0.25">
      <c r="A474" s="227"/>
      <c r="B474" s="450"/>
      <c r="C474" s="463" t="s">
        <v>640</v>
      </c>
      <c r="D474" s="450"/>
      <c r="E474" s="206"/>
      <c r="F474" s="206"/>
      <c r="G474" s="206"/>
      <c r="H474" s="206"/>
      <c r="I474" s="206"/>
      <c r="J474" s="206"/>
      <c r="K474" s="206"/>
      <c r="L474" s="206"/>
      <c r="M474" s="206"/>
      <c r="N474" s="206"/>
      <c r="O474" s="206"/>
    </row>
    <row r="475" spans="1:19" s="76" customFormat="1" ht="16.5" customHeight="1" x14ac:dyDescent="0.25">
      <c r="A475" s="43"/>
      <c r="B475" s="137"/>
      <c r="C475" s="62" t="s">
        <v>531</v>
      </c>
      <c r="D475" s="1155" t="s">
        <v>993</v>
      </c>
      <c r="E475" s="5506">
        <f>$D$585</f>
        <v>0</v>
      </c>
      <c r="F475" s="5505">
        <f>IF(E475&lt;&gt;0,E475,IF(F$437='Financing Plan'!$J$164,1,$E$475))</f>
        <v>0</v>
      </c>
      <c r="G475" s="5505">
        <f>IF(F475&lt;&gt;0,F475,IF(G$437='Financing Plan'!$J$164,1,$E$475))</f>
        <v>0</v>
      </c>
      <c r="H475" s="5505">
        <f>IF(G475&lt;&gt;0,G475,IF(H$437='Financing Plan'!$J$164,1,$E$475))</f>
        <v>0</v>
      </c>
      <c r="I475" s="5505">
        <f>IF(H475&lt;&gt;0,H475,IF(I$437='Financing Plan'!$J$164,1,$E$475))</f>
        <v>0</v>
      </c>
      <c r="J475" s="5505">
        <f>IF(I475&lt;&gt;0,I475,IF(J$437='Financing Plan'!$J$164,1,$E$475))</f>
        <v>0</v>
      </c>
      <c r="K475" s="5505">
        <f>IF(J475&lt;&gt;0,J475,IF(K$437='Financing Plan'!$J$164,1,$E$475))</f>
        <v>0</v>
      </c>
      <c r="L475" s="5505">
        <f>IF(K475&lt;&gt;0,K475,IF(L$437='Financing Plan'!$J$164,1,$E$475))</f>
        <v>0</v>
      </c>
      <c r="M475" s="5505">
        <f>IF(L475&lt;&gt;0,L475,IF(M$437='Financing Plan'!$J$164,1,$E$475))</f>
        <v>0</v>
      </c>
      <c r="N475" s="5505">
        <f>IF(M475&lt;&gt;0,M475,IF(N$437='Financing Plan'!$J$164,1,$E$475))</f>
        <v>0</v>
      </c>
      <c r="O475" s="5505">
        <f>IF(N475&lt;&gt;0,N475,IF(O$437='Financing Plan'!$J$164,1,$E$475))</f>
        <v>0</v>
      </c>
    </row>
    <row r="476" spans="1:19" s="76" customFormat="1" ht="22.5" x14ac:dyDescent="0.25">
      <c r="A476" s="43"/>
      <c r="B476" s="137"/>
      <c r="C476" s="62" t="s">
        <v>114</v>
      </c>
      <c r="D476" s="1158" t="s">
        <v>994</v>
      </c>
      <c r="E476" s="59">
        <f>$D$585</f>
        <v>0</v>
      </c>
      <c r="F476" s="5504">
        <f>IF(F475&lt;&gt;E475,F475,E476*(1+'Financing Plan'!F166))</f>
        <v>0</v>
      </c>
      <c r="G476" s="5504">
        <f>IF(G475&lt;&gt;F475,G475,F476*(1+'Financing Plan'!G166))</f>
        <v>0</v>
      </c>
      <c r="H476" s="5504">
        <f>IF(H475&lt;&gt;G475,H475,G476*(1+'Financing Plan'!H166))</f>
        <v>0</v>
      </c>
      <c r="I476" s="5504">
        <f>IF(I475&lt;&gt;H475,I475,H476*(1+'Financing Plan'!I166))</f>
        <v>0</v>
      </c>
      <c r="J476" s="5504">
        <f>IF(J475&lt;&gt;I475,J475,I476*(1+'Financing Plan'!J166))</f>
        <v>0</v>
      </c>
      <c r="K476" s="5504">
        <f>IF(K475&lt;&gt;J475,K475,J476*(1+'Financing Plan'!K166))</f>
        <v>0</v>
      </c>
      <c r="L476" s="5504">
        <f>IF(L475&lt;&gt;K475,L475,K476*(1+'Financing Plan'!L166))</f>
        <v>0</v>
      </c>
      <c r="M476" s="5504">
        <f>IF(M475&lt;&gt;L475,M475,L476*(1+'Financing Plan'!M166))</f>
        <v>0</v>
      </c>
      <c r="N476" s="5504">
        <f>IF(N475&lt;&gt;M475,N475,M476*(1+'Financing Plan'!N166))</f>
        <v>0</v>
      </c>
      <c r="O476" s="5504">
        <f>IF(O475&lt;&gt;N475,O475,N476*(1+'Financing Plan'!O166))</f>
        <v>0</v>
      </c>
    </row>
    <row r="477" spans="1:19" s="77" customFormat="1" x14ac:dyDescent="0.25">
      <c r="A477" s="163"/>
      <c r="B477" s="72">
        <v>1</v>
      </c>
      <c r="C477" s="210" t="s">
        <v>258</v>
      </c>
      <c r="D477" s="79"/>
      <c r="E477" s="5754">
        <f>(E228*365*10^3)*IF($F$436="% escalation",$H559*E$476,E571)/CurrencyMultiplier</f>
        <v>0</v>
      </c>
      <c r="F477" s="5754">
        <f>(F228*365*10^3)*IF($F$436="% escalation",$H559*F$476,F571)/CurrencyMultiplier</f>
        <v>0</v>
      </c>
      <c r="G477" s="447">
        <f>(G228*365*10^3)*IF($F$436="% escalation",$H559*G$476,G571)/CurrencyMultiplier</f>
        <v>0</v>
      </c>
      <c r="H477" s="447">
        <f>(H228*365*10^3)*IF($F$436="% escalation",$H559*H$476,H571)/CurrencyMultiplier</f>
        <v>0</v>
      </c>
      <c r="I477" s="447">
        <f>(I228*365*10^3)*IF($F$436="% escalation",$H559*I$476,I571)/CurrencyMultiplier</f>
        <v>0</v>
      </c>
      <c r="J477" s="447">
        <f>(J228*365*10^3)*IF($F$436="% escalation",$H559*J$476,J571)/CurrencyMultiplier</f>
        <v>0</v>
      </c>
      <c r="K477" s="447">
        <f>(K228*365*10^3)*IF($F$436="% escalation",$H559*K$476,K571)/CurrencyMultiplier</f>
        <v>0</v>
      </c>
      <c r="L477" s="447">
        <f>(L228*365*10^3)*IF($F$436="% escalation",$H559*L$476,L571)/CurrencyMultiplier</f>
        <v>0</v>
      </c>
      <c r="M477" s="447">
        <f>(M228*365*10^3)*IF($F$436="% escalation",$H559*M$476,M571)/CurrencyMultiplier</f>
        <v>0</v>
      </c>
      <c r="N477" s="447">
        <f>(N228*365*10^3)*IF($F$436="% escalation",$H559*N$476,N571)/CurrencyMultiplier</f>
        <v>0</v>
      </c>
      <c r="O477" s="447">
        <f>(O228*365*10^3)*IF($F$436="% escalation",$H559*O$476,O571)/CurrencyMultiplier</f>
        <v>0</v>
      </c>
      <c r="P477" s="174"/>
      <c r="Q477" s="174"/>
      <c r="R477" s="361"/>
      <c r="S477" s="361"/>
    </row>
    <row r="478" spans="1:19" s="77" customFormat="1" x14ac:dyDescent="0.25">
      <c r="A478" s="163"/>
      <c r="B478" s="72">
        <v>2</v>
      </c>
      <c r="C478" s="210" t="s">
        <v>257</v>
      </c>
      <c r="D478" s="79"/>
      <c r="E478" s="5754">
        <f>(E229*365*10^3)*IF($F$436="% escalation",$H560*E$476,E572)/CurrencyMultiplier</f>
        <v>0</v>
      </c>
      <c r="F478" s="5754">
        <f>(F229*365*10^3)*IF($F$436="% escalation",$H560*F$476,F572)/CurrencyMultiplier</f>
        <v>0</v>
      </c>
      <c r="G478" s="447">
        <f>(G229*365*10^3)*IF($F$436="% escalation",$H560*G$476,G572)/CurrencyMultiplier</f>
        <v>0</v>
      </c>
      <c r="H478" s="447">
        <f>(H229*365*10^3)*IF($F$436="% escalation",$H560*H$476,H572)/CurrencyMultiplier</f>
        <v>0</v>
      </c>
      <c r="I478" s="447">
        <f>(I229*365*10^3)*IF($F$436="% escalation",$H560*I$476,I572)/CurrencyMultiplier</f>
        <v>0</v>
      </c>
      <c r="J478" s="447">
        <f>(J229*365*10^3)*IF($F$436="% escalation",$H560*J$476,J572)/CurrencyMultiplier</f>
        <v>0</v>
      </c>
      <c r="K478" s="447">
        <f>(K229*365*10^3)*IF($F$436="% escalation",$H560*K$476,K572)/CurrencyMultiplier</f>
        <v>0</v>
      </c>
      <c r="L478" s="447">
        <f>(L229*365*10^3)*IF($F$436="% escalation",$H560*L$476,L572)/CurrencyMultiplier</f>
        <v>0</v>
      </c>
      <c r="M478" s="447">
        <f>(M229*365*10^3)*IF($F$436="% escalation",$H560*M$476,M572)/CurrencyMultiplier</f>
        <v>0</v>
      </c>
      <c r="N478" s="447">
        <f>(N229*365*10^3)*IF($F$436="% escalation",$H560*N$476,N572)/CurrencyMultiplier</f>
        <v>0</v>
      </c>
      <c r="O478" s="447">
        <f>(O229*365*10^3)*IF($F$436="% escalation",$H560*O$476,O572)/CurrencyMultiplier</f>
        <v>0</v>
      </c>
      <c r="P478" s="174"/>
      <c r="Q478" s="174"/>
      <c r="R478" s="361"/>
      <c r="S478" s="361"/>
    </row>
    <row r="479" spans="1:19" s="77" customFormat="1" ht="15.75" customHeight="1" x14ac:dyDescent="0.25">
      <c r="A479" s="163"/>
      <c r="B479" s="72">
        <v>3</v>
      </c>
      <c r="C479" s="210" t="s">
        <v>259</v>
      </c>
      <c r="D479" s="79"/>
      <c r="E479" s="5754">
        <f>(E230*365*10^3)*IF($F$436="% escalation",$H561*E$476,E573)/CurrencyMultiplier</f>
        <v>0</v>
      </c>
      <c r="F479" s="5754">
        <f>(F230*365*10^3)*IF($F$436="% escalation",$H561*F$476,F573)/CurrencyMultiplier</f>
        <v>0</v>
      </c>
      <c r="G479" s="447">
        <f>(G230*365*10^3)*IF($F$436="% escalation",$H561*G$476,G573)/CurrencyMultiplier</f>
        <v>0</v>
      </c>
      <c r="H479" s="447">
        <f>(H230*365*10^3)*IF($F$436="% escalation",$H561*H$476,H573)/CurrencyMultiplier</f>
        <v>0</v>
      </c>
      <c r="I479" s="447">
        <f>(I230*365*10^3)*IF($F$436="% escalation",$H561*I$476,I573)/CurrencyMultiplier</f>
        <v>0</v>
      </c>
      <c r="J479" s="447">
        <f>(J230*365*10^3)*IF($F$436="% escalation",$H561*J$476,J573)/CurrencyMultiplier</f>
        <v>0</v>
      </c>
      <c r="K479" s="447">
        <f>(K230*365*10^3)*IF($F$436="% escalation",$H561*K$476,K573)/CurrencyMultiplier</f>
        <v>0</v>
      </c>
      <c r="L479" s="447">
        <f>(L230*365*10^3)*IF($F$436="% escalation",$H561*L$476,L573)/CurrencyMultiplier</f>
        <v>0</v>
      </c>
      <c r="M479" s="447">
        <f>(M230*365*10^3)*IF($F$436="% escalation",$H561*M$476,M573)/CurrencyMultiplier</f>
        <v>0</v>
      </c>
      <c r="N479" s="447">
        <f>(N230*365*10^3)*IF($F$436="% escalation",$H561*N$476,N573)/CurrencyMultiplier</f>
        <v>0</v>
      </c>
      <c r="O479" s="447">
        <f>(O230*365*10^3)*IF($F$436="% escalation",$H561*O$476,O573)/CurrencyMultiplier</f>
        <v>0</v>
      </c>
      <c r="P479" s="174"/>
      <c r="Q479" s="174"/>
      <c r="R479" s="361"/>
      <c r="S479" s="361"/>
    </row>
    <row r="480" spans="1:19" s="77" customFormat="1" x14ac:dyDescent="0.25">
      <c r="A480" s="163"/>
      <c r="B480" s="72">
        <v>4</v>
      </c>
      <c r="C480" s="210" t="s">
        <v>26</v>
      </c>
      <c r="D480" s="79"/>
      <c r="E480" s="5802">
        <f>(E231*365*10^3)*IF($F$436="% escalation",$H562*E$476,E574)/CurrencyMultiplier</f>
        <v>0</v>
      </c>
      <c r="F480" s="5754">
        <f>(F231*365*10^3)*IF($F$436="% escalation",$H562*F$476,F574)/CurrencyMultiplier</f>
        <v>0</v>
      </c>
      <c r="G480" s="447">
        <f>(G231*365*10^3)*IF($F$436="% escalation",$H562*G$476,G574)/CurrencyMultiplier</f>
        <v>0</v>
      </c>
      <c r="H480" s="447">
        <f>(H231*365*10^3)*IF($F$436="% escalation",$H562*H$476,H574)/CurrencyMultiplier</f>
        <v>0</v>
      </c>
      <c r="I480" s="447">
        <f>(I231*365*10^3)*IF($F$436="% escalation",$H562*I$476,I574)/CurrencyMultiplier</f>
        <v>0</v>
      </c>
      <c r="J480" s="447">
        <f>(J231*365*10^3)*IF($F$436="% escalation",$H562*J$476,J574)/CurrencyMultiplier</f>
        <v>0</v>
      </c>
      <c r="K480" s="447">
        <f>(K231*365*10^3)*IF($F$436="% escalation",$H562*K$476,K574)/CurrencyMultiplier</f>
        <v>0</v>
      </c>
      <c r="L480" s="447">
        <f>(L231*365*10^3)*IF($F$436="% escalation",$H562*L$476,L574)/CurrencyMultiplier</f>
        <v>0</v>
      </c>
      <c r="M480" s="447">
        <f>(M231*365*10^3)*IF($F$436="% escalation",$H562*M$476,M574)/CurrencyMultiplier</f>
        <v>0</v>
      </c>
      <c r="N480" s="447">
        <f>(N231*365*10^3)*IF($F$436="% escalation",$H562*N$476,N574)/CurrencyMultiplier</f>
        <v>0</v>
      </c>
      <c r="O480" s="447">
        <f>(O231*365*10^3)*IF($F$436="% escalation",$H562*O$476,O574)/CurrencyMultiplier</f>
        <v>0</v>
      </c>
      <c r="P480" s="174"/>
      <c r="Q480" s="174"/>
      <c r="R480" s="361"/>
      <c r="S480" s="361"/>
    </row>
    <row r="481" spans="1:19" s="77" customFormat="1" x14ac:dyDescent="0.25">
      <c r="A481" s="163"/>
      <c r="B481" s="72">
        <v>5</v>
      </c>
      <c r="C481" s="448" t="s">
        <v>364</v>
      </c>
      <c r="D481" s="79"/>
      <c r="E481" s="5802">
        <f>(E232*365*10^3)*IF($F$436="% escalation",$H563*E$476,E575)/CurrencyMultiplier</f>
        <v>0</v>
      </c>
      <c r="F481" s="5754">
        <f>(F232*365*10^3)*IF($F$436="% escalation",$H563*F$476,F575)/CurrencyMultiplier</f>
        <v>0</v>
      </c>
      <c r="G481" s="447">
        <f>(G232*365*10^3)*IF($F$436="% escalation",$H563*G$476,G575)/CurrencyMultiplier</f>
        <v>0</v>
      </c>
      <c r="H481" s="447">
        <f>(H232*365*10^3)*IF($F$436="% escalation",$H563*H$476,H575)/CurrencyMultiplier</f>
        <v>0</v>
      </c>
      <c r="I481" s="447">
        <f>(I232*365*10^3)*IF($F$436="% escalation",$H563*I$476,I575)/CurrencyMultiplier</f>
        <v>0</v>
      </c>
      <c r="J481" s="447">
        <f>(J232*365*10^3)*IF($F$436="% escalation",$H563*J$476,J575)/CurrencyMultiplier</f>
        <v>0</v>
      </c>
      <c r="K481" s="447">
        <f>(K232*365*10^3)*IF($F$436="% escalation",$H563*K$476,K575)/CurrencyMultiplier</f>
        <v>0</v>
      </c>
      <c r="L481" s="447">
        <f>(L232*365*10^3)*IF($F$436="% escalation",$H563*L$476,L575)/CurrencyMultiplier</f>
        <v>0</v>
      </c>
      <c r="M481" s="447">
        <f>(M232*365*10^3)*IF($F$436="% escalation",$H563*M$476,M575)/CurrencyMultiplier</f>
        <v>0</v>
      </c>
      <c r="N481" s="447">
        <f>(N232*365*10^3)*IF($F$436="% escalation",$H563*N$476,N575)/CurrencyMultiplier</f>
        <v>0</v>
      </c>
      <c r="O481" s="447">
        <f>(O232*365*10^3)*IF($F$436="% escalation",$H563*O$476,O575)/CurrencyMultiplier</f>
        <v>0</v>
      </c>
      <c r="P481" s="174"/>
      <c r="Q481" s="174"/>
      <c r="R481" s="361"/>
      <c r="S481" s="361"/>
    </row>
    <row r="482" spans="1:19" s="80" customFormat="1" x14ac:dyDescent="0.25">
      <c r="A482" s="134"/>
      <c r="B482" s="159">
        <v>6</v>
      </c>
      <c r="C482" s="177" t="s">
        <v>16</v>
      </c>
      <c r="D482" s="136"/>
      <c r="E482" s="179">
        <f>SUM(E477:E481)</f>
        <v>0</v>
      </c>
      <c r="F482" s="179">
        <f>SUM(F477:F481)</f>
        <v>0</v>
      </c>
      <c r="G482" s="179">
        <f t="shared" ref="G482:O482" si="206">SUM(G477:G481)</f>
        <v>0</v>
      </c>
      <c r="H482" s="179">
        <f t="shared" si="206"/>
        <v>0</v>
      </c>
      <c r="I482" s="179">
        <f t="shared" si="206"/>
        <v>0</v>
      </c>
      <c r="J482" s="179">
        <f t="shared" si="206"/>
        <v>0</v>
      </c>
      <c r="K482" s="179">
        <f t="shared" si="206"/>
        <v>0</v>
      </c>
      <c r="L482" s="179">
        <f t="shared" si="206"/>
        <v>0</v>
      </c>
      <c r="M482" s="179">
        <f t="shared" si="206"/>
        <v>0</v>
      </c>
      <c r="N482" s="179">
        <f t="shared" si="206"/>
        <v>0</v>
      </c>
      <c r="O482" s="179">
        <f t="shared" si="206"/>
        <v>0</v>
      </c>
      <c r="P482" s="449"/>
      <c r="R482" s="361"/>
    </row>
    <row r="483" spans="1:19" s="80" customFormat="1" x14ac:dyDescent="0.25">
      <c r="A483" s="134"/>
      <c r="B483" s="160"/>
      <c r="C483" s="184"/>
      <c r="D483" s="1085"/>
      <c r="E483" s="1086"/>
      <c r="F483" s="1086"/>
      <c r="G483" s="1086"/>
      <c r="H483" s="1086"/>
      <c r="I483" s="1086"/>
      <c r="J483" s="1086"/>
      <c r="K483" s="1086"/>
      <c r="L483" s="1086"/>
      <c r="M483" s="1086"/>
      <c r="N483" s="1086"/>
      <c r="O483" s="1086"/>
      <c r="P483" s="449"/>
      <c r="R483" s="361"/>
    </row>
    <row r="484" spans="1:19" s="80" customFormat="1" ht="22.5" x14ac:dyDescent="0.25">
      <c r="A484" s="134"/>
      <c r="B484" s="72"/>
      <c r="C484" s="62" t="s">
        <v>1204</v>
      </c>
      <c r="D484" s="1087" t="s">
        <v>1205</v>
      </c>
      <c r="E484" s="351">
        <f t="shared" ref="E484:O484" si="207">E450*365/1000</f>
        <v>0</v>
      </c>
      <c r="F484" s="351">
        <f t="shared" si="207"/>
        <v>0</v>
      </c>
      <c r="G484" s="351">
        <f t="shared" si="207"/>
        <v>0</v>
      </c>
      <c r="H484" s="351">
        <f t="shared" si="207"/>
        <v>0</v>
      </c>
      <c r="I484" s="351">
        <f t="shared" si="207"/>
        <v>0</v>
      </c>
      <c r="J484" s="351">
        <f t="shared" si="207"/>
        <v>0</v>
      </c>
      <c r="K484" s="351">
        <f t="shared" si="207"/>
        <v>0</v>
      </c>
      <c r="L484" s="351">
        <f t="shared" si="207"/>
        <v>0</v>
      </c>
      <c r="M484" s="351">
        <f t="shared" si="207"/>
        <v>0</v>
      </c>
      <c r="N484" s="351">
        <f t="shared" si="207"/>
        <v>0</v>
      </c>
      <c r="O484" s="351">
        <f t="shared" si="207"/>
        <v>0</v>
      </c>
      <c r="P484" s="449"/>
      <c r="R484" s="361"/>
    </row>
    <row r="485" spans="1:19" s="80" customFormat="1" x14ac:dyDescent="0.25">
      <c r="A485" s="134"/>
      <c r="B485" s="72"/>
      <c r="C485" s="62" t="s">
        <v>1206</v>
      </c>
      <c r="D485" s="173">
        <f>IF('Financing Plan'!L163&lt;&gt;0,'Financing Plan'!L163,'Financing Plan'!L164)</f>
        <v>0</v>
      </c>
      <c r="E485" s="351">
        <f t="shared" ref="E485:O485" si="208">E484*$D$485*E476</f>
        <v>0</v>
      </c>
      <c r="F485" s="351">
        <f t="shared" si="208"/>
        <v>0</v>
      </c>
      <c r="G485" s="351">
        <f t="shared" si="208"/>
        <v>0</v>
      </c>
      <c r="H485" s="351">
        <f t="shared" si="208"/>
        <v>0</v>
      </c>
      <c r="I485" s="351">
        <f t="shared" si="208"/>
        <v>0</v>
      </c>
      <c r="J485" s="351">
        <f t="shared" si="208"/>
        <v>0</v>
      </c>
      <c r="K485" s="351">
        <f t="shared" si="208"/>
        <v>0</v>
      </c>
      <c r="L485" s="351">
        <f t="shared" si="208"/>
        <v>0</v>
      </c>
      <c r="M485" s="351">
        <f t="shared" si="208"/>
        <v>0</v>
      </c>
      <c r="N485" s="351">
        <f t="shared" si="208"/>
        <v>0</v>
      </c>
      <c r="O485" s="351">
        <f t="shared" si="208"/>
        <v>0</v>
      </c>
      <c r="P485" s="449"/>
      <c r="R485" s="361"/>
    </row>
    <row r="486" spans="1:19" s="80" customFormat="1" x14ac:dyDescent="0.25">
      <c r="A486" s="134"/>
      <c r="B486" s="160"/>
      <c r="C486" s="184"/>
      <c r="D486" s="1085"/>
      <c r="E486" s="1086"/>
      <c r="F486" s="1086"/>
      <c r="G486" s="1086"/>
      <c r="H486" s="1086"/>
      <c r="I486" s="1086"/>
      <c r="J486" s="1086"/>
      <c r="K486" s="1086"/>
      <c r="L486" s="1086"/>
      <c r="M486" s="1086"/>
      <c r="N486" s="1086"/>
      <c r="O486" s="1086"/>
      <c r="P486" s="449"/>
      <c r="R486" s="361"/>
    </row>
    <row r="488" spans="1:19" ht="17.25" customHeight="1" x14ac:dyDescent="0.25">
      <c r="A488" s="11" t="s">
        <v>121</v>
      </c>
      <c r="B488" s="11" t="s">
        <v>122</v>
      </c>
      <c r="C488" s="309"/>
      <c r="E488" s="1071"/>
      <c r="F488" s="48"/>
      <c r="G488" s="48"/>
      <c r="H488" s="48"/>
      <c r="I488" s="1036"/>
      <c r="J488" s="1036"/>
      <c r="K488" s="1036"/>
      <c r="L488" s="1036"/>
      <c r="M488" s="1036"/>
      <c r="N488" s="1036"/>
      <c r="O488" s="1036"/>
    </row>
    <row r="489" spans="1:19" x14ac:dyDescent="0.25">
      <c r="B489" s="13" t="s">
        <v>3</v>
      </c>
      <c r="C489" s="310" t="s">
        <v>4</v>
      </c>
      <c r="D489" s="13" t="s">
        <v>33</v>
      </c>
      <c r="E489" s="13">
        <f>E$3</f>
        <v>2014</v>
      </c>
      <c r="F489" s="13">
        <f t="shared" ref="F489:O489" si="209">F$3</f>
        <v>2015</v>
      </c>
      <c r="G489" s="13">
        <f t="shared" si="209"/>
        <v>2016</v>
      </c>
      <c r="H489" s="13">
        <f t="shared" si="209"/>
        <v>2017</v>
      </c>
      <c r="I489" s="13">
        <f t="shared" si="209"/>
        <v>2018</v>
      </c>
      <c r="J489" s="13">
        <f t="shared" si="209"/>
        <v>2019</v>
      </c>
      <c r="K489" s="13">
        <f t="shared" si="209"/>
        <v>2020</v>
      </c>
      <c r="L489" s="13">
        <f t="shared" si="209"/>
        <v>2021</v>
      </c>
      <c r="M489" s="13">
        <f t="shared" si="209"/>
        <v>2022</v>
      </c>
      <c r="N489" s="13">
        <f t="shared" si="209"/>
        <v>2023</v>
      </c>
      <c r="O489" s="13">
        <f t="shared" si="209"/>
        <v>2024</v>
      </c>
    </row>
    <row r="490" spans="1:19" s="170" customFormat="1" x14ac:dyDescent="0.25">
      <c r="A490" s="204"/>
      <c r="B490" s="205"/>
      <c r="C490" s="463" t="s">
        <v>1130</v>
      </c>
      <c r="D490" s="205"/>
      <c r="E490" s="1130"/>
      <c r="F490" s="1130"/>
      <c r="G490" s="1130"/>
      <c r="H490" s="1130"/>
      <c r="I490" s="1130"/>
      <c r="J490" s="1130"/>
      <c r="K490" s="1130"/>
      <c r="L490" s="1130"/>
      <c r="M490" s="1130"/>
      <c r="N490" s="1130"/>
      <c r="O490" s="1130"/>
    </row>
    <row r="491" spans="1:19" x14ac:dyDescent="0.25">
      <c r="B491" s="14"/>
      <c r="C491" s="62" t="s">
        <v>1125</v>
      </c>
      <c r="D491" s="1035">
        <f>D501</f>
        <v>0</v>
      </c>
      <c r="E491" s="5800">
        <f>$D$491*Population!E$48/CurrencyMultiplier</f>
        <v>0</v>
      </c>
      <c r="F491" s="120">
        <f>$D$491*Population!F$48/CurrencyMultiplier</f>
        <v>0</v>
      </c>
      <c r="G491" s="120">
        <f>$D$491*Population!G$48/CurrencyMultiplier</f>
        <v>0</v>
      </c>
      <c r="H491" s="120">
        <f>$D$491*Population!H$48/CurrencyMultiplier</f>
        <v>0</v>
      </c>
      <c r="I491" s="120">
        <f>$D$491*Population!I$48/CurrencyMultiplier</f>
        <v>0</v>
      </c>
      <c r="J491" s="120">
        <f>$D$491*Population!J$48/CurrencyMultiplier</f>
        <v>0</v>
      </c>
      <c r="K491" s="120">
        <f>$D$491*Population!K$48/CurrencyMultiplier</f>
        <v>0</v>
      </c>
      <c r="L491" s="120">
        <f>$D$491*Population!L$48/CurrencyMultiplier</f>
        <v>0</v>
      </c>
      <c r="M491" s="120">
        <f>$D$491*Population!M$48/CurrencyMultiplier</f>
        <v>0</v>
      </c>
      <c r="N491" s="120">
        <f>$D$491*Population!N$48/CurrencyMultiplier</f>
        <v>0</v>
      </c>
      <c r="O491" s="120">
        <f>$D$491*Population!O$48/CurrencyMultiplier</f>
        <v>0</v>
      </c>
    </row>
    <row r="492" spans="1:19" s="76" customFormat="1" x14ac:dyDescent="0.25">
      <c r="A492" s="43"/>
      <c r="B492" s="137"/>
      <c r="C492" s="62" t="s">
        <v>1131</v>
      </c>
      <c r="D492" s="5815">
        <f>IFERROR($E$505*CurrencyMultiplier/Population!$E$48,0)</f>
        <v>0</v>
      </c>
      <c r="E492" s="120">
        <f>E505</f>
        <v>134.65555000000001</v>
      </c>
      <c r="F492" s="5800">
        <f>$D$492*Population!F$48/CurrencyMultiplier</f>
        <v>0</v>
      </c>
      <c r="G492" s="120">
        <f>$D$492*Population!G$48/CurrencyMultiplier</f>
        <v>0</v>
      </c>
      <c r="H492" s="120">
        <f>$D$492*Population!H$48/CurrencyMultiplier</f>
        <v>0</v>
      </c>
      <c r="I492" s="120">
        <f>$D$492*Population!I$48/CurrencyMultiplier</f>
        <v>0</v>
      </c>
      <c r="J492" s="120">
        <f>$D$492*Population!J$48/CurrencyMultiplier</f>
        <v>0</v>
      </c>
      <c r="K492" s="120">
        <f>$D$492*Population!K$48/CurrencyMultiplier</f>
        <v>0</v>
      </c>
      <c r="L492" s="120">
        <f>$D$492*Population!L$48/CurrencyMultiplier</f>
        <v>0</v>
      </c>
      <c r="M492" s="120">
        <f>$D$492*Population!M$48/CurrencyMultiplier</f>
        <v>0</v>
      </c>
      <c r="N492" s="120">
        <f>$D$492*Population!N$48/CurrencyMultiplier</f>
        <v>0</v>
      </c>
      <c r="O492" s="120">
        <f>$D$492*Population!O$48/CurrencyMultiplier</f>
        <v>0</v>
      </c>
    </row>
    <row r="493" spans="1:19" x14ac:dyDescent="0.25">
      <c r="B493" s="14"/>
      <c r="C493" s="62" t="s">
        <v>1126</v>
      </c>
      <c r="D493" s="458"/>
      <c r="E493" s="120">
        <f>(E491+E492)*$E$507</f>
        <v>111.69624835566742</v>
      </c>
      <c r="F493" s="120">
        <f t="shared" ref="F493:O493" si="210">(F491+F492)*$E$507</f>
        <v>0</v>
      </c>
      <c r="G493" s="120">
        <f t="shared" si="210"/>
        <v>0</v>
      </c>
      <c r="H493" s="120">
        <f t="shared" si="210"/>
        <v>0</v>
      </c>
      <c r="I493" s="120">
        <f>(I491+I492)*$E$507</f>
        <v>0</v>
      </c>
      <c r="J493" s="120">
        <f>(J491+J492)*$E$507</f>
        <v>0</v>
      </c>
      <c r="K493" s="120">
        <f t="shared" si="210"/>
        <v>0</v>
      </c>
      <c r="L493" s="120">
        <f t="shared" si="210"/>
        <v>0</v>
      </c>
      <c r="M493" s="120">
        <f t="shared" si="210"/>
        <v>0</v>
      </c>
      <c r="N493" s="120">
        <f t="shared" si="210"/>
        <v>0</v>
      </c>
      <c r="O493" s="120">
        <f t="shared" si="210"/>
        <v>0</v>
      </c>
    </row>
    <row r="494" spans="1:19" x14ac:dyDescent="0.25">
      <c r="B494" s="14"/>
      <c r="C494" s="62" t="s">
        <v>1127</v>
      </c>
      <c r="D494" s="458"/>
      <c r="E494" s="120">
        <f>E510</f>
        <v>89.602010000000007</v>
      </c>
      <c r="F494" s="120">
        <f t="shared" ref="F494:O494" si="211">(E494-E495)+(E491+E492-E493)</f>
        <v>55.444901644332589</v>
      </c>
      <c r="G494" s="120">
        <f t="shared" si="211"/>
        <v>20.10179120822324</v>
      </c>
      <c r="H494" s="120">
        <f t="shared" si="211"/>
        <v>7.2879921831425101</v>
      </c>
      <c r="I494" s="120">
        <f t="shared" si="211"/>
        <v>2.6422933912385931</v>
      </c>
      <c r="J494" s="120">
        <f>(I494-I495)+(I491+I492-I493)</f>
        <v>0.95797500737338881</v>
      </c>
      <c r="K494" s="120">
        <f t="shared" si="211"/>
        <v>0.34731802221321784</v>
      </c>
      <c r="L494" s="120">
        <f t="shared" si="211"/>
        <v>0.12592166562345766</v>
      </c>
      <c r="M494" s="120">
        <f t="shared" si="211"/>
        <v>4.5653449747136213E-2</v>
      </c>
      <c r="N494" s="120">
        <f t="shared" si="211"/>
        <v>1.6551857565534168E-2</v>
      </c>
      <c r="O494" s="120">
        <f t="shared" si="211"/>
        <v>6.0009482391178148E-3</v>
      </c>
    </row>
    <row r="495" spans="1:19" x14ac:dyDescent="0.25">
      <c r="B495" s="14"/>
      <c r="C495" s="62" t="s">
        <v>1128</v>
      </c>
      <c r="D495" s="458"/>
      <c r="E495" s="120">
        <f>E512</f>
        <v>57.116410000000002</v>
      </c>
      <c r="F495" s="120">
        <f>F494*$E$511</f>
        <v>35.343110436109349</v>
      </c>
      <c r="G495" s="120">
        <f t="shared" ref="G495:O495" si="212">G494*$E$511</f>
        <v>12.81379902508073</v>
      </c>
      <c r="H495" s="120">
        <f t="shared" si="212"/>
        <v>4.645698791903917</v>
      </c>
      <c r="I495" s="120">
        <f t="shared" si="212"/>
        <v>1.6843183838652043</v>
      </c>
      <c r="J495" s="120">
        <f>J494*$E$511</f>
        <v>0.61065698516017097</v>
      </c>
      <c r="K495" s="120">
        <f t="shared" si="212"/>
        <v>0.22139635658976017</v>
      </c>
      <c r="L495" s="120">
        <f t="shared" si="212"/>
        <v>8.026821587632145E-2</v>
      </c>
      <c r="M495" s="120">
        <f t="shared" si="212"/>
        <v>2.9101592181602045E-2</v>
      </c>
      <c r="N495" s="120">
        <f t="shared" si="212"/>
        <v>1.0550909326416353E-2</v>
      </c>
      <c r="O495" s="120">
        <f t="shared" si="212"/>
        <v>3.8252782500552292E-3</v>
      </c>
    </row>
    <row r="496" spans="1:19" x14ac:dyDescent="0.25">
      <c r="B496" s="14"/>
      <c r="C496" s="177" t="s">
        <v>1129</v>
      </c>
      <c r="D496" s="462"/>
      <c r="E496" s="126">
        <f t="shared" ref="E496:O496" si="213">E493+E495</f>
        <v>168.81265835566742</v>
      </c>
      <c r="F496" s="126">
        <f t="shared" si="213"/>
        <v>35.343110436109349</v>
      </c>
      <c r="G496" s="126">
        <f t="shared" si="213"/>
        <v>12.81379902508073</v>
      </c>
      <c r="H496" s="126">
        <f t="shared" si="213"/>
        <v>4.645698791903917</v>
      </c>
      <c r="I496" s="126">
        <f t="shared" si="213"/>
        <v>1.6843183838652043</v>
      </c>
      <c r="J496" s="126">
        <f>J493+J495</f>
        <v>0.61065698516017097</v>
      </c>
      <c r="K496" s="126">
        <f t="shared" si="213"/>
        <v>0.22139635658976017</v>
      </c>
      <c r="L496" s="126">
        <f t="shared" si="213"/>
        <v>8.026821587632145E-2</v>
      </c>
      <c r="M496" s="126">
        <f t="shared" si="213"/>
        <v>2.9101592181602045E-2</v>
      </c>
      <c r="N496" s="126">
        <f t="shared" si="213"/>
        <v>1.0550909326416353E-2</v>
      </c>
      <c r="O496" s="126">
        <f t="shared" si="213"/>
        <v>3.8252782500552292E-3</v>
      </c>
    </row>
    <row r="497" spans="1:16" x14ac:dyDescent="0.25">
      <c r="B497" s="39"/>
      <c r="C497" s="156"/>
      <c r="D497" s="459"/>
      <c r="E497" s="457"/>
      <c r="F497" s="457"/>
      <c r="G497" s="457"/>
      <c r="H497" s="457"/>
      <c r="I497" s="457"/>
      <c r="J497" s="457"/>
      <c r="K497" s="457"/>
      <c r="L497" s="457"/>
      <c r="M497" s="457"/>
      <c r="N497" s="457"/>
      <c r="O497" s="457"/>
    </row>
    <row r="498" spans="1:16" s="170" customFormat="1" x14ac:dyDescent="0.25">
      <c r="A498" s="204"/>
      <c r="B498" s="205"/>
      <c r="C498" s="463" t="s">
        <v>720</v>
      </c>
      <c r="D498" s="205"/>
      <c r="E498" s="206"/>
      <c r="F498" s="206"/>
      <c r="G498" s="206"/>
      <c r="H498" s="206"/>
      <c r="I498" s="206"/>
      <c r="J498" s="206"/>
      <c r="K498" s="206"/>
      <c r="L498" s="206"/>
      <c r="M498" s="206"/>
      <c r="N498" s="206"/>
      <c r="O498" s="206"/>
    </row>
    <row r="499" spans="1:16" customFormat="1" x14ac:dyDescent="0.25">
      <c r="C499" s="184" t="s">
        <v>1124</v>
      </c>
      <c r="J499" s="5507"/>
      <c r="M499" s="5507"/>
    </row>
    <row r="500" spans="1:16" s="913" customFormat="1" x14ac:dyDescent="0.25">
      <c r="A500" s="334"/>
      <c r="B500" s="884"/>
      <c r="C500" s="1264" t="s">
        <v>346</v>
      </c>
      <c r="D500" s="1265"/>
      <c r="E500" s="172">
        <v>1</v>
      </c>
      <c r="F500" s="172">
        <f>E500*(1+'Financing Plan'!F137)</f>
        <v>1</v>
      </c>
      <c r="G500" s="172">
        <f>F500*(1+'Financing Plan'!G137)</f>
        <v>1</v>
      </c>
      <c r="H500" s="172">
        <f>G500*(1+'Financing Plan'!H137)</f>
        <v>1.1000000000000001</v>
      </c>
      <c r="I500" s="172">
        <f>H500*(1+'Financing Plan'!I137)</f>
        <v>1.1000000000000001</v>
      </c>
      <c r="J500" s="172">
        <f>I500*(1+'Financing Plan'!J137)</f>
        <v>1.1000000000000001</v>
      </c>
      <c r="K500" s="172">
        <f>J500*(1+'Financing Plan'!K137)</f>
        <v>1.2100000000000002</v>
      </c>
      <c r="L500" s="172">
        <f>K500*(1+'Financing Plan'!L137)</f>
        <v>1.2100000000000002</v>
      </c>
      <c r="M500" s="172">
        <f>L500*(1+'Financing Plan'!M137)</f>
        <v>1.2100000000000002</v>
      </c>
      <c r="N500" s="172">
        <f>M500*(1+'Financing Plan'!N137)</f>
        <v>1.3310000000000004</v>
      </c>
      <c r="O500" s="172">
        <f>N500*(1+'Financing Plan'!O137)</f>
        <v>1.3310000000000004</v>
      </c>
    </row>
    <row r="501" spans="1:16" x14ac:dyDescent="0.25">
      <c r="B501" s="14"/>
      <c r="C501" s="62" t="s">
        <v>347</v>
      </c>
      <c r="D501" s="1034">
        <f>E520</f>
        <v>0</v>
      </c>
      <c r="E501" s="36">
        <f>D501</f>
        <v>0</v>
      </c>
      <c r="F501" s="36">
        <f>E$501*F500</f>
        <v>0</v>
      </c>
      <c r="G501" s="36">
        <f t="shared" ref="G501:O501" si="214">$E$501*G500</f>
        <v>0</v>
      </c>
      <c r="H501" s="36">
        <f t="shared" si="214"/>
        <v>0</v>
      </c>
      <c r="I501" s="36">
        <f t="shared" si="214"/>
        <v>0</v>
      </c>
      <c r="J501" s="36">
        <f t="shared" si="214"/>
        <v>0</v>
      </c>
      <c r="K501" s="36">
        <f t="shared" si="214"/>
        <v>0</v>
      </c>
      <c r="L501" s="36">
        <f t="shared" si="214"/>
        <v>0</v>
      </c>
      <c r="M501" s="36">
        <f t="shared" si="214"/>
        <v>0</v>
      </c>
      <c r="N501" s="36">
        <f t="shared" si="214"/>
        <v>0</v>
      </c>
      <c r="O501" s="36">
        <f t="shared" si="214"/>
        <v>0</v>
      </c>
    </row>
    <row r="502" spans="1:16" x14ac:dyDescent="0.25">
      <c r="B502" s="14"/>
      <c r="C502" s="62" t="s">
        <v>711</v>
      </c>
      <c r="D502" s="455"/>
      <c r="E502" s="5800">
        <f>E501*Population!E$49/CurrencyMultiplier</f>
        <v>0</v>
      </c>
      <c r="F502" s="5800">
        <f>F501*Population!F$49/CurrencyMultiplier</f>
        <v>0</v>
      </c>
      <c r="G502" s="120">
        <f>G501*Population!G$49/CurrencyMultiplier</f>
        <v>0</v>
      </c>
      <c r="H502" s="120">
        <f>H501*Population!H$49/CurrencyMultiplier</f>
        <v>0</v>
      </c>
      <c r="I502" s="120">
        <f>I501*Population!I$49/CurrencyMultiplier</f>
        <v>0</v>
      </c>
      <c r="J502" s="120">
        <f>J501*Population!J$49/CurrencyMultiplier</f>
        <v>0</v>
      </c>
      <c r="K502" s="120">
        <f>K501*Population!K$49/CurrencyMultiplier</f>
        <v>0</v>
      </c>
      <c r="L502" s="120">
        <f>L501*Population!L$49/CurrencyMultiplier</f>
        <v>0</v>
      </c>
      <c r="M502" s="120">
        <f>M501*Population!M$49/CurrencyMultiplier</f>
        <v>0</v>
      </c>
      <c r="N502" s="120">
        <f>N501*Population!N$49/CurrencyMultiplier</f>
        <v>0</v>
      </c>
      <c r="O502" s="120">
        <f>O501*Population!O$49/CurrencyMultiplier</f>
        <v>0</v>
      </c>
    </row>
    <row r="503" spans="1:16" customFormat="1" x14ac:dyDescent="0.25">
      <c r="C503" s="184" t="s">
        <v>1267</v>
      </c>
    </row>
    <row r="504" spans="1:16" s="913" customFormat="1" x14ac:dyDescent="0.25">
      <c r="A504" s="334"/>
      <c r="B504" s="1143"/>
      <c r="C504" s="1264" t="s">
        <v>1268</v>
      </c>
      <c r="D504" s="1266"/>
      <c r="E504" s="120">
        <v>1</v>
      </c>
      <c r="F504" s="120">
        <f>E504*(1+'Financing Plan'!F141)</f>
        <v>1</v>
      </c>
      <c r="G504" s="120">
        <f>F504*(1+'Financing Plan'!G141)</f>
        <v>1</v>
      </c>
      <c r="H504" s="120">
        <f>G504*(1+'Financing Plan'!H141)</f>
        <v>1</v>
      </c>
      <c r="I504" s="120">
        <f>H504*(1+'Financing Plan'!I141)</f>
        <v>1</v>
      </c>
      <c r="J504" s="120">
        <f>I504*(1+'Financing Plan'!J141)</f>
        <v>1</v>
      </c>
      <c r="K504" s="120">
        <f>J504*(1+'Financing Plan'!K141)</f>
        <v>1</v>
      </c>
      <c r="L504" s="120">
        <f>K504*(1+'Financing Plan'!L141)</f>
        <v>1</v>
      </c>
      <c r="M504" s="120">
        <f>L504*(1+'Financing Plan'!M141)</f>
        <v>1</v>
      </c>
      <c r="N504" s="120">
        <f>M504*(1+'Financing Plan'!N141)</f>
        <v>1</v>
      </c>
      <c r="O504" s="120">
        <f>N504*(1+'Financing Plan'!O141)</f>
        <v>1</v>
      </c>
    </row>
    <row r="505" spans="1:16" x14ac:dyDescent="0.25">
      <c r="B505" s="14"/>
      <c r="C505" s="62" t="s">
        <v>1131</v>
      </c>
      <c r="D505" s="1034">
        <f>D492</f>
        <v>0</v>
      </c>
      <c r="E505" s="172">
        <f>'Finance info'!I82</f>
        <v>134.65555000000001</v>
      </c>
      <c r="F505" s="5800">
        <f>($D$505*F504)*Population!F$49/CurrencyMultiplier</f>
        <v>0</v>
      </c>
      <c r="G505" s="172">
        <f>($D$505*G504)*Population!G$49/CurrencyMultiplier</f>
        <v>0</v>
      </c>
      <c r="H505" s="172">
        <f>($D$505*H504)*Population!H$49/CurrencyMultiplier</f>
        <v>0</v>
      </c>
      <c r="I505" s="172">
        <f>($D$505*I504)*Population!I$49/CurrencyMultiplier</f>
        <v>0</v>
      </c>
      <c r="J505" s="172">
        <f>($D$505*J504)*Population!J$49/CurrencyMultiplier</f>
        <v>0</v>
      </c>
      <c r="K505" s="172">
        <f>($D$505*K504)*Population!K$49/CurrencyMultiplier</f>
        <v>0</v>
      </c>
      <c r="L505" s="172">
        <f>($D$505*L504)*Population!L$49/CurrencyMultiplier</f>
        <v>0</v>
      </c>
      <c r="M505" s="172">
        <f>($D$505*M504)*Population!M$49/CurrencyMultiplier</f>
        <v>0</v>
      </c>
      <c r="N505" s="172">
        <f>($D$505*N504)*Population!N$49/CurrencyMultiplier</f>
        <v>0</v>
      </c>
      <c r="O505" s="172">
        <f>($D$505*O504)*Population!O$49/CurrencyMultiplier</f>
        <v>0</v>
      </c>
    </row>
    <row r="506" spans="1:16" x14ac:dyDescent="0.25">
      <c r="B506" s="14"/>
      <c r="C506" s="62" t="s">
        <v>1133</v>
      </c>
      <c r="D506" s="455"/>
      <c r="E506" s="120">
        <f>E505+E502</f>
        <v>134.65555000000001</v>
      </c>
      <c r="F506" s="120">
        <f t="shared" ref="F506:O506" si="215">F505+F502</f>
        <v>0</v>
      </c>
      <c r="G506" s="120">
        <f t="shared" si="215"/>
        <v>0</v>
      </c>
      <c r="H506" s="120">
        <f t="shared" si="215"/>
        <v>0</v>
      </c>
      <c r="I506" s="120">
        <f t="shared" si="215"/>
        <v>0</v>
      </c>
      <c r="J506" s="120">
        <f t="shared" si="215"/>
        <v>0</v>
      </c>
      <c r="K506" s="120">
        <f t="shared" si="215"/>
        <v>0</v>
      </c>
      <c r="L506" s="120">
        <f t="shared" si="215"/>
        <v>0</v>
      </c>
      <c r="M506" s="120">
        <f t="shared" si="215"/>
        <v>0</v>
      </c>
      <c r="N506" s="120">
        <f t="shared" si="215"/>
        <v>0</v>
      </c>
      <c r="O506" s="120">
        <f t="shared" si="215"/>
        <v>0</v>
      </c>
      <c r="P506" s="913"/>
    </row>
    <row r="507" spans="1:16" x14ac:dyDescent="0.25">
      <c r="A507" s="750"/>
      <c r="B507" s="751"/>
      <c r="C507" s="743" t="s">
        <v>712</v>
      </c>
      <c r="D507" s="757"/>
      <c r="E507" s="747">
        <f>IFERROR(('Finance info'!J78+'Finance info'!J82)/('Finance info'!I78+'Finance info'!I82),0)</f>
        <v>0.82949606128872833</v>
      </c>
      <c r="F507" s="747">
        <f>IFERROR(E507+IF(AND(F489&gt;='Financing Plan'!$L$132,F489&lt;'Financing Plan'!$N$132+1),('Financing Plan'!$J$132-'WS calcu'!$E$507)/('Financing Plan'!$N$132+1-'Financing Plan'!$L$132),0),0)</f>
        <v>0.85962204596654623</v>
      </c>
      <c r="G507" s="747">
        <f>IFERROR(F507+IF(AND(G489&gt;='Financing Plan'!$L$132,G489&lt;'Financing Plan'!$N$132+1),('Financing Plan'!$J$132-'WS calcu'!$E$507)/('Financing Plan'!$N$132+1-'Financing Plan'!$L$132),0),0)</f>
        <v>0.88974803064436414</v>
      </c>
      <c r="H507" s="747">
        <f>IFERROR(G507+IF(AND(H489&gt;='Financing Plan'!$L$132,H489&lt;'Financing Plan'!$N$132+1),('Financing Plan'!$J$132-'WS calcu'!$E$507)/('Financing Plan'!$N$132+1-'Financing Plan'!$L$132),0),0)</f>
        <v>0.91987401532218205</v>
      </c>
      <c r="I507" s="747">
        <f>IFERROR(H507+IF(AND(I489&gt;='Financing Plan'!$L$132,I489&lt;'Financing Plan'!$N$132+1),('Financing Plan'!$J$132-'WS calcu'!$E$507)/('Financing Plan'!$N$132+1-'Financing Plan'!$L$132),0),0)</f>
        <v>0.95</v>
      </c>
      <c r="J507" s="747">
        <f>IFERROR(I507+IF(AND(J489&gt;='Financing Plan'!$L$132,J489&lt;'Financing Plan'!$N$132+1),('Financing Plan'!$J$132-'WS calcu'!$E$507)/('Financing Plan'!$N$132+1-'Financing Plan'!$L$132),0),0)</f>
        <v>0.95</v>
      </c>
      <c r="K507" s="747">
        <f>IFERROR(J507+IF(AND(K489&gt;='Financing Plan'!$L$132,K489&lt;'Financing Plan'!$N$132+1),('Financing Plan'!$J$132-'WS calcu'!$E$507)/('Financing Plan'!$N$132+1-'Financing Plan'!$L$132),0),0)</f>
        <v>0.95</v>
      </c>
      <c r="L507" s="747">
        <f>IFERROR(K507+IF(AND(L489&gt;='Financing Plan'!$L$132,L489&lt;'Financing Plan'!$N$132+1),('Financing Plan'!$J$132-'WS calcu'!$E$507)/('Financing Plan'!$N$132+1-'Financing Plan'!$L$132),0),0)</f>
        <v>0.95</v>
      </c>
      <c r="M507" s="747">
        <f>IFERROR(L507+IF(AND(M489&gt;='Financing Plan'!$L$132,M489&lt;'Financing Plan'!$N$132+1),('Financing Plan'!$J$132-'WS calcu'!$E$507)/('Financing Plan'!$N$132+1-'Financing Plan'!$L$132),0),0)</f>
        <v>0.95</v>
      </c>
      <c r="N507" s="747">
        <f>IFERROR(M507+IF(AND(N489&gt;='Financing Plan'!$L$132,N489&lt;'Financing Plan'!$N$132+1),('Financing Plan'!$J$132-'WS calcu'!$E$507)/('Financing Plan'!$N$132+1-'Financing Plan'!$L$132),0),0)</f>
        <v>0.95</v>
      </c>
      <c r="O507" s="747">
        <f>IFERROR(N507+IF(AND(O489&gt;='Financing Plan'!$L$132,O489&lt;'Financing Plan'!$N$132+1),('Financing Plan'!$J$132-'WS calcu'!$E$507)/('Financing Plan'!$N$132+1-'Financing Plan'!$L$132),0),0)</f>
        <v>0.95</v>
      </c>
    </row>
    <row r="508" spans="1:16" x14ac:dyDescent="0.25">
      <c r="B508" s="14"/>
      <c r="C508" s="177" t="s">
        <v>714</v>
      </c>
      <c r="D508" s="66"/>
      <c r="E508" s="461">
        <f t="shared" ref="E508:O508" si="216">E507*E506</f>
        <v>111.69624835566742</v>
      </c>
      <c r="F508" s="461">
        <f t="shared" si="216"/>
        <v>0</v>
      </c>
      <c r="G508" s="461">
        <f t="shared" si="216"/>
        <v>0</v>
      </c>
      <c r="H508" s="461">
        <f t="shared" si="216"/>
        <v>0</v>
      </c>
      <c r="I508" s="461">
        <f t="shared" si="216"/>
        <v>0</v>
      </c>
      <c r="J508" s="461">
        <f t="shared" si="216"/>
        <v>0</v>
      </c>
      <c r="K508" s="461">
        <f t="shared" si="216"/>
        <v>0</v>
      </c>
      <c r="L508" s="461">
        <f t="shared" si="216"/>
        <v>0</v>
      </c>
      <c r="M508" s="461">
        <f t="shared" si="216"/>
        <v>0</v>
      </c>
      <c r="N508" s="461">
        <f t="shared" si="216"/>
        <v>0</v>
      </c>
      <c r="O508" s="461">
        <f t="shared" si="216"/>
        <v>0</v>
      </c>
    </row>
    <row r="509" spans="1:16" x14ac:dyDescent="0.25">
      <c r="B509" s="39"/>
      <c r="C509" s="156"/>
      <c r="D509" s="48"/>
      <c r="E509" s="361"/>
      <c r="F509" s="361"/>
      <c r="G509" s="361"/>
      <c r="H509" s="361"/>
      <c r="I509" s="361"/>
      <c r="J509" s="361"/>
      <c r="K509" s="361"/>
      <c r="L509" s="361"/>
      <c r="M509" s="361"/>
      <c r="N509" s="361"/>
      <c r="O509" s="361"/>
    </row>
    <row r="510" spans="1:16" x14ac:dyDescent="0.25">
      <c r="B510" s="14"/>
      <c r="C510" s="62" t="s">
        <v>716</v>
      </c>
      <c r="D510" s="455"/>
      <c r="E510" s="150">
        <f>'Finance info'!I85+'Finance info'!I89</f>
        <v>89.602010000000007</v>
      </c>
      <c r="F510" s="150">
        <f t="shared" ref="F510:O510" si="217">(E510-E512)+(E506-E508)</f>
        <v>55.444901644332589</v>
      </c>
      <c r="G510" s="150">
        <f t="shared" si="217"/>
        <v>15.59538576854488</v>
      </c>
      <c r="H510" s="150">
        <f t="shared" si="217"/>
        <v>3.1190771537089752</v>
      </c>
      <c r="I510" s="150">
        <f t="shared" si="217"/>
        <v>0.62381543074179469</v>
      </c>
      <c r="J510" s="150">
        <f t="shared" si="217"/>
        <v>0.1247630861483589</v>
      </c>
      <c r="K510" s="150">
        <f t="shared" si="217"/>
        <v>2.4952617229671778E-2</v>
      </c>
      <c r="L510" s="150">
        <f t="shared" si="217"/>
        <v>4.9905234459343556E-3</v>
      </c>
      <c r="M510" s="150">
        <f t="shared" si="217"/>
        <v>9.9810468918687129E-4</v>
      </c>
      <c r="N510" s="150">
        <f t="shared" si="217"/>
        <v>1.9962093783737424E-4</v>
      </c>
      <c r="O510" s="150">
        <f t="shared" si="217"/>
        <v>3.9924187567474837E-5</v>
      </c>
    </row>
    <row r="511" spans="1:16" x14ac:dyDescent="0.25">
      <c r="A511" s="750"/>
      <c r="B511" s="751"/>
      <c r="C511" s="743" t="s">
        <v>713</v>
      </c>
      <c r="D511" s="757"/>
      <c r="E511" s="747">
        <f>IFERROR(('Finance info'!J85+'Finance info'!J89)/('Finance info'!I85+'Finance info'!I89),0)</f>
        <v>0.63744563319505887</v>
      </c>
      <c r="F511" s="747">
        <f>IFERROR(E511+IF(AND(F489&gt;='Financing Plan'!$L$133,F489&lt;'Financing Plan'!$N$133+1),('Financing Plan'!$J$133-'WS calcu'!$E$511)/('Financing Plan'!$N$133+1-'Financing Plan'!$L$133),0),0)</f>
        <v>0.71872281659752946</v>
      </c>
      <c r="G511" s="747">
        <f>IFERROR(F511+IF(AND(G489&gt;='Financing Plan'!$L$133,G489&lt;'Financing Plan'!$N$133+1),('Financing Plan'!$J$133-'WS calcu'!$E$511)/('Financing Plan'!$N$133+1-'Financing Plan'!$L$133),0),0)</f>
        <v>0.8</v>
      </c>
      <c r="H511" s="747">
        <f>IFERROR(G511+IF(AND(H489&gt;='Financing Plan'!$L$133,H489&lt;'Financing Plan'!$N$133+1),('Financing Plan'!$J$133-'WS calcu'!$E$511)/('Financing Plan'!$N$133+1-'Financing Plan'!$L$133),0),0)</f>
        <v>0.8</v>
      </c>
      <c r="I511" s="747">
        <f>IFERROR(H511+IF(AND(I489&gt;='Financing Plan'!$L$133,I489&lt;'Financing Plan'!$N$133+1),('Financing Plan'!$J$133-'WS calcu'!$E$511)/('Financing Plan'!$N$133+1-'Financing Plan'!$L$133),0),0)</f>
        <v>0.8</v>
      </c>
      <c r="J511" s="747">
        <f>IFERROR(I511+IF(AND(J489&gt;='Financing Plan'!$L$133,J489&lt;'Financing Plan'!$N$133+1),('Financing Plan'!$J$133-'WS calcu'!$E$511)/('Financing Plan'!$N$133+1-'Financing Plan'!$L$133),0),0)</f>
        <v>0.8</v>
      </c>
      <c r="K511" s="747">
        <f>IFERROR(J511+IF(AND(K489&gt;='Financing Plan'!$L$133,K489&lt;'Financing Plan'!$N$133+1),('Financing Plan'!$J$133-'WS calcu'!$E$511)/('Financing Plan'!$N$133+1-'Financing Plan'!$L$133),0),0)</f>
        <v>0.8</v>
      </c>
      <c r="L511" s="747">
        <f>IFERROR(K511+IF(AND(L489&gt;='Financing Plan'!$L$133,L489&lt;'Financing Plan'!$N$133+1),('Financing Plan'!$J$133-'WS calcu'!$E$511)/('Financing Plan'!$N$133+1-'Financing Plan'!$L$133),0),0)</f>
        <v>0.8</v>
      </c>
      <c r="M511" s="747">
        <f>IFERROR(L511+IF(AND(M489&gt;='Financing Plan'!$L$133,M489&lt;'Financing Plan'!$N$133+1),('Financing Plan'!$J$133-'WS calcu'!$E$511)/('Financing Plan'!$N$133+1-'Financing Plan'!$L$133),0),0)</f>
        <v>0.8</v>
      </c>
      <c r="N511" s="747">
        <f>IFERROR(M511+IF(AND(N489&gt;='Financing Plan'!$L$133,N489&lt;'Financing Plan'!$N$133+1),('Financing Plan'!$J$133-'WS calcu'!$E$511)/('Financing Plan'!$N$133+1-'Financing Plan'!$L$133),0),0)</f>
        <v>0.8</v>
      </c>
      <c r="O511" s="747">
        <f>IFERROR(N511+IF(AND(O489&gt;='Financing Plan'!$L$133,O489&lt;'Financing Plan'!$N$133+1),('Financing Plan'!$J$133-'WS calcu'!$E$511)/('Financing Plan'!$N$133+1-'Financing Plan'!$L$133),0),0)</f>
        <v>0.8</v>
      </c>
    </row>
    <row r="512" spans="1:16" x14ac:dyDescent="0.25">
      <c r="B512" s="14"/>
      <c r="C512" s="177" t="s">
        <v>715</v>
      </c>
      <c r="D512" s="66"/>
      <c r="E512" s="461">
        <f>'Finance info'!J85+'Finance info'!J89</f>
        <v>57.116410000000002</v>
      </c>
      <c r="F512" s="461">
        <f>F510*F511</f>
        <v>39.849515875787709</v>
      </c>
      <c r="G512" s="461">
        <f t="shared" ref="G512:O512" si="218">G510*G511</f>
        <v>12.476308614835904</v>
      </c>
      <c r="H512" s="461">
        <f t="shared" si="218"/>
        <v>2.4952617229671805</v>
      </c>
      <c r="I512" s="461">
        <f t="shared" si="218"/>
        <v>0.49905234459343578</v>
      </c>
      <c r="J512" s="461">
        <f t="shared" si="218"/>
        <v>9.9810468918687126E-2</v>
      </c>
      <c r="K512" s="461">
        <f t="shared" si="218"/>
        <v>1.9962093783737422E-2</v>
      </c>
      <c r="L512" s="461">
        <f t="shared" si="218"/>
        <v>3.9924187567474843E-3</v>
      </c>
      <c r="M512" s="461">
        <f t="shared" si="218"/>
        <v>7.9848375134949706E-4</v>
      </c>
      <c r="N512" s="461">
        <f t="shared" si="218"/>
        <v>1.596967502698994E-4</v>
      </c>
      <c r="O512" s="461">
        <f t="shared" si="218"/>
        <v>3.1939350053979869E-5</v>
      </c>
    </row>
    <row r="513" spans="1:15" x14ac:dyDescent="0.25">
      <c r="B513" s="39"/>
      <c r="C513" s="156"/>
      <c r="D513" s="48"/>
      <c r="E513" s="460"/>
      <c r="F513" s="457"/>
      <c r="G513" s="457"/>
      <c r="H513" s="457"/>
      <c r="I513" s="457"/>
      <c r="J513" s="457"/>
      <c r="K513" s="457"/>
      <c r="L513" s="457"/>
      <c r="M513" s="457"/>
      <c r="N513" s="457"/>
      <c r="O513" s="457"/>
    </row>
    <row r="514" spans="1:15" x14ac:dyDescent="0.25">
      <c r="B514" s="14"/>
      <c r="C514" s="177" t="s">
        <v>717</v>
      </c>
      <c r="D514" s="66"/>
      <c r="E514" s="461">
        <f>'Financing Plan'!F144</f>
        <v>0</v>
      </c>
      <c r="F514" s="461">
        <f>'Financing Plan'!G144</f>
        <v>0</v>
      </c>
      <c r="G514" s="461">
        <f>'Financing Plan'!H144</f>
        <v>0</v>
      </c>
      <c r="H514" s="461">
        <f>'Financing Plan'!I144</f>
        <v>0</v>
      </c>
      <c r="I514" s="461">
        <f>'Financing Plan'!J144</f>
        <v>0</v>
      </c>
      <c r="J514" s="461">
        <f>'Financing Plan'!K144</f>
        <v>0</v>
      </c>
      <c r="K514" s="461">
        <f>'Financing Plan'!L144</f>
        <v>0</v>
      </c>
      <c r="L514" s="461">
        <f>'Financing Plan'!M144</f>
        <v>0</v>
      </c>
      <c r="M514" s="461">
        <f>'Financing Plan'!N144</f>
        <v>0</v>
      </c>
      <c r="N514" s="461">
        <f>'Financing Plan'!O144</f>
        <v>0</v>
      </c>
      <c r="O514" s="461">
        <f>'Financing Plan'!Q144</f>
        <v>0</v>
      </c>
    </row>
    <row r="515" spans="1:15" x14ac:dyDescent="0.25">
      <c r="B515" s="39"/>
      <c r="C515" s="156"/>
      <c r="D515" s="48"/>
      <c r="E515" s="460"/>
      <c r="F515" s="457"/>
      <c r="G515" s="457"/>
      <c r="H515" s="457"/>
      <c r="I515" s="457"/>
      <c r="J515" s="457"/>
      <c r="K515" s="457"/>
      <c r="L515" s="457"/>
      <c r="M515" s="457"/>
      <c r="N515" s="457"/>
      <c r="O515" s="457"/>
    </row>
    <row r="516" spans="1:15" x14ac:dyDescent="0.25">
      <c r="B516" s="14"/>
      <c r="C516" s="177" t="s">
        <v>718</v>
      </c>
      <c r="D516" s="66"/>
      <c r="E516" s="461">
        <f>E514+E512+E508</f>
        <v>168.81265835566742</v>
      </c>
      <c r="F516" s="461">
        <f t="shared" ref="F516:O516" si="219">F514+F512+F508</f>
        <v>39.849515875787709</v>
      </c>
      <c r="G516" s="461">
        <f t="shared" si="219"/>
        <v>12.476308614835904</v>
      </c>
      <c r="H516" s="461">
        <f t="shared" si="219"/>
        <v>2.4952617229671805</v>
      </c>
      <c r="I516" s="461">
        <f t="shared" si="219"/>
        <v>0.49905234459343578</v>
      </c>
      <c r="J516" s="461">
        <f t="shared" si="219"/>
        <v>9.9810468918687126E-2</v>
      </c>
      <c r="K516" s="461">
        <f t="shared" si="219"/>
        <v>1.9962093783737422E-2</v>
      </c>
      <c r="L516" s="461">
        <f t="shared" si="219"/>
        <v>3.9924187567474843E-3</v>
      </c>
      <c r="M516" s="461">
        <f t="shared" si="219"/>
        <v>7.9848375134949706E-4</v>
      </c>
      <c r="N516" s="461">
        <f t="shared" si="219"/>
        <v>1.596967502698994E-4</v>
      </c>
      <c r="O516" s="461">
        <f t="shared" si="219"/>
        <v>3.1939350053979869E-5</v>
      </c>
    </row>
    <row r="517" spans="1:15" x14ac:dyDescent="0.25">
      <c r="B517" s="14"/>
      <c r="C517" s="177" t="s">
        <v>719</v>
      </c>
      <c r="D517" s="66"/>
      <c r="E517" s="461">
        <f t="shared" ref="E517:O517" si="220">MAX(E516-E496,0)</f>
        <v>0</v>
      </c>
      <c r="F517" s="461">
        <f t="shared" si="220"/>
        <v>4.5064054396783604</v>
      </c>
      <c r="G517" s="461">
        <f t="shared" si="220"/>
        <v>0</v>
      </c>
      <c r="H517" s="461">
        <f t="shared" si="220"/>
        <v>0</v>
      </c>
      <c r="I517" s="461">
        <f t="shared" si="220"/>
        <v>0</v>
      </c>
      <c r="J517" s="461">
        <f t="shared" si="220"/>
        <v>0</v>
      </c>
      <c r="K517" s="461">
        <f t="shared" si="220"/>
        <v>0</v>
      </c>
      <c r="L517" s="461">
        <f t="shared" si="220"/>
        <v>0</v>
      </c>
      <c r="M517" s="461">
        <f t="shared" si="220"/>
        <v>0</v>
      </c>
      <c r="N517" s="461">
        <f t="shared" si="220"/>
        <v>0</v>
      </c>
      <c r="O517" s="461">
        <f t="shared" si="220"/>
        <v>0</v>
      </c>
    </row>
    <row r="518" spans="1:15" x14ac:dyDescent="0.25">
      <c r="B518" s="39"/>
      <c r="C518" s="156"/>
      <c r="D518" s="114"/>
      <c r="E518" s="457"/>
      <c r="F518" s="457"/>
      <c r="G518" s="457"/>
      <c r="H518" s="457"/>
      <c r="I518" s="457"/>
      <c r="J518" s="457"/>
      <c r="K518" s="457"/>
      <c r="L518" s="457"/>
      <c r="M518" s="457"/>
      <c r="N518" s="457"/>
      <c r="O518" s="457"/>
    </row>
    <row r="519" spans="1:15" s="170" customFormat="1" x14ac:dyDescent="0.25">
      <c r="A519" s="204"/>
      <c r="B519" s="205"/>
      <c r="C519" s="207" t="s">
        <v>348</v>
      </c>
      <c r="D519" s="205"/>
      <c r="E519" s="206"/>
      <c r="F519" s="206"/>
      <c r="G519" s="206"/>
      <c r="H519" s="206"/>
      <c r="I519" s="206"/>
      <c r="J519" s="206"/>
      <c r="K519" s="206"/>
      <c r="L519" s="206"/>
      <c r="M519" s="206"/>
      <c r="N519" s="206"/>
      <c r="O519" s="206"/>
    </row>
    <row r="520" spans="1:15" s="170" customFormat="1" x14ac:dyDescent="0.25">
      <c r="B520" s="79"/>
      <c r="C520" s="220" t="s">
        <v>1132</v>
      </c>
      <c r="D520" s="79"/>
      <c r="E520" s="5813">
        <f>IFERROR('Finance info'!$I$78*CurrencyMultiplier/Population!$E$48,0)</f>
        <v>0</v>
      </c>
      <c r="F520" s="72">
        <f>$E$520*F500</f>
        <v>0</v>
      </c>
      <c r="G520" s="72">
        <f t="shared" ref="G520:O520" si="221">$E$520*G500</f>
        <v>0</v>
      </c>
      <c r="H520" s="72">
        <f t="shared" si="221"/>
        <v>0</v>
      </c>
      <c r="I520" s="72">
        <f t="shared" si="221"/>
        <v>0</v>
      </c>
      <c r="J520" s="72">
        <f t="shared" si="221"/>
        <v>0</v>
      </c>
      <c r="K520" s="72">
        <f t="shared" si="221"/>
        <v>0</v>
      </c>
      <c r="L520" s="72">
        <f t="shared" si="221"/>
        <v>0</v>
      </c>
      <c r="M520" s="72">
        <f t="shared" si="221"/>
        <v>0</v>
      </c>
      <c r="N520" s="72">
        <f t="shared" si="221"/>
        <v>0</v>
      </c>
      <c r="O520" s="72">
        <f t="shared" si="221"/>
        <v>0</v>
      </c>
    </row>
    <row r="521" spans="1:15" s="170" customFormat="1" x14ac:dyDescent="0.25">
      <c r="B521" s="76"/>
      <c r="C521" s="436" t="s">
        <v>615</v>
      </c>
      <c r="D521" s="76"/>
      <c r="E521" s="133"/>
      <c r="F521" s="2448"/>
      <c r="G521" s="2448"/>
      <c r="H521" s="2448"/>
      <c r="I521" s="2448"/>
      <c r="J521" s="2448"/>
      <c r="K521" s="2448"/>
      <c r="L521" s="2448"/>
      <c r="M521" s="2448"/>
      <c r="N521" s="133"/>
      <c r="O521" s="133"/>
    </row>
    <row r="522" spans="1:15" s="189" customFormat="1" x14ac:dyDescent="0.25">
      <c r="A522" s="138"/>
      <c r="B522" s="905"/>
      <c r="C522" s="73" t="s">
        <v>983</v>
      </c>
      <c r="D522" s="899"/>
      <c r="E522" s="5803">
        <f>($E$524*Population!E$48/CurrencyMultiplier)*$D$525</f>
        <v>0</v>
      </c>
      <c r="F522" s="5803">
        <f>($E$524*Population!F$48/CurrencyMultiplier)*$D$525</f>
        <v>0</v>
      </c>
      <c r="G522" s="891">
        <f>($E$524*Population!G$48/CurrencyMultiplier)*$D$525</f>
        <v>0</v>
      </c>
      <c r="H522" s="891">
        <f>($E$524*Population!H$48/CurrencyMultiplier)*$D$525</f>
        <v>0</v>
      </c>
      <c r="I522" s="891">
        <f>($E$524*Population!I$48/CurrencyMultiplier)*$D$525</f>
        <v>0</v>
      </c>
      <c r="J522" s="891">
        <f>($E$524*Population!J$48/CurrencyMultiplier)*$D$525</f>
        <v>0</v>
      </c>
      <c r="K522" s="891">
        <f>($E$524*Population!K$48/CurrencyMultiplier)*$D$525</f>
        <v>0</v>
      </c>
      <c r="L522" s="891">
        <f>($E$524*Population!L$48/CurrencyMultiplier)*$D$525</f>
        <v>0</v>
      </c>
      <c r="M522" s="891">
        <f>($E$524*Population!M$48/CurrencyMultiplier)*$D$525</f>
        <v>0</v>
      </c>
      <c r="N522" s="891">
        <f>($E$524*Population!N$48/CurrencyMultiplier)*$D$525</f>
        <v>0</v>
      </c>
      <c r="O522" s="891">
        <f>($E$524*Population!O$48/CurrencyMultiplier)*$D$525</f>
        <v>0</v>
      </c>
    </row>
    <row r="523" spans="1:15" s="170" customFormat="1" x14ac:dyDescent="0.25">
      <c r="B523" s="76"/>
      <c r="C523" s="436" t="s">
        <v>551</v>
      </c>
      <c r="D523" s="76"/>
      <c r="E523" s="437"/>
      <c r="F523" s="437"/>
      <c r="G523" s="437"/>
      <c r="H523" s="437"/>
      <c r="I523" s="437"/>
      <c r="J523" s="437"/>
      <c r="K523" s="437"/>
      <c r="L523" s="437"/>
      <c r="M523" s="437"/>
      <c r="N523" s="437"/>
      <c r="O523" s="437"/>
    </row>
    <row r="524" spans="1:15" s="76" customFormat="1" x14ac:dyDescent="0.25">
      <c r="A524" s="43"/>
      <c r="B524" s="371"/>
      <c r="C524" s="73" t="s">
        <v>332</v>
      </c>
      <c r="D524" s="941">
        <f>IF('WSS Profile'!$G$168="Yes",'WSS Profile'!$G$175,0)</f>
        <v>0</v>
      </c>
      <c r="E524" s="120">
        <f>E520*$D$524</f>
        <v>0</v>
      </c>
      <c r="F524" s="120">
        <f t="shared" ref="F524:O524" si="222">F520*$D$524</f>
        <v>0</v>
      </c>
      <c r="G524" s="120">
        <f t="shared" si="222"/>
        <v>0</v>
      </c>
      <c r="H524" s="120">
        <f t="shared" si="222"/>
        <v>0</v>
      </c>
      <c r="I524" s="120">
        <f t="shared" si="222"/>
        <v>0</v>
      </c>
      <c r="J524" s="120">
        <f t="shared" si="222"/>
        <v>0</v>
      </c>
      <c r="K524" s="120">
        <f t="shared" si="222"/>
        <v>0</v>
      </c>
      <c r="L524" s="120">
        <f t="shared" si="222"/>
        <v>0</v>
      </c>
      <c r="M524" s="120">
        <f t="shared" si="222"/>
        <v>0</v>
      </c>
      <c r="N524" s="120">
        <f t="shared" si="222"/>
        <v>0</v>
      </c>
      <c r="O524" s="120">
        <f t="shared" si="222"/>
        <v>0</v>
      </c>
    </row>
    <row r="525" spans="1:15" s="189" customFormat="1" x14ac:dyDescent="0.25">
      <c r="A525" s="138"/>
      <c r="B525" s="905"/>
      <c r="C525" s="73" t="s">
        <v>983</v>
      </c>
      <c r="D525" s="1268">
        <f>IF('WSS Profile'!$G$168="Yes",1,0)</f>
        <v>0</v>
      </c>
      <c r="E525" s="5800">
        <f>(E524*Population!E$48/CurrencyMultiplier)*$D$525</f>
        <v>0</v>
      </c>
      <c r="F525" s="5800">
        <f>(F524*Population!F$48/CurrencyMultiplier)*$D$525</f>
        <v>0</v>
      </c>
      <c r="G525" s="120">
        <f>(G524*Population!G$48/CurrencyMultiplier)*$D$525</f>
        <v>0</v>
      </c>
      <c r="H525" s="120">
        <f>(H524*Population!H$48/CurrencyMultiplier)*$D$525</f>
        <v>0</v>
      </c>
      <c r="I525" s="120">
        <f>(I524*Population!I$48/CurrencyMultiplier)*$D$525</f>
        <v>0</v>
      </c>
      <c r="J525" s="120">
        <f>(J524*Population!J$48/CurrencyMultiplier)*$D$525</f>
        <v>0</v>
      </c>
      <c r="K525" s="120">
        <f>(K524*Population!K$48/CurrencyMultiplier)*$D$525</f>
        <v>0</v>
      </c>
      <c r="L525" s="120">
        <f>(L524*Population!L$48/CurrencyMultiplier)*$D$525</f>
        <v>0</v>
      </c>
      <c r="M525" s="120">
        <f>(M524*Population!M$48/CurrencyMultiplier)*$D$525</f>
        <v>0</v>
      </c>
      <c r="N525" s="120">
        <f>(N524*Population!N$48/CurrencyMultiplier)*$D$525</f>
        <v>0</v>
      </c>
      <c r="O525" s="120">
        <f>(O524*Population!O$48/CurrencyMultiplier)*$D$525</f>
        <v>0</v>
      </c>
    </row>
    <row r="526" spans="1:15" s="170" customFormat="1" x14ac:dyDescent="0.25">
      <c r="B526" s="76"/>
      <c r="C526" s="436" t="s">
        <v>547</v>
      </c>
      <c r="D526" s="374"/>
      <c r="E526" s="452"/>
      <c r="F526" s="452"/>
      <c r="G526" s="452"/>
      <c r="H526" s="452"/>
      <c r="I526" s="452"/>
      <c r="J526" s="452"/>
      <c r="K526" s="452"/>
      <c r="L526" s="452"/>
      <c r="M526" s="452"/>
      <c r="N526" s="452"/>
      <c r="O526" s="452"/>
    </row>
    <row r="527" spans="1:15" s="170" customFormat="1" x14ac:dyDescent="0.25">
      <c r="B527" s="7250"/>
      <c r="C527" s="1267" t="s">
        <v>474</v>
      </c>
      <c r="D527" s="1155" t="s">
        <v>993</v>
      </c>
      <c r="E527" s="169">
        <f>D524</f>
        <v>0</v>
      </c>
      <c r="F527" s="288">
        <f>IF(E527&lt;&gt;0,E527,IF(F$489='Financing Plan'!$J$170,'Financing Plan'!$M$170,$E$527))</f>
        <v>0</v>
      </c>
      <c r="G527" s="288">
        <f>IF(F527&lt;&gt;0,F527,IF(G$489='Financing Plan'!$J$170,'Financing Plan'!$M$170,$E$527))</f>
        <v>0</v>
      </c>
      <c r="H527" s="288">
        <f>IF(G527&lt;&gt;0,G527,IF(H$489='Financing Plan'!$J$170,'Financing Plan'!$M$170,$E$527))</f>
        <v>0</v>
      </c>
      <c r="I527" s="288">
        <f>IF(H527&lt;&gt;0,H527,IF(I$489='Financing Plan'!$J$170,'Financing Plan'!$M$170,$E$527))</f>
        <v>0</v>
      </c>
      <c r="J527" s="288">
        <f>IF(I527&lt;&gt;0,I527,IF(J$489='Financing Plan'!$J$170,'Financing Plan'!$M$170,$E$527))</f>
        <v>0</v>
      </c>
      <c r="K527" s="288">
        <f>IF(J527&lt;&gt;0,J527,IF(K$489='Financing Plan'!$J$170,'Financing Plan'!$M$170,$E$527))</f>
        <v>0</v>
      </c>
      <c r="L527" s="288">
        <f>IF(K527&lt;&gt;0,K527,IF(L$489='Financing Plan'!$J$170,'Financing Plan'!$M$170,$E$527))</f>
        <v>0</v>
      </c>
      <c r="M527" s="288">
        <f>IF(L527&lt;&gt;0,L527,IF(M$489='Financing Plan'!$J$170,'Financing Plan'!$M$170,$E$527))</f>
        <v>0</v>
      </c>
      <c r="N527" s="288">
        <f>IF(M527&lt;&gt;0,M527,IF(N$489='Financing Plan'!$J$170,'Financing Plan'!$M$170,$E$527))</f>
        <v>0</v>
      </c>
      <c r="O527" s="288">
        <f>IF(N527&lt;&gt;0,N527,IF(O$489='Financing Plan'!$J$170,'Financing Plan'!$M$170,$E$527))</f>
        <v>0</v>
      </c>
    </row>
    <row r="528" spans="1:15" s="170" customFormat="1" ht="22.5" x14ac:dyDescent="0.25">
      <c r="B528" s="7251"/>
      <c r="C528" s="4741"/>
      <c r="D528" s="1156" t="s">
        <v>994</v>
      </c>
      <c r="E528" s="169">
        <f>E527</f>
        <v>0</v>
      </c>
      <c r="F528" s="288">
        <f>IF(E527&lt;&gt;F527,F527,IF('Financing Plan'!F172&lt;&gt;0,'Financing Plan'!F172,E528))</f>
        <v>0</v>
      </c>
      <c r="G528" s="288">
        <f>IF(F527&lt;&gt;G527,G527,IF('Financing Plan'!G172&lt;&gt;0,'Financing Plan'!G172,F528))</f>
        <v>0</v>
      </c>
      <c r="H528" s="288">
        <f>IF(G527&lt;&gt;H527,H527,IF('Financing Plan'!H172&lt;&gt;0,'Financing Plan'!H172,G528))</f>
        <v>0</v>
      </c>
      <c r="I528" s="288">
        <f>IF(H527&lt;&gt;I527,I527,IF('Financing Plan'!I172&lt;&gt;0,'Financing Plan'!I172,H528))</f>
        <v>0</v>
      </c>
      <c r="J528" s="288">
        <f>IF(I527&lt;&gt;J527,J527,IF('Financing Plan'!J172&lt;&gt;0,'Financing Plan'!J172,I528))</f>
        <v>0</v>
      </c>
      <c r="K528" s="288">
        <f>IF(J527&lt;&gt;K527,K527,IF('Financing Plan'!K172&lt;&gt;0,'Financing Plan'!K172,J528))</f>
        <v>0</v>
      </c>
      <c r="L528" s="288">
        <f>IF(K527&lt;&gt;L527,L527,IF('Financing Plan'!L172&lt;&gt;0,'Financing Plan'!L172,K528))</f>
        <v>0</v>
      </c>
      <c r="M528" s="288">
        <f>IF(L527&lt;&gt;M527,M527,IF('Financing Plan'!M172&lt;&gt;0,'Financing Plan'!M172,L528))</f>
        <v>0</v>
      </c>
      <c r="N528" s="288">
        <f>IF(M527&lt;&gt;N527,N527,IF('Financing Plan'!N172&lt;&gt;0,'Financing Plan'!N172,M528))</f>
        <v>0</v>
      </c>
      <c r="O528" s="288">
        <f>IF(N527&lt;&gt;O527,O527,IF('Financing Plan'!O172&lt;&gt;0,'Financing Plan'!O172,N528))</f>
        <v>0</v>
      </c>
    </row>
    <row r="529" spans="1:15" s="77" customFormat="1" ht="30" x14ac:dyDescent="0.25">
      <c r="A529" s="163"/>
      <c r="B529" s="371"/>
      <c r="C529" s="1264" t="s">
        <v>1003</v>
      </c>
      <c r="D529" s="96"/>
      <c r="E529" s="120">
        <f t="shared" ref="E529:O529" si="223">E528*E520</f>
        <v>0</v>
      </c>
      <c r="F529" s="120">
        <f t="shared" si="223"/>
        <v>0</v>
      </c>
      <c r="G529" s="120">
        <f t="shared" si="223"/>
        <v>0</v>
      </c>
      <c r="H529" s="120">
        <f t="shared" si="223"/>
        <v>0</v>
      </c>
      <c r="I529" s="120">
        <f t="shared" si="223"/>
        <v>0</v>
      </c>
      <c r="J529" s="120">
        <f t="shared" si="223"/>
        <v>0</v>
      </c>
      <c r="K529" s="120">
        <f t="shared" si="223"/>
        <v>0</v>
      </c>
      <c r="L529" s="120">
        <f t="shared" si="223"/>
        <v>0</v>
      </c>
      <c r="M529" s="120">
        <f t="shared" si="223"/>
        <v>0</v>
      </c>
      <c r="N529" s="120">
        <f t="shared" si="223"/>
        <v>0</v>
      </c>
      <c r="O529" s="120">
        <f t="shared" si="223"/>
        <v>0</v>
      </c>
    </row>
    <row r="530" spans="1:15" s="76" customFormat="1" x14ac:dyDescent="0.25">
      <c r="A530" s="170"/>
      <c r="B530" s="137"/>
      <c r="C530" s="73" t="s">
        <v>984</v>
      </c>
      <c r="D530" s="1268">
        <f>IF(SUM($D$586:$F$586)=0,0,1)</f>
        <v>0</v>
      </c>
      <c r="E530" s="5800">
        <f>$D$530*E529*Population!E$49/CurrencyMultiplier</f>
        <v>0</v>
      </c>
      <c r="F530" s="5800">
        <f>$D$530*F529*Population!F$49/CurrencyMultiplier</f>
        <v>0</v>
      </c>
      <c r="G530" s="120">
        <f>$D$530*G529*Population!G$49/CurrencyMultiplier</f>
        <v>0</v>
      </c>
      <c r="H530" s="120">
        <f>$D$530*H529*Population!H$49/CurrencyMultiplier</f>
        <v>0</v>
      </c>
      <c r="I530" s="120">
        <f>$D$530*I529*Population!I$49/CurrencyMultiplier</f>
        <v>0</v>
      </c>
      <c r="J530" s="120">
        <f>$D$530*J529*Population!J$49/CurrencyMultiplier</f>
        <v>0</v>
      </c>
      <c r="K530" s="120">
        <f>$D$530*K529*Population!K$49/CurrencyMultiplier</f>
        <v>0</v>
      </c>
      <c r="L530" s="120">
        <f>$D$530*L529*Population!L$49/CurrencyMultiplier</f>
        <v>0</v>
      </c>
      <c r="M530" s="120">
        <f>$D$530*M529*Population!M$49/CurrencyMultiplier</f>
        <v>0</v>
      </c>
      <c r="N530" s="120">
        <f>$D$530*N529*Population!N$49/CurrencyMultiplier</f>
        <v>0</v>
      </c>
      <c r="O530" s="120">
        <f>$D$530*O529*Population!O$49/CurrencyMultiplier</f>
        <v>0</v>
      </c>
    </row>
    <row r="531" spans="1:15" s="170" customFormat="1" x14ac:dyDescent="0.25">
      <c r="A531" s="204"/>
      <c r="B531" s="205"/>
      <c r="C531" s="207" t="s">
        <v>331</v>
      </c>
      <c r="D531" s="369"/>
      <c r="E531" s="452"/>
      <c r="F531" s="452"/>
      <c r="G531" s="452"/>
      <c r="H531" s="452"/>
      <c r="I531" s="452"/>
      <c r="J531" s="452"/>
      <c r="K531" s="452"/>
      <c r="L531" s="452"/>
      <c r="M531" s="452"/>
      <c r="N531" s="452"/>
      <c r="O531" s="452"/>
    </row>
    <row r="532" spans="1:15" x14ac:dyDescent="0.25">
      <c r="B532" s="371"/>
      <c r="C532" s="164" t="s">
        <v>1000</v>
      </c>
      <c r="D532" s="1269">
        <f>IF('WSS Profile'!$F$351="Yes",'WSS Profile'!$G$351,0)</f>
        <v>0</v>
      </c>
      <c r="E532" s="120">
        <f t="shared" ref="E532:O532" si="224">E$520*$D$532</f>
        <v>0</v>
      </c>
      <c r="F532" s="120">
        <f t="shared" si="224"/>
        <v>0</v>
      </c>
      <c r="G532" s="120">
        <f>G$520*$D$532</f>
        <v>0</v>
      </c>
      <c r="H532" s="120">
        <f t="shared" si="224"/>
        <v>0</v>
      </c>
      <c r="I532" s="120">
        <f t="shared" si="224"/>
        <v>0</v>
      </c>
      <c r="J532" s="120">
        <f t="shared" si="224"/>
        <v>0</v>
      </c>
      <c r="K532" s="120">
        <f t="shared" si="224"/>
        <v>0</v>
      </c>
      <c r="L532" s="120">
        <f t="shared" si="224"/>
        <v>0</v>
      </c>
      <c r="M532" s="120">
        <f t="shared" si="224"/>
        <v>0</v>
      </c>
      <c r="N532" s="120">
        <f t="shared" si="224"/>
        <v>0</v>
      </c>
      <c r="O532" s="120">
        <f t="shared" si="224"/>
        <v>0</v>
      </c>
    </row>
    <row r="533" spans="1:15" s="189" customFormat="1" ht="16.5" customHeight="1" x14ac:dyDescent="0.25">
      <c r="A533" s="138"/>
      <c r="B533" s="905"/>
      <c r="C533" s="164" t="s">
        <v>999</v>
      </c>
      <c r="D533" s="96" t="str">
        <f>CONCATENATE('General info'!E43," ",'General info'!G43)</f>
        <v>INR Lakhs</v>
      </c>
      <c r="E533" s="5800">
        <f>E532*Population!E$48/CurrencyMultiplier</f>
        <v>0</v>
      </c>
      <c r="F533" s="5800">
        <f>F532*Population!F$48/CurrencyMultiplier</f>
        <v>0</v>
      </c>
      <c r="G533" s="120">
        <f>G532*Population!G$48/CurrencyMultiplier</f>
        <v>0</v>
      </c>
      <c r="H533" s="120">
        <f>H532*Population!H$48/CurrencyMultiplier</f>
        <v>0</v>
      </c>
      <c r="I533" s="120">
        <f>I532*Population!I$48/CurrencyMultiplier</f>
        <v>0</v>
      </c>
      <c r="J533" s="120">
        <f>J532*Population!J$48/CurrencyMultiplier</f>
        <v>0</v>
      </c>
      <c r="K533" s="120">
        <f>K532*Population!K$48/CurrencyMultiplier</f>
        <v>0</v>
      </c>
      <c r="L533" s="120">
        <f>L532*Population!L$48/CurrencyMultiplier</f>
        <v>0</v>
      </c>
      <c r="M533" s="120">
        <f>M532*Population!M$48/CurrencyMultiplier</f>
        <v>0</v>
      </c>
      <c r="N533" s="120">
        <f>N532*Population!N$48/CurrencyMultiplier</f>
        <v>0</v>
      </c>
      <c r="O533" s="120">
        <f>O532*Population!O$48/CurrencyMultiplier</f>
        <v>0</v>
      </c>
    </row>
    <row r="534" spans="1:15" s="189" customFormat="1" ht="30" x14ac:dyDescent="0.25">
      <c r="A534" s="138"/>
      <c r="B534" s="905"/>
      <c r="C534" s="164" t="s">
        <v>997</v>
      </c>
      <c r="D534" s="1270" t="s">
        <v>998</v>
      </c>
      <c r="E534" s="120">
        <f>E$520*'WW calcu'!E879</f>
        <v>0</v>
      </c>
      <c r="F534" s="120">
        <f>F$520*'WW calcu'!F879</f>
        <v>0</v>
      </c>
      <c r="G534" s="120">
        <f>G$520*'WW calcu'!G879</f>
        <v>0</v>
      </c>
      <c r="H534" s="120">
        <f>H$520*'WW calcu'!H879</f>
        <v>0</v>
      </c>
      <c r="I534" s="120">
        <f>I$520*'WW calcu'!I879</f>
        <v>0</v>
      </c>
      <c r="J534" s="120">
        <f>J$520*'WW calcu'!J879</f>
        <v>0</v>
      </c>
      <c r="K534" s="120">
        <f>K$520*'WW calcu'!K879</f>
        <v>0</v>
      </c>
      <c r="L534" s="120">
        <f>L$520*'WW calcu'!L879</f>
        <v>0</v>
      </c>
      <c r="M534" s="120">
        <f>M$520*'WW calcu'!M879</f>
        <v>0</v>
      </c>
      <c r="N534" s="120">
        <f>N$520*'WW calcu'!N879</f>
        <v>0</v>
      </c>
      <c r="O534" s="120">
        <f>O$520*'WW calcu'!O879</f>
        <v>0</v>
      </c>
    </row>
    <row r="535" spans="1:15" s="189" customFormat="1" ht="30" x14ac:dyDescent="0.25">
      <c r="A535" s="138"/>
      <c r="B535" s="905"/>
      <c r="C535" s="164" t="s">
        <v>979</v>
      </c>
      <c r="D535" s="96" t="str">
        <f>CONCATENATE('General info'!E43," ",'General info'!G43)</f>
        <v>INR Lakhs</v>
      </c>
      <c r="E535" s="5800">
        <f>E534*Population!E$49/CurrencyMultiplier</f>
        <v>0</v>
      </c>
      <c r="F535" s="5800">
        <f>F534*Population!F$49/CurrencyMultiplier</f>
        <v>0</v>
      </c>
      <c r="G535" s="120">
        <f>G534*Population!G$49/CurrencyMultiplier</f>
        <v>0</v>
      </c>
      <c r="H535" s="120">
        <f>H534*Population!H$49/CurrencyMultiplier</f>
        <v>0</v>
      </c>
      <c r="I535" s="120">
        <f>I534*Population!I$49/CurrencyMultiplier</f>
        <v>0</v>
      </c>
      <c r="J535" s="120">
        <f>J534*Population!J$49/CurrencyMultiplier</f>
        <v>0</v>
      </c>
      <c r="K535" s="120">
        <f>K534*Population!K$49/CurrencyMultiplier</f>
        <v>0</v>
      </c>
      <c r="L535" s="120">
        <f>L534*Population!L$49/CurrencyMultiplier</f>
        <v>0</v>
      </c>
      <c r="M535" s="120">
        <f>M534*Population!M$49/CurrencyMultiplier</f>
        <v>0</v>
      </c>
      <c r="N535" s="120">
        <f>N534*Population!N$49/CurrencyMultiplier</f>
        <v>0</v>
      </c>
      <c r="O535" s="120">
        <f>O534*Population!O$49/CurrencyMultiplier</f>
        <v>0</v>
      </c>
    </row>
    <row r="536" spans="1:15" s="170" customFormat="1" x14ac:dyDescent="0.25">
      <c r="A536" s="204"/>
      <c r="B536" s="205"/>
      <c r="C536" s="207" t="s">
        <v>60</v>
      </c>
      <c r="D536" s="369"/>
      <c r="E536" s="452"/>
      <c r="F536" s="452"/>
      <c r="G536" s="452"/>
      <c r="H536" s="452"/>
      <c r="I536" s="452"/>
      <c r="J536" s="452"/>
      <c r="K536" s="452"/>
      <c r="L536" s="452"/>
      <c r="M536" s="452"/>
      <c r="N536" s="452"/>
      <c r="O536" s="452"/>
    </row>
    <row r="537" spans="1:15" x14ac:dyDescent="0.25">
      <c r="B537" s="371"/>
      <c r="C537" s="164" t="s">
        <v>995</v>
      </c>
      <c r="D537" s="1271">
        <f>IF('WSS Profile'!$F$454="Yes",'WSS Profile'!$G$454,0)</f>
        <v>0</v>
      </c>
      <c r="E537" s="120">
        <f t="shared" ref="E537:O537" si="225">E$520*$D$537</f>
        <v>0</v>
      </c>
      <c r="F537" s="120">
        <f t="shared" si="225"/>
        <v>0</v>
      </c>
      <c r="G537" s="120">
        <f t="shared" si="225"/>
        <v>0</v>
      </c>
      <c r="H537" s="120">
        <f t="shared" si="225"/>
        <v>0</v>
      </c>
      <c r="I537" s="120">
        <f t="shared" si="225"/>
        <v>0</v>
      </c>
      <c r="J537" s="120">
        <f t="shared" si="225"/>
        <v>0</v>
      </c>
      <c r="K537" s="120">
        <f t="shared" si="225"/>
        <v>0</v>
      </c>
      <c r="L537" s="120">
        <f t="shared" si="225"/>
        <v>0</v>
      </c>
      <c r="M537" s="120">
        <f t="shared" si="225"/>
        <v>0</v>
      </c>
      <c r="N537" s="120">
        <f t="shared" si="225"/>
        <v>0</v>
      </c>
      <c r="O537" s="120">
        <f t="shared" si="225"/>
        <v>0</v>
      </c>
    </row>
    <row r="538" spans="1:15" s="189" customFormat="1" x14ac:dyDescent="0.25">
      <c r="A538" s="138"/>
      <c r="B538" s="905"/>
      <c r="C538" s="164" t="s">
        <v>977</v>
      </c>
      <c r="D538" s="96" t="str">
        <f>CONCATENATE('General info'!E43," ",'General info'!G43)</f>
        <v>INR Lakhs</v>
      </c>
      <c r="E538" s="5800">
        <f>E537*Population!E$48/CurrencyMultiplier</f>
        <v>0</v>
      </c>
      <c r="F538" s="5800">
        <f>F537*Population!F$48/CurrencyMultiplier</f>
        <v>0</v>
      </c>
      <c r="G538" s="120">
        <f>G537*Population!G$48/CurrencyMultiplier</f>
        <v>0</v>
      </c>
      <c r="H538" s="120">
        <f>H537*Population!H$48/CurrencyMultiplier</f>
        <v>0</v>
      </c>
      <c r="I538" s="120">
        <f>I537*Population!I$48/CurrencyMultiplier</f>
        <v>0</v>
      </c>
      <c r="J538" s="120">
        <f>J537*Population!J$48/CurrencyMultiplier</f>
        <v>0</v>
      </c>
      <c r="K538" s="120">
        <f>K537*Population!K$48/CurrencyMultiplier</f>
        <v>0</v>
      </c>
      <c r="L538" s="120">
        <f>L537*Population!L$48/CurrencyMultiplier</f>
        <v>0</v>
      </c>
      <c r="M538" s="120">
        <f>M537*Population!M$48/CurrencyMultiplier</f>
        <v>0</v>
      </c>
      <c r="N538" s="120">
        <f>N537*Population!N$48/CurrencyMultiplier</f>
        <v>0</v>
      </c>
      <c r="O538" s="120">
        <f>O537*Population!O$48/CurrencyMultiplier</f>
        <v>0</v>
      </c>
    </row>
    <row r="539" spans="1:15" s="76" customFormat="1" ht="30" x14ac:dyDescent="0.25">
      <c r="A539" s="43"/>
      <c r="B539" s="137"/>
      <c r="C539" s="164" t="s">
        <v>996</v>
      </c>
      <c r="D539" s="1270" t="s">
        <v>998</v>
      </c>
      <c r="E539" s="120">
        <f>E520*'MSW calcu'!F196</f>
        <v>0</v>
      </c>
      <c r="F539" s="120">
        <f>F520*'MSW calcu'!G196</f>
        <v>0</v>
      </c>
      <c r="G539" s="120">
        <f>G520*'MSW calcu'!H196</f>
        <v>0</v>
      </c>
      <c r="H539" s="120">
        <f>H520*'MSW calcu'!I196</f>
        <v>0</v>
      </c>
      <c r="I539" s="120">
        <f>I520*'MSW calcu'!J196</f>
        <v>0</v>
      </c>
      <c r="J539" s="120">
        <f>J520*'MSW calcu'!K196</f>
        <v>0</v>
      </c>
      <c r="K539" s="120">
        <f>K520*'MSW calcu'!L196</f>
        <v>0</v>
      </c>
      <c r="L539" s="120">
        <f>L520*'MSW calcu'!M196</f>
        <v>0</v>
      </c>
      <c r="M539" s="120">
        <f>M520*'MSW calcu'!N196</f>
        <v>0</v>
      </c>
      <c r="N539" s="120">
        <f>N520*'MSW calcu'!O196</f>
        <v>0</v>
      </c>
      <c r="O539" s="120">
        <f>O520*'MSW calcu'!P196</f>
        <v>0</v>
      </c>
    </row>
    <row r="540" spans="1:15" s="189" customFormat="1" x14ac:dyDescent="0.25">
      <c r="A540" s="138"/>
      <c r="B540" s="905"/>
      <c r="C540" s="164" t="s">
        <v>978</v>
      </c>
      <c r="D540" s="96" t="str">
        <f>CONCATENATE('General info'!E43," ",'General info'!G43)</f>
        <v>INR Lakhs</v>
      </c>
      <c r="E540" s="5800">
        <f>E539*Population!E$49/CurrencyMultiplier</f>
        <v>0</v>
      </c>
      <c r="F540" s="5800">
        <f>F539*Population!F$49/CurrencyMultiplier</f>
        <v>0</v>
      </c>
      <c r="G540" s="120">
        <f>G539*Population!G$49/CurrencyMultiplier</f>
        <v>0</v>
      </c>
      <c r="H540" s="120">
        <f>H539*Population!H$49/CurrencyMultiplier</f>
        <v>0</v>
      </c>
      <c r="I540" s="120">
        <f>I539*Population!I$49/CurrencyMultiplier</f>
        <v>0</v>
      </c>
      <c r="J540" s="120">
        <f>J539*Population!J$49/CurrencyMultiplier</f>
        <v>0</v>
      </c>
      <c r="K540" s="120">
        <f>K539*Population!K$49/CurrencyMultiplier</f>
        <v>0</v>
      </c>
      <c r="L540" s="120">
        <f>L539*Population!L$49/CurrencyMultiplier</f>
        <v>0</v>
      </c>
      <c r="M540" s="120">
        <f>M539*Population!M$49/CurrencyMultiplier</f>
        <v>0</v>
      </c>
      <c r="N540" s="120">
        <f>N539*Population!N$49/CurrencyMultiplier</f>
        <v>0</v>
      </c>
      <c r="O540" s="120">
        <f>O539*Population!O$49/CurrencyMultiplier</f>
        <v>0</v>
      </c>
    </row>
    <row r="541" spans="1:15" s="53" customFormat="1" x14ac:dyDescent="0.25">
      <c r="A541" s="63"/>
      <c r="B541" s="145"/>
      <c r="C541" s="328"/>
      <c r="D541" s="146"/>
      <c r="E541" s="147"/>
      <c r="F541" s="147"/>
      <c r="G541" s="147"/>
      <c r="H541" s="147"/>
      <c r="I541" s="147"/>
      <c r="J541" s="147"/>
      <c r="K541" s="147"/>
      <c r="L541" s="147"/>
      <c r="M541" s="147"/>
      <c r="N541" s="147"/>
      <c r="O541" s="147"/>
    </row>
    <row r="542" spans="1:15" s="53" customFormat="1" x14ac:dyDescent="0.25">
      <c r="A542" s="63"/>
      <c r="B542" s="145"/>
      <c r="C542" s="328"/>
      <c r="D542" s="146"/>
      <c r="E542" s="147"/>
      <c r="F542" s="147"/>
      <c r="G542" s="147"/>
      <c r="H542" s="147"/>
      <c r="I542" s="147"/>
      <c r="J542" s="147"/>
      <c r="K542" s="147"/>
      <c r="L542" s="147"/>
      <c r="M542" s="147"/>
      <c r="N542" s="147"/>
      <c r="O542" s="147"/>
    </row>
    <row r="543" spans="1:15" ht="15.75" thickBot="1" x14ac:dyDescent="0.3">
      <c r="A543" s="11" t="s">
        <v>126</v>
      </c>
      <c r="B543" s="11" t="s">
        <v>127</v>
      </c>
      <c r="C543" s="309"/>
      <c r="J543" s="48"/>
      <c r="K543" s="48"/>
      <c r="L543" s="48"/>
      <c r="M543" s="48"/>
      <c r="N543" s="48"/>
      <c r="O543" s="48"/>
    </row>
    <row r="544" spans="1:15" ht="30" x14ac:dyDescent="0.25">
      <c r="B544" s="13" t="s">
        <v>3</v>
      </c>
      <c r="C544" s="310" t="s">
        <v>128</v>
      </c>
      <c r="D544" s="310" t="s">
        <v>129</v>
      </c>
      <c r="E544" s="310" t="s">
        <v>74</v>
      </c>
      <c r="F544" s="13" t="s">
        <v>130</v>
      </c>
      <c r="G544" s="13" t="s">
        <v>131</v>
      </c>
      <c r="H544" s="310" t="s">
        <v>362</v>
      </c>
      <c r="I544" s="310" t="s">
        <v>361</v>
      </c>
      <c r="J544" s="310" t="s">
        <v>363</v>
      </c>
      <c r="L544" s="696" t="s">
        <v>357</v>
      </c>
      <c r="M544" s="697" t="s">
        <v>356</v>
      </c>
      <c r="N544" s="698"/>
    </row>
    <row r="545" spans="1:15" x14ac:dyDescent="0.25">
      <c r="B545" s="72">
        <v>1</v>
      </c>
      <c r="C545" s="62" t="s">
        <v>263</v>
      </c>
      <c r="D545" s="180">
        <v>1</v>
      </c>
      <c r="E545" s="187"/>
      <c r="F545" s="878">
        <f>IFERROR((E228+E229+E232)/$E$236,0)</f>
        <v>0</v>
      </c>
      <c r="G545" s="165">
        <f>D545*F545</f>
        <v>0</v>
      </c>
      <c r="H545" s="165">
        <f>F545*$E$236</f>
        <v>0</v>
      </c>
      <c r="I545" s="165">
        <f>G$551*$D545</f>
        <v>0</v>
      </c>
      <c r="J545" s="165">
        <f>I545*H545*10^3/CurrencyMultiplier</f>
        <v>0</v>
      </c>
      <c r="L545" s="699" t="s">
        <v>15</v>
      </c>
      <c r="M545" s="700" t="s">
        <v>351</v>
      </c>
      <c r="N545" s="701" t="s">
        <v>130</v>
      </c>
    </row>
    <row r="546" spans="1:15" x14ac:dyDescent="0.25">
      <c r="B546" s="72">
        <v>2</v>
      </c>
      <c r="C546" s="62" t="s">
        <v>257</v>
      </c>
      <c r="D546" s="180"/>
      <c r="E546" s="188"/>
      <c r="F546" s="176"/>
      <c r="G546" s="165"/>
      <c r="H546" s="165"/>
      <c r="I546" s="165"/>
      <c r="J546" s="165"/>
      <c r="L546" s="702" t="s">
        <v>214</v>
      </c>
      <c r="M546" s="703">
        <v>1</v>
      </c>
      <c r="N546" s="704">
        <v>70</v>
      </c>
    </row>
    <row r="547" spans="1:15" x14ac:dyDescent="0.25">
      <c r="B547" s="72">
        <v>3</v>
      </c>
      <c r="C547" s="62" t="s">
        <v>326</v>
      </c>
      <c r="D547" s="180">
        <v>2.5</v>
      </c>
      <c r="E547" s="188"/>
      <c r="F547" s="176">
        <f>IFERROR(E230/$E$236,0)</f>
        <v>0</v>
      </c>
      <c r="G547" s="165">
        <f>D547*F547</f>
        <v>0</v>
      </c>
      <c r="H547" s="165">
        <f>F547*$E$236</f>
        <v>0</v>
      </c>
      <c r="I547" s="165">
        <f>G$551*$D547</f>
        <v>0</v>
      </c>
      <c r="J547" s="165">
        <f>I547*H547*10^3/CurrencyMultiplier</f>
        <v>0</v>
      </c>
      <c r="L547" s="702" t="s">
        <v>355</v>
      </c>
      <c r="M547" s="703">
        <v>2</v>
      </c>
      <c r="N547" s="704">
        <v>10</v>
      </c>
    </row>
    <row r="548" spans="1:15" x14ac:dyDescent="0.25">
      <c r="B548" s="72">
        <v>4</v>
      </c>
      <c r="C548" s="62" t="s">
        <v>26</v>
      </c>
      <c r="D548" s="180">
        <v>2</v>
      </c>
      <c r="E548" s="188"/>
      <c r="F548" s="176">
        <f>IFERROR(E231/$E$236,0)</f>
        <v>0</v>
      </c>
      <c r="G548" s="165">
        <f>D548*F548</f>
        <v>0</v>
      </c>
      <c r="H548" s="165">
        <f>F548*$E$236</f>
        <v>0</v>
      </c>
      <c r="I548" s="165">
        <f>G$551*$D548</f>
        <v>0</v>
      </c>
      <c r="J548" s="165">
        <f>I548*H548*10^3/CurrencyMultiplier</f>
        <v>0</v>
      </c>
      <c r="L548" s="702" t="s">
        <v>352</v>
      </c>
      <c r="M548" s="703">
        <v>2</v>
      </c>
      <c r="N548" s="704">
        <v>5</v>
      </c>
    </row>
    <row r="549" spans="1:15" x14ac:dyDescent="0.25">
      <c r="B549" s="72">
        <v>5</v>
      </c>
      <c r="C549" s="62" t="s">
        <v>256</v>
      </c>
      <c r="D549" s="180"/>
      <c r="E549" s="188"/>
      <c r="F549" s="176"/>
      <c r="G549" s="165"/>
      <c r="H549" s="165"/>
      <c r="I549" s="165"/>
      <c r="J549" s="165"/>
      <c r="L549" s="702" t="s">
        <v>353</v>
      </c>
      <c r="M549" s="703">
        <v>3</v>
      </c>
      <c r="N549" s="704">
        <v>5</v>
      </c>
    </row>
    <row r="550" spans="1:15" ht="15.75" thickBot="1" x14ac:dyDescent="0.3">
      <c r="B550" s="456"/>
      <c r="C550" s="177" t="str">
        <f>C236</f>
        <v>Total</v>
      </c>
      <c r="D550" s="181"/>
      <c r="E550" s="188"/>
      <c r="F550" s="178">
        <f>IFERROR(E236/$E$236,0)</f>
        <v>0</v>
      </c>
      <c r="G550" s="179">
        <f>SUM(G545:G549)</f>
        <v>0</v>
      </c>
      <c r="H550" s="179">
        <f>SUM(H545:H549)</f>
        <v>0</v>
      </c>
      <c r="I550" s="165"/>
      <c r="J550" s="165"/>
      <c r="L550" s="705" t="s">
        <v>354</v>
      </c>
      <c r="M550" s="706">
        <v>5</v>
      </c>
      <c r="N550" s="707">
        <v>10</v>
      </c>
    </row>
    <row r="551" spans="1:15" x14ac:dyDescent="0.25">
      <c r="B551" s="183"/>
      <c r="C551" s="184"/>
      <c r="D551" s="185"/>
      <c r="E551" s="186"/>
      <c r="G551" s="708">
        <f>IFERROR($E$568/G550,0)</f>
        <v>0</v>
      </c>
      <c r="H551" s="48"/>
      <c r="J551" s="48"/>
      <c r="K551" s="48"/>
      <c r="L551" s="702" t="s">
        <v>366</v>
      </c>
      <c r="M551" s="703">
        <v>1</v>
      </c>
      <c r="N551" s="704" t="s">
        <v>365</v>
      </c>
    </row>
    <row r="552" spans="1:15" ht="30.75" thickBot="1" x14ac:dyDescent="0.3">
      <c r="B552" s="13" t="s">
        <v>3</v>
      </c>
      <c r="C552" s="310" t="s">
        <v>128</v>
      </c>
      <c r="D552" s="310" t="s">
        <v>129</v>
      </c>
      <c r="E552" s="310" t="s">
        <v>74</v>
      </c>
      <c r="F552" s="13" t="s">
        <v>130</v>
      </c>
      <c r="G552" s="13" t="s">
        <v>131</v>
      </c>
      <c r="H552" s="310" t="s">
        <v>362</v>
      </c>
      <c r="I552" s="310" t="s">
        <v>361</v>
      </c>
      <c r="J552" s="310" t="s">
        <v>363</v>
      </c>
      <c r="K552" s="48"/>
      <c r="L552" s="705" t="s">
        <v>367</v>
      </c>
      <c r="M552" s="706">
        <v>2</v>
      </c>
      <c r="N552" s="707" t="s">
        <v>368</v>
      </c>
    </row>
    <row r="553" spans="1:15" x14ac:dyDescent="0.25">
      <c r="B553" s="72">
        <v>1</v>
      </c>
      <c r="C553" s="62" t="s">
        <v>359</v>
      </c>
      <c r="D553" s="180">
        <v>1</v>
      </c>
      <c r="E553" s="187">
        <v>45</v>
      </c>
      <c r="F553" s="176">
        <f>IFERROR(E553/($E$553+$E$554),0)</f>
        <v>0</v>
      </c>
      <c r="G553" s="165">
        <f>D553*F553</f>
        <v>0</v>
      </c>
      <c r="H553" s="21">
        <f>F553*H545</f>
        <v>0</v>
      </c>
      <c r="I553" s="37">
        <f>$G$556*D553</f>
        <v>0</v>
      </c>
      <c r="J553" s="165">
        <f>I553*H553*10^3/CurrencyMultiplier</f>
        <v>0</v>
      </c>
      <c r="K553" s="48"/>
      <c r="L553" s="48"/>
      <c r="M553" s="48"/>
      <c r="N553" s="48"/>
      <c r="O553" s="48"/>
    </row>
    <row r="554" spans="1:15" x14ac:dyDescent="0.25">
      <c r="B554" s="72">
        <v>2</v>
      </c>
      <c r="C554" s="62" t="s">
        <v>360</v>
      </c>
      <c r="D554" s="180">
        <v>2</v>
      </c>
      <c r="E554" s="188">
        <f>E257-E553</f>
        <v>-45</v>
      </c>
      <c r="F554" s="176">
        <f>IFERROR(E554/($E$553+$E$554),0)</f>
        <v>0</v>
      </c>
      <c r="G554" s="165">
        <f>D554*F554</f>
        <v>0</v>
      </c>
      <c r="H554" s="21">
        <f>F554*H545</f>
        <v>0</v>
      </c>
      <c r="I554" s="37">
        <f>$G$556*D554</f>
        <v>0</v>
      </c>
      <c r="J554" s="165">
        <f>I554*H554*10^3/CurrencyMultiplier</f>
        <v>0</v>
      </c>
      <c r="K554" s="48"/>
      <c r="L554" s="189"/>
      <c r="M554" s="48"/>
      <c r="N554" s="48"/>
      <c r="O554" s="48"/>
    </row>
    <row r="555" spans="1:15" x14ac:dyDescent="0.25">
      <c r="B555" s="456"/>
      <c r="C555" s="177" t="str">
        <f>C241</f>
        <v>Total population served</v>
      </c>
      <c r="D555" s="181"/>
      <c r="E555" s="188"/>
      <c r="F555" s="178">
        <f>SUM(F553:F554)</f>
        <v>0</v>
      </c>
      <c r="G555" s="179">
        <f>SUM(G553:G554)</f>
        <v>0</v>
      </c>
      <c r="H555" s="179"/>
      <c r="I555" s="165"/>
      <c r="J555" s="165"/>
      <c r="M555" s="48"/>
      <c r="N555" s="48"/>
      <c r="O555" s="48"/>
    </row>
    <row r="556" spans="1:15" ht="14.25" customHeight="1" x14ac:dyDescent="0.25">
      <c r="B556" s="183"/>
      <c r="C556" s="50"/>
      <c r="D556" s="48"/>
      <c r="F556" s="48"/>
      <c r="G556" s="709">
        <f>IFERROR($I$545/$G$555,0)</f>
        <v>0</v>
      </c>
      <c r="H556" s="48"/>
    </row>
    <row r="557" spans="1:15" x14ac:dyDescent="0.25">
      <c r="A557" s="11"/>
      <c r="B557" s="11"/>
      <c r="C557" s="309"/>
    </row>
    <row r="558" spans="1:15" ht="45" x14ac:dyDescent="0.25">
      <c r="A558" s="11"/>
      <c r="B558" s="13" t="s">
        <v>3</v>
      </c>
      <c r="C558" s="310" t="s">
        <v>537</v>
      </c>
      <c r="D558" s="364" t="s">
        <v>530</v>
      </c>
      <c r="E558" s="1275" t="s">
        <v>533</v>
      </c>
      <c r="F558" s="1276" t="s">
        <v>535</v>
      </c>
      <c r="G558" s="1277" t="s">
        <v>532</v>
      </c>
      <c r="H558" s="1278" t="s">
        <v>985</v>
      </c>
      <c r="I558" s="1276" t="s">
        <v>536</v>
      </c>
      <c r="J558" s="1279" t="s">
        <v>534</v>
      </c>
      <c r="K558" s="1278" t="s">
        <v>986</v>
      </c>
      <c r="L558" s="1278" t="s">
        <v>1201</v>
      </c>
    </row>
    <row r="559" spans="1:15" x14ac:dyDescent="0.25">
      <c r="A559" s="11"/>
      <c r="B559" s="72">
        <v>1</v>
      </c>
      <c r="C559" s="363" t="s">
        <v>263</v>
      </c>
      <c r="D559" s="165">
        <f>'Financing Plan'!AO166</f>
        <v>0</v>
      </c>
      <c r="E559" s="59">
        <f>IFERROR(IF(D559&lt;1,(1-1/D559),D559-1),0)</f>
        <v>0</v>
      </c>
      <c r="F559" s="1272">
        <f>'Financing Plan'!L163</f>
        <v>0</v>
      </c>
      <c r="G559" s="1280">
        <f>IF(AND('Financing Plan'!$J$164&lt;&gt;0,F559=0),'Financing Plan'!L$164,0)</f>
        <v>0</v>
      </c>
      <c r="H559" s="1273">
        <f>IF(SUM($D$559:$D$563)=0,SUM(F559:G559),SUM($F$560:$G$560)*(1+E559))</f>
        <v>0</v>
      </c>
      <c r="I559" s="1274">
        <f>IF('WSS Profile'!$G$169="Yes",'WSS Profile'!G180,0)</f>
        <v>0</v>
      </c>
      <c r="J559" s="1281">
        <f>IF(AND('Financing Plan'!$J$158&lt;&gt;0,I559=0),'Financing Plan'!$M$158,0)</f>
        <v>0</v>
      </c>
      <c r="K559" s="1274">
        <f>IF(SUM($D$559:$D$563)=0,SUM(I559:J559),SUM($I$560:$J$560)*(1+E559))</f>
        <v>0</v>
      </c>
      <c r="L559" s="1274">
        <f>'Financing Plan'!AO163</f>
        <v>0</v>
      </c>
      <c r="N559" s="10"/>
    </row>
    <row r="560" spans="1:15" x14ac:dyDescent="0.25">
      <c r="A560" s="11"/>
      <c r="B560" s="72">
        <v>2</v>
      </c>
      <c r="C560" s="363" t="s">
        <v>257</v>
      </c>
      <c r="D560" s="165">
        <f>'Financing Plan'!AQ166</f>
        <v>0</v>
      </c>
      <c r="E560" s="59">
        <f>IFERROR(IF(D560&lt;1,(1-1/D560),D560-1),0)</f>
        <v>0</v>
      </c>
      <c r="F560" s="1272">
        <f>'Financing Plan'!M163</f>
        <v>0</v>
      </c>
      <c r="G560" s="1280">
        <f>IF(AND(F560=0,'Financing Plan'!$J$164&lt;&gt;0),'Financing Plan'!M$164,0)</f>
        <v>0</v>
      </c>
      <c r="H560" s="1273">
        <f>IF(SUM($D$559:$D$563)=0,SUM(F560:G560),SUM($F$560:$G$560)*(1+E560))</f>
        <v>0</v>
      </c>
      <c r="I560" s="1274">
        <f>IF('WSS Profile'!$G$169="Yes",'WSS Profile'!G185,0)</f>
        <v>0</v>
      </c>
      <c r="J560" s="1281">
        <f>IFERROR(($J$559/$L$559)*L560,0)</f>
        <v>0</v>
      </c>
      <c r="K560" s="1274">
        <f>IF(SUM($D$559:$D$563)=0,SUM(I560:J560),SUM($I$560:$J$560)*(1+E560))</f>
        <v>0</v>
      </c>
      <c r="L560" s="1274">
        <f>'Financing Plan'!AQ163</f>
        <v>0</v>
      </c>
    </row>
    <row r="561" spans="1:15" x14ac:dyDescent="0.25">
      <c r="A561" s="11"/>
      <c r="B561" s="72">
        <v>3</v>
      </c>
      <c r="C561" s="363" t="s">
        <v>326</v>
      </c>
      <c r="D561" s="165">
        <f>'Financing Plan'!AS166</f>
        <v>0</v>
      </c>
      <c r="E561" s="59">
        <f>IFERROR(IF(D561&lt;1,(1-1/D561),D561-1),0)</f>
        <v>0</v>
      </c>
      <c r="F561" s="1272">
        <f>'Financing Plan'!N163</f>
        <v>0</v>
      </c>
      <c r="G561" s="1280">
        <f>IF(AND(F561=0,'Financing Plan'!$J$164&lt;&gt;0),'Financing Plan'!N$164,0)</f>
        <v>0</v>
      </c>
      <c r="H561" s="1273">
        <f>IF(SUM($D$559:$D$563)=0,SUM(F561:G561),SUM($F$560:$G$560)*(1+E561))</f>
        <v>0</v>
      </c>
      <c r="I561" s="1274">
        <f>IF('WSS Profile'!$G$169="Yes",'WSS Profile'!G190,0)</f>
        <v>0</v>
      </c>
      <c r="J561" s="1281">
        <f>IFERROR(($J$559/$L$559)*L561,0)</f>
        <v>0</v>
      </c>
      <c r="K561" s="1274">
        <f>IF(SUM($D$559:$D$563)=0,SUM(I561:J561),SUM($I$560:$J$560)*(1+E561))</f>
        <v>0</v>
      </c>
      <c r="L561" s="1274">
        <f>'Financing Plan'!AS163</f>
        <v>0</v>
      </c>
    </row>
    <row r="562" spans="1:15" x14ac:dyDescent="0.25">
      <c r="A562" s="11"/>
      <c r="B562" s="72">
        <v>4</v>
      </c>
      <c r="C562" s="363" t="s">
        <v>26</v>
      </c>
      <c r="D562" s="165">
        <f>'Financing Plan'!AU166</f>
        <v>0</v>
      </c>
      <c r="E562" s="59">
        <f>IFERROR(IF(D562&lt;1,(1-1/D562),D562-1),0)</f>
        <v>0</v>
      </c>
      <c r="F562" s="1272">
        <f>'Financing Plan'!O163</f>
        <v>0</v>
      </c>
      <c r="G562" s="1280">
        <f>IF(AND(F562=0,'Financing Plan'!$J$164&lt;&gt;0),'Financing Plan'!O$164,0)</f>
        <v>0</v>
      </c>
      <c r="H562" s="1273">
        <f>IF(SUM($D$559:$D$563)=0,SUM(F562:G562),SUM($F$560:$G$560)*(1+E562))</f>
        <v>0</v>
      </c>
      <c r="I562" s="1274">
        <f>IF('WSS Profile'!$G$169="Yes",'WSS Profile'!G195,0)</f>
        <v>0</v>
      </c>
      <c r="J562" s="1281">
        <f>IFERROR(($J$559/$L$559)*L562,0)</f>
        <v>0</v>
      </c>
      <c r="K562" s="1274">
        <f>IF(SUM($D$559:$D$563)=0,SUM(I562:J562),SUM($I$560:$J$560)*(1+E562))</f>
        <v>0</v>
      </c>
      <c r="L562" s="1274">
        <f>'Financing Plan'!AU163</f>
        <v>0</v>
      </c>
    </row>
    <row r="563" spans="1:15" x14ac:dyDescent="0.25">
      <c r="A563" s="11"/>
      <c r="B563" s="72">
        <v>5</v>
      </c>
      <c r="C563" s="363" t="s">
        <v>256</v>
      </c>
      <c r="D563" s="165">
        <f>D560</f>
        <v>0</v>
      </c>
      <c r="E563" s="59">
        <f>IFERROR(IF(D563&lt;1,(1-1/D563),D563-1),0)</f>
        <v>0</v>
      </c>
      <c r="F563" s="1272">
        <f>F560</f>
        <v>0</v>
      </c>
      <c r="G563" s="1280">
        <f>G560</f>
        <v>0</v>
      </c>
      <c r="H563" s="1273">
        <f>IF(SUM($D$559:$D$563)=0,SUM(F563:G563),SUM($F$560:$G$560)*(1+E563))</f>
        <v>0</v>
      </c>
      <c r="I563" s="1274">
        <f>I560</f>
        <v>0</v>
      </c>
      <c r="J563" s="1281">
        <f>IFERROR(($J$559/$L$559)*L563,0)</f>
        <v>0</v>
      </c>
      <c r="K563" s="1274">
        <f>IF(SUM($D$559:$D$563)=0,SUM(I563:J563),SUM($I$560:$J$560)*(1+E563))</f>
        <v>0</v>
      </c>
      <c r="L563" s="1274">
        <f>L560</f>
        <v>0</v>
      </c>
    </row>
    <row r="564" spans="1:15" x14ac:dyDescent="0.25">
      <c r="A564" s="11"/>
      <c r="B564" s="183"/>
      <c r="C564" s="184"/>
    </row>
    <row r="565" spans="1:15" x14ac:dyDescent="0.25">
      <c r="A565" s="11" t="s">
        <v>123</v>
      </c>
      <c r="B565" s="11" t="s">
        <v>553</v>
      </c>
      <c r="C565" s="309"/>
    </row>
    <row r="566" spans="1:15" x14ac:dyDescent="0.25">
      <c r="B566" s="13" t="s">
        <v>3</v>
      </c>
      <c r="C566" s="310" t="s">
        <v>4</v>
      </c>
      <c r="D566" s="13" t="s">
        <v>33</v>
      </c>
      <c r="E566" s="13">
        <f>E$3</f>
        <v>2014</v>
      </c>
      <c r="F566" s="13">
        <f t="shared" ref="F566:O566" si="226">F$3</f>
        <v>2015</v>
      </c>
      <c r="G566" s="13">
        <f t="shared" si="226"/>
        <v>2016</v>
      </c>
      <c r="H566" s="13">
        <f t="shared" si="226"/>
        <v>2017</v>
      </c>
      <c r="I566" s="13">
        <f t="shared" si="226"/>
        <v>2018</v>
      </c>
      <c r="J566" s="13">
        <f t="shared" si="226"/>
        <v>2019</v>
      </c>
      <c r="K566" s="13">
        <f t="shared" si="226"/>
        <v>2020</v>
      </c>
      <c r="L566" s="13">
        <f t="shared" si="226"/>
        <v>2021</v>
      </c>
      <c r="M566" s="13">
        <f t="shared" si="226"/>
        <v>2022</v>
      </c>
      <c r="N566" s="13">
        <f t="shared" si="226"/>
        <v>2023</v>
      </c>
      <c r="O566" s="13">
        <f t="shared" si="226"/>
        <v>2024</v>
      </c>
    </row>
    <row r="567" spans="1:15" s="53" customFormat="1" x14ac:dyDescent="0.25">
      <c r="A567" s="49"/>
      <c r="B567" s="29"/>
      <c r="C567" s="74" t="s">
        <v>350</v>
      </c>
      <c r="D567" s="713" t="str">
        <f>CONCATENATE('General info'!E43," ",'General info'!G43)</f>
        <v>INR Lakhs</v>
      </c>
      <c r="E567" s="144">
        <f>'Financial Projections'!J114</f>
        <v>0</v>
      </c>
      <c r="F567" s="144">
        <f>'Financial Projections'!K29</f>
        <v>0</v>
      </c>
      <c r="G567" s="144">
        <f>'Financial Projections'!L29</f>
        <v>0</v>
      </c>
      <c r="H567" s="144">
        <f>'Financial Projections'!M29</f>
        <v>0</v>
      </c>
      <c r="I567" s="144">
        <f>'Financial Projections'!N29</f>
        <v>0</v>
      </c>
      <c r="J567" s="144">
        <f>'Financial Projections'!O29</f>
        <v>0</v>
      </c>
      <c r="K567" s="144">
        <f>'Financial Projections'!P29</f>
        <v>0</v>
      </c>
      <c r="L567" s="144">
        <f>'Financial Projections'!Q29</f>
        <v>0</v>
      </c>
      <c r="M567" s="144">
        <f>'Financial Projections'!R29</f>
        <v>0</v>
      </c>
      <c r="N567" s="144">
        <f>'Financial Projections'!S29</f>
        <v>0</v>
      </c>
      <c r="O567" s="144">
        <f>'Financial Projections'!T29</f>
        <v>0</v>
      </c>
    </row>
    <row r="568" spans="1:15" s="53" customFormat="1" x14ac:dyDescent="0.25">
      <c r="A568" s="49"/>
      <c r="B568" s="137"/>
      <c r="C568" s="74" t="s">
        <v>124</v>
      </c>
      <c r="D568" s="175" t="s">
        <v>125</v>
      </c>
      <c r="E568" s="193">
        <f>IFERROR(E567*CurrencyMultiplier/(E$26*365*10^3),0)</f>
        <v>0</v>
      </c>
      <c r="F568" s="5814">
        <f>IFERROR(F567*CurrencyMultiplier/(F$26*365*10^3),0)</f>
        <v>0</v>
      </c>
      <c r="G568" s="5814">
        <f>IFERROR(G567*CurrencyMultiplier/(G$26*365*10^3),0)</f>
        <v>0</v>
      </c>
      <c r="H568" s="193">
        <f>IFERROR(H567*CurrencyMultiplier/(H$26*365*10^3),0)</f>
        <v>0</v>
      </c>
      <c r="I568" s="193">
        <f>IFERROR(I567*CurrencyMultiplier/(I$26*365*10^3),0)</f>
        <v>0</v>
      </c>
      <c r="J568" s="193">
        <f>IFERROR(J567*CurrencyMultiplier/(J$26*365*10^3),0)</f>
        <v>0</v>
      </c>
      <c r="K568" s="193">
        <f>IFERROR(K567*CurrencyMultiplier/(K$26*365*10^3),0)</f>
        <v>0</v>
      </c>
      <c r="L568" s="193">
        <f>IFERROR(L567*CurrencyMultiplier/(L$26*365*10^3),0)</f>
        <v>0</v>
      </c>
      <c r="M568" s="193">
        <f>IFERROR(M567*CurrencyMultiplier/(M$26*365*10^3),0)</f>
        <v>0</v>
      </c>
      <c r="N568" s="193">
        <f>IFERROR(N567*CurrencyMultiplier/(N$26*365*10^3),0)</f>
        <v>0</v>
      </c>
      <c r="O568" s="193">
        <f>IFERROR(O567*CurrencyMultiplier/(O$26*365*10^3),0)</f>
        <v>0</v>
      </c>
    </row>
    <row r="569" spans="1:15" s="80" customFormat="1" x14ac:dyDescent="0.25">
      <c r="A569" s="134"/>
      <c r="B569" s="159"/>
      <c r="C569" s="177" t="s">
        <v>349</v>
      </c>
      <c r="D569" s="190">
        <f>$G$550</f>
        <v>0</v>
      </c>
      <c r="E569" s="179">
        <f>IFERROR(E568/$D$569,0)</f>
        <v>0</v>
      </c>
      <c r="F569" s="179">
        <f t="shared" ref="F569:O569" si="227">IFERROR(F568/$D$569,0)</f>
        <v>0</v>
      </c>
      <c r="G569" s="179">
        <f t="shared" si="227"/>
        <v>0</v>
      </c>
      <c r="H569" s="179">
        <f t="shared" si="227"/>
        <v>0</v>
      </c>
      <c r="I569" s="179">
        <f t="shared" si="227"/>
        <v>0</v>
      </c>
      <c r="J569" s="179">
        <f t="shared" si="227"/>
        <v>0</v>
      </c>
      <c r="K569" s="179">
        <f t="shared" si="227"/>
        <v>0</v>
      </c>
      <c r="L569" s="179">
        <f t="shared" si="227"/>
        <v>0</v>
      </c>
      <c r="M569" s="179">
        <f t="shared" si="227"/>
        <v>0</v>
      </c>
      <c r="N569" s="179">
        <f t="shared" si="227"/>
        <v>0</v>
      </c>
      <c r="O569" s="179">
        <f t="shared" si="227"/>
        <v>0</v>
      </c>
    </row>
    <row r="570" spans="1:15" s="56" customFormat="1" x14ac:dyDescent="0.25">
      <c r="A570"/>
      <c r="B570"/>
      <c r="C570" s="327" t="s">
        <v>358</v>
      </c>
      <c r="D570"/>
      <c r="E570"/>
      <c r="F570"/>
      <c r="G570"/>
      <c r="H570"/>
      <c r="I570"/>
      <c r="J570"/>
      <c r="K570"/>
      <c r="L570"/>
      <c r="M570"/>
      <c r="N570"/>
      <c r="O570"/>
    </row>
    <row r="571" spans="1:15" s="77" customFormat="1" x14ac:dyDescent="0.25">
      <c r="A571" s="163"/>
      <c r="B571" s="456"/>
      <c r="C571" s="62" t="s">
        <v>258</v>
      </c>
      <c r="D571" s="710">
        <f>IFERROR(E571/E569,0)</f>
        <v>0</v>
      </c>
      <c r="E571" s="165">
        <f>I554</f>
        <v>0</v>
      </c>
      <c r="F571" s="165">
        <f t="shared" ref="F571:O575" si="228">F$569*$D571</f>
        <v>0</v>
      </c>
      <c r="G571" s="165">
        <f t="shared" si="228"/>
        <v>0</v>
      </c>
      <c r="H571" s="165">
        <f t="shared" si="228"/>
        <v>0</v>
      </c>
      <c r="I571" s="165">
        <f t="shared" si="228"/>
        <v>0</v>
      </c>
      <c r="J571" s="165">
        <f t="shared" si="228"/>
        <v>0</v>
      </c>
      <c r="K571" s="165">
        <f t="shared" si="228"/>
        <v>0</v>
      </c>
      <c r="L571" s="165">
        <f t="shared" si="228"/>
        <v>0</v>
      </c>
      <c r="M571" s="165">
        <f t="shared" si="228"/>
        <v>0</v>
      </c>
      <c r="N571" s="165">
        <f t="shared" si="228"/>
        <v>0</v>
      </c>
      <c r="O571" s="165">
        <f t="shared" si="228"/>
        <v>0</v>
      </c>
    </row>
    <row r="572" spans="1:15" s="77" customFormat="1" x14ac:dyDescent="0.25">
      <c r="A572" s="163"/>
      <c r="B572" s="72"/>
      <c r="C572" s="62" t="s">
        <v>257</v>
      </c>
      <c r="D572" s="710">
        <f>IFERROR(E572/E569,0)</f>
        <v>0</v>
      </c>
      <c r="E572" s="165">
        <f>I553</f>
        <v>0</v>
      </c>
      <c r="F572" s="165">
        <f t="shared" si="228"/>
        <v>0</v>
      </c>
      <c r="G572" s="165">
        <f t="shared" si="228"/>
        <v>0</v>
      </c>
      <c r="H572" s="165">
        <f t="shared" si="228"/>
        <v>0</v>
      </c>
      <c r="I572" s="165">
        <f t="shared" si="228"/>
        <v>0</v>
      </c>
      <c r="J572" s="165">
        <f t="shared" si="228"/>
        <v>0</v>
      </c>
      <c r="K572" s="165">
        <f t="shared" si="228"/>
        <v>0</v>
      </c>
      <c r="L572" s="165">
        <f t="shared" si="228"/>
        <v>0</v>
      </c>
      <c r="M572" s="165">
        <f t="shared" si="228"/>
        <v>0</v>
      </c>
      <c r="N572" s="165">
        <f t="shared" si="228"/>
        <v>0</v>
      </c>
      <c r="O572" s="165">
        <f t="shared" si="228"/>
        <v>0</v>
      </c>
    </row>
    <row r="573" spans="1:15" s="77" customFormat="1" x14ac:dyDescent="0.25">
      <c r="A573" s="163"/>
      <c r="B573" s="456"/>
      <c r="C573" s="62" t="s">
        <v>326</v>
      </c>
      <c r="D573" s="711">
        <f>D547</f>
        <v>2.5</v>
      </c>
      <c r="E573" s="165">
        <f>I547</f>
        <v>0</v>
      </c>
      <c r="F573" s="165">
        <f t="shared" si="228"/>
        <v>0</v>
      </c>
      <c r="G573" s="165">
        <f t="shared" si="228"/>
        <v>0</v>
      </c>
      <c r="H573" s="165">
        <f t="shared" si="228"/>
        <v>0</v>
      </c>
      <c r="I573" s="165">
        <f t="shared" si="228"/>
        <v>0</v>
      </c>
      <c r="J573" s="165">
        <f t="shared" si="228"/>
        <v>0</v>
      </c>
      <c r="K573" s="165">
        <f t="shared" si="228"/>
        <v>0</v>
      </c>
      <c r="L573" s="165">
        <f t="shared" si="228"/>
        <v>0</v>
      </c>
      <c r="M573" s="165">
        <f t="shared" si="228"/>
        <v>0</v>
      </c>
      <c r="N573" s="165">
        <f t="shared" si="228"/>
        <v>0</v>
      </c>
      <c r="O573" s="165">
        <f t="shared" si="228"/>
        <v>0</v>
      </c>
    </row>
    <row r="574" spans="1:15" s="77" customFormat="1" x14ac:dyDescent="0.25">
      <c r="A574" s="163"/>
      <c r="B574" s="456"/>
      <c r="C574" s="62" t="s">
        <v>324</v>
      </c>
      <c r="D574" s="711">
        <f>D548</f>
        <v>2</v>
      </c>
      <c r="E574" s="165">
        <f>I548</f>
        <v>0</v>
      </c>
      <c r="F574" s="165">
        <f t="shared" si="228"/>
        <v>0</v>
      </c>
      <c r="G574" s="165">
        <f t="shared" si="228"/>
        <v>0</v>
      </c>
      <c r="H574" s="165">
        <f t="shared" si="228"/>
        <v>0</v>
      </c>
      <c r="I574" s="165">
        <f t="shared" si="228"/>
        <v>0</v>
      </c>
      <c r="J574" s="165">
        <f t="shared" si="228"/>
        <v>0</v>
      </c>
      <c r="K574" s="165">
        <f t="shared" si="228"/>
        <v>0</v>
      </c>
      <c r="L574" s="165">
        <f t="shared" si="228"/>
        <v>0</v>
      </c>
      <c r="M574" s="165">
        <f t="shared" si="228"/>
        <v>0</v>
      </c>
      <c r="N574" s="165">
        <f t="shared" si="228"/>
        <v>0</v>
      </c>
      <c r="O574" s="165">
        <f t="shared" si="228"/>
        <v>0</v>
      </c>
    </row>
    <row r="575" spans="1:15" s="77" customFormat="1" x14ac:dyDescent="0.25">
      <c r="A575" s="163"/>
      <c r="B575" s="456"/>
      <c r="C575" s="62" t="s">
        <v>256</v>
      </c>
      <c r="D575" s="710">
        <f>IFERROR(E575/E569,0)</f>
        <v>0</v>
      </c>
      <c r="E575" s="165">
        <f>I553</f>
        <v>0</v>
      </c>
      <c r="F575" s="165">
        <f t="shared" si="228"/>
        <v>0</v>
      </c>
      <c r="G575" s="165">
        <f t="shared" si="228"/>
        <v>0</v>
      </c>
      <c r="H575" s="165">
        <f t="shared" si="228"/>
        <v>0</v>
      </c>
      <c r="I575" s="165">
        <f t="shared" si="228"/>
        <v>0</v>
      </c>
      <c r="J575" s="165">
        <f t="shared" si="228"/>
        <v>0</v>
      </c>
      <c r="K575" s="165">
        <f t="shared" si="228"/>
        <v>0</v>
      </c>
      <c r="L575" s="165">
        <f t="shared" si="228"/>
        <v>0</v>
      </c>
      <c r="M575" s="165">
        <f t="shared" si="228"/>
        <v>0</v>
      </c>
      <c r="N575" s="165">
        <f t="shared" si="228"/>
        <v>0</v>
      </c>
      <c r="O575" s="165">
        <f t="shared" si="228"/>
        <v>0</v>
      </c>
    </row>
    <row r="576" spans="1:15" s="56" customFormat="1" x14ac:dyDescent="0.25">
      <c r="A576"/>
      <c r="B576"/>
      <c r="C576" s="327" t="s">
        <v>529</v>
      </c>
      <c r="D576"/>
      <c r="E576"/>
      <c r="F576"/>
      <c r="G576"/>
      <c r="H576"/>
      <c r="I576"/>
      <c r="J576"/>
      <c r="K576"/>
      <c r="L576"/>
      <c r="M576"/>
      <c r="N576"/>
      <c r="O576"/>
    </row>
    <row r="577" spans="1:15" s="77" customFormat="1" x14ac:dyDescent="0.25">
      <c r="A577" s="163"/>
      <c r="B577" s="456"/>
      <c r="C577" s="62" t="s">
        <v>258</v>
      </c>
      <c r="D577" s="191"/>
      <c r="E577" s="351">
        <f t="shared" ref="E577:O577" si="229">$D571*E$227*E571</f>
        <v>0</v>
      </c>
      <c r="F577" s="351">
        <f t="shared" si="229"/>
        <v>0</v>
      </c>
      <c r="G577" s="351">
        <f t="shared" si="229"/>
        <v>0</v>
      </c>
      <c r="H577" s="351">
        <f t="shared" si="229"/>
        <v>0</v>
      </c>
      <c r="I577" s="351">
        <f t="shared" si="229"/>
        <v>0</v>
      </c>
      <c r="J577" s="351">
        <f t="shared" si="229"/>
        <v>0</v>
      </c>
      <c r="K577" s="351">
        <f t="shared" si="229"/>
        <v>0</v>
      </c>
      <c r="L577" s="351">
        <f t="shared" si="229"/>
        <v>0</v>
      </c>
      <c r="M577" s="351">
        <f t="shared" si="229"/>
        <v>0</v>
      </c>
      <c r="N577" s="351">
        <f t="shared" si="229"/>
        <v>0</v>
      </c>
      <c r="O577" s="351">
        <f t="shared" si="229"/>
        <v>0</v>
      </c>
    </row>
    <row r="578" spans="1:15" s="77" customFormat="1" x14ac:dyDescent="0.25">
      <c r="A578" s="163"/>
      <c r="B578" s="72"/>
      <c r="C578" s="62" t="s">
        <v>257</v>
      </c>
      <c r="D578" s="191"/>
      <c r="E578" s="351">
        <f t="shared" ref="E578:O578" si="230">$D572*E$227*E572</f>
        <v>0</v>
      </c>
      <c r="F578" s="351">
        <f t="shared" si="230"/>
        <v>0</v>
      </c>
      <c r="G578" s="351">
        <f t="shared" si="230"/>
        <v>0</v>
      </c>
      <c r="H578" s="351">
        <f t="shared" si="230"/>
        <v>0</v>
      </c>
      <c r="I578" s="351">
        <f t="shared" si="230"/>
        <v>0</v>
      </c>
      <c r="J578" s="351">
        <f t="shared" si="230"/>
        <v>0</v>
      </c>
      <c r="K578" s="351">
        <f t="shared" si="230"/>
        <v>0</v>
      </c>
      <c r="L578" s="351">
        <f t="shared" si="230"/>
        <v>0</v>
      </c>
      <c r="M578" s="351">
        <f t="shared" si="230"/>
        <v>0</v>
      </c>
      <c r="N578" s="351">
        <f t="shared" si="230"/>
        <v>0</v>
      </c>
      <c r="O578" s="351">
        <f t="shared" si="230"/>
        <v>0</v>
      </c>
    </row>
    <row r="579" spans="1:15" s="77" customFormat="1" x14ac:dyDescent="0.25">
      <c r="A579" s="163"/>
      <c r="B579" s="456"/>
      <c r="C579" s="62" t="s">
        <v>326</v>
      </c>
      <c r="D579" s="192"/>
      <c r="E579" s="351">
        <f t="shared" ref="E579:O579" si="231">$D573*E$227*E573</f>
        <v>0</v>
      </c>
      <c r="F579" s="351">
        <f t="shared" si="231"/>
        <v>0</v>
      </c>
      <c r="G579" s="351">
        <f t="shared" si="231"/>
        <v>0</v>
      </c>
      <c r="H579" s="351">
        <f t="shared" si="231"/>
        <v>0</v>
      </c>
      <c r="I579" s="351">
        <f t="shared" si="231"/>
        <v>0</v>
      </c>
      <c r="J579" s="351">
        <f t="shared" si="231"/>
        <v>0</v>
      </c>
      <c r="K579" s="351">
        <f t="shared" si="231"/>
        <v>0</v>
      </c>
      <c r="L579" s="351">
        <f t="shared" si="231"/>
        <v>0</v>
      </c>
      <c r="M579" s="351">
        <f t="shared" si="231"/>
        <v>0</v>
      </c>
      <c r="N579" s="351">
        <f t="shared" si="231"/>
        <v>0</v>
      </c>
      <c r="O579" s="351">
        <f t="shared" si="231"/>
        <v>0</v>
      </c>
    </row>
    <row r="580" spans="1:15" s="77" customFormat="1" x14ac:dyDescent="0.25">
      <c r="A580" s="163"/>
      <c r="B580" s="456"/>
      <c r="C580" s="62" t="s">
        <v>324</v>
      </c>
      <c r="D580" s="192"/>
      <c r="E580" s="351">
        <f t="shared" ref="E580:O580" si="232">$D574*E$227*E574</f>
        <v>0</v>
      </c>
      <c r="F580" s="351">
        <f t="shared" si="232"/>
        <v>0</v>
      </c>
      <c r="G580" s="351">
        <f t="shared" si="232"/>
        <v>0</v>
      </c>
      <c r="H580" s="351">
        <f t="shared" si="232"/>
        <v>0</v>
      </c>
      <c r="I580" s="351">
        <f t="shared" si="232"/>
        <v>0</v>
      </c>
      <c r="J580" s="351">
        <f t="shared" si="232"/>
        <v>0</v>
      </c>
      <c r="K580" s="351">
        <f t="shared" si="232"/>
        <v>0</v>
      </c>
      <c r="L580" s="351">
        <f t="shared" si="232"/>
        <v>0</v>
      </c>
      <c r="M580" s="351">
        <f t="shared" si="232"/>
        <v>0</v>
      </c>
      <c r="N580" s="351">
        <f t="shared" si="232"/>
        <v>0</v>
      </c>
      <c r="O580" s="351">
        <f t="shared" si="232"/>
        <v>0</v>
      </c>
    </row>
    <row r="581" spans="1:15" s="77" customFormat="1" x14ac:dyDescent="0.25">
      <c r="A581" s="163"/>
      <c r="B581" s="456"/>
      <c r="C581" s="62" t="s">
        <v>256</v>
      </c>
      <c r="D581" s="191"/>
      <c r="E581" s="351">
        <f t="shared" ref="E581:O581" si="233">$D575*E$227*E575</f>
        <v>0</v>
      </c>
      <c r="F581" s="351">
        <f t="shared" si="233"/>
        <v>0</v>
      </c>
      <c r="G581" s="351">
        <f t="shared" si="233"/>
        <v>0</v>
      </c>
      <c r="H581" s="351">
        <f t="shared" si="233"/>
        <v>0</v>
      </c>
      <c r="I581" s="351">
        <f t="shared" si="233"/>
        <v>0</v>
      </c>
      <c r="J581" s="351">
        <f t="shared" si="233"/>
        <v>0</v>
      </c>
      <c r="K581" s="351">
        <f t="shared" si="233"/>
        <v>0</v>
      </c>
      <c r="L581" s="351">
        <f t="shared" si="233"/>
        <v>0</v>
      </c>
      <c r="M581" s="351">
        <f t="shared" si="233"/>
        <v>0</v>
      </c>
      <c r="N581" s="351">
        <f t="shared" si="233"/>
        <v>0</v>
      </c>
      <c r="O581" s="351">
        <f t="shared" si="233"/>
        <v>0</v>
      </c>
    </row>
    <row r="582" spans="1:15" x14ac:dyDescent="0.25">
      <c r="D582" s="182"/>
      <c r="G582" s="23"/>
      <c r="H582" s="23"/>
      <c r="I582" s="23"/>
      <c r="J582" s="23"/>
      <c r="K582" s="23"/>
      <c r="L582" s="23"/>
      <c r="M582" s="23"/>
      <c r="N582" s="23"/>
      <c r="O582" s="23"/>
    </row>
    <row r="583" spans="1:15" x14ac:dyDescent="0.25">
      <c r="C583" s="729" t="s">
        <v>981</v>
      </c>
      <c r="D583" s="729" t="s">
        <v>973</v>
      </c>
      <c r="E583" s="729" t="s">
        <v>474</v>
      </c>
      <c r="F583" s="729" t="s">
        <v>974</v>
      </c>
      <c r="G583" s="1152" t="s">
        <v>975</v>
      </c>
      <c r="H583" s="23"/>
      <c r="I583" s="23"/>
      <c r="J583" s="23"/>
      <c r="K583" s="23"/>
      <c r="L583" s="23"/>
      <c r="M583" s="23"/>
      <c r="N583" s="23"/>
      <c r="O583" s="23"/>
    </row>
    <row r="584" spans="1:15" x14ac:dyDescent="0.25">
      <c r="C584" s="729" t="s">
        <v>976</v>
      </c>
      <c r="D584" s="729">
        <f>IF(AND(SUM('WSS Profile'!F180:G200)&gt;0,'WSS Profile'!$G$169="Yes"),1,0)</f>
        <v>0</v>
      </c>
      <c r="E584" s="729">
        <f>IF(AND(D584=1,'Financing Plan'!$J$158&gt;0),1,0)</f>
        <v>0</v>
      </c>
      <c r="F584" s="729">
        <f>IF(AND(D584=0,'Financing Plan'!$J$158&lt;&gt;0),1,0)</f>
        <v>0</v>
      </c>
      <c r="G584" s="1152"/>
      <c r="H584" s="23"/>
      <c r="I584" s="23"/>
      <c r="J584" s="23"/>
      <c r="K584" s="23"/>
      <c r="L584" s="23"/>
      <c r="M584" s="23"/>
      <c r="N584" s="23"/>
      <c r="O584" s="23"/>
    </row>
    <row r="585" spans="1:15" x14ac:dyDescent="0.25">
      <c r="C585" s="729" t="s">
        <v>982</v>
      </c>
      <c r="D585" s="729">
        <f>IF(AND(SUM('WSS Profile'!G206:G210)&gt;0,'WSS Profile'!$G$170="Yes"),1,0)</f>
        <v>0</v>
      </c>
      <c r="E585" s="729">
        <f>IF(AND(D585=1,'Financing Plan'!$J$164&gt;0),1,0)</f>
        <v>0</v>
      </c>
      <c r="F585" s="729">
        <f>IF(AND(D585=0,'Financing Plan'!$J$164&lt;&gt;0),1,0)</f>
        <v>0</v>
      </c>
      <c r="G585" s="1152"/>
      <c r="H585" s="23"/>
      <c r="I585" s="23"/>
      <c r="J585" s="23"/>
      <c r="K585" s="23"/>
      <c r="L585" s="23"/>
      <c r="M585" s="23"/>
      <c r="N585" s="23"/>
      <c r="O585" s="23"/>
    </row>
    <row r="586" spans="1:15" x14ac:dyDescent="0.25">
      <c r="C586" s="729" t="s">
        <v>206</v>
      </c>
      <c r="D586" s="729">
        <f>IF(AND('WSS Profile'!$G$175&gt;0,'WSS Profile'!$G$168="Yes"),1,0)</f>
        <v>0</v>
      </c>
      <c r="E586" s="729">
        <f>IF(AND(D586=1,'Financing Plan'!$J$170&gt;0),1,0)</f>
        <v>0</v>
      </c>
      <c r="F586" s="729">
        <f>IF(AND(D586=0,'Financing Plan'!$J$170&lt;&gt;0),1,0)</f>
        <v>0</v>
      </c>
      <c r="G586" s="1152"/>
      <c r="H586" s="23"/>
      <c r="I586" s="23"/>
      <c r="J586" s="23"/>
      <c r="K586" s="23"/>
      <c r="L586" s="23"/>
      <c r="M586" s="23"/>
      <c r="N586" s="23"/>
      <c r="O586" s="23"/>
    </row>
    <row r="587" spans="1:15" x14ac:dyDescent="0.25">
      <c r="C587" s="729" t="s">
        <v>475</v>
      </c>
      <c r="D587" s="729">
        <f>IF(AND('WSS Profile'!$G$214&gt;0,'WSS Profile'!$G$171="Yes"),1,0)</f>
        <v>0</v>
      </c>
      <c r="E587" s="729">
        <f>IF(AND(D587=1,'Financing Plan'!$J$176&gt;0),1,0)</f>
        <v>0</v>
      </c>
      <c r="F587" s="729">
        <f>IF(AND(D587=0,'Financing Plan'!$J$176&lt;&gt;0),1,0)</f>
        <v>0</v>
      </c>
      <c r="G587" s="1152"/>
      <c r="H587" s="23"/>
      <c r="I587" s="23"/>
      <c r="J587" s="23"/>
      <c r="K587" s="23"/>
      <c r="L587" s="23"/>
      <c r="M587" s="23"/>
      <c r="N587" s="23"/>
      <c r="O587" s="23"/>
    </row>
    <row r="588" spans="1:15" x14ac:dyDescent="0.25">
      <c r="D588" s="182"/>
      <c r="G588" s="23"/>
      <c r="H588" s="23"/>
      <c r="I588" s="23"/>
      <c r="J588" s="23"/>
      <c r="K588" s="23"/>
      <c r="L588" s="23"/>
      <c r="M588" s="23"/>
      <c r="N588" s="23"/>
      <c r="O588" s="23"/>
    </row>
    <row r="589" spans="1:15" x14ac:dyDescent="0.25">
      <c r="A589" s="11" t="s">
        <v>32</v>
      </c>
      <c r="B589" s="11" t="s">
        <v>616</v>
      </c>
      <c r="C589" s="309"/>
      <c r="E589" s="712"/>
      <c r="F589" s="712"/>
    </row>
    <row r="590" spans="1:15" x14ac:dyDescent="0.25">
      <c r="B590" s="13" t="s">
        <v>3</v>
      </c>
      <c r="C590" s="310" t="s">
        <v>4</v>
      </c>
      <c r="D590" s="13" t="s">
        <v>33</v>
      </c>
      <c r="E590" s="13">
        <f>E$3</f>
        <v>2014</v>
      </c>
      <c r="F590" s="13">
        <f t="shared" ref="F590:O590" si="234">F$3</f>
        <v>2015</v>
      </c>
      <c r="G590" s="13">
        <f t="shared" si="234"/>
        <v>2016</v>
      </c>
      <c r="H590" s="13">
        <f t="shared" si="234"/>
        <v>2017</v>
      </c>
      <c r="I590" s="13">
        <f t="shared" si="234"/>
        <v>2018</v>
      </c>
      <c r="J590" s="13">
        <f t="shared" si="234"/>
        <v>2019</v>
      </c>
      <c r="K590" s="13">
        <f t="shared" si="234"/>
        <v>2020</v>
      </c>
      <c r="L590" s="13">
        <f t="shared" si="234"/>
        <v>2021</v>
      </c>
      <c r="M590" s="13">
        <f t="shared" si="234"/>
        <v>2022</v>
      </c>
      <c r="N590" s="13">
        <f t="shared" si="234"/>
        <v>2023</v>
      </c>
      <c r="O590" s="13">
        <f t="shared" si="234"/>
        <v>2024</v>
      </c>
    </row>
    <row r="591" spans="1:15" s="170" customFormat="1" x14ac:dyDescent="0.25">
      <c r="A591" s="204"/>
      <c r="B591" s="205"/>
      <c r="C591" s="207" t="s">
        <v>615</v>
      </c>
      <c r="D591" s="205"/>
      <c r="E591" s="206"/>
      <c r="F591" s="206"/>
      <c r="G591" s="206"/>
      <c r="H591" s="206"/>
      <c r="I591" s="206"/>
      <c r="J591" s="206"/>
      <c r="K591" s="206"/>
      <c r="L591" s="206"/>
      <c r="M591" s="206"/>
      <c r="N591" s="206"/>
      <c r="O591" s="206"/>
    </row>
    <row r="592" spans="1:15" x14ac:dyDescent="0.25">
      <c r="A592" s="48"/>
      <c r="B592" s="39"/>
      <c r="C592" s="438" t="s">
        <v>378</v>
      </c>
      <c r="D592" s="1282">
        <f>$D$584</f>
        <v>0</v>
      </c>
      <c r="E592" s="174"/>
      <c r="F592" s="174"/>
      <c r="G592" s="174"/>
      <c r="H592" s="174"/>
      <c r="I592" s="174"/>
      <c r="J592" s="174"/>
      <c r="K592" s="174"/>
      <c r="L592" s="174"/>
      <c r="M592" s="174"/>
      <c r="N592" s="174"/>
      <c r="O592" s="77"/>
    </row>
    <row r="593" spans="1:15" s="76" customFormat="1" x14ac:dyDescent="0.25">
      <c r="A593" s="43"/>
      <c r="B593" s="137"/>
      <c r="C593" s="62" t="s">
        <v>258</v>
      </c>
      <c r="D593" s="1263"/>
      <c r="E593" s="59">
        <f t="shared" ref="E593:O593" si="235">$E319*SUM(E$355:E$358)*$D$592</f>
        <v>0</v>
      </c>
      <c r="F593" s="59">
        <f t="shared" si="235"/>
        <v>0</v>
      </c>
      <c r="G593" s="59">
        <f t="shared" si="235"/>
        <v>0</v>
      </c>
      <c r="H593" s="59">
        <f t="shared" si="235"/>
        <v>0</v>
      </c>
      <c r="I593" s="59">
        <f t="shared" si="235"/>
        <v>0</v>
      </c>
      <c r="J593" s="59">
        <f t="shared" si="235"/>
        <v>0</v>
      </c>
      <c r="K593" s="59">
        <f t="shared" si="235"/>
        <v>0</v>
      </c>
      <c r="L593" s="59">
        <f t="shared" si="235"/>
        <v>0</v>
      </c>
      <c r="M593" s="59">
        <f t="shared" si="235"/>
        <v>0</v>
      </c>
      <c r="N593" s="59">
        <f t="shared" si="235"/>
        <v>0</v>
      </c>
      <c r="O593" s="59">
        <f t="shared" si="235"/>
        <v>0</v>
      </c>
    </row>
    <row r="594" spans="1:15" s="76" customFormat="1" x14ac:dyDescent="0.25">
      <c r="A594" s="43"/>
      <c r="B594" s="137"/>
      <c r="C594" s="62" t="s">
        <v>257</v>
      </c>
      <c r="D594" s="1263"/>
      <c r="E594" s="59">
        <f t="shared" ref="E594:O594" si="236">$E320*SUM(E$360:E$363)*$D$592</f>
        <v>0</v>
      </c>
      <c r="F594" s="59">
        <f t="shared" si="236"/>
        <v>0</v>
      </c>
      <c r="G594" s="59">
        <f t="shared" si="236"/>
        <v>0</v>
      </c>
      <c r="H594" s="59">
        <f t="shared" si="236"/>
        <v>0</v>
      </c>
      <c r="I594" s="59">
        <f t="shared" si="236"/>
        <v>0</v>
      </c>
      <c r="J594" s="59">
        <f t="shared" si="236"/>
        <v>0</v>
      </c>
      <c r="K594" s="59">
        <f t="shared" si="236"/>
        <v>0</v>
      </c>
      <c r="L594" s="59">
        <f t="shared" si="236"/>
        <v>0</v>
      </c>
      <c r="M594" s="59">
        <f t="shared" si="236"/>
        <v>0</v>
      </c>
      <c r="N594" s="59">
        <f t="shared" si="236"/>
        <v>0</v>
      </c>
      <c r="O594" s="59">
        <f t="shared" si="236"/>
        <v>0</v>
      </c>
    </row>
    <row r="595" spans="1:15" s="76" customFormat="1" x14ac:dyDescent="0.25">
      <c r="A595" s="43"/>
      <c r="B595" s="137"/>
      <c r="C595" s="62" t="s">
        <v>259</v>
      </c>
      <c r="D595" s="1263"/>
      <c r="E595" s="59">
        <f t="shared" ref="E595:O595" si="237">$E321*SUM(E$365:E$368)*$D$592</f>
        <v>0</v>
      </c>
      <c r="F595" s="59">
        <f t="shared" si="237"/>
        <v>0</v>
      </c>
      <c r="G595" s="59">
        <f t="shared" si="237"/>
        <v>0</v>
      </c>
      <c r="H595" s="59">
        <f t="shared" si="237"/>
        <v>0</v>
      </c>
      <c r="I595" s="59">
        <f t="shared" si="237"/>
        <v>0</v>
      </c>
      <c r="J595" s="59">
        <f t="shared" si="237"/>
        <v>0</v>
      </c>
      <c r="K595" s="59">
        <f t="shared" si="237"/>
        <v>0</v>
      </c>
      <c r="L595" s="59">
        <f t="shared" si="237"/>
        <v>0</v>
      </c>
      <c r="M595" s="59">
        <f t="shared" si="237"/>
        <v>0</v>
      </c>
      <c r="N595" s="59">
        <f t="shared" si="237"/>
        <v>0</v>
      </c>
      <c r="O595" s="59">
        <f t="shared" si="237"/>
        <v>0</v>
      </c>
    </row>
    <row r="596" spans="1:15" s="76" customFormat="1" x14ac:dyDescent="0.25">
      <c r="A596" s="43"/>
      <c r="B596" s="137"/>
      <c r="C596" s="62" t="s">
        <v>324</v>
      </c>
      <c r="D596" s="1263"/>
      <c r="E596" s="59">
        <f t="shared" ref="E596:O596" si="238">$E322*SUM(E$370:E$373)*$D$592</f>
        <v>0</v>
      </c>
      <c r="F596" s="59">
        <f t="shared" si="238"/>
        <v>0</v>
      </c>
      <c r="G596" s="59">
        <f t="shared" si="238"/>
        <v>0</v>
      </c>
      <c r="H596" s="59">
        <f t="shared" si="238"/>
        <v>0</v>
      </c>
      <c r="I596" s="59">
        <f t="shared" si="238"/>
        <v>0</v>
      </c>
      <c r="J596" s="59">
        <f t="shared" si="238"/>
        <v>0</v>
      </c>
      <c r="K596" s="59">
        <f t="shared" si="238"/>
        <v>0</v>
      </c>
      <c r="L596" s="59">
        <f t="shared" si="238"/>
        <v>0</v>
      </c>
      <c r="M596" s="59">
        <f t="shared" si="238"/>
        <v>0</v>
      </c>
      <c r="N596" s="59">
        <f t="shared" si="238"/>
        <v>0</v>
      </c>
      <c r="O596" s="59">
        <f t="shared" si="238"/>
        <v>0</v>
      </c>
    </row>
    <row r="597" spans="1:15" s="76" customFormat="1" x14ac:dyDescent="0.25">
      <c r="A597" s="43"/>
      <c r="B597" s="137"/>
      <c r="C597" s="62" t="s">
        <v>256</v>
      </c>
      <c r="D597" s="1263"/>
      <c r="E597" s="59">
        <f t="shared" ref="E597:O597" si="239">($E323*SUM(E$375)*$D$592)</f>
        <v>0</v>
      </c>
      <c r="F597" s="59">
        <f t="shared" si="239"/>
        <v>0</v>
      </c>
      <c r="G597" s="59">
        <f t="shared" si="239"/>
        <v>0</v>
      </c>
      <c r="H597" s="59">
        <f t="shared" si="239"/>
        <v>0</v>
      </c>
      <c r="I597" s="59">
        <f t="shared" si="239"/>
        <v>0</v>
      </c>
      <c r="J597" s="59">
        <f t="shared" si="239"/>
        <v>0</v>
      </c>
      <c r="K597" s="59">
        <f t="shared" si="239"/>
        <v>0</v>
      </c>
      <c r="L597" s="59">
        <f t="shared" si="239"/>
        <v>0</v>
      </c>
      <c r="M597" s="59">
        <f t="shared" si="239"/>
        <v>0</v>
      </c>
      <c r="N597" s="59">
        <f t="shared" si="239"/>
        <v>0</v>
      </c>
      <c r="O597" s="59">
        <f t="shared" si="239"/>
        <v>0</v>
      </c>
    </row>
    <row r="598" spans="1:15" x14ac:dyDescent="0.25">
      <c r="A598" s="48"/>
      <c r="B598" s="39"/>
      <c r="C598" s="438" t="s">
        <v>379</v>
      </c>
      <c r="D598" s="1282">
        <f>$D$585</f>
        <v>0</v>
      </c>
      <c r="E598" s="174"/>
      <c r="F598" s="174"/>
      <c r="G598" s="174"/>
      <c r="H598" s="174"/>
      <c r="I598" s="174"/>
      <c r="J598" s="174"/>
      <c r="K598" s="174"/>
      <c r="L598" s="174"/>
      <c r="M598" s="174"/>
      <c r="N598" s="174"/>
      <c r="O598" s="77"/>
    </row>
    <row r="599" spans="1:15" s="76" customFormat="1" x14ac:dyDescent="0.25">
      <c r="A599" s="43"/>
      <c r="B599" s="137"/>
      <c r="C599" s="62" t="s">
        <v>258</v>
      </c>
      <c r="D599" s="1263"/>
      <c r="E599" s="59">
        <f t="shared" ref="E599:O599" si="240">(1-$E319)*E$461*$D$598</f>
        <v>0</v>
      </c>
      <c r="F599" s="59">
        <f t="shared" si="240"/>
        <v>0</v>
      </c>
      <c r="G599" s="59">
        <f t="shared" si="240"/>
        <v>0</v>
      </c>
      <c r="H599" s="59">
        <f t="shared" si="240"/>
        <v>0</v>
      </c>
      <c r="I599" s="59">
        <f t="shared" si="240"/>
        <v>0</v>
      </c>
      <c r="J599" s="59">
        <f t="shared" si="240"/>
        <v>0</v>
      </c>
      <c r="K599" s="59">
        <f t="shared" si="240"/>
        <v>0</v>
      </c>
      <c r="L599" s="59">
        <f t="shared" si="240"/>
        <v>0</v>
      </c>
      <c r="M599" s="59">
        <f t="shared" si="240"/>
        <v>0</v>
      </c>
      <c r="N599" s="59">
        <f t="shared" si="240"/>
        <v>0</v>
      </c>
      <c r="O599" s="59">
        <f t="shared" si="240"/>
        <v>0</v>
      </c>
    </row>
    <row r="600" spans="1:15" s="76" customFormat="1" x14ac:dyDescent="0.25">
      <c r="A600" s="43"/>
      <c r="B600" s="137"/>
      <c r="C600" s="62" t="s">
        <v>257</v>
      </c>
      <c r="D600" s="1263"/>
      <c r="E600" s="59">
        <f t="shared" ref="E600:O600" si="241">((1-$E320)*E$462*$D$598)</f>
        <v>0</v>
      </c>
      <c r="F600" s="59">
        <f t="shared" si="241"/>
        <v>0</v>
      </c>
      <c r="G600" s="59">
        <f t="shared" si="241"/>
        <v>0</v>
      </c>
      <c r="H600" s="59">
        <f t="shared" si="241"/>
        <v>0</v>
      </c>
      <c r="I600" s="59">
        <f t="shared" si="241"/>
        <v>0</v>
      </c>
      <c r="J600" s="59">
        <f t="shared" si="241"/>
        <v>0</v>
      </c>
      <c r="K600" s="59">
        <f t="shared" si="241"/>
        <v>0</v>
      </c>
      <c r="L600" s="59">
        <f t="shared" si="241"/>
        <v>0</v>
      </c>
      <c r="M600" s="59">
        <f t="shared" si="241"/>
        <v>0</v>
      </c>
      <c r="N600" s="59">
        <f t="shared" si="241"/>
        <v>0</v>
      </c>
      <c r="O600" s="59">
        <f t="shared" si="241"/>
        <v>0</v>
      </c>
    </row>
    <row r="601" spans="1:15" s="76" customFormat="1" x14ac:dyDescent="0.25">
      <c r="A601" s="43"/>
      <c r="B601" s="137"/>
      <c r="C601" s="62" t="s">
        <v>259</v>
      </c>
      <c r="D601" s="1263"/>
      <c r="E601" s="59">
        <f t="shared" ref="E601:O601" si="242">((1-$E321)*E$463*$D$598)</f>
        <v>0</v>
      </c>
      <c r="F601" s="59">
        <f t="shared" si="242"/>
        <v>0</v>
      </c>
      <c r="G601" s="59">
        <f t="shared" si="242"/>
        <v>0</v>
      </c>
      <c r="H601" s="59">
        <f t="shared" si="242"/>
        <v>0</v>
      </c>
      <c r="I601" s="59">
        <f t="shared" si="242"/>
        <v>0</v>
      </c>
      <c r="J601" s="59">
        <f t="shared" si="242"/>
        <v>0</v>
      </c>
      <c r="K601" s="59">
        <f t="shared" si="242"/>
        <v>0</v>
      </c>
      <c r="L601" s="59">
        <f t="shared" si="242"/>
        <v>0</v>
      </c>
      <c r="M601" s="59">
        <f t="shared" si="242"/>
        <v>0</v>
      </c>
      <c r="N601" s="59">
        <f t="shared" si="242"/>
        <v>0</v>
      </c>
      <c r="O601" s="59">
        <f t="shared" si="242"/>
        <v>0</v>
      </c>
    </row>
    <row r="602" spans="1:15" s="76" customFormat="1" x14ac:dyDescent="0.25">
      <c r="A602" s="43"/>
      <c r="B602" s="137"/>
      <c r="C602" s="62" t="s">
        <v>324</v>
      </c>
      <c r="D602" s="1263"/>
      <c r="E602" s="59">
        <f t="shared" ref="E602:O602" si="243">((1-$E322)*E$464*$D$598)</f>
        <v>0</v>
      </c>
      <c r="F602" s="59">
        <f t="shared" si="243"/>
        <v>0</v>
      </c>
      <c r="G602" s="59">
        <f t="shared" si="243"/>
        <v>0</v>
      </c>
      <c r="H602" s="59">
        <f t="shared" si="243"/>
        <v>0</v>
      </c>
      <c r="I602" s="59">
        <f t="shared" si="243"/>
        <v>0</v>
      </c>
      <c r="J602" s="59">
        <f t="shared" si="243"/>
        <v>0</v>
      </c>
      <c r="K602" s="59">
        <f t="shared" si="243"/>
        <v>0</v>
      </c>
      <c r="L602" s="59">
        <f t="shared" si="243"/>
        <v>0</v>
      </c>
      <c r="M602" s="59">
        <f t="shared" si="243"/>
        <v>0</v>
      </c>
      <c r="N602" s="59">
        <f t="shared" si="243"/>
        <v>0</v>
      </c>
      <c r="O602" s="59">
        <f t="shared" si="243"/>
        <v>0</v>
      </c>
    </row>
    <row r="603" spans="1:15" s="76" customFormat="1" x14ac:dyDescent="0.25">
      <c r="A603" s="43"/>
      <c r="B603" s="137"/>
      <c r="C603" s="62" t="s">
        <v>256</v>
      </c>
      <c r="D603" s="1263"/>
      <c r="E603" s="59">
        <f t="shared" ref="E603:O603" si="244">((1-$E323)*E$465*$D$598)</f>
        <v>0</v>
      </c>
      <c r="F603" s="59">
        <f t="shared" si="244"/>
        <v>0</v>
      </c>
      <c r="G603" s="59">
        <f t="shared" si="244"/>
        <v>0</v>
      </c>
      <c r="H603" s="59">
        <f t="shared" si="244"/>
        <v>0</v>
      </c>
      <c r="I603" s="59">
        <f t="shared" si="244"/>
        <v>0</v>
      </c>
      <c r="J603" s="59">
        <f t="shared" si="244"/>
        <v>0</v>
      </c>
      <c r="K603" s="59">
        <f t="shared" si="244"/>
        <v>0</v>
      </c>
      <c r="L603" s="59">
        <f t="shared" si="244"/>
        <v>0</v>
      </c>
      <c r="M603" s="59">
        <f t="shared" si="244"/>
        <v>0</v>
      </c>
      <c r="N603" s="59">
        <f t="shared" si="244"/>
        <v>0</v>
      </c>
      <c r="O603" s="59">
        <f t="shared" si="244"/>
        <v>0</v>
      </c>
    </row>
    <row r="604" spans="1:15" x14ac:dyDescent="0.25">
      <c r="A604" s="48"/>
      <c r="B604" s="39"/>
      <c r="C604" s="666" t="s">
        <v>380</v>
      </c>
      <c r="D604" s="665"/>
      <c r="E604" s="174"/>
      <c r="F604" s="174"/>
      <c r="G604" s="174"/>
      <c r="H604" s="174"/>
      <c r="I604" s="174"/>
      <c r="J604" s="174"/>
      <c r="K604" s="174"/>
      <c r="L604" s="174"/>
      <c r="M604" s="174"/>
      <c r="N604" s="174"/>
      <c r="O604" s="77"/>
    </row>
    <row r="605" spans="1:15" s="76" customFormat="1" x14ac:dyDescent="0.25">
      <c r="A605" s="43"/>
      <c r="B605" s="137"/>
      <c r="C605" s="62" t="s">
        <v>377</v>
      </c>
      <c r="D605" s="1263"/>
      <c r="E605" s="59">
        <f>E522</f>
        <v>0</v>
      </c>
      <c r="F605" s="59">
        <f t="shared" ref="F605:O605" si="245">F522</f>
        <v>0</v>
      </c>
      <c r="G605" s="59">
        <f t="shared" si="245"/>
        <v>0</v>
      </c>
      <c r="H605" s="59">
        <f t="shared" si="245"/>
        <v>0</v>
      </c>
      <c r="I605" s="59">
        <f t="shared" si="245"/>
        <v>0</v>
      </c>
      <c r="J605" s="59">
        <f t="shared" si="245"/>
        <v>0</v>
      </c>
      <c r="K605" s="59">
        <f t="shared" si="245"/>
        <v>0</v>
      </c>
      <c r="L605" s="59">
        <f t="shared" si="245"/>
        <v>0</v>
      </c>
      <c r="M605" s="59">
        <f t="shared" si="245"/>
        <v>0</v>
      </c>
      <c r="N605" s="59">
        <f t="shared" si="245"/>
        <v>0</v>
      </c>
      <c r="O605" s="59">
        <f t="shared" si="245"/>
        <v>0</v>
      </c>
    </row>
    <row r="606" spans="1:15" x14ac:dyDescent="0.25">
      <c r="A606" s="48"/>
      <c r="B606" s="39"/>
      <c r="C606" s="438" t="s">
        <v>723</v>
      </c>
      <c r="D606" s="665"/>
      <c r="E606" s="174"/>
      <c r="F606" s="174"/>
      <c r="G606" s="174"/>
      <c r="H606" s="174"/>
      <c r="I606" s="174"/>
      <c r="J606" s="174"/>
      <c r="K606" s="174"/>
      <c r="L606" s="174"/>
      <c r="M606" s="174"/>
      <c r="N606" s="174"/>
      <c r="O606" s="77"/>
    </row>
    <row r="607" spans="1:15" s="51" customFormat="1" x14ac:dyDescent="0.25">
      <c r="A607" s="143"/>
      <c r="B607" s="29"/>
      <c r="C607" s="62" t="s">
        <v>724</v>
      </c>
      <c r="D607" s="1283">
        <f>IF('WSS Profile'!$G$171="Yes",'WSS Profile'!G214,0)</f>
        <v>0</v>
      </c>
      <c r="E607" s="59">
        <f>$D$607*SUM(E330:E350)/CurrencyMultiplier</f>
        <v>0</v>
      </c>
      <c r="F607" s="59">
        <f>$D$607*SUM(F330:F350)/CurrencyMultiplier</f>
        <v>0</v>
      </c>
      <c r="G607" s="59">
        <f>$D$607*SUM(G330:G350)/CurrencyMultiplier</f>
        <v>0</v>
      </c>
      <c r="H607" s="59">
        <f>$D$607*SUM(H330:H350)/CurrencyMultiplier</f>
        <v>0</v>
      </c>
      <c r="I607" s="59">
        <f>$D$607*SUM(I330:I350)/CurrencyMultiplier</f>
        <v>0</v>
      </c>
      <c r="J607" s="59">
        <f>$D$607*SUM(J330:J350)/CurrencyMultiplier</f>
        <v>0</v>
      </c>
      <c r="K607" s="59">
        <f>$D$607*SUM(K330:K350)/CurrencyMultiplier</f>
        <v>0</v>
      </c>
      <c r="L607" s="59">
        <f>$D$607*SUM(L330:L350)/CurrencyMultiplier</f>
        <v>0</v>
      </c>
      <c r="M607" s="59">
        <f>$D$607*SUM(M330:M350)/CurrencyMultiplier</f>
        <v>0</v>
      </c>
      <c r="N607" s="59">
        <f>$D$607*SUM(N330:N350)/CurrencyMultiplier</f>
        <v>0</v>
      </c>
      <c r="O607" s="59">
        <f>$D$607*SUM(O330:O350)/CurrencyMultiplier</f>
        <v>0</v>
      </c>
    </row>
    <row r="608" spans="1:15" s="53" customFormat="1" x14ac:dyDescent="0.25">
      <c r="A608" s="63"/>
      <c r="B608" s="667"/>
      <c r="C608" s="668" t="s">
        <v>116</v>
      </c>
      <c r="D608" s="669"/>
      <c r="E608" s="670">
        <f>SUM(E593:E607)</f>
        <v>0</v>
      </c>
      <c r="F608" s="670">
        <f t="shared" ref="F608:O608" si="246">SUM(F593:F607)</f>
        <v>0</v>
      </c>
      <c r="G608" s="670">
        <f t="shared" si="246"/>
        <v>0</v>
      </c>
      <c r="H608" s="670">
        <f>SUM(H593:H607)</f>
        <v>0</v>
      </c>
      <c r="I608" s="670">
        <f t="shared" si="246"/>
        <v>0</v>
      </c>
      <c r="J608" s="670">
        <f t="shared" si="246"/>
        <v>0</v>
      </c>
      <c r="K608" s="670">
        <f t="shared" si="246"/>
        <v>0</v>
      </c>
      <c r="L608" s="670">
        <f t="shared" si="246"/>
        <v>0</v>
      </c>
      <c r="M608" s="670">
        <f t="shared" si="246"/>
        <v>0</v>
      </c>
      <c r="N608" s="670">
        <f t="shared" si="246"/>
        <v>0</v>
      </c>
      <c r="O608" s="670">
        <f t="shared" si="246"/>
        <v>0</v>
      </c>
    </row>
    <row r="609" spans="1:15" s="170" customFormat="1" x14ac:dyDescent="0.25">
      <c r="A609" s="204"/>
      <c r="B609" s="205"/>
      <c r="C609" s="207" t="s">
        <v>551</v>
      </c>
      <c r="D609" s="205"/>
      <c r="E609" s="206"/>
      <c r="F609" s="206"/>
      <c r="G609" s="206"/>
      <c r="H609" s="206"/>
      <c r="I609" s="206"/>
      <c r="J609" s="206"/>
      <c r="K609" s="206"/>
      <c r="L609" s="206"/>
      <c r="M609" s="206"/>
      <c r="N609" s="206"/>
      <c r="O609" s="206"/>
    </row>
    <row r="610" spans="1:15" x14ac:dyDescent="0.25">
      <c r="A610" s="48"/>
      <c r="B610" s="39"/>
      <c r="C610" s="438" t="s">
        <v>378</v>
      </c>
      <c r="D610" s="1282">
        <f>D592</f>
        <v>0</v>
      </c>
      <c r="E610" s="174"/>
      <c r="F610" s="174"/>
      <c r="G610" s="174"/>
      <c r="H610" s="174"/>
      <c r="I610" s="174"/>
      <c r="J610" s="174"/>
      <c r="K610" s="174"/>
      <c r="L610" s="174"/>
      <c r="M610" s="174"/>
      <c r="N610" s="174"/>
      <c r="O610" s="77"/>
    </row>
    <row r="611" spans="1:15" s="76" customFormat="1" x14ac:dyDescent="0.25">
      <c r="A611" s="43"/>
      <c r="B611" s="137"/>
      <c r="C611" s="62" t="s">
        <v>258</v>
      </c>
      <c r="D611" s="173"/>
      <c r="E611" s="165">
        <f t="shared" ref="E611:O611" si="247">E$319*SUM(E$381:E$384)*$D$610</f>
        <v>0</v>
      </c>
      <c r="F611" s="165">
        <f t="shared" si="247"/>
        <v>0</v>
      </c>
      <c r="G611" s="165">
        <f t="shared" si="247"/>
        <v>0</v>
      </c>
      <c r="H611" s="165">
        <f t="shared" si="247"/>
        <v>0</v>
      </c>
      <c r="I611" s="165">
        <f t="shared" si="247"/>
        <v>0</v>
      </c>
      <c r="J611" s="165">
        <f t="shared" si="247"/>
        <v>0</v>
      </c>
      <c r="K611" s="165">
        <f t="shared" si="247"/>
        <v>0</v>
      </c>
      <c r="L611" s="165">
        <f t="shared" si="247"/>
        <v>0</v>
      </c>
      <c r="M611" s="165">
        <f t="shared" si="247"/>
        <v>0</v>
      </c>
      <c r="N611" s="165">
        <f t="shared" si="247"/>
        <v>0</v>
      </c>
      <c r="O611" s="165">
        <f t="shared" si="247"/>
        <v>0</v>
      </c>
    </row>
    <row r="612" spans="1:15" s="76" customFormat="1" x14ac:dyDescent="0.25">
      <c r="A612" s="43"/>
      <c r="B612" s="137"/>
      <c r="C612" s="62" t="s">
        <v>257</v>
      </c>
      <c r="D612" s="173"/>
      <c r="E612" s="165">
        <f t="shared" ref="E612:O612" si="248">(E$320*SUM(E$386:E$389)*$D$610)</f>
        <v>0</v>
      </c>
      <c r="F612" s="165">
        <f t="shared" si="248"/>
        <v>0</v>
      </c>
      <c r="G612" s="165">
        <f t="shared" si="248"/>
        <v>0</v>
      </c>
      <c r="H612" s="165">
        <f t="shared" si="248"/>
        <v>0</v>
      </c>
      <c r="I612" s="165">
        <f t="shared" si="248"/>
        <v>0</v>
      </c>
      <c r="J612" s="165">
        <f t="shared" si="248"/>
        <v>0</v>
      </c>
      <c r="K612" s="165">
        <f t="shared" si="248"/>
        <v>0</v>
      </c>
      <c r="L612" s="165">
        <f t="shared" si="248"/>
        <v>0</v>
      </c>
      <c r="M612" s="165">
        <f t="shared" si="248"/>
        <v>0</v>
      </c>
      <c r="N612" s="165">
        <f t="shared" si="248"/>
        <v>0</v>
      </c>
      <c r="O612" s="165">
        <f t="shared" si="248"/>
        <v>0</v>
      </c>
    </row>
    <row r="613" spans="1:15" s="76" customFormat="1" x14ac:dyDescent="0.25">
      <c r="A613" s="43"/>
      <c r="B613" s="137"/>
      <c r="C613" s="62" t="s">
        <v>259</v>
      </c>
      <c r="D613" s="173"/>
      <c r="E613" s="165">
        <f t="shared" ref="E613:O613" si="249">(E$321*SUM(E$391:E$394)*$D$610)</f>
        <v>0</v>
      </c>
      <c r="F613" s="165">
        <f t="shared" si="249"/>
        <v>0</v>
      </c>
      <c r="G613" s="165">
        <f t="shared" si="249"/>
        <v>0</v>
      </c>
      <c r="H613" s="165">
        <f t="shared" si="249"/>
        <v>0</v>
      </c>
      <c r="I613" s="165">
        <f t="shared" si="249"/>
        <v>0</v>
      </c>
      <c r="J613" s="165">
        <f t="shared" si="249"/>
        <v>0</v>
      </c>
      <c r="K613" s="165">
        <f t="shared" si="249"/>
        <v>0</v>
      </c>
      <c r="L613" s="165">
        <f t="shared" si="249"/>
        <v>0</v>
      </c>
      <c r="M613" s="165">
        <f t="shared" si="249"/>
        <v>0</v>
      </c>
      <c r="N613" s="165">
        <f t="shared" si="249"/>
        <v>0</v>
      </c>
      <c r="O613" s="165">
        <f t="shared" si="249"/>
        <v>0</v>
      </c>
    </row>
    <row r="614" spans="1:15" s="76" customFormat="1" x14ac:dyDescent="0.25">
      <c r="A614" s="43"/>
      <c r="B614" s="137"/>
      <c r="C614" s="62" t="s">
        <v>324</v>
      </c>
      <c r="D614" s="173"/>
      <c r="E614" s="165">
        <f t="shared" ref="E614:O614" si="250">(E$322*SUM(E$396:E$399)*$D$610)</f>
        <v>0</v>
      </c>
      <c r="F614" s="165">
        <f t="shared" si="250"/>
        <v>0</v>
      </c>
      <c r="G614" s="165">
        <f t="shared" si="250"/>
        <v>0</v>
      </c>
      <c r="H614" s="165">
        <f t="shared" si="250"/>
        <v>0</v>
      </c>
      <c r="I614" s="165">
        <f t="shared" si="250"/>
        <v>0</v>
      </c>
      <c r="J614" s="165">
        <f t="shared" si="250"/>
        <v>0</v>
      </c>
      <c r="K614" s="165">
        <f t="shared" si="250"/>
        <v>0</v>
      </c>
      <c r="L614" s="165">
        <f t="shared" si="250"/>
        <v>0</v>
      </c>
      <c r="M614" s="165">
        <f t="shared" si="250"/>
        <v>0</v>
      </c>
      <c r="N614" s="165">
        <f t="shared" si="250"/>
        <v>0</v>
      </c>
      <c r="O614" s="165">
        <f t="shared" si="250"/>
        <v>0</v>
      </c>
    </row>
    <row r="615" spans="1:15" s="76" customFormat="1" x14ac:dyDescent="0.25">
      <c r="A615" s="43"/>
      <c r="B615" s="137"/>
      <c r="C615" s="62" t="s">
        <v>256</v>
      </c>
      <c r="D615" s="173"/>
      <c r="E615" s="165">
        <f t="shared" ref="E615:O615" si="251">(E$323*SUM(E$401)*$D$610)</f>
        <v>0</v>
      </c>
      <c r="F615" s="165">
        <f t="shared" si="251"/>
        <v>0</v>
      </c>
      <c r="G615" s="165">
        <f t="shared" si="251"/>
        <v>0</v>
      </c>
      <c r="H615" s="165">
        <f t="shared" si="251"/>
        <v>0</v>
      </c>
      <c r="I615" s="165">
        <f t="shared" si="251"/>
        <v>0</v>
      </c>
      <c r="J615" s="165">
        <f t="shared" si="251"/>
        <v>0</v>
      </c>
      <c r="K615" s="165">
        <f t="shared" si="251"/>
        <v>0</v>
      </c>
      <c r="L615" s="165">
        <f t="shared" si="251"/>
        <v>0</v>
      </c>
      <c r="M615" s="165">
        <f t="shared" si="251"/>
        <v>0</v>
      </c>
      <c r="N615" s="165">
        <f t="shared" si="251"/>
        <v>0</v>
      </c>
      <c r="O615" s="165">
        <f t="shared" si="251"/>
        <v>0</v>
      </c>
    </row>
    <row r="616" spans="1:15" x14ac:dyDescent="0.25">
      <c r="A616" s="48"/>
      <c r="B616" s="39"/>
      <c r="C616" s="438" t="s">
        <v>379</v>
      </c>
      <c r="D616" s="1282">
        <f>D598</f>
        <v>0</v>
      </c>
      <c r="E616" s="174"/>
      <c r="F616" s="174"/>
      <c r="G616" s="174"/>
      <c r="H616" s="174"/>
      <c r="I616" s="174"/>
      <c r="J616" s="174"/>
      <c r="K616" s="174"/>
      <c r="L616" s="174"/>
      <c r="M616" s="174"/>
      <c r="N616" s="174"/>
      <c r="O616" s="77"/>
    </row>
    <row r="617" spans="1:15" s="76" customFormat="1" x14ac:dyDescent="0.25">
      <c r="A617" s="43"/>
      <c r="B617" s="137"/>
      <c r="C617" s="62" t="s">
        <v>258</v>
      </c>
      <c r="D617" s="173"/>
      <c r="E617" s="165">
        <f t="shared" ref="E617:O617" si="252">(1-E$319)*E$468*$D$616</f>
        <v>0</v>
      </c>
      <c r="F617" s="165">
        <f t="shared" si="252"/>
        <v>0</v>
      </c>
      <c r="G617" s="165">
        <f t="shared" si="252"/>
        <v>0</v>
      </c>
      <c r="H617" s="165">
        <f t="shared" si="252"/>
        <v>0</v>
      </c>
      <c r="I617" s="165">
        <f t="shared" si="252"/>
        <v>0</v>
      </c>
      <c r="J617" s="165">
        <f t="shared" si="252"/>
        <v>0</v>
      </c>
      <c r="K617" s="165">
        <f t="shared" si="252"/>
        <v>0</v>
      </c>
      <c r="L617" s="165">
        <f t="shared" si="252"/>
        <v>0</v>
      </c>
      <c r="M617" s="165">
        <f t="shared" si="252"/>
        <v>0</v>
      </c>
      <c r="N617" s="165">
        <f t="shared" si="252"/>
        <v>0</v>
      </c>
      <c r="O617" s="165">
        <f t="shared" si="252"/>
        <v>0</v>
      </c>
    </row>
    <row r="618" spans="1:15" s="76" customFormat="1" x14ac:dyDescent="0.25">
      <c r="A618" s="43"/>
      <c r="B618" s="137"/>
      <c r="C618" s="62" t="s">
        <v>257</v>
      </c>
      <c r="D618" s="173"/>
      <c r="E618" s="165">
        <f t="shared" ref="E618:O618" si="253">((1-E$320)*E$469*$D$616)</f>
        <v>0</v>
      </c>
      <c r="F618" s="165">
        <f t="shared" si="253"/>
        <v>0</v>
      </c>
      <c r="G618" s="165">
        <f t="shared" si="253"/>
        <v>0</v>
      </c>
      <c r="H618" s="165">
        <f t="shared" si="253"/>
        <v>0</v>
      </c>
      <c r="I618" s="165">
        <f t="shared" si="253"/>
        <v>0</v>
      </c>
      <c r="J618" s="165">
        <f t="shared" si="253"/>
        <v>0</v>
      </c>
      <c r="K618" s="165">
        <f t="shared" si="253"/>
        <v>0</v>
      </c>
      <c r="L618" s="165">
        <f t="shared" si="253"/>
        <v>0</v>
      </c>
      <c r="M618" s="165">
        <f t="shared" si="253"/>
        <v>0</v>
      </c>
      <c r="N618" s="165">
        <f t="shared" si="253"/>
        <v>0</v>
      </c>
      <c r="O618" s="165">
        <f t="shared" si="253"/>
        <v>0</v>
      </c>
    </row>
    <row r="619" spans="1:15" s="76" customFormat="1" x14ac:dyDescent="0.25">
      <c r="A619" s="43"/>
      <c r="B619" s="137"/>
      <c r="C619" s="62" t="s">
        <v>259</v>
      </c>
      <c r="D619" s="173"/>
      <c r="E619" s="165">
        <f t="shared" ref="E619:O619" si="254">((1-E$321)*E$470*$D$616)</f>
        <v>0</v>
      </c>
      <c r="F619" s="165">
        <f t="shared" si="254"/>
        <v>0</v>
      </c>
      <c r="G619" s="165">
        <f t="shared" si="254"/>
        <v>0</v>
      </c>
      <c r="H619" s="165">
        <f t="shared" si="254"/>
        <v>0</v>
      </c>
      <c r="I619" s="165">
        <f t="shared" si="254"/>
        <v>0</v>
      </c>
      <c r="J619" s="165">
        <f t="shared" si="254"/>
        <v>0</v>
      </c>
      <c r="K619" s="165">
        <f t="shared" si="254"/>
        <v>0</v>
      </c>
      <c r="L619" s="165">
        <f t="shared" si="254"/>
        <v>0</v>
      </c>
      <c r="M619" s="165">
        <f t="shared" si="254"/>
        <v>0</v>
      </c>
      <c r="N619" s="165">
        <f t="shared" si="254"/>
        <v>0</v>
      </c>
      <c r="O619" s="165">
        <f t="shared" si="254"/>
        <v>0</v>
      </c>
    </row>
    <row r="620" spans="1:15" s="76" customFormat="1" x14ac:dyDescent="0.25">
      <c r="A620" s="43"/>
      <c r="B620" s="137"/>
      <c r="C620" s="62" t="s">
        <v>324</v>
      </c>
      <c r="D620" s="173"/>
      <c r="E620" s="165">
        <f t="shared" ref="E620:O620" si="255">((1-E$322)*E$471*$D$616)</f>
        <v>0</v>
      </c>
      <c r="F620" s="165">
        <f t="shared" si="255"/>
        <v>0</v>
      </c>
      <c r="G620" s="165">
        <f t="shared" si="255"/>
        <v>0</v>
      </c>
      <c r="H620" s="165">
        <f t="shared" si="255"/>
        <v>0</v>
      </c>
      <c r="I620" s="165">
        <f t="shared" si="255"/>
        <v>0</v>
      </c>
      <c r="J620" s="165">
        <f t="shared" si="255"/>
        <v>0</v>
      </c>
      <c r="K620" s="165">
        <f t="shared" si="255"/>
        <v>0</v>
      </c>
      <c r="L620" s="165">
        <f t="shared" si="255"/>
        <v>0</v>
      </c>
      <c r="M620" s="165">
        <f t="shared" si="255"/>
        <v>0</v>
      </c>
      <c r="N620" s="165">
        <f t="shared" si="255"/>
        <v>0</v>
      </c>
      <c r="O620" s="165">
        <f t="shared" si="255"/>
        <v>0</v>
      </c>
    </row>
    <row r="621" spans="1:15" s="76" customFormat="1" x14ac:dyDescent="0.25">
      <c r="A621" s="43"/>
      <c r="B621" s="137"/>
      <c r="C621" s="62" t="s">
        <v>256</v>
      </c>
      <c r="D621" s="173"/>
      <c r="E621" s="165">
        <f t="shared" ref="E621:O621" si="256">((1-E$323)*E$472*$D$616)</f>
        <v>0</v>
      </c>
      <c r="F621" s="165">
        <f t="shared" si="256"/>
        <v>0</v>
      </c>
      <c r="G621" s="165">
        <f t="shared" si="256"/>
        <v>0</v>
      </c>
      <c r="H621" s="165">
        <f t="shared" si="256"/>
        <v>0</v>
      </c>
      <c r="I621" s="165">
        <f t="shared" si="256"/>
        <v>0</v>
      </c>
      <c r="J621" s="165">
        <f t="shared" si="256"/>
        <v>0</v>
      </c>
      <c r="K621" s="165">
        <f t="shared" si="256"/>
        <v>0</v>
      </c>
      <c r="L621" s="165">
        <f t="shared" si="256"/>
        <v>0</v>
      </c>
      <c r="M621" s="165">
        <f t="shared" si="256"/>
        <v>0</v>
      </c>
      <c r="N621" s="165">
        <f t="shared" si="256"/>
        <v>0</v>
      </c>
      <c r="O621" s="165">
        <f t="shared" si="256"/>
        <v>0</v>
      </c>
    </row>
    <row r="622" spans="1:15" x14ac:dyDescent="0.25">
      <c r="A622" s="48"/>
      <c r="B622" s="39"/>
      <c r="C622" s="666" t="s">
        <v>380</v>
      </c>
      <c r="D622" s="665"/>
      <c r="E622" s="174"/>
      <c r="F622" s="174"/>
      <c r="G622" s="174"/>
      <c r="H622" s="174"/>
      <c r="I622" s="174"/>
      <c r="J622" s="174"/>
      <c r="K622" s="174"/>
      <c r="L622" s="174"/>
      <c r="M622" s="174"/>
      <c r="N622" s="174"/>
      <c r="O622" s="77"/>
    </row>
    <row r="623" spans="1:15" s="76" customFormat="1" x14ac:dyDescent="0.25">
      <c r="A623" s="43"/>
      <c r="B623" s="137"/>
      <c r="C623" s="62" t="s">
        <v>377</v>
      </c>
      <c r="D623" s="173"/>
      <c r="E623" s="165">
        <f>E525</f>
        <v>0</v>
      </c>
      <c r="F623" s="165">
        <f t="shared" ref="F623:O623" si="257">F525</f>
        <v>0</v>
      </c>
      <c r="G623" s="165">
        <f t="shared" si="257"/>
        <v>0</v>
      </c>
      <c r="H623" s="165">
        <f t="shared" si="257"/>
        <v>0</v>
      </c>
      <c r="I623" s="165">
        <f t="shared" si="257"/>
        <v>0</v>
      </c>
      <c r="J623" s="165">
        <f t="shared" si="257"/>
        <v>0</v>
      </c>
      <c r="K623" s="165">
        <f t="shared" si="257"/>
        <v>0</v>
      </c>
      <c r="L623" s="165">
        <f t="shared" si="257"/>
        <v>0</v>
      </c>
      <c r="M623" s="165">
        <f t="shared" si="257"/>
        <v>0</v>
      </c>
      <c r="N623" s="165">
        <f t="shared" si="257"/>
        <v>0</v>
      </c>
      <c r="O623" s="165">
        <f t="shared" si="257"/>
        <v>0</v>
      </c>
    </row>
    <row r="624" spans="1:15" x14ac:dyDescent="0.25">
      <c r="A624" s="48"/>
      <c r="B624" s="39"/>
      <c r="C624" s="438" t="s">
        <v>723</v>
      </c>
      <c r="D624" s="665"/>
      <c r="E624" s="174"/>
      <c r="F624" s="174"/>
      <c r="G624" s="174"/>
      <c r="H624" s="174"/>
      <c r="I624" s="174"/>
      <c r="J624" s="174"/>
      <c r="K624" s="174"/>
      <c r="L624" s="174"/>
      <c r="M624" s="174"/>
      <c r="N624" s="174"/>
      <c r="O624" s="77"/>
    </row>
    <row r="625" spans="1:15" s="51" customFormat="1" x14ac:dyDescent="0.25">
      <c r="A625" s="143"/>
      <c r="B625" s="29"/>
      <c r="C625" s="62" t="s">
        <v>724</v>
      </c>
      <c r="D625" s="1284">
        <f>D607</f>
        <v>0</v>
      </c>
      <c r="E625" s="165">
        <f>$D$607*(E207-E206)/CurrencyMultiplier</f>
        <v>0</v>
      </c>
      <c r="F625" s="165">
        <f>$D$607*(F207-F206)/CurrencyMultiplier</f>
        <v>0</v>
      </c>
      <c r="G625" s="165">
        <f>$D$607*(G207-G206)/CurrencyMultiplier</f>
        <v>0</v>
      </c>
      <c r="H625" s="165">
        <f>$D$607*(H207-H206)/CurrencyMultiplier</f>
        <v>0</v>
      </c>
      <c r="I625" s="165">
        <f>$D$607*(I207-I206)/CurrencyMultiplier</f>
        <v>0</v>
      </c>
      <c r="J625" s="165">
        <f>$D$607*(J207-J206)/CurrencyMultiplier</f>
        <v>0</v>
      </c>
      <c r="K625" s="165">
        <f>$D$607*(K207-K206)/CurrencyMultiplier</f>
        <v>0</v>
      </c>
      <c r="L625" s="165">
        <f>$D$607*(L207-L206)/CurrencyMultiplier</f>
        <v>0</v>
      </c>
      <c r="M625" s="165">
        <f>$D$607*(M207-M206)/CurrencyMultiplier</f>
        <v>0</v>
      </c>
      <c r="N625" s="165">
        <f>$D$607*(N207-N206)/CurrencyMultiplier</f>
        <v>0</v>
      </c>
      <c r="O625" s="165">
        <f>$D$607*(O207-O206)/CurrencyMultiplier</f>
        <v>0</v>
      </c>
    </row>
    <row r="626" spans="1:15" s="53" customFormat="1" x14ac:dyDescent="0.25">
      <c r="A626" s="63"/>
      <c r="B626" s="667"/>
      <c r="C626" s="668" t="s">
        <v>116</v>
      </c>
      <c r="D626" s="669"/>
      <c r="E626" s="670">
        <f>SUM(E$611:E$625)</f>
        <v>0</v>
      </c>
      <c r="F626" s="670">
        <f t="shared" ref="F626:O626" si="258">SUM(F$611:F$625)</f>
        <v>0</v>
      </c>
      <c r="G626" s="670">
        <f t="shared" si="258"/>
        <v>0</v>
      </c>
      <c r="H626" s="670">
        <f t="shared" si="258"/>
        <v>0</v>
      </c>
      <c r="I626" s="670">
        <f t="shared" si="258"/>
        <v>0</v>
      </c>
      <c r="J626" s="670">
        <f t="shared" si="258"/>
        <v>0</v>
      </c>
      <c r="K626" s="670">
        <f t="shared" si="258"/>
        <v>0</v>
      </c>
      <c r="L626" s="670">
        <f t="shared" si="258"/>
        <v>0</v>
      </c>
      <c r="M626" s="670">
        <f t="shared" si="258"/>
        <v>0</v>
      </c>
      <c r="N626" s="670">
        <f t="shared" si="258"/>
        <v>0</v>
      </c>
      <c r="O626" s="670">
        <f t="shared" si="258"/>
        <v>0</v>
      </c>
    </row>
    <row r="627" spans="1:15" s="170" customFormat="1" x14ac:dyDescent="0.25">
      <c r="A627" s="204"/>
      <c r="B627" s="205"/>
      <c r="C627" s="207" t="s">
        <v>547</v>
      </c>
      <c r="D627" s="205"/>
      <c r="E627" s="206"/>
      <c r="F627" s="206"/>
      <c r="G627" s="206"/>
      <c r="H627" s="206"/>
      <c r="I627" s="206"/>
      <c r="J627" s="206"/>
      <c r="K627" s="206"/>
      <c r="L627" s="206"/>
      <c r="M627" s="206"/>
      <c r="N627" s="206"/>
      <c r="O627" s="206"/>
    </row>
    <row r="628" spans="1:15" x14ac:dyDescent="0.25">
      <c r="A628" s="48"/>
      <c r="B628" s="39"/>
      <c r="C628" s="438" t="s">
        <v>378</v>
      </c>
      <c r="D628" s="1282">
        <f>IF(SUM($D$584:$F$584)=0,0,1)</f>
        <v>0</v>
      </c>
      <c r="E628" s="174"/>
      <c r="F628" s="174"/>
      <c r="G628" s="174"/>
      <c r="H628" s="174"/>
      <c r="I628" s="174"/>
      <c r="J628" s="174"/>
      <c r="K628" s="174"/>
      <c r="L628" s="174"/>
      <c r="M628" s="174"/>
      <c r="N628" s="174"/>
      <c r="O628" s="77"/>
    </row>
    <row r="629" spans="1:15" s="76" customFormat="1" x14ac:dyDescent="0.25">
      <c r="A629" s="43"/>
      <c r="B629" s="137"/>
      <c r="C629" s="62" t="s">
        <v>258</v>
      </c>
      <c r="D629" s="1263"/>
      <c r="E629" s="59">
        <f t="shared" ref="E629:O629" si="259">E$319*SUM(E$410:E$413)*$D$628</f>
        <v>0</v>
      </c>
      <c r="F629" s="59">
        <f t="shared" si="259"/>
        <v>0</v>
      </c>
      <c r="G629" s="59">
        <f t="shared" si="259"/>
        <v>0</v>
      </c>
      <c r="H629" s="59">
        <f t="shared" si="259"/>
        <v>0</v>
      </c>
      <c r="I629" s="59">
        <f t="shared" si="259"/>
        <v>0</v>
      </c>
      <c r="J629" s="59">
        <f t="shared" si="259"/>
        <v>0</v>
      </c>
      <c r="K629" s="59">
        <f t="shared" si="259"/>
        <v>0</v>
      </c>
      <c r="L629" s="59">
        <f t="shared" si="259"/>
        <v>0</v>
      </c>
      <c r="M629" s="59">
        <f t="shared" si="259"/>
        <v>0</v>
      </c>
      <c r="N629" s="59">
        <f t="shared" si="259"/>
        <v>0</v>
      </c>
      <c r="O629" s="59">
        <f t="shared" si="259"/>
        <v>0</v>
      </c>
    </row>
    <row r="630" spans="1:15" s="76" customFormat="1" x14ac:dyDescent="0.25">
      <c r="A630" s="43"/>
      <c r="B630" s="137"/>
      <c r="C630" s="62" t="s">
        <v>257</v>
      </c>
      <c r="D630" s="1263"/>
      <c r="E630" s="59">
        <f t="shared" ref="E630:O630" si="260">E$320*SUM(E$415:E$418)*$D$628</f>
        <v>0</v>
      </c>
      <c r="F630" s="59">
        <f t="shared" si="260"/>
        <v>0</v>
      </c>
      <c r="G630" s="59">
        <f t="shared" si="260"/>
        <v>0</v>
      </c>
      <c r="H630" s="59">
        <f t="shared" si="260"/>
        <v>0</v>
      </c>
      <c r="I630" s="59">
        <f t="shared" si="260"/>
        <v>0</v>
      </c>
      <c r="J630" s="59">
        <f t="shared" si="260"/>
        <v>0</v>
      </c>
      <c r="K630" s="59">
        <f t="shared" si="260"/>
        <v>0</v>
      </c>
      <c r="L630" s="59">
        <f t="shared" si="260"/>
        <v>0</v>
      </c>
      <c r="M630" s="59">
        <f t="shared" si="260"/>
        <v>0</v>
      </c>
      <c r="N630" s="59">
        <f t="shared" si="260"/>
        <v>0</v>
      </c>
      <c r="O630" s="59">
        <f t="shared" si="260"/>
        <v>0</v>
      </c>
    </row>
    <row r="631" spans="1:15" s="76" customFormat="1" x14ac:dyDescent="0.25">
      <c r="A631" s="43"/>
      <c r="B631" s="137"/>
      <c r="C631" s="62" t="s">
        <v>259</v>
      </c>
      <c r="D631" s="1263"/>
      <c r="E631" s="59">
        <f t="shared" ref="E631:O631" si="261">E$321*SUM(E$420:E$423)*$D$628</f>
        <v>0</v>
      </c>
      <c r="F631" s="59">
        <f t="shared" si="261"/>
        <v>0</v>
      </c>
      <c r="G631" s="59">
        <f t="shared" si="261"/>
        <v>0</v>
      </c>
      <c r="H631" s="59">
        <f t="shared" si="261"/>
        <v>0</v>
      </c>
      <c r="I631" s="59">
        <f t="shared" si="261"/>
        <v>0</v>
      </c>
      <c r="J631" s="59">
        <f t="shared" si="261"/>
        <v>0</v>
      </c>
      <c r="K631" s="59">
        <f t="shared" si="261"/>
        <v>0</v>
      </c>
      <c r="L631" s="59">
        <f t="shared" si="261"/>
        <v>0</v>
      </c>
      <c r="M631" s="59">
        <f t="shared" si="261"/>
        <v>0</v>
      </c>
      <c r="N631" s="59">
        <f t="shared" si="261"/>
        <v>0</v>
      </c>
      <c r="O631" s="59">
        <f t="shared" si="261"/>
        <v>0</v>
      </c>
    </row>
    <row r="632" spans="1:15" s="76" customFormat="1" x14ac:dyDescent="0.25">
      <c r="A632" s="43"/>
      <c r="B632" s="137"/>
      <c r="C632" s="62" t="s">
        <v>324</v>
      </c>
      <c r="D632" s="1263"/>
      <c r="E632" s="59">
        <f t="shared" ref="E632:O632" si="262">E$322*SUM(E$425:E$428)*$D$628</f>
        <v>0</v>
      </c>
      <c r="F632" s="59">
        <f t="shared" si="262"/>
        <v>0</v>
      </c>
      <c r="G632" s="59">
        <f t="shared" si="262"/>
        <v>0</v>
      </c>
      <c r="H632" s="59">
        <f t="shared" si="262"/>
        <v>0</v>
      </c>
      <c r="I632" s="59">
        <f t="shared" si="262"/>
        <v>0</v>
      </c>
      <c r="J632" s="59">
        <f t="shared" si="262"/>
        <v>0</v>
      </c>
      <c r="K632" s="59">
        <f t="shared" si="262"/>
        <v>0</v>
      </c>
      <c r="L632" s="59">
        <f t="shared" si="262"/>
        <v>0</v>
      </c>
      <c r="M632" s="59">
        <f t="shared" si="262"/>
        <v>0</v>
      </c>
      <c r="N632" s="59">
        <f t="shared" si="262"/>
        <v>0</v>
      </c>
      <c r="O632" s="59">
        <f t="shared" si="262"/>
        <v>0</v>
      </c>
    </row>
    <row r="633" spans="1:15" s="76" customFormat="1" x14ac:dyDescent="0.25">
      <c r="A633" s="43"/>
      <c r="B633" s="137"/>
      <c r="C633" s="62" t="s">
        <v>256</v>
      </c>
      <c r="D633" s="1263"/>
      <c r="E633" s="59">
        <f t="shared" ref="E633:O633" si="263">E$323*SUM(E$430)*$D$628</f>
        <v>0</v>
      </c>
      <c r="F633" s="59">
        <f t="shared" si="263"/>
        <v>0</v>
      </c>
      <c r="G633" s="59">
        <f t="shared" si="263"/>
        <v>0</v>
      </c>
      <c r="H633" s="59">
        <f t="shared" si="263"/>
        <v>0</v>
      </c>
      <c r="I633" s="59">
        <f t="shared" si="263"/>
        <v>0</v>
      </c>
      <c r="J633" s="59">
        <f t="shared" si="263"/>
        <v>0</v>
      </c>
      <c r="K633" s="59">
        <f t="shared" si="263"/>
        <v>0</v>
      </c>
      <c r="L633" s="59">
        <f t="shared" si="263"/>
        <v>0</v>
      </c>
      <c r="M633" s="59">
        <f t="shared" si="263"/>
        <v>0</v>
      </c>
      <c r="N633" s="59">
        <f t="shared" si="263"/>
        <v>0</v>
      </c>
      <c r="O633" s="59">
        <f t="shared" si="263"/>
        <v>0</v>
      </c>
    </row>
    <row r="634" spans="1:15" x14ac:dyDescent="0.25">
      <c r="A634" s="48"/>
      <c r="B634" s="39"/>
      <c r="C634" s="438" t="s">
        <v>379</v>
      </c>
      <c r="D634" s="1282">
        <f>IF(SUM($D$585:$F$585)=0,0,1)</f>
        <v>0</v>
      </c>
      <c r="E634" s="174"/>
      <c r="F634" s="174"/>
      <c r="G634" s="174"/>
      <c r="H634" s="174"/>
      <c r="I634" s="174"/>
      <c r="J634" s="174"/>
      <c r="K634" s="174"/>
      <c r="L634" s="174"/>
      <c r="M634" s="174"/>
      <c r="N634" s="174"/>
      <c r="O634" s="77"/>
    </row>
    <row r="635" spans="1:15" s="76" customFormat="1" x14ac:dyDescent="0.25">
      <c r="A635" s="43"/>
      <c r="B635" s="137"/>
      <c r="C635" s="62" t="s">
        <v>258</v>
      </c>
      <c r="D635" s="1263"/>
      <c r="E635" s="59">
        <f t="shared" ref="E635:O635" si="264">(1-E$319)*E$477*$D$634</f>
        <v>0</v>
      </c>
      <c r="F635" s="59">
        <f t="shared" si="264"/>
        <v>0</v>
      </c>
      <c r="G635" s="59">
        <f t="shared" si="264"/>
        <v>0</v>
      </c>
      <c r="H635" s="59">
        <f t="shared" si="264"/>
        <v>0</v>
      </c>
      <c r="I635" s="59">
        <f t="shared" si="264"/>
        <v>0</v>
      </c>
      <c r="J635" s="59">
        <f t="shared" si="264"/>
        <v>0</v>
      </c>
      <c r="K635" s="59">
        <f t="shared" si="264"/>
        <v>0</v>
      </c>
      <c r="L635" s="59">
        <f t="shared" si="264"/>
        <v>0</v>
      </c>
      <c r="M635" s="59">
        <f t="shared" si="264"/>
        <v>0</v>
      </c>
      <c r="N635" s="59">
        <f t="shared" si="264"/>
        <v>0</v>
      </c>
      <c r="O635" s="59">
        <f t="shared" si="264"/>
        <v>0</v>
      </c>
    </row>
    <row r="636" spans="1:15" s="76" customFormat="1" x14ac:dyDescent="0.25">
      <c r="A636" s="43"/>
      <c r="B636" s="137"/>
      <c r="C636" s="62" t="s">
        <v>257</v>
      </c>
      <c r="D636" s="1263"/>
      <c r="E636" s="59">
        <f t="shared" ref="E636:O636" si="265">((1-E$320)*E$478*$D$634)</f>
        <v>0</v>
      </c>
      <c r="F636" s="59">
        <f t="shared" si="265"/>
        <v>0</v>
      </c>
      <c r="G636" s="59">
        <f t="shared" si="265"/>
        <v>0</v>
      </c>
      <c r="H636" s="59">
        <f t="shared" si="265"/>
        <v>0</v>
      </c>
      <c r="I636" s="59">
        <f t="shared" si="265"/>
        <v>0</v>
      </c>
      <c r="J636" s="59">
        <f t="shared" si="265"/>
        <v>0</v>
      </c>
      <c r="K636" s="59">
        <f t="shared" si="265"/>
        <v>0</v>
      </c>
      <c r="L636" s="59">
        <f t="shared" si="265"/>
        <v>0</v>
      </c>
      <c r="M636" s="59">
        <f t="shared" si="265"/>
        <v>0</v>
      </c>
      <c r="N636" s="59">
        <f t="shared" si="265"/>
        <v>0</v>
      </c>
      <c r="O636" s="59">
        <f t="shared" si="265"/>
        <v>0</v>
      </c>
    </row>
    <row r="637" spans="1:15" s="76" customFormat="1" x14ac:dyDescent="0.25">
      <c r="A637" s="43"/>
      <c r="B637" s="137"/>
      <c r="C637" s="62" t="s">
        <v>259</v>
      </c>
      <c r="D637" s="1263"/>
      <c r="E637" s="59">
        <f t="shared" ref="E637:O637" si="266">((1-E$321)*E$479*$D$634)</f>
        <v>0</v>
      </c>
      <c r="F637" s="59">
        <f t="shared" si="266"/>
        <v>0</v>
      </c>
      <c r="G637" s="59">
        <f t="shared" si="266"/>
        <v>0</v>
      </c>
      <c r="H637" s="59">
        <f t="shared" si="266"/>
        <v>0</v>
      </c>
      <c r="I637" s="59">
        <f t="shared" si="266"/>
        <v>0</v>
      </c>
      <c r="J637" s="59">
        <f t="shared" si="266"/>
        <v>0</v>
      </c>
      <c r="K637" s="59">
        <f t="shared" si="266"/>
        <v>0</v>
      </c>
      <c r="L637" s="59">
        <f t="shared" si="266"/>
        <v>0</v>
      </c>
      <c r="M637" s="59">
        <f t="shared" si="266"/>
        <v>0</v>
      </c>
      <c r="N637" s="59">
        <f t="shared" si="266"/>
        <v>0</v>
      </c>
      <c r="O637" s="59">
        <f t="shared" si="266"/>
        <v>0</v>
      </c>
    </row>
    <row r="638" spans="1:15" s="76" customFormat="1" x14ac:dyDescent="0.25">
      <c r="A638" s="43"/>
      <c r="B638" s="137"/>
      <c r="C638" s="62" t="s">
        <v>324</v>
      </c>
      <c r="D638" s="1263"/>
      <c r="E638" s="59">
        <f t="shared" ref="E638:O638" si="267">((1-E$322)*E$480*$D$634)</f>
        <v>0</v>
      </c>
      <c r="F638" s="59">
        <f t="shared" si="267"/>
        <v>0</v>
      </c>
      <c r="G638" s="59">
        <f t="shared" si="267"/>
        <v>0</v>
      </c>
      <c r="H638" s="59">
        <f t="shared" si="267"/>
        <v>0</v>
      </c>
      <c r="I638" s="59">
        <f t="shared" si="267"/>
        <v>0</v>
      </c>
      <c r="J638" s="59">
        <f t="shared" si="267"/>
        <v>0</v>
      </c>
      <c r="K638" s="59">
        <f t="shared" si="267"/>
        <v>0</v>
      </c>
      <c r="L638" s="59">
        <f t="shared" si="267"/>
        <v>0</v>
      </c>
      <c r="M638" s="59">
        <f t="shared" si="267"/>
        <v>0</v>
      </c>
      <c r="N638" s="59">
        <f t="shared" si="267"/>
        <v>0</v>
      </c>
      <c r="O638" s="59">
        <f t="shared" si="267"/>
        <v>0</v>
      </c>
    </row>
    <row r="639" spans="1:15" s="76" customFormat="1" x14ac:dyDescent="0.25">
      <c r="A639" s="43"/>
      <c r="B639" s="137"/>
      <c r="C639" s="62" t="s">
        <v>256</v>
      </c>
      <c r="D639" s="1263"/>
      <c r="E639" s="59">
        <f t="shared" ref="E639:O639" si="268">((1-E$323)*E$481*$D$634)</f>
        <v>0</v>
      </c>
      <c r="F639" s="59">
        <f t="shared" si="268"/>
        <v>0</v>
      </c>
      <c r="G639" s="59">
        <f t="shared" si="268"/>
        <v>0</v>
      </c>
      <c r="H639" s="59">
        <f t="shared" si="268"/>
        <v>0</v>
      </c>
      <c r="I639" s="59">
        <f t="shared" si="268"/>
        <v>0</v>
      </c>
      <c r="J639" s="59">
        <f t="shared" si="268"/>
        <v>0</v>
      </c>
      <c r="K639" s="59">
        <f t="shared" si="268"/>
        <v>0</v>
      </c>
      <c r="L639" s="59">
        <f t="shared" si="268"/>
        <v>0</v>
      </c>
      <c r="M639" s="59">
        <f t="shared" si="268"/>
        <v>0</v>
      </c>
      <c r="N639" s="59">
        <f t="shared" si="268"/>
        <v>0</v>
      </c>
      <c r="O639" s="59">
        <f t="shared" si="268"/>
        <v>0</v>
      </c>
    </row>
    <row r="640" spans="1:15" x14ac:dyDescent="0.25">
      <c r="A640" s="48"/>
      <c r="B640" s="39"/>
      <c r="C640" s="666" t="s">
        <v>380</v>
      </c>
      <c r="D640" s="665"/>
      <c r="E640" s="174"/>
      <c r="F640" s="174"/>
      <c r="G640" s="174"/>
      <c r="H640" s="174"/>
      <c r="I640" s="174"/>
      <c r="J640" s="174"/>
      <c r="K640" s="174"/>
      <c r="L640" s="174"/>
      <c r="M640" s="174"/>
      <c r="N640" s="174"/>
      <c r="O640" s="77"/>
    </row>
    <row r="641" spans="1:15" s="76" customFormat="1" x14ac:dyDescent="0.25">
      <c r="A641" s="43"/>
      <c r="B641" s="137"/>
      <c r="C641" s="62" t="s">
        <v>377</v>
      </c>
      <c r="D641" s="1263"/>
      <c r="E641" s="59">
        <f>E530</f>
        <v>0</v>
      </c>
      <c r="F641" s="59">
        <f t="shared" ref="F641:O641" si="269">F530</f>
        <v>0</v>
      </c>
      <c r="G641" s="59">
        <f t="shared" si="269"/>
        <v>0</v>
      </c>
      <c r="H641" s="59">
        <f t="shared" si="269"/>
        <v>0</v>
      </c>
      <c r="I641" s="59">
        <f t="shared" si="269"/>
        <v>0</v>
      </c>
      <c r="J641" s="59">
        <f t="shared" si="269"/>
        <v>0</v>
      </c>
      <c r="K641" s="59">
        <f t="shared" si="269"/>
        <v>0</v>
      </c>
      <c r="L641" s="59">
        <f t="shared" si="269"/>
        <v>0</v>
      </c>
      <c r="M641" s="59">
        <f t="shared" si="269"/>
        <v>0</v>
      </c>
      <c r="N641" s="59">
        <f t="shared" si="269"/>
        <v>0</v>
      </c>
      <c r="O641" s="59">
        <f t="shared" si="269"/>
        <v>0</v>
      </c>
    </row>
    <row r="642" spans="1:15" x14ac:dyDescent="0.25">
      <c r="A642" s="48"/>
      <c r="B642" s="39"/>
      <c r="C642" s="438" t="s">
        <v>723</v>
      </c>
      <c r="D642" s="665"/>
      <c r="E642" s="1152"/>
      <c r="F642" s="174"/>
      <c r="G642" s="174"/>
      <c r="H642" s="174"/>
      <c r="I642" s="174"/>
      <c r="J642" s="174"/>
      <c r="K642" s="174"/>
      <c r="L642" s="174"/>
      <c r="M642" s="174"/>
      <c r="N642" s="174"/>
      <c r="O642" s="77"/>
    </row>
    <row r="643" spans="1:15" s="51" customFormat="1" x14ac:dyDescent="0.25">
      <c r="A643" s="52"/>
      <c r="B643" s="939"/>
      <c r="C643" s="781" t="s">
        <v>474</v>
      </c>
      <c r="D643" s="1261" t="s">
        <v>993</v>
      </c>
      <c r="E643" s="72">
        <f>D625</f>
        <v>0</v>
      </c>
      <c r="F643" s="72">
        <f>IF(E643&lt;&gt;0,E643,IF(F$649='Financing Plan'!$J$176,'Financing Plan'!$M$176,$E$643))</f>
        <v>0</v>
      </c>
      <c r="G643" s="72">
        <f>IF(F643&lt;&gt;0,F643,IF(G$649='Financing Plan'!$J$176,'Financing Plan'!$M$176,$E$643))</f>
        <v>0</v>
      </c>
      <c r="H643" s="72">
        <f>IF(G643&lt;&gt;0,G643,IF(H$649='Financing Plan'!$J$176,'Financing Plan'!$M$176,$E$643))</f>
        <v>0</v>
      </c>
      <c r="I643" s="72">
        <f>IF(H643&lt;&gt;0,H643,IF(I$649='Financing Plan'!$J$176,'Financing Plan'!$M$176,$E$643))</f>
        <v>0</v>
      </c>
      <c r="J643" s="72">
        <f>IF(I643&lt;&gt;0,I643,IF(J$649='Financing Plan'!$J$176,'Financing Plan'!$M$176,$E$643))</f>
        <v>0</v>
      </c>
      <c r="K643" s="72">
        <f>IF(J643&lt;&gt;0,J643,IF(K$649='Financing Plan'!$J$176,'Financing Plan'!$M$176,$E$643))</f>
        <v>0</v>
      </c>
      <c r="L643" s="72">
        <f>IF(K643&lt;&gt;0,K643,IF(L$649='Financing Plan'!$J$176,'Financing Plan'!$M$176,$E$643))</f>
        <v>0</v>
      </c>
      <c r="M643" s="72">
        <f>IF(L643&lt;&gt;0,L643,IF(M$649='Financing Plan'!$J$176,'Financing Plan'!$M$176,$E$643))</f>
        <v>0</v>
      </c>
      <c r="N643" s="72">
        <f>IF(M643&lt;&gt;0,M643,IF(N$649='Financing Plan'!$J$176,'Financing Plan'!$M$176,$E$643))</f>
        <v>0</v>
      </c>
      <c r="O643" s="72">
        <f>IF(N643&lt;&gt;0,N643,IF(O$649='Financing Plan'!$J$176,'Financing Plan'!$M$176,$E$643))</f>
        <v>0</v>
      </c>
    </row>
    <row r="644" spans="1:15" s="51" customFormat="1" ht="22.5" x14ac:dyDescent="0.25">
      <c r="A644" s="52"/>
      <c r="B644" s="940"/>
      <c r="C644" s="1285"/>
      <c r="D644" s="1262" t="s">
        <v>994</v>
      </c>
      <c r="E644" s="72">
        <f>E643</f>
        <v>0</v>
      </c>
      <c r="F644" s="5504">
        <f>IF(F643&lt;&gt;E643,F643,E644*(1+'Financing Plan'!F178))</f>
        <v>0</v>
      </c>
      <c r="G644" s="5504">
        <f>IF(G643&lt;&gt;F643,G643,F644*(1+'Financing Plan'!G178))</f>
        <v>0</v>
      </c>
      <c r="H644" s="5504">
        <f>IF(H643&lt;&gt;G643,H643,G644*(1+'Financing Plan'!H178))</f>
        <v>0</v>
      </c>
      <c r="I644" s="5504">
        <f>IF(I643&lt;&gt;H643,I643,H644*(1+'Financing Plan'!I178))</f>
        <v>0</v>
      </c>
      <c r="J644" s="5504">
        <f>IF(J643&lt;&gt;I643,J643,I644*(1+'Financing Plan'!J178))</f>
        <v>0</v>
      </c>
      <c r="K644" s="5504">
        <f>IF(K643&lt;&gt;J643,K643,J644*(1+'Financing Plan'!K178))</f>
        <v>0</v>
      </c>
      <c r="L644" s="5504">
        <f>IF(L643&lt;&gt;K643,L643,K644*(1+'Financing Plan'!L178))</f>
        <v>0</v>
      </c>
      <c r="M644" s="5504">
        <f>IF(M643&lt;&gt;L643,M643,L644*(1+'Financing Plan'!M178))</f>
        <v>0</v>
      </c>
      <c r="N644" s="5504">
        <f>IF(N643&lt;&gt;M643,N643,M644*(1+'Financing Plan'!N178))</f>
        <v>0</v>
      </c>
      <c r="O644" s="5504">
        <f>IF(O643&lt;&gt;N643,O643,N644*(1+'Financing Plan'!O178))</f>
        <v>0</v>
      </c>
    </row>
    <row r="645" spans="1:15" s="76" customFormat="1" x14ac:dyDescent="0.25">
      <c r="A645" s="170"/>
      <c r="B645" s="137"/>
      <c r="C645" s="62" t="s">
        <v>724</v>
      </c>
      <c r="D645" s="181">
        <f>IF(SUM($D$587:$F$587)=0,0,1)</f>
        <v>0</v>
      </c>
      <c r="E645" s="5801">
        <f>(IF($E$644=E644,E625,E644*(E207-E206)/CurrencyMultiplier))*$D$645</f>
        <v>0</v>
      </c>
      <c r="F645" s="5801">
        <f>(IF($E$644=F644,F625,F644*(F207-F206)/CurrencyMultiplier))*$D$645</f>
        <v>0</v>
      </c>
      <c r="G645" s="59">
        <f>(IF($E$644=G644,G625,G644*(G207-G206)/CurrencyMultiplier))*$D$645</f>
        <v>0</v>
      </c>
      <c r="H645" s="59">
        <f>(IF($E$644=H644,H625,H644*(H207-H206)/CurrencyMultiplier))*$D$645</f>
        <v>0</v>
      </c>
      <c r="I645" s="59">
        <f>(IF($E$644=I644,I625,I644*(I207-I206)/CurrencyMultiplier))*$D$645</f>
        <v>0</v>
      </c>
      <c r="J645" s="59">
        <f>(IF($E$644=J644,J625,J644*(J207-J206)/CurrencyMultiplier))*$D$645</f>
        <v>0</v>
      </c>
      <c r="K645" s="59">
        <f>(IF($E$644=K644,K625,K644*(K207-K206)/CurrencyMultiplier))*$D$645</f>
        <v>0</v>
      </c>
      <c r="L645" s="59">
        <f>(IF($E$644=L644,L625,L644*(L207-L206)/CurrencyMultiplier))*$D$645</f>
        <v>0</v>
      </c>
      <c r="M645" s="59">
        <f>(IF($E$644=M644,M625,M644*(M207-M206)/CurrencyMultiplier))*$D$645</f>
        <v>0</v>
      </c>
      <c r="N645" s="59">
        <f>(IF($E$644=N644,N625,N644*(N207-N206)/CurrencyMultiplier))*$D$645</f>
        <v>0</v>
      </c>
      <c r="O645" s="59">
        <f>(IF($E$644=O644,O625,O644*(O207-O206)/CurrencyMultiplier))*$D$645</f>
        <v>0</v>
      </c>
    </row>
    <row r="646" spans="1:15" s="53" customFormat="1" x14ac:dyDescent="0.25">
      <c r="A646" s="63"/>
      <c r="B646" s="667"/>
      <c r="C646" s="668" t="s">
        <v>116</v>
      </c>
      <c r="D646" s="669"/>
      <c r="E646" s="670">
        <f>SUM(E$629:E$641,E645)</f>
        <v>0</v>
      </c>
      <c r="F646" s="670">
        <f>SUM(F$629:F$641,F645)</f>
        <v>0</v>
      </c>
      <c r="G646" s="670">
        <f t="shared" ref="G646:O646" si="270">SUM(G$629:G$641,G645)</f>
        <v>0</v>
      </c>
      <c r="H646" s="670">
        <f t="shared" si="270"/>
        <v>0</v>
      </c>
      <c r="I646" s="670">
        <f t="shared" si="270"/>
        <v>0</v>
      </c>
      <c r="J646" s="670">
        <f t="shared" si="270"/>
        <v>0</v>
      </c>
      <c r="K646" s="670">
        <f t="shared" si="270"/>
        <v>0</v>
      </c>
      <c r="L646" s="670">
        <f t="shared" si="270"/>
        <v>0</v>
      </c>
      <c r="M646" s="670">
        <f t="shared" si="270"/>
        <v>0</v>
      </c>
      <c r="N646" s="670">
        <f t="shared" si="270"/>
        <v>0</v>
      </c>
      <c r="O646" s="670">
        <f t="shared" si="270"/>
        <v>0</v>
      </c>
    </row>
    <row r="647" spans="1:15" s="56" customFormat="1" x14ac:dyDescent="0.25">
      <c r="A647"/>
      <c r="B647"/>
      <c r="C647"/>
      <c r="E647"/>
      <c r="F647"/>
      <c r="G647"/>
      <c r="H647"/>
      <c r="I647"/>
      <c r="J647"/>
      <c r="K647"/>
      <c r="L647"/>
      <c r="M647"/>
      <c r="N647"/>
      <c r="O647"/>
    </row>
    <row r="648" spans="1:15" x14ac:dyDescent="0.25">
      <c r="A648" s="11" t="s">
        <v>32</v>
      </c>
      <c r="B648" s="11" t="s">
        <v>617</v>
      </c>
      <c r="C648" s="309"/>
      <c r="E648" s="94"/>
      <c r="F648" s="94"/>
    </row>
    <row r="649" spans="1:15" x14ac:dyDescent="0.25">
      <c r="B649" s="13" t="s">
        <v>3</v>
      </c>
      <c r="C649" s="310" t="s">
        <v>4</v>
      </c>
      <c r="D649" s="13" t="s">
        <v>33</v>
      </c>
      <c r="E649" s="13">
        <f>E$3</f>
        <v>2014</v>
      </c>
      <c r="F649" s="13">
        <f t="shared" ref="F649:O649" si="271">F$3</f>
        <v>2015</v>
      </c>
      <c r="G649" s="13">
        <f t="shared" si="271"/>
        <v>2016</v>
      </c>
      <c r="H649" s="13">
        <f t="shared" si="271"/>
        <v>2017</v>
      </c>
      <c r="I649" s="13">
        <f t="shared" si="271"/>
        <v>2018</v>
      </c>
      <c r="J649" s="13">
        <f t="shared" si="271"/>
        <v>2019</v>
      </c>
      <c r="K649" s="13">
        <f t="shared" si="271"/>
        <v>2020</v>
      </c>
      <c r="L649" s="13">
        <f t="shared" si="271"/>
        <v>2021</v>
      </c>
      <c r="M649" s="13">
        <f t="shared" si="271"/>
        <v>2022</v>
      </c>
      <c r="N649" s="13">
        <f t="shared" si="271"/>
        <v>2023</v>
      </c>
      <c r="O649" s="13">
        <f t="shared" si="271"/>
        <v>2024</v>
      </c>
    </row>
    <row r="650" spans="1:15" x14ac:dyDescent="0.25">
      <c r="A650" s="199"/>
      <c r="B650" s="196"/>
      <c r="C650" s="329" t="s">
        <v>503</v>
      </c>
      <c r="D650" s="203"/>
      <c r="E650" s="199"/>
      <c r="F650" s="199"/>
      <c r="G650" s="199"/>
      <c r="H650" s="199"/>
      <c r="I650" s="199"/>
      <c r="J650" s="199"/>
      <c r="K650" s="199"/>
      <c r="L650" s="199"/>
      <c r="M650" s="199"/>
      <c r="N650" s="199"/>
      <c r="O650" s="199"/>
    </row>
    <row r="651" spans="1:15" x14ac:dyDescent="0.25">
      <c r="A651" s="750"/>
      <c r="B651" s="751"/>
      <c r="C651" s="752" t="s">
        <v>34</v>
      </c>
      <c r="D651" s="753" t="s">
        <v>18</v>
      </c>
      <c r="E651" s="754">
        <f>'WS Plan'!H263</f>
        <v>0</v>
      </c>
      <c r="F651" s="755">
        <f>MIN(IF('WS Plan'!$E$262="Activate",IF(AND('WS calcu'!F590&gt;='WS Plan'!$G$262,'WS calcu'!F590&lt;'WS Plan'!$H$262+1),'WS calcu'!E651+(('WS Plan'!$H$265-'WS Plan'!$H$263)/('WS Plan'!$H$262+1-'WS Plan'!$G$262)),'WS calcu'!E651),'WS calcu'!E651),100%)</f>
        <v>0</v>
      </c>
      <c r="G651" s="755">
        <f>MIN(IF('WS Plan'!$E$262="Activate",IF(AND('WS calcu'!G590&gt;='WS Plan'!$G$262,'WS calcu'!G590&lt;'WS Plan'!$H$262+1),'WS calcu'!F651+(('WS Plan'!$H$265-'WS Plan'!$H$263)/('WS Plan'!$H$262+1-'WS Plan'!$G$262)),'WS calcu'!F651),'WS calcu'!F651),100%)</f>
        <v>0</v>
      </c>
      <c r="H651" s="755">
        <f>MIN(IF('WS Plan'!$E$262="Activate",IF(AND('WS calcu'!H590&gt;='WS Plan'!$G$262,'WS calcu'!H590&lt;'WS Plan'!$H$262+1),'WS calcu'!G651+(('WS Plan'!$H$265-'WS Plan'!$H$263)/('WS Plan'!$H$262+1-'WS Plan'!$G$262)),'WS calcu'!G651),'WS calcu'!G651),100%)</f>
        <v>0</v>
      </c>
      <c r="I651" s="755">
        <f>MIN(IF('WS Plan'!$E$262="Activate",IF(AND('WS calcu'!I590&gt;='WS Plan'!$G$262,'WS calcu'!I590&lt;'WS Plan'!$H$262+1),'WS calcu'!H651+(('WS Plan'!$H$265-'WS Plan'!$H$263)/('WS Plan'!$H$262+1-'WS Plan'!$G$262)),'WS calcu'!H651),'WS calcu'!H651),100%)</f>
        <v>0</v>
      </c>
      <c r="J651" s="755">
        <f>MIN(IF('WS Plan'!$E$262="Activate",IF(AND('WS calcu'!J590&gt;='WS Plan'!$G$262,'WS calcu'!J590&lt;'WS Plan'!$H$262+1),'WS calcu'!I651+(('WS Plan'!$H$265-'WS Plan'!$H$263)/('WS Plan'!$H$262+1-'WS Plan'!$G$262)),'WS calcu'!I651),'WS calcu'!I651),100%)</f>
        <v>0</v>
      </c>
      <c r="K651" s="755">
        <f>MIN(IF('WS Plan'!$E$262="Activate",IF(AND('WS calcu'!K590&gt;='WS Plan'!$G$262,'WS calcu'!K590&lt;'WS Plan'!$H$262+1),'WS calcu'!J651+(('WS Plan'!$H$265-'WS Plan'!$H$263)/('WS Plan'!$H$262+1-'WS Plan'!$G$262)),'WS calcu'!J651),'WS calcu'!J651),100%)</f>
        <v>0</v>
      </c>
      <c r="L651" s="755">
        <f>MIN(IF('WS Plan'!$E$262="Activate",IF(AND('WS calcu'!L590&gt;='WS Plan'!$G$262,'WS calcu'!L590&lt;'WS Plan'!$H$262+1),'WS calcu'!K651+(('WS Plan'!$H$265-'WS Plan'!$H$263)/('WS Plan'!$H$262+1-'WS Plan'!$G$262)),'WS calcu'!K651),'WS calcu'!K651),100%)</f>
        <v>0</v>
      </c>
      <c r="M651" s="755">
        <f>MIN(IF('WS Plan'!$E$262="Activate",IF(AND('WS calcu'!M590&gt;='WS Plan'!$G$262,'WS calcu'!M590&lt;'WS Plan'!$H$262+1),'WS calcu'!L651+(('WS Plan'!$H$265-'WS Plan'!$H$263)/('WS Plan'!$H$262+1-'WS Plan'!$G$262)),'WS calcu'!L651),'WS calcu'!L651),100%)</f>
        <v>0</v>
      </c>
      <c r="N651" s="755">
        <f>MIN(IF('WS Plan'!$E$262="Activate",IF(AND('WS calcu'!N590&gt;='WS Plan'!$G$262,'WS calcu'!N590&lt;'WS Plan'!$H$262+1),'WS calcu'!M651+(('WS Plan'!$H$265-'WS Plan'!$H$263)/('WS Plan'!$H$262+1-'WS Plan'!$G$262)),'WS calcu'!M651),'WS calcu'!M651),100%)</f>
        <v>0</v>
      </c>
      <c r="O651" s="755">
        <f>MIN(IF('WS Plan'!$E$262="Activate",IF(AND('WS calcu'!O590&gt;='WS Plan'!$G$262,'WS calcu'!O590&lt;'WS Plan'!$H$262+1),'WS calcu'!N651+(('WS Plan'!$H$265-'WS Plan'!$H$263)/('WS Plan'!$H$262+1-'WS Plan'!$G$262)),'WS calcu'!N651),'WS calcu'!N651),100%)</f>
        <v>0</v>
      </c>
    </row>
    <row r="652" spans="1:15" x14ac:dyDescent="0.25">
      <c r="B652" s="14"/>
      <c r="C652" s="22" t="s">
        <v>618</v>
      </c>
      <c r="D652" s="96"/>
      <c r="E652" s="16">
        <f t="shared" ref="E652:O652" si="272">E608*($E$651)</f>
        <v>0</v>
      </c>
      <c r="F652" s="16">
        <f t="shared" si="272"/>
        <v>0</v>
      </c>
      <c r="G652" s="16">
        <f t="shared" si="272"/>
        <v>0</v>
      </c>
      <c r="H652" s="16">
        <f t="shared" si="272"/>
        <v>0</v>
      </c>
      <c r="I652" s="16">
        <f t="shared" si="272"/>
        <v>0</v>
      </c>
      <c r="J652" s="16">
        <f t="shared" si="272"/>
        <v>0</v>
      </c>
      <c r="K652" s="16">
        <f t="shared" si="272"/>
        <v>0</v>
      </c>
      <c r="L652" s="16">
        <f t="shared" si="272"/>
        <v>0</v>
      </c>
      <c r="M652" s="16">
        <f t="shared" si="272"/>
        <v>0</v>
      </c>
      <c r="N652" s="16">
        <f t="shared" si="272"/>
        <v>0</v>
      </c>
      <c r="O652" s="16">
        <f t="shared" si="272"/>
        <v>0</v>
      </c>
    </row>
    <row r="653" spans="1:15" x14ac:dyDescent="0.25">
      <c r="B653" s="14"/>
      <c r="C653" s="22" t="s">
        <v>555</v>
      </c>
      <c r="D653" s="96"/>
      <c r="E653" s="16">
        <f t="shared" ref="E653:O653" si="273">E626*(E651)</f>
        <v>0</v>
      </c>
      <c r="F653" s="16">
        <f t="shared" si="273"/>
        <v>0</v>
      </c>
      <c r="G653" s="16">
        <f t="shared" si="273"/>
        <v>0</v>
      </c>
      <c r="H653" s="16">
        <f t="shared" si="273"/>
        <v>0</v>
      </c>
      <c r="I653" s="16">
        <f t="shared" si="273"/>
        <v>0</v>
      </c>
      <c r="J653" s="16">
        <f t="shared" si="273"/>
        <v>0</v>
      </c>
      <c r="K653" s="16">
        <f t="shared" si="273"/>
        <v>0</v>
      </c>
      <c r="L653" s="16">
        <f t="shared" si="273"/>
        <v>0</v>
      </c>
      <c r="M653" s="16">
        <f t="shared" si="273"/>
        <v>0</v>
      </c>
      <c r="N653" s="16">
        <f t="shared" si="273"/>
        <v>0</v>
      </c>
      <c r="O653" s="16">
        <f t="shared" si="273"/>
        <v>0</v>
      </c>
    </row>
    <row r="654" spans="1:15" s="76" customFormat="1" x14ac:dyDescent="0.25">
      <c r="A654" s="43"/>
      <c r="B654" s="137"/>
      <c r="C654" s="62" t="s">
        <v>554</v>
      </c>
      <c r="D654" s="173" t="str">
        <f>CONCATENATE('General info'!E43," ",'General info'!G43)</f>
        <v>INR Lakhs</v>
      </c>
      <c r="E654" s="461">
        <f t="shared" ref="E654:O654" si="274">IF(SUM($D$584:$D$587)=0,E646*E$507,E646*E651)</f>
        <v>0</v>
      </c>
      <c r="F654" s="461">
        <f>IF(SUM($D$584:$D$587)=0,F646*F$507,F646*F651)</f>
        <v>0</v>
      </c>
      <c r="G654" s="461">
        <f t="shared" si="274"/>
        <v>0</v>
      </c>
      <c r="H654" s="461">
        <f t="shared" si="274"/>
        <v>0</v>
      </c>
      <c r="I654" s="461">
        <f t="shared" si="274"/>
        <v>0</v>
      </c>
      <c r="J654" s="461">
        <f t="shared" si="274"/>
        <v>0</v>
      </c>
      <c r="K654" s="461">
        <f t="shared" si="274"/>
        <v>0</v>
      </c>
      <c r="L654" s="461">
        <f t="shared" si="274"/>
        <v>0</v>
      </c>
      <c r="M654" s="461">
        <f t="shared" si="274"/>
        <v>0</v>
      </c>
      <c r="N654" s="461">
        <f t="shared" si="274"/>
        <v>0</v>
      </c>
      <c r="O654" s="461">
        <f t="shared" si="274"/>
        <v>0</v>
      </c>
    </row>
    <row r="655" spans="1:15" x14ac:dyDescent="0.25">
      <c r="A655" s="199"/>
      <c r="B655" s="196"/>
      <c r="C655" s="717" t="s">
        <v>466</v>
      </c>
      <c r="D655" s="343"/>
      <c r="E655" s="199"/>
      <c r="F655" s="199"/>
      <c r="G655" s="199"/>
      <c r="H655" s="199"/>
      <c r="I655" s="199"/>
      <c r="J655" s="199"/>
      <c r="K655" s="199"/>
      <c r="L655" s="199"/>
      <c r="M655" s="199"/>
      <c r="N655" s="199"/>
      <c r="O655" s="199"/>
    </row>
    <row r="656" spans="1:15" x14ac:dyDescent="0.25">
      <c r="A656" s="750"/>
      <c r="B656" s="757"/>
      <c r="C656" s="758" t="s">
        <v>502</v>
      </c>
      <c r="D656" s="756"/>
      <c r="E656" s="759">
        <f>'WS Plan'!$H$264</f>
        <v>0</v>
      </c>
      <c r="F656" s="755">
        <f>MIN(IF('WS Plan'!$E$262="Activate",IF(AND('WS calcu'!F590&gt;='WS Plan'!$G$262,'WS calcu'!F590&lt;'WS Plan'!$H$262+1),'WS calcu'!E656+(('WS Plan'!$H$266-'WS Plan'!$H$264)/('WS Plan'!$H$262+1-'WS Plan'!$G$262)),'WS calcu'!E656),'WS calcu'!E656),100%)</f>
        <v>0</v>
      </c>
      <c r="G656" s="755">
        <f>MIN(IF('WS Plan'!$E$262="Activate",IF(AND('WS calcu'!G590&gt;='WS Plan'!$G$262,'WS calcu'!G590&lt;'WS Plan'!$H$262+1),'WS calcu'!F656+(('WS Plan'!$H$266-'WS Plan'!$H$264)/('WS Plan'!$H$262+1-'WS Plan'!$G$262)),'WS calcu'!F656),'WS calcu'!F656),100%)</f>
        <v>0</v>
      </c>
      <c r="H656" s="755">
        <f>MIN(IF('WS Plan'!$E$262="Activate",IF(AND('WS calcu'!H590&gt;='WS Plan'!$G$262,'WS calcu'!H590&lt;'WS Plan'!$H$262+1),'WS calcu'!G656+(('WS Plan'!$H$266-'WS Plan'!$H$264)/('WS Plan'!$H$262+1-'WS Plan'!$G$262)),'WS calcu'!G656),'WS calcu'!G656),100%)</f>
        <v>0</v>
      </c>
      <c r="I656" s="755">
        <f>MIN(IF('WS Plan'!$E$262="Activate",IF(AND('WS calcu'!I590&gt;='WS Plan'!$G$262,'WS calcu'!I590&lt;'WS Plan'!$H$262+1),'WS calcu'!H656+(('WS Plan'!$H$266-'WS Plan'!$H$264)/('WS Plan'!$H$262+1-'WS Plan'!$G$262)),'WS calcu'!H656),'WS calcu'!H656),100%)</f>
        <v>0</v>
      </c>
      <c r="J656" s="755">
        <f>MIN(IF('WS Plan'!$E$262="Activate",IF(AND('WS calcu'!J590&gt;='WS Plan'!$G$262,'WS calcu'!J590&lt;'WS Plan'!$H$262+1),'WS calcu'!I656+(('WS Plan'!$H$266-'WS Plan'!$H$264)/('WS Plan'!$H$262+1-'WS Plan'!$G$262)),'WS calcu'!I656),'WS calcu'!I656),100%)</f>
        <v>0</v>
      </c>
      <c r="K656" s="755">
        <f>MIN(IF('WS Plan'!$E$262="Activate",IF(AND('WS calcu'!K590&gt;='WS Plan'!$G$262,'WS calcu'!K590&lt;'WS Plan'!$H$262+1),'WS calcu'!J656+(('WS Plan'!$H$266-'WS Plan'!$H$264)/('WS Plan'!$H$262+1-'WS Plan'!$G$262)),'WS calcu'!J656),'WS calcu'!J656),100%)</f>
        <v>0</v>
      </c>
      <c r="L656" s="755">
        <f>MIN(IF('WS Plan'!$E$262="Activate",IF(AND('WS calcu'!L590&gt;='WS Plan'!$G$262,'WS calcu'!L590&lt;'WS Plan'!$H$262+1),'WS calcu'!K656+(('WS Plan'!$H$266-'WS Plan'!$H$264)/('WS Plan'!$H$262+1-'WS Plan'!$G$262)),'WS calcu'!K656),'WS calcu'!K656),100%)</f>
        <v>0</v>
      </c>
      <c r="M656" s="755">
        <f>MIN(IF('WS Plan'!$E$262="Activate",IF(AND('WS calcu'!M590&gt;='WS Plan'!$G$262,'WS calcu'!M590&lt;'WS Plan'!$H$262+1),'WS calcu'!L656+(('WS Plan'!$H$266-'WS Plan'!$H$264)/('WS Plan'!$H$262+1-'WS Plan'!$G$262)),'WS calcu'!L656),'WS calcu'!L656),100%)</f>
        <v>0</v>
      </c>
      <c r="N656" s="755">
        <f>MIN(IF('WS Plan'!$E$262="Activate",IF(AND('WS calcu'!N590&gt;='WS Plan'!$G$262,'WS calcu'!N590&lt;'WS Plan'!$H$262+1),'WS calcu'!M656+(('WS Plan'!$H$266-'WS Plan'!$H$264)/('WS Plan'!$H$262+1-'WS Plan'!$G$262)),'WS calcu'!M656),'WS calcu'!M656),100%)</f>
        <v>0</v>
      </c>
      <c r="O656" s="755">
        <f>MIN(IF('WS Plan'!$E$262="Activate",IF(AND('WS calcu'!O590&gt;='WS Plan'!$G$262,'WS calcu'!O590&lt;'WS Plan'!$H$262+1),'WS calcu'!N656+(('WS Plan'!$H$266-'WS Plan'!$H$264)/('WS Plan'!$H$262+1-'WS Plan'!$G$262)),'WS calcu'!N656),'WS calcu'!N656),100%)</f>
        <v>0</v>
      </c>
    </row>
    <row r="657" spans="1:15" x14ac:dyDescent="0.25">
      <c r="A657" s="48"/>
      <c r="B657" s="39"/>
      <c r="C657" s="438" t="s">
        <v>615</v>
      </c>
      <c r="D657" s="99"/>
      <c r="E657" s="375"/>
      <c r="F657" s="375"/>
      <c r="G657" s="375"/>
      <c r="H657" s="375"/>
      <c r="I657" s="375"/>
      <c r="J657" s="375"/>
      <c r="K657" s="375"/>
      <c r="L657" s="375"/>
      <c r="M657" s="375"/>
      <c r="N657" s="375"/>
      <c r="O657" s="374"/>
    </row>
    <row r="658" spans="1:15" x14ac:dyDescent="0.25">
      <c r="B658" s="6"/>
      <c r="C658" s="5" t="s">
        <v>556</v>
      </c>
      <c r="D658" s="339"/>
      <c r="E658" s="376">
        <f>E661</f>
        <v>0</v>
      </c>
      <c r="F658" s="377">
        <f>(E658-E659)+(E608-E652)</f>
        <v>0</v>
      </c>
      <c r="G658" s="377">
        <f t="shared" ref="G658:O658" si="275">(F658-F659)+(F608-F652)</f>
        <v>0</v>
      </c>
      <c r="H658" s="377">
        <f t="shared" si="275"/>
        <v>0</v>
      </c>
      <c r="I658" s="377">
        <f t="shared" si="275"/>
        <v>0</v>
      </c>
      <c r="J658" s="377">
        <f t="shared" si="275"/>
        <v>0</v>
      </c>
      <c r="K658" s="377">
        <f t="shared" si="275"/>
        <v>0</v>
      </c>
      <c r="L658" s="377">
        <f t="shared" si="275"/>
        <v>0</v>
      </c>
      <c r="M658" s="377">
        <f t="shared" si="275"/>
        <v>0</v>
      </c>
      <c r="N658" s="377">
        <f t="shared" si="275"/>
        <v>0</v>
      </c>
      <c r="O658" s="377">
        <f t="shared" si="275"/>
        <v>0</v>
      </c>
    </row>
    <row r="659" spans="1:15" x14ac:dyDescent="0.25">
      <c r="B659" s="6"/>
      <c r="C659" s="5" t="s">
        <v>557</v>
      </c>
      <c r="D659" s="339"/>
      <c r="E659" s="376">
        <f>E662</f>
        <v>0</v>
      </c>
      <c r="F659" s="377">
        <f>F658*$E$656</f>
        <v>0</v>
      </c>
      <c r="G659" s="377">
        <f t="shared" ref="G659:O659" si="276">G658*$E$656</f>
        <v>0</v>
      </c>
      <c r="H659" s="377">
        <f t="shared" si="276"/>
        <v>0</v>
      </c>
      <c r="I659" s="377">
        <f t="shared" si="276"/>
        <v>0</v>
      </c>
      <c r="J659" s="377">
        <f t="shared" si="276"/>
        <v>0</v>
      </c>
      <c r="K659" s="377">
        <f t="shared" si="276"/>
        <v>0</v>
      </c>
      <c r="L659" s="377">
        <f t="shared" si="276"/>
        <v>0</v>
      </c>
      <c r="M659" s="377">
        <f t="shared" si="276"/>
        <v>0</v>
      </c>
      <c r="N659" s="377">
        <f t="shared" si="276"/>
        <v>0</v>
      </c>
      <c r="O659" s="377">
        <f t="shared" si="276"/>
        <v>0</v>
      </c>
    </row>
    <row r="660" spans="1:15" x14ac:dyDescent="0.25">
      <c r="A660" s="48"/>
      <c r="B660" s="39"/>
      <c r="C660" s="438" t="s">
        <v>619</v>
      </c>
      <c r="D660" s="99"/>
      <c r="E660" s="375"/>
      <c r="F660" s="375"/>
      <c r="G660" s="375"/>
      <c r="H660" s="375"/>
      <c r="I660" s="375"/>
      <c r="J660" s="375"/>
      <c r="K660" s="375"/>
      <c r="L660" s="375"/>
      <c r="M660" s="375"/>
      <c r="N660" s="375"/>
      <c r="O660" s="374"/>
    </row>
    <row r="661" spans="1:15" x14ac:dyDescent="0.25">
      <c r="B661" s="6"/>
      <c r="C661" s="5" t="s">
        <v>556</v>
      </c>
      <c r="D661" s="339"/>
      <c r="E661" s="376">
        <f>E664</f>
        <v>0</v>
      </c>
      <c r="F661" s="377">
        <f t="shared" ref="F661:O661" si="277">(E661-E662)+(E626-E653)</f>
        <v>0</v>
      </c>
      <c r="G661" s="377">
        <f t="shared" si="277"/>
        <v>0</v>
      </c>
      <c r="H661" s="377">
        <f t="shared" si="277"/>
        <v>0</v>
      </c>
      <c r="I661" s="377">
        <f t="shared" si="277"/>
        <v>0</v>
      </c>
      <c r="J661" s="377">
        <f t="shared" si="277"/>
        <v>0</v>
      </c>
      <c r="K661" s="377">
        <f t="shared" si="277"/>
        <v>0</v>
      </c>
      <c r="L661" s="377">
        <f t="shared" si="277"/>
        <v>0</v>
      </c>
      <c r="M661" s="377">
        <f t="shared" si="277"/>
        <v>0</v>
      </c>
      <c r="N661" s="377">
        <f t="shared" si="277"/>
        <v>0</v>
      </c>
      <c r="O661" s="377">
        <f t="shared" si="277"/>
        <v>0</v>
      </c>
    </row>
    <row r="662" spans="1:15" x14ac:dyDescent="0.25">
      <c r="B662" s="6"/>
      <c r="C662" s="5" t="s">
        <v>557</v>
      </c>
      <c r="D662" s="339"/>
      <c r="E662" s="376">
        <f>E665</f>
        <v>0</v>
      </c>
      <c r="F662" s="377">
        <f>F661*F656</f>
        <v>0</v>
      </c>
      <c r="G662" s="377">
        <f t="shared" ref="G662:O662" si="278">G661*G656</f>
        <v>0</v>
      </c>
      <c r="H662" s="377">
        <f t="shared" si="278"/>
        <v>0</v>
      </c>
      <c r="I662" s="377">
        <f t="shared" si="278"/>
        <v>0</v>
      </c>
      <c r="J662" s="377">
        <f t="shared" si="278"/>
        <v>0</v>
      </c>
      <c r="K662" s="377">
        <f t="shared" si="278"/>
        <v>0</v>
      </c>
      <c r="L662" s="377">
        <f t="shared" si="278"/>
        <v>0</v>
      </c>
      <c r="M662" s="377">
        <f t="shared" si="278"/>
        <v>0</v>
      </c>
      <c r="N662" s="377">
        <f t="shared" si="278"/>
        <v>0</v>
      </c>
      <c r="O662" s="377">
        <f t="shared" si="278"/>
        <v>0</v>
      </c>
    </row>
    <row r="663" spans="1:15" x14ac:dyDescent="0.25">
      <c r="A663" s="48"/>
      <c r="B663" s="39"/>
      <c r="C663" s="438" t="s">
        <v>620</v>
      </c>
      <c r="D663" s="99"/>
      <c r="E663" s="375"/>
      <c r="F663" s="375"/>
      <c r="G663" s="375"/>
      <c r="H663" s="375"/>
      <c r="I663" s="375"/>
      <c r="J663" s="375"/>
      <c r="K663" s="375"/>
      <c r="L663" s="375"/>
      <c r="M663" s="375"/>
      <c r="N663" s="375"/>
      <c r="O663" s="374"/>
    </row>
    <row r="664" spans="1:15" x14ac:dyDescent="0.25">
      <c r="B664" s="6"/>
      <c r="C664" s="5" t="s">
        <v>558</v>
      </c>
      <c r="D664" s="455"/>
      <c r="E664" s="340">
        <f>'Finance info'!I86</f>
        <v>0</v>
      </c>
      <c r="F664" s="21">
        <f t="shared" ref="F664:O664" si="279">(E664-E665)+(E646-E654)</f>
        <v>0</v>
      </c>
      <c r="G664" s="21">
        <f t="shared" si="279"/>
        <v>0</v>
      </c>
      <c r="H664" s="21">
        <f t="shared" si="279"/>
        <v>0</v>
      </c>
      <c r="I664" s="21">
        <f t="shared" si="279"/>
        <v>0</v>
      </c>
      <c r="J664" s="21">
        <f t="shared" si="279"/>
        <v>0</v>
      </c>
      <c r="K664" s="21">
        <f t="shared" si="279"/>
        <v>0</v>
      </c>
      <c r="L664" s="21">
        <f t="shared" si="279"/>
        <v>0</v>
      </c>
      <c r="M664" s="21">
        <f t="shared" si="279"/>
        <v>0</v>
      </c>
      <c r="N664" s="21">
        <f t="shared" si="279"/>
        <v>0</v>
      </c>
      <c r="O664" s="21">
        <f t="shared" si="279"/>
        <v>0</v>
      </c>
    </row>
    <row r="665" spans="1:15" x14ac:dyDescent="0.25">
      <c r="B665" s="6"/>
      <c r="C665" s="5" t="s">
        <v>559</v>
      </c>
      <c r="D665" s="455"/>
      <c r="E665" s="340">
        <f>'Finance info'!J86</f>
        <v>0</v>
      </c>
      <c r="F665" s="21">
        <f t="shared" ref="F665:O665" si="280">F664*F656</f>
        <v>0</v>
      </c>
      <c r="G665" s="21">
        <f t="shared" si="280"/>
        <v>0</v>
      </c>
      <c r="H665" s="21">
        <f t="shared" si="280"/>
        <v>0</v>
      </c>
      <c r="I665" s="21">
        <f t="shared" si="280"/>
        <v>0</v>
      </c>
      <c r="J665" s="21">
        <f t="shared" si="280"/>
        <v>0</v>
      </c>
      <c r="K665" s="21">
        <f t="shared" si="280"/>
        <v>0</v>
      </c>
      <c r="L665" s="21">
        <f t="shared" si="280"/>
        <v>0</v>
      </c>
      <c r="M665" s="21">
        <f t="shared" si="280"/>
        <v>0</v>
      </c>
      <c r="N665" s="21">
        <f t="shared" si="280"/>
        <v>0</v>
      </c>
      <c r="O665" s="21">
        <f t="shared" si="280"/>
        <v>0</v>
      </c>
    </row>
    <row r="666" spans="1:15" x14ac:dyDescent="0.25">
      <c r="A666" s="750"/>
      <c r="B666" s="757"/>
      <c r="C666" s="758" t="s">
        <v>1344</v>
      </c>
      <c r="D666" s="756"/>
      <c r="E666" s="759">
        <f>IFERROR(E664/(E664+E646),0)</f>
        <v>0</v>
      </c>
      <c r="F666" s="759">
        <f t="shared" ref="F666:O666" si="281">IFERROR(F664/(F664+F646),0)</f>
        <v>0</v>
      </c>
      <c r="G666" s="759">
        <f t="shared" si="281"/>
        <v>0</v>
      </c>
      <c r="H666" s="759">
        <f t="shared" si="281"/>
        <v>0</v>
      </c>
      <c r="I666" s="759">
        <f t="shared" si="281"/>
        <v>0</v>
      </c>
      <c r="J666" s="759">
        <f t="shared" si="281"/>
        <v>0</v>
      </c>
      <c r="K666" s="759">
        <f t="shared" si="281"/>
        <v>0</v>
      </c>
      <c r="L666" s="759">
        <f t="shared" si="281"/>
        <v>0</v>
      </c>
      <c r="M666" s="759">
        <f t="shared" si="281"/>
        <v>0</v>
      </c>
      <c r="N666" s="759">
        <f t="shared" si="281"/>
        <v>0</v>
      </c>
      <c r="O666" s="759">
        <f t="shared" si="281"/>
        <v>0</v>
      </c>
    </row>
    <row r="667" spans="1:15" x14ac:dyDescent="0.25">
      <c r="B667" s="1162"/>
      <c r="C667" s="386"/>
      <c r="D667" s="48"/>
      <c r="E667" s="439"/>
      <c r="F667" s="440"/>
      <c r="G667" s="440"/>
      <c r="H667" s="440"/>
      <c r="I667" s="440"/>
      <c r="J667" s="440"/>
      <c r="K667" s="440"/>
      <c r="L667" s="440"/>
      <c r="M667" s="440"/>
      <c r="N667" s="440"/>
      <c r="O667" s="440"/>
    </row>
    <row r="668" spans="1:15" x14ac:dyDescent="0.25">
      <c r="A668" s="11" t="s">
        <v>32</v>
      </c>
      <c r="B668" s="11" t="s">
        <v>142</v>
      </c>
      <c r="C668" s="309"/>
      <c r="E668" s="94"/>
      <c r="F668" s="1910"/>
      <c r="G668" s="1910"/>
      <c r="H668" s="1910"/>
      <c r="I668" s="1910"/>
      <c r="J668" s="1910"/>
      <c r="K668" s="1910"/>
      <c r="L668" s="1910"/>
      <c r="M668" s="1910"/>
      <c r="N668" s="1910"/>
      <c r="O668" s="1910"/>
    </row>
    <row r="669" spans="1:15" x14ac:dyDescent="0.25">
      <c r="B669" s="13" t="s">
        <v>3</v>
      </c>
      <c r="C669" s="310" t="s">
        <v>4</v>
      </c>
      <c r="D669" s="13" t="s">
        <v>33</v>
      </c>
      <c r="E669" s="13">
        <f>E$3</f>
        <v>2014</v>
      </c>
      <c r="F669" s="13">
        <f t="shared" ref="F669:O669" si="282">F$3</f>
        <v>2015</v>
      </c>
      <c r="G669" s="13">
        <f t="shared" si="282"/>
        <v>2016</v>
      </c>
      <c r="H669" s="13">
        <f t="shared" si="282"/>
        <v>2017</v>
      </c>
      <c r="I669" s="13">
        <f t="shared" si="282"/>
        <v>2018</v>
      </c>
      <c r="J669" s="13">
        <f t="shared" si="282"/>
        <v>2019</v>
      </c>
      <c r="K669" s="13">
        <f t="shared" si="282"/>
        <v>2020</v>
      </c>
      <c r="L669" s="13">
        <f t="shared" si="282"/>
        <v>2021</v>
      </c>
      <c r="M669" s="13">
        <f t="shared" si="282"/>
        <v>2022</v>
      </c>
      <c r="N669" s="13">
        <f t="shared" si="282"/>
        <v>2023</v>
      </c>
      <c r="O669" s="13">
        <f t="shared" si="282"/>
        <v>2024</v>
      </c>
    </row>
    <row r="670" spans="1:15" s="51" customFormat="1" x14ac:dyDescent="0.25">
      <c r="A670" s="52"/>
      <c r="B670" s="29"/>
      <c r="C670" s="22" t="s">
        <v>327</v>
      </c>
      <c r="D670" s="714"/>
      <c r="E670" s="715">
        <f t="shared" ref="E670:O670" si="283">E567</f>
        <v>0</v>
      </c>
      <c r="F670" s="715">
        <f t="shared" si="283"/>
        <v>0</v>
      </c>
      <c r="G670" s="715">
        <f t="shared" si="283"/>
        <v>0</v>
      </c>
      <c r="H670" s="715">
        <f t="shared" si="283"/>
        <v>0</v>
      </c>
      <c r="I670" s="715">
        <f t="shared" si="283"/>
        <v>0</v>
      </c>
      <c r="J670" s="715">
        <f t="shared" si="283"/>
        <v>0</v>
      </c>
      <c r="K670" s="715">
        <f t="shared" si="283"/>
        <v>0</v>
      </c>
      <c r="L670" s="715">
        <f t="shared" si="283"/>
        <v>0</v>
      </c>
      <c r="M670" s="715">
        <f t="shared" si="283"/>
        <v>0</v>
      </c>
      <c r="N670" s="715">
        <f t="shared" si="283"/>
        <v>0</v>
      </c>
      <c r="O670" s="715">
        <f t="shared" si="283"/>
        <v>0</v>
      </c>
    </row>
    <row r="671" spans="1:15" s="460" customFormat="1" x14ac:dyDescent="0.25">
      <c r="A671" s="746"/>
      <c r="B671" s="747"/>
      <c r="C671" s="748" t="s">
        <v>328</v>
      </c>
      <c r="D671" s="749"/>
      <c r="E671" s="747">
        <f>IFERROR(('Finance info'!$J$79)/E670,0)</f>
        <v>0</v>
      </c>
      <c r="F671" s="747">
        <f>IFERROR((F654+F760+'PIP finance'!G$169)/F670,0)</f>
        <v>0</v>
      </c>
      <c r="G671" s="747">
        <f>IFERROR((G654+G760+'PIP finance'!H$169)/G670,0)</f>
        <v>0</v>
      </c>
      <c r="H671" s="747">
        <f>IFERROR((H654+H760+'PIP finance'!I$169)/H670,0)</f>
        <v>0</v>
      </c>
      <c r="I671" s="747">
        <f>IFERROR((I654+I760+'PIP finance'!J$169)/I670,0)</f>
        <v>0</v>
      </c>
      <c r="J671" s="747">
        <f>IFERROR((J654+J760+'PIP finance'!K$169)/J670,0)</f>
        <v>0</v>
      </c>
      <c r="K671" s="747">
        <f>IFERROR((K654+K760+'PIP finance'!L$169)/K670,0)</f>
        <v>0</v>
      </c>
      <c r="L671" s="747">
        <f>IFERROR((L654+L760+'PIP finance'!M$169)/L670,0)</f>
        <v>0</v>
      </c>
      <c r="M671" s="747">
        <f>IFERROR((M654+M760+'PIP finance'!N$169)/M670,0)</f>
        <v>0</v>
      </c>
      <c r="N671" s="747">
        <f>IFERROR((N654+N760+'PIP finance'!O$169)/N670,0)</f>
        <v>0</v>
      </c>
      <c r="O671" s="747">
        <f>IFERROR((O654+O760+'PIP finance'!P$169)/O670,0)</f>
        <v>0</v>
      </c>
    </row>
    <row r="672" spans="1:15" s="460" customFormat="1" x14ac:dyDescent="0.25">
      <c r="A672" s="746"/>
      <c r="B672" s="747"/>
      <c r="C672" s="748" t="s">
        <v>329</v>
      </c>
      <c r="D672" s="749"/>
      <c r="E672" s="747">
        <f>IFERROR(('Finance info'!$I$79)/E670,0)</f>
        <v>0</v>
      </c>
      <c r="F672" s="747">
        <f>IFERROR((F646+F760+'PIP finance'!G$169)/F670,0)</f>
        <v>0</v>
      </c>
      <c r="G672" s="747">
        <f>IFERROR((G646+G760+'PIP finance'!H$169)/G670,0)</f>
        <v>0</v>
      </c>
      <c r="H672" s="747">
        <f>IFERROR((H646+H760+'PIP finance'!I$169)/H670,0)</f>
        <v>0</v>
      </c>
      <c r="I672" s="747">
        <f>IFERROR((I646+I760+'PIP finance'!J$169)/I670,0)</f>
        <v>0</v>
      </c>
      <c r="J672" s="747">
        <f>IFERROR((J646+J760+'PIP finance'!K$169)/J670,0)</f>
        <v>0</v>
      </c>
      <c r="K672" s="747">
        <f>IFERROR((K646+K760+'PIP finance'!L$169)/K670,0)</f>
        <v>0</v>
      </c>
      <c r="L672" s="747">
        <f>IFERROR((L646+L760+'PIP finance'!M$169)/L670,0)</f>
        <v>0</v>
      </c>
      <c r="M672" s="747">
        <f>IFERROR((M646+M760+'PIP finance'!N$169)/M670,0)</f>
        <v>0</v>
      </c>
      <c r="N672" s="747">
        <f>IFERROR((N646+N760+'PIP finance'!O$169)/N670,0)</f>
        <v>0</v>
      </c>
      <c r="O672" s="747">
        <f>IFERROR((O646+O760+'PIP finance'!P$169)/O670,0)</f>
        <v>0</v>
      </c>
    </row>
    <row r="673" spans="1:15" s="460" customFormat="1" x14ac:dyDescent="0.25">
      <c r="A673" s="746"/>
      <c r="B673" s="747"/>
      <c r="C673" s="748" t="s">
        <v>1341</v>
      </c>
      <c r="D673" s="749" t="s">
        <v>775</v>
      </c>
      <c r="E673" s="5812">
        <f>IFERROR((E670*CurrencyMultiplier)/(E8*365*10^3),0)</f>
        <v>0</v>
      </c>
      <c r="F673" s="5812">
        <f>IFERROR((F670*CurrencyMultiplier)/(F8*365*10^3),0)</f>
        <v>0</v>
      </c>
      <c r="G673" s="5550">
        <f>IFERROR((G670*CurrencyMultiplier)/(G8*365*10^3),0)</f>
        <v>0</v>
      </c>
      <c r="H673" s="5550">
        <f>IFERROR((H670*CurrencyMultiplier)/(H8*365*10^3),0)</f>
        <v>0</v>
      </c>
      <c r="I673" s="5550">
        <f>IFERROR((I670*CurrencyMultiplier)/(I8*365*10^3),0)</f>
        <v>0</v>
      </c>
      <c r="J673" s="5550">
        <f>IFERROR((J670*CurrencyMultiplier)/(J8*365*10^3),0)</f>
        <v>0</v>
      </c>
      <c r="K673" s="5550">
        <f>IFERROR((K670*CurrencyMultiplier)/(K8*365*10^3),0)</f>
        <v>0</v>
      </c>
      <c r="L673" s="5550">
        <f>IFERROR((L670*CurrencyMultiplier)/(L8*365*10^3),0)</f>
        <v>0</v>
      </c>
      <c r="M673" s="5550">
        <f>IFERROR((M670*CurrencyMultiplier)/(M8*365*10^3),0)</f>
        <v>0</v>
      </c>
      <c r="N673" s="5550">
        <f>IFERROR((N670*CurrencyMultiplier)/(N8*365*10^3),0)</f>
        <v>0</v>
      </c>
      <c r="O673" s="5550">
        <f>IFERROR((O670*CurrencyMultiplier)/(O8*365*10^3),0)</f>
        <v>0</v>
      </c>
    </row>
    <row r="674" spans="1:15" s="460" customFormat="1" x14ac:dyDescent="0.25">
      <c r="A674" s="746"/>
      <c r="B674" s="747"/>
      <c r="C674" s="748" t="s">
        <v>1342</v>
      </c>
      <c r="D674" s="749" t="s">
        <v>1367</v>
      </c>
      <c r="E674" s="5811">
        <f>IFERROR(E670*CurrencyMultiplier/Population!E$24,0)</f>
        <v>0</v>
      </c>
      <c r="F674" s="5811">
        <f>IFERROR(F670*CurrencyMultiplier/Population!F$24,0)</f>
        <v>0</v>
      </c>
      <c r="G674" s="765">
        <f>IFERROR(G670*CurrencyMultiplier/Population!G$24,0)</f>
        <v>0</v>
      </c>
      <c r="H674" s="765">
        <f>IFERROR(H670*CurrencyMultiplier/Population!H$24,0)</f>
        <v>0</v>
      </c>
      <c r="I674" s="765">
        <f>IFERROR(I670*CurrencyMultiplier/Population!I$24,0)</f>
        <v>0</v>
      </c>
      <c r="J674" s="765">
        <f>IFERROR(J670*CurrencyMultiplier/Population!J$24,0)</f>
        <v>0</v>
      </c>
      <c r="K674" s="765">
        <f>IFERROR(K670*CurrencyMultiplier/Population!K$24,0)</f>
        <v>0</v>
      </c>
      <c r="L674" s="765">
        <f>IFERROR(L670*CurrencyMultiplier/Population!L$24,0)</f>
        <v>0</v>
      </c>
      <c r="M674" s="765">
        <f>IFERROR(M670*CurrencyMultiplier/Population!M$24,0)</f>
        <v>0</v>
      </c>
      <c r="N674" s="765">
        <f>IFERROR(N670*CurrencyMultiplier/Population!N$24,0)</f>
        <v>0</v>
      </c>
      <c r="O674" s="765">
        <f>IFERROR(O670*CurrencyMultiplier/Population!O$24,0)</f>
        <v>0</v>
      </c>
    </row>
    <row r="675" spans="1:15" s="460" customFormat="1" x14ac:dyDescent="0.25">
      <c r="A675" s="746"/>
      <c r="B675" s="747"/>
      <c r="C675" s="748" t="s">
        <v>1343</v>
      </c>
      <c r="D675" s="749" t="s">
        <v>1367</v>
      </c>
      <c r="E675" s="5811">
        <f>IFERROR('Financial Projections'!J103*CurrencyMultiplier/Population!E$24,0)</f>
        <v>0</v>
      </c>
      <c r="F675" s="5811">
        <f>IFERROR('Financial Projections'!K25*CurrencyMultiplier/Population!F$24,0)</f>
        <v>0</v>
      </c>
      <c r="G675" s="765">
        <f>IFERROR('Financial Projections'!L25*CurrencyMultiplier/Population!G$24,0)</f>
        <v>0</v>
      </c>
      <c r="H675" s="765">
        <f>IFERROR('Financial Projections'!M25*CurrencyMultiplier/Population!H$24,0)</f>
        <v>0</v>
      </c>
      <c r="I675" s="765">
        <f>IFERROR('Financial Projections'!N25*CurrencyMultiplier/Population!I$24,0)</f>
        <v>0</v>
      </c>
      <c r="J675" s="765">
        <f>IFERROR('Financial Projections'!O25*CurrencyMultiplier/Population!J$24,0)</f>
        <v>0</v>
      </c>
      <c r="K675" s="765">
        <f>IFERROR('Financial Projections'!P25*CurrencyMultiplier/Population!K$24,0)</f>
        <v>0</v>
      </c>
      <c r="L675" s="765">
        <f>IFERROR('Financial Projections'!Q25*CurrencyMultiplier/Population!L$24,0)</f>
        <v>0</v>
      </c>
      <c r="M675" s="765">
        <f>IFERROR('Financial Projections'!R25*CurrencyMultiplier/Population!M$24,0)</f>
        <v>0</v>
      </c>
      <c r="N675" s="765">
        <f>IFERROR('Financial Projections'!S25*CurrencyMultiplier/Population!N$24,0)</f>
        <v>0</v>
      </c>
      <c r="O675" s="765">
        <f>IFERROR('Financial Projections'!T25*CurrencyMultiplier/Population!O$24,0)</f>
        <v>0</v>
      </c>
    </row>
    <row r="676" spans="1:15" x14ac:dyDescent="0.25">
      <c r="E676" s="1180"/>
      <c r="F676" s="1180"/>
      <c r="G676" s="1180"/>
      <c r="H676" s="1180"/>
      <c r="I676" s="1180"/>
      <c r="J676" s="1180"/>
      <c r="K676" s="1180"/>
      <c r="L676" s="1180"/>
      <c r="M676" s="1180"/>
    </row>
    <row r="678" spans="1:15" x14ac:dyDescent="0.25">
      <c r="A678" s="11" t="s">
        <v>1</v>
      </c>
      <c r="B678" s="11" t="s">
        <v>550</v>
      </c>
      <c r="C678" s="309"/>
      <c r="G678" s="277"/>
    </row>
    <row r="679" spans="1:15" x14ac:dyDescent="0.25">
      <c r="B679" s="13" t="s">
        <v>3</v>
      </c>
      <c r="C679" s="310" t="s">
        <v>4</v>
      </c>
      <c r="D679" s="13" t="s">
        <v>33</v>
      </c>
      <c r="E679" s="13">
        <f>E$3</f>
        <v>2014</v>
      </c>
      <c r="F679" s="13">
        <f t="shared" ref="F679:O679" si="284">F$3</f>
        <v>2015</v>
      </c>
      <c r="G679" s="13">
        <f t="shared" si="284"/>
        <v>2016</v>
      </c>
      <c r="H679" s="13">
        <f t="shared" si="284"/>
        <v>2017</v>
      </c>
      <c r="I679" s="13">
        <f t="shared" si="284"/>
        <v>2018</v>
      </c>
      <c r="J679" s="13">
        <f t="shared" si="284"/>
        <v>2019</v>
      </c>
      <c r="K679" s="13">
        <f t="shared" si="284"/>
        <v>2020</v>
      </c>
      <c r="L679" s="13">
        <f t="shared" si="284"/>
        <v>2021</v>
      </c>
      <c r="M679" s="13">
        <f t="shared" si="284"/>
        <v>2022</v>
      </c>
      <c r="N679" s="13">
        <f t="shared" si="284"/>
        <v>2023</v>
      </c>
      <c r="O679" s="13">
        <f t="shared" si="284"/>
        <v>2024</v>
      </c>
    </row>
    <row r="680" spans="1:15" s="170" customFormat="1" x14ac:dyDescent="0.25">
      <c r="A680" s="204"/>
      <c r="B680" s="205"/>
      <c r="C680" s="207" t="s">
        <v>615</v>
      </c>
      <c r="D680" s="205"/>
      <c r="E680" s="206"/>
      <c r="F680" s="206"/>
      <c r="G680" s="206"/>
      <c r="H680" s="206"/>
      <c r="I680" s="206"/>
      <c r="J680" s="206"/>
      <c r="K680" s="206"/>
      <c r="L680" s="206"/>
      <c r="M680" s="206"/>
      <c r="N680" s="206"/>
      <c r="O680" s="206"/>
    </row>
    <row r="681" spans="1:15" x14ac:dyDescent="0.25">
      <c r="B681" s="72" t="s">
        <v>258</v>
      </c>
      <c r="C681" s="62"/>
      <c r="D681" s="282"/>
      <c r="E681" s="372"/>
      <c r="F681" s="79"/>
      <c r="G681" s="150"/>
      <c r="H681" s="150"/>
      <c r="I681" s="150"/>
      <c r="J681" s="150"/>
      <c r="K681" s="150"/>
      <c r="L681" s="150"/>
      <c r="M681" s="150"/>
      <c r="N681" s="150"/>
      <c r="O681" s="150"/>
    </row>
    <row r="682" spans="1:15" x14ac:dyDescent="0.25">
      <c r="B682" s="72">
        <v>1.1000000000000001</v>
      </c>
      <c r="C682" s="62" t="s">
        <v>23</v>
      </c>
      <c r="D682" s="283">
        <f>D708</f>
        <v>0</v>
      </c>
      <c r="E682" s="372"/>
      <c r="F682" s="5804">
        <f>MAX((F330-E330),0)*$D682/CurrencyMultiplier</f>
        <v>0</v>
      </c>
      <c r="G682" s="150">
        <f>MAX((G330-F330),0)*$D682/CurrencyMultiplier</f>
        <v>0</v>
      </c>
      <c r="H682" s="150">
        <f>MAX((H330-G330),0)*$D682/CurrencyMultiplier</f>
        <v>0</v>
      </c>
      <c r="I682" s="150">
        <f>MAX((I330-H330),0)*$D682/CurrencyMultiplier</f>
        <v>0</v>
      </c>
      <c r="J682" s="150">
        <f>MAX((J330-I330),0)*$D682/CurrencyMultiplier</f>
        <v>0</v>
      </c>
      <c r="K682" s="150">
        <f>MAX((K330-J330),0)*$D682/CurrencyMultiplier</f>
        <v>0</v>
      </c>
      <c r="L682" s="150">
        <f>MAX((L330-K330),0)*$D682/CurrencyMultiplier</f>
        <v>0</v>
      </c>
      <c r="M682" s="150">
        <f>MAX((M330-L330),0)*$D682/CurrencyMultiplier</f>
        <v>0</v>
      </c>
      <c r="N682" s="150">
        <f>MAX((N330-M330),0)*$D682/CurrencyMultiplier</f>
        <v>0</v>
      </c>
      <c r="O682" s="150">
        <f>MAX((O330-N330),0)*$D682/CurrencyMultiplier</f>
        <v>0</v>
      </c>
    </row>
    <row r="683" spans="1:15" x14ac:dyDescent="0.25">
      <c r="B683" s="72">
        <v>1.2</v>
      </c>
      <c r="C683" s="62" t="s">
        <v>24</v>
      </c>
      <c r="D683" s="283">
        <f t="shared" ref="D683:D704" si="285">D709</f>
        <v>0</v>
      </c>
      <c r="E683" s="372"/>
      <c r="F683" s="5804">
        <f>MAX((F331-E331),0)*$D683/CurrencyMultiplier</f>
        <v>0</v>
      </c>
      <c r="G683" s="150">
        <f>MAX((G331-F331),0)*$D683/CurrencyMultiplier</f>
        <v>0</v>
      </c>
      <c r="H683" s="150">
        <f>MAX((H331-G331),0)*$D683/CurrencyMultiplier</f>
        <v>0</v>
      </c>
      <c r="I683" s="150">
        <f>MAX((I331-H331),0)*$D683/CurrencyMultiplier</f>
        <v>0</v>
      </c>
      <c r="J683" s="150">
        <f>MAX((J331-I331),0)*$D683/CurrencyMultiplier</f>
        <v>0</v>
      </c>
      <c r="K683" s="150">
        <f>MAX((K331-J331),0)*$D683/CurrencyMultiplier</f>
        <v>0</v>
      </c>
      <c r="L683" s="150">
        <f>MAX((L331-K331),0)*$D683/CurrencyMultiplier</f>
        <v>0</v>
      </c>
      <c r="M683" s="150">
        <f>MAX((M331-L331),0)*$D683/CurrencyMultiplier</f>
        <v>0</v>
      </c>
      <c r="N683" s="150">
        <f>MAX((N331-M331),0)*$D683/CurrencyMultiplier</f>
        <v>0</v>
      </c>
      <c r="O683" s="150">
        <f>MAX((O331-N331),0)*$D683/CurrencyMultiplier</f>
        <v>0</v>
      </c>
    </row>
    <row r="684" spans="1:15" x14ac:dyDescent="0.25">
      <c r="B684" s="72">
        <v>1.3</v>
      </c>
      <c r="C684" s="62" t="s">
        <v>25</v>
      </c>
      <c r="D684" s="283">
        <f t="shared" si="285"/>
        <v>0</v>
      </c>
      <c r="E684" s="372"/>
      <c r="F684" s="5804">
        <f>MAX((F332-E332),0)*$D684/CurrencyMultiplier</f>
        <v>0</v>
      </c>
      <c r="G684" s="150">
        <f>MAX((G332-F332),0)*$D684/CurrencyMultiplier</f>
        <v>0</v>
      </c>
      <c r="H684" s="150">
        <f>MAX((H332-G332),0)*$D684/CurrencyMultiplier</f>
        <v>0</v>
      </c>
      <c r="I684" s="150">
        <f>MAX((I332-H332),0)*$D684/CurrencyMultiplier</f>
        <v>0</v>
      </c>
      <c r="J684" s="150">
        <f>MAX((J332-I332),0)*$D684/CurrencyMultiplier</f>
        <v>0</v>
      </c>
      <c r="K684" s="150">
        <f>MAX((K332-J332),0)*$D684/CurrencyMultiplier</f>
        <v>0</v>
      </c>
      <c r="L684" s="150">
        <f>MAX((L332-K332),0)*$D684/CurrencyMultiplier</f>
        <v>0</v>
      </c>
      <c r="M684" s="150">
        <f>MAX((M332-L332),0)*$D684/CurrencyMultiplier</f>
        <v>0</v>
      </c>
      <c r="N684" s="150">
        <f>MAX((N332-M332),0)*$D684/CurrencyMultiplier</f>
        <v>0</v>
      </c>
      <c r="O684" s="150">
        <f>MAX((O332-N332),0)*$D684/CurrencyMultiplier</f>
        <v>0</v>
      </c>
    </row>
    <row r="685" spans="1:15" x14ac:dyDescent="0.25">
      <c r="B685" s="72">
        <v>1.4</v>
      </c>
      <c r="C685" s="62" t="s">
        <v>168</v>
      </c>
      <c r="D685" s="283">
        <f t="shared" si="285"/>
        <v>0</v>
      </c>
      <c r="E685" s="372"/>
      <c r="F685" s="5804">
        <f>MAX((F333-E333),0)*$D685/CurrencyMultiplier</f>
        <v>0</v>
      </c>
      <c r="G685" s="150">
        <f>MAX((G333-F333),0)*$D685/CurrencyMultiplier</f>
        <v>0</v>
      </c>
      <c r="H685" s="150">
        <f>MAX((H333-G333),0)*$D685/CurrencyMultiplier</f>
        <v>0</v>
      </c>
      <c r="I685" s="150">
        <f>MAX((I333-H333),0)*$D685/CurrencyMultiplier</f>
        <v>0</v>
      </c>
      <c r="J685" s="150">
        <f>MAX((J333-I333),0)*$D685/CurrencyMultiplier</f>
        <v>0</v>
      </c>
      <c r="K685" s="150">
        <f>MAX((K333-J333),0)*$D685/CurrencyMultiplier</f>
        <v>0</v>
      </c>
      <c r="L685" s="150">
        <f>MAX((L333-K333),0)*$D685/CurrencyMultiplier</f>
        <v>0</v>
      </c>
      <c r="M685" s="150">
        <f>MAX((M333-L333),0)*$D685/CurrencyMultiplier</f>
        <v>0</v>
      </c>
      <c r="N685" s="150">
        <f>MAX((N333-M333),0)*$D685/CurrencyMultiplier</f>
        <v>0</v>
      </c>
      <c r="O685" s="150">
        <f>MAX((O333-N333),0)*$D685/CurrencyMultiplier</f>
        <v>0</v>
      </c>
    </row>
    <row r="686" spans="1:15" x14ac:dyDescent="0.25">
      <c r="B686" s="72" t="s">
        <v>257</v>
      </c>
      <c r="C686" s="62"/>
      <c r="D686" s="283"/>
      <c r="E686" s="372"/>
      <c r="F686" s="150"/>
      <c r="G686" s="150"/>
      <c r="H686" s="150"/>
      <c r="I686" s="150"/>
      <c r="J686" s="150"/>
      <c r="K686" s="150"/>
      <c r="L686" s="150"/>
      <c r="M686" s="150"/>
      <c r="N686" s="150"/>
      <c r="O686" s="150"/>
    </row>
    <row r="687" spans="1:15" x14ac:dyDescent="0.25">
      <c r="B687" s="72">
        <v>2.1</v>
      </c>
      <c r="C687" s="62" t="s">
        <v>23</v>
      </c>
      <c r="D687" s="283">
        <f t="shared" si="285"/>
        <v>0</v>
      </c>
      <c r="E687" s="373"/>
      <c r="F687" s="5804">
        <f>MAX((F335-E335),0)*$D687/CurrencyMultiplier</f>
        <v>0</v>
      </c>
      <c r="G687" s="150">
        <f>MAX((G335-F335),0)*$D687/CurrencyMultiplier</f>
        <v>0</v>
      </c>
      <c r="H687" s="150">
        <f>MAX((H335-G335),0)*$D687/CurrencyMultiplier</f>
        <v>0</v>
      </c>
      <c r="I687" s="150">
        <f>MAX((I335-H335),0)*$D687/CurrencyMultiplier</f>
        <v>0</v>
      </c>
      <c r="J687" s="150">
        <f>MAX((J335-I335),0)*$D687/CurrencyMultiplier</f>
        <v>0</v>
      </c>
      <c r="K687" s="150">
        <f>MAX((K335-J335),0)*$D687/CurrencyMultiplier</f>
        <v>0</v>
      </c>
      <c r="L687" s="150">
        <f>MAX((L335-K335),0)*$D687/CurrencyMultiplier</f>
        <v>0</v>
      </c>
      <c r="M687" s="150">
        <f>MAX((M335-L335),0)*$D687/CurrencyMultiplier</f>
        <v>0</v>
      </c>
      <c r="N687" s="150">
        <f>MAX((N335-M335),0)*$D687/CurrencyMultiplier</f>
        <v>0</v>
      </c>
      <c r="O687" s="150">
        <f>MAX((O335-N335),0)*$D687/CurrencyMultiplier</f>
        <v>0</v>
      </c>
    </row>
    <row r="688" spans="1:15" x14ac:dyDescent="0.25">
      <c r="B688" s="72">
        <v>2.2000000000000002</v>
      </c>
      <c r="C688" s="62" t="s">
        <v>24</v>
      </c>
      <c r="D688" s="283">
        <f t="shared" si="285"/>
        <v>0</v>
      </c>
      <c r="E688" s="372"/>
      <c r="F688" s="5804">
        <f>MAX((F336-E336),0)*$D688/CurrencyMultiplier</f>
        <v>0</v>
      </c>
      <c r="G688" s="150">
        <f>MAX((G336-F336),0)*$D688/CurrencyMultiplier</f>
        <v>0</v>
      </c>
      <c r="H688" s="150">
        <f>MAX((H336-G336),0)*$D688/CurrencyMultiplier</f>
        <v>0</v>
      </c>
      <c r="I688" s="150">
        <f>MAX((I336-H336),0)*$D688/CurrencyMultiplier</f>
        <v>0</v>
      </c>
      <c r="J688" s="150">
        <f>MAX((J336-I336),0)*$D688/CurrencyMultiplier</f>
        <v>0</v>
      </c>
      <c r="K688" s="150">
        <f>MAX((K336-J336),0)*$D688/CurrencyMultiplier</f>
        <v>0</v>
      </c>
      <c r="L688" s="150">
        <f>MAX((L336-K336),0)*$D688/CurrencyMultiplier</f>
        <v>0</v>
      </c>
      <c r="M688" s="150">
        <f>MAX((M336-L336),0)*$D688/CurrencyMultiplier</f>
        <v>0</v>
      </c>
      <c r="N688" s="150">
        <f>MAX((N336-M336),0)*$D688/CurrencyMultiplier</f>
        <v>0</v>
      </c>
      <c r="O688" s="150">
        <f>MAX((O336-N336),0)*$D688/CurrencyMultiplier</f>
        <v>0</v>
      </c>
    </row>
    <row r="689" spans="2:15" x14ac:dyDescent="0.25">
      <c r="B689" s="72">
        <v>2.2999999999999998</v>
      </c>
      <c r="C689" s="62" t="s">
        <v>25</v>
      </c>
      <c r="D689" s="283">
        <f t="shared" si="285"/>
        <v>0</v>
      </c>
      <c r="E689" s="372"/>
      <c r="F689" s="5804">
        <f>MAX((F337-E337),0)*$D689/CurrencyMultiplier</f>
        <v>0</v>
      </c>
      <c r="G689" s="150">
        <f>MAX((G337-F337),0)*$D689/CurrencyMultiplier</f>
        <v>0</v>
      </c>
      <c r="H689" s="150">
        <f>MAX((H337-G337),0)*$D689/CurrencyMultiplier</f>
        <v>0</v>
      </c>
      <c r="I689" s="150">
        <f>MAX((I337-H337),0)*$D689/CurrencyMultiplier</f>
        <v>0</v>
      </c>
      <c r="J689" s="150">
        <f>MAX((J337-I337),0)*$D689/CurrencyMultiplier</f>
        <v>0</v>
      </c>
      <c r="K689" s="150">
        <f>MAX((K337-J337),0)*$D689/CurrencyMultiplier</f>
        <v>0</v>
      </c>
      <c r="L689" s="150">
        <f>MAX((L337-K337),0)*$D689/CurrencyMultiplier</f>
        <v>0</v>
      </c>
      <c r="M689" s="150">
        <f>MAX((M337-L337),0)*$D689/CurrencyMultiplier</f>
        <v>0</v>
      </c>
      <c r="N689" s="150">
        <f>MAX((N337-M337),0)*$D689/CurrencyMultiplier</f>
        <v>0</v>
      </c>
      <c r="O689" s="150">
        <f>MAX((O337-N337),0)*$D689/CurrencyMultiplier</f>
        <v>0</v>
      </c>
    </row>
    <row r="690" spans="2:15" x14ac:dyDescent="0.25">
      <c r="B690" s="72">
        <v>2.4</v>
      </c>
      <c r="C690" s="62" t="s">
        <v>168</v>
      </c>
      <c r="D690" s="283">
        <f t="shared" si="285"/>
        <v>0</v>
      </c>
      <c r="E690" s="372"/>
      <c r="F690" s="5804">
        <f>MAX((F338-E338),0)*$D690/CurrencyMultiplier</f>
        <v>0</v>
      </c>
      <c r="G690" s="150">
        <f>MAX((G338-F338),0)*$D690/CurrencyMultiplier</f>
        <v>0</v>
      </c>
      <c r="H690" s="150">
        <f>MAX((H338-G338),0)*$D690/CurrencyMultiplier</f>
        <v>0</v>
      </c>
      <c r="I690" s="150">
        <f>MAX((I338-H338),0)*$D690/CurrencyMultiplier</f>
        <v>0</v>
      </c>
      <c r="J690" s="150">
        <f>MAX((J338-I338),0)*$D690/CurrencyMultiplier</f>
        <v>0</v>
      </c>
      <c r="K690" s="150">
        <f>MAX((K338-J338),0)*$D690/CurrencyMultiplier</f>
        <v>0</v>
      </c>
      <c r="L690" s="150">
        <f>MAX((L338-K338),0)*$D690/CurrencyMultiplier</f>
        <v>0</v>
      </c>
      <c r="M690" s="150">
        <f>MAX((M338-L338),0)*$D690/CurrencyMultiplier</f>
        <v>0</v>
      </c>
      <c r="N690" s="150">
        <f>MAX((N338-M338),0)*$D690/CurrencyMultiplier</f>
        <v>0</v>
      </c>
      <c r="O690" s="150">
        <f>MAX((O338-N338),0)*$D690/CurrencyMultiplier</f>
        <v>0</v>
      </c>
    </row>
    <row r="691" spans="2:15" x14ac:dyDescent="0.25">
      <c r="B691" s="72" t="s">
        <v>326</v>
      </c>
      <c r="C691" s="62"/>
      <c r="D691" s="283"/>
      <c r="E691" s="372"/>
      <c r="F691" s="150"/>
      <c r="G691" s="150"/>
      <c r="H691" s="150"/>
      <c r="I691" s="150"/>
      <c r="J691" s="150"/>
      <c r="K691" s="150"/>
      <c r="L691" s="150"/>
      <c r="M691" s="150"/>
      <c r="N691" s="150"/>
      <c r="O691" s="150"/>
    </row>
    <row r="692" spans="2:15" x14ac:dyDescent="0.25">
      <c r="B692" s="72">
        <v>3.1</v>
      </c>
      <c r="C692" s="62" t="s">
        <v>23</v>
      </c>
      <c r="D692" s="283">
        <f>D718</f>
        <v>0</v>
      </c>
      <c r="E692" s="372"/>
      <c r="F692" s="5804">
        <f>MAX((F340-E340),0)*$D692/CurrencyMultiplier</f>
        <v>0</v>
      </c>
      <c r="G692" s="150">
        <f>MAX((G340-F340),0)*$D692/CurrencyMultiplier</f>
        <v>0</v>
      </c>
      <c r="H692" s="150">
        <f>MAX((H340-G340),0)*$D692/CurrencyMultiplier</f>
        <v>0</v>
      </c>
      <c r="I692" s="150">
        <f>MAX((I340-H340),0)*$D692/CurrencyMultiplier</f>
        <v>0</v>
      </c>
      <c r="J692" s="150">
        <f>MAX((J340-I340),0)*$D692/CurrencyMultiplier</f>
        <v>0</v>
      </c>
      <c r="K692" s="150">
        <f>MAX((K340-J340),0)*$D692/CurrencyMultiplier</f>
        <v>0</v>
      </c>
      <c r="L692" s="150">
        <f>MAX((L340-K340),0)*$D692/CurrencyMultiplier</f>
        <v>0</v>
      </c>
      <c r="M692" s="150">
        <f>MAX((M340-L340),0)*$D692/CurrencyMultiplier</f>
        <v>0</v>
      </c>
      <c r="N692" s="150">
        <f>MAX((N340-M340),0)*$D692/CurrencyMultiplier</f>
        <v>0</v>
      </c>
      <c r="O692" s="150">
        <f>MAX((O340-N340),0)*$D692/CurrencyMultiplier</f>
        <v>0</v>
      </c>
    </row>
    <row r="693" spans="2:15" x14ac:dyDescent="0.25">
      <c r="B693" s="72">
        <v>3.2</v>
      </c>
      <c r="C693" s="62" t="s">
        <v>24</v>
      </c>
      <c r="D693" s="283">
        <f t="shared" si="285"/>
        <v>0</v>
      </c>
      <c r="E693" s="372"/>
      <c r="F693" s="5804">
        <f>MAX((F341-E341),0)*$D693/CurrencyMultiplier</f>
        <v>0</v>
      </c>
      <c r="G693" s="150">
        <f>MAX((G341-F341),0)*$D693/CurrencyMultiplier</f>
        <v>0</v>
      </c>
      <c r="H693" s="150">
        <f>MAX((H341-G341),0)*$D693/CurrencyMultiplier</f>
        <v>0</v>
      </c>
      <c r="I693" s="150">
        <f>MAX((I341-H341),0)*$D693/CurrencyMultiplier</f>
        <v>0</v>
      </c>
      <c r="J693" s="150">
        <f>MAX((J341-I341),0)*$D693/CurrencyMultiplier</f>
        <v>0</v>
      </c>
      <c r="K693" s="150">
        <f>MAX((K341-J341),0)*$D693/CurrencyMultiplier</f>
        <v>0</v>
      </c>
      <c r="L693" s="150">
        <f>MAX((L341-K341),0)*$D693/CurrencyMultiplier</f>
        <v>0</v>
      </c>
      <c r="M693" s="150">
        <f>MAX((M341-L341),0)*$D693/CurrencyMultiplier</f>
        <v>0</v>
      </c>
      <c r="N693" s="150">
        <f>MAX((N341-M341),0)*$D693/CurrencyMultiplier</f>
        <v>0</v>
      </c>
      <c r="O693" s="150">
        <f>MAX((O341-N341),0)*$D693/CurrencyMultiplier</f>
        <v>0</v>
      </c>
    </row>
    <row r="694" spans="2:15" x14ac:dyDescent="0.25">
      <c r="B694" s="72">
        <v>3.3</v>
      </c>
      <c r="C694" s="62" t="s">
        <v>25</v>
      </c>
      <c r="D694" s="283">
        <f t="shared" si="285"/>
        <v>0</v>
      </c>
      <c r="E694" s="372"/>
      <c r="F694" s="5804">
        <f>MAX((F342-E342),0)*$D694/CurrencyMultiplier</f>
        <v>0</v>
      </c>
      <c r="G694" s="150">
        <f>MAX((G342-F342),0)*$D694/CurrencyMultiplier</f>
        <v>0</v>
      </c>
      <c r="H694" s="150">
        <f>MAX((H342-G342),0)*$D694/CurrencyMultiplier</f>
        <v>0</v>
      </c>
      <c r="I694" s="150">
        <f>MAX((I342-H342),0)*$D694/CurrencyMultiplier</f>
        <v>0</v>
      </c>
      <c r="J694" s="150">
        <f>MAX((J342-I342),0)*$D694/CurrencyMultiplier</f>
        <v>0</v>
      </c>
      <c r="K694" s="150">
        <f>MAX((K342-J342),0)*$D694/CurrencyMultiplier</f>
        <v>0</v>
      </c>
      <c r="L694" s="150">
        <f>MAX((L342-K342),0)*$D694/CurrencyMultiplier</f>
        <v>0</v>
      </c>
      <c r="M694" s="150">
        <f>MAX((M342-L342),0)*$D694/CurrencyMultiplier</f>
        <v>0</v>
      </c>
      <c r="N694" s="150">
        <f>MAX((N342-M342),0)*$D694/CurrencyMultiplier</f>
        <v>0</v>
      </c>
      <c r="O694" s="150">
        <f>MAX((O342-N342),0)*$D694/CurrencyMultiplier</f>
        <v>0</v>
      </c>
    </row>
    <row r="695" spans="2:15" x14ac:dyDescent="0.25">
      <c r="B695" s="72">
        <v>3.4</v>
      </c>
      <c r="C695" s="62" t="s">
        <v>168</v>
      </c>
      <c r="D695" s="283">
        <f t="shared" si="285"/>
        <v>0</v>
      </c>
      <c r="E695" s="372"/>
      <c r="F695" s="5804">
        <f>MAX((F343-E343),0)*$D695/CurrencyMultiplier</f>
        <v>0</v>
      </c>
      <c r="G695" s="150">
        <f>MAX((G343-F343),0)*$D695/CurrencyMultiplier</f>
        <v>0</v>
      </c>
      <c r="H695" s="150">
        <f>MAX((H343-G343),0)*$D695/CurrencyMultiplier</f>
        <v>0</v>
      </c>
      <c r="I695" s="150">
        <f>MAX((I343-H343),0)*$D695/CurrencyMultiplier</f>
        <v>0</v>
      </c>
      <c r="J695" s="150">
        <f>MAX((J343-I343),0)*$D695/CurrencyMultiplier</f>
        <v>0</v>
      </c>
      <c r="K695" s="150">
        <f>MAX((K343-J343),0)*$D695/CurrencyMultiplier</f>
        <v>0</v>
      </c>
      <c r="L695" s="150">
        <f>MAX((L343-K343),0)*$D695/CurrencyMultiplier</f>
        <v>0</v>
      </c>
      <c r="M695" s="150">
        <f>MAX((M343-L343),0)*$D695/CurrencyMultiplier</f>
        <v>0</v>
      </c>
      <c r="N695" s="150">
        <f>MAX((N343-M343),0)*$D695/CurrencyMultiplier</f>
        <v>0</v>
      </c>
      <c r="O695" s="150">
        <f>MAX((O343-N343),0)*$D695/CurrencyMultiplier</f>
        <v>0</v>
      </c>
    </row>
    <row r="696" spans="2:15" x14ac:dyDescent="0.25">
      <c r="B696" s="72" t="s">
        <v>26</v>
      </c>
      <c r="C696" s="62"/>
      <c r="D696" s="283"/>
      <c r="E696" s="372"/>
      <c r="F696" s="150"/>
      <c r="G696" s="150"/>
      <c r="H696" s="150"/>
      <c r="I696" s="150"/>
      <c r="J696" s="150"/>
      <c r="K696" s="150"/>
      <c r="L696" s="150"/>
      <c r="M696" s="150"/>
      <c r="N696" s="150"/>
      <c r="O696" s="150"/>
    </row>
    <row r="697" spans="2:15" x14ac:dyDescent="0.25">
      <c r="B697" s="72">
        <v>4.0999999999999996</v>
      </c>
      <c r="C697" s="62" t="s">
        <v>23</v>
      </c>
      <c r="D697" s="283">
        <f t="shared" si="285"/>
        <v>0</v>
      </c>
      <c r="E697" s="372"/>
      <c r="F697" s="5804">
        <f>MAX((F345-E345),0)*$D697/CurrencyMultiplier</f>
        <v>0</v>
      </c>
      <c r="G697" s="150">
        <f>MAX((G345-F345),0)*$D697/CurrencyMultiplier</f>
        <v>0</v>
      </c>
      <c r="H697" s="150">
        <f>MAX((H345-G345),0)*$D697/CurrencyMultiplier</f>
        <v>0</v>
      </c>
      <c r="I697" s="150">
        <f>MAX((I345-H345),0)*$D697/CurrencyMultiplier</f>
        <v>0</v>
      </c>
      <c r="J697" s="150">
        <f>MAX((J345-I345),0)*$D697/CurrencyMultiplier</f>
        <v>0</v>
      </c>
      <c r="K697" s="150">
        <f>MAX((K345-J345),0)*$D697/CurrencyMultiplier</f>
        <v>0</v>
      </c>
      <c r="L697" s="150">
        <f>MAX((L345-K345),0)*$D697/CurrencyMultiplier</f>
        <v>0</v>
      </c>
      <c r="M697" s="150">
        <f>MAX((M345-L345),0)*$D697/CurrencyMultiplier</f>
        <v>0</v>
      </c>
      <c r="N697" s="150">
        <f>MAX((N345-M345),0)*$D697/CurrencyMultiplier</f>
        <v>0</v>
      </c>
      <c r="O697" s="150">
        <f>MAX((O345-N345),0)*$D697/CurrencyMultiplier</f>
        <v>0</v>
      </c>
    </row>
    <row r="698" spans="2:15" x14ac:dyDescent="0.25">
      <c r="B698" s="72">
        <v>4.2</v>
      </c>
      <c r="C698" s="62" t="s">
        <v>24</v>
      </c>
      <c r="D698" s="283">
        <f t="shared" si="285"/>
        <v>0</v>
      </c>
      <c r="E698" s="372"/>
      <c r="F698" s="5804">
        <f>MAX((F346-E346),0)*$D698/CurrencyMultiplier</f>
        <v>0</v>
      </c>
      <c r="G698" s="150">
        <f>MAX((G346-F346),0)*$D698/CurrencyMultiplier</f>
        <v>0</v>
      </c>
      <c r="H698" s="150">
        <f>MAX((H346-G346),0)*$D698/CurrencyMultiplier</f>
        <v>0</v>
      </c>
      <c r="I698" s="150">
        <f>MAX((I346-H346),0)*$D698/CurrencyMultiplier</f>
        <v>0</v>
      </c>
      <c r="J698" s="150">
        <f>MAX((J346-I346),0)*$D698/CurrencyMultiplier</f>
        <v>0</v>
      </c>
      <c r="K698" s="150">
        <f>MAX((K346-J346),0)*$D698/CurrencyMultiplier</f>
        <v>0</v>
      </c>
      <c r="L698" s="150">
        <f>MAX((L346-K346),0)*$D698/CurrencyMultiplier</f>
        <v>0</v>
      </c>
      <c r="M698" s="150">
        <f>MAX((M346-L346),0)*$D698/CurrencyMultiplier</f>
        <v>0</v>
      </c>
      <c r="N698" s="150">
        <f>MAX((N346-M346),0)*$D698/CurrencyMultiplier</f>
        <v>0</v>
      </c>
      <c r="O698" s="150">
        <f>MAX((O346-N346),0)*$D698/CurrencyMultiplier</f>
        <v>0</v>
      </c>
    </row>
    <row r="699" spans="2:15" x14ac:dyDescent="0.25">
      <c r="B699" s="72">
        <v>4.3</v>
      </c>
      <c r="C699" s="62" t="s">
        <v>25</v>
      </c>
      <c r="D699" s="283">
        <f t="shared" si="285"/>
        <v>0</v>
      </c>
      <c r="E699" s="372"/>
      <c r="F699" s="5804">
        <f>MAX((F347-E347),0)*$D699/CurrencyMultiplier</f>
        <v>0</v>
      </c>
      <c r="G699" s="150">
        <f>MAX((G347-F347),0)*$D699/CurrencyMultiplier</f>
        <v>0</v>
      </c>
      <c r="H699" s="150">
        <f>MAX((H347-G347),0)*$D699/CurrencyMultiplier</f>
        <v>0</v>
      </c>
      <c r="I699" s="150">
        <f>MAX((I347-H347),0)*$D699/CurrencyMultiplier</f>
        <v>0</v>
      </c>
      <c r="J699" s="150">
        <f>MAX((J347-I347),0)*$D699/CurrencyMultiplier</f>
        <v>0</v>
      </c>
      <c r="K699" s="150">
        <f>MAX((K347-J347),0)*$D699/CurrencyMultiplier</f>
        <v>0</v>
      </c>
      <c r="L699" s="150">
        <f>MAX((L347-K347),0)*$D699/CurrencyMultiplier</f>
        <v>0</v>
      </c>
      <c r="M699" s="150">
        <f>MAX((M347-L347),0)*$D699/CurrencyMultiplier</f>
        <v>0</v>
      </c>
      <c r="N699" s="150">
        <f>MAX((N347-M347),0)*$D699/CurrencyMultiplier</f>
        <v>0</v>
      </c>
      <c r="O699" s="150">
        <f>MAX((O347-N347),0)*$D699/CurrencyMultiplier</f>
        <v>0</v>
      </c>
    </row>
    <row r="700" spans="2:15" x14ac:dyDescent="0.25">
      <c r="B700" s="72">
        <v>4.4000000000000004</v>
      </c>
      <c r="C700" s="62" t="s">
        <v>168</v>
      </c>
      <c r="D700" s="283">
        <f t="shared" si="285"/>
        <v>0</v>
      </c>
      <c r="E700" s="372"/>
      <c r="F700" s="5804">
        <f>MAX((F348-E348),0)*$D700/CurrencyMultiplier</f>
        <v>0</v>
      </c>
      <c r="G700" s="150">
        <f>MAX((G348-F348),0)*$D700/CurrencyMultiplier</f>
        <v>0</v>
      </c>
      <c r="H700" s="150">
        <f>MAX((H348-G348),0)*$D700/CurrencyMultiplier</f>
        <v>0</v>
      </c>
      <c r="I700" s="150">
        <f>MAX((I348-H348),0)*$D700/CurrencyMultiplier</f>
        <v>0</v>
      </c>
      <c r="J700" s="150">
        <f>MAX((J348-I348),0)*$D700/CurrencyMultiplier</f>
        <v>0</v>
      </c>
      <c r="K700" s="150">
        <f>MAX((K348-J348),0)*$D700/CurrencyMultiplier</f>
        <v>0</v>
      </c>
      <c r="L700" s="150">
        <f>MAX((L348-K348),0)*$D700/CurrencyMultiplier</f>
        <v>0</v>
      </c>
      <c r="M700" s="150">
        <f>MAX((M348-L348),0)*$D700/CurrencyMultiplier</f>
        <v>0</v>
      </c>
      <c r="N700" s="150">
        <f>MAX((N348-M348),0)*$D700/CurrencyMultiplier</f>
        <v>0</v>
      </c>
      <c r="O700" s="150">
        <f>MAX((O348-N348),0)*$D700/CurrencyMultiplier</f>
        <v>0</v>
      </c>
    </row>
    <row r="701" spans="2:15" x14ac:dyDescent="0.25">
      <c r="B701" s="72" t="s">
        <v>254</v>
      </c>
      <c r="C701" s="62"/>
      <c r="D701" s="283"/>
      <c r="E701" s="372"/>
      <c r="F701" s="150"/>
      <c r="G701" s="150"/>
      <c r="H701" s="150"/>
      <c r="I701" s="150"/>
      <c r="J701" s="150"/>
      <c r="K701" s="150"/>
      <c r="L701" s="150"/>
      <c r="M701" s="150"/>
      <c r="N701" s="150"/>
      <c r="O701" s="150"/>
    </row>
    <row r="702" spans="2:15" x14ac:dyDescent="0.25">
      <c r="B702" s="72">
        <v>5.0999999999999996</v>
      </c>
      <c r="C702" s="62" t="s">
        <v>256</v>
      </c>
      <c r="D702" s="283">
        <f t="shared" si="285"/>
        <v>0</v>
      </c>
      <c r="E702" s="372"/>
      <c r="F702" s="5804">
        <f>MAX((F350-E350),0)*$D702/CurrencyMultiplier</f>
        <v>0</v>
      </c>
      <c r="G702" s="150">
        <f>MAX((G350-F350),0)*$D702/CurrencyMultiplier</f>
        <v>0</v>
      </c>
      <c r="H702" s="150">
        <f>MAX((H350-G350),0)*$D702/CurrencyMultiplier</f>
        <v>0</v>
      </c>
      <c r="I702" s="150">
        <f>MAX((I350-H350),0)*$D702/CurrencyMultiplier</f>
        <v>0</v>
      </c>
      <c r="J702" s="150">
        <f>MAX((J350-I350),0)*$D702/CurrencyMultiplier</f>
        <v>0</v>
      </c>
      <c r="K702" s="150">
        <f>MAX((K350-J350),0)*$D702/CurrencyMultiplier</f>
        <v>0</v>
      </c>
      <c r="L702" s="150">
        <f>MAX((L350-K350),0)*$D702/CurrencyMultiplier</f>
        <v>0</v>
      </c>
      <c r="M702" s="150">
        <f>MAX((M350-L350),0)*$D702/CurrencyMultiplier</f>
        <v>0</v>
      </c>
      <c r="N702" s="150">
        <f>MAX((N350-M350),0)*$D702/CurrencyMultiplier</f>
        <v>0</v>
      </c>
      <c r="O702" s="150">
        <f>MAX((O350-N350),0)*$D702/CurrencyMultiplier</f>
        <v>0</v>
      </c>
    </row>
    <row r="703" spans="2:15" ht="14.25" customHeight="1" x14ac:dyDescent="0.25">
      <c r="B703" s="72">
        <v>5.3</v>
      </c>
      <c r="C703" s="62" t="s">
        <v>255</v>
      </c>
      <c r="D703" s="283">
        <f t="shared" si="285"/>
        <v>0</v>
      </c>
      <c r="E703" s="372"/>
      <c r="F703" s="5804">
        <f>MAX((F351-E351),0)*$D703/CurrencyMultiplier</f>
        <v>0</v>
      </c>
      <c r="G703" s="150">
        <f>MAX((G351-F351),0)*$D703/CurrencyMultiplier</f>
        <v>0</v>
      </c>
      <c r="H703" s="150">
        <f>MAX((H351-G351),0)*$D703/CurrencyMultiplier</f>
        <v>0</v>
      </c>
      <c r="I703" s="150">
        <f>MAX((I351-H351),0)*$D703/CurrencyMultiplier</f>
        <v>0</v>
      </c>
      <c r="J703" s="150">
        <f>MAX((J351-I351),0)*$D703/CurrencyMultiplier</f>
        <v>0</v>
      </c>
      <c r="K703" s="150">
        <f>MAX((K351-J351),0)*$D703/CurrencyMultiplier</f>
        <v>0</v>
      </c>
      <c r="L703" s="150">
        <f>MAX((L351-K351),0)*$D703/CurrencyMultiplier</f>
        <v>0</v>
      </c>
      <c r="M703" s="150">
        <f>MAX((M351-L351),0)*$D703/CurrencyMultiplier</f>
        <v>0</v>
      </c>
      <c r="N703" s="150">
        <f>MAX((N351-M351),0)*$D703/CurrencyMultiplier</f>
        <v>0</v>
      </c>
      <c r="O703" s="150">
        <f>MAX((O351-N351),0)*$D703/CurrencyMultiplier</f>
        <v>0</v>
      </c>
    </row>
    <row r="704" spans="2:15" x14ac:dyDescent="0.25">
      <c r="B704" s="72">
        <v>5.2</v>
      </c>
      <c r="C704" s="62" t="s">
        <v>253</v>
      </c>
      <c r="D704" s="283">
        <f t="shared" si="285"/>
        <v>0</v>
      </c>
      <c r="E704" s="372"/>
      <c r="F704" s="5804">
        <f>MAX((F352-E352),0)*$D704/CurrencyMultiplier</f>
        <v>0</v>
      </c>
      <c r="G704" s="150">
        <f>MAX((G352-F352),0)*$D704/CurrencyMultiplier</f>
        <v>0</v>
      </c>
      <c r="H704" s="150">
        <f>MAX((H352-G352),0)*$D704/CurrencyMultiplier</f>
        <v>0</v>
      </c>
      <c r="I704" s="150">
        <f>MAX((I352-H352),0)*$D704/CurrencyMultiplier</f>
        <v>0</v>
      </c>
      <c r="J704" s="150">
        <f>MAX((J352-I352),0)*$D704/CurrencyMultiplier</f>
        <v>0</v>
      </c>
      <c r="K704" s="150">
        <f>MAX((K352-J352),0)*$D704/CurrencyMultiplier</f>
        <v>0</v>
      </c>
      <c r="L704" s="150">
        <f>MAX((L352-K352),0)*$D704/CurrencyMultiplier</f>
        <v>0</v>
      </c>
      <c r="M704" s="150">
        <f>MAX((M352-L352),0)*$D704/CurrencyMultiplier</f>
        <v>0</v>
      </c>
      <c r="N704" s="150">
        <f>MAX((N352-M352),0)*$D704/CurrencyMultiplier</f>
        <v>0</v>
      </c>
      <c r="O704" s="150">
        <f>MAX((O352-N352),0)*$D704/CurrencyMultiplier</f>
        <v>0</v>
      </c>
    </row>
    <row r="705" spans="1:15" s="80" customFormat="1" x14ac:dyDescent="0.25">
      <c r="A705" s="134"/>
      <c r="B705" s="159"/>
      <c r="C705" s="177" t="s">
        <v>330</v>
      </c>
      <c r="D705" s="441"/>
      <c r="E705" s="442"/>
      <c r="F705" s="179">
        <f>SUM(F682:F704)</f>
        <v>0</v>
      </c>
      <c r="G705" s="179">
        <f t="shared" ref="G705:O705" si="286">SUM(G682:G704)</f>
        <v>0</v>
      </c>
      <c r="H705" s="179">
        <f t="shared" si="286"/>
        <v>0</v>
      </c>
      <c r="I705" s="179">
        <f t="shared" si="286"/>
        <v>0</v>
      </c>
      <c r="J705" s="179">
        <f t="shared" si="286"/>
        <v>0</v>
      </c>
      <c r="K705" s="179">
        <f t="shared" si="286"/>
        <v>0</v>
      </c>
      <c r="L705" s="179">
        <f t="shared" si="286"/>
        <v>0</v>
      </c>
      <c r="M705" s="179">
        <f t="shared" si="286"/>
        <v>0</v>
      </c>
      <c r="N705" s="179">
        <f t="shared" si="286"/>
        <v>0</v>
      </c>
      <c r="O705" s="179">
        <f t="shared" si="286"/>
        <v>0</v>
      </c>
    </row>
    <row r="706" spans="1:15" s="170" customFormat="1" x14ac:dyDescent="0.25">
      <c r="A706" s="204"/>
      <c r="B706" s="205"/>
      <c r="C706" s="207" t="s">
        <v>551</v>
      </c>
      <c r="D706" s="205"/>
      <c r="E706" s="206"/>
      <c r="F706" s="451"/>
      <c r="G706" s="451"/>
      <c r="H706" s="451"/>
      <c r="I706" s="451"/>
      <c r="J706" s="451"/>
      <c r="K706" s="451"/>
      <c r="L706" s="451"/>
      <c r="M706" s="451"/>
      <c r="N706" s="451"/>
      <c r="O706" s="451"/>
    </row>
    <row r="707" spans="1:15" x14ac:dyDescent="0.25">
      <c r="B707" s="72" t="s">
        <v>258</v>
      </c>
      <c r="C707" s="62"/>
      <c r="D707" s="282"/>
      <c r="E707" s="372"/>
      <c r="F707" s="79"/>
      <c r="G707" s="150"/>
      <c r="H707" s="150"/>
      <c r="I707" s="150"/>
      <c r="J707" s="150"/>
      <c r="K707" s="150"/>
      <c r="L707" s="150"/>
      <c r="M707" s="150"/>
      <c r="N707" s="150"/>
      <c r="O707" s="150"/>
    </row>
    <row r="708" spans="1:15" x14ac:dyDescent="0.25">
      <c r="B708" s="72">
        <v>1.1000000000000001</v>
      </c>
      <c r="C708" s="62" t="s">
        <v>23</v>
      </c>
      <c r="D708" s="283">
        <f>D737</f>
        <v>0</v>
      </c>
      <c r="E708" s="372"/>
      <c r="F708" s="150">
        <f t="shared" ref="F708:O708" si="287">F737/F$734</f>
        <v>0</v>
      </c>
      <c r="G708" s="150">
        <f t="shared" si="287"/>
        <v>0</v>
      </c>
      <c r="H708" s="150">
        <f t="shared" si="287"/>
        <v>0</v>
      </c>
      <c r="I708" s="150">
        <f t="shared" si="287"/>
        <v>0</v>
      </c>
      <c r="J708" s="150">
        <f t="shared" si="287"/>
        <v>0</v>
      </c>
      <c r="K708" s="150">
        <f t="shared" si="287"/>
        <v>0</v>
      </c>
      <c r="L708" s="150">
        <f t="shared" si="287"/>
        <v>0</v>
      </c>
      <c r="M708" s="150">
        <f t="shared" si="287"/>
        <v>0</v>
      </c>
      <c r="N708" s="150">
        <f t="shared" si="287"/>
        <v>0</v>
      </c>
      <c r="O708" s="150">
        <f t="shared" si="287"/>
        <v>0</v>
      </c>
    </row>
    <row r="709" spans="1:15" x14ac:dyDescent="0.25">
      <c r="B709" s="72">
        <v>1.2</v>
      </c>
      <c r="C709" s="62" t="s">
        <v>24</v>
      </c>
      <c r="D709" s="283">
        <f t="shared" ref="D709:D726" si="288">D738</f>
        <v>0</v>
      </c>
      <c r="E709" s="372"/>
      <c r="F709" s="150">
        <f t="shared" ref="F709:O709" si="289">F738/F$734</f>
        <v>0</v>
      </c>
      <c r="G709" s="150">
        <f t="shared" si="289"/>
        <v>0</v>
      </c>
      <c r="H709" s="150">
        <f t="shared" si="289"/>
        <v>0</v>
      </c>
      <c r="I709" s="150">
        <f t="shared" si="289"/>
        <v>0</v>
      </c>
      <c r="J709" s="150">
        <f t="shared" si="289"/>
        <v>0</v>
      </c>
      <c r="K709" s="150">
        <f t="shared" si="289"/>
        <v>0</v>
      </c>
      <c r="L709" s="150">
        <f t="shared" si="289"/>
        <v>0</v>
      </c>
      <c r="M709" s="150">
        <f t="shared" si="289"/>
        <v>0</v>
      </c>
      <c r="N709" s="150">
        <f t="shared" si="289"/>
        <v>0</v>
      </c>
      <c r="O709" s="150">
        <f t="shared" si="289"/>
        <v>0</v>
      </c>
    </row>
    <row r="710" spans="1:15" x14ac:dyDescent="0.25">
      <c r="B710" s="72">
        <v>1.3</v>
      </c>
      <c r="C710" s="62" t="s">
        <v>25</v>
      </c>
      <c r="D710" s="283">
        <f t="shared" si="288"/>
        <v>0</v>
      </c>
      <c r="E710" s="372"/>
      <c r="F710" s="150">
        <f t="shared" ref="F710:O710" si="290">F739/F$734</f>
        <v>0</v>
      </c>
      <c r="G710" s="150">
        <f t="shared" si="290"/>
        <v>0</v>
      </c>
      <c r="H710" s="150">
        <f t="shared" si="290"/>
        <v>0</v>
      </c>
      <c r="I710" s="150">
        <f t="shared" si="290"/>
        <v>0</v>
      </c>
      <c r="J710" s="150">
        <f t="shared" si="290"/>
        <v>0</v>
      </c>
      <c r="K710" s="150">
        <f t="shared" si="290"/>
        <v>0</v>
      </c>
      <c r="L710" s="150">
        <f t="shared" si="290"/>
        <v>0</v>
      </c>
      <c r="M710" s="150">
        <f t="shared" si="290"/>
        <v>0</v>
      </c>
      <c r="N710" s="150">
        <f t="shared" si="290"/>
        <v>0</v>
      </c>
      <c r="O710" s="150">
        <f t="shared" si="290"/>
        <v>0</v>
      </c>
    </row>
    <row r="711" spans="1:15" x14ac:dyDescent="0.25">
      <c r="B711" s="72">
        <v>1.4</v>
      </c>
      <c r="C711" s="62" t="s">
        <v>168</v>
      </c>
      <c r="D711" s="283">
        <f t="shared" si="288"/>
        <v>0</v>
      </c>
      <c r="E711" s="372"/>
      <c r="F711" s="150">
        <f t="shared" ref="F711:O711" si="291">F740/F$734</f>
        <v>0</v>
      </c>
      <c r="G711" s="150">
        <f t="shared" si="291"/>
        <v>0</v>
      </c>
      <c r="H711" s="150">
        <f t="shared" si="291"/>
        <v>0</v>
      </c>
      <c r="I711" s="150">
        <f t="shared" si="291"/>
        <v>0</v>
      </c>
      <c r="J711" s="150">
        <f t="shared" si="291"/>
        <v>0</v>
      </c>
      <c r="K711" s="150">
        <f t="shared" si="291"/>
        <v>0</v>
      </c>
      <c r="L711" s="150">
        <f t="shared" si="291"/>
        <v>0</v>
      </c>
      <c r="M711" s="150">
        <f t="shared" si="291"/>
        <v>0</v>
      </c>
      <c r="N711" s="150">
        <f t="shared" si="291"/>
        <v>0</v>
      </c>
      <c r="O711" s="150">
        <f t="shared" si="291"/>
        <v>0</v>
      </c>
    </row>
    <row r="712" spans="1:15" x14ac:dyDescent="0.25">
      <c r="B712" s="72" t="s">
        <v>257</v>
      </c>
      <c r="C712" s="62"/>
      <c r="D712" s="283"/>
      <c r="E712" s="372"/>
      <c r="F712" s="150"/>
      <c r="G712" s="150"/>
      <c r="H712" s="150"/>
      <c r="I712" s="150"/>
      <c r="J712" s="150"/>
      <c r="K712" s="150"/>
      <c r="L712" s="150"/>
      <c r="M712" s="150"/>
      <c r="N712" s="150"/>
      <c r="O712" s="150"/>
    </row>
    <row r="713" spans="1:15" x14ac:dyDescent="0.25">
      <c r="B713" s="72">
        <v>2.1</v>
      </c>
      <c r="C713" s="62" t="s">
        <v>23</v>
      </c>
      <c r="D713" s="283">
        <f t="shared" si="288"/>
        <v>0</v>
      </c>
      <c r="E713" s="373"/>
      <c r="F713" s="5804">
        <f>MAX((F190-E190),0)*$D742*$F$734*(1-$F$735)/CurrencyMultiplier</f>
        <v>0</v>
      </c>
      <c r="G713" s="5804">
        <f>MAX((G190-F190),0)*$D742*$F$734*(1-$F$735)/CurrencyMultiplier</f>
        <v>0</v>
      </c>
      <c r="H713" s="150">
        <f>MAX((H190-G190),0)*$D742*$F$734*(1-$F$735)/CurrencyMultiplier</f>
        <v>0</v>
      </c>
      <c r="I713" s="150">
        <f>MAX((I190-H190),0)*$D742*$F$734*(1-$F$735)/CurrencyMultiplier</f>
        <v>0</v>
      </c>
      <c r="J713" s="150">
        <f>MAX((J190-I190),0)*$D742*$F$734*(1-$F$735)/CurrencyMultiplier</f>
        <v>0</v>
      </c>
      <c r="K713" s="150">
        <f>MAX((K190-J190),0)*$D742*$F$734*(1-$F$735)/CurrencyMultiplier</f>
        <v>0</v>
      </c>
      <c r="L713" s="150">
        <f>MAX((L190-K190),0)*$D742*$F$734*(1-$F$735)/CurrencyMultiplier</f>
        <v>0</v>
      </c>
      <c r="M713" s="150">
        <f>MAX((M190-L190),0)*$D742*$F$734*(1-$F$735)/CurrencyMultiplier</f>
        <v>0</v>
      </c>
      <c r="N713" s="150">
        <f>MAX((N190-M190),0)*$D742*$F$734*(1-$F$735)/CurrencyMultiplier</f>
        <v>0</v>
      </c>
      <c r="O713" s="150">
        <f>MAX((O190-N190),0)*$D742*$F$734*(1-$F$735)/CurrencyMultiplier</f>
        <v>0</v>
      </c>
    </row>
    <row r="714" spans="1:15" x14ac:dyDescent="0.25">
      <c r="B714" s="72">
        <v>2.2000000000000002</v>
      </c>
      <c r="C714" s="62" t="s">
        <v>24</v>
      </c>
      <c r="D714" s="283">
        <f t="shared" si="288"/>
        <v>0</v>
      </c>
      <c r="E714" s="372"/>
      <c r="F714" s="5804">
        <f>MAX((F191-E191),0)*$D743*$F$734*(1-$F$735)/CurrencyMultiplier</f>
        <v>0</v>
      </c>
      <c r="G714" s="5804">
        <f>MAX((G191-F191),0)*$D743*$F$734*(1-$F$735)/CurrencyMultiplier</f>
        <v>0</v>
      </c>
      <c r="H714" s="150">
        <f>MAX((H191-G191),0)*$D743*$F$734*(1-$F$735)/CurrencyMultiplier</f>
        <v>0</v>
      </c>
      <c r="I714" s="150">
        <f>MAX((I191-H191),0)*$D743*$F$734*(1-$F$735)/CurrencyMultiplier</f>
        <v>0</v>
      </c>
      <c r="J714" s="150">
        <f>MAX((J191-I191),0)*$D743*$F$734*(1-$F$735)/CurrencyMultiplier</f>
        <v>0</v>
      </c>
      <c r="K714" s="150">
        <f>MAX((K191-J191),0)*$D743*$F$734*(1-$F$735)/CurrencyMultiplier</f>
        <v>0</v>
      </c>
      <c r="L714" s="150">
        <f>MAX((L191-K191),0)*$D743*$F$734*(1-$F$735)/CurrencyMultiplier</f>
        <v>0</v>
      </c>
      <c r="M714" s="150">
        <f>MAX((M191-L191),0)*$D743*$F$734*(1-$F$735)/CurrencyMultiplier</f>
        <v>0</v>
      </c>
      <c r="N714" s="150">
        <f>MAX((N191-M191),0)*$D743*$F$734*(1-$F$735)/CurrencyMultiplier</f>
        <v>0</v>
      </c>
      <c r="O714" s="150">
        <f>MAX((O191-N191),0)*$D743*$F$734*(1-$F$735)/CurrencyMultiplier</f>
        <v>0</v>
      </c>
    </row>
    <row r="715" spans="1:15" x14ac:dyDescent="0.25">
      <c r="B715" s="72">
        <v>2.2999999999999998</v>
      </c>
      <c r="C715" s="62" t="s">
        <v>25</v>
      </c>
      <c r="D715" s="283">
        <f t="shared" si="288"/>
        <v>0</v>
      </c>
      <c r="E715" s="372"/>
      <c r="F715" s="5804">
        <f>MAX((F192-E192),0)*$D744*$F$734*(1-$F$735)/CurrencyMultiplier</f>
        <v>0</v>
      </c>
      <c r="G715" s="5804">
        <f>MAX((G192-F192),0)*$D744*$F$734*(1-$F$735)/CurrencyMultiplier</f>
        <v>0</v>
      </c>
      <c r="H715" s="150">
        <f>MAX((H192-G192),0)*$D744*$F$734*(1-$F$735)/CurrencyMultiplier</f>
        <v>0</v>
      </c>
      <c r="I715" s="150">
        <f>MAX((I192-H192),0)*$D744*$F$734*(1-$F$735)/CurrencyMultiplier</f>
        <v>0</v>
      </c>
      <c r="J715" s="150">
        <f>MAX((J192-I192),0)*$D744*$F$734*(1-$F$735)/CurrencyMultiplier</f>
        <v>0</v>
      </c>
      <c r="K715" s="150">
        <f>MAX((K192-J192),0)*$D744*$F$734*(1-$F$735)/CurrencyMultiplier</f>
        <v>0</v>
      </c>
      <c r="L715" s="150">
        <f>MAX((L192-K192),0)*$D744*$F$734*(1-$F$735)/CurrencyMultiplier</f>
        <v>0</v>
      </c>
      <c r="M715" s="150">
        <f>MAX((M192-L192),0)*$D744*$F$734*(1-$F$735)/CurrencyMultiplier</f>
        <v>0</v>
      </c>
      <c r="N715" s="150">
        <f>MAX((N192-M192),0)*$D744*$F$734*(1-$F$735)/CurrencyMultiplier</f>
        <v>0</v>
      </c>
      <c r="O715" s="150">
        <f>MAX((O192-N192),0)*$D744*$F$734*(1-$F$735)/CurrencyMultiplier</f>
        <v>0</v>
      </c>
    </row>
    <row r="716" spans="1:15" x14ac:dyDescent="0.25">
      <c r="B716" s="72">
        <v>2.4</v>
      </c>
      <c r="C716" s="62" t="s">
        <v>168</v>
      </c>
      <c r="D716" s="283">
        <f t="shared" si="288"/>
        <v>0</v>
      </c>
      <c r="E716" s="372"/>
      <c r="F716" s="5804">
        <f>MAX((F193-E193),0)*$D745*$F$734*(1-$F$735)/CurrencyMultiplier</f>
        <v>0</v>
      </c>
      <c r="G716" s="5804">
        <f>MAX((G193-F193),0)*$D745*$F$734*(1-$F$735)/CurrencyMultiplier</f>
        <v>0</v>
      </c>
      <c r="H716" s="150">
        <f>MAX((H193-G193),0)*$D745*$F$734*(1-$F$735)/CurrencyMultiplier</f>
        <v>0</v>
      </c>
      <c r="I716" s="150">
        <f>MAX((I193-H193),0)*$D745*$F$734*(1-$F$735)/CurrencyMultiplier</f>
        <v>0</v>
      </c>
      <c r="J716" s="150">
        <f>MAX((J193-I193),0)*$D745*$F$734*(1-$F$735)/CurrencyMultiplier</f>
        <v>0</v>
      </c>
      <c r="K716" s="150">
        <f>MAX((K193-J193),0)*$D745*$F$734*(1-$F$735)/CurrencyMultiplier</f>
        <v>0</v>
      </c>
      <c r="L716" s="150">
        <f>MAX((L193-K193),0)*$D745*$F$734*(1-$F$735)/CurrencyMultiplier</f>
        <v>0</v>
      </c>
      <c r="M716" s="150">
        <f>MAX((M193-L193),0)*$D745*$F$734*(1-$F$735)/CurrencyMultiplier</f>
        <v>0</v>
      </c>
      <c r="N716" s="150">
        <f>MAX((N193-M193),0)*$D745*$F$734*(1-$F$735)/CurrencyMultiplier</f>
        <v>0</v>
      </c>
      <c r="O716" s="150">
        <f>MAX((O193-N193),0)*$D745*$F$734*(1-$F$735)/CurrencyMultiplier</f>
        <v>0</v>
      </c>
    </row>
    <row r="717" spans="1:15" x14ac:dyDescent="0.25">
      <c r="B717" s="72" t="s">
        <v>326</v>
      </c>
      <c r="C717" s="62"/>
      <c r="D717" s="283"/>
      <c r="E717" s="372"/>
      <c r="F717" s="150"/>
      <c r="G717" s="150"/>
      <c r="H717" s="150"/>
      <c r="I717" s="150"/>
      <c r="J717" s="150"/>
      <c r="K717" s="150"/>
      <c r="L717" s="150"/>
      <c r="M717" s="150"/>
      <c r="N717" s="150"/>
      <c r="O717" s="150"/>
    </row>
    <row r="718" spans="1:15" x14ac:dyDescent="0.25">
      <c r="B718" s="72">
        <v>3.1</v>
      </c>
      <c r="C718" s="62" t="s">
        <v>23</v>
      </c>
      <c r="D718" s="283">
        <f t="shared" si="288"/>
        <v>0</v>
      </c>
      <c r="E718" s="372"/>
      <c r="F718" s="150">
        <f t="shared" ref="F718:O718" si="292">F747/F$734</f>
        <v>0</v>
      </c>
      <c r="G718" s="150">
        <f t="shared" si="292"/>
        <v>0</v>
      </c>
      <c r="H718" s="150">
        <f t="shared" si="292"/>
        <v>0</v>
      </c>
      <c r="I718" s="150">
        <f t="shared" si="292"/>
        <v>0</v>
      </c>
      <c r="J718" s="150">
        <f t="shared" si="292"/>
        <v>0</v>
      </c>
      <c r="K718" s="150">
        <f t="shared" si="292"/>
        <v>0</v>
      </c>
      <c r="L718" s="150">
        <f t="shared" si="292"/>
        <v>0</v>
      </c>
      <c r="M718" s="150">
        <f t="shared" si="292"/>
        <v>0</v>
      </c>
      <c r="N718" s="150">
        <f t="shared" si="292"/>
        <v>0</v>
      </c>
      <c r="O718" s="150">
        <f t="shared" si="292"/>
        <v>0</v>
      </c>
    </row>
    <row r="719" spans="1:15" x14ac:dyDescent="0.25">
      <c r="B719" s="72">
        <v>3.2</v>
      </c>
      <c r="C719" s="62" t="s">
        <v>24</v>
      </c>
      <c r="D719" s="283">
        <f t="shared" si="288"/>
        <v>0</v>
      </c>
      <c r="E719" s="372"/>
      <c r="F719" s="150">
        <f t="shared" ref="F719:O719" si="293">F748/F$734</f>
        <v>0</v>
      </c>
      <c r="G719" s="150">
        <f t="shared" si="293"/>
        <v>0</v>
      </c>
      <c r="H719" s="150">
        <f t="shared" si="293"/>
        <v>0</v>
      </c>
      <c r="I719" s="150">
        <f t="shared" si="293"/>
        <v>0</v>
      </c>
      <c r="J719" s="150">
        <f t="shared" si="293"/>
        <v>0</v>
      </c>
      <c r="K719" s="150">
        <f t="shared" si="293"/>
        <v>0</v>
      </c>
      <c r="L719" s="150">
        <f t="shared" si="293"/>
        <v>0</v>
      </c>
      <c r="M719" s="150">
        <f t="shared" si="293"/>
        <v>0</v>
      </c>
      <c r="N719" s="150">
        <f t="shared" si="293"/>
        <v>0</v>
      </c>
      <c r="O719" s="150">
        <f t="shared" si="293"/>
        <v>0</v>
      </c>
    </row>
    <row r="720" spans="1:15" x14ac:dyDescent="0.25">
      <c r="B720" s="72">
        <v>3.3</v>
      </c>
      <c r="C720" s="62" t="s">
        <v>25</v>
      </c>
      <c r="D720" s="283">
        <f t="shared" si="288"/>
        <v>0</v>
      </c>
      <c r="E720" s="372"/>
      <c r="F720" s="150">
        <f t="shared" ref="F720:O720" si="294">F749/F$734</f>
        <v>0</v>
      </c>
      <c r="G720" s="150">
        <f t="shared" si="294"/>
        <v>0</v>
      </c>
      <c r="H720" s="150">
        <f t="shared" si="294"/>
        <v>0</v>
      </c>
      <c r="I720" s="150">
        <f t="shared" si="294"/>
        <v>0</v>
      </c>
      <c r="J720" s="150">
        <f t="shared" si="294"/>
        <v>0</v>
      </c>
      <c r="K720" s="150">
        <f t="shared" si="294"/>
        <v>0</v>
      </c>
      <c r="L720" s="150">
        <f t="shared" si="294"/>
        <v>0</v>
      </c>
      <c r="M720" s="150">
        <f t="shared" si="294"/>
        <v>0</v>
      </c>
      <c r="N720" s="150">
        <f t="shared" si="294"/>
        <v>0</v>
      </c>
      <c r="O720" s="150">
        <f t="shared" si="294"/>
        <v>0</v>
      </c>
    </row>
    <row r="721" spans="1:15" x14ac:dyDescent="0.25">
      <c r="B721" s="72">
        <v>3.4</v>
      </c>
      <c r="C721" s="62" t="s">
        <v>168</v>
      </c>
      <c r="D721" s="283">
        <f t="shared" si="288"/>
        <v>0</v>
      </c>
      <c r="E721" s="372"/>
      <c r="F721" s="150">
        <f t="shared" ref="F721:O721" si="295">F750/F$734</f>
        <v>0</v>
      </c>
      <c r="G721" s="150">
        <f t="shared" si="295"/>
        <v>0</v>
      </c>
      <c r="H721" s="150">
        <f t="shared" si="295"/>
        <v>0</v>
      </c>
      <c r="I721" s="150">
        <f t="shared" si="295"/>
        <v>0</v>
      </c>
      <c r="J721" s="150">
        <f t="shared" si="295"/>
        <v>0</v>
      </c>
      <c r="K721" s="150">
        <f t="shared" si="295"/>
        <v>0</v>
      </c>
      <c r="L721" s="150">
        <f t="shared" si="295"/>
        <v>0</v>
      </c>
      <c r="M721" s="150">
        <f t="shared" si="295"/>
        <v>0</v>
      </c>
      <c r="N721" s="150">
        <f t="shared" si="295"/>
        <v>0</v>
      </c>
      <c r="O721" s="150">
        <f t="shared" si="295"/>
        <v>0</v>
      </c>
    </row>
    <row r="722" spans="1:15" x14ac:dyDescent="0.25">
      <c r="B722" s="72" t="s">
        <v>26</v>
      </c>
      <c r="C722" s="62"/>
      <c r="D722" s="283"/>
      <c r="E722" s="372"/>
      <c r="F722" s="150"/>
      <c r="G722" s="150"/>
      <c r="H722" s="150"/>
      <c r="I722" s="150"/>
      <c r="J722" s="150"/>
      <c r="K722" s="150"/>
      <c r="L722" s="150"/>
      <c r="M722" s="150"/>
      <c r="N722" s="150"/>
      <c r="O722" s="150"/>
    </row>
    <row r="723" spans="1:15" x14ac:dyDescent="0.25">
      <c r="B723" s="72">
        <v>4.0999999999999996</v>
      </c>
      <c r="C723" s="62" t="s">
        <v>23</v>
      </c>
      <c r="D723" s="283">
        <f t="shared" si="288"/>
        <v>0</v>
      </c>
      <c r="E723" s="372"/>
      <c r="F723" s="150">
        <f t="shared" ref="F723:O723" si="296">F752/F$734</f>
        <v>0</v>
      </c>
      <c r="G723" s="150">
        <f t="shared" si="296"/>
        <v>0</v>
      </c>
      <c r="H723" s="150">
        <f t="shared" si="296"/>
        <v>0</v>
      </c>
      <c r="I723" s="150">
        <f t="shared" si="296"/>
        <v>0</v>
      </c>
      <c r="J723" s="150">
        <f t="shared" si="296"/>
        <v>0</v>
      </c>
      <c r="K723" s="150">
        <f t="shared" si="296"/>
        <v>0</v>
      </c>
      <c r="L723" s="150">
        <f t="shared" si="296"/>
        <v>0</v>
      </c>
      <c r="M723" s="150">
        <f t="shared" si="296"/>
        <v>0</v>
      </c>
      <c r="N723" s="150">
        <f t="shared" si="296"/>
        <v>0</v>
      </c>
      <c r="O723" s="150">
        <f t="shared" si="296"/>
        <v>0</v>
      </c>
    </row>
    <row r="724" spans="1:15" x14ac:dyDescent="0.25">
      <c r="B724" s="72">
        <v>4.2</v>
      </c>
      <c r="C724" s="62" t="s">
        <v>24</v>
      </c>
      <c r="D724" s="283">
        <f t="shared" si="288"/>
        <v>0</v>
      </c>
      <c r="E724" s="372"/>
      <c r="F724" s="150">
        <f t="shared" ref="F724:O724" si="297">F753/F$734</f>
        <v>0</v>
      </c>
      <c r="G724" s="150">
        <f t="shared" si="297"/>
        <v>0</v>
      </c>
      <c r="H724" s="150">
        <f t="shared" si="297"/>
        <v>0</v>
      </c>
      <c r="I724" s="150">
        <f t="shared" si="297"/>
        <v>0</v>
      </c>
      <c r="J724" s="150">
        <f t="shared" si="297"/>
        <v>0</v>
      </c>
      <c r="K724" s="150">
        <f t="shared" si="297"/>
        <v>0</v>
      </c>
      <c r="L724" s="150">
        <f t="shared" si="297"/>
        <v>0</v>
      </c>
      <c r="M724" s="150">
        <f t="shared" si="297"/>
        <v>0</v>
      </c>
      <c r="N724" s="150">
        <f t="shared" si="297"/>
        <v>0</v>
      </c>
      <c r="O724" s="150">
        <f t="shared" si="297"/>
        <v>0</v>
      </c>
    </row>
    <row r="725" spans="1:15" x14ac:dyDescent="0.25">
      <c r="B725" s="72">
        <v>4.3</v>
      </c>
      <c r="C725" s="62" t="s">
        <v>25</v>
      </c>
      <c r="D725" s="283">
        <f t="shared" si="288"/>
        <v>0</v>
      </c>
      <c r="E725" s="372"/>
      <c r="F725" s="150">
        <f t="shared" ref="F725:O725" si="298">F754/F$734</f>
        <v>0</v>
      </c>
      <c r="G725" s="150">
        <f t="shared" si="298"/>
        <v>0</v>
      </c>
      <c r="H725" s="150">
        <f t="shared" si="298"/>
        <v>0</v>
      </c>
      <c r="I725" s="150">
        <f t="shared" si="298"/>
        <v>0</v>
      </c>
      <c r="J725" s="150">
        <f t="shared" si="298"/>
        <v>0</v>
      </c>
      <c r="K725" s="150">
        <f t="shared" si="298"/>
        <v>0</v>
      </c>
      <c r="L725" s="150">
        <f t="shared" si="298"/>
        <v>0</v>
      </c>
      <c r="M725" s="150">
        <f t="shared" si="298"/>
        <v>0</v>
      </c>
      <c r="N725" s="150">
        <f t="shared" si="298"/>
        <v>0</v>
      </c>
      <c r="O725" s="150">
        <f t="shared" si="298"/>
        <v>0</v>
      </c>
    </row>
    <row r="726" spans="1:15" x14ac:dyDescent="0.25">
      <c r="B726" s="72">
        <v>4.4000000000000004</v>
      </c>
      <c r="C726" s="62" t="s">
        <v>168</v>
      </c>
      <c r="D726" s="283">
        <f t="shared" si="288"/>
        <v>0</v>
      </c>
      <c r="E726" s="372"/>
      <c r="F726" s="150">
        <f t="shared" ref="F726:O726" si="299">F755/F$734</f>
        <v>0</v>
      </c>
      <c r="G726" s="150">
        <f t="shared" si="299"/>
        <v>0</v>
      </c>
      <c r="H726" s="150">
        <f t="shared" si="299"/>
        <v>0</v>
      </c>
      <c r="I726" s="150">
        <f t="shared" si="299"/>
        <v>0</v>
      </c>
      <c r="J726" s="150">
        <f t="shared" si="299"/>
        <v>0</v>
      </c>
      <c r="K726" s="150">
        <f t="shared" si="299"/>
        <v>0</v>
      </c>
      <c r="L726" s="150">
        <f t="shared" si="299"/>
        <v>0</v>
      </c>
      <c r="M726" s="150">
        <f t="shared" si="299"/>
        <v>0</v>
      </c>
      <c r="N726" s="150">
        <f t="shared" si="299"/>
        <v>0</v>
      </c>
      <c r="O726" s="150">
        <f t="shared" si="299"/>
        <v>0</v>
      </c>
    </row>
    <row r="727" spans="1:15" x14ac:dyDescent="0.25">
      <c r="B727" s="72" t="s">
        <v>254</v>
      </c>
      <c r="C727" s="62"/>
      <c r="D727" s="283"/>
      <c r="E727" s="372"/>
      <c r="F727" s="150"/>
      <c r="G727" s="150"/>
      <c r="H727" s="150"/>
      <c r="I727" s="150"/>
      <c r="J727" s="150"/>
      <c r="K727" s="150"/>
      <c r="L727" s="150"/>
      <c r="M727" s="150"/>
      <c r="N727" s="150"/>
      <c r="O727" s="150"/>
    </row>
    <row r="728" spans="1:15" x14ac:dyDescent="0.25">
      <c r="B728" s="72">
        <v>5.0999999999999996</v>
      </c>
      <c r="C728" s="62" t="s">
        <v>256</v>
      </c>
      <c r="D728" s="283">
        <f>D757</f>
        <v>0</v>
      </c>
      <c r="E728" s="372"/>
      <c r="F728" s="5804">
        <f>MAX((F205-E205),0)*$D757*$F$734*(1-$F$735)/CurrencyMultiplier</f>
        <v>0</v>
      </c>
      <c r="G728" s="5804">
        <f>MAX((G205-F205),0)*$D757*$F$734*(1-$F$735)/CurrencyMultiplier</f>
        <v>0</v>
      </c>
      <c r="H728" s="150">
        <f>MAX((H205-G205),0)*$D757*$F$734*(1-$F$735)/CurrencyMultiplier</f>
        <v>0</v>
      </c>
      <c r="I728" s="150">
        <f>MAX((I205-H205),0)*$D757*$F$734*(1-$F$735)/CurrencyMultiplier</f>
        <v>0</v>
      </c>
      <c r="J728" s="150">
        <f>MAX((J205-I205),0)*$D757*$F$734*(1-$F$735)/CurrencyMultiplier</f>
        <v>0</v>
      </c>
      <c r="K728" s="150">
        <f>MAX((K205-J205),0)*$D757*$F$734*(1-$F$735)/CurrencyMultiplier</f>
        <v>0</v>
      </c>
      <c r="L728" s="150">
        <f>MAX((L205-K205),0)*$D757*$F$734*(1-$F$735)/CurrencyMultiplier</f>
        <v>0</v>
      </c>
      <c r="M728" s="150">
        <f>MAX((M205-L205),0)*$D757*$F$734*(1-$F$735)/CurrencyMultiplier</f>
        <v>0</v>
      </c>
      <c r="N728" s="150">
        <f>MAX((N205-M205),0)*$D757*$F$734*(1-$F$735)/CurrencyMultiplier</f>
        <v>0</v>
      </c>
      <c r="O728" s="150">
        <f>MAX((O205-N205),0)*$D757*$F$734*(1-$F$735)/CurrencyMultiplier</f>
        <v>0</v>
      </c>
    </row>
    <row r="729" spans="1:15" ht="14.25" customHeight="1" x14ac:dyDescent="0.25">
      <c r="B729" s="72">
        <v>5.3</v>
      </c>
      <c r="C729" s="62" t="s">
        <v>255</v>
      </c>
      <c r="D729" s="283">
        <f>D758</f>
        <v>0</v>
      </c>
      <c r="E729" s="372"/>
      <c r="F729" s="150">
        <f t="shared" ref="F729:O729" si="300">F758/F$734</f>
        <v>0</v>
      </c>
      <c r="G729" s="150">
        <f t="shared" si="300"/>
        <v>0</v>
      </c>
      <c r="H729" s="150">
        <f t="shared" si="300"/>
        <v>0</v>
      </c>
      <c r="I729" s="150">
        <f t="shared" si="300"/>
        <v>0</v>
      </c>
      <c r="J729" s="150">
        <f t="shared" si="300"/>
        <v>0</v>
      </c>
      <c r="K729" s="150">
        <f t="shared" si="300"/>
        <v>0</v>
      </c>
      <c r="L729" s="150">
        <f t="shared" si="300"/>
        <v>0</v>
      </c>
      <c r="M729" s="150">
        <f t="shared" si="300"/>
        <v>0</v>
      </c>
      <c r="N729" s="150">
        <f t="shared" si="300"/>
        <v>0</v>
      </c>
      <c r="O729" s="150">
        <f t="shared" si="300"/>
        <v>0</v>
      </c>
    </row>
    <row r="730" spans="1:15" x14ac:dyDescent="0.25">
      <c r="B730" s="72">
        <v>5.2</v>
      </c>
      <c r="C730" s="62" t="s">
        <v>253</v>
      </c>
      <c r="D730" s="283">
        <f>D759</f>
        <v>0</v>
      </c>
      <c r="E730" s="372"/>
      <c r="F730" s="150">
        <f t="shared" ref="F730:O730" si="301">F759/F$734</f>
        <v>0</v>
      </c>
      <c r="G730" s="150">
        <f t="shared" si="301"/>
        <v>0</v>
      </c>
      <c r="H730" s="150">
        <f t="shared" si="301"/>
        <v>0</v>
      </c>
      <c r="I730" s="150">
        <f t="shared" si="301"/>
        <v>0</v>
      </c>
      <c r="J730" s="150">
        <f t="shared" si="301"/>
        <v>0</v>
      </c>
      <c r="K730" s="150">
        <f t="shared" si="301"/>
        <v>0</v>
      </c>
      <c r="L730" s="150">
        <f t="shared" si="301"/>
        <v>0</v>
      </c>
      <c r="M730" s="150">
        <f t="shared" si="301"/>
        <v>0</v>
      </c>
      <c r="N730" s="150">
        <f t="shared" si="301"/>
        <v>0</v>
      </c>
      <c r="O730" s="150">
        <f t="shared" si="301"/>
        <v>0</v>
      </c>
    </row>
    <row r="731" spans="1:15" s="80" customFormat="1" x14ac:dyDescent="0.25">
      <c r="A731" s="134"/>
      <c r="B731" s="159"/>
      <c r="C731" s="177" t="s">
        <v>330</v>
      </c>
      <c r="D731" s="441"/>
      <c r="E731" s="442"/>
      <c r="F731" s="179">
        <f t="shared" ref="F731:O731" si="302">SUM(F708:F730)</f>
        <v>0</v>
      </c>
      <c r="G731" s="179">
        <f t="shared" si="302"/>
        <v>0</v>
      </c>
      <c r="H731" s="179">
        <f t="shared" si="302"/>
        <v>0</v>
      </c>
      <c r="I731" s="179">
        <f t="shared" si="302"/>
        <v>0</v>
      </c>
      <c r="J731" s="179">
        <f t="shared" si="302"/>
        <v>0</v>
      </c>
      <c r="K731" s="179">
        <f t="shared" si="302"/>
        <v>0</v>
      </c>
      <c r="L731" s="179">
        <f t="shared" si="302"/>
        <v>0</v>
      </c>
      <c r="M731" s="179">
        <f t="shared" si="302"/>
        <v>0</v>
      </c>
      <c r="N731" s="179">
        <f t="shared" si="302"/>
        <v>0</v>
      </c>
      <c r="O731" s="179">
        <f t="shared" si="302"/>
        <v>0</v>
      </c>
    </row>
    <row r="732" spans="1:15" s="170" customFormat="1" x14ac:dyDescent="0.25">
      <c r="A732" s="204"/>
      <c r="B732" s="450"/>
      <c r="C732" s="207" t="s">
        <v>547</v>
      </c>
      <c r="D732" s="369"/>
      <c r="E732" s="206"/>
      <c r="F732" s="206"/>
      <c r="G732" s="206"/>
      <c r="H732" s="206"/>
      <c r="I732" s="206"/>
      <c r="J732" s="206"/>
      <c r="K732" s="206"/>
      <c r="L732" s="206"/>
      <c r="M732" s="206"/>
      <c r="N732" s="206"/>
      <c r="O732" s="206"/>
    </row>
    <row r="733" spans="1:15" s="76" customFormat="1" x14ac:dyDescent="0.25">
      <c r="A733" s="43"/>
      <c r="B733" s="137"/>
      <c r="C733" s="7248" t="s">
        <v>117</v>
      </c>
      <c r="D733" s="1261" t="s">
        <v>993</v>
      </c>
      <c r="E733" s="351">
        <f>'Financing Plan'!$K$150</f>
        <v>0</v>
      </c>
      <c r="F733" s="5505">
        <f>E733*(1+'Financing Plan'!F153)</f>
        <v>0</v>
      </c>
      <c r="G733" s="5505">
        <f>F733*(1+'Financing Plan'!G153)</f>
        <v>0</v>
      </c>
      <c r="H733" s="5505">
        <f>G733*(1+'Financing Plan'!H153)</f>
        <v>0</v>
      </c>
      <c r="I733" s="5505">
        <f>H733*(1+'Financing Plan'!I153)</f>
        <v>0</v>
      </c>
      <c r="J733" s="5505">
        <f>I733*(1+'Financing Plan'!J153)</f>
        <v>0</v>
      </c>
      <c r="K733" s="5505">
        <f>J733*(1+'Financing Plan'!K153)</f>
        <v>0</v>
      </c>
      <c r="L733" s="5505">
        <f>K733*(1+'Financing Plan'!L153)</f>
        <v>0</v>
      </c>
      <c r="M733" s="5505">
        <f>L733*(1+'Financing Plan'!M153)</f>
        <v>0</v>
      </c>
      <c r="N733" s="5505">
        <f>M733*(1+'Financing Plan'!N153)</f>
        <v>0</v>
      </c>
      <c r="O733" s="5505">
        <f>N733*(1+'Financing Plan'!O153)</f>
        <v>0</v>
      </c>
    </row>
    <row r="734" spans="1:15" s="77" customFormat="1" ht="22.5" x14ac:dyDescent="0.25">
      <c r="A734" s="163"/>
      <c r="B734" s="72"/>
      <c r="C734" s="7249"/>
      <c r="D734" s="1262" t="s">
        <v>994</v>
      </c>
      <c r="E734" s="165">
        <v>1</v>
      </c>
      <c r="F734" s="165">
        <f>IFERROR(E734*(1+(F733-E733)/E733),1)</f>
        <v>1</v>
      </c>
      <c r="G734" s="165">
        <f>IFERROR(F734*(1+(G733-F733)/F733),1)</f>
        <v>1</v>
      </c>
      <c r="H734" s="165">
        <f t="shared" ref="H734:O734" si="303">IFERROR(G734*(1+(H733-G733)/G733),1)</f>
        <v>1</v>
      </c>
      <c r="I734" s="165">
        <f t="shared" si="303"/>
        <v>1</v>
      </c>
      <c r="J734" s="165">
        <f t="shared" si="303"/>
        <v>1</v>
      </c>
      <c r="K734" s="165">
        <f t="shared" si="303"/>
        <v>1</v>
      </c>
      <c r="L734" s="165">
        <f t="shared" si="303"/>
        <v>1</v>
      </c>
      <c r="M734" s="165">
        <f t="shared" si="303"/>
        <v>1</v>
      </c>
      <c r="N734" s="165">
        <f t="shared" si="303"/>
        <v>1</v>
      </c>
      <c r="O734" s="165">
        <f t="shared" si="303"/>
        <v>1</v>
      </c>
    </row>
    <row r="735" spans="1:15" s="77" customFormat="1" x14ac:dyDescent="0.25">
      <c r="A735" s="163"/>
      <c r="B735" s="72"/>
      <c r="C735" s="62" t="s">
        <v>3103</v>
      </c>
      <c r="D735" s="1286"/>
      <c r="E735" s="997"/>
      <c r="F735" s="1096">
        <f>'Financing Plan'!F154</f>
        <v>0</v>
      </c>
      <c r="G735" s="1096">
        <f>'Financing Plan'!G154</f>
        <v>0</v>
      </c>
      <c r="H735" s="1096">
        <f>'Financing Plan'!H154</f>
        <v>0</v>
      </c>
      <c r="I735" s="1096">
        <f>'Financing Plan'!I154</f>
        <v>7.0000000000000007E-2</v>
      </c>
      <c r="J735" s="1096">
        <f>'Financing Plan'!J154</f>
        <v>0</v>
      </c>
      <c r="K735" s="1096">
        <f>'Financing Plan'!K154</f>
        <v>0</v>
      </c>
      <c r="L735" s="1096">
        <f>'Financing Plan'!L154</f>
        <v>7.0000000000000007E-2</v>
      </c>
      <c r="M735" s="1096">
        <f>'Financing Plan'!M154</f>
        <v>0</v>
      </c>
      <c r="N735" s="1096">
        <f>'Financing Plan'!N154</f>
        <v>0</v>
      </c>
      <c r="O735" s="1096">
        <f>'Financing Plan'!O154</f>
        <v>7.0000000000000007E-2</v>
      </c>
    </row>
    <row r="736" spans="1:15" x14ac:dyDescent="0.25">
      <c r="B736" s="72" t="s">
        <v>258</v>
      </c>
      <c r="C736" s="62"/>
      <c r="D736" s="282"/>
      <c r="E736" s="371"/>
      <c r="F736" s="5510"/>
      <c r="G736" s="5510"/>
      <c r="H736" s="5510"/>
      <c r="I736" s="5510"/>
      <c r="J736" s="5510"/>
      <c r="K736" s="5510"/>
      <c r="L736" s="5510"/>
      <c r="M736" s="5510"/>
      <c r="N736" s="5510"/>
      <c r="O736" s="5510"/>
    </row>
    <row r="737" spans="2:15" x14ac:dyDescent="0.25">
      <c r="B737" s="72">
        <v>1.1000000000000001</v>
      </c>
      <c r="C737" s="62" t="s">
        <v>23</v>
      </c>
      <c r="D737" s="283">
        <f>'WSS Profile'!F180</f>
        <v>0</v>
      </c>
      <c r="E737" s="372"/>
      <c r="F737" s="5804">
        <f>MAX((F185-E185),0)*$D737*F$734/CurrencyMultiplier</f>
        <v>0</v>
      </c>
      <c r="G737" s="150">
        <f>MAX((G185-F185),0)*$D737*G$734/CurrencyMultiplier</f>
        <v>0</v>
      </c>
      <c r="H737" s="150">
        <f>MAX((H185-G185),0)*$D737*H$734/CurrencyMultiplier</f>
        <v>0</v>
      </c>
      <c r="I737" s="150">
        <f>MAX((I185-H185),0)*$D737*I$734/CurrencyMultiplier</f>
        <v>0</v>
      </c>
      <c r="J737" s="150">
        <f>MAX((J185-I185),0)*$D737*J$734/CurrencyMultiplier</f>
        <v>0</v>
      </c>
      <c r="K737" s="150">
        <f>MAX((K185-J185),0)*$D737*K$734/CurrencyMultiplier</f>
        <v>0</v>
      </c>
      <c r="L737" s="150">
        <f>MAX((L185-K185),0)*$D737*L$734/CurrencyMultiplier</f>
        <v>0</v>
      </c>
      <c r="M737" s="150">
        <f>MAX((M185-L185),0)*$D737*M$734/CurrencyMultiplier</f>
        <v>0</v>
      </c>
      <c r="N737" s="150">
        <f>MAX((N185-M185),0)*$D737*N$734/CurrencyMultiplier</f>
        <v>0</v>
      </c>
      <c r="O737" s="150">
        <f>MAX((O185-N185),0)*$D737*O$734/CurrencyMultiplier</f>
        <v>0</v>
      </c>
    </row>
    <row r="738" spans="2:15" x14ac:dyDescent="0.25">
      <c r="B738" s="72">
        <v>1.2</v>
      </c>
      <c r="C738" s="62" t="s">
        <v>24</v>
      </c>
      <c r="D738" s="283">
        <f>'WSS Profile'!F181</f>
        <v>0</v>
      </c>
      <c r="E738" s="372"/>
      <c r="F738" s="5754">
        <f>MAX((F186-E186),0)*$D738*F$734/CurrencyMultiplier</f>
        <v>0</v>
      </c>
      <c r="G738" s="447">
        <f>MAX((G186-F186),0)*$D738*G$734/CurrencyMultiplier</f>
        <v>0</v>
      </c>
      <c r="H738" s="447">
        <f>MAX((H186-G186),0)*$D738*H$734/CurrencyMultiplier</f>
        <v>0</v>
      </c>
      <c r="I738" s="447">
        <f>MAX((I186-H186),0)*$D738*I$734/CurrencyMultiplier</f>
        <v>0</v>
      </c>
      <c r="J738" s="447">
        <f>MAX((J186-I186),0)*$D738*J$734/CurrencyMultiplier</f>
        <v>0</v>
      </c>
      <c r="K738" s="447">
        <f>MAX((K186-J186),0)*$D738*K$734/CurrencyMultiplier</f>
        <v>0</v>
      </c>
      <c r="L738" s="447">
        <f>MAX((L186-K186),0)*$D738*L$734/CurrencyMultiplier</f>
        <v>0</v>
      </c>
      <c r="M738" s="447">
        <f>MAX((M186-L186),0)*$D738*M$734/CurrencyMultiplier</f>
        <v>0</v>
      </c>
      <c r="N738" s="447">
        <f>MAX((N186-M186),0)*$D738*N$734/CurrencyMultiplier</f>
        <v>0</v>
      </c>
      <c r="O738" s="447">
        <f>MAX((O186-N186),0)*$D738*O$734/CurrencyMultiplier</f>
        <v>0</v>
      </c>
    </row>
    <row r="739" spans="2:15" x14ac:dyDescent="0.25">
      <c r="B739" s="72">
        <v>1.3</v>
      </c>
      <c r="C739" s="62" t="s">
        <v>25</v>
      </c>
      <c r="D739" s="283">
        <f>'WSS Profile'!F182</f>
        <v>0</v>
      </c>
      <c r="E739" s="372"/>
      <c r="F739" s="5754">
        <f>MAX((F187-E187),0)*$D739*F$734/CurrencyMultiplier</f>
        <v>0</v>
      </c>
      <c r="G739" s="447">
        <f>MAX((G187-F187),0)*$D739*G$734/CurrencyMultiplier</f>
        <v>0</v>
      </c>
      <c r="H739" s="447">
        <f>MAX((H187-G187),0)*$D739*H$734/CurrencyMultiplier</f>
        <v>0</v>
      </c>
      <c r="I739" s="447">
        <f>MAX((I187-H187),0)*$D739*I$734/CurrencyMultiplier</f>
        <v>0</v>
      </c>
      <c r="J739" s="447">
        <f>MAX((J187-I187),0)*$D739*J$734/CurrencyMultiplier</f>
        <v>0</v>
      </c>
      <c r="K739" s="447">
        <f>MAX((K187-J187),0)*$D739*K$734/CurrencyMultiplier</f>
        <v>0</v>
      </c>
      <c r="L739" s="447">
        <f>MAX((L187-K187),0)*$D739*L$734/CurrencyMultiplier</f>
        <v>0</v>
      </c>
      <c r="M739" s="447">
        <f>MAX((M187-L187),0)*$D739*M$734/CurrencyMultiplier</f>
        <v>0</v>
      </c>
      <c r="N739" s="447">
        <f>MAX((N187-M187),0)*$D739*N$734/CurrencyMultiplier</f>
        <v>0</v>
      </c>
      <c r="O739" s="447">
        <f>MAX((O187-N187),0)*$D739*O$734/CurrencyMultiplier</f>
        <v>0</v>
      </c>
    </row>
    <row r="740" spans="2:15" x14ac:dyDescent="0.25">
      <c r="B740" s="72">
        <v>1.4</v>
      </c>
      <c r="C740" s="62" t="s">
        <v>168</v>
      </c>
      <c r="D740" s="283">
        <f>'WSS Profile'!F183</f>
        <v>0</v>
      </c>
      <c r="E740" s="372"/>
      <c r="F740" s="5754">
        <f>MAX((F188-E188),0)*$D740*F$734/CurrencyMultiplier</f>
        <v>0</v>
      </c>
      <c r="G740" s="447">
        <f>MAX((G188-F188),0)*$D740*G$734/CurrencyMultiplier</f>
        <v>0</v>
      </c>
      <c r="H740" s="447">
        <f>MAX((H188-G188),0)*$D740*H$734/CurrencyMultiplier</f>
        <v>0</v>
      </c>
      <c r="I740" s="447">
        <f>MAX((I188-H188),0)*$D740*I$734/CurrencyMultiplier</f>
        <v>0</v>
      </c>
      <c r="J740" s="447">
        <f>MAX((J188-I188),0)*$D740*J$734/CurrencyMultiplier</f>
        <v>0</v>
      </c>
      <c r="K740" s="447">
        <f>MAX((K188-J188),0)*$D740*K$734/CurrencyMultiplier</f>
        <v>0</v>
      </c>
      <c r="L740" s="447">
        <f>MAX((L188-K188),0)*$D740*L$734/CurrencyMultiplier</f>
        <v>0</v>
      </c>
      <c r="M740" s="447">
        <f>MAX((M188-L188),0)*$D740*M$734/CurrencyMultiplier</f>
        <v>0</v>
      </c>
      <c r="N740" s="447">
        <f>MAX((N188-M188),0)*$D740*N$734/CurrencyMultiplier</f>
        <v>0</v>
      </c>
      <c r="O740" s="447">
        <f>MAX((O188-N188),0)*$D740*O$734/CurrencyMultiplier</f>
        <v>0</v>
      </c>
    </row>
    <row r="741" spans="2:15" x14ac:dyDescent="0.25">
      <c r="B741" s="72" t="s">
        <v>257</v>
      </c>
      <c r="C741" s="62"/>
      <c r="D741" s="284"/>
      <c r="E741" s="372"/>
      <c r="F741" s="372"/>
      <c r="G741" s="372"/>
      <c r="H741" s="372"/>
      <c r="I741" s="372"/>
      <c r="J741" s="372"/>
      <c r="K741" s="372"/>
      <c r="L741" s="372"/>
      <c r="M741" s="372"/>
      <c r="N741" s="372"/>
      <c r="O741" s="372"/>
    </row>
    <row r="742" spans="2:15" x14ac:dyDescent="0.25">
      <c r="B742" s="72">
        <v>2.1</v>
      </c>
      <c r="C742" s="62" t="s">
        <v>23</v>
      </c>
      <c r="D742" s="283">
        <f>IF('WSS Profile'!F185&lt;&gt;0,'WSS Profile'!F185,D737)</f>
        <v>0</v>
      </c>
      <c r="E742" s="373"/>
      <c r="F742" s="5754">
        <f>MAX((F190-E190),0)*$D742*(1+F$735)/CurrencyMultiplier</f>
        <v>0</v>
      </c>
      <c r="G742" s="5509">
        <f>MAX((G190-F190),0)*$D742*(1+G$735)/CurrencyMultiplier</f>
        <v>0</v>
      </c>
      <c r="H742" s="5509">
        <f>MAX((H190-G190),0)*$D742*(1+H$735)/CurrencyMultiplier</f>
        <v>0</v>
      </c>
      <c r="I742" s="5509">
        <f>MAX((I190-H190),0)*$D742*(1+I$735)/CurrencyMultiplier</f>
        <v>0</v>
      </c>
      <c r="J742" s="5509">
        <f>MAX((J190-I190),0)*$D742*(1+J$735)/CurrencyMultiplier</f>
        <v>0</v>
      </c>
      <c r="K742" s="5509">
        <f>MAX((K190-J190),0)*$D742*(1+K$735)/CurrencyMultiplier</f>
        <v>0</v>
      </c>
      <c r="L742" s="5509">
        <f>MAX((L190-K190),0)*$D742*(1+L$735)/CurrencyMultiplier</f>
        <v>0</v>
      </c>
      <c r="M742" s="5509">
        <f>MAX((M190-L190),0)*$D742*(1+M$735)/CurrencyMultiplier</f>
        <v>0</v>
      </c>
      <c r="N742" s="5509">
        <f>MAX((N190-M190),0)*$D742*(1+N$735)/CurrencyMultiplier</f>
        <v>0</v>
      </c>
      <c r="O742" s="5509">
        <f>MAX((O190-N190),0)*$D742*(1+O$735)/CurrencyMultiplier</f>
        <v>0</v>
      </c>
    </row>
    <row r="743" spans="2:15" x14ac:dyDescent="0.25">
      <c r="B743" s="72">
        <v>2.2000000000000002</v>
      </c>
      <c r="C743" s="62" t="s">
        <v>24</v>
      </c>
      <c r="D743" s="283">
        <f>IF('WSS Profile'!F186&lt;&gt;0,'WSS Profile'!F186,D738)</f>
        <v>0</v>
      </c>
      <c r="E743" s="372"/>
      <c r="F743" s="5754">
        <f>MAX((F191-E191),0)*$D743*(1-F$735)/CurrencyMultiplier</f>
        <v>0</v>
      </c>
      <c r="G743" s="447">
        <f>MAX((G191-F191),0)*$D743*(1-G$735)/CurrencyMultiplier</f>
        <v>0</v>
      </c>
      <c r="H743" s="447">
        <f>MAX((H191-G191),0)*$D743*(1-H$735)/CurrencyMultiplier</f>
        <v>0</v>
      </c>
      <c r="I743" s="447">
        <f>MAX((I191-H191),0)*$D743*(1-I$735)/CurrencyMultiplier</f>
        <v>0</v>
      </c>
      <c r="J743" s="447">
        <f>MAX((J191-I191),0)*$D743*(1-J$735)/CurrencyMultiplier</f>
        <v>0</v>
      </c>
      <c r="K743" s="447">
        <f>MAX((K191-J191),0)*$D743*(1-K$735)/CurrencyMultiplier</f>
        <v>0</v>
      </c>
      <c r="L743" s="447">
        <f>MAX((L191-K191),0)*$D743*(1-L$735)/CurrencyMultiplier</f>
        <v>0</v>
      </c>
      <c r="M743" s="447">
        <f>MAX((M191-L191),0)*$D743*(1-M$735)/CurrencyMultiplier</f>
        <v>0</v>
      </c>
      <c r="N743" s="447">
        <f>MAX((N191-M191),0)*$D743*(1-N$735)/CurrencyMultiplier</f>
        <v>0</v>
      </c>
      <c r="O743" s="447">
        <f>MAX((O191-N191),0)*$D743*(1-O$735)/CurrencyMultiplier</f>
        <v>0</v>
      </c>
    </row>
    <row r="744" spans="2:15" x14ac:dyDescent="0.25">
      <c r="B744" s="72">
        <v>2.2999999999999998</v>
      </c>
      <c r="C744" s="62" t="s">
        <v>25</v>
      </c>
      <c r="D744" s="283">
        <f>IF('WSS Profile'!F187&lt;&gt;0,'WSS Profile'!F187,D739)</f>
        <v>0</v>
      </c>
      <c r="E744" s="372"/>
      <c r="F744" s="5754">
        <f>MAX((F192-E192),0)*$D744*(1-F$735)/CurrencyMultiplier</f>
        <v>0</v>
      </c>
      <c r="G744" s="447">
        <f>MAX((G192-F192),0)*$D744*(1-G$735)/CurrencyMultiplier</f>
        <v>0</v>
      </c>
      <c r="H744" s="447">
        <f>MAX((H192-G192),0)*$D744*(1-H$735)/CurrencyMultiplier</f>
        <v>0</v>
      </c>
      <c r="I744" s="447">
        <f>MAX((I192-H192),0)*$D744*(1-I$735)/CurrencyMultiplier</f>
        <v>0</v>
      </c>
      <c r="J744" s="447">
        <f>MAX((J192-I192),0)*$D744*(1-J$735)/CurrencyMultiplier</f>
        <v>0</v>
      </c>
      <c r="K744" s="447">
        <f>MAX((K192-J192),0)*$D744*(1-K$735)/CurrencyMultiplier</f>
        <v>0</v>
      </c>
      <c r="L744" s="447">
        <f>MAX((L192-K192),0)*$D744*(1-L$735)/CurrencyMultiplier</f>
        <v>0</v>
      </c>
      <c r="M744" s="447">
        <f>MAX((M192-L192),0)*$D744*(1-M$735)/CurrencyMultiplier</f>
        <v>0</v>
      </c>
      <c r="N744" s="447">
        <f>MAX((N192-M192),0)*$D744*(1-N$735)/CurrencyMultiplier</f>
        <v>0</v>
      </c>
      <c r="O744" s="447">
        <f>MAX((O192-N192),0)*$D744*(1-O$735)/CurrencyMultiplier</f>
        <v>0</v>
      </c>
    </row>
    <row r="745" spans="2:15" x14ac:dyDescent="0.25">
      <c r="B745" s="72">
        <v>2.4</v>
      </c>
      <c r="C745" s="62" t="s">
        <v>168</v>
      </c>
      <c r="D745" s="283">
        <f>IF('WSS Profile'!F188&lt;&gt;0,'WSS Profile'!F188,D740)</f>
        <v>0</v>
      </c>
      <c r="E745" s="372"/>
      <c r="F745" s="5754">
        <f>MAX((F193-E193),0)*$D745*(1-F$735)/CurrencyMultiplier</f>
        <v>0</v>
      </c>
      <c r="G745" s="447">
        <f>MAX((G193-F193),0)*$D745*(1-G$735)/CurrencyMultiplier</f>
        <v>0</v>
      </c>
      <c r="H745" s="447">
        <f>MAX((H193-G193),0)*$D745*(1-H$735)/CurrencyMultiplier</f>
        <v>0</v>
      </c>
      <c r="I745" s="447">
        <f>MAX((I193-H193),0)*$D745*(1-I$735)/CurrencyMultiplier</f>
        <v>0</v>
      </c>
      <c r="J745" s="447">
        <f>MAX((J193-I193),0)*$D745*(1-J$735)/CurrencyMultiplier</f>
        <v>0</v>
      </c>
      <c r="K745" s="447">
        <f>MAX((K193-J193),0)*$D745*(1-K$735)/CurrencyMultiplier</f>
        <v>0</v>
      </c>
      <c r="L745" s="447">
        <f>MAX((L193-K193),0)*$D745*(1-L$735)/CurrencyMultiplier</f>
        <v>0</v>
      </c>
      <c r="M745" s="447">
        <f>MAX((M193-L193),0)*$D745*(1-M$735)/CurrencyMultiplier</f>
        <v>0</v>
      </c>
      <c r="N745" s="447">
        <f>MAX((N193-M193),0)*$D745*(1-N$735)/CurrencyMultiplier</f>
        <v>0</v>
      </c>
      <c r="O745" s="447">
        <f>MAX((O193-N193),0)*$D745*(1-O$735)/CurrencyMultiplier</f>
        <v>0</v>
      </c>
    </row>
    <row r="746" spans="2:15" x14ac:dyDescent="0.25">
      <c r="B746" s="72" t="s">
        <v>326</v>
      </c>
      <c r="C746" s="62"/>
      <c r="D746" s="283"/>
      <c r="E746" s="372"/>
      <c r="F746" s="447"/>
      <c r="G746" s="447"/>
      <c r="H746" s="447"/>
      <c r="I746" s="447"/>
      <c r="J746" s="447"/>
      <c r="K746" s="447"/>
      <c r="L746" s="447"/>
      <c r="M746" s="447"/>
      <c r="N746" s="447"/>
      <c r="O746" s="447"/>
    </row>
    <row r="747" spans="2:15" x14ac:dyDescent="0.25">
      <c r="B747" s="72">
        <v>3.1</v>
      </c>
      <c r="C747" s="62" t="s">
        <v>23</v>
      </c>
      <c r="D747" s="283">
        <f>'WSS Profile'!F190</f>
        <v>0</v>
      </c>
      <c r="E747" s="372"/>
      <c r="F747" s="5754">
        <f>MAX((F195-E195),0)*$D747*F$734/CurrencyMultiplier</f>
        <v>0</v>
      </c>
      <c r="G747" s="447">
        <f>MAX((G195-F195),0)*$D747*G$734/CurrencyMultiplier</f>
        <v>0</v>
      </c>
      <c r="H747" s="447">
        <f>MAX((H195-G195),0)*$D747*H$734/CurrencyMultiplier</f>
        <v>0</v>
      </c>
      <c r="I747" s="447">
        <f>MAX((I195-H195),0)*$D747*I$734/CurrencyMultiplier</f>
        <v>0</v>
      </c>
      <c r="J747" s="447">
        <f>MAX((J195-I195),0)*$D747*J$734/CurrencyMultiplier</f>
        <v>0</v>
      </c>
      <c r="K747" s="447">
        <f>MAX((K195-J195),0)*$D747*K$734/CurrencyMultiplier</f>
        <v>0</v>
      </c>
      <c r="L747" s="447">
        <f>MAX((L195-K195),0)*$D747*L$734/CurrencyMultiplier</f>
        <v>0</v>
      </c>
      <c r="M747" s="447">
        <f>MAX((M195-L195),0)*$D747*M$734/CurrencyMultiplier</f>
        <v>0</v>
      </c>
      <c r="N747" s="447">
        <f>MAX((N195-M195),0)*$D747*N$734/CurrencyMultiplier</f>
        <v>0</v>
      </c>
      <c r="O747" s="447">
        <f>MAX((O195-N195),0)*$D747*O$734/CurrencyMultiplier</f>
        <v>0</v>
      </c>
    </row>
    <row r="748" spans="2:15" x14ac:dyDescent="0.25">
      <c r="B748" s="72">
        <v>3.2</v>
      </c>
      <c r="C748" s="62" t="s">
        <v>24</v>
      </c>
      <c r="D748" s="283">
        <f>'WSS Profile'!F191</f>
        <v>0</v>
      </c>
      <c r="E748" s="372"/>
      <c r="F748" s="5754">
        <f>MAX((F196-E196),0)*$D748*F$734/CurrencyMultiplier</f>
        <v>0</v>
      </c>
      <c r="G748" s="447">
        <f>MAX((G196-F196),0)*$D748*G$734/CurrencyMultiplier</f>
        <v>0</v>
      </c>
      <c r="H748" s="447">
        <f>MAX((H196-G196),0)*$D748*H$734/CurrencyMultiplier</f>
        <v>0</v>
      </c>
      <c r="I748" s="447">
        <f>MAX((I196-H196),0)*$D748*I$734/CurrencyMultiplier</f>
        <v>0</v>
      </c>
      <c r="J748" s="447">
        <f>MAX((J196-I196),0)*$D748*J$734/CurrencyMultiplier</f>
        <v>0</v>
      </c>
      <c r="K748" s="447">
        <f>MAX((K196-J196),0)*$D748*K$734/CurrencyMultiplier</f>
        <v>0</v>
      </c>
      <c r="L748" s="447">
        <f>MAX((L196-K196),0)*$D748*L$734/CurrencyMultiplier</f>
        <v>0</v>
      </c>
      <c r="M748" s="447">
        <f>MAX((M196-L196),0)*$D748*M$734/CurrencyMultiplier</f>
        <v>0</v>
      </c>
      <c r="N748" s="447">
        <f>MAX((N196-M196),0)*$D748*N$734/CurrencyMultiplier</f>
        <v>0</v>
      </c>
      <c r="O748" s="447">
        <f>MAX((O196-N196),0)*$D748*O$734/CurrencyMultiplier</f>
        <v>0</v>
      </c>
    </row>
    <row r="749" spans="2:15" x14ac:dyDescent="0.25">
      <c r="B749" s="72">
        <v>3.3</v>
      </c>
      <c r="C749" s="62" t="s">
        <v>25</v>
      </c>
      <c r="D749" s="283">
        <f>'WSS Profile'!F192</f>
        <v>0</v>
      </c>
      <c r="E749" s="372"/>
      <c r="F749" s="5754">
        <f>MAX((F197-E197),0)*$D749*F$734/CurrencyMultiplier</f>
        <v>0</v>
      </c>
      <c r="G749" s="447">
        <f>MAX((G197-F197),0)*$D749*G$734/CurrencyMultiplier</f>
        <v>0</v>
      </c>
      <c r="H749" s="447">
        <f>MAX((H197-G197),0)*$D749*H$734/CurrencyMultiplier</f>
        <v>0</v>
      </c>
      <c r="I749" s="447">
        <f>MAX((I197-H197),0)*$D749*I$734/CurrencyMultiplier</f>
        <v>0</v>
      </c>
      <c r="J749" s="447">
        <f>MAX((J197-I197),0)*$D749*J$734/CurrencyMultiplier</f>
        <v>0</v>
      </c>
      <c r="K749" s="447">
        <f>MAX((K197-J197),0)*$D749*K$734/CurrencyMultiplier</f>
        <v>0</v>
      </c>
      <c r="L749" s="447">
        <f>MAX((L197-K197),0)*$D749*L$734/CurrencyMultiplier</f>
        <v>0</v>
      </c>
      <c r="M749" s="447">
        <f>MAX((M197-L197),0)*$D749*M$734/CurrencyMultiplier</f>
        <v>0</v>
      </c>
      <c r="N749" s="447">
        <f>MAX((N197-M197),0)*$D749*N$734/CurrencyMultiplier</f>
        <v>0</v>
      </c>
      <c r="O749" s="447">
        <f>MAX((O197-N197),0)*$D749*O$734/CurrencyMultiplier</f>
        <v>0</v>
      </c>
    </row>
    <row r="750" spans="2:15" x14ac:dyDescent="0.25">
      <c r="B750" s="72">
        <v>3.4</v>
      </c>
      <c r="C750" s="62" t="s">
        <v>168</v>
      </c>
      <c r="D750" s="283">
        <f>'WSS Profile'!F193</f>
        <v>0</v>
      </c>
      <c r="E750" s="372"/>
      <c r="F750" s="5754">
        <f>MAX((F198-E198),0)*$D750*F$734/CurrencyMultiplier</f>
        <v>0</v>
      </c>
      <c r="G750" s="447">
        <f>MAX((G198-F198),0)*$D750*G$734/CurrencyMultiplier</f>
        <v>0</v>
      </c>
      <c r="H750" s="447">
        <f>MAX((H198-G198),0)*$D750*H$734/CurrencyMultiplier</f>
        <v>0</v>
      </c>
      <c r="I750" s="447">
        <f>MAX((I198-H198),0)*$D750*I$734/CurrencyMultiplier</f>
        <v>0</v>
      </c>
      <c r="J750" s="447">
        <f>MAX((J198-I198),0)*$D750*J$734/CurrencyMultiplier</f>
        <v>0</v>
      </c>
      <c r="K750" s="447">
        <f>MAX((K198-J198),0)*$D750*K$734/CurrencyMultiplier</f>
        <v>0</v>
      </c>
      <c r="L750" s="447">
        <f>MAX((L198-K198),0)*$D750*L$734/CurrencyMultiplier</f>
        <v>0</v>
      </c>
      <c r="M750" s="447">
        <f>MAX((M198-L198),0)*$D750*M$734/CurrencyMultiplier</f>
        <v>0</v>
      </c>
      <c r="N750" s="447">
        <f>MAX((N198-M198),0)*$D750*N$734/CurrencyMultiplier</f>
        <v>0</v>
      </c>
      <c r="O750" s="447">
        <f>MAX((O198-N198),0)*$D750*O$734/CurrencyMultiplier</f>
        <v>0</v>
      </c>
    </row>
    <row r="751" spans="2:15" x14ac:dyDescent="0.25">
      <c r="B751" s="72" t="s">
        <v>26</v>
      </c>
      <c r="C751" s="62"/>
      <c r="D751" s="283"/>
      <c r="E751" s="372"/>
      <c r="F751" s="447"/>
      <c r="G751" s="447"/>
      <c r="H751" s="447"/>
      <c r="I751" s="447"/>
      <c r="J751" s="447"/>
      <c r="K751" s="447"/>
      <c r="L751" s="447"/>
      <c r="M751" s="447"/>
      <c r="N751" s="447"/>
      <c r="O751" s="447"/>
    </row>
    <row r="752" spans="2:15" x14ac:dyDescent="0.25">
      <c r="B752" s="72">
        <v>4.0999999999999996</v>
      </c>
      <c r="C752" s="62" t="s">
        <v>23</v>
      </c>
      <c r="D752" s="283">
        <f>'WSS Profile'!F195</f>
        <v>0</v>
      </c>
      <c r="E752" s="372"/>
      <c r="F752" s="5754">
        <f>MAX((F200-E200),0)*$D752*F$734/CurrencyMultiplier</f>
        <v>0</v>
      </c>
      <c r="G752" s="447">
        <f>MAX((G200-F200),0)*$D752*G$734/CurrencyMultiplier</f>
        <v>0</v>
      </c>
      <c r="H752" s="447">
        <f>MAX((H200-G200),0)*$D752*H$734/CurrencyMultiplier</f>
        <v>0</v>
      </c>
      <c r="I752" s="447">
        <f>MAX((I200-H200),0)*$D752*I$734/CurrencyMultiplier</f>
        <v>0</v>
      </c>
      <c r="J752" s="447">
        <f>MAX((J200-I200),0)*$D752*J$734/CurrencyMultiplier</f>
        <v>0</v>
      </c>
      <c r="K752" s="447">
        <f>MAX((K200-J200),0)*$D752*K$734/CurrencyMultiplier</f>
        <v>0</v>
      </c>
      <c r="L752" s="447">
        <f>MAX((L200-K200),0)*$D752*L$734/CurrencyMultiplier</f>
        <v>0</v>
      </c>
      <c r="M752" s="447">
        <f>MAX((M200-L200),0)*$D752*M$734/CurrencyMultiplier</f>
        <v>0</v>
      </c>
      <c r="N752" s="447">
        <f>MAX((N200-M200),0)*$D752*N$734/CurrencyMultiplier</f>
        <v>0</v>
      </c>
      <c r="O752" s="447">
        <f>MAX((O200-N200),0)*$D752*O$734/CurrencyMultiplier</f>
        <v>0</v>
      </c>
    </row>
    <row r="753" spans="1:15" x14ac:dyDescent="0.25">
      <c r="B753" s="72">
        <v>4.2</v>
      </c>
      <c r="C753" s="62" t="s">
        <v>24</v>
      </c>
      <c r="D753" s="283">
        <f>'WSS Profile'!F196</f>
        <v>0</v>
      </c>
      <c r="E753" s="372"/>
      <c r="F753" s="5754">
        <f>MAX((F201-E201),0)*$D753*F$734/CurrencyMultiplier</f>
        <v>0</v>
      </c>
      <c r="G753" s="447">
        <f>MAX((G201-F201),0)*$D753*G$734/CurrencyMultiplier</f>
        <v>0</v>
      </c>
      <c r="H753" s="447">
        <f>MAX((H201-G201),0)*$D753*H$734/CurrencyMultiplier</f>
        <v>0</v>
      </c>
      <c r="I753" s="447">
        <f>MAX((I201-H201),0)*$D753*I$734/CurrencyMultiplier</f>
        <v>0</v>
      </c>
      <c r="J753" s="447">
        <f>MAX((J201-I201),0)*$D753*J$734/CurrencyMultiplier</f>
        <v>0</v>
      </c>
      <c r="K753" s="447">
        <f>MAX((K201-J201),0)*$D753*K$734/CurrencyMultiplier</f>
        <v>0</v>
      </c>
      <c r="L753" s="447">
        <f>MAX((L201-K201),0)*$D753*L$734/CurrencyMultiplier</f>
        <v>0</v>
      </c>
      <c r="M753" s="447">
        <f>MAX((M201-L201),0)*$D753*M$734/CurrencyMultiplier</f>
        <v>0</v>
      </c>
      <c r="N753" s="447">
        <f>MAX((N201-M201),0)*$D753*N$734/CurrencyMultiplier</f>
        <v>0</v>
      </c>
      <c r="O753" s="447">
        <f>MAX((O201-N201),0)*$D753*O$734/CurrencyMultiplier</f>
        <v>0</v>
      </c>
    </row>
    <row r="754" spans="1:15" x14ac:dyDescent="0.25">
      <c r="B754" s="72">
        <v>4.3</v>
      </c>
      <c r="C754" s="62" t="s">
        <v>25</v>
      </c>
      <c r="D754" s="283">
        <f>'WSS Profile'!F197</f>
        <v>0</v>
      </c>
      <c r="E754" s="372"/>
      <c r="F754" s="5754">
        <f>MAX((F202-E202),0)*$D754*F$734/CurrencyMultiplier</f>
        <v>0</v>
      </c>
      <c r="G754" s="447">
        <f>MAX((G202-F202),0)*$D754*G$734/CurrencyMultiplier</f>
        <v>0</v>
      </c>
      <c r="H754" s="447">
        <f>MAX((H202-G202),0)*$D754*H$734/CurrencyMultiplier</f>
        <v>0</v>
      </c>
      <c r="I754" s="447">
        <f>MAX((I202-H202),0)*$D754*I$734/CurrencyMultiplier</f>
        <v>0</v>
      </c>
      <c r="J754" s="447">
        <f>MAX((J202-I202),0)*$D754*J$734/CurrencyMultiplier</f>
        <v>0</v>
      </c>
      <c r="K754" s="447">
        <f>MAX((K202-J202),0)*$D754*K$734/CurrencyMultiplier</f>
        <v>0</v>
      </c>
      <c r="L754" s="447">
        <f>MAX((L202-K202),0)*$D754*L$734/CurrencyMultiplier</f>
        <v>0</v>
      </c>
      <c r="M754" s="447">
        <f>MAX((M202-L202),0)*$D754*M$734/CurrencyMultiplier</f>
        <v>0</v>
      </c>
      <c r="N754" s="447">
        <f>MAX((N202-M202),0)*$D754*N$734/CurrencyMultiplier</f>
        <v>0</v>
      </c>
      <c r="O754" s="447">
        <f>MAX((O202-N202),0)*$D754*O$734/CurrencyMultiplier</f>
        <v>0</v>
      </c>
    </row>
    <row r="755" spans="1:15" x14ac:dyDescent="0.25">
      <c r="B755" s="72">
        <v>4.4000000000000004</v>
      </c>
      <c r="C755" s="62" t="s">
        <v>168</v>
      </c>
      <c r="D755" s="283">
        <f>'WSS Profile'!F198</f>
        <v>0</v>
      </c>
      <c r="E755" s="372"/>
      <c r="F755" s="5754">
        <f>MAX((F203-E203),0)*$D755*F$734/CurrencyMultiplier</f>
        <v>0</v>
      </c>
      <c r="G755" s="447">
        <f>MAX((G203-F203),0)*$D755*G$734/CurrencyMultiplier</f>
        <v>0</v>
      </c>
      <c r="H755" s="447">
        <f>MAX((H203-G203),0)*$D755*H$734/CurrencyMultiplier</f>
        <v>0</v>
      </c>
      <c r="I755" s="447">
        <f>MAX((I203-H203),0)*$D755*I$734/CurrencyMultiplier</f>
        <v>0</v>
      </c>
      <c r="J755" s="447">
        <f>MAX((J203-I203),0)*$D755*J$734/CurrencyMultiplier</f>
        <v>0</v>
      </c>
      <c r="K755" s="447">
        <f>MAX((K203-J203),0)*$D755*K$734/CurrencyMultiplier</f>
        <v>0</v>
      </c>
      <c r="L755" s="447">
        <f>MAX((L203-K203),0)*$D755*L$734/CurrencyMultiplier</f>
        <v>0</v>
      </c>
      <c r="M755" s="447">
        <f>MAX((M203-L203),0)*$D755*M$734/CurrencyMultiplier</f>
        <v>0</v>
      </c>
      <c r="N755" s="447">
        <f>MAX((N203-M203),0)*$D755*N$734/CurrencyMultiplier</f>
        <v>0</v>
      </c>
      <c r="O755" s="447">
        <f>MAX((O203-N203),0)*$D755*O$734/CurrencyMultiplier</f>
        <v>0</v>
      </c>
    </row>
    <row r="756" spans="1:15" x14ac:dyDescent="0.25">
      <c r="B756" s="72" t="s">
        <v>254</v>
      </c>
      <c r="C756" s="62"/>
      <c r="D756" s="283"/>
      <c r="E756" s="372"/>
      <c r="F756" s="447"/>
      <c r="G756" s="447"/>
      <c r="H756" s="447"/>
      <c r="I756" s="447"/>
      <c r="J756" s="447"/>
      <c r="K756" s="447"/>
      <c r="L756" s="447"/>
      <c r="M756" s="447"/>
      <c r="N756" s="447"/>
      <c r="O756" s="447"/>
    </row>
    <row r="757" spans="1:15" x14ac:dyDescent="0.25">
      <c r="A757" s="27"/>
      <c r="B757" s="72">
        <v>5.0999999999999996</v>
      </c>
      <c r="C757" s="62" t="s">
        <v>256</v>
      </c>
      <c r="D757" s="5511">
        <f>'WSS Profile'!F200*(1-$D$741)</f>
        <v>0</v>
      </c>
      <c r="E757" s="371"/>
      <c r="F757" s="5754">
        <f>MAX((F205-E205),0)*$D757*(1+F$735)/CurrencyMultiplier</f>
        <v>0</v>
      </c>
      <c r="G757" s="5509">
        <f>MAX((G205-F205),0)*$D757*(1+G$735)/CurrencyMultiplier</f>
        <v>0</v>
      </c>
      <c r="H757" s="5509">
        <f>MAX((H205-G205),0)*$D757*(1+H$735)/CurrencyMultiplier</f>
        <v>0</v>
      </c>
      <c r="I757" s="5509">
        <f>MAX((I205-H205),0)*$D757*(1+I$735)/CurrencyMultiplier</f>
        <v>0</v>
      </c>
      <c r="J757" s="5509">
        <f>MAX((J205-I205),0)*$D757*(1+J$735)/CurrencyMultiplier</f>
        <v>0</v>
      </c>
      <c r="K757" s="5509">
        <f>MAX((K205-J205),0)*$D757*(1+K$735)/CurrencyMultiplier</f>
        <v>0</v>
      </c>
      <c r="L757" s="5509">
        <f>MAX((L205-K205),0)*$D757*(1+L$735)/CurrencyMultiplier</f>
        <v>0</v>
      </c>
      <c r="M757" s="5509">
        <f>MAX((M205-L205),0)*$D757*(1+M$735)/CurrencyMultiplier</f>
        <v>0</v>
      </c>
      <c r="N757" s="5509">
        <f>MAX((N205-M205),0)*$D757*(1+N$735)/CurrencyMultiplier</f>
        <v>0</v>
      </c>
      <c r="O757" s="5509">
        <f>MAX((O205-N205),0)*$D757*(1+O$735)/CurrencyMultiplier</f>
        <v>0</v>
      </c>
    </row>
    <row r="758" spans="1:15" x14ac:dyDescent="0.25">
      <c r="B758" s="72">
        <v>5.3</v>
      </c>
      <c r="C758" s="62" t="s">
        <v>255</v>
      </c>
      <c r="D758" s="283">
        <f>'WSS Profile'!F201</f>
        <v>0</v>
      </c>
      <c r="E758" s="372"/>
      <c r="F758" s="5754">
        <f>MAX((F206-E206),0)*$D758*F$734/CurrencyMultiplier</f>
        <v>0</v>
      </c>
      <c r="G758" s="447">
        <f>MAX((G206-F206),0)*$D758*G$734/CurrencyMultiplier</f>
        <v>0</v>
      </c>
      <c r="H758" s="447">
        <f>MAX((H206-G206),0)*$D758*H$734/CurrencyMultiplier</f>
        <v>0</v>
      </c>
      <c r="I758" s="447">
        <f>MAX((I206-H206),0)*$D758*I$734/CurrencyMultiplier</f>
        <v>0</v>
      </c>
      <c r="J758" s="447">
        <f>MAX((J206-I206),0)*$D758*J$734/CurrencyMultiplier</f>
        <v>0</v>
      </c>
      <c r="K758" s="447">
        <f>MAX((K206-J206),0)*$D758*K$734/CurrencyMultiplier</f>
        <v>0</v>
      </c>
      <c r="L758" s="447">
        <f>MAX((L206-K206),0)*$D758*L$734/CurrencyMultiplier</f>
        <v>0</v>
      </c>
      <c r="M758" s="447">
        <f>MAX((M206-L206),0)*$D758*M$734/CurrencyMultiplier</f>
        <v>0</v>
      </c>
      <c r="N758" s="447">
        <f>MAX((N206-M206),0)*$D758*N$734/CurrencyMultiplier</f>
        <v>0</v>
      </c>
      <c r="O758" s="447">
        <f>MAX((O206-N206),0)*$D758*O$734/CurrencyMultiplier</f>
        <v>0</v>
      </c>
    </row>
    <row r="759" spans="1:15" x14ac:dyDescent="0.25">
      <c r="B759" s="72">
        <v>5.2</v>
      </c>
      <c r="C759" s="62" t="s">
        <v>253</v>
      </c>
      <c r="D759" s="283">
        <f>'WSS Profile'!F202</f>
        <v>0</v>
      </c>
      <c r="E759" s="372"/>
      <c r="F759" s="5754">
        <f>MAX((F208-E208),0)*$D759*F$734/CurrencyMultiplier</f>
        <v>0</v>
      </c>
      <c r="G759" s="447">
        <f>MAX((G208-F208),0)*$D759*G$734/CurrencyMultiplier</f>
        <v>0</v>
      </c>
      <c r="H759" s="447">
        <f>MAX((H208-G208),0)*$D759*H$734/CurrencyMultiplier</f>
        <v>0</v>
      </c>
      <c r="I759" s="447">
        <f>MAX((I208-H208),0)*$D759*I$734/CurrencyMultiplier</f>
        <v>0</v>
      </c>
      <c r="J759" s="447">
        <f>MAX((J208-I208),0)*$D759*J$734/CurrencyMultiplier</f>
        <v>0</v>
      </c>
      <c r="K759" s="447">
        <f>MAX((K208-J208),0)*$D759*K$734/CurrencyMultiplier</f>
        <v>0</v>
      </c>
      <c r="L759" s="447">
        <f>MAX((L208-K208),0)*$D759*L$734/CurrencyMultiplier</f>
        <v>0</v>
      </c>
      <c r="M759" s="447">
        <f>MAX((M208-L208),0)*$D759*M$734/CurrencyMultiplier</f>
        <v>0</v>
      </c>
      <c r="N759" s="447">
        <f>MAX((N208-M208),0)*$D759*N$734/CurrencyMultiplier</f>
        <v>0</v>
      </c>
      <c r="O759" s="447">
        <f>MAX((O208-N208),0)*$D759*O$734/CurrencyMultiplier</f>
        <v>0</v>
      </c>
    </row>
    <row r="760" spans="1:15" s="53" customFormat="1" x14ac:dyDescent="0.25">
      <c r="A760" s="63"/>
      <c r="B760" s="30"/>
      <c r="C760" s="28" t="s">
        <v>330</v>
      </c>
      <c r="D760" s="285"/>
      <c r="E760" s="142"/>
      <c r="F760" s="144">
        <f t="shared" ref="F760:O760" si="304">SUM(F737:F759)</f>
        <v>0</v>
      </c>
      <c r="G760" s="144">
        <f t="shared" si="304"/>
        <v>0</v>
      </c>
      <c r="H760" s="144">
        <f t="shared" si="304"/>
        <v>0</v>
      </c>
      <c r="I760" s="144">
        <f t="shared" si="304"/>
        <v>0</v>
      </c>
      <c r="J760" s="144">
        <f t="shared" si="304"/>
        <v>0</v>
      </c>
      <c r="K760" s="144">
        <f t="shared" si="304"/>
        <v>0</v>
      </c>
      <c r="L760" s="144">
        <f t="shared" si="304"/>
        <v>0</v>
      </c>
      <c r="M760" s="144">
        <f t="shared" si="304"/>
        <v>0</v>
      </c>
      <c r="N760" s="144">
        <f t="shared" si="304"/>
        <v>0</v>
      </c>
      <c r="O760" s="144">
        <f t="shared" si="304"/>
        <v>0</v>
      </c>
    </row>
    <row r="761" spans="1:15" x14ac:dyDescent="0.25">
      <c r="E761" s="94"/>
      <c r="F761" s="94"/>
      <c r="G761" s="94"/>
      <c r="H761" s="94"/>
      <c r="I761" s="94"/>
      <c r="J761" s="94"/>
      <c r="K761" s="94"/>
      <c r="L761" s="94"/>
      <c r="M761" s="94"/>
      <c r="N761" s="94"/>
      <c r="O761" s="94"/>
    </row>
    <row r="762" spans="1:15" x14ac:dyDescent="0.25">
      <c r="B762" s="13" t="s">
        <v>3</v>
      </c>
      <c r="C762" s="310" t="s">
        <v>4</v>
      </c>
      <c r="D762" s="13" t="s">
        <v>33</v>
      </c>
      <c r="E762" s="13">
        <f>E$3</f>
        <v>2014</v>
      </c>
      <c r="F762" s="13">
        <f t="shared" ref="F762:O762" si="305">F$3</f>
        <v>2015</v>
      </c>
      <c r="G762" s="13">
        <f t="shared" si="305"/>
        <v>2016</v>
      </c>
      <c r="H762" s="13">
        <f t="shared" si="305"/>
        <v>2017</v>
      </c>
      <c r="I762" s="13">
        <f t="shared" si="305"/>
        <v>2018</v>
      </c>
      <c r="J762" s="13">
        <f t="shared" si="305"/>
        <v>2019</v>
      </c>
      <c r="K762" s="13">
        <f t="shared" si="305"/>
        <v>2020</v>
      </c>
      <c r="L762" s="13">
        <f t="shared" si="305"/>
        <v>2021</v>
      </c>
      <c r="M762" s="13">
        <f t="shared" si="305"/>
        <v>2022</v>
      </c>
      <c r="N762" s="13">
        <f t="shared" si="305"/>
        <v>2023</v>
      </c>
      <c r="O762" s="13">
        <f t="shared" si="305"/>
        <v>2024</v>
      </c>
    </row>
    <row r="763" spans="1:15" x14ac:dyDescent="0.25">
      <c r="A763" s="672"/>
      <c r="B763" s="673"/>
      <c r="C763" s="674" t="s">
        <v>564</v>
      </c>
      <c r="D763" s="675"/>
      <c r="E763" s="786">
        <f t="shared" ref="E763:O763" si="306">IFERROR(E652+E659+E705,0)</f>
        <v>0</v>
      </c>
      <c r="F763" s="786">
        <f t="shared" si="306"/>
        <v>0</v>
      </c>
      <c r="G763" s="786">
        <f t="shared" si="306"/>
        <v>0</v>
      </c>
      <c r="H763" s="786">
        <f t="shared" si="306"/>
        <v>0</v>
      </c>
      <c r="I763" s="786">
        <f t="shared" si="306"/>
        <v>0</v>
      </c>
      <c r="J763" s="786">
        <f t="shared" si="306"/>
        <v>0</v>
      </c>
      <c r="K763" s="786">
        <f t="shared" si="306"/>
        <v>0</v>
      </c>
      <c r="L763" s="786">
        <f t="shared" si="306"/>
        <v>0</v>
      </c>
      <c r="M763" s="786">
        <f t="shared" si="306"/>
        <v>0</v>
      </c>
      <c r="N763" s="786">
        <f t="shared" si="306"/>
        <v>0</v>
      </c>
      <c r="O763" s="786">
        <f t="shared" si="306"/>
        <v>0</v>
      </c>
    </row>
    <row r="764" spans="1:15" x14ac:dyDescent="0.25">
      <c r="A764" s="672"/>
      <c r="B764" s="673"/>
      <c r="C764" s="674" t="s">
        <v>560</v>
      </c>
      <c r="D764" s="675"/>
      <c r="E764" s="786">
        <f>IFERROR(E653+E662+E731+'PIP finance'!F169,0)</f>
        <v>0</v>
      </c>
      <c r="F764" s="786">
        <f>IFERROR(F653+F662+F731+'PIP finance'!G169,0)</f>
        <v>0</v>
      </c>
      <c r="G764" s="786">
        <f>IFERROR(G653+G662+G731+'PIP finance'!H169,0)</f>
        <v>0</v>
      </c>
      <c r="H764" s="786">
        <f>IFERROR(H653+H662+H731+'PIP finance'!I169,0)</f>
        <v>0</v>
      </c>
      <c r="I764" s="786">
        <f>IFERROR(I653+I662+I731+'PIP finance'!J169,0)</f>
        <v>0</v>
      </c>
      <c r="J764" s="786">
        <f>IFERROR(J653+J662+J731+'PIP finance'!K169,0)</f>
        <v>0</v>
      </c>
      <c r="K764" s="786">
        <f>IFERROR(K653+K662+K731+'PIP finance'!L169,0)</f>
        <v>0</v>
      </c>
      <c r="L764" s="786">
        <f>IFERROR(L653+L662+L731+'PIP finance'!M169,0)</f>
        <v>0</v>
      </c>
      <c r="M764" s="786">
        <f>IFERROR(M653+M662+M731+'PIP finance'!N169,0)</f>
        <v>0</v>
      </c>
      <c r="N764" s="786">
        <f>IFERROR(N653+N662+N731+'PIP finance'!O169,0)</f>
        <v>0</v>
      </c>
      <c r="O764" s="786">
        <f>IFERROR(O653+O662+O731+'PIP finance'!P169,0)</f>
        <v>0</v>
      </c>
    </row>
    <row r="765" spans="1:15" x14ac:dyDescent="0.25">
      <c r="A765" s="672"/>
      <c r="B765" s="673"/>
      <c r="C765" s="674" t="s">
        <v>561</v>
      </c>
      <c r="D765" s="675"/>
      <c r="E765" s="786">
        <f>IFERROR(E654+E665+E760+'PIP finance'!F169,0)</f>
        <v>0</v>
      </c>
      <c r="F765" s="786">
        <f>IFERROR(F654+F665+F760+'PIP finance'!G169,0)</f>
        <v>0</v>
      </c>
      <c r="G765" s="786">
        <f>IFERROR(G654+G665+G760+'PIP finance'!H169,0)</f>
        <v>0</v>
      </c>
      <c r="H765" s="786">
        <f>IFERROR(H654+H665+H760+'PIP finance'!I169,0)</f>
        <v>0</v>
      </c>
      <c r="I765" s="786">
        <f>IFERROR(I654+I665+I760+'PIP finance'!J169,0)</f>
        <v>0</v>
      </c>
      <c r="J765" s="786">
        <f>IFERROR(J654+J665+J760+'PIP finance'!K169,0)</f>
        <v>0</v>
      </c>
      <c r="K765" s="786">
        <f>IFERROR(K654+K665+K760+'PIP finance'!L169,0)</f>
        <v>0</v>
      </c>
      <c r="L765" s="786">
        <f>IFERROR(L654+L665+L760+'PIP finance'!M169,0)</f>
        <v>0</v>
      </c>
      <c r="M765" s="786">
        <f>IFERROR(M654+M665+M760+'PIP finance'!N169,0)</f>
        <v>0</v>
      </c>
      <c r="N765" s="786">
        <f>IFERROR(N654+N665+N760+'PIP finance'!O169,0)</f>
        <v>0</v>
      </c>
      <c r="O765" s="786">
        <f>IFERROR(O654+O665+O760+'PIP finance'!P169,0)</f>
        <v>0</v>
      </c>
    </row>
    <row r="766" spans="1:15" s="1076" customFormat="1" ht="12.75" x14ac:dyDescent="0.25">
      <c r="A766" s="1032"/>
      <c r="B766" s="1072"/>
      <c r="C766" s="1073" t="s">
        <v>1189</v>
      </c>
      <c r="D766" s="1074"/>
      <c r="E766" s="1075">
        <f>E764-E763</f>
        <v>0</v>
      </c>
      <c r="F766" s="1075">
        <f t="shared" ref="F766:O766" si="307">F764-F763</f>
        <v>0</v>
      </c>
      <c r="G766" s="1075">
        <f t="shared" si="307"/>
        <v>0</v>
      </c>
      <c r="H766" s="1075">
        <f t="shared" si="307"/>
        <v>0</v>
      </c>
      <c r="I766" s="1075">
        <f t="shared" si="307"/>
        <v>0</v>
      </c>
      <c r="J766" s="1075">
        <f t="shared" si="307"/>
        <v>0</v>
      </c>
      <c r="K766" s="1075">
        <f t="shared" si="307"/>
        <v>0</v>
      </c>
      <c r="L766" s="1075">
        <f t="shared" si="307"/>
        <v>0</v>
      </c>
      <c r="M766" s="1075">
        <f t="shared" si="307"/>
        <v>0</v>
      </c>
      <c r="N766" s="1075">
        <f t="shared" si="307"/>
        <v>0</v>
      </c>
      <c r="O766" s="1075">
        <f t="shared" si="307"/>
        <v>0</v>
      </c>
    </row>
    <row r="767" spans="1:15" s="1076" customFormat="1" ht="12.75" x14ac:dyDescent="0.25">
      <c r="A767" s="1032"/>
      <c r="B767" s="1072"/>
      <c r="C767" s="1073" t="s">
        <v>1185</v>
      </c>
      <c r="D767" s="1074"/>
      <c r="E767" s="1075">
        <f>E765-E764</f>
        <v>0</v>
      </c>
      <c r="F767" s="1078">
        <f t="shared" ref="F767:O767" si="308">F765-F764</f>
        <v>0</v>
      </c>
      <c r="G767" s="1078">
        <f t="shared" si="308"/>
        <v>0</v>
      </c>
      <c r="H767" s="1078">
        <f t="shared" si="308"/>
        <v>0</v>
      </c>
      <c r="I767" s="1078">
        <f t="shared" si="308"/>
        <v>0</v>
      </c>
      <c r="J767" s="1078">
        <f t="shared" si="308"/>
        <v>0</v>
      </c>
      <c r="K767" s="1078">
        <f t="shared" si="308"/>
        <v>0</v>
      </c>
      <c r="L767" s="1078">
        <f t="shared" si="308"/>
        <v>0</v>
      </c>
      <c r="M767" s="1078">
        <f t="shared" si="308"/>
        <v>0</v>
      </c>
      <c r="N767" s="1078">
        <f t="shared" si="308"/>
        <v>0</v>
      </c>
      <c r="O767" s="1078">
        <f t="shared" si="308"/>
        <v>0</v>
      </c>
    </row>
    <row r="768" spans="1:15" x14ac:dyDescent="0.25">
      <c r="C768" s="42"/>
      <c r="F768" s="24"/>
      <c r="G768" s="24"/>
      <c r="H768" s="24"/>
      <c r="I768" s="24"/>
      <c r="J768" s="24"/>
      <c r="K768" s="24"/>
      <c r="L768" s="24"/>
      <c r="M768" s="24"/>
      <c r="N768" s="24"/>
      <c r="O768" s="24"/>
    </row>
    <row r="769" spans="1:23" x14ac:dyDescent="0.25">
      <c r="C769" s="42"/>
    </row>
    <row r="770" spans="1:23" x14ac:dyDescent="0.25">
      <c r="C770" s="42"/>
      <c r="F770" s="24"/>
      <c r="G770" s="24"/>
      <c r="H770" s="24"/>
      <c r="I770" s="24"/>
      <c r="J770" s="24"/>
      <c r="K770" s="24"/>
      <c r="L770" s="24"/>
      <c r="M770" s="24"/>
      <c r="N770" s="24"/>
      <c r="O770" s="24"/>
    </row>
    <row r="771" spans="1:23" x14ac:dyDescent="0.25">
      <c r="C771" s="42"/>
      <c r="F771" s="24"/>
      <c r="G771" s="24"/>
      <c r="H771" s="24"/>
      <c r="I771" s="24"/>
      <c r="J771" s="24"/>
      <c r="K771" s="24"/>
      <c r="L771" s="24"/>
      <c r="M771" s="24"/>
      <c r="N771" s="24"/>
      <c r="O771" s="24"/>
    </row>
    <row r="773" spans="1:23" ht="19.5" thickBot="1" x14ac:dyDescent="0.3">
      <c r="A773" s="381"/>
      <c r="B773" s="381"/>
      <c r="C773" s="383" t="s">
        <v>569</v>
      </c>
      <c r="D773" s="381"/>
      <c r="E773" s="381"/>
      <c r="F773" s="381"/>
      <c r="G773" s="381"/>
      <c r="H773" s="381"/>
      <c r="I773" s="381"/>
      <c r="J773" s="381"/>
      <c r="K773" s="381"/>
      <c r="L773" s="381"/>
      <c r="M773" s="381"/>
      <c r="N773" s="381"/>
      <c r="O773" s="382"/>
    </row>
    <row r="774" spans="1:23" s="275" customFormat="1" x14ac:dyDescent="0.25">
      <c r="A774" s="272"/>
      <c r="B774" s="1162"/>
      <c r="C774" s="644" t="s">
        <v>570</v>
      </c>
      <c r="D774" s="999"/>
      <c r="E774" s="629">
        <f t="shared" ref="E774:O774" si="309">E263</f>
        <v>2014</v>
      </c>
      <c r="F774" s="629">
        <f t="shared" si="309"/>
        <v>2015</v>
      </c>
      <c r="G774" s="629">
        <f t="shared" si="309"/>
        <v>2016</v>
      </c>
      <c r="H774" s="629">
        <f t="shared" si="309"/>
        <v>2017</v>
      </c>
      <c r="I774" s="629">
        <f t="shared" si="309"/>
        <v>2018</v>
      </c>
      <c r="J774" s="629">
        <f t="shared" si="309"/>
        <v>2019</v>
      </c>
      <c r="K774" s="629">
        <f t="shared" si="309"/>
        <v>2020</v>
      </c>
      <c r="L774" s="629">
        <f t="shared" si="309"/>
        <v>2021</v>
      </c>
      <c r="M774" s="629">
        <f t="shared" si="309"/>
        <v>2022</v>
      </c>
      <c r="N774" s="629">
        <f t="shared" si="309"/>
        <v>2023</v>
      </c>
      <c r="O774" s="630">
        <f t="shared" si="309"/>
        <v>2024</v>
      </c>
      <c r="Q774" s="48"/>
      <c r="R774" s="48"/>
      <c r="S774" s="48"/>
      <c r="T774" s="48"/>
      <c r="U774" s="48"/>
      <c r="V774" s="48"/>
      <c r="W774" s="48"/>
    </row>
    <row r="775" spans="1:23" x14ac:dyDescent="0.25">
      <c r="B775" s="1162"/>
      <c r="C775" s="631" t="s">
        <v>574</v>
      </c>
      <c r="D775" s="328"/>
      <c r="E775" s="628">
        <f>Population!E31</f>
        <v>0</v>
      </c>
      <c r="F775" s="628">
        <f>Population!F31</f>
        <v>0</v>
      </c>
      <c r="G775" s="628">
        <f>Population!G31</f>
        <v>0</v>
      </c>
      <c r="H775" s="628">
        <f>Population!H31</f>
        <v>0</v>
      </c>
      <c r="I775" s="628">
        <f>Population!I31</f>
        <v>0</v>
      </c>
      <c r="J775" s="628">
        <f>Population!J31</f>
        <v>0</v>
      </c>
      <c r="K775" s="628">
        <f>Population!K31</f>
        <v>0</v>
      </c>
      <c r="L775" s="628">
        <f>Population!L31</f>
        <v>0</v>
      </c>
      <c r="M775" s="628">
        <f>Population!M31</f>
        <v>0</v>
      </c>
      <c r="N775" s="628">
        <f>Population!N31</f>
        <v>0</v>
      </c>
      <c r="O775" s="632">
        <f>Population!O31</f>
        <v>0</v>
      </c>
      <c r="P775" s="9"/>
    </row>
    <row r="776" spans="1:23" x14ac:dyDescent="0.25">
      <c r="B776" s="1162"/>
      <c r="C776" s="631"/>
      <c r="D776" s="328"/>
      <c r="E776" s="328"/>
      <c r="F776" s="628"/>
      <c r="G776" s="628"/>
      <c r="H776" s="628"/>
      <c r="I776" s="628"/>
      <c r="J776" s="628"/>
      <c r="K776" s="628"/>
      <c r="L776" s="628"/>
      <c r="M776" s="628"/>
      <c r="N776" s="628"/>
      <c r="O776" s="632"/>
      <c r="Q776" s="9"/>
    </row>
    <row r="777" spans="1:23" x14ac:dyDescent="0.25">
      <c r="B777" s="1162"/>
      <c r="C777" s="633" t="s">
        <v>573</v>
      </c>
      <c r="D777" s="386"/>
      <c r="E777" s="386">
        <f t="shared" ref="E777:O777" si="310">E49*E$124</f>
        <v>0</v>
      </c>
      <c r="F777" s="597">
        <f t="shared" si="310"/>
        <v>0</v>
      </c>
      <c r="G777" s="597">
        <f t="shared" si="310"/>
        <v>0</v>
      </c>
      <c r="H777" s="597">
        <f t="shared" si="310"/>
        <v>0</v>
      </c>
      <c r="I777" s="597">
        <f t="shared" si="310"/>
        <v>0</v>
      </c>
      <c r="J777" s="597">
        <f t="shared" si="310"/>
        <v>0</v>
      </c>
      <c r="K777" s="597">
        <f t="shared" si="310"/>
        <v>0</v>
      </c>
      <c r="L777" s="597">
        <f t="shared" si="310"/>
        <v>0</v>
      </c>
      <c r="M777" s="597">
        <f t="shared" si="310"/>
        <v>0</v>
      </c>
      <c r="N777" s="597">
        <f t="shared" si="310"/>
        <v>0</v>
      </c>
      <c r="O777" s="652">
        <f t="shared" si="310"/>
        <v>0</v>
      </c>
      <c r="Q777" s="9"/>
    </row>
    <row r="778" spans="1:23" x14ac:dyDescent="0.25">
      <c r="B778" s="1162"/>
      <c r="C778" s="633" t="s">
        <v>2883</v>
      </c>
      <c r="D778" s="386"/>
      <c r="E778" s="386">
        <f>E777</f>
        <v>0</v>
      </c>
      <c r="F778" s="597">
        <f t="shared" ref="F778:O778" si="311">F57*F$124</f>
        <v>0</v>
      </c>
      <c r="G778" s="597">
        <f t="shared" si="311"/>
        <v>0</v>
      </c>
      <c r="H778" s="597">
        <f t="shared" si="311"/>
        <v>0</v>
      </c>
      <c r="I778" s="597">
        <f t="shared" si="311"/>
        <v>0</v>
      </c>
      <c r="J778" s="597">
        <f t="shared" si="311"/>
        <v>0</v>
      </c>
      <c r="K778" s="597">
        <f t="shared" si="311"/>
        <v>0</v>
      </c>
      <c r="L778" s="597">
        <f t="shared" si="311"/>
        <v>0</v>
      </c>
      <c r="M778" s="597">
        <f t="shared" si="311"/>
        <v>0</v>
      </c>
      <c r="N778" s="597">
        <f t="shared" si="311"/>
        <v>0</v>
      </c>
      <c r="O778" s="652">
        <f t="shared" si="311"/>
        <v>0</v>
      </c>
      <c r="Q778" s="9"/>
    </row>
    <row r="779" spans="1:23" x14ac:dyDescent="0.25">
      <c r="B779" s="1162"/>
      <c r="C779" s="633" t="s">
        <v>2099</v>
      </c>
      <c r="D779" s="386"/>
      <c r="E779" s="386">
        <f>E778</f>
        <v>0</v>
      </c>
      <c r="F779" s="597">
        <f t="shared" ref="F779:O779" si="312">F65*F$124</f>
        <v>0</v>
      </c>
      <c r="G779" s="597">
        <f t="shared" si="312"/>
        <v>0</v>
      </c>
      <c r="H779" s="597">
        <f t="shared" si="312"/>
        <v>0</v>
      </c>
      <c r="I779" s="597">
        <f t="shared" si="312"/>
        <v>0</v>
      </c>
      <c r="J779" s="597">
        <f t="shared" si="312"/>
        <v>0</v>
      </c>
      <c r="K779" s="597">
        <f t="shared" si="312"/>
        <v>0</v>
      </c>
      <c r="L779" s="597">
        <f t="shared" si="312"/>
        <v>0</v>
      </c>
      <c r="M779" s="597">
        <f t="shared" si="312"/>
        <v>0</v>
      </c>
      <c r="N779" s="597">
        <f t="shared" si="312"/>
        <v>0</v>
      </c>
      <c r="O779" s="652">
        <f t="shared" si="312"/>
        <v>0</v>
      </c>
      <c r="Q779" s="9"/>
    </row>
    <row r="780" spans="1:23" x14ac:dyDescent="0.25">
      <c r="B780" s="1162"/>
      <c r="C780" s="633" t="s">
        <v>571</v>
      </c>
      <c r="D780" s="386"/>
      <c r="E780" s="386">
        <f>E779</f>
        <v>0</v>
      </c>
      <c r="F780" s="597">
        <f t="shared" ref="F780:O780" si="313">F71*F$124</f>
        <v>0</v>
      </c>
      <c r="G780" s="597">
        <f t="shared" si="313"/>
        <v>0</v>
      </c>
      <c r="H780" s="597">
        <f t="shared" si="313"/>
        <v>0</v>
      </c>
      <c r="I780" s="597">
        <f t="shared" si="313"/>
        <v>0</v>
      </c>
      <c r="J780" s="597">
        <f t="shared" si="313"/>
        <v>0</v>
      </c>
      <c r="K780" s="597">
        <f t="shared" si="313"/>
        <v>0</v>
      </c>
      <c r="L780" s="597">
        <f t="shared" si="313"/>
        <v>0</v>
      </c>
      <c r="M780" s="597">
        <f t="shared" si="313"/>
        <v>0</v>
      </c>
      <c r="N780" s="597">
        <f t="shared" si="313"/>
        <v>0</v>
      </c>
      <c r="O780" s="652">
        <f t="shared" si="313"/>
        <v>0</v>
      </c>
      <c r="Q780" s="9"/>
    </row>
    <row r="781" spans="1:23" x14ac:dyDescent="0.25">
      <c r="B781" s="1162"/>
      <c r="C781" s="633" t="s">
        <v>581</v>
      </c>
      <c r="D781" s="386"/>
      <c r="E781" s="386">
        <f>E780</f>
        <v>0</v>
      </c>
      <c r="F781" s="597">
        <f t="shared" ref="F781:O781" si="314">F81*F$124</f>
        <v>0</v>
      </c>
      <c r="G781" s="597">
        <f t="shared" si="314"/>
        <v>0</v>
      </c>
      <c r="H781" s="597">
        <f t="shared" si="314"/>
        <v>0</v>
      </c>
      <c r="I781" s="597">
        <f t="shared" si="314"/>
        <v>0</v>
      </c>
      <c r="J781" s="597">
        <f t="shared" si="314"/>
        <v>0</v>
      </c>
      <c r="K781" s="597">
        <f t="shared" si="314"/>
        <v>0</v>
      </c>
      <c r="L781" s="597">
        <f t="shared" si="314"/>
        <v>0</v>
      </c>
      <c r="M781" s="597">
        <f t="shared" si="314"/>
        <v>0</v>
      </c>
      <c r="N781" s="597">
        <f t="shared" si="314"/>
        <v>0</v>
      </c>
      <c r="O781" s="652">
        <f t="shared" si="314"/>
        <v>0</v>
      </c>
      <c r="Q781" s="9"/>
    </row>
    <row r="782" spans="1:23" x14ac:dyDescent="0.25">
      <c r="B782" s="1162"/>
      <c r="C782" s="633" t="s">
        <v>2977</v>
      </c>
      <c r="D782" s="386"/>
      <c r="E782" s="2954">
        <f>E775</f>
        <v>0</v>
      </c>
      <c r="F782" s="597">
        <f t="shared" ref="F782:O782" si="315">F775</f>
        <v>0</v>
      </c>
      <c r="G782" s="597">
        <f t="shared" si="315"/>
        <v>0</v>
      </c>
      <c r="H782" s="597">
        <f t="shared" si="315"/>
        <v>0</v>
      </c>
      <c r="I782" s="597">
        <f t="shared" si="315"/>
        <v>0</v>
      </c>
      <c r="J782" s="597">
        <f t="shared" si="315"/>
        <v>0</v>
      </c>
      <c r="K782" s="597">
        <f t="shared" si="315"/>
        <v>0</v>
      </c>
      <c r="L782" s="597">
        <f t="shared" si="315"/>
        <v>0</v>
      </c>
      <c r="M782" s="597">
        <f t="shared" si="315"/>
        <v>0</v>
      </c>
      <c r="N782" s="597">
        <f t="shared" si="315"/>
        <v>0</v>
      </c>
      <c r="O782" s="652">
        <f t="shared" si="315"/>
        <v>0</v>
      </c>
      <c r="Q782" s="9"/>
    </row>
    <row r="783" spans="1:23" x14ac:dyDescent="0.25">
      <c r="B783" s="1162"/>
      <c r="C783" s="633"/>
      <c r="D783" s="386"/>
      <c r="E783" s="387"/>
      <c r="F783" s="387"/>
      <c r="G783" s="387"/>
      <c r="H783" s="387"/>
      <c r="I783" s="387"/>
      <c r="J783" s="387"/>
      <c r="K783" s="387"/>
      <c r="L783" s="387"/>
      <c r="M783" s="387"/>
      <c r="N783" s="387"/>
      <c r="O783" s="634"/>
      <c r="P783" s="9"/>
    </row>
    <row r="784" spans="1:23" x14ac:dyDescent="0.25">
      <c r="B784" s="1162"/>
      <c r="C784" s="633" t="s">
        <v>2883</v>
      </c>
      <c r="D784" s="386"/>
      <c r="E784" s="387">
        <f t="shared" ref="E784:O784" si="316">IFERROR(E778/E$775,0)</f>
        <v>0</v>
      </c>
      <c r="F784" s="387">
        <f t="shared" si="316"/>
        <v>0</v>
      </c>
      <c r="G784" s="387">
        <f t="shared" si="316"/>
        <v>0</v>
      </c>
      <c r="H784" s="387">
        <f t="shared" si="316"/>
        <v>0</v>
      </c>
      <c r="I784" s="387">
        <f t="shared" si="316"/>
        <v>0</v>
      </c>
      <c r="J784" s="387">
        <f t="shared" si="316"/>
        <v>0</v>
      </c>
      <c r="K784" s="387">
        <f t="shared" si="316"/>
        <v>0</v>
      </c>
      <c r="L784" s="387">
        <f t="shared" si="316"/>
        <v>0</v>
      </c>
      <c r="M784" s="387">
        <f t="shared" si="316"/>
        <v>0</v>
      </c>
      <c r="N784" s="387">
        <f t="shared" si="316"/>
        <v>0</v>
      </c>
      <c r="O784" s="634">
        <f t="shared" si="316"/>
        <v>0</v>
      </c>
      <c r="P784" s="9"/>
    </row>
    <row r="785" spans="2:16" x14ac:dyDescent="0.25">
      <c r="B785" s="1162"/>
      <c r="C785" s="633" t="s">
        <v>2099</v>
      </c>
      <c r="D785" s="386"/>
      <c r="E785" s="387">
        <f t="shared" ref="E785:O785" si="317">IFERROR(E779/E$775,0)</f>
        <v>0</v>
      </c>
      <c r="F785" s="387">
        <f t="shared" si="317"/>
        <v>0</v>
      </c>
      <c r="G785" s="387">
        <f t="shared" si="317"/>
        <v>0</v>
      </c>
      <c r="H785" s="387">
        <f t="shared" si="317"/>
        <v>0</v>
      </c>
      <c r="I785" s="387">
        <f t="shared" si="317"/>
        <v>0</v>
      </c>
      <c r="J785" s="387">
        <f t="shared" si="317"/>
        <v>0</v>
      </c>
      <c r="K785" s="387">
        <f t="shared" si="317"/>
        <v>0</v>
      </c>
      <c r="L785" s="387">
        <f t="shared" si="317"/>
        <v>0</v>
      </c>
      <c r="M785" s="387">
        <f t="shared" si="317"/>
        <v>0</v>
      </c>
      <c r="N785" s="387">
        <f t="shared" si="317"/>
        <v>0</v>
      </c>
      <c r="O785" s="634">
        <f t="shared" si="317"/>
        <v>0</v>
      </c>
      <c r="P785" s="9"/>
    </row>
    <row r="786" spans="2:16" x14ac:dyDescent="0.25">
      <c r="B786" s="1162"/>
      <c r="C786" s="633" t="s">
        <v>571</v>
      </c>
      <c r="D786" s="386"/>
      <c r="E786" s="387">
        <f t="shared" ref="E786:O786" si="318">IFERROR(E780/E$775,0)</f>
        <v>0</v>
      </c>
      <c r="F786" s="387">
        <f t="shared" si="318"/>
        <v>0</v>
      </c>
      <c r="G786" s="387">
        <f t="shared" si="318"/>
        <v>0</v>
      </c>
      <c r="H786" s="387">
        <f t="shared" si="318"/>
        <v>0</v>
      </c>
      <c r="I786" s="387">
        <f t="shared" si="318"/>
        <v>0</v>
      </c>
      <c r="J786" s="387">
        <f t="shared" si="318"/>
        <v>0</v>
      </c>
      <c r="K786" s="387">
        <f t="shared" si="318"/>
        <v>0</v>
      </c>
      <c r="L786" s="387">
        <f t="shared" si="318"/>
        <v>0</v>
      </c>
      <c r="M786" s="387">
        <f t="shared" si="318"/>
        <v>0</v>
      </c>
      <c r="N786" s="387">
        <f t="shared" si="318"/>
        <v>0</v>
      </c>
      <c r="O786" s="634">
        <f t="shared" si="318"/>
        <v>0</v>
      </c>
      <c r="P786" s="9"/>
    </row>
    <row r="787" spans="2:16" x14ac:dyDescent="0.25">
      <c r="B787" s="1162"/>
      <c r="C787" s="633" t="s">
        <v>581</v>
      </c>
      <c r="D787" s="386"/>
      <c r="E787" s="387">
        <f t="shared" ref="E787:O787" si="319">IFERROR(E781/E$775,0)</f>
        <v>0</v>
      </c>
      <c r="F787" s="387">
        <f t="shared" si="319"/>
        <v>0</v>
      </c>
      <c r="G787" s="387">
        <f t="shared" si="319"/>
        <v>0</v>
      </c>
      <c r="H787" s="387">
        <f t="shared" si="319"/>
        <v>0</v>
      </c>
      <c r="I787" s="387">
        <f t="shared" si="319"/>
        <v>0</v>
      </c>
      <c r="J787" s="387">
        <f t="shared" si="319"/>
        <v>0</v>
      </c>
      <c r="K787" s="387">
        <f t="shared" si="319"/>
        <v>0</v>
      </c>
      <c r="L787" s="387">
        <f t="shared" si="319"/>
        <v>0</v>
      </c>
      <c r="M787" s="387">
        <f t="shared" si="319"/>
        <v>0</v>
      </c>
      <c r="N787" s="387">
        <f t="shared" si="319"/>
        <v>0</v>
      </c>
      <c r="O787" s="634">
        <f t="shared" si="319"/>
        <v>0</v>
      </c>
      <c r="P787" s="9"/>
    </row>
    <row r="788" spans="2:16" ht="15.75" thickBot="1" x14ac:dyDescent="0.3">
      <c r="B788" s="1162"/>
      <c r="C788" s="635" t="s">
        <v>582</v>
      </c>
      <c r="D788" s="1000"/>
      <c r="E788" s="636">
        <v>1</v>
      </c>
      <c r="F788" s="636">
        <v>1</v>
      </c>
      <c r="G788" s="636">
        <v>1</v>
      </c>
      <c r="H788" s="636">
        <v>1</v>
      </c>
      <c r="I788" s="636">
        <v>1</v>
      </c>
      <c r="J788" s="636">
        <v>1</v>
      </c>
      <c r="K788" s="636">
        <v>1</v>
      </c>
      <c r="L788" s="636">
        <v>1</v>
      </c>
      <c r="M788" s="636">
        <v>1</v>
      </c>
      <c r="N788" s="636">
        <v>1</v>
      </c>
      <c r="O788" s="637">
        <v>1</v>
      </c>
      <c r="P788" s="9"/>
    </row>
    <row r="789" spans="2:16" x14ac:dyDescent="0.25">
      <c r="B789" s="1162"/>
      <c r="C789" s="638" t="s">
        <v>575</v>
      </c>
      <c r="D789" s="1001"/>
      <c r="E789" s="639">
        <f>Population!E30</f>
        <v>0</v>
      </c>
      <c r="F789" s="639">
        <f>Population!F30</f>
        <v>0</v>
      </c>
      <c r="G789" s="639">
        <f>Population!G30</f>
        <v>0</v>
      </c>
      <c r="H789" s="639">
        <f>Population!H30</f>
        <v>0</v>
      </c>
      <c r="I789" s="639">
        <f>Population!I30</f>
        <v>0</v>
      </c>
      <c r="J789" s="639">
        <f>Population!J30</f>
        <v>0</v>
      </c>
      <c r="K789" s="639">
        <f>Population!K30</f>
        <v>0</v>
      </c>
      <c r="L789" s="639">
        <f>Population!L30</f>
        <v>0</v>
      </c>
      <c r="M789" s="639">
        <f>Population!M30</f>
        <v>0</v>
      </c>
      <c r="N789" s="639">
        <f>Population!N30</f>
        <v>0</v>
      </c>
      <c r="O789" s="640">
        <f>Population!O30</f>
        <v>0</v>
      </c>
      <c r="P789" s="9"/>
    </row>
    <row r="790" spans="2:16" x14ac:dyDescent="0.25">
      <c r="B790" s="1162"/>
      <c r="C790" s="633" t="s">
        <v>581</v>
      </c>
      <c r="D790" s="386"/>
      <c r="E790" s="4625">
        <f t="shared" ref="E790:O790" si="320">E80</f>
        <v>0</v>
      </c>
      <c r="F790" s="597">
        <f t="shared" si="320"/>
        <v>0</v>
      </c>
      <c r="G790" s="597">
        <f t="shared" si="320"/>
        <v>0</v>
      </c>
      <c r="H790" s="597">
        <f t="shared" si="320"/>
        <v>0</v>
      </c>
      <c r="I790" s="597">
        <f t="shared" si="320"/>
        <v>0</v>
      </c>
      <c r="J790" s="597">
        <f t="shared" si="320"/>
        <v>0</v>
      </c>
      <c r="K790" s="597">
        <f t="shared" si="320"/>
        <v>0</v>
      </c>
      <c r="L790" s="597">
        <f t="shared" si="320"/>
        <v>0</v>
      </c>
      <c r="M790" s="597">
        <f t="shared" si="320"/>
        <v>0</v>
      </c>
      <c r="N790" s="597">
        <f t="shared" si="320"/>
        <v>0</v>
      </c>
      <c r="O790" s="652">
        <f t="shared" si="320"/>
        <v>0</v>
      </c>
      <c r="P790" s="9"/>
    </row>
    <row r="791" spans="2:16" x14ac:dyDescent="0.25">
      <c r="B791" s="1162"/>
      <c r="C791" s="633" t="s">
        <v>571</v>
      </c>
      <c r="D791" s="386"/>
      <c r="E791" s="4625">
        <f t="shared" ref="E791:O791" si="321">E73</f>
        <v>0</v>
      </c>
      <c r="F791" s="597">
        <f t="shared" si="321"/>
        <v>0</v>
      </c>
      <c r="G791" s="597">
        <f t="shared" si="321"/>
        <v>0</v>
      </c>
      <c r="H791" s="597">
        <f t="shared" si="321"/>
        <v>0</v>
      </c>
      <c r="I791" s="597">
        <f t="shared" si="321"/>
        <v>0</v>
      </c>
      <c r="J791" s="597">
        <f t="shared" si="321"/>
        <v>0</v>
      </c>
      <c r="K791" s="597">
        <f t="shared" si="321"/>
        <v>0</v>
      </c>
      <c r="L791" s="597">
        <f t="shared" si="321"/>
        <v>0</v>
      </c>
      <c r="M791" s="597">
        <f t="shared" si="321"/>
        <v>0</v>
      </c>
      <c r="N791" s="597">
        <f t="shared" si="321"/>
        <v>0</v>
      </c>
      <c r="O791" s="652">
        <f t="shared" si="321"/>
        <v>0</v>
      </c>
      <c r="P791" s="9"/>
    </row>
    <row r="792" spans="2:16" x14ac:dyDescent="0.25">
      <c r="B792" s="1162"/>
      <c r="C792" s="633" t="s">
        <v>2099</v>
      </c>
      <c r="D792" s="386"/>
      <c r="E792" s="4625">
        <f t="shared" ref="E792:O792" si="322">E67</f>
        <v>0</v>
      </c>
      <c r="F792" s="597">
        <f t="shared" si="322"/>
        <v>0</v>
      </c>
      <c r="G792" s="597">
        <f t="shared" si="322"/>
        <v>0</v>
      </c>
      <c r="H792" s="597">
        <f t="shared" si="322"/>
        <v>0</v>
      </c>
      <c r="I792" s="597">
        <f t="shared" si="322"/>
        <v>0</v>
      </c>
      <c r="J792" s="597">
        <f t="shared" si="322"/>
        <v>0</v>
      </c>
      <c r="K792" s="597">
        <f t="shared" si="322"/>
        <v>0</v>
      </c>
      <c r="L792" s="597">
        <f t="shared" si="322"/>
        <v>0</v>
      </c>
      <c r="M792" s="597">
        <f t="shared" si="322"/>
        <v>0</v>
      </c>
      <c r="N792" s="597">
        <f t="shared" si="322"/>
        <v>0</v>
      </c>
      <c r="O792" s="652">
        <f t="shared" si="322"/>
        <v>0</v>
      </c>
      <c r="P792" s="9"/>
    </row>
    <row r="793" spans="2:16" x14ac:dyDescent="0.25">
      <c r="B793" s="1162"/>
      <c r="C793" s="633" t="s">
        <v>2883</v>
      </c>
      <c r="D793" s="386"/>
      <c r="E793" s="4625">
        <f t="shared" ref="E793:O793" si="323">E59</f>
        <v>0</v>
      </c>
      <c r="F793" s="597">
        <f t="shared" si="323"/>
        <v>0</v>
      </c>
      <c r="G793" s="597">
        <f t="shared" si="323"/>
        <v>0</v>
      </c>
      <c r="H793" s="597">
        <f t="shared" si="323"/>
        <v>0</v>
      </c>
      <c r="I793" s="597">
        <f t="shared" si="323"/>
        <v>0</v>
      </c>
      <c r="J793" s="597">
        <f t="shared" si="323"/>
        <v>0</v>
      </c>
      <c r="K793" s="597">
        <f t="shared" si="323"/>
        <v>0</v>
      </c>
      <c r="L793" s="597">
        <f t="shared" si="323"/>
        <v>0</v>
      </c>
      <c r="M793" s="597">
        <f t="shared" si="323"/>
        <v>0</v>
      </c>
      <c r="N793" s="597">
        <f t="shared" si="323"/>
        <v>0</v>
      </c>
      <c r="O793" s="652">
        <f t="shared" si="323"/>
        <v>0</v>
      </c>
      <c r="P793" s="9"/>
    </row>
    <row r="794" spans="2:16" x14ac:dyDescent="0.25">
      <c r="B794" s="1162"/>
      <c r="C794" s="633"/>
      <c r="D794" s="386"/>
      <c r="E794" s="387"/>
      <c r="F794" s="387"/>
      <c r="G794" s="387"/>
      <c r="H794" s="387"/>
      <c r="I794" s="387"/>
      <c r="J794" s="387"/>
      <c r="K794" s="387"/>
      <c r="L794" s="387"/>
      <c r="M794" s="387"/>
      <c r="N794" s="387"/>
      <c r="O794" s="634"/>
      <c r="P794" s="9"/>
    </row>
    <row r="795" spans="2:16" ht="15.75" thickBot="1" x14ac:dyDescent="0.3">
      <c r="B795" s="1162"/>
      <c r="C795" s="635" t="s">
        <v>2977</v>
      </c>
      <c r="D795" s="1000"/>
      <c r="E795" s="4626">
        <f>E789</f>
        <v>0</v>
      </c>
      <c r="F795" s="636">
        <f t="shared" ref="F795:O795" si="324">F789</f>
        <v>0</v>
      </c>
      <c r="G795" s="636">
        <f t="shared" si="324"/>
        <v>0</v>
      </c>
      <c r="H795" s="636">
        <f t="shared" si="324"/>
        <v>0</v>
      </c>
      <c r="I795" s="636">
        <f t="shared" si="324"/>
        <v>0</v>
      </c>
      <c r="J795" s="636">
        <f t="shared" si="324"/>
        <v>0</v>
      </c>
      <c r="K795" s="636">
        <f t="shared" si="324"/>
        <v>0</v>
      </c>
      <c r="L795" s="636">
        <f t="shared" si="324"/>
        <v>0</v>
      </c>
      <c r="M795" s="636">
        <f t="shared" si="324"/>
        <v>0</v>
      </c>
      <c r="N795" s="636">
        <f t="shared" si="324"/>
        <v>0</v>
      </c>
      <c r="O795" s="637">
        <f t="shared" si="324"/>
        <v>0</v>
      </c>
      <c r="P795" s="9"/>
    </row>
    <row r="796" spans="2:16" x14ac:dyDescent="0.25">
      <c r="B796" s="1162"/>
      <c r="C796" s="638" t="s">
        <v>572</v>
      </c>
      <c r="D796" s="1001"/>
      <c r="E796" s="1399"/>
      <c r="F796" s="1399"/>
      <c r="G796" s="1399"/>
      <c r="H796" s="1399"/>
      <c r="I796" s="1399"/>
      <c r="J796" s="1399"/>
      <c r="K796" s="1399"/>
      <c r="L796" s="1399"/>
      <c r="M796" s="1399"/>
      <c r="N796" s="1399"/>
      <c r="O796" s="540"/>
      <c r="P796" s="9"/>
    </row>
    <row r="797" spans="2:16" x14ac:dyDescent="0.25">
      <c r="B797" s="1162"/>
      <c r="C797" s="633" t="s">
        <v>493</v>
      </c>
      <c r="D797" s="386"/>
      <c r="E797" s="550">
        <v>0</v>
      </c>
      <c r="F797" s="550">
        <f>SUM('PIP finance'!G9:G17)</f>
        <v>0</v>
      </c>
      <c r="G797" s="550">
        <f>SUM('PIP finance'!H9:H17)</f>
        <v>0</v>
      </c>
      <c r="H797" s="550">
        <f>SUM('PIP finance'!I9:I17)</f>
        <v>0</v>
      </c>
      <c r="I797" s="550">
        <f>SUM('PIP finance'!J9:J17)</f>
        <v>0</v>
      </c>
      <c r="J797" s="550">
        <f>SUM('PIP finance'!K9:K17)</f>
        <v>0</v>
      </c>
      <c r="K797" s="550">
        <f>SUM('PIP finance'!L9:L17)</f>
        <v>0</v>
      </c>
      <c r="L797" s="550">
        <f>SUM('PIP finance'!M9:M17)</f>
        <v>0</v>
      </c>
      <c r="M797" s="550">
        <f>SUM('PIP finance'!N9:N17)</f>
        <v>0</v>
      </c>
      <c r="N797" s="550">
        <f>SUM('PIP finance'!O9:O17)</f>
        <v>0</v>
      </c>
      <c r="O797" s="641">
        <f>SUM('PIP finance'!P9:P17)</f>
        <v>0</v>
      </c>
      <c r="P797" s="9"/>
    </row>
    <row r="798" spans="2:16" x14ac:dyDescent="0.25">
      <c r="B798" s="1162"/>
      <c r="C798" s="633" t="s">
        <v>494</v>
      </c>
      <c r="D798" s="386"/>
      <c r="E798" s="550">
        <v>0</v>
      </c>
      <c r="F798" s="550">
        <f>SUM('PIP finance'!G64:G72)</f>
        <v>0</v>
      </c>
      <c r="G798" s="550">
        <f>SUM('PIP finance'!H64:H72)</f>
        <v>0</v>
      </c>
      <c r="H798" s="550">
        <f>SUM('PIP finance'!I64:I72)</f>
        <v>0</v>
      </c>
      <c r="I798" s="550">
        <f>SUM('PIP finance'!J64:J72)</f>
        <v>0</v>
      </c>
      <c r="J798" s="550">
        <f>SUM('PIP finance'!K64:K72)</f>
        <v>0</v>
      </c>
      <c r="K798" s="550">
        <f>SUM('PIP finance'!L64:L72)</f>
        <v>0</v>
      </c>
      <c r="L798" s="550">
        <f>SUM('PIP finance'!M64:M72)</f>
        <v>0</v>
      </c>
      <c r="M798" s="550">
        <f>SUM('PIP finance'!N64:N72)</f>
        <v>0</v>
      </c>
      <c r="N798" s="550">
        <f>SUM('PIP finance'!O64:O72)</f>
        <v>0</v>
      </c>
      <c r="O798" s="641">
        <f>SUM('PIP finance'!P64:P72)</f>
        <v>0</v>
      </c>
      <c r="P798" s="9"/>
    </row>
    <row r="799" spans="2:16" ht="15.75" thickBot="1" x14ac:dyDescent="0.3">
      <c r="B799" s="1162"/>
      <c r="C799" s="635" t="s">
        <v>495</v>
      </c>
      <c r="D799" s="1000"/>
      <c r="E799" s="642">
        <v>0</v>
      </c>
      <c r="F799" s="642">
        <f>SUM('PIP finance'!G119:G127)+F731+F626</f>
        <v>0</v>
      </c>
      <c r="G799" s="642">
        <f>SUM('PIP finance'!H119:H127)+G731+G626</f>
        <v>0</v>
      </c>
      <c r="H799" s="642">
        <f>SUM('PIP finance'!I119:I127)+H731+H626</f>
        <v>0</v>
      </c>
      <c r="I799" s="642">
        <f>SUM('PIP finance'!J119:J127)+I731+I626</f>
        <v>0</v>
      </c>
      <c r="J799" s="642">
        <f>SUM('PIP finance'!K119:K127)+J731+J626</f>
        <v>0</v>
      </c>
      <c r="K799" s="642">
        <f>SUM('PIP finance'!L119:L127)+K731+K626</f>
        <v>0</v>
      </c>
      <c r="L799" s="642">
        <f>SUM('PIP finance'!M119:M127)+L731+L626</f>
        <v>0</v>
      </c>
      <c r="M799" s="642">
        <f>SUM('PIP finance'!N119:N127)+M731+M626</f>
        <v>0</v>
      </c>
      <c r="N799" s="642">
        <f>SUM('PIP finance'!O119:O127)+N731+N626</f>
        <v>0</v>
      </c>
      <c r="O799" s="643">
        <f>SUM('PIP finance'!P119:P127)+O731+O626</f>
        <v>0</v>
      </c>
      <c r="P799" s="9"/>
    </row>
    <row r="800" spans="2:16" ht="15.75" thickBot="1" x14ac:dyDescent="0.3">
      <c r="D800" s="308"/>
      <c r="E800" s="94"/>
      <c r="P800" s="9"/>
    </row>
    <row r="801" spans="1:23" x14ac:dyDescent="0.25">
      <c r="C801" s="644" t="s">
        <v>742</v>
      </c>
      <c r="D801" s="999"/>
      <c r="E801" s="629">
        <f t="shared" ref="E801:O801" si="325">E813</f>
        <v>2014</v>
      </c>
      <c r="F801" s="629">
        <f t="shared" si="325"/>
        <v>2015</v>
      </c>
      <c r="G801" s="629">
        <f t="shared" si="325"/>
        <v>2016</v>
      </c>
      <c r="H801" s="629">
        <f t="shared" si="325"/>
        <v>2017</v>
      </c>
      <c r="I801" s="629">
        <f t="shared" si="325"/>
        <v>2018</v>
      </c>
      <c r="J801" s="629">
        <f t="shared" si="325"/>
        <v>2019</v>
      </c>
      <c r="K801" s="629">
        <f t="shared" si="325"/>
        <v>2020</v>
      </c>
      <c r="L801" s="629">
        <f t="shared" si="325"/>
        <v>2021</v>
      </c>
      <c r="M801" s="629">
        <f t="shared" si="325"/>
        <v>2022</v>
      </c>
      <c r="N801" s="629">
        <f t="shared" si="325"/>
        <v>2023</v>
      </c>
      <c r="O801" s="630">
        <f t="shared" si="325"/>
        <v>2024</v>
      </c>
      <c r="P801" s="9"/>
    </row>
    <row r="802" spans="1:23" ht="30" x14ac:dyDescent="0.25">
      <c r="C802" s="651" t="s">
        <v>1715</v>
      </c>
      <c r="D802" s="139"/>
      <c r="E802" s="597">
        <f t="shared" ref="E802:O802" si="326">E257</f>
        <v>0</v>
      </c>
      <c r="F802" s="597">
        <f t="shared" si="326"/>
        <v>0</v>
      </c>
      <c r="G802" s="597">
        <f t="shared" si="326"/>
        <v>0</v>
      </c>
      <c r="H802" s="597">
        <f t="shared" si="326"/>
        <v>0</v>
      </c>
      <c r="I802" s="597">
        <f t="shared" si="326"/>
        <v>0</v>
      </c>
      <c r="J802" s="597">
        <f t="shared" si="326"/>
        <v>0</v>
      </c>
      <c r="K802" s="597">
        <f t="shared" si="326"/>
        <v>0</v>
      </c>
      <c r="L802" s="597">
        <f t="shared" si="326"/>
        <v>0</v>
      </c>
      <c r="M802" s="597">
        <f t="shared" si="326"/>
        <v>0</v>
      </c>
      <c r="N802" s="597">
        <f t="shared" si="326"/>
        <v>0</v>
      </c>
      <c r="O802" s="652">
        <f t="shared" si="326"/>
        <v>0</v>
      </c>
      <c r="P802" s="9"/>
    </row>
    <row r="803" spans="1:23" s="76" customFormat="1" ht="15.75" thickBot="1" x14ac:dyDescent="0.3">
      <c r="A803" s="43"/>
      <c r="B803" s="43"/>
      <c r="C803" s="838" t="s">
        <v>582</v>
      </c>
      <c r="D803" s="1004"/>
      <c r="E803" s="839" t="e">
        <f>Population!#REF!</f>
        <v>#REF!</v>
      </c>
      <c r="F803" s="839" t="e">
        <f>E803</f>
        <v>#REF!</v>
      </c>
      <c r="G803" s="839" t="e">
        <f t="shared" ref="G803:O803" si="327">F803</f>
        <v>#REF!</v>
      </c>
      <c r="H803" s="839" t="e">
        <f t="shared" si="327"/>
        <v>#REF!</v>
      </c>
      <c r="I803" s="839" t="e">
        <f t="shared" si="327"/>
        <v>#REF!</v>
      </c>
      <c r="J803" s="839" t="e">
        <f t="shared" si="327"/>
        <v>#REF!</v>
      </c>
      <c r="K803" s="839" t="e">
        <f t="shared" si="327"/>
        <v>#REF!</v>
      </c>
      <c r="L803" s="839" t="e">
        <f t="shared" si="327"/>
        <v>#REF!</v>
      </c>
      <c r="M803" s="839" t="e">
        <f t="shared" si="327"/>
        <v>#REF!</v>
      </c>
      <c r="N803" s="839" t="e">
        <f t="shared" si="327"/>
        <v>#REF!</v>
      </c>
      <c r="O803" s="840" t="e">
        <f t="shared" si="327"/>
        <v>#REF!</v>
      </c>
      <c r="P803" s="43"/>
    </row>
    <row r="804" spans="1:23" x14ac:dyDescent="0.25">
      <c r="A804" s="1169"/>
      <c r="B804" s="1169"/>
      <c r="C804" s="1176" t="s">
        <v>603</v>
      </c>
      <c r="D804" s="1177"/>
      <c r="E804" s="1178">
        <f t="shared" ref="E804:O804" si="328">IFERROR(E13/E10,0)</f>
        <v>0</v>
      </c>
      <c r="F804" s="1178">
        <f t="shared" si="328"/>
        <v>0</v>
      </c>
      <c r="G804" s="1178">
        <f t="shared" si="328"/>
        <v>0</v>
      </c>
      <c r="H804" s="1178">
        <f t="shared" si="328"/>
        <v>0</v>
      </c>
      <c r="I804" s="1178">
        <f t="shared" si="328"/>
        <v>0</v>
      </c>
      <c r="J804" s="1178">
        <f t="shared" si="328"/>
        <v>0</v>
      </c>
      <c r="K804" s="1178">
        <f t="shared" si="328"/>
        <v>0</v>
      </c>
      <c r="L804" s="1178">
        <f t="shared" si="328"/>
        <v>0</v>
      </c>
      <c r="M804" s="1178">
        <f t="shared" si="328"/>
        <v>0</v>
      </c>
      <c r="N804" s="1178">
        <f t="shared" si="328"/>
        <v>0</v>
      </c>
      <c r="O804" s="1179">
        <f t="shared" si="328"/>
        <v>0</v>
      </c>
      <c r="P804" s="9"/>
    </row>
    <row r="805" spans="1:23" ht="15.75" thickBot="1" x14ac:dyDescent="0.3">
      <c r="C805" s="635" t="s">
        <v>582</v>
      </c>
      <c r="D805" s="1000"/>
      <c r="E805" s="636">
        <v>1</v>
      </c>
      <c r="F805" s="636">
        <v>1</v>
      </c>
      <c r="G805" s="636">
        <v>1</v>
      </c>
      <c r="H805" s="636">
        <v>1</v>
      </c>
      <c r="I805" s="636">
        <v>1</v>
      </c>
      <c r="J805" s="636">
        <v>1</v>
      </c>
      <c r="K805" s="636">
        <v>1</v>
      </c>
      <c r="L805" s="636">
        <v>1</v>
      </c>
      <c r="M805" s="636">
        <v>1</v>
      </c>
      <c r="N805" s="636">
        <v>1</v>
      </c>
      <c r="O805" s="637">
        <v>1</v>
      </c>
      <c r="P805" s="387"/>
    </row>
    <row r="806" spans="1:23" x14ac:dyDescent="0.25">
      <c r="A806" s="1169"/>
      <c r="B806" s="1169"/>
      <c r="C806" s="1176" t="s">
        <v>602</v>
      </c>
      <c r="D806" s="1177"/>
      <c r="E806" s="1178">
        <f t="shared" ref="E806:O806" si="329">IFERROR(E33/(E24*0.33),0)</f>
        <v>0</v>
      </c>
      <c r="F806" s="1178">
        <f t="shared" si="329"/>
        <v>0</v>
      </c>
      <c r="G806" s="1178">
        <f t="shared" si="329"/>
        <v>0</v>
      </c>
      <c r="H806" s="1178">
        <f t="shared" si="329"/>
        <v>0</v>
      </c>
      <c r="I806" s="1178">
        <f t="shared" si="329"/>
        <v>0</v>
      </c>
      <c r="J806" s="1178">
        <f t="shared" si="329"/>
        <v>0</v>
      </c>
      <c r="K806" s="1178">
        <f t="shared" si="329"/>
        <v>0</v>
      </c>
      <c r="L806" s="1178">
        <f t="shared" si="329"/>
        <v>0</v>
      </c>
      <c r="M806" s="1178">
        <f t="shared" si="329"/>
        <v>0</v>
      </c>
      <c r="N806" s="1178">
        <f t="shared" si="329"/>
        <v>0</v>
      </c>
      <c r="O806" s="1179">
        <f t="shared" si="329"/>
        <v>0</v>
      </c>
      <c r="P806" s="9"/>
    </row>
    <row r="807" spans="1:23" ht="15.75" thickBot="1" x14ac:dyDescent="0.3">
      <c r="C807" s="635" t="s">
        <v>582</v>
      </c>
      <c r="D807" s="1000"/>
      <c r="E807" s="636">
        <v>1</v>
      </c>
      <c r="F807" s="636">
        <v>1</v>
      </c>
      <c r="G807" s="636">
        <v>1</v>
      </c>
      <c r="H807" s="636">
        <v>1</v>
      </c>
      <c r="I807" s="636">
        <v>1</v>
      </c>
      <c r="J807" s="636">
        <v>1</v>
      </c>
      <c r="K807" s="636">
        <v>1</v>
      </c>
      <c r="L807" s="636">
        <v>1</v>
      </c>
      <c r="M807" s="636">
        <v>1</v>
      </c>
      <c r="N807" s="636">
        <v>1</v>
      </c>
      <c r="O807" s="637">
        <v>1</v>
      </c>
      <c r="P807" s="387"/>
    </row>
    <row r="808" spans="1:23" x14ac:dyDescent="0.25">
      <c r="C808" s="638" t="s">
        <v>572</v>
      </c>
      <c r="D808" s="1001"/>
      <c r="E808" s="1399"/>
      <c r="F808" s="1399"/>
      <c r="G808" s="1399"/>
      <c r="H808" s="1399"/>
      <c r="I808" s="1399"/>
      <c r="J808" s="1399"/>
      <c r="K808" s="1399"/>
      <c r="L808" s="1399"/>
      <c r="M808" s="1399"/>
      <c r="N808" s="1399"/>
      <c r="O808" s="540"/>
      <c r="P808" s="9"/>
    </row>
    <row r="809" spans="1:23" x14ac:dyDescent="0.25">
      <c r="B809" s="1162"/>
      <c r="C809" s="633" t="s">
        <v>493</v>
      </c>
      <c r="D809" s="386"/>
      <c r="E809" s="558">
        <v>0</v>
      </c>
      <c r="F809" s="558">
        <f>SUM('PIP finance'!G19:G29)</f>
        <v>0</v>
      </c>
      <c r="G809" s="558">
        <f>SUM('PIP finance'!H19:H29)</f>
        <v>0</v>
      </c>
      <c r="H809" s="558">
        <f>SUM('PIP finance'!I19:I29)</f>
        <v>0</v>
      </c>
      <c r="I809" s="558">
        <f>SUM('PIP finance'!J19:J29)</f>
        <v>0</v>
      </c>
      <c r="J809" s="558">
        <f>SUM('PIP finance'!K19:K29)</f>
        <v>0</v>
      </c>
      <c r="K809" s="558">
        <f>SUM('PIP finance'!L19:L29)</f>
        <v>0</v>
      </c>
      <c r="L809" s="558">
        <f>SUM('PIP finance'!M19:M29)</f>
        <v>0</v>
      </c>
      <c r="M809" s="558">
        <f>SUM('PIP finance'!N19:N29)</f>
        <v>0</v>
      </c>
      <c r="N809" s="558">
        <f>SUM('PIP finance'!O19:O29)</f>
        <v>0</v>
      </c>
      <c r="O809" s="653">
        <f>SUM('PIP finance'!P19:P29)</f>
        <v>0</v>
      </c>
    </row>
    <row r="810" spans="1:23" x14ac:dyDescent="0.25">
      <c r="B810" s="1162"/>
      <c r="C810" s="633" t="s">
        <v>494</v>
      </c>
      <c r="D810" s="386"/>
      <c r="E810" s="558">
        <v>0</v>
      </c>
      <c r="F810" s="558">
        <f>SUM('PIP finance'!G74:G84)</f>
        <v>0</v>
      </c>
      <c r="G810" s="558">
        <f>SUM('PIP finance'!H74:H84)</f>
        <v>0</v>
      </c>
      <c r="H810" s="558">
        <f>SUM('PIP finance'!I74:I84)</f>
        <v>0</v>
      </c>
      <c r="I810" s="558">
        <f>SUM('PIP finance'!J74:J84)</f>
        <v>0</v>
      </c>
      <c r="J810" s="558">
        <f>SUM('PIP finance'!K74:K84)</f>
        <v>0</v>
      </c>
      <c r="K810" s="558">
        <f>SUM('PIP finance'!L74:L84)</f>
        <v>0</v>
      </c>
      <c r="L810" s="558">
        <f>SUM('PIP finance'!M74:M84)</f>
        <v>0</v>
      </c>
      <c r="M810" s="558">
        <f>SUM('PIP finance'!N74:N84)</f>
        <v>0</v>
      </c>
      <c r="N810" s="558">
        <f>SUM('PIP finance'!O74:O84)</f>
        <v>0</v>
      </c>
      <c r="O810" s="653">
        <f>SUM('PIP finance'!P74:P84)</f>
        <v>0</v>
      </c>
    </row>
    <row r="811" spans="1:23" ht="15.75" thickBot="1" x14ac:dyDescent="0.3">
      <c r="B811" s="1162"/>
      <c r="C811" s="635" t="s">
        <v>495</v>
      </c>
      <c r="D811" s="1000"/>
      <c r="E811" s="654">
        <v>0</v>
      </c>
      <c r="F811" s="654">
        <f>SUM('PIP finance'!G129:G139)</f>
        <v>0</v>
      </c>
      <c r="G811" s="654">
        <f>SUM('PIP finance'!H129:H139)</f>
        <v>0</v>
      </c>
      <c r="H811" s="654">
        <f>SUM('PIP finance'!I129:I139)</f>
        <v>0</v>
      </c>
      <c r="I811" s="654">
        <f>SUM('PIP finance'!J129:J139)</f>
        <v>0</v>
      </c>
      <c r="J811" s="654">
        <f>SUM('PIP finance'!K129:K139)</f>
        <v>0</v>
      </c>
      <c r="K811" s="654">
        <f>SUM('PIP finance'!L129:L139)</f>
        <v>0</v>
      </c>
      <c r="L811" s="654">
        <f>SUM('PIP finance'!M129:M139)</f>
        <v>0</v>
      </c>
      <c r="M811" s="654">
        <f>SUM('PIP finance'!N129:N139)</f>
        <v>0</v>
      </c>
      <c r="N811" s="654">
        <f>SUM('PIP finance'!O129:O139)</f>
        <v>0</v>
      </c>
      <c r="O811" s="655">
        <f>SUM('PIP finance'!P129:P139)</f>
        <v>0</v>
      </c>
    </row>
    <row r="812" spans="1:23" ht="15.75" thickBot="1" x14ac:dyDescent="0.3">
      <c r="D812" s="308"/>
      <c r="E812" s="94"/>
      <c r="P812" s="9"/>
    </row>
    <row r="813" spans="1:23" s="275" customFormat="1" x14ac:dyDescent="0.25">
      <c r="A813" s="272"/>
      <c r="B813" s="9"/>
      <c r="C813" s="644" t="s">
        <v>583</v>
      </c>
      <c r="D813" s="999"/>
      <c r="E813" s="629">
        <f t="shared" ref="E813:O813" si="330">E774</f>
        <v>2014</v>
      </c>
      <c r="F813" s="629">
        <f t="shared" si="330"/>
        <v>2015</v>
      </c>
      <c r="G813" s="629">
        <f t="shared" si="330"/>
        <v>2016</v>
      </c>
      <c r="H813" s="629">
        <f t="shared" si="330"/>
        <v>2017</v>
      </c>
      <c r="I813" s="629">
        <f t="shared" si="330"/>
        <v>2018</v>
      </c>
      <c r="J813" s="629">
        <f t="shared" si="330"/>
        <v>2019</v>
      </c>
      <c r="K813" s="629">
        <f t="shared" si="330"/>
        <v>2020</v>
      </c>
      <c r="L813" s="629">
        <f t="shared" si="330"/>
        <v>2021</v>
      </c>
      <c r="M813" s="629">
        <f t="shared" si="330"/>
        <v>2022</v>
      </c>
      <c r="N813" s="629">
        <f t="shared" si="330"/>
        <v>2023</v>
      </c>
      <c r="O813" s="630">
        <f t="shared" si="330"/>
        <v>2024</v>
      </c>
      <c r="Q813" s="48"/>
      <c r="R813" s="48"/>
      <c r="S813" s="48"/>
      <c r="T813" s="48"/>
      <c r="U813" s="48"/>
      <c r="V813" s="48"/>
      <c r="W813" s="48"/>
    </row>
    <row r="814" spans="1:23" x14ac:dyDescent="0.25">
      <c r="C814" s="645" t="s">
        <v>586</v>
      </c>
      <c r="D814" s="166"/>
      <c r="E814" s="1048">
        <f t="shared" ref="E814:O814" si="331">E8</f>
        <v>0</v>
      </c>
      <c r="F814" s="1048">
        <f t="shared" si="331"/>
        <v>0</v>
      </c>
      <c r="G814" s="1048">
        <f t="shared" si="331"/>
        <v>0</v>
      </c>
      <c r="H814" s="1048">
        <f t="shared" si="331"/>
        <v>0</v>
      </c>
      <c r="I814" s="1048">
        <f t="shared" si="331"/>
        <v>0</v>
      </c>
      <c r="J814" s="1048">
        <f t="shared" si="331"/>
        <v>0</v>
      </c>
      <c r="K814" s="1048">
        <f t="shared" si="331"/>
        <v>0</v>
      </c>
      <c r="L814" s="1048">
        <f t="shared" si="331"/>
        <v>0</v>
      </c>
      <c r="M814" s="1048">
        <f t="shared" si="331"/>
        <v>0</v>
      </c>
      <c r="N814" s="1048">
        <f t="shared" si="331"/>
        <v>0</v>
      </c>
      <c r="O814" s="1049">
        <f t="shared" si="331"/>
        <v>0</v>
      </c>
      <c r="P814" s="9"/>
    </row>
    <row r="815" spans="1:23" x14ac:dyDescent="0.25">
      <c r="C815" s="646" t="s">
        <v>584</v>
      </c>
      <c r="D815" s="577"/>
      <c r="E815" s="558">
        <f t="shared" ref="E815:O815" si="332">E10+E7+E6</f>
        <v>0</v>
      </c>
      <c r="F815" s="558">
        <f t="shared" si="332"/>
        <v>0</v>
      </c>
      <c r="G815" s="558">
        <f t="shared" si="332"/>
        <v>0</v>
      </c>
      <c r="H815" s="558">
        <f t="shared" si="332"/>
        <v>0</v>
      </c>
      <c r="I815" s="558">
        <f t="shared" si="332"/>
        <v>0</v>
      </c>
      <c r="J815" s="558">
        <f t="shared" si="332"/>
        <v>0</v>
      </c>
      <c r="K815" s="558">
        <f t="shared" si="332"/>
        <v>0</v>
      </c>
      <c r="L815" s="558">
        <f t="shared" si="332"/>
        <v>0</v>
      </c>
      <c r="M815" s="558">
        <f t="shared" si="332"/>
        <v>0</v>
      </c>
      <c r="N815" s="558">
        <f t="shared" si="332"/>
        <v>0</v>
      </c>
      <c r="O815" s="653">
        <f t="shared" si="332"/>
        <v>0</v>
      </c>
      <c r="P815" s="9"/>
    </row>
    <row r="816" spans="1:23" x14ac:dyDescent="0.25">
      <c r="C816" s="633" t="s">
        <v>585</v>
      </c>
      <c r="D816" s="386"/>
      <c r="E816" s="558">
        <f t="shared" ref="E816:O816" si="333">E22</f>
        <v>0</v>
      </c>
      <c r="F816" s="558">
        <f t="shared" si="333"/>
        <v>0</v>
      </c>
      <c r="G816" s="558">
        <f t="shared" si="333"/>
        <v>0</v>
      </c>
      <c r="H816" s="558">
        <f t="shared" si="333"/>
        <v>0</v>
      </c>
      <c r="I816" s="558">
        <f t="shared" si="333"/>
        <v>0</v>
      </c>
      <c r="J816" s="558">
        <f t="shared" si="333"/>
        <v>0</v>
      </c>
      <c r="K816" s="558">
        <f t="shared" si="333"/>
        <v>0</v>
      </c>
      <c r="L816" s="558">
        <f t="shared" si="333"/>
        <v>0</v>
      </c>
      <c r="M816" s="558">
        <f t="shared" si="333"/>
        <v>0</v>
      </c>
      <c r="N816" s="558">
        <f t="shared" si="333"/>
        <v>0</v>
      </c>
      <c r="O816" s="653">
        <f t="shared" si="333"/>
        <v>0</v>
      </c>
      <c r="P816" s="9"/>
    </row>
    <row r="817" spans="2:16" x14ac:dyDescent="0.25">
      <c r="C817" s="633" t="s">
        <v>587</v>
      </c>
      <c r="D817" s="386"/>
      <c r="E817" s="558">
        <f t="shared" ref="E817:O817" si="334">E24</f>
        <v>0</v>
      </c>
      <c r="F817" s="558">
        <f t="shared" si="334"/>
        <v>0</v>
      </c>
      <c r="G817" s="558">
        <f t="shared" si="334"/>
        <v>0</v>
      </c>
      <c r="H817" s="558">
        <f t="shared" si="334"/>
        <v>0</v>
      </c>
      <c r="I817" s="558">
        <f t="shared" si="334"/>
        <v>0</v>
      </c>
      <c r="J817" s="558">
        <f t="shared" si="334"/>
        <v>0</v>
      </c>
      <c r="K817" s="558">
        <f t="shared" si="334"/>
        <v>0</v>
      </c>
      <c r="L817" s="558">
        <f t="shared" si="334"/>
        <v>0</v>
      </c>
      <c r="M817" s="558">
        <f t="shared" si="334"/>
        <v>0</v>
      </c>
      <c r="N817" s="558">
        <f t="shared" si="334"/>
        <v>0</v>
      </c>
      <c r="O817" s="653">
        <f t="shared" si="334"/>
        <v>0</v>
      </c>
      <c r="P817" s="9"/>
    </row>
    <row r="818" spans="2:16" x14ac:dyDescent="0.25">
      <c r="C818" s="633" t="s">
        <v>588</v>
      </c>
      <c r="D818" s="386"/>
      <c r="E818" s="558">
        <f t="shared" ref="E818:O818" si="335">E26</f>
        <v>0</v>
      </c>
      <c r="F818" s="558">
        <f t="shared" si="335"/>
        <v>0</v>
      </c>
      <c r="G818" s="558">
        <f t="shared" si="335"/>
        <v>0</v>
      </c>
      <c r="H818" s="558">
        <f t="shared" si="335"/>
        <v>0</v>
      </c>
      <c r="I818" s="558">
        <f t="shared" si="335"/>
        <v>0</v>
      </c>
      <c r="J818" s="558">
        <f t="shared" si="335"/>
        <v>0</v>
      </c>
      <c r="K818" s="558">
        <f t="shared" si="335"/>
        <v>0</v>
      </c>
      <c r="L818" s="558">
        <f t="shared" si="335"/>
        <v>0</v>
      </c>
      <c r="M818" s="558">
        <f t="shared" si="335"/>
        <v>0</v>
      </c>
      <c r="N818" s="558">
        <f t="shared" si="335"/>
        <v>0</v>
      </c>
      <c r="O818" s="653">
        <f t="shared" si="335"/>
        <v>0</v>
      </c>
      <c r="P818" s="9"/>
    </row>
    <row r="819" spans="2:16" x14ac:dyDescent="0.25">
      <c r="C819" s="647" t="s">
        <v>589</v>
      </c>
      <c r="D819" s="590"/>
      <c r="E819" s="1050">
        <f t="shared" ref="E819:O819" si="336">E29</f>
        <v>0</v>
      </c>
      <c r="F819" s="1050">
        <f t="shared" si="336"/>
        <v>0</v>
      </c>
      <c r="G819" s="1050">
        <f t="shared" si="336"/>
        <v>0</v>
      </c>
      <c r="H819" s="1050">
        <f t="shared" si="336"/>
        <v>0</v>
      </c>
      <c r="I819" s="1050">
        <f t="shared" si="336"/>
        <v>0</v>
      </c>
      <c r="J819" s="1050">
        <f t="shared" si="336"/>
        <v>0</v>
      </c>
      <c r="K819" s="1050">
        <f t="shared" si="336"/>
        <v>0</v>
      </c>
      <c r="L819" s="1050">
        <f t="shared" si="336"/>
        <v>0</v>
      </c>
      <c r="M819" s="1050">
        <f t="shared" si="336"/>
        <v>0</v>
      </c>
      <c r="N819" s="1050">
        <f t="shared" si="336"/>
        <v>0</v>
      </c>
      <c r="O819" s="1051">
        <f t="shared" si="336"/>
        <v>0</v>
      </c>
      <c r="P819" s="9"/>
    </row>
    <row r="820" spans="2:16" x14ac:dyDescent="0.25">
      <c r="C820" s="645" t="s">
        <v>586</v>
      </c>
      <c r="D820" s="166"/>
      <c r="E820" s="387">
        <f t="shared" ref="E820:E825" si="337">IFERROR((E$814-E814)/E$814,0)</f>
        <v>0</v>
      </c>
      <c r="F820" s="387">
        <f t="shared" ref="F820:O820" si="338">IFERROR((F$814-F814)/F$814,0)</f>
        <v>0</v>
      </c>
      <c r="G820" s="387">
        <f t="shared" si="338"/>
        <v>0</v>
      </c>
      <c r="H820" s="387">
        <f t="shared" si="338"/>
        <v>0</v>
      </c>
      <c r="I820" s="387">
        <f t="shared" si="338"/>
        <v>0</v>
      </c>
      <c r="J820" s="387">
        <f t="shared" si="338"/>
        <v>0</v>
      </c>
      <c r="K820" s="387">
        <f t="shared" si="338"/>
        <v>0</v>
      </c>
      <c r="L820" s="387">
        <f t="shared" si="338"/>
        <v>0</v>
      </c>
      <c r="M820" s="387">
        <f t="shared" si="338"/>
        <v>0</v>
      </c>
      <c r="N820" s="387">
        <f t="shared" si="338"/>
        <v>0</v>
      </c>
      <c r="O820" s="634">
        <f t="shared" si="338"/>
        <v>0</v>
      </c>
      <c r="P820" s="9"/>
    </row>
    <row r="821" spans="2:16" x14ac:dyDescent="0.25">
      <c r="C821" s="646" t="s">
        <v>591</v>
      </c>
      <c r="D821" s="577"/>
      <c r="E821" s="387">
        <f t="shared" si="337"/>
        <v>0</v>
      </c>
      <c r="F821" s="387">
        <f t="shared" ref="F821:O821" si="339">IFERROR((F$814-F815)/F$814,0)</f>
        <v>0</v>
      </c>
      <c r="G821" s="387">
        <f t="shared" si="339"/>
        <v>0</v>
      </c>
      <c r="H821" s="387">
        <f t="shared" si="339"/>
        <v>0</v>
      </c>
      <c r="I821" s="387">
        <f t="shared" si="339"/>
        <v>0</v>
      </c>
      <c r="J821" s="387">
        <f t="shared" si="339"/>
        <v>0</v>
      </c>
      <c r="K821" s="387">
        <f t="shared" si="339"/>
        <v>0</v>
      </c>
      <c r="L821" s="387">
        <f t="shared" si="339"/>
        <v>0</v>
      </c>
      <c r="M821" s="387">
        <f t="shared" si="339"/>
        <v>0</v>
      </c>
      <c r="N821" s="387">
        <f t="shared" si="339"/>
        <v>0</v>
      </c>
      <c r="O821" s="634">
        <f t="shared" si="339"/>
        <v>0</v>
      </c>
      <c r="P821" s="9"/>
    </row>
    <row r="822" spans="2:16" x14ac:dyDescent="0.25">
      <c r="C822" s="633" t="s">
        <v>592</v>
      </c>
      <c r="D822" s="386"/>
      <c r="E822" s="387">
        <f t="shared" si="337"/>
        <v>0</v>
      </c>
      <c r="F822" s="387">
        <f t="shared" ref="F822:O822" si="340">IFERROR((F$814-F816)/F$814,0)</f>
        <v>0</v>
      </c>
      <c r="G822" s="387">
        <f t="shared" si="340"/>
        <v>0</v>
      </c>
      <c r="H822" s="387">
        <f t="shared" si="340"/>
        <v>0</v>
      </c>
      <c r="I822" s="387">
        <f t="shared" si="340"/>
        <v>0</v>
      </c>
      <c r="J822" s="387">
        <f t="shared" si="340"/>
        <v>0</v>
      </c>
      <c r="K822" s="387">
        <f t="shared" si="340"/>
        <v>0</v>
      </c>
      <c r="L822" s="387">
        <f t="shared" si="340"/>
        <v>0</v>
      </c>
      <c r="M822" s="387">
        <f t="shared" si="340"/>
        <v>0</v>
      </c>
      <c r="N822" s="387">
        <f t="shared" si="340"/>
        <v>0</v>
      </c>
      <c r="O822" s="634">
        <f t="shared" si="340"/>
        <v>0</v>
      </c>
      <c r="P822" s="9"/>
    </row>
    <row r="823" spans="2:16" x14ac:dyDescent="0.25">
      <c r="C823" s="633" t="s">
        <v>593</v>
      </c>
      <c r="D823" s="386"/>
      <c r="E823" s="387">
        <f t="shared" si="337"/>
        <v>0</v>
      </c>
      <c r="F823" s="387">
        <f t="shared" ref="F823:O823" si="341">IFERROR((F$814-F817)/F$814,0)</f>
        <v>0</v>
      </c>
      <c r="G823" s="387">
        <f t="shared" si="341"/>
        <v>0</v>
      </c>
      <c r="H823" s="387">
        <f t="shared" si="341"/>
        <v>0</v>
      </c>
      <c r="I823" s="387">
        <f t="shared" si="341"/>
        <v>0</v>
      </c>
      <c r="J823" s="387">
        <f t="shared" si="341"/>
        <v>0</v>
      </c>
      <c r="K823" s="387">
        <f t="shared" si="341"/>
        <v>0</v>
      </c>
      <c r="L823" s="387">
        <f t="shared" si="341"/>
        <v>0</v>
      </c>
      <c r="M823" s="387">
        <f t="shared" si="341"/>
        <v>0</v>
      </c>
      <c r="N823" s="387">
        <f t="shared" si="341"/>
        <v>0</v>
      </c>
      <c r="O823" s="634">
        <f t="shared" si="341"/>
        <v>0</v>
      </c>
      <c r="P823" s="9"/>
    </row>
    <row r="824" spans="2:16" x14ac:dyDescent="0.25">
      <c r="C824" s="633" t="s">
        <v>594</v>
      </c>
      <c r="D824" s="386"/>
      <c r="E824" s="387">
        <f t="shared" si="337"/>
        <v>0</v>
      </c>
      <c r="F824" s="387">
        <f t="shared" ref="F824:O824" si="342">IFERROR((F$814-F818)/F$814,0)</f>
        <v>0</v>
      </c>
      <c r="G824" s="387">
        <f t="shared" si="342"/>
        <v>0</v>
      </c>
      <c r="H824" s="387">
        <f t="shared" si="342"/>
        <v>0</v>
      </c>
      <c r="I824" s="387">
        <f t="shared" si="342"/>
        <v>0</v>
      </c>
      <c r="J824" s="387">
        <f t="shared" si="342"/>
        <v>0</v>
      </c>
      <c r="K824" s="387">
        <f t="shared" si="342"/>
        <v>0</v>
      </c>
      <c r="L824" s="387">
        <f t="shared" si="342"/>
        <v>0</v>
      </c>
      <c r="M824" s="387">
        <f t="shared" si="342"/>
        <v>0</v>
      </c>
      <c r="N824" s="387">
        <f t="shared" si="342"/>
        <v>0</v>
      </c>
      <c r="O824" s="634">
        <f t="shared" si="342"/>
        <v>0</v>
      </c>
      <c r="P824" s="9"/>
    </row>
    <row r="825" spans="2:16" x14ac:dyDescent="0.25">
      <c r="C825" s="633" t="s">
        <v>595</v>
      </c>
      <c r="D825" s="386"/>
      <c r="E825" s="387">
        <f t="shared" si="337"/>
        <v>0</v>
      </c>
      <c r="F825" s="387">
        <f t="shared" ref="F825:O825" si="343">IFERROR((F$814-F819)/F$814,0)</f>
        <v>0</v>
      </c>
      <c r="G825" s="387">
        <f t="shared" si="343"/>
        <v>0</v>
      </c>
      <c r="H825" s="387">
        <f t="shared" si="343"/>
        <v>0</v>
      </c>
      <c r="I825" s="387">
        <f t="shared" si="343"/>
        <v>0</v>
      </c>
      <c r="J825" s="387">
        <f t="shared" si="343"/>
        <v>0</v>
      </c>
      <c r="K825" s="387">
        <f t="shared" si="343"/>
        <v>0</v>
      </c>
      <c r="L825" s="387">
        <f t="shared" si="343"/>
        <v>0</v>
      </c>
      <c r="M825" s="387">
        <f t="shared" si="343"/>
        <v>0</v>
      </c>
      <c r="N825" s="387">
        <f t="shared" si="343"/>
        <v>0</v>
      </c>
      <c r="O825" s="634">
        <f t="shared" si="343"/>
        <v>0</v>
      </c>
      <c r="P825" s="9"/>
    </row>
    <row r="826" spans="2:16" ht="15.75" thickBot="1" x14ac:dyDescent="0.3">
      <c r="C826" s="635" t="s">
        <v>582</v>
      </c>
      <c r="D826" s="1000"/>
      <c r="E826" s="636">
        <v>0.2</v>
      </c>
      <c r="F826" s="636">
        <v>0.2</v>
      </c>
      <c r="G826" s="636">
        <v>0.2</v>
      </c>
      <c r="H826" s="636">
        <v>0.2</v>
      </c>
      <c r="I826" s="636">
        <v>0.2</v>
      </c>
      <c r="J826" s="636">
        <v>0.2</v>
      </c>
      <c r="K826" s="636">
        <v>0.2</v>
      </c>
      <c r="L826" s="636">
        <v>0.2</v>
      </c>
      <c r="M826" s="636">
        <v>0.2</v>
      </c>
      <c r="N826" s="636">
        <v>0.2</v>
      </c>
      <c r="O826" s="637">
        <v>0.2</v>
      </c>
      <c r="P826" s="9"/>
    </row>
    <row r="827" spans="2:16" x14ac:dyDescent="0.25">
      <c r="B827" s="1162"/>
      <c r="C827" s="638" t="s">
        <v>572</v>
      </c>
      <c r="D827" s="1001"/>
      <c r="E827" s="1399"/>
      <c r="F827" s="1399"/>
      <c r="G827" s="1399"/>
      <c r="H827" s="1399"/>
      <c r="I827" s="1399"/>
      <c r="J827" s="1399"/>
      <c r="K827" s="1399"/>
      <c r="L827" s="1399"/>
      <c r="M827" s="1399"/>
      <c r="N827" s="1399"/>
      <c r="O827" s="540"/>
      <c r="P827" s="9"/>
    </row>
    <row r="828" spans="2:16" x14ac:dyDescent="0.25">
      <c r="B828" s="1162"/>
      <c r="C828" s="633" t="s">
        <v>493</v>
      </c>
      <c r="D828" s="386"/>
      <c r="E828" s="550">
        <v>0</v>
      </c>
      <c r="F828" s="550">
        <f>SUM('PIP finance'!G31:G50)-F839</f>
        <v>0</v>
      </c>
      <c r="G828" s="550">
        <f>SUM('PIP finance'!H31:H50)-G839</f>
        <v>0</v>
      </c>
      <c r="H828" s="550">
        <f>SUM('PIP finance'!I31:I50)-H839</f>
        <v>0</v>
      </c>
      <c r="I828" s="550">
        <f>SUM('PIP finance'!J31:J50)-I839</f>
        <v>0</v>
      </c>
      <c r="J828" s="550">
        <f>SUM('PIP finance'!K31:K50)-J839</f>
        <v>0</v>
      </c>
      <c r="K828" s="550">
        <f>SUM('PIP finance'!L31:L50)-K839</f>
        <v>0</v>
      </c>
      <c r="L828" s="550">
        <f>SUM('PIP finance'!M31:M50)-L839</f>
        <v>0</v>
      </c>
      <c r="M828" s="550">
        <f>SUM('PIP finance'!N31:N50)-M839</f>
        <v>0</v>
      </c>
      <c r="N828" s="550">
        <f>SUM('PIP finance'!O31:O50)-N839</f>
        <v>0</v>
      </c>
      <c r="O828" s="641">
        <f>SUM('PIP finance'!P31:P50)-O839</f>
        <v>0</v>
      </c>
    </row>
    <row r="829" spans="2:16" x14ac:dyDescent="0.25">
      <c r="B829" s="1162"/>
      <c r="C829" s="633" t="s">
        <v>494</v>
      </c>
      <c r="D829" s="386"/>
      <c r="E829" s="550">
        <v>0</v>
      </c>
      <c r="F829" s="550">
        <f>SUM('PIP finance'!G86:G105)-F840</f>
        <v>0</v>
      </c>
      <c r="G829" s="550">
        <f>SUM('PIP finance'!H86:H105)-G840</f>
        <v>0</v>
      </c>
      <c r="H829" s="550">
        <f>SUM('PIP finance'!I86:I105)-H840</f>
        <v>0</v>
      </c>
      <c r="I829" s="550">
        <f>SUM('PIP finance'!J86:J105)-I840</f>
        <v>0</v>
      </c>
      <c r="J829" s="550">
        <f>SUM('PIP finance'!K86:K105)-J840</f>
        <v>0</v>
      </c>
      <c r="K829" s="550">
        <f>SUM('PIP finance'!L86:L105)-K840</f>
        <v>0</v>
      </c>
      <c r="L829" s="550">
        <f>SUM('PIP finance'!M86:M105)-L840</f>
        <v>0</v>
      </c>
      <c r="M829" s="550">
        <f>SUM('PIP finance'!N86:N105)-M840</f>
        <v>0</v>
      </c>
      <c r="N829" s="550">
        <f>SUM('PIP finance'!O86:O105)-N840</f>
        <v>0</v>
      </c>
      <c r="O829" s="641">
        <f>SUM('PIP finance'!P86:P105)-O840</f>
        <v>0</v>
      </c>
    </row>
    <row r="830" spans="2:16" ht="15.75" thickBot="1" x14ac:dyDescent="0.3">
      <c r="B830" s="1162"/>
      <c r="C830" s="635" t="s">
        <v>495</v>
      </c>
      <c r="D830" s="1000"/>
      <c r="E830" s="642">
        <v>0</v>
      </c>
      <c r="F830" s="642">
        <f>SUM('PIP finance'!G141:G160)-F841</f>
        <v>0</v>
      </c>
      <c r="G830" s="642">
        <f>SUM('PIP finance'!H141:H160)-G841</f>
        <v>0</v>
      </c>
      <c r="H830" s="642">
        <f>SUM('PIP finance'!I141:I160)-H841</f>
        <v>0</v>
      </c>
      <c r="I830" s="642">
        <f>SUM('PIP finance'!J141:J160)-I841</f>
        <v>0</v>
      </c>
      <c r="J830" s="642">
        <f>SUM('PIP finance'!K141:K160)-J841</f>
        <v>0</v>
      </c>
      <c r="K830" s="642">
        <f>SUM('PIP finance'!L141:L160)-K841</f>
        <v>0</v>
      </c>
      <c r="L830" s="642">
        <f>SUM('PIP finance'!M141:M160)-L841</f>
        <v>0</v>
      </c>
      <c r="M830" s="642">
        <f>SUM('PIP finance'!N141:N160)-M841</f>
        <v>0</v>
      </c>
      <c r="N830" s="642">
        <f>SUM('PIP finance'!O141:O160)-N841</f>
        <v>0</v>
      </c>
      <c r="O830" s="643">
        <f>SUM('PIP finance'!P141:P160)-O841</f>
        <v>0</v>
      </c>
    </row>
    <row r="831" spans="2:16" x14ac:dyDescent="0.25">
      <c r="C831" s="648" t="s">
        <v>76</v>
      </c>
      <c r="D831" s="1002"/>
      <c r="E831" s="649"/>
      <c r="F831" s="1399"/>
      <c r="G831" s="1399"/>
      <c r="H831" s="1399"/>
      <c r="I831" s="1399"/>
      <c r="J831" s="1399"/>
      <c r="K831" s="1399"/>
      <c r="L831" s="1399"/>
      <c r="M831" s="1399"/>
      <c r="N831" s="1399"/>
      <c r="O831" s="540"/>
      <c r="P831" s="9"/>
    </row>
    <row r="832" spans="2:16" x14ac:dyDescent="0.25">
      <c r="C832" s="633" t="s">
        <v>2892</v>
      </c>
      <c r="D832" s="386"/>
      <c r="E832" s="550">
        <f t="shared" ref="E832:O832" si="344">E207-E206</f>
        <v>0</v>
      </c>
      <c r="F832" s="550">
        <f t="shared" si="344"/>
        <v>0</v>
      </c>
      <c r="G832" s="550">
        <f t="shared" si="344"/>
        <v>0</v>
      </c>
      <c r="H832" s="550">
        <f t="shared" si="344"/>
        <v>0</v>
      </c>
      <c r="I832" s="550">
        <f t="shared" si="344"/>
        <v>0</v>
      </c>
      <c r="J832" s="550">
        <f t="shared" si="344"/>
        <v>0</v>
      </c>
      <c r="K832" s="550">
        <f t="shared" si="344"/>
        <v>0</v>
      </c>
      <c r="L832" s="550">
        <f t="shared" si="344"/>
        <v>0</v>
      </c>
      <c r="M832" s="550">
        <f t="shared" si="344"/>
        <v>0</v>
      </c>
      <c r="N832" s="550">
        <f t="shared" si="344"/>
        <v>0</v>
      </c>
      <c r="O832" s="641">
        <f t="shared" si="344"/>
        <v>0</v>
      </c>
    </row>
    <row r="833" spans="1:16" x14ac:dyDescent="0.25">
      <c r="C833" s="646" t="s">
        <v>596</v>
      </c>
      <c r="D833" s="577"/>
      <c r="E833" s="550">
        <f t="shared" ref="E833:O833" si="345">E282</f>
        <v>0</v>
      </c>
      <c r="F833" s="550">
        <f t="shared" si="345"/>
        <v>0</v>
      </c>
      <c r="G833" s="550">
        <f t="shared" si="345"/>
        <v>0</v>
      </c>
      <c r="H833" s="550">
        <f t="shared" si="345"/>
        <v>0</v>
      </c>
      <c r="I833" s="550">
        <f t="shared" si="345"/>
        <v>0</v>
      </c>
      <c r="J833" s="550">
        <f t="shared" si="345"/>
        <v>0</v>
      </c>
      <c r="K833" s="550">
        <f t="shared" si="345"/>
        <v>0</v>
      </c>
      <c r="L833" s="550">
        <f t="shared" si="345"/>
        <v>0</v>
      </c>
      <c r="M833" s="550">
        <f t="shared" si="345"/>
        <v>0</v>
      </c>
      <c r="N833" s="550">
        <f t="shared" si="345"/>
        <v>0</v>
      </c>
      <c r="O833" s="641">
        <f t="shared" si="345"/>
        <v>0</v>
      </c>
    </row>
    <row r="834" spans="1:16" x14ac:dyDescent="0.25">
      <c r="C834" s="646" t="s">
        <v>598</v>
      </c>
      <c r="D834" s="577"/>
      <c r="E834" s="550">
        <f t="shared" ref="E834:O834" si="346">E283</f>
        <v>0</v>
      </c>
      <c r="F834" s="550">
        <f t="shared" si="346"/>
        <v>0</v>
      </c>
      <c r="G834" s="550">
        <f t="shared" si="346"/>
        <v>0</v>
      </c>
      <c r="H834" s="550">
        <f t="shared" si="346"/>
        <v>0</v>
      </c>
      <c r="I834" s="550">
        <f t="shared" si="346"/>
        <v>0</v>
      </c>
      <c r="J834" s="550">
        <f t="shared" si="346"/>
        <v>0</v>
      </c>
      <c r="K834" s="550">
        <f t="shared" si="346"/>
        <v>0</v>
      </c>
      <c r="L834" s="550">
        <f t="shared" si="346"/>
        <v>0</v>
      </c>
      <c r="M834" s="550">
        <f t="shared" si="346"/>
        <v>0</v>
      </c>
      <c r="N834" s="550">
        <f t="shared" si="346"/>
        <v>0</v>
      </c>
      <c r="O834" s="641">
        <f t="shared" si="346"/>
        <v>0</v>
      </c>
    </row>
    <row r="835" spans="1:16" x14ac:dyDescent="0.25">
      <c r="C835" s="646" t="s">
        <v>597</v>
      </c>
      <c r="D835" s="577"/>
      <c r="E835" s="550">
        <f t="shared" ref="E835:O835" si="347">E284</f>
        <v>0</v>
      </c>
      <c r="F835" s="550">
        <f t="shared" si="347"/>
        <v>0</v>
      </c>
      <c r="G835" s="550">
        <f t="shared" si="347"/>
        <v>0</v>
      </c>
      <c r="H835" s="550">
        <f t="shared" si="347"/>
        <v>0</v>
      </c>
      <c r="I835" s="550">
        <f t="shared" si="347"/>
        <v>0</v>
      </c>
      <c r="J835" s="550">
        <f t="shared" si="347"/>
        <v>0</v>
      </c>
      <c r="K835" s="550">
        <f t="shared" si="347"/>
        <v>0</v>
      </c>
      <c r="L835" s="550">
        <f t="shared" si="347"/>
        <v>0</v>
      </c>
      <c r="M835" s="550">
        <f t="shared" si="347"/>
        <v>0</v>
      </c>
      <c r="N835" s="550">
        <f t="shared" si="347"/>
        <v>0</v>
      </c>
      <c r="O835" s="641">
        <f t="shared" si="347"/>
        <v>0</v>
      </c>
    </row>
    <row r="836" spans="1:16" x14ac:dyDescent="0.25">
      <c r="C836" s="646" t="s">
        <v>599</v>
      </c>
      <c r="D836" s="577"/>
      <c r="E836" s="550">
        <f t="shared" ref="E836:O836" si="348">E285</f>
        <v>0</v>
      </c>
      <c r="F836" s="550">
        <f t="shared" si="348"/>
        <v>0</v>
      </c>
      <c r="G836" s="550">
        <f t="shared" si="348"/>
        <v>0</v>
      </c>
      <c r="H836" s="550">
        <f t="shared" si="348"/>
        <v>0</v>
      </c>
      <c r="I836" s="550">
        <f t="shared" si="348"/>
        <v>0</v>
      </c>
      <c r="J836" s="550">
        <f t="shared" si="348"/>
        <v>0</v>
      </c>
      <c r="K836" s="550">
        <f t="shared" si="348"/>
        <v>0</v>
      </c>
      <c r="L836" s="550">
        <f t="shared" si="348"/>
        <v>0</v>
      </c>
      <c r="M836" s="550">
        <f t="shared" si="348"/>
        <v>0</v>
      </c>
      <c r="N836" s="550">
        <f t="shared" si="348"/>
        <v>0</v>
      </c>
      <c r="O836" s="641">
        <f t="shared" si="348"/>
        <v>0</v>
      </c>
    </row>
    <row r="837" spans="1:16" ht="15.75" thickBot="1" x14ac:dyDescent="0.3">
      <c r="C837" s="650" t="s">
        <v>600</v>
      </c>
      <c r="D837" s="1003"/>
      <c r="E837" s="642">
        <f t="shared" ref="E837:O837" si="349">E286</f>
        <v>0</v>
      </c>
      <c r="F837" s="642">
        <f t="shared" si="349"/>
        <v>0</v>
      </c>
      <c r="G837" s="642">
        <f t="shared" si="349"/>
        <v>0</v>
      </c>
      <c r="H837" s="642">
        <f t="shared" si="349"/>
        <v>0</v>
      </c>
      <c r="I837" s="642">
        <f t="shared" si="349"/>
        <v>0</v>
      </c>
      <c r="J837" s="642">
        <f t="shared" si="349"/>
        <v>0</v>
      </c>
      <c r="K837" s="642">
        <f t="shared" si="349"/>
        <v>0</v>
      </c>
      <c r="L837" s="642">
        <f t="shared" si="349"/>
        <v>0</v>
      </c>
      <c r="M837" s="642">
        <f t="shared" si="349"/>
        <v>0</v>
      </c>
      <c r="N837" s="642">
        <f t="shared" si="349"/>
        <v>0</v>
      </c>
      <c r="O837" s="643">
        <f t="shared" si="349"/>
        <v>0</v>
      </c>
    </row>
    <row r="838" spans="1:16" x14ac:dyDescent="0.25">
      <c r="C838" s="638" t="s">
        <v>572</v>
      </c>
      <c r="D838" s="1001"/>
      <c r="E838" s="1399"/>
      <c r="F838" s="1399"/>
      <c r="G838" s="1399"/>
      <c r="H838" s="1399"/>
      <c r="I838" s="1399"/>
      <c r="J838" s="1399"/>
      <c r="K838" s="1399"/>
      <c r="L838" s="1399"/>
      <c r="M838" s="1399"/>
      <c r="N838" s="1399"/>
      <c r="O838" s="540"/>
      <c r="P838" s="9"/>
    </row>
    <row r="839" spans="1:16" x14ac:dyDescent="0.25">
      <c r="B839" s="1162"/>
      <c r="C839" s="633" t="s">
        <v>493</v>
      </c>
      <c r="D839" s="386"/>
      <c r="E839" s="558">
        <v>0</v>
      </c>
      <c r="F839" s="596">
        <f>'PIP finance'!G48+'PIP finance'!G50</f>
        <v>0</v>
      </c>
      <c r="G839" s="596">
        <f>'PIP finance'!H48+'PIP finance'!H50</f>
        <v>0</v>
      </c>
      <c r="H839" s="596">
        <f>'PIP finance'!I48+'PIP finance'!I50</f>
        <v>0</v>
      </c>
      <c r="I839" s="596">
        <f>'PIP finance'!J48+'PIP finance'!J50</f>
        <v>0</v>
      </c>
      <c r="J839" s="596">
        <f>'PIP finance'!K48+'PIP finance'!K50</f>
        <v>0</v>
      </c>
      <c r="K839" s="596">
        <f>'PIP finance'!L48+'PIP finance'!L50</f>
        <v>0</v>
      </c>
      <c r="L839" s="596">
        <f>'PIP finance'!M48+'PIP finance'!M50</f>
        <v>0</v>
      </c>
      <c r="M839" s="596">
        <f>'PIP finance'!N48+'PIP finance'!N50</f>
        <v>0</v>
      </c>
      <c r="N839" s="596">
        <f>'PIP finance'!O48+'PIP finance'!O50</f>
        <v>0</v>
      </c>
      <c r="O839" s="1052">
        <f>'PIP finance'!P48+'PIP finance'!P50</f>
        <v>0</v>
      </c>
    </row>
    <row r="840" spans="1:16" x14ac:dyDescent="0.25">
      <c r="B840" s="1162"/>
      <c r="C840" s="633" t="s">
        <v>494</v>
      </c>
      <c r="D840" s="386"/>
      <c r="E840" s="558">
        <v>0</v>
      </c>
      <c r="F840" s="558">
        <f>'PIP finance'!G103+'PIP finance'!G105</f>
        <v>0</v>
      </c>
      <c r="G840" s="558">
        <f>'PIP finance'!H103+'PIP finance'!H105</f>
        <v>0</v>
      </c>
      <c r="H840" s="558">
        <f>'PIP finance'!I103+'PIP finance'!I105</f>
        <v>0</v>
      </c>
      <c r="I840" s="558">
        <f>'PIP finance'!J103+'PIP finance'!J105</f>
        <v>0</v>
      </c>
      <c r="J840" s="558">
        <f>'PIP finance'!K103+'PIP finance'!K105</f>
        <v>0</v>
      </c>
      <c r="K840" s="558">
        <f>'PIP finance'!L103+'PIP finance'!L105</f>
        <v>0</v>
      </c>
      <c r="L840" s="558">
        <f>'PIP finance'!M103+'PIP finance'!M105</f>
        <v>0</v>
      </c>
      <c r="M840" s="558">
        <f>'PIP finance'!N103+'PIP finance'!N105</f>
        <v>0</v>
      </c>
      <c r="N840" s="558">
        <f>'PIP finance'!O103+'PIP finance'!O105</f>
        <v>0</v>
      </c>
      <c r="O840" s="653">
        <f>'PIP finance'!P103+'PIP finance'!P105</f>
        <v>0</v>
      </c>
    </row>
    <row r="841" spans="1:16" ht="15.75" thickBot="1" x14ac:dyDescent="0.3">
      <c r="B841" s="1162"/>
      <c r="C841" s="635" t="s">
        <v>495</v>
      </c>
      <c r="D841" s="1000"/>
      <c r="E841" s="654">
        <v>0</v>
      </c>
      <c r="F841" s="654">
        <f>'PIP finance'!G158+'PIP finance'!G160</f>
        <v>0</v>
      </c>
      <c r="G841" s="654">
        <f>'PIP finance'!H158+'PIP finance'!H160</f>
        <v>0</v>
      </c>
      <c r="H841" s="654">
        <f>'PIP finance'!I158+'PIP finance'!I160</f>
        <v>0</v>
      </c>
      <c r="I841" s="654">
        <f>'PIP finance'!J158+'PIP finance'!J160</f>
        <v>0</v>
      </c>
      <c r="J841" s="654">
        <f>'PIP finance'!K158+'PIP finance'!K160</f>
        <v>0</v>
      </c>
      <c r="K841" s="654">
        <f>'PIP finance'!L158+'PIP finance'!L160</f>
        <v>0</v>
      </c>
      <c r="L841" s="654">
        <f>'PIP finance'!M158+'PIP finance'!M160</f>
        <v>0</v>
      </c>
      <c r="M841" s="654">
        <f>'PIP finance'!N158+'PIP finance'!N160</f>
        <v>0</v>
      </c>
      <c r="N841" s="654">
        <f>'PIP finance'!O158+'PIP finance'!O160</f>
        <v>0</v>
      </c>
      <c r="O841" s="655">
        <f>'PIP finance'!P158+'PIP finance'!P160</f>
        <v>0</v>
      </c>
    </row>
    <row r="842" spans="1:16" ht="15.75" thickBot="1" x14ac:dyDescent="0.3">
      <c r="D842" s="308"/>
      <c r="P842" s="9"/>
    </row>
    <row r="843" spans="1:16" x14ac:dyDescent="0.25">
      <c r="C843" s="644" t="s">
        <v>601</v>
      </c>
      <c r="D843" s="999"/>
      <c r="E843" s="629">
        <f t="shared" ref="E843:O843" si="350">E801</f>
        <v>2014</v>
      </c>
      <c r="F843" s="629">
        <f t="shared" si="350"/>
        <v>2015</v>
      </c>
      <c r="G843" s="629">
        <f t="shared" si="350"/>
        <v>2016</v>
      </c>
      <c r="H843" s="629">
        <f t="shared" si="350"/>
        <v>2017</v>
      </c>
      <c r="I843" s="629">
        <f t="shared" si="350"/>
        <v>2018</v>
      </c>
      <c r="J843" s="629">
        <f t="shared" si="350"/>
        <v>2019</v>
      </c>
      <c r="K843" s="629">
        <f t="shared" si="350"/>
        <v>2020</v>
      </c>
      <c r="L843" s="629">
        <f t="shared" si="350"/>
        <v>2021</v>
      </c>
      <c r="M843" s="629">
        <f t="shared" si="350"/>
        <v>2022</v>
      </c>
      <c r="N843" s="629">
        <f t="shared" si="350"/>
        <v>2023</v>
      </c>
      <c r="O843" s="630">
        <f t="shared" si="350"/>
        <v>2024</v>
      </c>
      <c r="P843" s="365"/>
    </row>
    <row r="844" spans="1:16" s="77" customFormat="1" x14ac:dyDescent="0.25">
      <c r="A844" s="163"/>
      <c r="B844" s="163"/>
      <c r="C844" s="718" t="s">
        <v>493</v>
      </c>
      <c r="D844" s="1005"/>
      <c r="E844" s="348">
        <f>SUM('PIP finance'!F52:F55)</f>
        <v>0</v>
      </c>
      <c r="F844" s="348">
        <f>SUM('PIP finance'!G52:G55)</f>
        <v>0</v>
      </c>
      <c r="G844" s="348">
        <f>SUM('PIP finance'!H52:H55)</f>
        <v>0</v>
      </c>
      <c r="H844" s="348">
        <f>SUM('PIP finance'!I52:I55)</f>
        <v>0</v>
      </c>
      <c r="I844" s="348">
        <f>SUM('PIP finance'!J52:J55)</f>
        <v>0</v>
      </c>
      <c r="J844" s="348">
        <f>SUM('PIP finance'!K52:K55)</f>
        <v>0</v>
      </c>
      <c r="K844" s="348">
        <f>SUM('PIP finance'!L52:L55)</f>
        <v>0</v>
      </c>
      <c r="L844" s="348">
        <f>SUM('PIP finance'!M52:M55)</f>
        <v>0</v>
      </c>
      <c r="M844" s="348">
        <f>SUM('PIP finance'!N52:N55)</f>
        <v>0</v>
      </c>
      <c r="N844" s="348">
        <f>SUM('PIP finance'!O52:O55)</f>
        <v>0</v>
      </c>
      <c r="O844" s="841">
        <f>SUM('PIP finance'!P52:P55)</f>
        <v>0</v>
      </c>
      <c r="P844" s="163"/>
    </row>
    <row r="845" spans="1:16" s="77" customFormat="1" x14ac:dyDescent="0.25">
      <c r="A845" s="163"/>
      <c r="B845" s="163"/>
      <c r="C845" s="718" t="s">
        <v>467</v>
      </c>
      <c r="D845" s="1005"/>
      <c r="E845" s="348">
        <f>'Financial Projections'!J103</f>
        <v>0</v>
      </c>
      <c r="F845" s="348">
        <f>'Financial Projections'!K25</f>
        <v>0</v>
      </c>
      <c r="G845" s="348">
        <f>'Financial Projections'!L25</f>
        <v>0</v>
      </c>
      <c r="H845" s="348">
        <f>'Financial Projections'!M25</f>
        <v>0</v>
      </c>
      <c r="I845" s="348">
        <f>'Financial Projections'!N25</f>
        <v>0</v>
      </c>
      <c r="J845" s="348">
        <f>'Financial Projections'!O25</f>
        <v>0</v>
      </c>
      <c r="K845" s="348">
        <f>'Financial Projections'!P25</f>
        <v>0</v>
      </c>
      <c r="L845" s="348">
        <f>'Financial Projections'!Q25</f>
        <v>0</v>
      </c>
      <c r="M845" s="348">
        <f>'Financial Projections'!R25</f>
        <v>0</v>
      </c>
      <c r="N845" s="348">
        <f>'Financial Projections'!S25</f>
        <v>0</v>
      </c>
      <c r="O845" s="841">
        <f>'Financial Projections'!T25</f>
        <v>0</v>
      </c>
      <c r="P845" s="163"/>
    </row>
    <row r="846" spans="1:16" ht="15.75" thickBot="1" x14ac:dyDescent="0.3">
      <c r="C846" s="635" t="s">
        <v>190</v>
      </c>
      <c r="D846" s="1000"/>
      <c r="E846" s="656">
        <f t="shared" ref="E846:O846" si="351">E670</f>
        <v>0</v>
      </c>
      <c r="F846" s="656">
        <f t="shared" si="351"/>
        <v>0</v>
      </c>
      <c r="G846" s="656">
        <f t="shared" si="351"/>
        <v>0</v>
      </c>
      <c r="H846" s="656">
        <f t="shared" si="351"/>
        <v>0</v>
      </c>
      <c r="I846" s="656">
        <f t="shared" si="351"/>
        <v>0</v>
      </c>
      <c r="J846" s="656">
        <f t="shared" si="351"/>
        <v>0</v>
      </c>
      <c r="K846" s="656">
        <f t="shared" si="351"/>
        <v>0</v>
      </c>
      <c r="L846" s="656">
        <f t="shared" si="351"/>
        <v>0</v>
      </c>
      <c r="M846" s="656">
        <f t="shared" si="351"/>
        <v>0</v>
      </c>
      <c r="N846" s="656">
        <f t="shared" si="351"/>
        <v>0</v>
      </c>
      <c r="O846" s="657">
        <f t="shared" si="351"/>
        <v>0</v>
      </c>
      <c r="P846" s="9"/>
    </row>
    <row r="849" spans="1:15" ht="18.75" x14ac:dyDescent="0.25">
      <c r="A849" s="381"/>
      <c r="B849" s="381"/>
      <c r="C849" s="383" t="s">
        <v>642</v>
      </c>
      <c r="D849" s="381"/>
      <c r="E849" s="381"/>
      <c r="F849" s="381"/>
      <c r="G849" s="381"/>
      <c r="H849" s="381"/>
      <c r="I849" s="381"/>
      <c r="J849" s="381"/>
      <c r="K849" s="381"/>
      <c r="L849" s="381"/>
      <c r="M849" s="381"/>
      <c r="N849" s="381"/>
      <c r="O849" s="382"/>
    </row>
    <row r="851" spans="1:15" x14ac:dyDescent="0.25">
      <c r="C851" s="565" t="s">
        <v>504</v>
      </c>
      <c r="D851" s="599">
        <f>'WSS Profile'!G36</f>
        <v>0</v>
      </c>
      <c r="E851" s="600"/>
      <c r="F851" s="1162"/>
      <c r="G851" s="597"/>
      <c r="H851" s="597"/>
      <c r="I851" s="1162"/>
      <c r="J851" s="1162"/>
      <c r="K851" s="1162"/>
      <c r="L851" s="1162"/>
    </row>
    <row r="852" spans="1:15" x14ac:dyDescent="0.25">
      <c r="C852" s="601" t="s">
        <v>643</v>
      </c>
      <c r="D852" s="596">
        <f>'WSS Profile'!G86</f>
        <v>0</v>
      </c>
      <c r="E852" s="602">
        <f>D851-D852</f>
        <v>0</v>
      </c>
      <c r="F852" s="1162"/>
      <c r="G852" s="597"/>
      <c r="H852" s="597"/>
      <c r="I852" s="1162"/>
      <c r="J852" s="1162"/>
      <c r="K852" s="1162"/>
      <c r="L852" s="1162"/>
    </row>
    <row r="853" spans="1:15" x14ac:dyDescent="0.25">
      <c r="C853" s="603" t="s">
        <v>504</v>
      </c>
      <c r="D853" s="604">
        <f>'WSS Profile'!G37</f>
        <v>0</v>
      </c>
      <c r="E853" s="605">
        <f>D851-D853</f>
        <v>0</v>
      </c>
      <c r="F853" s="597"/>
      <c r="G853" s="597"/>
      <c r="H853" s="597"/>
      <c r="I853" s="1162"/>
      <c r="J853" s="1162"/>
      <c r="K853" s="1162"/>
      <c r="L853" s="1162"/>
    </row>
    <row r="854" spans="1:15" x14ac:dyDescent="0.25">
      <c r="C854" s="386"/>
      <c r="D854" s="114"/>
      <c r="E854" s="1162"/>
      <c r="F854" s="597"/>
      <c r="G854" s="597"/>
      <c r="H854" s="597"/>
      <c r="I854" s="1162"/>
      <c r="J854" s="1162"/>
      <c r="K854" s="1162"/>
      <c r="L854" s="1162"/>
    </row>
    <row r="855" spans="1:15" x14ac:dyDescent="0.25">
      <c r="C855" s="565" t="s">
        <v>644</v>
      </c>
      <c r="D855" s="606" t="s">
        <v>1692</v>
      </c>
      <c r="E855" s="607" t="s">
        <v>364</v>
      </c>
      <c r="F855" s="607" t="s">
        <v>1681</v>
      </c>
      <c r="G855" s="548" t="s">
        <v>1693</v>
      </c>
      <c r="H855" s="607" t="s">
        <v>669</v>
      </c>
      <c r="I855" s="600" t="s">
        <v>647</v>
      </c>
      <c r="K855" s="1162"/>
      <c r="L855" s="1162"/>
    </row>
    <row r="856" spans="1:15" x14ac:dyDescent="0.25">
      <c r="C856" s="568" t="s">
        <v>646</v>
      </c>
      <c r="D856" s="597">
        <f>SUM('WSS Profile'!G97:G100)</f>
        <v>0</v>
      </c>
      <c r="E856" s="597">
        <f>E857</f>
        <v>0</v>
      </c>
      <c r="F856" s="596">
        <f>F857</f>
        <v>0</v>
      </c>
      <c r="G856" s="440">
        <f>'WSS Profile'!G148*'WS calcu'!G857</f>
        <v>0</v>
      </c>
      <c r="H856" s="597">
        <f>I856-(D856+E856+F856)</f>
        <v>0</v>
      </c>
      <c r="I856" s="608">
        <f>Population!E30</f>
        <v>0</v>
      </c>
      <c r="K856" s="1162"/>
      <c r="L856" s="1162"/>
    </row>
    <row r="857" spans="1:15" x14ac:dyDescent="0.25">
      <c r="C857" s="569" t="s">
        <v>645</v>
      </c>
      <c r="D857" s="609">
        <f>SUM('WSS Profile'!G92:G95,'WSS Profile'!G97:G100)</f>
        <v>0</v>
      </c>
      <c r="E857" s="609">
        <f>'WSS Profile'!G112</f>
        <v>0</v>
      </c>
      <c r="F857" s="604">
        <f>'WSS Profile'!G114</f>
        <v>0</v>
      </c>
      <c r="G857" s="555">
        <f>E222</f>
        <v>0</v>
      </c>
      <c r="H857" s="609">
        <f>I857-(D857+E857+F857)</f>
        <v>0</v>
      </c>
      <c r="I857" s="610">
        <f>Population!E31</f>
        <v>0</v>
      </c>
      <c r="K857" s="1162"/>
      <c r="L857" s="1162"/>
    </row>
    <row r="858" spans="1:15" x14ac:dyDescent="0.25">
      <c r="C858" s="386"/>
      <c r="D858" s="114"/>
      <c r="E858" s="1162"/>
      <c r="F858" s="1162"/>
      <c r="G858" s="1162"/>
      <c r="H858" s="1162"/>
      <c r="I858" s="1162"/>
      <c r="J858" s="1162"/>
      <c r="K858" s="1162"/>
      <c r="L858" s="1162"/>
    </row>
    <row r="859" spans="1:15" x14ac:dyDescent="0.25">
      <c r="C859" s="556"/>
      <c r="D859" s="557" t="s">
        <v>1694</v>
      </c>
      <c r="E859" s="557" t="s">
        <v>1695</v>
      </c>
      <c r="F859" s="626" t="s">
        <v>681</v>
      </c>
      <c r="G859" s="362" t="s">
        <v>1078</v>
      </c>
      <c r="H859" s="48" t="s">
        <v>1079</v>
      </c>
      <c r="I859" s="48"/>
      <c r="J859" s="1162"/>
      <c r="K859" s="1162"/>
      <c r="L859" s="1162"/>
    </row>
    <row r="860" spans="1:15" x14ac:dyDescent="0.25">
      <c r="C860" s="568" t="s">
        <v>185</v>
      </c>
      <c r="D860" s="454">
        <f>E4+E5+E6</f>
        <v>0</v>
      </c>
      <c r="E860" s="362">
        <f>E7</f>
        <v>0</v>
      </c>
      <c r="F860" s="553"/>
      <c r="G860" s="440">
        <f>D860+E860</f>
        <v>0</v>
      </c>
      <c r="H860" s="48"/>
      <c r="I860" s="1162"/>
      <c r="J860" s="1162"/>
      <c r="K860" s="1162"/>
      <c r="L860" s="1162"/>
    </row>
    <row r="861" spans="1:15" x14ac:dyDescent="0.25">
      <c r="C861" s="568" t="s">
        <v>2784</v>
      </c>
      <c r="D861" s="454">
        <f>E13+E6</f>
        <v>0</v>
      </c>
      <c r="E861" s="440">
        <f>E18</f>
        <v>0</v>
      </c>
      <c r="F861" s="579">
        <f>MAX((G861-D861),0)</f>
        <v>0</v>
      </c>
      <c r="G861" s="10">
        <f>G860*(1-H861)</f>
        <v>0</v>
      </c>
      <c r="H861" s="954">
        <f>E9</f>
        <v>0</v>
      </c>
      <c r="I861" s="1162"/>
      <c r="J861" s="1162"/>
      <c r="K861" s="1162"/>
      <c r="L861" s="1162"/>
    </row>
    <row r="862" spans="1:15" x14ac:dyDescent="0.25">
      <c r="C862" s="569" t="s">
        <v>680</v>
      </c>
      <c r="D862" s="627">
        <f>IFERROR($D$860/SUM(D860:E860),0)*IFERROR(($E$33/0.33),0)</f>
        <v>0</v>
      </c>
      <c r="E862" s="627">
        <f>IFERROR($D$860/SUM(E860:F860),0)*IFERROR(($E$33/0.33),0)</f>
        <v>0</v>
      </c>
      <c r="F862" s="581">
        <f>MAX(G862-SUM(D862:E862),0)</f>
        <v>0</v>
      </c>
      <c r="G862" s="10">
        <f>G860*(1-H862)</f>
        <v>0</v>
      </c>
      <c r="H862" s="954">
        <f>H861+E15+E23</f>
        <v>0</v>
      </c>
      <c r="I862" s="1162"/>
      <c r="J862" s="1162"/>
      <c r="K862" s="1162"/>
      <c r="L862" s="1162"/>
    </row>
    <row r="863" spans="1:15" x14ac:dyDescent="0.25">
      <c r="C863" s="9"/>
      <c r="D863" s="9"/>
      <c r="K863" s="1162"/>
      <c r="L863" s="1162"/>
    </row>
    <row r="864" spans="1:15" x14ac:dyDescent="0.25">
      <c r="C864" s="565"/>
      <c r="D864" s="611"/>
      <c r="E864" s="599"/>
      <c r="F864" s="612" t="s">
        <v>582</v>
      </c>
      <c r="G864" s="596"/>
      <c r="H864" s="597"/>
      <c r="I864" s="1162"/>
      <c r="J864" s="1162"/>
      <c r="K864" s="1162"/>
      <c r="L864" s="1162"/>
    </row>
    <row r="865" spans="3:12" x14ac:dyDescent="0.25">
      <c r="C865" s="568" t="s">
        <v>649</v>
      </c>
      <c r="D865" s="597">
        <f>E251</f>
        <v>0</v>
      </c>
      <c r="E865" s="597">
        <f>MAX(F865-D865,0)</f>
        <v>135</v>
      </c>
      <c r="F865" s="608">
        <v>135</v>
      </c>
      <c r="G865" s="596"/>
      <c r="H865" s="597"/>
      <c r="I865" s="1162"/>
      <c r="J865" s="1162"/>
      <c r="K865" s="1162"/>
      <c r="L865" s="1162"/>
    </row>
    <row r="866" spans="3:12" x14ac:dyDescent="0.25">
      <c r="C866" s="569" t="s">
        <v>648</v>
      </c>
      <c r="D866" s="609">
        <f>IFERROR(E8*10^6/E244,0)</f>
        <v>0</v>
      </c>
      <c r="E866" s="609">
        <f>MAX(F866-D866,0)</f>
        <v>135</v>
      </c>
      <c r="F866" s="610">
        <v>135</v>
      </c>
      <c r="G866" s="596"/>
      <c r="H866" s="597"/>
      <c r="I866" s="1162"/>
      <c r="J866" s="1162"/>
      <c r="K866" s="1162"/>
      <c r="L866" s="1162"/>
    </row>
    <row r="867" spans="3:12" x14ac:dyDescent="0.25">
      <c r="C867" s="386"/>
      <c r="D867" s="114"/>
      <c r="E867" s="1162"/>
      <c r="F867" s="1162"/>
      <c r="G867" s="596"/>
      <c r="H867" s="597"/>
      <c r="I867" s="1162"/>
      <c r="J867" s="1162"/>
      <c r="K867" s="1162"/>
      <c r="L867" s="1162"/>
    </row>
    <row r="868" spans="3:12" x14ac:dyDescent="0.25">
      <c r="C868" s="565"/>
      <c r="D868" s="611"/>
      <c r="E868" s="599"/>
      <c r="F868" s="612" t="s">
        <v>582</v>
      </c>
      <c r="G868" s="596"/>
      <c r="H868" s="597"/>
      <c r="I868" s="1162"/>
      <c r="J868" s="1162"/>
      <c r="K868" s="1162"/>
      <c r="L868" s="1162"/>
    </row>
    <row r="869" spans="3:12" x14ac:dyDescent="0.25">
      <c r="C869" s="568" t="s">
        <v>650</v>
      </c>
      <c r="D869" s="596">
        <f>'WSS Profile'!G153</f>
        <v>0</v>
      </c>
      <c r="E869" s="596">
        <f>F869-D869</f>
        <v>30</v>
      </c>
      <c r="F869" s="602">
        <v>30</v>
      </c>
      <c r="G869" s="596"/>
      <c r="H869" s="597"/>
      <c r="I869" s="1162"/>
      <c r="J869" s="1162"/>
      <c r="K869" s="1162"/>
      <c r="L869" s="1162"/>
    </row>
    <row r="870" spans="3:12" x14ac:dyDescent="0.25">
      <c r="C870" s="569" t="s">
        <v>29</v>
      </c>
      <c r="D870" s="604">
        <f>'WSS Profile'!G152</f>
        <v>0</v>
      </c>
      <c r="E870" s="604">
        <f>F870-D870</f>
        <v>24</v>
      </c>
      <c r="F870" s="605">
        <v>24</v>
      </c>
      <c r="G870" s="596"/>
      <c r="H870" s="597"/>
      <c r="I870" s="1162"/>
      <c r="J870" s="1162"/>
      <c r="K870" s="1162"/>
      <c r="L870" s="1162"/>
    </row>
    <row r="871" spans="3:12" x14ac:dyDescent="0.25">
      <c r="C871" s="386"/>
      <c r="D871" s="114"/>
      <c r="E871" s="1162"/>
      <c r="F871" s="1162"/>
      <c r="G871" s="597"/>
      <c r="H871" s="597"/>
      <c r="I871" s="1162"/>
      <c r="J871" s="1162"/>
      <c r="K871" s="1162"/>
      <c r="L871" s="1162"/>
    </row>
    <row r="872" spans="3:12" x14ac:dyDescent="0.25">
      <c r="C872" s="547"/>
      <c r="D872" s="557"/>
      <c r="E872" s="613" t="s">
        <v>652</v>
      </c>
      <c r="F872" s="613"/>
      <c r="G872" s="613"/>
      <c r="H872" s="613"/>
      <c r="I872" s="613" t="s">
        <v>653</v>
      </c>
      <c r="J872" s="614"/>
      <c r="K872" s="1162"/>
      <c r="L872" s="48"/>
    </row>
    <row r="873" spans="3:12" ht="45" x14ac:dyDescent="0.25">
      <c r="C873" s="615"/>
      <c r="D873" s="1162"/>
      <c r="E873" s="620" t="s">
        <v>659</v>
      </c>
      <c r="F873" s="620" t="s">
        <v>658</v>
      </c>
      <c r="G873" s="620" t="s">
        <v>657</v>
      </c>
      <c r="H873" s="620" t="s">
        <v>656</v>
      </c>
      <c r="I873" s="620" t="s">
        <v>654</v>
      </c>
      <c r="J873" s="621" t="s">
        <v>655</v>
      </c>
      <c r="K873" s="48"/>
      <c r="L873" s="48"/>
    </row>
    <row r="874" spans="3:12" x14ac:dyDescent="0.25">
      <c r="C874" s="616" t="s">
        <v>2097</v>
      </c>
      <c r="D874" s="440"/>
      <c r="E874" s="596">
        <f>E4+E5-E10</f>
        <v>0</v>
      </c>
      <c r="F874" s="440">
        <f>E14-E16</f>
        <v>0</v>
      </c>
      <c r="G874" s="596">
        <f>E22-E24</f>
        <v>0</v>
      </c>
      <c r="H874" s="440">
        <f>E24-E26</f>
        <v>0</v>
      </c>
      <c r="I874" s="440">
        <f>E27</f>
        <v>0</v>
      </c>
      <c r="J874" s="554">
        <f>E28</f>
        <v>0</v>
      </c>
      <c r="K874" s="48"/>
      <c r="L874" s="48"/>
    </row>
    <row r="875" spans="3:12" x14ac:dyDescent="0.25">
      <c r="C875" s="551" t="s">
        <v>651</v>
      </c>
      <c r="D875" s="617">
        <f>E29</f>
        <v>0</v>
      </c>
      <c r="E875" s="619"/>
      <c r="F875" s="570"/>
      <c r="G875" s="570"/>
      <c r="H875" s="570"/>
      <c r="I875" s="570"/>
      <c r="J875" s="618"/>
      <c r="K875" s="48"/>
      <c r="L875" s="48"/>
    </row>
    <row r="876" spans="3:12" x14ac:dyDescent="0.25">
      <c r="C876" s="386"/>
      <c r="D876" s="596"/>
      <c r="E876" s="1162"/>
      <c r="F876" s="1162"/>
      <c r="G876" s="1162"/>
      <c r="H876" s="1162"/>
      <c r="I876" s="1162"/>
      <c r="J876" s="1162"/>
      <c r="K876" s="1162"/>
      <c r="L876" s="1162"/>
    </row>
    <row r="877" spans="3:12" x14ac:dyDescent="0.25">
      <c r="C877" s="582"/>
      <c r="D877" s="548" t="s">
        <v>681</v>
      </c>
      <c r="E877" s="548" t="s">
        <v>167</v>
      </c>
      <c r="F877" s="549"/>
      <c r="G877" s="1162"/>
      <c r="H877" s="1162"/>
      <c r="I877" s="1162"/>
      <c r="J877" s="1162"/>
      <c r="K877" s="1162"/>
      <c r="L877" s="1162"/>
    </row>
    <row r="878" spans="3:12" x14ac:dyDescent="0.25">
      <c r="C878" s="622" t="s">
        <v>660</v>
      </c>
      <c r="D878" s="550">
        <f>F878-E878</f>
        <v>0</v>
      </c>
      <c r="E878" s="597">
        <f>SUM('WSS Profile'!F140:F141)</f>
        <v>0</v>
      </c>
      <c r="F878" s="553">
        <f>SUM('WSS Profile'!F112:F114)</f>
        <v>0</v>
      </c>
      <c r="G878" s="1162"/>
      <c r="H878" s="550"/>
      <c r="I878" s="1162"/>
      <c r="J878" s="1162"/>
      <c r="K878" s="1162"/>
      <c r="L878" s="1162"/>
    </row>
    <row r="879" spans="3:12" x14ac:dyDescent="0.25">
      <c r="C879" s="622" t="s">
        <v>26</v>
      </c>
      <c r="D879" s="550">
        <f>F879-E879</f>
        <v>0</v>
      </c>
      <c r="E879" s="597">
        <f>SUM('WSS Profile'!F135:F138)</f>
        <v>0</v>
      </c>
      <c r="F879" s="553">
        <f>SUM('WSS Profile'!F107:F110)</f>
        <v>0</v>
      </c>
      <c r="G879" s="1162"/>
      <c r="H879" s="1162"/>
      <c r="I879" s="1162"/>
      <c r="J879" s="1162"/>
      <c r="K879" s="1162"/>
      <c r="L879" s="1162"/>
    </row>
    <row r="880" spans="3:12" x14ac:dyDescent="0.25">
      <c r="C880" s="615" t="s">
        <v>1696</v>
      </c>
      <c r="D880" s="550">
        <f>F880-E880</f>
        <v>0</v>
      </c>
      <c r="E880" s="597">
        <f>SUM('WSS Profile'!F130:F133)</f>
        <v>0</v>
      </c>
      <c r="F880" s="553">
        <f>SUM('WSS Profile'!F102:F105)</f>
        <v>0</v>
      </c>
      <c r="G880" s="1162"/>
      <c r="H880" s="1162"/>
      <c r="I880" s="1162"/>
      <c r="J880" s="1162"/>
      <c r="K880" s="1162"/>
      <c r="L880" s="1162"/>
    </row>
    <row r="881" spans="3:12" x14ac:dyDescent="0.25">
      <c r="C881" s="1533" t="s">
        <v>661</v>
      </c>
      <c r="D881" s="552">
        <f>F881-E881</f>
        <v>0</v>
      </c>
      <c r="E881" s="609">
        <f>SUM('WSS Profile'!F120:F123)+SUM('WSS Profile'!F125:F128)</f>
        <v>0</v>
      </c>
      <c r="F881" s="618">
        <f>SUM('WSS Profile'!F92:F95)+SUM('WSS Profile'!F97:F100)</f>
        <v>0</v>
      </c>
      <c r="G881" s="1162"/>
      <c r="H881" s="1162"/>
      <c r="I881" s="1162"/>
      <c r="J881" s="1162"/>
      <c r="K881" s="1162"/>
      <c r="L881" s="1162"/>
    </row>
    <row r="882" spans="3:12" x14ac:dyDescent="0.25">
      <c r="C882" s="50"/>
      <c r="D882" s="114"/>
      <c r="E882" s="1162"/>
      <c r="F882" s="1162"/>
      <c r="G882" s="1162"/>
      <c r="H882" s="1162"/>
      <c r="I882" s="1162"/>
      <c r="J882" s="1162"/>
      <c r="K882" s="1162"/>
      <c r="L882" s="1162"/>
    </row>
    <row r="883" spans="3:12" ht="30" x14ac:dyDescent="0.25">
      <c r="C883" s="623"/>
      <c r="D883" s="571" t="s">
        <v>693</v>
      </c>
      <c r="E883" s="572" t="s">
        <v>692</v>
      </c>
      <c r="F883" s="1162"/>
      <c r="G883" s="1162"/>
      <c r="H883" s="1162"/>
      <c r="I883" s="1162"/>
      <c r="J883" s="1162"/>
      <c r="K883" s="1162"/>
      <c r="L883" s="1162"/>
    </row>
    <row r="884" spans="3:12" x14ac:dyDescent="0.25">
      <c r="C884" s="624" t="s">
        <v>663</v>
      </c>
      <c r="D884" s="545">
        <f>'Finance info'!J79</f>
        <v>0</v>
      </c>
      <c r="E884" s="561">
        <f>'Finance info'!I79</f>
        <v>0</v>
      </c>
      <c r="F884" s="1162"/>
      <c r="G884" s="1162"/>
      <c r="H884" s="546"/>
      <c r="I884" s="1162"/>
      <c r="J884" s="1162"/>
      <c r="K884" s="1162"/>
      <c r="L884" s="1162"/>
    </row>
    <row r="885" spans="3:12" x14ac:dyDescent="0.25">
      <c r="C885" s="625" t="s">
        <v>662</v>
      </c>
      <c r="D885" s="563">
        <f>'Finance info'!J86</f>
        <v>0</v>
      </c>
      <c r="E885" s="564">
        <f>'Finance info'!I86</f>
        <v>0</v>
      </c>
      <c r="F885" s="1162"/>
      <c r="G885" s="1162"/>
      <c r="H885" s="1162"/>
      <c r="I885" s="1162"/>
      <c r="J885" s="1162"/>
      <c r="K885" s="1162"/>
      <c r="L885" s="1162"/>
    </row>
    <row r="886" spans="3:12" x14ac:dyDescent="0.25">
      <c r="C886" s="386"/>
      <c r="D886" s="114"/>
      <c r="E886" s="1162"/>
      <c r="F886" s="1162"/>
      <c r="G886" s="1162"/>
      <c r="H886" s="1162"/>
      <c r="I886" s="1162"/>
      <c r="J886" s="1162"/>
      <c r="K886" s="1162"/>
      <c r="L886" s="1162"/>
    </row>
    <row r="887" spans="3:12" ht="30" x14ac:dyDescent="0.25">
      <c r="C887" s="565"/>
      <c r="D887" s="566" t="s">
        <v>665</v>
      </c>
      <c r="E887" s="566" t="s">
        <v>51</v>
      </c>
      <c r="F887" s="566" t="s">
        <v>666</v>
      </c>
      <c r="G887" s="566" t="s">
        <v>494</v>
      </c>
      <c r="H887" s="566" t="s">
        <v>667</v>
      </c>
      <c r="I887" s="566" t="s">
        <v>660</v>
      </c>
      <c r="J887" s="566" t="s">
        <v>505</v>
      </c>
      <c r="K887" s="566" t="s">
        <v>49</v>
      </c>
      <c r="L887" s="567" t="s">
        <v>26</v>
      </c>
    </row>
    <row r="888" spans="3:12" x14ac:dyDescent="0.25">
      <c r="C888" s="568" t="s">
        <v>664</v>
      </c>
      <c r="D888" s="577">
        <f>'Finance info'!J161</f>
        <v>0</v>
      </c>
      <c r="E888" s="577">
        <f>'Finance info'!J162</f>
        <v>0</v>
      </c>
      <c r="F888" s="577">
        <f>'Finance info'!J163</f>
        <v>0</v>
      </c>
      <c r="G888" s="577">
        <f>'Finance info'!J164</f>
        <v>0</v>
      </c>
      <c r="H888" s="577">
        <f>'Finance info'!J166</f>
        <v>0</v>
      </c>
      <c r="I888" s="577">
        <f>'Finance info'!J165</f>
        <v>0</v>
      </c>
      <c r="J888" s="386"/>
      <c r="K888" s="386"/>
      <c r="L888" s="578"/>
    </row>
    <row r="889" spans="3:12" x14ac:dyDescent="0.25">
      <c r="C889" s="569" t="s">
        <v>540</v>
      </c>
      <c r="D889" s="278"/>
      <c r="E889" s="590"/>
      <c r="F889" s="590"/>
      <c r="G889" s="590"/>
      <c r="H889" s="590"/>
      <c r="I889" s="590"/>
      <c r="J889" s="580">
        <f>'Finance info'!J152+'Finance info'!J153+'Finance info'!J154</f>
        <v>0</v>
      </c>
      <c r="K889" s="580">
        <f>'Finance info'!J155</f>
        <v>0</v>
      </c>
      <c r="L889" s="581">
        <f>'Finance info'!J156</f>
        <v>0</v>
      </c>
    </row>
    <row r="890" spans="3:12" x14ac:dyDescent="0.25">
      <c r="C890" s="48"/>
      <c r="D890" s="48"/>
      <c r="E890" s="48"/>
      <c r="F890" s="48"/>
      <c r="G890" s="48"/>
      <c r="H890" s="48"/>
      <c r="I890" s="48"/>
      <c r="J890" s="1162"/>
      <c r="K890" s="1162"/>
      <c r="L890" s="1162"/>
    </row>
    <row r="891" spans="3:12" x14ac:dyDescent="0.25">
      <c r="C891" s="386"/>
      <c r="D891" s="454"/>
      <c r="E891" s="1162"/>
      <c r="F891" s="1162"/>
      <c r="G891" s="1162"/>
      <c r="H891" s="1162"/>
      <c r="I891" s="1162"/>
      <c r="J891" s="1162"/>
      <c r="K891" s="1162"/>
      <c r="L891" s="1162"/>
    </row>
  </sheetData>
  <mergeCells count="2">
    <mergeCell ref="C733:C734"/>
    <mergeCell ref="B527:B528"/>
  </mergeCells>
  <dataValidations count="2">
    <dataValidation type="list" allowBlank="1" showInputMessage="1" showErrorMessage="1" sqref="F436">
      <formula1>"WSS GR, % escalation"</formula1>
    </dataValidation>
    <dataValidation type="list" allowBlank="1" showInputMessage="1" showErrorMessage="1" sqref="F256">
      <formula1>"Total Popn., Popn. served"</formula1>
    </dataValidation>
  </dataValidations>
  <pageMargins left="0.7" right="0.7" top="0.75" bottom="0.75" header="0.3" footer="0.3"/>
  <pageSetup paperSize="9"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1" tint="0.34998626667073579"/>
    <pageSetUpPr fitToPage="1"/>
  </sheetPr>
  <dimension ref="B1:J82"/>
  <sheetViews>
    <sheetView zoomScale="75" zoomScaleNormal="75" zoomScaleSheetLayoutView="40" zoomScalePageLayoutView="60" workbookViewId="0">
      <selection activeCell="L11" sqref="L11"/>
    </sheetView>
  </sheetViews>
  <sheetFormatPr defaultColWidth="9.140625" defaultRowHeight="15" x14ac:dyDescent="0.25"/>
  <cols>
    <col min="1" max="1" width="11.140625" style="918" customWidth="1"/>
    <col min="2" max="2" width="4.140625" style="918" customWidth="1"/>
    <col min="3" max="3" width="3" style="918" customWidth="1"/>
    <col min="4" max="7" width="40.85546875" style="918" customWidth="1"/>
    <col min="8" max="8" width="3.5703125" style="918" customWidth="1"/>
    <col min="9" max="9" width="4.5703125" style="918" customWidth="1"/>
    <col min="10" max="10" width="10.140625" style="918" customWidth="1"/>
    <col min="11" max="16384" width="9.140625" style="918"/>
  </cols>
  <sheetData>
    <row r="1" spans="2:10" s="921" customFormat="1" ht="6.75" customHeight="1" x14ac:dyDescent="0.25"/>
    <row r="2" spans="2:10" s="921" customFormat="1" ht="55.5" customHeight="1" x14ac:dyDescent="0.45">
      <c r="B2" s="516"/>
      <c r="C2" s="6169" t="s">
        <v>2088</v>
      </c>
      <c r="D2" s="6169"/>
      <c r="E2" s="6169"/>
      <c r="F2" s="6169"/>
      <c r="G2" s="1138"/>
      <c r="H2" s="517"/>
      <c r="I2" s="518"/>
    </row>
    <row r="3" spans="2:10" s="921" customFormat="1" ht="10.5" customHeight="1" x14ac:dyDescent="0.25">
      <c r="B3" s="519"/>
      <c r="C3" s="922"/>
      <c r="D3" s="922"/>
      <c r="E3" s="922"/>
      <c r="F3" s="922"/>
      <c r="G3" s="922"/>
      <c r="H3" s="468"/>
      <c r="I3" s="520"/>
    </row>
    <row r="4" spans="2:10" ht="28.5" x14ac:dyDescent="0.25">
      <c r="B4" s="519"/>
      <c r="C4" s="6176" t="s">
        <v>3738</v>
      </c>
      <c r="D4" s="6176"/>
      <c r="E4" s="6176"/>
      <c r="F4" s="6176"/>
      <c r="G4" s="6176"/>
      <c r="H4" s="6176"/>
      <c r="I4" s="520"/>
    </row>
    <row r="5" spans="2:10" ht="18.75" customHeight="1" x14ac:dyDescent="0.25">
      <c r="B5" s="519"/>
      <c r="C5" s="923"/>
      <c r="D5" s="923"/>
      <c r="E5" s="923"/>
      <c r="F5" s="923"/>
      <c r="G5" s="923"/>
      <c r="H5" s="468"/>
      <c r="I5" s="520"/>
    </row>
    <row r="6" spans="2:10" x14ac:dyDescent="0.25">
      <c r="B6" s="919"/>
      <c r="C6" s="919"/>
      <c r="D6" s="919"/>
      <c r="E6" s="919"/>
      <c r="F6" s="919"/>
      <c r="G6" s="919"/>
      <c r="H6" s="919"/>
      <c r="I6" s="919"/>
    </row>
    <row r="7" spans="2:10" s="493" customFormat="1" ht="23.25" x14ac:dyDescent="0.25">
      <c r="B7" s="919"/>
      <c r="C7" s="917"/>
      <c r="D7" s="932" t="s">
        <v>3457</v>
      </c>
      <c r="E7" s="924"/>
      <c r="F7" s="924"/>
      <c r="G7" s="924"/>
      <c r="H7" s="924"/>
      <c r="I7" s="919"/>
    </row>
    <row r="8" spans="2:10" ht="87.75" customHeight="1" x14ac:dyDescent="0.25">
      <c r="B8" s="919"/>
      <c r="C8" s="6177" t="s">
        <v>3458</v>
      </c>
      <c r="D8" s="6177"/>
      <c r="E8" s="6177"/>
      <c r="F8" s="6177"/>
      <c r="G8" s="6177"/>
      <c r="H8" s="6177"/>
      <c r="I8" s="919"/>
      <c r="J8" s="493"/>
    </row>
    <row r="9" spans="2:10" x14ac:dyDescent="0.25">
      <c r="B9" s="919"/>
      <c r="C9" s="817"/>
      <c r="D9" s="817"/>
      <c r="E9" s="992"/>
      <c r="F9" s="992"/>
      <c r="G9" s="992"/>
      <c r="H9" s="919"/>
      <c r="I9" s="919"/>
      <c r="J9" s="493"/>
    </row>
    <row r="10" spans="2:10" s="493" customFormat="1" ht="23.25" x14ac:dyDescent="0.25">
      <c r="B10" s="919"/>
      <c r="C10" s="917"/>
      <c r="D10" s="932" t="s">
        <v>3739</v>
      </c>
      <c r="E10" s="924"/>
      <c r="F10" s="924"/>
      <c r="G10" s="924"/>
      <c r="H10" s="924"/>
      <c r="I10" s="919"/>
    </row>
    <row r="11" spans="2:10" s="493" customFormat="1" ht="247.5" customHeight="1" x14ac:dyDescent="0.25">
      <c r="B11" s="499"/>
      <c r="C11" s="6177" t="s">
        <v>3841</v>
      </c>
      <c r="D11" s="6177"/>
      <c r="E11" s="6177"/>
      <c r="F11" s="6177"/>
      <c r="G11" s="6177"/>
      <c r="H11" s="6177"/>
      <c r="I11" s="499"/>
    </row>
    <row r="12" spans="2:10" s="493" customFormat="1" ht="17.25" x14ac:dyDescent="0.25">
      <c r="B12" s="499"/>
      <c r="C12" s="912"/>
      <c r="D12" s="912"/>
      <c r="E12" s="931"/>
      <c r="F12" s="931"/>
      <c r="G12" s="931"/>
      <c r="H12" s="499"/>
      <c r="I12" s="499"/>
    </row>
    <row r="13" spans="2:10" s="493" customFormat="1" ht="23.25" x14ac:dyDescent="0.25">
      <c r="B13" s="919"/>
      <c r="C13" s="917"/>
      <c r="D13" s="932" t="s">
        <v>3740</v>
      </c>
      <c r="E13" s="924"/>
      <c r="F13" s="924"/>
      <c r="G13" s="924"/>
      <c r="H13" s="924"/>
      <c r="I13" s="919"/>
    </row>
    <row r="14" spans="2:10" x14ac:dyDescent="0.25">
      <c r="B14" s="919"/>
      <c r="C14" s="991"/>
      <c r="D14" s="991"/>
      <c r="E14" s="991"/>
      <c r="F14" s="991"/>
      <c r="G14" s="991"/>
      <c r="H14" s="919"/>
      <c r="I14" s="919"/>
      <c r="J14" s="493"/>
    </row>
    <row r="15" spans="2:10" x14ac:dyDescent="0.25">
      <c r="B15" s="919"/>
      <c r="C15" s="388"/>
      <c r="D15" s="388"/>
      <c r="E15" s="388"/>
      <c r="F15" s="388"/>
      <c r="G15" s="388"/>
      <c r="H15" s="933"/>
      <c r="I15" s="919"/>
      <c r="J15" s="493"/>
    </row>
    <row r="16" spans="2:10" x14ac:dyDescent="0.25">
      <c r="B16" s="919"/>
      <c r="C16" s="388"/>
      <c r="D16" s="388"/>
      <c r="E16" s="388"/>
      <c r="F16" s="388"/>
      <c r="G16" s="388"/>
      <c r="H16" s="933"/>
      <c r="I16" s="919"/>
      <c r="J16" s="493"/>
    </row>
    <row r="17" spans="2:10" x14ac:dyDescent="0.25">
      <c r="B17" s="919"/>
      <c r="C17" s="388"/>
      <c r="D17" s="388"/>
      <c r="E17" s="388"/>
      <c r="F17" s="388"/>
      <c r="G17" s="388"/>
      <c r="H17" s="933"/>
      <c r="I17" s="919"/>
      <c r="J17" s="493"/>
    </row>
    <row r="18" spans="2:10" x14ac:dyDescent="0.25">
      <c r="B18" s="919"/>
      <c r="C18" s="388"/>
      <c r="D18" s="388"/>
      <c r="E18" s="388"/>
      <c r="F18" s="388"/>
      <c r="G18" s="388"/>
      <c r="H18" s="933"/>
      <c r="I18" s="919"/>
      <c r="J18" s="493"/>
    </row>
    <row r="19" spans="2:10" x14ac:dyDescent="0.25">
      <c r="B19" s="919"/>
      <c r="C19" s="388"/>
      <c r="D19" s="388"/>
      <c r="E19" s="388"/>
      <c r="F19" s="388"/>
      <c r="G19" s="388"/>
      <c r="H19" s="933"/>
      <c r="I19" s="919"/>
      <c r="J19" s="493"/>
    </row>
    <row r="20" spans="2:10" x14ac:dyDescent="0.25">
      <c r="B20" s="919"/>
      <c r="C20" s="388"/>
      <c r="D20" s="388"/>
      <c r="E20" s="388"/>
      <c r="F20" s="388"/>
      <c r="G20" s="388"/>
      <c r="H20" s="933"/>
      <c r="I20" s="919"/>
      <c r="J20" s="493"/>
    </row>
    <row r="21" spans="2:10" x14ac:dyDescent="0.25">
      <c r="B21" s="919"/>
      <c r="C21" s="388"/>
      <c r="D21" s="388"/>
      <c r="E21" s="388"/>
      <c r="F21" s="388"/>
      <c r="G21" s="388"/>
      <c r="H21" s="933"/>
      <c r="I21" s="919"/>
    </row>
    <row r="22" spans="2:10" x14ac:dyDescent="0.25">
      <c r="B22" s="919"/>
      <c r="C22" s="388"/>
      <c r="D22" s="388"/>
      <c r="E22" s="388"/>
      <c r="F22" s="388"/>
      <c r="G22" s="388"/>
      <c r="H22" s="933"/>
      <c r="I22" s="919"/>
    </row>
    <row r="23" spans="2:10" x14ac:dyDescent="0.25">
      <c r="B23" s="919"/>
      <c r="C23" s="388"/>
      <c r="D23" s="388"/>
      <c r="E23" s="388"/>
      <c r="F23" s="388"/>
      <c r="G23" s="388"/>
      <c r="H23" s="933"/>
      <c r="I23" s="919"/>
    </row>
    <row r="24" spans="2:10" x14ac:dyDescent="0.25">
      <c r="B24" s="919"/>
      <c r="C24" s="388"/>
      <c r="D24" s="388"/>
      <c r="E24" s="388"/>
      <c r="F24" s="388"/>
      <c r="G24" s="388"/>
      <c r="H24" s="933"/>
      <c r="I24" s="919"/>
    </row>
    <row r="25" spans="2:10" x14ac:dyDescent="0.25">
      <c r="B25" s="919"/>
      <c r="C25" s="388"/>
      <c r="D25" s="388"/>
      <c r="E25" s="388"/>
      <c r="F25" s="388"/>
      <c r="G25" s="388"/>
      <c r="H25" s="933"/>
      <c r="I25" s="919"/>
    </row>
    <row r="26" spans="2:10" x14ac:dyDescent="0.25">
      <c r="B26" s="919"/>
      <c r="C26" s="388"/>
      <c r="D26" s="388"/>
      <c r="E26" s="388"/>
      <c r="F26" s="388"/>
      <c r="G26" s="388"/>
      <c r="H26" s="933"/>
      <c r="I26" s="919"/>
    </row>
    <row r="27" spans="2:10" x14ac:dyDescent="0.25">
      <c r="B27" s="919"/>
      <c r="C27" s="388"/>
      <c r="D27" s="388"/>
      <c r="E27" s="388"/>
      <c r="F27" s="388"/>
      <c r="G27" s="388"/>
      <c r="H27" s="933"/>
      <c r="I27" s="919"/>
    </row>
    <row r="28" spans="2:10" x14ac:dyDescent="0.25">
      <c r="B28" s="919"/>
      <c r="C28" s="388"/>
      <c r="D28" s="388"/>
      <c r="E28" s="388"/>
      <c r="F28" s="388"/>
      <c r="G28" s="388"/>
      <c r="H28" s="933"/>
      <c r="I28" s="919"/>
    </row>
    <row r="29" spans="2:10" x14ac:dyDescent="0.25">
      <c r="B29" s="919"/>
      <c r="C29" s="388"/>
      <c r="D29" s="388"/>
      <c r="E29" s="388"/>
      <c r="F29" s="388"/>
      <c r="G29" s="388"/>
      <c r="H29" s="933"/>
      <c r="I29" s="919"/>
    </row>
    <row r="30" spans="2:10" x14ac:dyDescent="0.25">
      <c r="B30" s="919"/>
      <c r="C30" s="388"/>
      <c r="D30" s="388"/>
      <c r="E30" s="388"/>
      <c r="F30" s="388"/>
      <c r="G30" s="388"/>
      <c r="H30" s="933"/>
      <c r="I30" s="919"/>
    </row>
    <row r="31" spans="2:10" x14ac:dyDescent="0.25">
      <c r="B31" s="919"/>
      <c r="C31" s="388"/>
      <c r="D31" s="388"/>
      <c r="E31" s="388"/>
      <c r="F31" s="388"/>
      <c r="G31" s="388"/>
      <c r="H31" s="933"/>
      <c r="I31" s="919"/>
    </row>
    <row r="32" spans="2:10" x14ac:dyDescent="0.25">
      <c r="B32" s="919"/>
      <c r="C32" s="388"/>
      <c r="D32" s="388"/>
      <c r="E32" s="388"/>
      <c r="F32" s="388"/>
      <c r="G32" s="388"/>
      <c r="H32" s="933"/>
      <c r="I32" s="919"/>
    </row>
    <row r="33" spans="2:9" x14ac:dyDescent="0.25">
      <c r="B33" s="919"/>
      <c r="C33" s="388"/>
      <c r="D33" s="388"/>
      <c r="E33" s="388"/>
      <c r="F33" s="388"/>
      <c r="G33" s="388"/>
      <c r="H33" s="933"/>
      <c r="I33" s="919"/>
    </row>
    <row r="34" spans="2:9" x14ac:dyDescent="0.25">
      <c r="B34" s="919"/>
      <c r="C34" s="388"/>
      <c r="D34" s="388"/>
      <c r="E34" s="388"/>
      <c r="F34" s="388"/>
      <c r="G34" s="388"/>
      <c r="H34" s="933"/>
      <c r="I34" s="919"/>
    </row>
    <row r="35" spans="2:9" x14ac:dyDescent="0.25">
      <c r="B35" s="919"/>
      <c r="C35" s="388"/>
      <c r="D35" s="388"/>
      <c r="E35" s="388"/>
      <c r="F35" s="388"/>
      <c r="G35" s="388"/>
      <c r="H35" s="933"/>
      <c r="I35" s="919"/>
    </row>
    <row r="36" spans="2:9" ht="21" x14ac:dyDescent="0.35">
      <c r="B36" s="739"/>
      <c r="C36" s="934"/>
      <c r="D36" s="935" t="s">
        <v>1407</v>
      </c>
      <c r="E36" s="938"/>
      <c r="F36" s="938"/>
      <c r="G36" s="938"/>
      <c r="H36" s="936"/>
      <c r="I36" s="919"/>
    </row>
    <row r="37" spans="2:9" ht="138" customHeight="1" x14ac:dyDescent="0.25">
      <c r="B37" s="919"/>
      <c r="C37" s="937"/>
      <c r="D37" s="6178" t="s">
        <v>3744</v>
      </c>
      <c r="E37" s="6179"/>
      <c r="F37" s="6179"/>
      <c r="G37" s="6180"/>
      <c r="H37" s="933"/>
      <c r="I37" s="919"/>
    </row>
    <row r="38" spans="2:9" ht="33.75" customHeight="1" x14ac:dyDescent="0.35">
      <c r="B38" s="739"/>
      <c r="C38" s="934"/>
      <c r="D38" s="935" t="s">
        <v>2144</v>
      </c>
      <c r="E38" s="938"/>
      <c r="F38" s="938"/>
      <c r="G38" s="938"/>
      <c r="H38" s="936"/>
      <c r="I38" s="919"/>
    </row>
    <row r="39" spans="2:9" ht="234.75" customHeight="1" x14ac:dyDescent="0.25">
      <c r="B39" s="919"/>
      <c r="C39" s="937"/>
      <c r="D39" s="6181" t="s">
        <v>3085</v>
      </c>
      <c r="E39" s="6182"/>
      <c r="F39" s="6182"/>
      <c r="G39" s="6183"/>
      <c r="H39" s="933"/>
      <c r="I39" s="919"/>
    </row>
    <row r="40" spans="2:9" ht="33.75" customHeight="1" x14ac:dyDescent="0.35">
      <c r="B40" s="739"/>
      <c r="C40" s="934"/>
      <c r="D40" s="935" t="s">
        <v>2146</v>
      </c>
      <c r="E40" s="938"/>
      <c r="F40" s="938"/>
      <c r="G40" s="938"/>
      <c r="H40" s="936"/>
      <c r="I40" s="919"/>
    </row>
    <row r="41" spans="2:9" ht="254.25" customHeight="1" x14ac:dyDescent="0.25">
      <c r="B41" s="919"/>
      <c r="C41" s="937"/>
      <c r="D41" s="6170" t="s">
        <v>3781</v>
      </c>
      <c r="E41" s="6171"/>
      <c r="F41" s="6171"/>
      <c r="G41" s="6172"/>
      <c r="H41" s="933"/>
      <c r="I41" s="919"/>
    </row>
    <row r="42" spans="2:9" ht="33.75" customHeight="1" x14ac:dyDescent="0.35">
      <c r="B42" s="739"/>
      <c r="C42" s="934"/>
      <c r="D42" s="935" t="s">
        <v>1943</v>
      </c>
      <c r="E42" s="938"/>
      <c r="F42" s="938"/>
      <c r="G42" s="938"/>
      <c r="H42" s="936"/>
      <c r="I42" s="919"/>
    </row>
    <row r="43" spans="2:9" ht="140.25" customHeight="1" x14ac:dyDescent="0.25">
      <c r="B43" s="919"/>
      <c r="C43" s="937"/>
      <c r="D43" s="6173" t="s">
        <v>1947</v>
      </c>
      <c r="E43" s="6174"/>
      <c r="F43" s="6174"/>
      <c r="G43" s="6175"/>
      <c r="H43" s="933"/>
      <c r="I43" s="919"/>
    </row>
    <row r="44" spans="2:9" ht="21" x14ac:dyDescent="0.35">
      <c r="B44" s="739"/>
      <c r="C44" s="934"/>
      <c r="D44" s="1210"/>
      <c r="E44" s="938"/>
      <c r="F44" s="938"/>
      <c r="G44" s="938"/>
      <c r="H44" s="936"/>
      <c r="I44" s="919"/>
    </row>
    <row r="45" spans="2:9" x14ac:dyDescent="0.25">
      <c r="B45" s="919"/>
      <c r="C45" s="919"/>
      <c r="D45" s="919"/>
      <c r="E45" s="919"/>
      <c r="F45" s="919"/>
      <c r="G45" s="919"/>
      <c r="H45" s="919"/>
      <c r="I45" s="919"/>
    </row>
    <row r="46" spans="2:9" ht="23.25" x14ac:dyDescent="0.25">
      <c r="B46" s="919"/>
      <c r="C46" s="917"/>
      <c r="D46" s="932" t="s">
        <v>3086</v>
      </c>
      <c r="E46" s="924"/>
      <c r="F46" s="924"/>
      <c r="G46" s="924"/>
      <c r="H46" s="924"/>
      <c r="I46" s="919"/>
    </row>
    <row r="47" spans="2:9" ht="19.5" x14ac:dyDescent="0.25">
      <c r="B47" s="919"/>
      <c r="C47" s="919"/>
      <c r="D47" s="2181" t="s">
        <v>2541</v>
      </c>
      <c r="E47" s="1931"/>
      <c r="F47" s="1931"/>
      <c r="G47" s="1932"/>
      <c r="H47" s="919"/>
      <c r="I47" s="919"/>
    </row>
    <row r="48" spans="2:9" ht="32.25" customHeight="1" x14ac:dyDescent="0.3">
      <c r="B48" s="919"/>
      <c r="C48" s="919"/>
      <c r="D48" s="1930"/>
      <c r="E48" s="1931"/>
      <c r="F48" s="1931"/>
      <c r="G48" s="1932"/>
      <c r="H48" s="919"/>
      <c r="I48" s="919"/>
    </row>
    <row r="49" spans="2:9" ht="18.75" x14ac:dyDescent="0.25">
      <c r="B49" s="919"/>
      <c r="C49" s="933"/>
      <c r="D49" s="933"/>
      <c r="E49" s="1928"/>
      <c r="F49" s="2177"/>
      <c r="G49" s="2176"/>
      <c r="H49" s="933"/>
      <c r="I49" s="919"/>
    </row>
    <row r="50" spans="2:9" ht="37.5" customHeight="1" x14ac:dyDescent="0.25">
      <c r="B50" s="919"/>
      <c r="C50" s="388"/>
      <c r="D50" s="6166" t="s">
        <v>3440</v>
      </c>
      <c r="E50" s="6166"/>
      <c r="F50" s="6184" t="s">
        <v>3459</v>
      </c>
      <c r="G50" s="6184"/>
      <c r="H50" s="933"/>
      <c r="I50" s="919"/>
    </row>
    <row r="51" spans="2:9" ht="7.5" customHeight="1" x14ac:dyDescent="0.25">
      <c r="B51" s="919"/>
      <c r="C51" s="388"/>
      <c r="D51" s="415"/>
      <c r="E51" s="2180"/>
      <c r="F51" s="2178"/>
      <c r="G51" s="2179"/>
      <c r="H51" s="933"/>
      <c r="I51" s="919"/>
    </row>
    <row r="52" spans="2:9" ht="36" customHeight="1" x14ac:dyDescent="0.25">
      <c r="B52" s="919"/>
      <c r="C52" s="388"/>
      <c r="D52" s="6166" t="s">
        <v>3442</v>
      </c>
      <c r="E52" s="6166"/>
      <c r="F52" s="6184" t="s">
        <v>3460</v>
      </c>
      <c r="G52" s="6184"/>
      <c r="H52" s="933"/>
      <c r="I52" s="919"/>
    </row>
    <row r="53" spans="2:9" ht="7.5" customHeight="1" x14ac:dyDescent="0.25">
      <c r="B53" s="919"/>
      <c r="C53" s="388"/>
      <c r="D53" s="415"/>
      <c r="E53" s="2180"/>
      <c r="F53" s="2178"/>
      <c r="G53" s="2179"/>
      <c r="H53" s="933"/>
      <c r="I53" s="919"/>
    </row>
    <row r="54" spans="2:9" ht="38.25" customHeight="1" x14ac:dyDescent="0.25">
      <c r="B54" s="919"/>
      <c r="C54" s="388"/>
      <c r="D54" s="6166" t="s">
        <v>3441</v>
      </c>
      <c r="E54" s="6166"/>
      <c r="F54" s="6184" t="s">
        <v>3445</v>
      </c>
      <c r="G54" s="6184"/>
      <c r="H54" s="933"/>
      <c r="I54" s="919"/>
    </row>
    <row r="55" spans="2:9" ht="7.5" customHeight="1" x14ac:dyDescent="0.25">
      <c r="B55" s="919"/>
      <c r="C55" s="388"/>
      <c r="D55" s="415"/>
      <c r="E55" s="2180"/>
      <c r="F55" s="2178"/>
      <c r="G55" s="2179"/>
      <c r="H55" s="933"/>
      <c r="I55" s="919"/>
    </row>
    <row r="56" spans="2:9" ht="38.25" customHeight="1" x14ac:dyDescent="0.25">
      <c r="B56" s="919"/>
      <c r="C56" s="388"/>
      <c r="D56" s="6166" t="s">
        <v>2537</v>
      </c>
      <c r="E56" s="6166"/>
      <c r="F56" s="6184" t="s">
        <v>2533</v>
      </c>
      <c r="G56" s="6184"/>
      <c r="H56" s="933"/>
      <c r="I56" s="919"/>
    </row>
    <row r="57" spans="2:9" x14ac:dyDescent="0.25">
      <c r="B57" s="919"/>
      <c r="C57" s="933"/>
      <c r="D57" s="933"/>
      <c r="E57" s="1928"/>
      <c r="F57" s="933"/>
      <c r="G57" s="933"/>
      <c r="H57" s="933"/>
      <c r="I57" s="919"/>
    </row>
    <row r="58" spans="2:9" ht="30.75" customHeight="1" x14ac:dyDescent="0.3">
      <c r="B58" s="919"/>
      <c r="C58" s="919"/>
      <c r="D58" s="1930"/>
      <c r="E58" s="6164"/>
      <c r="F58" s="6164"/>
      <c r="G58" s="6164"/>
      <c r="H58" s="919"/>
      <c r="I58" s="919"/>
    </row>
    <row r="59" spans="2:9" x14ac:dyDescent="0.25">
      <c r="B59" s="919"/>
      <c r="C59" s="933"/>
      <c r="D59" s="933"/>
      <c r="E59" s="1928"/>
      <c r="F59" s="933"/>
      <c r="G59" s="933"/>
      <c r="H59" s="933"/>
      <c r="I59" s="919"/>
    </row>
    <row r="60" spans="2:9" ht="7.5" customHeight="1" x14ac:dyDescent="0.25">
      <c r="B60" s="919"/>
      <c r="C60" s="933"/>
      <c r="D60" s="415"/>
      <c r="E60" s="2180"/>
      <c r="F60" s="2178"/>
      <c r="G60" s="2179"/>
      <c r="H60" s="933"/>
      <c r="I60" s="919"/>
    </row>
    <row r="61" spans="2:9" ht="7.5" customHeight="1" x14ac:dyDescent="0.25">
      <c r="B61" s="919"/>
      <c r="C61" s="933"/>
      <c r="D61" s="415"/>
      <c r="E61" s="2180"/>
      <c r="F61" s="2178"/>
      <c r="G61" s="2179"/>
      <c r="H61" s="933"/>
      <c r="I61" s="919"/>
    </row>
    <row r="62" spans="2:9" ht="34.5" customHeight="1" x14ac:dyDescent="0.25">
      <c r="B62" s="919"/>
      <c r="C62" s="933"/>
      <c r="D62" s="6166" t="s">
        <v>2538</v>
      </c>
      <c r="E62" s="6166"/>
      <c r="F62" s="6163" t="s">
        <v>3461</v>
      </c>
      <c r="G62" s="6163"/>
      <c r="H62" s="933"/>
      <c r="I62" s="919"/>
    </row>
    <row r="63" spans="2:9" ht="7.5" customHeight="1" x14ac:dyDescent="0.25">
      <c r="B63" s="919"/>
      <c r="C63" s="933"/>
      <c r="D63" s="415"/>
      <c r="E63" s="2180"/>
      <c r="F63" s="2178"/>
      <c r="G63" s="2179"/>
      <c r="H63" s="933"/>
      <c r="I63" s="919"/>
    </row>
    <row r="64" spans="2:9" ht="34.5" customHeight="1" x14ac:dyDescent="0.25">
      <c r="B64" s="919"/>
      <c r="C64" s="933"/>
      <c r="D64" s="6166" t="s">
        <v>3439</v>
      </c>
      <c r="E64" s="6166"/>
      <c r="F64" s="6163" t="s">
        <v>2534</v>
      </c>
      <c r="G64" s="6163"/>
      <c r="H64" s="933"/>
      <c r="I64" s="919"/>
    </row>
    <row r="65" spans="2:9" x14ac:dyDescent="0.25">
      <c r="B65" s="919"/>
      <c r="C65" s="933"/>
      <c r="D65" s="388"/>
      <c r="E65" s="426"/>
      <c r="F65" s="388"/>
      <c r="G65" s="388"/>
      <c r="H65" s="933"/>
      <c r="I65" s="919"/>
    </row>
    <row r="66" spans="2:9" ht="30.75" customHeight="1" x14ac:dyDescent="0.3">
      <c r="B66" s="919"/>
      <c r="C66" s="919"/>
      <c r="D66" s="1930"/>
      <c r="E66" s="6164"/>
      <c r="F66" s="6164"/>
      <c r="G66" s="6164"/>
      <c r="H66" s="919"/>
      <c r="I66" s="919"/>
    </row>
    <row r="67" spans="2:9" x14ac:dyDescent="0.25">
      <c r="B67" s="919"/>
      <c r="C67" s="933"/>
      <c r="D67" s="388"/>
      <c r="E67" s="426"/>
      <c r="F67" s="388"/>
      <c r="G67" s="388"/>
      <c r="H67" s="933"/>
      <c r="I67" s="919"/>
    </row>
    <row r="68" spans="2:9" ht="37.5" customHeight="1" x14ac:dyDescent="0.25">
      <c r="B68" s="919"/>
      <c r="C68" s="933"/>
      <c r="D68" s="6166" t="s">
        <v>2539</v>
      </c>
      <c r="E68" s="6166"/>
      <c r="F68" s="6168" t="s">
        <v>2535</v>
      </c>
      <c r="G68" s="6168"/>
      <c r="H68" s="933"/>
      <c r="I68" s="919"/>
    </row>
    <row r="69" spans="2:9" ht="7.5" customHeight="1" x14ac:dyDescent="0.25">
      <c r="B69" s="919"/>
      <c r="C69" s="933"/>
      <c r="D69" s="415"/>
      <c r="E69" s="2180"/>
      <c r="F69" s="2178"/>
      <c r="G69" s="2179"/>
      <c r="H69" s="933"/>
      <c r="I69" s="919"/>
    </row>
    <row r="70" spans="2:9" ht="36" customHeight="1" x14ac:dyDescent="0.25">
      <c r="B70" s="919"/>
      <c r="C70" s="933"/>
      <c r="D70" s="6166" t="s">
        <v>3444</v>
      </c>
      <c r="E70" s="6166"/>
      <c r="F70" s="6168" t="s">
        <v>2536</v>
      </c>
      <c r="G70" s="6168"/>
      <c r="H70" s="933"/>
      <c r="I70" s="919"/>
    </row>
    <row r="71" spans="2:9" ht="7.5" customHeight="1" x14ac:dyDescent="0.25">
      <c r="B71" s="919"/>
      <c r="C71" s="933"/>
      <c r="D71" s="415"/>
      <c r="E71" s="2180"/>
      <c r="F71" s="2178"/>
      <c r="G71" s="2179"/>
      <c r="H71" s="933"/>
      <c r="I71" s="919"/>
    </row>
    <row r="72" spans="2:9" ht="38.25" customHeight="1" x14ac:dyDescent="0.25">
      <c r="B72" s="919"/>
      <c r="C72" s="933"/>
      <c r="D72" s="6166" t="s">
        <v>3443</v>
      </c>
      <c r="E72" s="6166"/>
      <c r="F72" s="6168" t="s">
        <v>3462</v>
      </c>
      <c r="G72" s="6168"/>
      <c r="H72" s="933"/>
      <c r="I72" s="919"/>
    </row>
    <row r="73" spans="2:9" x14ac:dyDescent="0.25">
      <c r="B73" s="919"/>
      <c r="C73" s="933"/>
      <c r="D73" s="388"/>
      <c r="E73" s="426"/>
      <c r="F73" s="388"/>
      <c r="G73" s="388"/>
      <c r="H73" s="933"/>
      <c r="I73" s="919"/>
    </row>
    <row r="74" spans="2:9" ht="30.75" hidden="1" customHeight="1" x14ac:dyDescent="0.3">
      <c r="B74" s="919"/>
      <c r="C74" s="919"/>
      <c r="D74" s="1930"/>
      <c r="E74" s="6164"/>
      <c r="F74" s="6164"/>
      <c r="G74" s="6164"/>
      <c r="H74" s="919"/>
      <c r="I74" s="919"/>
    </row>
    <row r="75" spans="2:9" hidden="1" x14ac:dyDescent="0.25">
      <c r="B75" s="919"/>
      <c r="C75" s="933"/>
      <c r="D75" s="388"/>
      <c r="E75" s="426"/>
      <c r="F75" s="388"/>
      <c r="G75" s="388"/>
      <c r="H75" s="933"/>
      <c r="I75" s="919"/>
    </row>
    <row r="76" spans="2:9" ht="37.5" hidden="1" customHeight="1" x14ac:dyDescent="0.25">
      <c r="B76" s="919"/>
      <c r="C76" s="933"/>
      <c r="D76" s="6166" t="s">
        <v>2540</v>
      </c>
      <c r="E76" s="6166"/>
      <c r="F76" s="6165" t="s">
        <v>3087</v>
      </c>
      <c r="G76" s="6165"/>
      <c r="H76" s="933"/>
      <c r="I76" s="919"/>
    </row>
    <row r="77" spans="2:9" hidden="1" x14ac:dyDescent="0.25">
      <c r="B77" s="919"/>
      <c r="C77" s="933"/>
      <c r="D77" s="388"/>
      <c r="E77" s="426"/>
      <c r="F77" s="388"/>
      <c r="G77" s="388"/>
      <c r="H77" s="933"/>
      <c r="I77" s="919"/>
    </row>
    <row r="78" spans="2:9" ht="30.75" customHeight="1" x14ac:dyDescent="0.3">
      <c r="B78" s="919"/>
      <c r="C78" s="919"/>
      <c r="D78" s="1930"/>
      <c r="E78" s="6164"/>
      <c r="F78" s="6164"/>
      <c r="G78" s="6164"/>
      <c r="H78" s="919"/>
      <c r="I78" s="919"/>
    </row>
    <row r="79" spans="2:9" x14ac:dyDescent="0.25">
      <c r="B79" s="919"/>
      <c r="C79" s="933"/>
      <c r="D79" s="933"/>
      <c r="E79" s="933"/>
      <c r="F79" s="933"/>
      <c r="G79" s="933"/>
      <c r="H79" s="933"/>
      <c r="I79" s="919"/>
    </row>
    <row r="80" spans="2:9" ht="37.5" customHeight="1" x14ac:dyDescent="0.25">
      <c r="B80" s="919"/>
      <c r="C80" s="933"/>
      <c r="D80" s="1929"/>
      <c r="E80" s="1929"/>
      <c r="F80" s="6167" t="s">
        <v>2145</v>
      </c>
      <c r="G80" s="6167"/>
      <c r="H80" s="933"/>
      <c r="I80" s="919"/>
    </row>
    <row r="81" spans="2:9" x14ac:dyDescent="0.25">
      <c r="B81" s="919"/>
      <c r="C81" s="933"/>
      <c r="D81" s="388"/>
      <c r="E81" s="388"/>
      <c r="F81" s="933"/>
      <c r="G81" s="933"/>
      <c r="H81" s="933"/>
      <c r="I81" s="919"/>
    </row>
    <row r="82" spans="2:9" ht="30" customHeight="1" x14ac:dyDescent="0.25">
      <c r="B82" s="919"/>
      <c r="C82" s="919"/>
      <c r="D82" s="919"/>
      <c r="E82" s="919"/>
      <c r="F82" s="919"/>
      <c r="G82" s="919"/>
      <c r="H82" s="919"/>
      <c r="I82" s="919"/>
    </row>
  </sheetData>
  <sheetProtection password="DBDC" sheet="1" objects="1" scenarios="1"/>
  <mergeCells count="33">
    <mergeCell ref="D62:E62"/>
    <mergeCell ref="F62:G62"/>
    <mergeCell ref="D50:E50"/>
    <mergeCell ref="D52:E52"/>
    <mergeCell ref="D56:E56"/>
    <mergeCell ref="E58:G58"/>
    <mergeCell ref="F50:G50"/>
    <mergeCell ref="F52:G52"/>
    <mergeCell ref="F56:G56"/>
    <mergeCell ref="D54:E54"/>
    <mergeCell ref="F54:G54"/>
    <mergeCell ref="C2:F2"/>
    <mergeCell ref="D41:G41"/>
    <mergeCell ref="D43:G43"/>
    <mergeCell ref="C4:H4"/>
    <mergeCell ref="C8:H8"/>
    <mergeCell ref="D37:G37"/>
    <mergeCell ref="D39:G39"/>
    <mergeCell ref="C11:H11"/>
    <mergeCell ref="F80:G80"/>
    <mergeCell ref="F68:G68"/>
    <mergeCell ref="F70:G70"/>
    <mergeCell ref="F72:G72"/>
    <mergeCell ref="D76:E76"/>
    <mergeCell ref="D68:E68"/>
    <mergeCell ref="D70:E70"/>
    <mergeCell ref="D72:E72"/>
    <mergeCell ref="F64:G64"/>
    <mergeCell ref="E74:G74"/>
    <mergeCell ref="E78:G78"/>
    <mergeCell ref="F76:G76"/>
    <mergeCell ref="E66:G66"/>
    <mergeCell ref="D64:E64"/>
  </mergeCells>
  <printOptions horizontalCentered="1"/>
  <pageMargins left="0.196850393700787" right="0.118110236220472" top="0.118110236220472" bottom="0.118110236220472" header="0.118110236220472" footer="0.118110236220472"/>
  <pageSetup scale="58" fitToHeight="0" orientation="portrait" verticalDpi="300" r:id="rId1"/>
  <rowBreaks count="1" manualBreakCount="1">
    <brk id="39" min="1"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defaultSize="0" print="0" autoFill="0" autoPict="0" macro="[0]!Print_Sheet" altText="Print this page">
                <anchor moveWithCells="1" sizeWithCells="1">
                  <from>
                    <xdr:col>6</xdr:col>
                    <xdr:colOff>2000250</xdr:colOff>
                    <xdr:row>3</xdr:row>
                    <xdr:rowOff>9525</xdr:rowOff>
                  </from>
                  <to>
                    <xdr:col>8</xdr:col>
                    <xdr:colOff>9525</xdr:colOff>
                    <xdr:row>3</xdr:row>
                    <xdr:rowOff>333375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1" tint="4.9989318521683403E-2"/>
  </sheetPr>
  <dimension ref="A2:T334"/>
  <sheetViews>
    <sheetView topLeftCell="A207" zoomScale="80" zoomScaleNormal="80" workbookViewId="0">
      <selection activeCell="G235" sqref="G235"/>
    </sheetView>
  </sheetViews>
  <sheetFormatPr defaultColWidth="9.140625" defaultRowHeight="15" x14ac:dyDescent="0.25"/>
  <cols>
    <col min="1" max="1" width="3.5703125" style="9" customWidth="1"/>
    <col min="2" max="2" width="3.7109375" style="9" customWidth="1"/>
    <col min="3" max="3" width="6" style="9" customWidth="1"/>
    <col min="4" max="4" width="43.7109375" style="9" customWidth="1"/>
    <col min="5" max="5" width="11.85546875" style="211" customWidth="1"/>
    <col min="6" max="16" width="11.7109375" style="9" customWidth="1"/>
    <col min="17" max="17" width="9.28515625" style="27" customWidth="1"/>
    <col min="18" max="48" width="13.28515625" style="27" customWidth="1"/>
    <col min="49" max="16384" width="9.140625" style="27"/>
  </cols>
  <sheetData>
    <row r="2" spans="1:16" x14ac:dyDescent="0.25">
      <c r="A2" s="11" t="s">
        <v>2</v>
      </c>
      <c r="B2" s="11"/>
      <c r="C2" s="11" t="s">
        <v>391</v>
      </c>
      <c r="D2" s="12"/>
    </row>
    <row r="3" spans="1:16" x14ac:dyDescent="0.25">
      <c r="C3" s="13" t="s">
        <v>3</v>
      </c>
      <c r="D3" s="13" t="s">
        <v>4</v>
      </c>
      <c r="E3" s="13" t="s">
        <v>33</v>
      </c>
      <c r="F3" s="13">
        <f>'WS calcu'!E$3</f>
        <v>2014</v>
      </c>
      <c r="G3" s="13">
        <f>'WS calcu'!F$3</f>
        <v>2015</v>
      </c>
      <c r="H3" s="13">
        <f>'WS calcu'!G$3</f>
        <v>2016</v>
      </c>
      <c r="I3" s="13">
        <f>'WS calcu'!H$3</f>
        <v>2017</v>
      </c>
      <c r="J3" s="13">
        <f>'WS calcu'!I$3</f>
        <v>2018</v>
      </c>
      <c r="K3" s="13">
        <f>'WS calcu'!J$3</f>
        <v>2019</v>
      </c>
      <c r="L3" s="13">
        <f>'WS calcu'!K$3</f>
        <v>2020</v>
      </c>
      <c r="M3" s="13">
        <f>'WS calcu'!L$3</f>
        <v>2021</v>
      </c>
      <c r="N3" s="13">
        <f>'WS calcu'!M$3</f>
        <v>2022</v>
      </c>
      <c r="O3" s="13">
        <f>'WS calcu'!N$3</f>
        <v>2023</v>
      </c>
      <c r="P3" s="13">
        <f>'WS calcu'!O$3</f>
        <v>2024</v>
      </c>
    </row>
    <row r="4" spans="1:16" x14ac:dyDescent="0.25">
      <c r="A4" s="195"/>
      <c r="B4" s="195"/>
      <c r="C4" s="214"/>
      <c r="D4" s="218" t="s">
        <v>396</v>
      </c>
      <c r="E4" s="344"/>
      <c r="F4" s="216"/>
      <c r="G4" s="217"/>
      <c r="H4" s="217"/>
      <c r="I4" s="217"/>
      <c r="J4" s="217"/>
      <c r="K4" s="217"/>
      <c r="L4" s="217"/>
      <c r="M4" s="217"/>
      <c r="N4" s="217"/>
      <c r="O4" s="217"/>
      <c r="P4" s="217"/>
    </row>
    <row r="5" spans="1:16" s="124" customFormat="1" x14ac:dyDescent="0.25">
      <c r="A5" s="163"/>
      <c r="B5" s="163"/>
      <c r="C5" s="456">
        <v>1</v>
      </c>
      <c r="D5" s="456" t="s">
        <v>151</v>
      </c>
      <c r="E5" s="226" t="s">
        <v>152</v>
      </c>
      <c r="F5" s="172">
        <f>IFERROR('WSS Profile'!$G$372*10^3/30/Population!E$24,0)</f>
        <v>0</v>
      </c>
      <c r="G5" s="172">
        <f>F5*(1+'WSS Profile'!$G$374)</f>
        <v>0</v>
      </c>
      <c r="H5" s="172">
        <f>G5*(1+'WSS Profile'!$G$374)</f>
        <v>0</v>
      </c>
      <c r="I5" s="172">
        <f>H5*(1+'WSS Profile'!$G$374)</f>
        <v>0</v>
      </c>
      <c r="J5" s="172">
        <f>I5*(1+'WSS Profile'!$G$374)</f>
        <v>0</v>
      </c>
      <c r="K5" s="172">
        <f>J5*(1+'WSS Profile'!$G$374)</f>
        <v>0</v>
      </c>
      <c r="L5" s="172">
        <f>K5*(1+'WSS Profile'!$G$374)</f>
        <v>0</v>
      </c>
      <c r="M5" s="172">
        <f>L5*(1+'WSS Profile'!$G$374)</f>
        <v>0</v>
      </c>
      <c r="N5" s="172">
        <f>M5*(1+'WSS Profile'!$G$374)</f>
        <v>0</v>
      </c>
      <c r="O5" s="172">
        <f>N5*(1+'WSS Profile'!$G$374)</f>
        <v>0</v>
      </c>
      <c r="P5" s="172">
        <f>O5*(1+'WSS Profile'!$G$374)</f>
        <v>0</v>
      </c>
    </row>
    <row r="6" spans="1:16" s="124" customFormat="1" x14ac:dyDescent="0.25">
      <c r="A6" s="163"/>
      <c r="B6" s="163"/>
      <c r="C6" s="456">
        <v>2</v>
      </c>
      <c r="D6" s="456" t="s">
        <v>916</v>
      </c>
      <c r="E6" s="226" t="s">
        <v>917</v>
      </c>
      <c r="F6" s="172">
        <f>F5*Population!E34</f>
        <v>0</v>
      </c>
      <c r="G6" s="172">
        <f>G5*Population!F34</f>
        <v>0</v>
      </c>
      <c r="H6" s="172">
        <f>H5*Population!G34</f>
        <v>0</v>
      </c>
      <c r="I6" s="172">
        <f>I5*Population!H34</f>
        <v>0</v>
      </c>
      <c r="J6" s="172">
        <f>J5*Population!I34</f>
        <v>0</v>
      </c>
      <c r="K6" s="172">
        <f>K5*Population!J34</f>
        <v>0</v>
      </c>
      <c r="L6" s="172">
        <f>L5*Population!K34</f>
        <v>0</v>
      </c>
      <c r="M6" s="172">
        <f>M5*Population!L34</f>
        <v>0</v>
      </c>
      <c r="N6" s="172">
        <f>N5*Population!M34</f>
        <v>0</v>
      </c>
      <c r="O6" s="172">
        <f>O5*Population!N34</f>
        <v>0</v>
      </c>
      <c r="P6" s="172">
        <f>P5*Population!O34</f>
        <v>0</v>
      </c>
    </row>
    <row r="7" spans="1:16" s="92" customFormat="1" x14ac:dyDescent="0.25">
      <c r="A7" s="134"/>
      <c r="B7" s="134"/>
      <c r="C7" s="456">
        <v>3</v>
      </c>
      <c r="D7" s="164" t="s">
        <v>918</v>
      </c>
      <c r="E7" s="226" t="s">
        <v>149</v>
      </c>
      <c r="F7" s="725">
        <f>'WSS Profile'!$G$372/30</f>
        <v>12</v>
      </c>
      <c r="G7" s="725">
        <f>Population!F24*G5/1000</f>
        <v>0</v>
      </c>
      <c r="H7" s="725">
        <f>Population!G24*H5/1000</f>
        <v>0</v>
      </c>
      <c r="I7" s="725">
        <f>Population!H24*I5/1000</f>
        <v>0</v>
      </c>
      <c r="J7" s="725">
        <f>Population!I24*J5/1000</f>
        <v>0</v>
      </c>
      <c r="K7" s="725">
        <f>Population!J24*K5/1000</f>
        <v>0</v>
      </c>
      <c r="L7" s="725">
        <f>Population!K24*L5/1000</f>
        <v>0</v>
      </c>
      <c r="M7" s="725">
        <f>Population!L24*M5/1000</f>
        <v>0</v>
      </c>
      <c r="N7" s="725">
        <f>Population!M24*N5/1000</f>
        <v>0</v>
      </c>
      <c r="O7" s="725">
        <f>Population!N24*O5/1000</f>
        <v>0</v>
      </c>
      <c r="P7" s="725">
        <f>Population!O24*P5/1000</f>
        <v>0</v>
      </c>
    </row>
    <row r="8" spans="1:16" s="92" customFormat="1" x14ac:dyDescent="0.25">
      <c r="A8" s="134"/>
      <c r="B8" s="134"/>
      <c r="C8" s="456"/>
      <c r="D8" s="73" t="s">
        <v>2122</v>
      </c>
      <c r="E8" s="2394"/>
      <c r="F8" s="121">
        <f>Population!E32</f>
        <v>0</v>
      </c>
      <c r="G8" s="121">
        <f>Population!F32</f>
        <v>0</v>
      </c>
      <c r="H8" s="121">
        <f>Population!G32</f>
        <v>0</v>
      </c>
      <c r="I8" s="121">
        <f>Population!H32</f>
        <v>0</v>
      </c>
      <c r="J8" s="121">
        <f>Population!I32</f>
        <v>0</v>
      </c>
      <c r="K8" s="121">
        <f>Population!J32</f>
        <v>0</v>
      </c>
      <c r="L8" s="121">
        <f>Population!K32</f>
        <v>0</v>
      </c>
      <c r="M8" s="121">
        <f>Population!L32</f>
        <v>0</v>
      </c>
      <c r="N8" s="121">
        <f>Population!M32</f>
        <v>0</v>
      </c>
      <c r="O8" s="121">
        <f>Population!N32</f>
        <v>0</v>
      </c>
      <c r="P8" s="121">
        <f>Population!O32</f>
        <v>0</v>
      </c>
    </row>
    <row r="9" spans="1:16" s="124" customFormat="1" x14ac:dyDescent="0.25">
      <c r="A9" s="227"/>
      <c r="B9" s="227"/>
      <c r="C9" s="228"/>
      <c r="D9" s="231" t="s">
        <v>397</v>
      </c>
      <c r="E9" s="1094"/>
      <c r="F9" s="229"/>
      <c r="G9" s="230"/>
      <c r="H9" s="230"/>
      <c r="I9" s="230"/>
      <c r="J9" s="230"/>
      <c r="K9" s="230"/>
      <c r="L9" s="230"/>
      <c r="M9" s="230"/>
      <c r="N9" s="230"/>
      <c r="O9" s="230"/>
      <c r="P9" s="230"/>
    </row>
    <row r="10" spans="1:16" s="92" customFormat="1" ht="30" customHeight="1" x14ac:dyDescent="0.25">
      <c r="A10" s="134"/>
      <c r="B10" s="134"/>
      <c r="C10" s="135"/>
      <c r="D10" s="2395" t="s">
        <v>2123</v>
      </c>
      <c r="E10" s="2396"/>
      <c r="F10" s="2397">
        <f>Population!E$31</f>
        <v>0</v>
      </c>
      <c r="G10" s="2397">
        <f>Population!F$31</f>
        <v>0</v>
      </c>
      <c r="H10" s="2397">
        <f>Population!G$31</f>
        <v>0</v>
      </c>
      <c r="I10" s="2397">
        <f>Population!H$31</f>
        <v>0</v>
      </c>
      <c r="J10" s="2397">
        <f>Population!I$31</f>
        <v>0</v>
      </c>
      <c r="K10" s="2397">
        <f>Population!J$31</f>
        <v>0</v>
      </c>
      <c r="L10" s="2397">
        <f>Population!K$31</f>
        <v>0</v>
      </c>
      <c r="M10" s="2397">
        <f>Population!L$31</f>
        <v>0</v>
      </c>
      <c r="N10" s="2397">
        <f>Population!M$31</f>
        <v>0</v>
      </c>
      <c r="O10" s="2397">
        <f>Population!N$31</f>
        <v>0</v>
      </c>
      <c r="P10" s="2397">
        <f>Population!O$31</f>
        <v>0</v>
      </c>
    </row>
    <row r="11" spans="1:16" s="92" customFormat="1" ht="30" customHeight="1" x14ac:dyDescent="0.25">
      <c r="A11" s="134"/>
      <c r="B11" s="134"/>
      <c r="C11" s="135"/>
      <c r="D11" s="2395" t="s">
        <v>2124</v>
      </c>
      <c r="E11" s="2396"/>
      <c r="F11" s="2397">
        <f>+Population!E$40</f>
        <v>0</v>
      </c>
      <c r="G11" s="2397">
        <f>+Population!F$40</f>
        <v>0</v>
      </c>
      <c r="H11" s="2397">
        <f>+Population!G$40</f>
        <v>0</v>
      </c>
      <c r="I11" s="2397">
        <f>+Population!H$40</f>
        <v>0</v>
      </c>
      <c r="J11" s="2397">
        <f>+Population!I$40</f>
        <v>0</v>
      </c>
      <c r="K11" s="2397">
        <f>+Population!J$40</f>
        <v>0</v>
      </c>
      <c r="L11" s="2397">
        <f>+Population!K$40</f>
        <v>0</v>
      </c>
      <c r="M11" s="2397">
        <f>+Population!L$40</f>
        <v>0</v>
      </c>
      <c r="N11" s="2397">
        <f>+Population!M$40</f>
        <v>0</v>
      </c>
      <c r="O11" s="2397">
        <f>+Population!N$40</f>
        <v>0</v>
      </c>
      <c r="P11" s="2397">
        <f>+Population!O$40</f>
        <v>0</v>
      </c>
    </row>
    <row r="12" spans="1:16" s="92" customFormat="1" x14ac:dyDescent="0.25">
      <c r="C12" s="161"/>
      <c r="D12" s="220" t="s">
        <v>528</v>
      </c>
      <c r="E12" s="350"/>
      <c r="F12" s="81">
        <f>Population!E30</f>
        <v>0</v>
      </c>
      <c r="G12" s="81">
        <f>Population!F30</f>
        <v>0</v>
      </c>
      <c r="H12" s="81">
        <f>Population!G30</f>
        <v>0</v>
      </c>
      <c r="I12" s="81">
        <f>Population!H30</f>
        <v>0</v>
      </c>
      <c r="J12" s="81">
        <f>Population!I30</f>
        <v>0</v>
      </c>
      <c r="K12" s="81">
        <f>Population!J30</f>
        <v>0</v>
      </c>
      <c r="L12" s="81">
        <f>Population!K30</f>
        <v>0</v>
      </c>
      <c r="M12" s="81">
        <f>Population!L30</f>
        <v>0</v>
      </c>
      <c r="N12" s="81">
        <f>Population!M30</f>
        <v>0</v>
      </c>
      <c r="O12" s="81">
        <f>Population!N30</f>
        <v>0</v>
      </c>
      <c r="P12" s="81">
        <f>Population!O30</f>
        <v>0</v>
      </c>
    </row>
    <row r="13" spans="1:16" s="82" customFormat="1" x14ac:dyDescent="0.25">
      <c r="E13" s="157"/>
      <c r="F13" s="345"/>
      <c r="G13" s="345"/>
      <c r="H13" s="345"/>
      <c r="I13" s="345"/>
      <c r="J13" s="345"/>
      <c r="K13" s="345"/>
      <c r="L13" s="345"/>
      <c r="M13" s="345"/>
      <c r="N13" s="345"/>
      <c r="O13" s="345"/>
      <c r="P13" s="345"/>
    </row>
    <row r="14" spans="1:16" s="124" customFormat="1" x14ac:dyDescent="0.25">
      <c r="A14" s="163"/>
      <c r="B14" s="163"/>
      <c r="C14" s="456">
        <v>1</v>
      </c>
      <c r="D14" s="79" t="s">
        <v>514</v>
      </c>
      <c r="E14" s="1095"/>
      <c r="F14" s="347">
        <v>0</v>
      </c>
      <c r="G14" s="347">
        <f>G18-F18</f>
        <v>0</v>
      </c>
      <c r="H14" s="347">
        <f t="shared" ref="H14:P14" si="0">H18-G18</f>
        <v>0</v>
      </c>
      <c r="I14" s="347">
        <f t="shared" si="0"/>
        <v>0</v>
      </c>
      <c r="J14" s="347">
        <f t="shared" si="0"/>
        <v>0</v>
      </c>
      <c r="K14" s="347">
        <f t="shared" si="0"/>
        <v>0</v>
      </c>
      <c r="L14" s="347">
        <f t="shared" si="0"/>
        <v>0</v>
      </c>
      <c r="M14" s="347">
        <f t="shared" si="0"/>
        <v>0</v>
      </c>
      <c r="N14" s="347">
        <f t="shared" si="0"/>
        <v>0</v>
      </c>
      <c r="O14" s="347">
        <f t="shared" si="0"/>
        <v>0</v>
      </c>
      <c r="P14" s="347">
        <f t="shared" si="0"/>
        <v>0</v>
      </c>
    </row>
    <row r="15" spans="1:16" s="92" customFormat="1" x14ac:dyDescent="0.25">
      <c r="A15" s="134"/>
      <c r="B15" s="134"/>
      <c r="C15" s="135"/>
      <c r="D15" s="79" t="s">
        <v>512</v>
      </c>
      <c r="E15" s="135"/>
      <c r="F15" s="347">
        <v>0</v>
      </c>
      <c r="G15" s="347">
        <f>G19-F19</f>
        <v>0</v>
      </c>
      <c r="H15" s="347">
        <f t="shared" ref="H15:P15" si="1">H19-G19</f>
        <v>0</v>
      </c>
      <c r="I15" s="347">
        <f t="shared" si="1"/>
        <v>0</v>
      </c>
      <c r="J15" s="347">
        <f t="shared" si="1"/>
        <v>0</v>
      </c>
      <c r="K15" s="347">
        <f t="shared" si="1"/>
        <v>0</v>
      </c>
      <c r="L15" s="347">
        <f t="shared" si="1"/>
        <v>0</v>
      </c>
      <c r="M15" s="347">
        <f t="shared" si="1"/>
        <v>0</v>
      </c>
      <c r="N15" s="347">
        <f t="shared" si="1"/>
        <v>0</v>
      </c>
      <c r="O15" s="347">
        <f t="shared" si="1"/>
        <v>0</v>
      </c>
      <c r="P15" s="347">
        <f t="shared" si="1"/>
        <v>0</v>
      </c>
    </row>
    <row r="16" spans="1:16" s="124" customFormat="1" x14ac:dyDescent="0.25">
      <c r="A16" s="163"/>
      <c r="B16" s="163"/>
      <c r="C16" s="456"/>
      <c r="D16" s="79" t="s">
        <v>513</v>
      </c>
      <c r="E16" s="79"/>
      <c r="F16" s="69">
        <v>0</v>
      </c>
      <c r="G16" s="69">
        <f>G20-F20</f>
        <v>0</v>
      </c>
      <c r="H16" s="69">
        <f t="shared" ref="H16:P16" si="2">H20-G20</f>
        <v>0</v>
      </c>
      <c r="I16" s="69">
        <f t="shared" si="2"/>
        <v>0</v>
      </c>
      <c r="J16" s="69">
        <f t="shared" si="2"/>
        <v>0</v>
      </c>
      <c r="K16" s="69">
        <f t="shared" si="2"/>
        <v>0</v>
      </c>
      <c r="L16" s="69">
        <f t="shared" si="2"/>
        <v>0</v>
      </c>
      <c r="M16" s="69">
        <f t="shared" si="2"/>
        <v>0</v>
      </c>
      <c r="N16" s="69">
        <f t="shared" si="2"/>
        <v>0</v>
      </c>
      <c r="O16" s="69">
        <f t="shared" si="2"/>
        <v>0</v>
      </c>
      <c r="P16" s="69">
        <f t="shared" si="2"/>
        <v>0</v>
      </c>
    </row>
    <row r="17" spans="1:16" s="124" customFormat="1" x14ac:dyDescent="0.25">
      <c r="A17" s="163"/>
      <c r="B17" s="163"/>
      <c r="C17" s="456"/>
      <c r="D17" s="161" t="s">
        <v>511</v>
      </c>
      <c r="E17" s="168">
        <f>IFERROR(F17/F10,0)</f>
        <v>0</v>
      </c>
      <c r="F17" s="81">
        <f>F18+F20</f>
        <v>17654</v>
      </c>
      <c r="G17" s="81">
        <f t="shared" ref="G17:P17" si="3">G18+G20</f>
        <v>17654</v>
      </c>
      <c r="H17" s="81">
        <f t="shared" si="3"/>
        <v>17654</v>
      </c>
      <c r="I17" s="81">
        <f t="shared" si="3"/>
        <v>17654</v>
      </c>
      <c r="J17" s="81">
        <f t="shared" si="3"/>
        <v>17654</v>
      </c>
      <c r="K17" s="81">
        <f t="shared" si="3"/>
        <v>17654</v>
      </c>
      <c r="L17" s="81">
        <f t="shared" si="3"/>
        <v>17654</v>
      </c>
      <c r="M17" s="81">
        <f t="shared" si="3"/>
        <v>17654</v>
      </c>
      <c r="N17" s="81">
        <f t="shared" si="3"/>
        <v>17654</v>
      </c>
      <c r="O17" s="81">
        <f t="shared" si="3"/>
        <v>17654</v>
      </c>
      <c r="P17" s="81">
        <f t="shared" si="3"/>
        <v>17654</v>
      </c>
    </row>
    <row r="18" spans="1:16" s="92" customFormat="1" x14ac:dyDescent="0.25">
      <c r="A18" s="134"/>
      <c r="B18" s="134"/>
      <c r="C18" s="135"/>
      <c r="D18" s="83" t="s">
        <v>507</v>
      </c>
      <c r="E18" s="1310">
        <f>IFERROR(F18/F10,0)</f>
        <v>0</v>
      </c>
      <c r="F18" s="81">
        <f>'WSS Profile'!$G$380+'WSS Profile'!$G$381</f>
        <v>9007</v>
      </c>
      <c r="G18" s="85">
        <f>F18*(1+G8)</f>
        <v>9007</v>
      </c>
      <c r="H18" s="85">
        <f t="shared" ref="H18:P18" si="4">G18*(1+H8)</f>
        <v>9007</v>
      </c>
      <c r="I18" s="85">
        <f t="shared" si="4"/>
        <v>9007</v>
      </c>
      <c r="J18" s="85">
        <f t="shared" si="4"/>
        <v>9007</v>
      </c>
      <c r="K18" s="85">
        <f t="shared" si="4"/>
        <v>9007</v>
      </c>
      <c r="L18" s="85">
        <f t="shared" si="4"/>
        <v>9007</v>
      </c>
      <c r="M18" s="85">
        <f t="shared" si="4"/>
        <v>9007</v>
      </c>
      <c r="N18" s="85">
        <f t="shared" si="4"/>
        <v>9007</v>
      </c>
      <c r="O18" s="85">
        <f t="shared" si="4"/>
        <v>9007</v>
      </c>
      <c r="P18" s="85">
        <f t="shared" si="4"/>
        <v>9007</v>
      </c>
    </row>
    <row r="19" spans="1:16" s="92" customFormat="1" x14ac:dyDescent="0.25">
      <c r="A19" s="134"/>
      <c r="B19" s="134"/>
      <c r="C19" s="135"/>
      <c r="D19" s="83" t="s">
        <v>508</v>
      </c>
      <c r="E19" s="2398">
        <f>IFERROR(F19/F18,0)</f>
        <v>3.9968913067614076E-2</v>
      </c>
      <c r="F19" s="81">
        <f>'WSS Profile'!$G$381</f>
        <v>360</v>
      </c>
      <c r="G19" s="85">
        <f>F19*(1+G8)</f>
        <v>360</v>
      </c>
      <c r="H19" s="85">
        <f t="shared" ref="H19:P19" si="5">G19*(1+H8)</f>
        <v>360</v>
      </c>
      <c r="I19" s="85">
        <f t="shared" si="5"/>
        <v>360</v>
      </c>
      <c r="J19" s="85">
        <f t="shared" si="5"/>
        <v>360</v>
      </c>
      <c r="K19" s="85">
        <f t="shared" si="5"/>
        <v>360</v>
      </c>
      <c r="L19" s="85">
        <f t="shared" si="5"/>
        <v>360</v>
      </c>
      <c r="M19" s="85">
        <f t="shared" si="5"/>
        <v>360</v>
      </c>
      <c r="N19" s="85">
        <f t="shared" si="5"/>
        <v>360</v>
      </c>
      <c r="O19" s="85">
        <f t="shared" si="5"/>
        <v>360</v>
      </c>
      <c r="P19" s="85">
        <f t="shared" si="5"/>
        <v>360</v>
      </c>
    </row>
    <row r="20" spans="1:16" s="92" customFormat="1" x14ac:dyDescent="0.25">
      <c r="A20" s="134"/>
      <c r="B20" s="134"/>
      <c r="C20" s="135"/>
      <c r="D20" s="83" t="s">
        <v>509</v>
      </c>
      <c r="E20" s="2398">
        <f>IFERROR(F20/F17,0)</f>
        <v>0.4898040104225671</v>
      </c>
      <c r="F20" s="81">
        <f>'WSS Profile'!$G$382</f>
        <v>8647</v>
      </c>
      <c r="G20" s="85">
        <f>F20*(1+Population!$E$42)</f>
        <v>8647</v>
      </c>
      <c r="H20" s="85">
        <f>G20*(1+Population!$E$42)</f>
        <v>8647</v>
      </c>
      <c r="I20" s="85">
        <f>H20*(1+Population!$E$42)</f>
        <v>8647</v>
      </c>
      <c r="J20" s="85">
        <f>I20*(1+Population!$E$42)</f>
        <v>8647</v>
      </c>
      <c r="K20" s="85">
        <f>J20*(1+Population!$E$42)</f>
        <v>8647</v>
      </c>
      <c r="L20" s="85">
        <f>K20*(1+Population!$E$42)</f>
        <v>8647</v>
      </c>
      <c r="M20" s="85">
        <f>L20*(1+Population!$E$42)</f>
        <v>8647</v>
      </c>
      <c r="N20" s="85">
        <f>M20*(1+Population!$E$42)</f>
        <v>8647</v>
      </c>
      <c r="O20" s="85">
        <f>N20*(1+Population!$E$42)</f>
        <v>8647</v>
      </c>
      <c r="P20" s="85">
        <f>O20*(1+Population!$E$42)</f>
        <v>8647</v>
      </c>
    </row>
    <row r="21" spans="1:16" s="82" customFormat="1" x14ac:dyDescent="0.25">
      <c r="E21" s="157"/>
    </row>
    <row r="22" spans="1:16" s="124" customFormat="1" x14ac:dyDescent="0.25">
      <c r="A22" s="163"/>
      <c r="B22" s="163"/>
      <c r="C22" s="456">
        <v>2</v>
      </c>
      <c r="D22" s="79" t="s">
        <v>436</v>
      </c>
      <c r="E22" s="79"/>
      <c r="F22" s="69">
        <v>0</v>
      </c>
      <c r="G22" s="69">
        <f>G23+G24</f>
        <v>0</v>
      </c>
      <c r="H22" s="69">
        <f t="shared" ref="H22:P22" si="6">H23+H24</f>
        <v>0</v>
      </c>
      <c r="I22" s="69">
        <f t="shared" si="6"/>
        <v>0</v>
      </c>
      <c r="J22" s="69">
        <f t="shared" si="6"/>
        <v>0</v>
      </c>
      <c r="K22" s="69">
        <f t="shared" si="6"/>
        <v>0</v>
      </c>
      <c r="L22" s="69">
        <f t="shared" si="6"/>
        <v>0</v>
      </c>
      <c r="M22" s="69">
        <f t="shared" si="6"/>
        <v>0</v>
      </c>
      <c r="N22" s="69">
        <f t="shared" si="6"/>
        <v>0</v>
      </c>
      <c r="O22" s="69">
        <f t="shared" si="6"/>
        <v>0</v>
      </c>
      <c r="P22" s="69">
        <f t="shared" si="6"/>
        <v>0</v>
      </c>
    </row>
    <row r="23" spans="1:16" s="124" customFormat="1" x14ac:dyDescent="0.25">
      <c r="A23" s="163"/>
      <c r="B23" s="163"/>
      <c r="C23" s="456"/>
      <c r="D23" s="2950" t="s">
        <v>2890</v>
      </c>
      <c r="E23" s="79"/>
      <c r="F23" s="69"/>
      <c r="G23" s="69">
        <f>IF('SW Plan'!$E$59="Activate",IF(AND(G$3&gt;='SW Plan'!$G$65,G$3&lt;'SW Plan'!$H$65+1),'SW Plan'!$H$67/('SW Plan'!$H$65-'SW Plan'!$G$65+1),0),0)</f>
        <v>0</v>
      </c>
      <c r="H23" s="69">
        <f>IF('SW Plan'!$E$59="Activate",IF(AND(H$3&gt;='SW Plan'!$G$65,H$3&lt;'SW Plan'!$H$65+1),'SW Plan'!$H$67/('SW Plan'!$H$65-'SW Plan'!$G$65+1),0),0)</f>
        <v>0</v>
      </c>
      <c r="I23" s="69">
        <f>IF('SW Plan'!$E$59="Activate",IF(AND(I$3&gt;='SW Plan'!$G$65,I$3&lt;'SW Plan'!$H$65+1),'SW Plan'!$H$67/('SW Plan'!$H$65-'SW Plan'!$G$65+1),0),0)</f>
        <v>0</v>
      </c>
      <c r="J23" s="69">
        <f>IF('SW Plan'!$E$59="Activate",IF(AND(J$3&gt;='SW Plan'!$G$65,J$3&lt;'SW Plan'!$H$65+1),'SW Plan'!$H$67/('SW Plan'!$H$65-'SW Plan'!$G$65+1),0),0)</f>
        <v>0</v>
      </c>
      <c r="K23" s="69">
        <f>IF('SW Plan'!$E$59="Activate",IF(AND(K$3&gt;='SW Plan'!$G$65,K$3&lt;'SW Plan'!$H$65+1),'SW Plan'!$H$67/('SW Plan'!$H$65-'SW Plan'!$G$65+1),0),0)</f>
        <v>0</v>
      </c>
      <c r="L23" s="69">
        <f>IF('SW Plan'!$E$59="Activate",IF(AND(L$3&gt;='SW Plan'!$G$65,L$3&lt;'SW Plan'!$H$65+1),'SW Plan'!$H$67/('SW Plan'!$H$65-'SW Plan'!$G$65+1),0),0)</f>
        <v>0</v>
      </c>
      <c r="M23" s="69">
        <f>IF('SW Plan'!$E$59="Activate",IF(AND(M$3&gt;='SW Plan'!$G$65,M$3&lt;'SW Plan'!$H$65+1),'SW Plan'!$H$67/('SW Plan'!$H$65-'SW Plan'!$G$65+1),0),0)</f>
        <v>0</v>
      </c>
      <c r="N23" s="69">
        <f>IF('SW Plan'!$E$59="Activate",IF(AND(N$3&gt;='SW Plan'!$G$65,N$3&lt;'SW Plan'!$H$65+1),'SW Plan'!$H$67/('SW Plan'!$H$65-'SW Plan'!$G$65+1),0),0)</f>
        <v>0</v>
      </c>
      <c r="O23" s="69">
        <f>IF('SW Plan'!$E$59="Activate",IF(AND(O$3&gt;='SW Plan'!$G$65,O$3&lt;'SW Plan'!$H$65+1),'SW Plan'!$H$67/('SW Plan'!$H$65-'SW Plan'!$G$65+1),0),0)</f>
        <v>0</v>
      </c>
      <c r="P23" s="69">
        <f>IF('SW Plan'!$E$59="Activate",IF(AND(P$3&gt;='SW Plan'!$G$65,P$3&lt;'SW Plan'!$H$65+1),'SW Plan'!$H$67/('SW Plan'!$H$65-'SW Plan'!$G$65+1),0),0)</f>
        <v>0</v>
      </c>
    </row>
    <row r="24" spans="1:16" s="124" customFormat="1" x14ac:dyDescent="0.25">
      <c r="A24" s="163"/>
      <c r="B24" s="163"/>
      <c r="C24" s="456"/>
      <c r="D24" s="2950" t="s">
        <v>437</v>
      </c>
      <c r="E24" s="69">
        <f>'SW Plan'!$H$68</f>
        <v>0</v>
      </c>
      <c r="F24" s="69">
        <v>0</v>
      </c>
      <c r="G24" s="69">
        <f>IF(G23&lt;&gt;0,$E$24/('SW Plan'!$H$65+1-'SW Plan'!$G$65),0)</f>
        <v>0</v>
      </c>
      <c r="H24" s="69">
        <f>IF(H23&lt;&gt;0,$E$24/('SW Plan'!$H$65+1-'SW Plan'!$G$65),0)</f>
        <v>0</v>
      </c>
      <c r="I24" s="69">
        <f>IF(I23&lt;&gt;0,$E$24/('SW Plan'!$H$65+1-'SW Plan'!$G$65),0)</f>
        <v>0</v>
      </c>
      <c r="J24" s="69">
        <f>IF(J23&lt;&gt;0,$E$24/('SW Plan'!$H$65+1-'SW Plan'!$G$65),0)</f>
        <v>0</v>
      </c>
      <c r="K24" s="69">
        <f>IF(K23&lt;&gt;0,$E$24/('SW Plan'!$H$65+1-'SW Plan'!$G$65),0)</f>
        <v>0</v>
      </c>
      <c r="L24" s="69">
        <f>IF(L23&lt;&gt;0,$E$24/('SW Plan'!$H$65+1-'SW Plan'!$G$65),0)</f>
        <v>0</v>
      </c>
      <c r="M24" s="69">
        <f>IF(M23&lt;&gt;0,$E$24/('SW Plan'!$H$65+1-'SW Plan'!$G$65),0)</f>
        <v>0</v>
      </c>
      <c r="N24" s="69">
        <f>IF(N23&lt;&gt;0,$E$24/('SW Plan'!$H$65+1-'SW Plan'!$G$65),0)</f>
        <v>0</v>
      </c>
      <c r="O24" s="69">
        <f>IF(O23&lt;&gt;0,$E$24/('SW Plan'!$H$65+1-'SW Plan'!$G$65),0)</f>
        <v>0</v>
      </c>
      <c r="P24" s="69">
        <f>IF(P23&lt;&gt;0,$E$24/('SW Plan'!$H$65+1-'SW Plan'!$G$65),0)</f>
        <v>0</v>
      </c>
    </row>
    <row r="25" spans="1:16" s="124" customFormat="1" x14ac:dyDescent="0.25">
      <c r="A25" s="163"/>
      <c r="B25" s="163"/>
      <c r="C25" s="456"/>
      <c r="D25" s="2950" t="s">
        <v>438</v>
      </c>
      <c r="E25" s="79"/>
      <c r="F25" s="69">
        <v>0</v>
      </c>
      <c r="G25" s="69">
        <f>$E$20*G22</f>
        <v>0</v>
      </c>
      <c r="H25" s="69">
        <f t="shared" ref="H25:P25" si="7">$E$20*H22</f>
        <v>0</v>
      </c>
      <c r="I25" s="69">
        <f t="shared" si="7"/>
        <v>0</v>
      </c>
      <c r="J25" s="69">
        <f t="shared" si="7"/>
        <v>0</v>
      </c>
      <c r="K25" s="69">
        <f t="shared" si="7"/>
        <v>0</v>
      </c>
      <c r="L25" s="69">
        <f t="shared" si="7"/>
        <v>0</v>
      </c>
      <c r="M25" s="69">
        <f t="shared" si="7"/>
        <v>0</v>
      </c>
      <c r="N25" s="69">
        <f t="shared" si="7"/>
        <v>0</v>
      </c>
      <c r="O25" s="69">
        <f t="shared" si="7"/>
        <v>0</v>
      </c>
      <c r="P25" s="69">
        <f t="shared" si="7"/>
        <v>0</v>
      </c>
    </row>
    <row r="26" spans="1:16" s="92" customFormat="1" x14ac:dyDescent="0.25">
      <c r="A26" s="134"/>
      <c r="B26" s="134"/>
      <c r="C26" s="135"/>
      <c r="D26" s="2951" t="s">
        <v>439</v>
      </c>
      <c r="E26" s="161"/>
      <c r="F26" s="81">
        <f>F18</f>
        <v>9007</v>
      </c>
      <c r="G26" s="81">
        <f>F26+G$22+G$14</f>
        <v>9007</v>
      </c>
      <c r="H26" s="81">
        <f t="shared" ref="H26:P26" si="8">G26+H22+H14</f>
        <v>9007</v>
      </c>
      <c r="I26" s="81">
        <f t="shared" si="8"/>
        <v>9007</v>
      </c>
      <c r="J26" s="81">
        <f t="shared" si="8"/>
        <v>9007</v>
      </c>
      <c r="K26" s="81">
        <f t="shared" si="8"/>
        <v>9007</v>
      </c>
      <c r="L26" s="81">
        <f t="shared" si="8"/>
        <v>9007</v>
      </c>
      <c r="M26" s="81">
        <f t="shared" si="8"/>
        <v>9007</v>
      </c>
      <c r="N26" s="81">
        <f t="shared" si="8"/>
        <v>9007</v>
      </c>
      <c r="O26" s="81">
        <f t="shared" si="8"/>
        <v>9007</v>
      </c>
      <c r="P26" s="81">
        <f t="shared" si="8"/>
        <v>9007</v>
      </c>
    </row>
    <row r="27" spans="1:16" s="92" customFormat="1" x14ac:dyDescent="0.25">
      <c r="A27" s="134"/>
      <c r="B27" s="134"/>
      <c r="C27" s="135"/>
      <c r="D27" s="2951" t="s">
        <v>440</v>
      </c>
      <c r="E27" s="161"/>
      <c r="F27" s="81">
        <f>F19</f>
        <v>360</v>
      </c>
      <c r="G27" s="81">
        <f>F27+G$24+G$15</f>
        <v>360</v>
      </c>
      <c r="H27" s="81">
        <f t="shared" ref="H27:P27" si="9">G27+H$24+H$15</f>
        <v>360</v>
      </c>
      <c r="I27" s="81">
        <f t="shared" si="9"/>
        <v>360</v>
      </c>
      <c r="J27" s="81">
        <f t="shared" si="9"/>
        <v>360</v>
      </c>
      <c r="K27" s="81">
        <f t="shared" si="9"/>
        <v>360</v>
      </c>
      <c r="L27" s="81">
        <f t="shared" si="9"/>
        <v>360</v>
      </c>
      <c r="M27" s="81">
        <f t="shared" si="9"/>
        <v>360</v>
      </c>
      <c r="N27" s="81">
        <f t="shared" si="9"/>
        <v>360</v>
      </c>
      <c r="O27" s="81">
        <f t="shared" si="9"/>
        <v>360</v>
      </c>
      <c r="P27" s="81">
        <f t="shared" si="9"/>
        <v>360</v>
      </c>
    </row>
    <row r="28" spans="1:16" s="92" customFormat="1" x14ac:dyDescent="0.25">
      <c r="A28" s="134"/>
      <c r="B28" s="134"/>
      <c r="C28" s="135"/>
      <c r="D28" s="2951" t="s">
        <v>523</v>
      </c>
      <c r="E28" s="161"/>
      <c r="F28" s="81">
        <f>'WSS Profile'!$G$382</f>
        <v>8647</v>
      </c>
      <c r="G28" s="81">
        <f>F28+G$25+G$16</f>
        <v>8647</v>
      </c>
      <c r="H28" s="81">
        <f t="shared" ref="H28:P28" si="10">G28+H$25+H$16</f>
        <v>8647</v>
      </c>
      <c r="I28" s="81">
        <f t="shared" si="10"/>
        <v>8647</v>
      </c>
      <c r="J28" s="81">
        <f t="shared" si="10"/>
        <v>8647</v>
      </c>
      <c r="K28" s="81">
        <f t="shared" si="10"/>
        <v>8647</v>
      </c>
      <c r="L28" s="81">
        <f t="shared" si="10"/>
        <v>8647</v>
      </c>
      <c r="M28" s="81">
        <f t="shared" si="10"/>
        <v>8647</v>
      </c>
      <c r="N28" s="81">
        <f t="shared" si="10"/>
        <v>8647</v>
      </c>
      <c r="O28" s="81">
        <f t="shared" si="10"/>
        <v>8647</v>
      </c>
      <c r="P28" s="81">
        <f t="shared" si="10"/>
        <v>8647</v>
      </c>
    </row>
    <row r="29" spans="1:16" s="82" customFormat="1" x14ac:dyDescent="0.25">
      <c r="D29" s="2952"/>
      <c r="E29" s="157"/>
      <c r="F29" s="154"/>
      <c r="G29" s="155"/>
      <c r="H29" s="155"/>
      <c r="I29" s="155"/>
      <c r="J29" s="155"/>
      <c r="K29" s="155"/>
      <c r="L29" s="155"/>
      <c r="M29" s="155"/>
      <c r="N29" s="155"/>
      <c r="O29" s="155"/>
      <c r="P29" s="155"/>
    </row>
    <row r="30" spans="1:16" s="124" customFormat="1" x14ac:dyDescent="0.25">
      <c r="A30" s="163"/>
      <c r="B30" s="163"/>
      <c r="C30" s="456">
        <v>3</v>
      </c>
      <c r="D30" s="2950" t="s">
        <v>517</v>
      </c>
      <c r="E30" s="79"/>
      <c r="F30" s="69">
        <f>F31+F32</f>
        <v>0</v>
      </c>
      <c r="G30" s="69">
        <f t="shared" ref="G30:P30" si="11">G31+G32</f>
        <v>0</v>
      </c>
      <c r="H30" s="69">
        <f t="shared" si="11"/>
        <v>0</v>
      </c>
      <c r="I30" s="69">
        <f t="shared" si="11"/>
        <v>0</v>
      </c>
      <c r="J30" s="69">
        <f t="shared" si="11"/>
        <v>0</v>
      </c>
      <c r="K30" s="69">
        <f t="shared" si="11"/>
        <v>0</v>
      </c>
      <c r="L30" s="69">
        <f t="shared" si="11"/>
        <v>0</v>
      </c>
      <c r="M30" s="69">
        <f t="shared" si="11"/>
        <v>0</v>
      </c>
      <c r="N30" s="69">
        <f t="shared" si="11"/>
        <v>0</v>
      </c>
      <c r="O30" s="69">
        <f t="shared" si="11"/>
        <v>0</v>
      </c>
      <c r="P30" s="69">
        <f t="shared" si="11"/>
        <v>0</v>
      </c>
    </row>
    <row r="31" spans="1:16" s="124" customFormat="1" x14ac:dyDescent="0.25">
      <c r="A31" s="163"/>
      <c r="B31" s="163"/>
      <c r="C31" s="456"/>
      <c r="D31" s="2950" t="s">
        <v>2891</v>
      </c>
      <c r="E31" s="79"/>
      <c r="F31" s="69"/>
      <c r="G31" s="69">
        <f>IF('SW Plan'!$E$70="Activate",IF(AND(G$3&gt;='SW Plan'!$G$76,G$3&lt;'SW Plan'!$H$76+1),'SW Plan'!$H$77/('SW Plan'!$H$76-'SW Plan'!$G$76+1),0),0)</f>
        <v>0</v>
      </c>
      <c r="H31" s="69">
        <f>IF('SW Plan'!$E$70="Activate",IF(AND(H$3&gt;='SW Plan'!$G$76,H$3&lt;'SW Plan'!$H$76+1),'SW Plan'!$H$77/('SW Plan'!$H$76-'SW Plan'!$G$76+1),0),0)</f>
        <v>0</v>
      </c>
      <c r="I31" s="69">
        <f>IF('SW Plan'!$E$70="Activate",IF(AND(I$3&gt;='SW Plan'!$G$76,I$3&lt;'SW Plan'!$H$76+1),'SW Plan'!$H$77/('SW Plan'!$H$76-'SW Plan'!$G$76+1),0),0)</f>
        <v>0</v>
      </c>
      <c r="J31" s="69">
        <f>IF('SW Plan'!$E$70="Activate",IF(AND(J$3&gt;='SW Plan'!$G$76,J$3&lt;'SW Plan'!$H$76+1),'SW Plan'!$H$77/('SW Plan'!$H$76-'SW Plan'!$G$76+1),0),0)</f>
        <v>0</v>
      </c>
      <c r="K31" s="69">
        <f>IF('SW Plan'!$E$70="Activate",IF(AND(K$3&gt;='SW Plan'!$G$76,K$3&lt;'SW Plan'!$H$76+1),'SW Plan'!$H$77/('SW Plan'!$H$76-'SW Plan'!$G$76+1),0),0)</f>
        <v>0</v>
      </c>
      <c r="L31" s="69">
        <f>IF('SW Plan'!$E$70="Activate",IF(AND(L$3&gt;='SW Plan'!$G$76,L$3&lt;'SW Plan'!$H$76+1),'SW Plan'!$H$77/('SW Plan'!$H$76-'SW Plan'!$G$76+1),0),0)</f>
        <v>0</v>
      </c>
      <c r="M31" s="69">
        <f>IF('SW Plan'!$E$70="Activate",IF(AND(M$3&gt;='SW Plan'!$G$76,M$3&lt;'SW Plan'!$H$76+1),'SW Plan'!$H$77/('SW Plan'!$H$76-'SW Plan'!$G$76+1),0),0)</f>
        <v>0</v>
      </c>
      <c r="N31" s="69">
        <f>IF('SW Plan'!$E$70="Activate",IF(AND(N$3&gt;='SW Plan'!$G$76,N$3&lt;'SW Plan'!$H$76+1),'SW Plan'!$H$77/('SW Plan'!$H$76-'SW Plan'!$G$76+1),0),0)</f>
        <v>0</v>
      </c>
      <c r="O31" s="69">
        <f>IF('SW Plan'!$E$70="Activate",IF(AND(O$3&gt;='SW Plan'!$G$76,O$3&lt;'SW Plan'!$H$76+1),'SW Plan'!$H$77/('SW Plan'!$H$76-'SW Plan'!$G$76+1),0),0)</f>
        <v>0</v>
      </c>
      <c r="P31" s="69">
        <f>IF('SW Plan'!$E$70="Activate",IF(AND(P$3&gt;='SW Plan'!$G$76,P$3&lt;'SW Plan'!$H$76+1),'SW Plan'!$H$77/('SW Plan'!$H$76-'SW Plan'!$G$76+1),0),0)</f>
        <v>0</v>
      </c>
    </row>
    <row r="32" spans="1:16" s="124" customFormat="1" x14ac:dyDescent="0.25">
      <c r="A32" s="163"/>
      <c r="B32" s="163"/>
      <c r="C32" s="456"/>
      <c r="D32" s="2950" t="s">
        <v>518</v>
      </c>
      <c r="E32" s="69">
        <f>'SW Plan'!$H$78</f>
        <v>0</v>
      </c>
      <c r="F32" s="69">
        <v>0</v>
      </c>
      <c r="G32" s="69">
        <f>IF(G31&lt;&gt;0,$E$32/('SW Plan'!$H$76+1-'SW Plan'!$G$76),0)</f>
        <v>0</v>
      </c>
      <c r="H32" s="69">
        <f>IF(H31&lt;&gt;0,$E$32/('SW Plan'!$H$76+1-'SW Plan'!$G$76),0)</f>
        <v>0</v>
      </c>
      <c r="I32" s="69">
        <f>IF(I31&lt;&gt;0,$E$32/('SW Plan'!$H$76+1-'SW Plan'!$G$76),0)</f>
        <v>0</v>
      </c>
      <c r="J32" s="69">
        <f>IF(J31&lt;&gt;0,$E$32/('SW Plan'!$H$76+1-'SW Plan'!$G$76),0)</f>
        <v>0</v>
      </c>
      <c r="K32" s="69">
        <f>IF(K31&lt;&gt;0,$E$32/('SW Plan'!$H$76+1-'SW Plan'!$G$76),0)</f>
        <v>0</v>
      </c>
      <c r="L32" s="69">
        <f>IF(L31&lt;&gt;0,$E$32/('SW Plan'!$H$76+1-'SW Plan'!$G$76),0)</f>
        <v>0</v>
      </c>
      <c r="M32" s="69">
        <f>IF(M31&lt;&gt;0,$E$32/('SW Plan'!$H$76+1-'SW Plan'!$G$76),0)</f>
        <v>0</v>
      </c>
      <c r="N32" s="69">
        <f>IF(N31&lt;&gt;0,$E$32/('SW Plan'!$H$76+1-'SW Plan'!$G$76),0)</f>
        <v>0</v>
      </c>
      <c r="O32" s="69">
        <f>IF(O31&lt;&gt;0,$E$32/('SW Plan'!$H$76+1-'SW Plan'!$G$76),0)</f>
        <v>0</v>
      </c>
      <c r="P32" s="69">
        <f>IF(P31&lt;&gt;0,$E$32/('SW Plan'!$H$76+1-'SW Plan'!$G$76),0)</f>
        <v>0</v>
      </c>
    </row>
    <row r="33" spans="1:16" s="124" customFormat="1" x14ac:dyDescent="0.25">
      <c r="A33" s="163"/>
      <c r="B33" s="163"/>
      <c r="C33" s="456"/>
      <c r="D33" s="2950" t="s">
        <v>519</v>
      </c>
      <c r="E33" s="79"/>
      <c r="F33" s="69">
        <v>0</v>
      </c>
      <c r="G33" s="69">
        <f>$E$20*G30</f>
        <v>0</v>
      </c>
      <c r="H33" s="69">
        <f t="shared" ref="H33:P33" si="12">$E$20*H30</f>
        <v>0</v>
      </c>
      <c r="I33" s="69">
        <f t="shared" si="12"/>
        <v>0</v>
      </c>
      <c r="J33" s="69">
        <f t="shared" si="12"/>
        <v>0</v>
      </c>
      <c r="K33" s="69">
        <f t="shared" si="12"/>
        <v>0</v>
      </c>
      <c r="L33" s="69">
        <f t="shared" si="12"/>
        <v>0</v>
      </c>
      <c r="M33" s="69">
        <f t="shared" si="12"/>
        <v>0</v>
      </c>
      <c r="N33" s="69">
        <f t="shared" si="12"/>
        <v>0</v>
      </c>
      <c r="O33" s="69">
        <f t="shared" si="12"/>
        <v>0</v>
      </c>
      <c r="P33" s="69">
        <f t="shared" si="12"/>
        <v>0</v>
      </c>
    </row>
    <row r="34" spans="1:16" s="92" customFormat="1" x14ac:dyDescent="0.25">
      <c r="A34" s="134"/>
      <c r="B34" s="134"/>
      <c r="C34" s="135"/>
      <c r="D34" s="2951" t="s">
        <v>520</v>
      </c>
      <c r="E34" s="161"/>
      <c r="F34" s="81">
        <f>F26</f>
        <v>9007</v>
      </c>
      <c r="G34" s="81">
        <f>F34+G$22+G$14+G$30</f>
        <v>9007</v>
      </c>
      <c r="H34" s="81">
        <f t="shared" ref="H34:P34" si="13">G34+H$22+H$14+H$30</f>
        <v>9007</v>
      </c>
      <c r="I34" s="81">
        <f t="shared" si="13"/>
        <v>9007</v>
      </c>
      <c r="J34" s="81">
        <f t="shared" si="13"/>
        <v>9007</v>
      </c>
      <c r="K34" s="81">
        <f t="shared" si="13"/>
        <v>9007</v>
      </c>
      <c r="L34" s="81">
        <f t="shared" si="13"/>
        <v>9007</v>
      </c>
      <c r="M34" s="81">
        <f t="shared" si="13"/>
        <v>9007</v>
      </c>
      <c r="N34" s="81">
        <f t="shared" si="13"/>
        <v>9007</v>
      </c>
      <c r="O34" s="81">
        <f t="shared" si="13"/>
        <v>9007</v>
      </c>
      <c r="P34" s="81">
        <f t="shared" si="13"/>
        <v>9007</v>
      </c>
    </row>
    <row r="35" spans="1:16" s="92" customFormat="1" x14ac:dyDescent="0.25">
      <c r="C35" s="161"/>
      <c r="D35" s="2951" t="s">
        <v>521</v>
      </c>
      <c r="E35" s="161"/>
      <c r="F35" s="81">
        <f>F27</f>
        <v>360</v>
      </c>
      <c r="G35" s="81">
        <f>F35+G$24+G$15+G$32</f>
        <v>360</v>
      </c>
      <c r="H35" s="81">
        <f t="shared" ref="H35:P35" si="14">G35+H$24+H$15+H$32</f>
        <v>360</v>
      </c>
      <c r="I35" s="81">
        <f t="shared" si="14"/>
        <v>360</v>
      </c>
      <c r="J35" s="81">
        <f t="shared" si="14"/>
        <v>360</v>
      </c>
      <c r="K35" s="81">
        <f t="shared" si="14"/>
        <v>360</v>
      </c>
      <c r="L35" s="81">
        <f t="shared" si="14"/>
        <v>360</v>
      </c>
      <c r="M35" s="81">
        <f t="shared" si="14"/>
        <v>360</v>
      </c>
      <c r="N35" s="81">
        <f t="shared" si="14"/>
        <v>360</v>
      </c>
      <c r="O35" s="81">
        <f t="shared" si="14"/>
        <v>360</v>
      </c>
      <c r="P35" s="81">
        <f t="shared" si="14"/>
        <v>360</v>
      </c>
    </row>
    <row r="36" spans="1:16" s="92" customFormat="1" x14ac:dyDescent="0.25">
      <c r="A36" s="134"/>
      <c r="B36" s="134"/>
      <c r="C36" s="135"/>
      <c r="D36" s="2951" t="s">
        <v>522</v>
      </c>
      <c r="E36" s="161"/>
      <c r="F36" s="81">
        <f>F28</f>
        <v>8647</v>
      </c>
      <c r="G36" s="81">
        <f>F36+G$25+G$16+G$33</f>
        <v>8647</v>
      </c>
      <c r="H36" s="81">
        <f t="shared" ref="H36:P36" si="15">G36+H$25+H$16+H$33</f>
        <v>8647</v>
      </c>
      <c r="I36" s="81">
        <f t="shared" si="15"/>
        <v>8647</v>
      </c>
      <c r="J36" s="81">
        <f t="shared" si="15"/>
        <v>8647</v>
      </c>
      <c r="K36" s="81">
        <f t="shared" si="15"/>
        <v>8647</v>
      </c>
      <c r="L36" s="81">
        <f t="shared" si="15"/>
        <v>8647</v>
      </c>
      <c r="M36" s="81">
        <f t="shared" si="15"/>
        <v>8647</v>
      </c>
      <c r="N36" s="81">
        <f t="shared" si="15"/>
        <v>8647</v>
      </c>
      <c r="O36" s="81">
        <f t="shared" si="15"/>
        <v>8647</v>
      </c>
      <c r="P36" s="81">
        <f t="shared" si="15"/>
        <v>8647</v>
      </c>
    </row>
    <row r="37" spans="1:16" s="124" customFormat="1" x14ac:dyDescent="0.25">
      <c r="A37" s="163"/>
      <c r="B37" s="163"/>
      <c r="C37" s="183"/>
      <c r="D37" s="2953"/>
      <c r="E37" s="77"/>
      <c r="F37" s="119"/>
      <c r="G37" s="119"/>
      <c r="H37" s="119"/>
      <c r="I37" s="119"/>
      <c r="J37" s="119"/>
      <c r="K37" s="119"/>
      <c r="L37" s="119"/>
      <c r="M37" s="119"/>
      <c r="N37" s="119"/>
      <c r="O37" s="119"/>
      <c r="P37" s="119"/>
    </row>
    <row r="38" spans="1:16" s="124" customFormat="1" x14ac:dyDescent="0.25">
      <c r="A38" s="163"/>
      <c r="B38" s="163"/>
      <c r="C38" s="456">
        <v>4</v>
      </c>
      <c r="D38" s="2950" t="s">
        <v>399</v>
      </c>
      <c r="E38" s="79"/>
      <c r="F38" s="69">
        <f>F39+F40</f>
        <v>0</v>
      </c>
      <c r="G38" s="69">
        <f t="shared" ref="G38:P38" si="16">G39+G40</f>
        <v>0</v>
      </c>
      <c r="H38" s="69">
        <f t="shared" si="16"/>
        <v>0</v>
      </c>
      <c r="I38" s="69">
        <f t="shared" si="16"/>
        <v>0</v>
      </c>
      <c r="J38" s="69">
        <f t="shared" si="16"/>
        <v>0</v>
      </c>
      <c r="K38" s="69">
        <f t="shared" si="16"/>
        <v>0</v>
      </c>
      <c r="L38" s="69">
        <f t="shared" si="16"/>
        <v>0</v>
      </c>
      <c r="M38" s="69">
        <f t="shared" si="16"/>
        <v>0</v>
      </c>
      <c r="N38" s="69">
        <f t="shared" si="16"/>
        <v>0</v>
      </c>
      <c r="O38" s="69">
        <f t="shared" si="16"/>
        <v>0</v>
      </c>
      <c r="P38" s="69">
        <f t="shared" si="16"/>
        <v>0</v>
      </c>
    </row>
    <row r="39" spans="1:16" s="124" customFormat="1" x14ac:dyDescent="0.25">
      <c r="A39" s="163"/>
      <c r="B39" s="163"/>
      <c r="C39" s="456"/>
      <c r="D39" s="2950" t="s">
        <v>2889</v>
      </c>
      <c r="E39" s="79"/>
      <c r="F39" s="69"/>
      <c r="G39" s="69">
        <f>IF('SW Plan'!$E$45="Activate",IF(AND(G$3&gt;='SW Plan'!$G$49,G$3&lt;'SW Plan'!$H$49+1),'SW Plan'!$H$50/('SW Plan'!$H$49-'SW Plan'!$G$49+1),0),0)</f>
        <v>0</v>
      </c>
      <c r="H39" s="69">
        <f>IF('SW Plan'!$E$45="Activate",IF(AND(H$3&gt;='SW Plan'!$G$49,H$3&lt;'SW Plan'!$H$49+1),'SW Plan'!$H$50/('SW Plan'!$H$49-'SW Plan'!$G$49+1),0),0)</f>
        <v>0</v>
      </c>
      <c r="I39" s="69">
        <f>IF('SW Plan'!$E$45="Activate",IF(AND(I$3&gt;='SW Plan'!$G$49,I$3&lt;'SW Plan'!$H$49+1),'SW Plan'!$H$50/('SW Plan'!$H$49-'SW Plan'!$G$49+1),0),0)</f>
        <v>0</v>
      </c>
      <c r="J39" s="69">
        <f>IF('SW Plan'!$E$45="Activate",IF(AND(J$3&gt;='SW Plan'!$G$49,J$3&lt;'SW Plan'!$H$49+1),'SW Plan'!$H$50/('SW Plan'!$H$49-'SW Plan'!$G$49+1),0),0)</f>
        <v>0</v>
      </c>
      <c r="K39" s="69">
        <f>IF('SW Plan'!$E$45="Activate",IF(AND(K$3&gt;='SW Plan'!$G$49,K$3&lt;'SW Plan'!$H$49+1),'SW Plan'!$H$50/('SW Plan'!$H$49-'SW Plan'!$G$49+1),0),0)</f>
        <v>0</v>
      </c>
      <c r="L39" s="69">
        <f>IF('SW Plan'!$E$45="Activate",IF(AND(L$3&gt;='SW Plan'!$G$49,L$3&lt;'SW Plan'!$H$49+1),'SW Plan'!$H$50/('SW Plan'!$H$49-'SW Plan'!$G$49+1),0),0)</f>
        <v>0</v>
      </c>
      <c r="M39" s="69">
        <f>IF('SW Plan'!$E$45="Activate",IF(AND(M$3&gt;='SW Plan'!$G$49,M$3&lt;'SW Plan'!$H$49+1),'SW Plan'!$H$50/('SW Plan'!$H$49-'SW Plan'!$G$49+1),0),0)</f>
        <v>0</v>
      </c>
      <c r="N39" s="69">
        <f>IF('SW Plan'!$E$45="Activate",IF(AND(N$3&gt;='SW Plan'!$G$49,N$3&lt;'SW Plan'!$H$49+1),'SW Plan'!$H$50/('SW Plan'!$H$49-'SW Plan'!$G$49+1),0),0)</f>
        <v>0</v>
      </c>
      <c r="O39" s="69">
        <f>IF('SW Plan'!$E$45="Activate",IF(AND(O$3&gt;='SW Plan'!$G$49,O$3&lt;'SW Plan'!$H$49+1),'SW Plan'!$H$50/('SW Plan'!$H$49-'SW Plan'!$G$49+1),0),0)</f>
        <v>0</v>
      </c>
      <c r="P39" s="69">
        <f>IF('SW Plan'!$E$45="Activate",IF(AND(P$3&gt;='SW Plan'!$G$49,P$3&lt;'SW Plan'!$H$49+1),'SW Plan'!$H$50/('SW Plan'!$H$49-'SW Plan'!$G$49+1),0),0)</f>
        <v>0</v>
      </c>
    </row>
    <row r="40" spans="1:16" s="124" customFormat="1" x14ac:dyDescent="0.25">
      <c r="A40" s="163"/>
      <c r="B40" s="163"/>
      <c r="C40" s="456"/>
      <c r="D40" s="2950" t="s">
        <v>393</v>
      </c>
      <c r="E40" s="69">
        <f>'SW Plan'!$H$51</f>
        <v>0</v>
      </c>
      <c r="F40" s="69">
        <v>0</v>
      </c>
      <c r="G40" s="69">
        <f>IF(G39&lt;&gt;0,$E$40/('SW Plan'!$H$49+1-'SW Plan'!$G$49),0)</f>
        <v>0</v>
      </c>
      <c r="H40" s="69">
        <f>IF(H39&lt;&gt;0,$E$40/('SW Plan'!$H$49+1-'SW Plan'!$G$49),0)</f>
        <v>0</v>
      </c>
      <c r="I40" s="69">
        <f>IF(I39&lt;&gt;0,$E$40/('SW Plan'!$H$49+1-'SW Plan'!$G$49),0)</f>
        <v>0</v>
      </c>
      <c r="J40" s="69">
        <f>IF(J39&lt;&gt;0,$E$40/('SW Plan'!$H$49+1-'SW Plan'!$G$49),0)</f>
        <v>0</v>
      </c>
      <c r="K40" s="69">
        <f>IF(K39&lt;&gt;0,$E$40/('SW Plan'!$H$49+1-'SW Plan'!$G$49),0)</f>
        <v>0</v>
      </c>
      <c r="L40" s="69">
        <f>IF(L39&lt;&gt;0,$E$40/('SW Plan'!$H$49+1-'SW Plan'!$G$49),0)</f>
        <v>0</v>
      </c>
      <c r="M40" s="69">
        <f>IF(M39&lt;&gt;0,$E$40/('SW Plan'!$H$49+1-'SW Plan'!$G$49),0)</f>
        <v>0</v>
      </c>
      <c r="N40" s="69">
        <f>IF(N39&lt;&gt;0,$E$40/('SW Plan'!$H$49+1-'SW Plan'!$G$49),0)</f>
        <v>0</v>
      </c>
      <c r="O40" s="69">
        <f>IF(O39&lt;&gt;0,$E$40/('SW Plan'!$H$49+1-'SW Plan'!$G$49),0)</f>
        <v>0</v>
      </c>
      <c r="P40" s="69">
        <f>IF(P39&lt;&gt;0,$E$40/('SW Plan'!$H$49+1-'SW Plan'!$G$49),0)</f>
        <v>0</v>
      </c>
    </row>
    <row r="41" spans="1:16" s="124" customFormat="1" x14ac:dyDescent="0.25">
      <c r="A41" s="163"/>
      <c r="B41" s="163"/>
      <c r="C41" s="456"/>
      <c r="D41" s="2950" t="s">
        <v>392</v>
      </c>
      <c r="E41" s="79"/>
      <c r="F41" s="69">
        <v>0</v>
      </c>
      <c r="G41" s="69">
        <f>G38*$E$20</f>
        <v>0</v>
      </c>
      <c r="H41" s="69">
        <f t="shared" ref="H41:P41" si="17">H38*$E$20</f>
        <v>0</v>
      </c>
      <c r="I41" s="69">
        <f t="shared" si="17"/>
        <v>0</v>
      </c>
      <c r="J41" s="69">
        <f t="shared" si="17"/>
        <v>0</v>
      </c>
      <c r="K41" s="69">
        <f t="shared" si="17"/>
        <v>0</v>
      </c>
      <c r="L41" s="69">
        <f t="shared" si="17"/>
        <v>0</v>
      </c>
      <c r="M41" s="69">
        <f t="shared" si="17"/>
        <v>0</v>
      </c>
      <c r="N41" s="69">
        <f t="shared" si="17"/>
        <v>0</v>
      </c>
      <c r="O41" s="69">
        <f t="shared" si="17"/>
        <v>0</v>
      </c>
      <c r="P41" s="69">
        <f t="shared" si="17"/>
        <v>0</v>
      </c>
    </row>
    <row r="42" spans="1:16" s="92" customFormat="1" x14ac:dyDescent="0.25">
      <c r="A42" s="134"/>
      <c r="B42" s="134"/>
      <c r="C42" s="135"/>
      <c r="D42" s="2951" t="s">
        <v>394</v>
      </c>
      <c r="E42" s="161"/>
      <c r="F42" s="81">
        <f>F34</f>
        <v>9007</v>
      </c>
      <c r="G42" s="81">
        <f>F42+G$22+G$14+G$30+G$38</f>
        <v>9007</v>
      </c>
      <c r="H42" s="81">
        <f t="shared" ref="H42:P42" si="18">G42+H$22+H$14+H$30+H$38</f>
        <v>9007</v>
      </c>
      <c r="I42" s="81">
        <f t="shared" si="18"/>
        <v>9007</v>
      </c>
      <c r="J42" s="81">
        <f t="shared" si="18"/>
        <v>9007</v>
      </c>
      <c r="K42" s="81">
        <f t="shared" si="18"/>
        <v>9007</v>
      </c>
      <c r="L42" s="81">
        <f t="shared" si="18"/>
        <v>9007</v>
      </c>
      <c r="M42" s="81">
        <f t="shared" si="18"/>
        <v>9007</v>
      </c>
      <c r="N42" s="81">
        <f t="shared" si="18"/>
        <v>9007</v>
      </c>
      <c r="O42" s="81">
        <f t="shared" si="18"/>
        <v>9007</v>
      </c>
      <c r="P42" s="81">
        <f t="shared" si="18"/>
        <v>9007</v>
      </c>
    </row>
    <row r="43" spans="1:16" s="92" customFormat="1" x14ac:dyDescent="0.25">
      <c r="C43" s="161"/>
      <c r="D43" s="161" t="s">
        <v>395</v>
      </c>
      <c r="E43" s="161"/>
      <c r="F43" s="81">
        <f>F35</f>
        <v>360</v>
      </c>
      <c r="G43" s="81">
        <f>F43+G$24+G$15+G$32+G$40</f>
        <v>360</v>
      </c>
      <c r="H43" s="81">
        <f t="shared" ref="H43:P43" si="19">G43+H$24+H$15+H$32+H$40</f>
        <v>360</v>
      </c>
      <c r="I43" s="81">
        <f t="shared" si="19"/>
        <v>360</v>
      </c>
      <c r="J43" s="81">
        <f t="shared" si="19"/>
        <v>360</v>
      </c>
      <c r="K43" s="81">
        <f t="shared" si="19"/>
        <v>360</v>
      </c>
      <c r="L43" s="81">
        <f t="shared" si="19"/>
        <v>360</v>
      </c>
      <c r="M43" s="81">
        <f t="shared" si="19"/>
        <v>360</v>
      </c>
      <c r="N43" s="81">
        <f t="shared" si="19"/>
        <v>360</v>
      </c>
      <c r="O43" s="81">
        <f t="shared" si="19"/>
        <v>360</v>
      </c>
      <c r="P43" s="81">
        <f t="shared" si="19"/>
        <v>360</v>
      </c>
    </row>
    <row r="44" spans="1:16" s="92" customFormat="1" x14ac:dyDescent="0.25">
      <c r="A44" s="134"/>
      <c r="B44" s="134"/>
      <c r="C44" s="135"/>
      <c r="D44" s="135" t="s">
        <v>510</v>
      </c>
      <c r="E44" s="2399"/>
      <c r="F44" s="81">
        <f>F36</f>
        <v>8647</v>
      </c>
      <c r="G44" s="81">
        <f>F44+G$25+G$16+G$33+G$41</f>
        <v>8647</v>
      </c>
      <c r="H44" s="81">
        <f t="shared" ref="H44:P44" si="20">G44+H$25+H$16+H$33+H$41</f>
        <v>8647</v>
      </c>
      <c r="I44" s="81">
        <f t="shared" si="20"/>
        <v>8647</v>
      </c>
      <c r="J44" s="81">
        <f t="shared" si="20"/>
        <v>8647</v>
      </c>
      <c r="K44" s="81">
        <f t="shared" si="20"/>
        <v>8647</v>
      </c>
      <c r="L44" s="81">
        <f t="shared" si="20"/>
        <v>8647</v>
      </c>
      <c r="M44" s="81">
        <f t="shared" si="20"/>
        <v>8647</v>
      </c>
      <c r="N44" s="81">
        <f t="shared" si="20"/>
        <v>8647</v>
      </c>
      <c r="O44" s="81">
        <f t="shared" si="20"/>
        <v>8647</v>
      </c>
      <c r="P44" s="81">
        <f t="shared" si="20"/>
        <v>8647</v>
      </c>
    </row>
    <row r="45" spans="1:16" s="124" customFormat="1" x14ac:dyDescent="0.25">
      <c r="C45" s="79"/>
      <c r="D45" s="161" t="s">
        <v>963</v>
      </c>
      <c r="E45" s="79"/>
      <c r="F45" s="1098">
        <f>F42+F44</f>
        <v>17654</v>
      </c>
      <c r="G45" s="1098">
        <f t="shared" ref="G45:P45" si="21">G42+G44</f>
        <v>17654</v>
      </c>
      <c r="H45" s="1098">
        <f t="shared" si="21"/>
        <v>17654</v>
      </c>
      <c r="I45" s="1098">
        <f t="shared" si="21"/>
        <v>17654</v>
      </c>
      <c r="J45" s="1098">
        <f t="shared" si="21"/>
        <v>17654</v>
      </c>
      <c r="K45" s="1098">
        <f t="shared" si="21"/>
        <v>17654</v>
      </c>
      <c r="L45" s="1098">
        <f t="shared" si="21"/>
        <v>17654</v>
      </c>
      <c r="M45" s="1098">
        <f t="shared" si="21"/>
        <v>17654</v>
      </c>
      <c r="N45" s="1098">
        <f t="shared" si="21"/>
        <v>17654</v>
      </c>
      <c r="O45" s="1098">
        <f t="shared" si="21"/>
        <v>17654</v>
      </c>
      <c r="P45" s="1098">
        <f t="shared" si="21"/>
        <v>17654</v>
      </c>
    </row>
    <row r="46" spans="1:16" s="1099" customFormat="1" hidden="1" x14ac:dyDescent="0.25">
      <c r="D46" s="1099" t="s">
        <v>1004</v>
      </c>
      <c r="E46" s="1100">
        <f>'SW Plan'!$H$48</f>
        <v>0</v>
      </c>
      <c r="G46" s="1099">
        <f>(IF('SW Plan'!$E$45="Activate",IF(AND(G$3&gt;='SW Plan'!$G$46,G$3&lt;'SW Plan'!$H$46+1),'SW Plan'!$H$47/('SW Plan'!$H$46-'SW Plan'!$G$46+1),0),0)*'PIP finance'!G$1)</f>
        <v>0</v>
      </c>
      <c r="H46" s="1099">
        <f>(IF('SW Plan'!$E$45="Activate",IF(AND(H$3&gt;='SW Plan'!$G$46,H$3&lt;'SW Plan'!$H$46+1),'SW Plan'!$H$47/('SW Plan'!$H$46-'SW Plan'!$G$46+1),0),0)*'PIP finance'!H$1)</f>
        <v>0</v>
      </c>
      <c r="I46" s="1099">
        <f>(IF('SW Plan'!$E$45="Activate",IF(AND(I$3&gt;='SW Plan'!$G$46,I$3&lt;'SW Plan'!$H$46+1),'SW Plan'!$H$47/('SW Plan'!$H$46-'SW Plan'!$G$46+1),0),0)*'PIP finance'!I$1)</f>
        <v>0</v>
      </c>
      <c r="J46" s="1099">
        <f>(IF('SW Plan'!$E$45="Activate",IF(AND(J$3&gt;='SW Plan'!$G$46,J$3&lt;'SW Plan'!$H$46+1),'SW Plan'!$H$47/('SW Plan'!$H$46-'SW Plan'!$G$46+1),0),0)*'PIP finance'!J$1)</f>
        <v>0</v>
      </c>
      <c r="K46" s="1099">
        <f>(IF('SW Plan'!$E$45="Activate",IF(AND(K$3&gt;='SW Plan'!$G$46,K$3&lt;'SW Plan'!$H$46+1),'SW Plan'!$H$47/('SW Plan'!$H$46-'SW Plan'!$G$46+1),0),0)*'PIP finance'!K$1)</f>
        <v>0</v>
      </c>
      <c r="L46" s="1099">
        <f>(IF('SW Plan'!$E$45="Activate",IF(AND(L$3&gt;='SW Plan'!$G$46,L$3&lt;'SW Plan'!$H$46+1),'SW Plan'!$H$47/('SW Plan'!$H$46-'SW Plan'!$G$46+1),0),0)*'PIP finance'!L$1)</f>
        <v>0</v>
      </c>
      <c r="M46" s="1099">
        <f>(IF('SW Plan'!$E$45="Activate",IF(AND(M$3&gt;='SW Plan'!$G$46,M$3&lt;'SW Plan'!$H$46+1),'SW Plan'!$H$47/('SW Plan'!$H$46-'SW Plan'!$G$46+1),0),0)*'PIP finance'!M$1)</f>
        <v>0</v>
      </c>
      <c r="N46" s="1099">
        <f>(IF('SW Plan'!$E$45="Activate",IF(AND(N$3&gt;='SW Plan'!$G$46,N$3&lt;'SW Plan'!$H$46+1),'SW Plan'!$H$47/('SW Plan'!$H$46-'SW Plan'!$G$46+1),0),0)*'PIP finance'!N$1)</f>
        <v>0</v>
      </c>
      <c r="O46" s="1099">
        <f>(IF('SW Plan'!$E$45="Activate",IF(AND(O$3&gt;='SW Plan'!$G$46,O$3&lt;'SW Plan'!$H$46+1),'SW Plan'!$H$47/('SW Plan'!$H$46-'SW Plan'!$G$46+1),0),0)*'PIP finance'!O$1)</f>
        <v>0</v>
      </c>
      <c r="P46" s="1099">
        <f>(IF('SW Plan'!$E$45="Activate",IF(AND(P$3&gt;='SW Plan'!$G$46,P$3&lt;'SW Plan'!$H$46+1),'SW Plan'!$H$47/('SW Plan'!$H$46-'SW Plan'!$G$46+1),0),0)*'PIP finance'!P$1)</f>
        <v>0</v>
      </c>
    </row>
    <row r="47" spans="1:16" s="1099" customFormat="1" hidden="1" x14ac:dyDescent="0.25">
      <c r="D47" s="1099" t="s">
        <v>1005</v>
      </c>
      <c r="E47" s="1100">
        <f>'SW Plan'!$H$53</f>
        <v>0</v>
      </c>
      <c r="G47" s="1099">
        <f>(IF('SW Plan'!$E$45="Activate",IF(AND(G$3&gt;='SW Plan'!$G$49,G$3&lt;'SW Plan'!$H$49+1),'SW Plan'!$H$52/('SW Plan'!$H$49-'SW Plan'!$G$49+1),0),0)*'PIP finance'!G$1)</f>
        <v>0</v>
      </c>
      <c r="H47" s="1099">
        <f>(IF('SW Plan'!$E$45="Activate",IF(AND(H$3&gt;='SW Plan'!$G$49,H$3&lt;'SW Plan'!$H$49+1),'SW Plan'!$H$52/('SW Plan'!$H$49-'SW Plan'!$G$49+1),0),0)*'PIP finance'!H$1)</f>
        <v>0</v>
      </c>
      <c r="I47" s="1099">
        <f>(IF('SW Plan'!$E$45="Activate",IF(AND(I$3&gt;='SW Plan'!$G$49,I$3&lt;'SW Plan'!$H$49+1),'SW Plan'!$H$52/('SW Plan'!$H$49-'SW Plan'!$G$49+1),0),0)*'PIP finance'!I$1)</f>
        <v>0</v>
      </c>
      <c r="J47" s="1099">
        <f>(IF('SW Plan'!$E$45="Activate",IF(AND(J$3&gt;='SW Plan'!$G$49,J$3&lt;'SW Plan'!$H$49+1),'SW Plan'!$H$52/('SW Plan'!$H$49-'SW Plan'!$G$49+1),0),0)*'PIP finance'!J$1)</f>
        <v>0</v>
      </c>
      <c r="K47" s="1099">
        <f>(IF('SW Plan'!$E$45="Activate",IF(AND(K$3&gt;='SW Plan'!$G$49,K$3&lt;'SW Plan'!$H$49+1),'SW Plan'!$H$52/('SW Plan'!$H$49-'SW Plan'!$G$49+1),0),0)*'PIP finance'!K$1)</f>
        <v>0</v>
      </c>
      <c r="L47" s="1099">
        <f>(IF('SW Plan'!$E$45="Activate",IF(AND(L$3&gt;='SW Plan'!$G$49,L$3&lt;'SW Plan'!$H$49+1),'SW Plan'!$H$52/('SW Plan'!$H$49-'SW Plan'!$G$49+1),0),0)*'PIP finance'!L$1)</f>
        <v>0</v>
      </c>
      <c r="M47" s="1099">
        <f>(IF('SW Plan'!$E$45="Activate",IF(AND(M$3&gt;='SW Plan'!$G$49,M$3&lt;'SW Plan'!$H$49+1),'SW Plan'!$H$52/('SW Plan'!$H$49-'SW Plan'!$G$49+1),0),0)*'PIP finance'!M$1)</f>
        <v>0</v>
      </c>
      <c r="N47" s="1099">
        <f>(IF('SW Plan'!$E$45="Activate",IF(AND(N$3&gt;='SW Plan'!$G$49,N$3&lt;'SW Plan'!$H$49+1),'SW Plan'!$H$52/('SW Plan'!$H$49-'SW Plan'!$G$49+1),0),0)*'PIP finance'!N$1)</f>
        <v>0</v>
      </c>
      <c r="O47" s="1099">
        <f>(IF('SW Plan'!$E$45="Activate",IF(AND(O$3&gt;='SW Plan'!$G$49,O$3&lt;'SW Plan'!$H$49+1),'SW Plan'!$H$52/('SW Plan'!$H$49-'SW Plan'!$G$49+1),0),0)*'PIP finance'!O$1)</f>
        <v>0</v>
      </c>
      <c r="P47" s="1099">
        <f>(IF('SW Plan'!$E$45="Activate",IF(AND(P$3&gt;='SW Plan'!$G$49,P$3&lt;'SW Plan'!$H$49+1),'SW Plan'!$H$52/('SW Plan'!$H$49-'SW Plan'!$G$49+1),0),0)*'PIP finance'!P$1)</f>
        <v>0</v>
      </c>
    </row>
    <row r="48" spans="1:16" s="124" customFormat="1" x14ac:dyDescent="0.25"/>
    <row r="49" spans="1:16" s="124" customFormat="1" x14ac:dyDescent="0.25">
      <c r="C49" s="79">
        <v>5</v>
      </c>
      <c r="D49" s="1181" t="s">
        <v>1212</v>
      </c>
      <c r="E49" s="1182"/>
      <c r="F49" s="1183"/>
      <c r="G49" s="1183"/>
      <c r="H49" s="1183"/>
      <c r="I49" s="1183"/>
      <c r="J49" s="1183"/>
      <c r="K49" s="1183"/>
      <c r="L49" s="1183"/>
      <c r="M49" s="1183"/>
      <c r="N49" s="1183"/>
      <c r="O49" s="1183"/>
      <c r="P49" s="1184"/>
    </row>
    <row r="50" spans="1:16" s="92" customFormat="1" x14ac:dyDescent="0.25">
      <c r="C50" s="161"/>
      <c r="D50" s="79" t="s">
        <v>1213</v>
      </c>
      <c r="E50" s="1185">
        <f>E53</f>
        <v>0</v>
      </c>
      <c r="F50" s="69">
        <v>0</v>
      </c>
      <c r="G50" s="69">
        <f>(IF('SW Plan'!$E$101="Activate",IF(AND(G$3&gt;='SW Plan'!$G$101,G$3&lt;'SW Plan'!$H$101+1,'SW Plan'!$H$103&lt;&gt;0),'SW Plan'!$H$103/('SW Plan'!$H$101-'SW Plan'!$G$101+1),0),0))*$E$53</f>
        <v>0</v>
      </c>
      <c r="H50" s="69">
        <f>(IF('SW Plan'!$E$101="Activate",IF(AND(H$3&gt;='SW Plan'!$G$101,H$3&lt;'SW Plan'!$H$101+1,'SW Plan'!$H$103&lt;&gt;0),'SW Plan'!$H$103/('SW Plan'!$H$101-'SW Plan'!$G$101+1),0),0))*$E$53</f>
        <v>0</v>
      </c>
      <c r="I50" s="69">
        <f>(IF('SW Plan'!$E$101="Activate",IF(AND(I$3&gt;='SW Plan'!$G$101,I$3&lt;'SW Plan'!$H$101+1,'SW Plan'!$H$103&lt;&gt;0),'SW Plan'!$H$103/('SW Plan'!$H$101-'SW Plan'!$G$101+1),0),0))*$E$53</f>
        <v>0</v>
      </c>
      <c r="J50" s="69">
        <f>(IF('SW Plan'!$E$101="Activate",IF(AND(J$3&gt;='SW Plan'!$G$101,J$3&lt;'SW Plan'!$H$101+1,'SW Plan'!$H$103&lt;&gt;0),'SW Plan'!$H$103/('SW Plan'!$H$101-'SW Plan'!$G$101+1),0),0))*$E$53</f>
        <v>0</v>
      </c>
      <c r="K50" s="69">
        <f>(IF('SW Plan'!$E$101="Activate",IF(AND(K$3&gt;='SW Plan'!$G$101,K$3&lt;'SW Plan'!$H$101+1,'SW Plan'!$H$103&lt;&gt;0),'SW Plan'!$H$103/('SW Plan'!$H$101-'SW Plan'!$G$101+1),0),0))*$E$53</f>
        <v>0</v>
      </c>
      <c r="L50" s="69">
        <f>(IF('SW Plan'!$E$101="Activate",IF(AND(L$3&gt;='SW Plan'!$G$101,L$3&lt;'SW Plan'!$H$101+1,'SW Plan'!$H$103&lt;&gt;0),'SW Plan'!$H$103/('SW Plan'!$H$101-'SW Plan'!$G$101+1),0),0))*$E$53</f>
        <v>0</v>
      </c>
      <c r="M50" s="69">
        <f>(IF('SW Plan'!$E$101="Activate",IF(AND(M$3&gt;='SW Plan'!$G$101,M$3&lt;'SW Plan'!$H$101+1,'SW Plan'!$H$103&lt;&gt;0),'SW Plan'!$H$103/('SW Plan'!$H$101-'SW Plan'!$G$101+1),0),0))*$E$53</f>
        <v>0</v>
      </c>
      <c r="N50" s="69">
        <f>(IF('SW Plan'!$E$101="Activate",IF(AND(N$3&gt;='SW Plan'!$G$101,N$3&lt;'SW Plan'!$H$101+1,'SW Plan'!$H$103&lt;&gt;0),'SW Plan'!$H$103/('SW Plan'!$H$101-'SW Plan'!$G$101+1),0),0))*$E$53</f>
        <v>0</v>
      </c>
      <c r="O50" s="69">
        <f>(IF('SW Plan'!$E$101="Activate",IF(AND(O$3&gt;='SW Plan'!$G$101,O$3&lt;'SW Plan'!$H$101+1,'SW Plan'!$H$103&lt;&gt;0),'SW Plan'!$H$103/('SW Plan'!$H$101-'SW Plan'!$G$101+1),0),0))*$E$53</f>
        <v>0</v>
      </c>
      <c r="P50" s="69">
        <f>(IF('SW Plan'!$E$101="Activate",IF(AND(P$3&gt;='SW Plan'!$G$101,P$3&lt;'SW Plan'!$H$101+1,'SW Plan'!$H$103&lt;&gt;0),'SW Plan'!$H$103/('SW Plan'!$H$101-'SW Plan'!$G$101+1),0),0))*$E$53</f>
        <v>0</v>
      </c>
    </row>
    <row r="51" spans="1:16" s="92" customFormat="1" x14ac:dyDescent="0.25">
      <c r="C51" s="161"/>
      <c r="D51" s="729" t="s">
        <v>964</v>
      </c>
      <c r="E51" s="1185">
        <f>E54</f>
        <v>0.4898040104225671</v>
      </c>
      <c r="F51" s="69">
        <v>0</v>
      </c>
      <c r="G51" s="69">
        <f>IFERROR((G50*$E$51),0)</f>
        <v>0</v>
      </c>
      <c r="H51" s="69">
        <f t="shared" ref="H51:P51" si="22">IFERROR((H50*$E$51),0)</f>
        <v>0</v>
      </c>
      <c r="I51" s="69">
        <f t="shared" si="22"/>
        <v>0</v>
      </c>
      <c r="J51" s="69">
        <f t="shared" si="22"/>
        <v>0</v>
      </c>
      <c r="K51" s="69">
        <f t="shared" si="22"/>
        <v>0</v>
      </c>
      <c r="L51" s="69">
        <f t="shared" si="22"/>
        <v>0</v>
      </c>
      <c r="M51" s="69">
        <f t="shared" si="22"/>
        <v>0</v>
      </c>
      <c r="N51" s="69">
        <f t="shared" si="22"/>
        <v>0</v>
      </c>
      <c r="O51" s="69">
        <f t="shared" si="22"/>
        <v>0</v>
      </c>
      <c r="P51" s="69">
        <f t="shared" si="22"/>
        <v>0</v>
      </c>
    </row>
    <row r="52" spans="1:16" s="124" customFormat="1" x14ac:dyDescent="0.25">
      <c r="C52" s="79"/>
      <c r="D52" s="1181" t="s">
        <v>1211</v>
      </c>
      <c r="E52" s="1182"/>
      <c r="F52" s="1183"/>
      <c r="G52" s="1911"/>
      <c r="H52" s="1183"/>
      <c r="I52" s="1183"/>
      <c r="J52" s="1183"/>
      <c r="K52" s="1183"/>
      <c r="L52" s="1183"/>
      <c r="M52" s="1183"/>
      <c r="N52" s="1183"/>
      <c r="O52" s="1183"/>
      <c r="P52" s="1184"/>
    </row>
    <row r="53" spans="1:16" s="124" customFormat="1" x14ac:dyDescent="0.25">
      <c r="C53" s="79"/>
      <c r="D53" s="729" t="s">
        <v>434</v>
      </c>
      <c r="E53" s="1186">
        <f>E18</f>
        <v>0</v>
      </c>
      <c r="F53" s="69">
        <v>0</v>
      </c>
      <c r="G53" s="69">
        <f>(IF('SW Plan'!$E$101="Activate",IF(AND(G$3&gt;='SW Plan'!$G$101,G$3&lt;'SW Plan'!$H$101+1,'SW Plan'!$H$104&lt;&gt;0),'SW Plan'!$H$104/('SW Plan'!$H$101-'SW Plan'!$G$101+1),0),0))*$E$53</f>
        <v>0</v>
      </c>
      <c r="H53" s="69">
        <f>(IF('SW Plan'!$E$101="Activate",IF(AND(H$3&gt;='SW Plan'!$G$101,H$3&lt;'SW Plan'!$H$101+1,'SW Plan'!$H$104&lt;&gt;0),'SW Plan'!$H$104/('SW Plan'!$H$101-'SW Plan'!$G$101+1),0),0))*$E$53</f>
        <v>0</v>
      </c>
      <c r="I53" s="69">
        <f>(IF('SW Plan'!$E$101="Activate",IF(AND(I$3&gt;='SW Plan'!$G$101,I$3&lt;'SW Plan'!$H$101+1,'SW Plan'!$H$104&lt;&gt;0),'SW Plan'!$H$104/('SW Plan'!$H$101-'SW Plan'!$G$101+1),0),0))*$E$53</f>
        <v>0</v>
      </c>
      <c r="J53" s="69">
        <f>(IF('SW Plan'!$E$101="Activate",IF(AND(J$3&gt;='SW Plan'!$G$101,J$3&lt;'SW Plan'!$H$101+1,'SW Plan'!$H$104&lt;&gt;0),'SW Plan'!$H$104/('SW Plan'!$H$101-'SW Plan'!$G$101+1),0),0))*$E$53</f>
        <v>0</v>
      </c>
      <c r="K53" s="69">
        <f>(IF('SW Plan'!$E$101="Activate",IF(AND(K$3&gt;='SW Plan'!$G$101,K$3&lt;'SW Plan'!$H$101+1,'SW Plan'!$H$104&lt;&gt;0),'SW Plan'!$H$104/('SW Plan'!$H$101-'SW Plan'!$G$101+1),0),0))*$E$53</f>
        <v>0</v>
      </c>
      <c r="L53" s="69">
        <f>(IF('SW Plan'!$E$101="Activate",IF(AND(L$3&gt;='SW Plan'!$G$101,L$3&lt;'SW Plan'!$H$101+1,'SW Plan'!$H$104&lt;&gt;0),'SW Plan'!$H$104/('SW Plan'!$H$101-'SW Plan'!$G$101+1),0),0))*$E$53</f>
        <v>0</v>
      </c>
      <c r="M53" s="69">
        <f>(IF('SW Plan'!$E$101="Activate",IF(AND(M$3&gt;='SW Plan'!$G$101,M$3&lt;'SW Plan'!$H$101+1,'SW Plan'!$H$104&lt;&gt;0),'SW Plan'!$H$104/('SW Plan'!$H$101-'SW Plan'!$G$101+1),0),0))*$E$53</f>
        <v>0</v>
      </c>
      <c r="N53" s="69">
        <f>(IF('SW Plan'!$E$101="Activate",IF(AND(N$3&gt;='SW Plan'!$G$101,N$3&lt;'SW Plan'!$H$101+1,'SW Plan'!$H$104&lt;&gt;0),'SW Plan'!$H$104/('SW Plan'!$H$101-'SW Plan'!$G$101+1),0),0))*$E$53</f>
        <v>0</v>
      </c>
      <c r="O53" s="69">
        <f>(IF('SW Plan'!$E$101="Activate",IF(AND(O$3&gt;='SW Plan'!$G$101,O$3&lt;'SW Plan'!$H$101+1,'SW Plan'!$H$104&lt;&gt;0),'SW Plan'!$H$104/('SW Plan'!$H$101-'SW Plan'!$G$101+1),0),0))*$E$53</f>
        <v>0</v>
      </c>
      <c r="P53" s="69">
        <f>(IF('SW Plan'!$E$101="Activate",IF(AND(P$3&gt;='SW Plan'!$G$101,P$3&lt;'SW Plan'!$H$101+1,'SW Plan'!$H$104&lt;&gt;0),'SW Plan'!$H$104/('SW Plan'!$H$101-'SW Plan'!$G$101+1),0),0))*$E$53</f>
        <v>0</v>
      </c>
    </row>
    <row r="54" spans="1:16" s="124" customFormat="1" x14ac:dyDescent="0.25">
      <c r="C54" s="79"/>
      <c r="D54" s="729" t="s">
        <v>964</v>
      </c>
      <c r="E54" s="1186">
        <f>E20</f>
        <v>0.4898040104225671</v>
      </c>
      <c r="F54" s="69">
        <v>0</v>
      </c>
      <c r="G54" s="69">
        <f>IFERROR((G53*$E$54),0)</f>
        <v>0</v>
      </c>
      <c r="H54" s="69">
        <f t="shared" ref="H54:P54" si="23">IFERROR((H53*$E$54),0)</f>
        <v>0</v>
      </c>
      <c r="I54" s="69">
        <f t="shared" si="23"/>
        <v>0</v>
      </c>
      <c r="J54" s="69">
        <f t="shared" si="23"/>
        <v>0</v>
      </c>
      <c r="K54" s="69">
        <f t="shared" si="23"/>
        <v>0</v>
      </c>
      <c r="L54" s="69">
        <f t="shared" si="23"/>
        <v>0</v>
      </c>
      <c r="M54" s="69">
        <f t="shared" si="23"/>
        <v>0</v>
      </c>
      <c r="N54" s="69">
        <f t="shared" si="23"/>
        <v>0</v>
      </c>
      <c r="O54" s="69">
        <f t="shared" si="23"/>
        <v>0</v>
      </c>
      <c r="P54" s="69">
        <f t="shared" si="23"/>
        <v>0</v>
      </c>
    </row>
    <row r="55" spans="1:16" s="92" customFormat="1" x14ac:dyDescent="0.25">
      <c r="C55" s="161"/>
      <c r="D55" s="161" t="s">
        <v>435</v>
      </c>
      <c r="E55" s="161"/>
      <c r="F55" s="81">
        <f>F42</f>
        <v>9007</v>
      </c>
      <c r="G55" s="81">
        <f>F55+G$22+G$14+G$30+G$38+G53</f>
        <v>9007</v>
      </c>
      <c r="H55" s="81">
        <f t="shared" ref="H55:P55" si="24">G55+H$22+H$14+H$30+H$38+H53</f>
        <v>9007</v>
      </c>
      <c r="I55" s="81">
        <f t="shared" si="24"/>
        <v>9007</v>
      </c>
      <c r="J55" s="81">
        <f t="shared" si="24"/>
        <v>9007</v>
      </c>
      <c r="K55" s="81">
        <f t="shared" si="24"/>
        <v>9007</v>
      </c>
      <c r="L55" s="81">
        <f t="shared" si="24"/>
        <v>9007</v>
      </c>
      <c r="M55" s="81">
        <f t="shared" si="24"/>
        <v>9007</v>
      </c>
      <c r="N55" s="81">
        <f t="shared" si="24"/>
        <v>9007</v>
      </c>
      <c r="O55" s="81">
        <f t="shared" si="24"/>
        <v>9007</v>
      </c>
      <c r="P55" s="81">
        <f t="shared" si="24"/>
        <v>9007</v>
      </c>
    </row>
    <row r="56" spans="1:16" s="92" customFormat="1" x14ac:dyDescent="0.25">
      <c r="C56" s="161"/>
      <c r="D56" s="161" t="s">
        <v>1214</v>
      </c>
      <c r="E56" s="161"/>
      <c r="F56" s="81">
        <f>F43</f>
        <v>360</v>
      </c>
      <c r="G56" s="81">
        <f>G43</f>
        <v>360</v>
      </c>
      <c r="H56" s="81">
        <f t="shared" ref="H56:P56" si="25">H43</f>
        <v>360</v>
      </c>
      <c r="I56" s="81">
        <f t="shared" si="25"/>
        <v>360</v>
      </c>
      <c r="J56" s="81">
        <f t="shared" si="25"/>
        <v>360</v>
      </c>
      <c r="K56" s="81">
        <f t="shared" si="25"/>
        <v>360</v>
      </c>
      <c r="L56" s="81">
        <f t="shared" si="25"/>
        <v>360</v>
      </c>
      <c r="M56" s="81">
        <f t="shared" si="25"/>
        <v>360</v>
      </c>
      <c r="N56" s="81">
        <f t="shared" si="25"/>
        <v>360</v>
      </c>
      <c r="O56" s="81">
        <f t="shared" si="25"/>
        <v>360</v>
      </c>
      <c r="P56" s="81">
        <f t="shared" si="25"/>
        <v>360</v>
      </c>
    </row>
    <row r="57" spans="1:16" s="92" customFormat="1" x14ac:dyDescent="0.25">
      <c r="C57" s="161"/>
      <c r="D57" s="161" t="s">
        <v>965</v>
      </c>
      <c r="E57" s="1187"/>
      <c r="F57" s="81">
        <f>F44</f>
        <v>8647</v>
      </c>
      <c r="G57" s="81">
        <f>F57+G$25+G$16+G$33+G$41+G54</f>
        <v>8647</v>
      </c>
      <c r="H57" s="81">
        <f t="shared" ref="H57:P57" si="26">G57+H$25+H$16+H$33+H$41+H54</f>
        <v>8647</v>
      </c>
      <c r="I57" s="81">
        <f t="shared" si="26"/>
        <v>8647</v>
      </c>
      <c r="J57" s="81">
        <f t="shared" si="26"/>
        <v>8647</v>
      </c>
      <c r="K57" s="81">
        <f t="shared" si="26"/>
        <v>8647</v>
      </c>
      <c r="L57" s="81">
        <f t="shared" si="26"/>
        <v>8647</v>
      </c>
      <c r="M57" s="81">
        <f t="shared" si="26"/>
        <v>8647</v>
      </c>
      <c r="N57" s="81">
        <f t="shared" si="26"/>
        <v>8647</v>
      </c>
      <c r="O57" s="81">
        <f t="shared" si="26"/>
        <v>8647</v>
      </c>
      <c r="P57" s="81">
        <f t="shared" si="26"/>
        <v>8647</v>
      </c>
    </row>
    <row r="58" spans="1:16" s="92" customFormat="1" x14ac:dyDescent="0.25">
      <c r="C58" s="161"/>
      <c r="D58" s="161" t="s">
        <v>966</v>
      </c>
      <c r="E58" s="350"/>
      <c r="F58" s="81">
        <f t="shared" ref="F58:P58" si="27">F55+F57</f>
        <v>17654</v>
      </c>
      <c r="G58" s="81">
        <f t="shared" si="27"/>
        <v>17654</v>
      </c>
      <c r="H58" s="81">
        <f t="shared" si="27"/>
        <v>17654</v>
      </c>
      <c r="I58" s="81">
        <f t="shared" si="27"/>
        <v>17654</v>
      </c>
      <c r="J58" s="81">
        <f t="shared" si="27"/>
        <v>17654</v>
      </c>
      <c r="K58" s="81">
        <f t="shared" si="27"/>
        <v>17654</v>
      </c>
      <c r="L58" s="81">
        <f t="shared" si="27"/>
        <v>17654</v>
      </c>
      <c r="M58" s="81">
        <f t="shared" si="27"/>
        <v>17654</v>
      </c>
      <c r="N58" s="81">
        <f t="shared" si="27"/>
        <v>17654</v>
      </c>
      <c r="O58" s="81">
        <f t="shared" si="27"/>
        <v>17654</v>
      </c>
      <c r="P58" s="81">
        <f t="shared" si="27"/>
        <v>17654</v>
      </c>
    </row>
    <row r="59" spans="1:16" s="124" customFormat="1" x14ac:dyDescent="0.25">
      <c r="A59" s="163"/>
      <c r="B59" s="163"/>
      <c r="C59" s="163"/>
      <c r="D59" s="163"/>
      <c r="E59" s="163"/>
      <c r="F59" s="163"/>
      <c r="G59" s="1101"/>
      <c r="H59" s="1101"/>
      <c r="I59" s="1101"/>
      <c r="J59" s="1101"/>
      <c r="K59" s="1101"/>
      <c r="L59" s="1101"/>
      <c r="M59" s="1101"/>
      <c r="N59" s="1101"/>
      <c r="O59" s="1101"/>
      <c r="P59" s="1101"/>
    </row>
    <row r="60" spans="1:16" s="92" customFormat="1" x14ac:dyDescent="0.25">
      <c r="A60" s="134"/>
      <c r="B60" s="134"/>
      <c r="C60" s="135">
        <v>6</v>
      </c>
      <c r="D60" s="135" t="s">
        <v>524</v>
      </c>
      <c r="E60" s="1102">
        <f>IFERROR(F42/SUM(F$42,F$44),0)</f>
        <v>0.51019598957743284</v>
      </c>
      <c r="F60" s="1097">
        <f>F55</f>
        <v>9007</v>
      </c>
      <c r="G60" s="1097">
        <f t="shared" ref="G60:P60" si="28">G55</f>
        <v>9007</v>
      </c>
      <c r="H60" s="1097">
        <f t="shared" si="28"/>
        <v>9007</v>
      </c>
      <c r="I60" s="1097">
        <f t="shared" si="28"/>
        <v>9007</v>
      </c>
      <c r="J60" s="1097">
        <f t="shared" si="28"/>
        <v>9007</v>
      </c>
      <c r="K60" s="1097">
        <f t="shared" si="28"/>
        <v>9007</v>
      </c>
      <c r="L60" s="1097">
        <f t="shared" si="28"/>
        <v>9007</v>
      </c>
      <c r="M60" s="1097">
        <f t="shared" si="28"/>
        <v>9007</v>
      </c>
      <c r="N60" s="1097">
        <f t="shared" si="28"/>
        <v>9007</v>
      </c>
      <c r="O60" s="1097">
        <f t="shared" si="28"/>
        <v>9007</v>
      </c>
      <c r="P60" s="1097">
        <f t="shared" si="28"/>
        <v>9007</v>
      </c>
    </row>
    <row r="61" spans="1:16" s="92" customFormat="1" x14ac:dyDescent="0.25">
      <c r="C61" s="161"/>
      <c r="D61" s="161" t="s">
        <v>525</v>
      </c>
      <c r="E61" s="1102">
        <f>IFERROR(F43/SUM(F$42,F$44),0)</f>
        <v>2.0391979154865753E-2</v>
      </c>
      <c r="F61" s="1097">
        <f>F56</f>
        <v>360</v>
      </c>
      <c r="G61" s="1097">
        <f t="shared" ref="G61:P61" si="29">G56</f>
        <v>360</v>
      </c>
      <c r="H61" s="1097">
        <f t="shared" si="29"/>
        <v>360</v>
      </c>
      <c r="I61" s="1097">
        <f t="shared" si="29"/>
        <v>360</v>
      </c>
      <c r="J61" s="1097">
        <f t="shared" si="29"/>
        <v>360</v>
      </c>
      <c r="K61" s="1097">
        <f t="shared" si="29"/>
        <v>360</v>
      </c>
      <c r="L61" s="1097">
        <f t="shared" si="29"/>
        <v>360</v>
      </c>
      <c r="M61" s="1097">
        <f t="shared" si="29"/>
        <v>360</v>
      </c>
      <c r="N61" s="1097">
        <f t="shared" si="29"/>
        <v>360</v>
      </c>
      <c r="O61" s="1097">
        <f t="shared" si="29"/>
        <v>360</v>
      </c>
      <c r="P61" s="1097">
        <f t="shared" si="29"/>
        <v>360</v>
      </c>
    </row>
    <row r="62" spans="1:16" s="92" customFormat="1" x14ac:dyDescent="0.25">
      <c r="A62" s="134"/>
      <c r="B62" s="134"/>
      <c r="C62" s="135"/>
      <c r="D62" s="135" t="s">
        <v>526</v>
      </c>
      <c r="E62" s="1102">
        <f>IFERROR(F44/SUM(F$42,F$44),0)</f>
        <v>0.4898040104225671</v>
      </c>
      <c r="F62" s="1097">
        <f>F57</f>
        <v>8647</v>
      </c>
      <c r="G62" s="1097">
        <f t="shared" ref="G62:P62" si="30">G57</f>
        <v>8647</v>
      </c>
      <c r="H62" s="1097">
        <f t="shared" si="30"/>
        <v>8647</v>
      </c>
      <c r="I62" s="1097">
        <f t="shared" si="30"/>
        <v>8647</v>
      </c>
      <c r="J62" s="1097">
        <f t="shared" si="30"/>
        <v>8647</v>
      </c>
      <c r="K62" s="1097">
        <f t="shared" si="30"/>
        <v>8647</v>
      </c>
      <c r="L62" s="1097">
        <f t="shared" si="30"/>
        <v>8647</v>
      </c>
      <c r="M62" s="1097">
        <f t="shared" si="30"/>
        <v>8647</v>
      </c>
      <c r="N62" s="1097">
        <f t="shared" si="30"/>
        <v>8647</v>
      </c>
      <c r="O62" s="1097">
        <f t="shared" si="30"/>
        <v>8647</v>
      </c>
      <c r="P62" s="1097">
        <f t="shared" si="30"/>
        <v>8647</v>
      </c>
    </row>
    <row r="63" spans="1:16" s="92" customFormat="1" x14ac:dyDescent="0.25">
      <c r="A63" s="134"/>
      <c r="B63" s="134"/>
      <c r="C63" s="135"/>
      <c r="D63" s="135" t="s">
        <v>527</v>
      </c>
      <c r="E63" s="135"/>
      <c r="F63" s="1097">
        <f>F58</f>
        <v>17654</v>
      </c>
      <c r="G63" s="1097">
        <f t="shared" ref="G63:P63" si="31">G58</f>
        <v>17654</v>
      </c>
      <c r="H63" s="1097">
        <f t="shared" si="31"/>
        <v>17654</v>
      </c>
      <c r="I63" s="1097">
        <f t="shared" si="31"/>
        <v>17654</v>
      </c>
      <c r="J63" s="1097">
        <f t="shared" si="31"/>
        <v>17654</v>
      </c>
      <c r="K63" s="1097">
        <f t="shared" si="31"/>
        <v>17654</v>
      </c>
      <c r="L63" s="1097">
        <f t="shared" si="31"/>
        <v>17654</v>
      </c>
      <c r="M63" s="1097">
        <f t="shared" si="31"/>
        <v>17654</v>
      </c>
      <c r="N63" s="1097">
        <f t="shared" si="31"/>
        <v>17654</v>
      </c>
      <c r="O63" s="1097">
        <f t="shared" si="31"/>
        <v>17654</v>
      </c>
      <c r="P63" s="1097">
        <f t="shared" si="31"/>
        <v>17654</v>
      </c>
    </row>
    <row r="64" spans="1:16" s="82" customFormat="1" x14ac:dyDescent="0.25">
      <c r="E64" s="157"/>
      <c r="F64" s="154"/>
      <c r="G64" s="154"/>
      <c r="H64" s="346"/>
      <c r="I64" s="346"/>
      <c r="J64" s="346"/>
      <c r="K64" s="346"/>
      <c r="L64" s="346"/>
      <c r="M64" s="346"/>
      <c r="N64" s="346"/>
      <c r="O64" s="346"/>
      <c r="P64" s="346"/>
    </row>
    <row r="65" spans="1:16" s="124" customFormat="1" x14ac:dyDescent="0.25">
      <c r="A65" s="695"/>
      <c r="B65" s="695"/>
      <c r="C65" s="773"/>
      <c r="D65" s="773" t="s">
        <v>153</v>
      </c>
      <c r="E65" s="774"/>
      <c r="F65" s="747">
        <f>MIN(IFERROR(F60/Population!E31,0),100%)</f>
        <v>0</v>
      </c>
      <c r="G65" s="747">
        <f>MIN(IFERROR(G60/Population!F31,0),100%)</f>
        <v>0</v>
      </c>
      <c r="H65" s="747">
        <f>MIN(IFERROR(H60/Population!G31,0),100%)</f>
        <v>0</v>
      </c>
      <c r="I65" s="747">
        <f>MIN(IFERROR(I60/Population!H31,0),100%)</f>
        <v>0</v>
      </c>
      <c r="J65" s="747">
        <f>MIN(IFERROR(J60/Population!I31,0),100%)</f>
        <v>0</v>
      </c>
      <c r="K65" s="747">
        <f>MIN(IFERROR(K60/Population!J31,0),100%)</f>
        <v>0</v>
      </c>
      <c r="L65" s="747">
        <f>MIN(IFERROR(L60/Population!K31,0),100%)</f>
        <v>0</v>
      </c>
      <c r="M65" s="747">
        <f>MIN(IFERROR(M60/Population!L31,0),100%)</f>
        <v>0</v>
      </c>
      <c r="N65" s="747">
        <f>MIN(IFERROR(N60/Population!M31,0),100%)</f>
        <v>0</v>
      </c>
      <c r="O65" s="747">
        <f>MIN(IFERROR(O60/Population!N31,0),100%)</f>
        <v>0</v>
      </c>
      <c r="P65" s="747">
        <f>MIN(IFERROR(P60/Population!O31,0),100%)</f>
        <v>0</v>
      </c>
    </row>
    <row r="66" spans="1:16" s="124" customFormat="1" x14ac:dyDescent="0.25">
      <c r="A66" s="695"/>
      <c r="B66" s="695"/>
      <c r="C66" s="773"/>
      <c r="D66" s="773" t="s">
        <v>154</v>
      </c>
      <c r="E66" s="774"/>
      <c r="F66" s="747">
        <f t="shared" ref="F66:P66" si="32">MIN(IFERROR(F61/F12,0),100%)</f>
        <v>0</v>
      </c>
      <c r="G66" s="747">
        <f t="shared" si="32"/>
        <v>0</v>
      </c>
      <c r="H66" s="747">
        <f t="shared" si="32"/>
        <v>0</v>
      </c>
      <c r="I66" s="747">
        <f t="shared" si="32"/>
        <v>0</v>
      </c>
      <c r="J66" s="747">
        <f t="shared" si="32"/>
        <v>0</v>
      </c>
      <c r="K66" s="747">
        <f t="shared" si="32"/>
        <v>0</v>
      </c>
      <c r="L66" s="747">
        <f t="shared" si="32"/>
        <v>0</v>
      </c>
      <c r="M66" s="747">
        <f t="shared" si="32"/>
        <v>0</v>
      </c>
      <c r="N66" s="747">
        <f t="shared" si="32"/>
        <v>0</v>
      </c>
      <c r="O66" s="747">
        <f t="shared" si="32"/>
        <v>0</v>
      </c>
      <c r="P66" s="747">
        <f t="shared" si="32"/>
        <v>0</v>
      </c>
    </row>
    <row r="67" spans="1:16" s="124" customFormat="1" x14ac:dyDescent="0.25">
      <c r="A67" s="695"/>
      <c r="B67" s="695"/>
      <c r="C67" s="773"/>
      <c r="D67" s="773" t="s">
        <v>1370</v>
      </c>
      <c r="E67" s="774"/>
      <c r="F67" s="747">
        <f>MIN(IFERROR(F80/Population!E31,0),100%)</f>
        <v>0</v>
      </c>
      <c r="G67" s="747">
        <f>MIN(IFERROR(G80/Population!F31,0),100%)</f>
        <v>0</v>
      </c>
      <c r="H67" s="747">
        <f>MIN(IFERROR(H80/Population!G31,0),100%)</f>
        <v>0</v>
      </c>
      <c r="I67" s="747">
        <f>MIN(IFERROR(I80/Population!H31,0),100%)</f>
        <v>0</v>
      </c>
      <c r="J67" s="747">
        <f>MIN(IFERROR(J80/Population!I31,0),100%)</f>
        <v>0</v>
      </c>
      <c r="K67" s="747">
        <f>MIN(IFERROR(K80/Population!J31,0),100%)</f>
        <v>0</v>
      </c>
      <c r="L67" s="747">
        <f>MIN(IFERROR(L80/Population!K31,0),100%)</f>
        <v>0</v>
      </c>
      <c r="M67" s="747">
        <f>MIN(IFERROR(M80/Population!L31,0),100%)</f>
        <v>0</v>
      </c>
      <c r="N67" s="747">
        <f>MIN(IFERROR(N80/Population!M31,0),100%)</f>
        <v>0</v>
      </c>
      <c r="O67" s="747">
        <f>MIN(IFERROR(O80/Population!N31,0),100%)</f>
        <v>0</v>
      </c>
      <c r="P67" s="747">
        <f>MIN(IFERROR(P80/Population!O31,0),100%)</f>
        <v>0</v>
      </c>
    </row>
    <row r="68" spans="1:16" s="124" customFormat="1" x14ac:dyDescent="0.25">
      <c r="A68" s="695"/>
      <c r="B68" s="695"/>
      <c r="C68" s="773"/>
      <c r="D68" s="773" t="s">
        <v>1380</v>
      </c>
      <c r="E68" s="774"/>
      <c r="F68" s="747">
        <f>MIN(IFERROR((F60+F62)/(F10+F11),0),100%)</f>
        <v>0</v>
      </c>
      <c r="G68" s="747">
        <f t="shared" ref="G68:P68" si="33">MIN(IFERROR((G60+G62)/(G10+G11),0),100%)</f>
        <v>0</v>
      </c>
      <c r="H68" s="747">
        <f t="shared" si="33"/>
        <v>0</v>
      </c>
      <c r="I68" s="747">
        <f t="shared" si="33"/>
        <v>0</v>
      </c>
      <c r="J68" s="747">
        <f t="shared" si="33"/>
        <v>0</v>
      </c>
      <c r="K68" s="747">
        <f t="shared" si="33"/>
        <v>0</v>
      </c>
      <c r="L68" s="747">
        <f t="shared" si="33"/>
        <v>0</v>
      </c>
      <c r="M68" s="747">
        <f t="shared" si="33"/>
        <v>0</v>
      </c>
      <c r="N68" s="747">
        <f t="shared" si="33"/>
        <v>0</v>
      </c>
      <c r="O68" s="747">
        <f t="shared" si="33"/>
        <v>0</v>
      </c>
      <c r="P68" s="747">
        <f t="shared" si="33"/>
        <v>0</v>
      </c>
    </row>
    <row r="69" spans="1:16" s="56" customFormat="1" x14ac:dyDescent="0.25">
      <c r="A69"/>
      <c r="B69"/>
      <c r="C69"/>
      <c r="D69"/>
      <c r="E69"/>
      <c r="F69" s="349"/>
      <c r="G69" s="349"/>
      <c r="H69" s="349"/>
      <c r="I69" s="349"/>
      <c r="J69" s="349"/>
      <c r="K69" s="349"/>
      <c r="L69" s="349"/>
      <c r="M69" s="349"/>
      <c r="N69" s="349"/>
      <c r="O69" s="349"/>
      <c r="P69" s="349"/>
    </row>
    <row r="70" spans="1:16" s="124" customFormat="1" ht="15.75" customHeight="1" x14ac:dyDescent="0.25">
      <c r="A70" s="163"/>
      <c r="B70" s="163"/>
      <c r="C70" s="773"/>
      <c r="D70" s="748" t="s">
        <v>755</v>
      </c>
      <c r="E70" s="775"/>
      <c r="F70" s="779">
        <f>'SW Plan'!H203</f>
        <v>0.96739130434782605</v>
      </c>
      <c r="G70" s="745">
        <f>F70+IF('SW Plan'!$E$202="Activate",IF(AND(G$205&gt;='SW Plan'!$G$202,G$205&lt;'SW Plan'!$H$202+1),('SW Plan'!$H$204-'SW Plan'!$H$203)/('SW Plan'!$H$202+1-'SW Plan'!$G$202),0),0)</f>
        <v>0.96739130434782605</v>
      </c>
      <c r="H70" s="745">
        <f>G70+IF('SW Plan'!$E$202="Activate",IF(AND(H$205&gt;='SW Plan'!$G$202,H$205&lt;'SW Plan'!$H$202+1),('SW Plan'!$H$204-'SW Plan'!$H$203)/('SW Plan'!$H$202+1-'SW Plan'!$G$202),0),0)</f>
        <v>0.96739130434782605</v>
      </c>
      <c r="I70" s="745">
        <f>H70+IF('SW Plan'!$E$202="Activate",IF(AND(I$205&gt;='SW Plan'!$G$202,I$205&lt;'SW Plan'!$H$202+1),('SW Plan'!$H$204-'SW Plan'!$H$203)/('SW Plan'!$H$202+1-'SW Plan'!$G$202),0),0)</f>
        <v>0.96739130434782605</v>
      </c>
      <c r="J70" s="745">
        <f>I70+IF('SW Plan'!$E$202="Activate",IF(AND(J$205&gt;='SW Plan'!$G$202,J$205&lt;'SW Plan'!$H$202+1),('SW Plan'!$H$204-'SW Plan'!$H$203)/('SW Plan'!$H$202+1-'SW Plan'!$G$202),0),0)</f>
        <v>0.96739130434782605</v>
      </c>
      <c r="K70" s="745">
        <f>J70+IF('SW Plan'!$E$202="Activate",IF(AND(K$205&gt;='SW Plan'!$G$202,K$205&lt;'SW Plan'!$H$202+1),('SW Plan'!$H$204-'SW Plan'!$H$203)/('SW Plan'!$H$202+1-'SW Plan'!$G$202),0),0)</f>
        <v>0.96739130434782605</v>
      </c>
      <c r="L70" s="745">
        <f>K70+IF('SW Plan'!$E$202="Activate",IF(AND(L$205&gt;='SW Plan'!$G$202,L$205&lt;'SW Plan'!$H$202+1),('SW Plan'!$H$204-'SW Plan'!$H$203)/('SW Plan'!$H$202+1-'SW Plan'!$G$202),0),0)</f>
        <v>0.96739130434782605</v>
      </c>
      <c r="M70" s="745">
        <f>L70+IF('SW Plan'!$E$202="Activate",IF(AND(M$205&gt;='SW Plan'!$G$202,M$205&lt;'SW Plan'!$H$202+1),('SW Plan'!$H$204-'SW Plan'!$H$203)/('SW Plan'!$H$202+1-'SW Plan'!$G$202),0),0)</f>
        <v>0.96739130434782605</v>
      </c>
      <c r="N70" s="745">
        <f>M70+IF('SW Plan'!$E$202="Activate",IF(AND(N$205&gt;='SW Plan'!$G$202,N$205&lt;'SW Plan'!$H$202+1),('SW Plan'!$H$204-'SW Plan'!$H$203)/('SW Plan'!$H$202+1-'SW Plan'!$G$202),0),0)</f>
        <v>0.96739130434782605</v>
      </c>
      <c r="O70" s="745">
        <f>N70+IF('SW Plan'!$E$202="Activate",IF(AND(O$205&gt;='SW Plan'!$G$202,O$205&lt;'SW Plan'!$H$202+1),('SW Plan'!$H$204-'SW Plan'!$H$203)/('SW Plan'!$H$202+1-'SW Plan'!$G$202),0),0)</f>
        <v>0.96739130434782605</v>
      </c>
      <c r="P70" s="745">
        <f>O70+IF('SW Plan'!$E$202="Activate",IF(AND(P$205&gt;='SW Plan'!$G$202,P$205&lt;'SW Plan'!$H$202+1),('SW Plan'!$H$204-'SW Plan'!$H$203)/('SW Plan'!$H$202+1-'SW Plan'!$G$202),0),0)</f>
        <v>0.96739130434782605</v>
      </c>
    </row>
    <row r="71" spans="1:16" customFormat="1" x14ac:dyDescent="0.25"/>
    <row r="72" spans="1:16" x14ac:dyDescent="0.25">
      <c r="A72" s="11" t="s">
        <v>8</v>
      </c>
      <c r="B72" s="11"/>
      <c r="C72" s="11" t="s">
        <v>411</v>
      </c>
      <c r="D72" s="12"/>
    </row>
    <row r="73" spans="1:16" x14ac:dyDescent="0.25">
      <c r="C73" s="13" t="s">
        <v>3</v>
      </c>
      <c r="D73" s="13" t="s">
        <v>4</v>
      </c>
      <c r="E73" s="13" t="s">
        <v>33</v>
      </c>
      <c r="F73" s="13">
        <f t="shared" ref="F73:P73" si="34">F$3</f>
        <v>2014</v>
      </c>
      <c r="G73" s="13">
        <f t="shared" si="34"/>
        <v>2015</v>
      </c>
      <c r="H73" s="13">
        <f t="shared" si="34"/>
        <v>2016</v>
      </c>
      <c r="I73" s="13">
        <f t="shared" si="34"/>
        <v>2017</v>
      </c>
      <c r="J73" s="13">
        <f t="shared" si="34"/>
        <v>2018</v>
      </c>
      <c r="K73" s="13">
        <f t="shared" si="34"/>
        <v>2019</v>
      </c>
      <c r="L73" s="13">
        <f t="shared" si="34"/>
        <v>2020</v>
      </c>
      <c r="M73" s="13">
        <f t="shared" si="34"/>
        <v>2021</v>
      </c>
      <c r="N73" s="13">
        <f t="shared" si="34"/>
        <v>2022</v>
      </c>
      <c r="O73" s="13">
        <f t="shared" si="34"/>
        <v>2023</v>
      </c>
      <c r="P73" s="13">
        <f t="shared" si="34"/>
        <v>2024</v>
      </c>
    </row>
    <row r="74" spans="1:16" x14ac:dyDescent="0.25">
      <c r="A74" s="195"/>
      <c r="B74" s="195"/>
      <c r="C74" s="214"/>
      <c r="D74" s="218" t="s">
        <v>1104</v>
      </c>
      <c r="E74" s="215"/>
      <c r="F74" s="216"/>
      <c r="G74" s="217"/>
      <c r="H74" s="217"/>
      <c r="I74" s="217"/>
      <c r="J74" s="217"/>
      <c r="K74" s="217"/>
      <c r="L74" s="217"/>
      <c r="M74" s="217"/>
      <c r="N74" s="217"/>
      <c r="O74" s="217"/>
      <c r="P74" s="217"/>
    </row>
    <row r="75" spans="1:16" s="82" customFormat="1" x14ac:dyDescent="0.25">
      <c r="D75" s="82" t="s">
        <v>1105</v>
      </c>
      <c r="E75" s="157"/>
      <c r="F75" s="154"/>
      <c r="G75" s="155"/>
      <c r="H75" s="155"/>
      <c r="I75" s="155"/>
      <c r="J75" s="155"/>
      <c r="K75" s="155"/>
      <c r="L75" s="155"/>
      <c r="M75" s="155"/>
      <c r="N75" s="155"/>
      <c r="O75" s="155"/>
      <c r="P75" s="155"/>
    </row>
    <row r="76" spans="1:16" s="170" customFormat="1" ht="16.5" customHeight="1" x14ac:dyDescent="0.25">
      <c r="A76" s="43"/>
      <c r="B76" s="43"/>
      <c r="C76" s="141"/>
      <c r="D76" s="220" t="s">
        <v>689</v>
      </c>
      <c r="E76" s="1185"/>
      <c r="F76" s="69">
        <f>MIN(Population!E31,F60)</f>
        <v>0</v>
      </c>
      <c r="G76" s="69">
        <f>MIN(Population!F31,G60)</f>
        <v>0</v>
      </c>
      <c r="H76" s="69">
        <f>MIN(Population!G31,H60)</f>
        <v>0</v>
      </c>
      <c r="I76" s="69">
        <f>MIN(Population!H31,I60)</f>
        <v>0</v>
      </c>
      <c r="J76" s="69">
        <f>MIN(Population!I31,J60)</f>
        <v>0</v>
      </c>
      <c r="K76" s="69">
        <f>MIN(Population!J31,K60)</f>
        <v>0</v>
      </c>
      <c r="L76" s="69">
        <f>MIN(Population!K31,L60)</f>
        <v>0</v>
      </c>
      <c r="M76" s="69">
        <f>MIN(Population!L31,M60)</f>
        <v>0</v>
      </c>
      <c r="N76" s="69">
        <f>MIN(Population!M31,N60)</f>
        <v>0</v>
      </c>
      <c r="O76" s="69">
        <f>MIN(Population!N31,O60)</f>
        <v>0</v>
      </c>
      <c r="P76" s="69">
        <f>MIN(Population!O31,P60)</f>
        <v>0</v>
      </c>
    </row>
    <row r="77" spans="1:16" s="170" customFormat="1" ht="16.5" customHeight="1" x14ac:dyDescent="0.25">
      <c r="A77" s="43"/>
      <c r="B77" s="43"/>
      <c r="C77" s="141"/>
      <c r="D77" s="220" t="s">
        <v>1107</v>
      </c>
      <c r="E77" s="1185" t="s">
        <v>149</v>
      </c>
      <c r="F77" s="150">
        <f t="shared" ref="F77:P77" si="35">F76*F6/1000</f>
        <v>0</v>
      </c>
      <c r="G77" s="150">
        <f t="shared" si="35"/>
        <v>0</v>
      </c>
      <c r="H77" s="150">
        <f t="shared" si="35"/>
        <v>0</v>
      </c>
      <c r="I77" s="150">
        <f t="shared" si="35"/>
        <v>0</v>
      </c>
      <c r="J77" s="150">
        <f t="shared" si="35"/>
        <v>0</v>
      </c>
      <c r="K77" s="150">
        <f t="shared" si="35"/>
        <v>0</v>
      </c>
      <c r="L77" s="150">
        <f t="shared" si="35"/>
        <v>0</v>
      </c>
      <c r="M77" s="150">
        <f t="shared" si="35"/>
        <v>0</v>
      </c>
      <c r="N77" s="150">
        <f t="shared" si="35"/>
        <v>0</v>
      </c>
      <c r="O77" s="150">
        <f t="shared" si="35"/>
        <v>0</v>
      </c>
      <c r="P77" s="150">
        <f t="shared" si="35"/>
        <v>0</v>
      </c>
    </row>
    <row r="78" spans="1:16" s="82" customFormat="1" x14ac:dyDescent="0.25">
      <c r="E78" s="157"/>
      <c r="F78" s="1022">
        <f>Population!E31-F76</f>
        <v>0</v>
      </c>
      <c r="G78" s="1022">
        <f>Population!F31-G76</f>
        <v>0</v>
      </c>
      <c r="H78" s="1022">
        <f>Population!G31-H76</f>
        <v>0</v>
      </c>
      <c r="I78" s="1022">
        <f>Population!H31-I76</f>
        <v>0</v>
      </c>
      <c r="J78" s="1022">
        <f>Population!I31-J76</f>
        <v>0</v>
      </c>
      <c r="K78" s="1022">
        <f>Population!J31-K76</f>
        <v>0</v>
      </c>
      <c r="L78" s="1022">
        <f>Population!K31-L76</f>
        <v>0</v>
      </c>
      <c r="M78" s="1022">
        <f>Population!L31-M76</f>
        <v>0</v>
      </c>
      <c r="N78" s="1022">
        <f>Population!M31-N76</f>
        <v>0</v>
      </c>
      <c r="O78" s="1022">
        <f>Population!N31-O76</f>
        <v>0</v>
      </c>
      <c r="P78" s="1022">
        <f>Population!O31-P76</f>
        <v>0</v>
      </c>
    </row>
    <row r="79" spans="1:16" s="82" customFormat="1" x14ac:dyDescent="0.25">
      <c r="D79" s="82" t="s">
        <v>1106</v>
      </c>
      <c r="E79" s="157"/>
      <c r="F79" s="1022"/>
      <c r="G79" s="1022">
        <f t="shared" ref="G79:P79" si="36">F80*G8</f>
        <v>0</v>
      </c>
      <c r="H79" s="1022">
        <f t="shared" si="36"/>
        <v>0</v>
      </c>
      <c r="I79" s="1022">
        <f t="shared" si="36"/>
        <v>0</v>
      </c>
      <c r="J79" s="1022">
        <f t="shared" si="36"/>
        <v>0</v>
      </c>
      <c r="K79" s="1022">
        <f t="shared" si="36"/>
        <v>0</v>
      </c>
      <c r="L79" s="1022">
        <f t="shared" si="36"/>
        <v>0</v>
      </c>
      <c r="M79" s="1022">
        <f t="shared" si="36"/>
        <v>0</v>
      </c>
      <c r="N79" s="1022">
        <f t="shared" si="36"/>
        <v>0</v>
      </c>
      <c r="O79" s="1022">
        <f t="shared" si="36"/>
        <v>0</v>
      </c>
      <c r="P79" s="1022">
        <f t="shared" si="36"/>
        <v>0</v>
      </c>
    </row>
    <row r="80" spans="1:16" s="170" customFormat="1" x14ac:dyDescent="0.25">
      <c r="A80" s="43"/>
      <c r="B80" s="43"/>
      <c r="C80" s="141"/>
      <c r="D80" s="220" t="s">
        <v>689</v>
      </c>
      <c r="E80" s="1185"/>
      <c r="F80" s="69">
        <f>MIN('WSS Profile'!G391+'WSS Profile'!G392,F78)</f>
        <v>0</v>
      </c>
      <c r="G80" s="69">
        <f>MIN((IF('SW Plan'!$E$106="Activate",IF(AND(G$3&gt;='SW Plan'!$G$106,G$3&lt;'SW Plan'!$H$106+1),('SW Plan'!$H$111+'SW Plan'!$H$115)/('SW Plan'!$H$106-'SW Plan'!$G$106+1),0),0))+F80+G79,G78)</f>
        <v>0</v>
      </c>
      <c r="H80" s="69">
        <f>MIN((IF('SW Plan'!$E$106="Activate",IF(AND(H$3&gt;='SW Plan'!$G$106,H$3&lt;'SW Plan'!$H$106+1),('SW Plan'!$H$111+'SW Plan'!$H$115)/('SW Plan'!$H$106-'SW Plan'!$G$106+1),0),0))+G80+H79,H78)</f>
        <v>0</v>
      </c>
      <c r="I80" s="69">
        <f>MIN((IF('SW Plan'!$E$106="Activate",IF(AND(I$3&gt;='SW Plan'!$G$106,I$3&lt;'SW Plan'!$H$106+1),('SW Plan'!$H$111+'SW Plan'!$H$115)/('SW Plan'!$H$106-'SW Plan'!$G$106+1),0),0))+H80+I79,I78)</f>
        <v>0</v>
      </c>
      <c r="J80" s="69">
        <f>MIN((IF('SW Plan'!$E$106="Activate",IF(AND(J$3&gt;='SW Plan'!$G$106,J$3&lt;'SW Plan'!$H$106+1),('SW Plan'!$H$111+'SW Plan'!$H$115)/('SW Plan'!$H$106-'SW Plan'!$G$106+1),0),0))+I80+J79,J78)</f>
        <v>0</v>
      </c>
      <c r="K80" s="69">
        <f>MIN((IF('SW Plan'!$E$106="Activate",IF(AND(K$3&gt;='SW Plan'!$G$106,K$3&lt;'SW Plan'!$H$106+1),('SW Plan'!$H$111+'SW Plan'!$H$115)/('SW Plan'!$H$106-'SW Plan'!$G$106+1),0),0))+J80+K79,K78)</f>
        <v>0</v>
      </c>
      <c r="L80" s="69">
        <f>MIN((IF('SW Plan'!$E$106="Activate",IF(AND(L$3&gt;='SW Plan'!$G$106,L$3&lt;'SW Plan'!$H$106+1),('SW Plan'!$H$111+'SW Plan'!$H$115)/('SW Plan'!$H$106-'SW Plan'!$G$106+1),0),0))+K80+L79,L78)</f>
        <v>0</v>
      </c>
      <c r="M80" s="69">
        <f>MIN((IF('SW Plan'!$E$106="Activate",IF(AND(M$3&gt;='SW Plan'!$G$106,M$3&lt;'SW Plan'!$H$106+1),('SW Plan'!$H$111+'SW Plan'!$H$115)/('SW Plan'!$H$106-'SW Plan'!$G$106+1),0),0))+L80+M79,M78)</f>
        <v>0</v>
      </c>
      <c r="N80" s="69">
        <f>MIN((IF('SW Plan'!$E$106="Activate",IF(AND(N$3&gt;='SW Plan'!$G$106,N$3&lt;'SW Plan'!$H$106+1),('SW Plan'!$H$111+'SW Plan'!$H$115)/('SW Plan'!$H$106-'SW Plan'!$G$106+1),0),0))+M80+N79,N78)</f>
        <v>0</v>
      </c>
      <c r="O80" s="69">
        <f>MIN((IF('SW Plan'!$E$106="Activate",IF(AND(O$3&gt;='SW Plan'!$G$106,O$3&lt;'SW Plan'!$H$106+1),('SW Plan'!$H$111+'SW Plan'!$H$115)/('SW Plan'!$H$106-'SW Plan'!$G$106+1),0),0))+N80+O79,O78)</f>
        <v>0</v>
      </c>
      <c r="P80" s="69">
        <f>MIN((IF('SW Plan'!$E$106="Activate",IF(AND(P$3&gt;='SW Plan'!$G$106,P$3&lt;'SW Plan'!$H$106+1),('SW Plan'!$H$111+'SW Plan'!$H$115)/('SW Plan'!$H$106-'SW Plan'!$G$106+1),0),0))+O80+P79,P78)</f>
        <v>0</v>
      </c>
    </row>
    <row r="81" spans="1:20" s="170" customFormat="1" x14ac:dyDescent="0.25">
      <c r="A81" s="43"/>
      <c r="B81" s="43"/>
      <c r="C81" s="141"/>
      <c r="D81" s="220" t="s">
        <v>1107</v>
      </c>
      <c r="E81" s="1185" t="s">
        <v>149</v>
      </c>
      <c r="F81" s="120">
        <f t="shared" ref="F81:P81" si="37">F80*F6/1000</f>
        <v>0</v>
      </c>
      <c r="G81" s="120">
        <f t="shared" si="37"/>
        <v>0</v>
      </c>
      <c r="H81" s="120">
        <f t="shared" si="37"/>
        <v>0</v>
      </c>
      <c r="I81" s="120">
        <f t="shared" si="37"/>
        <v>0</v>
      </c>
      <c r="J81" s="120">
        <f t="shared" si="37"/>
        <v>0</v>
      </c>
      <c r="K81" s="120">
        <f t="shared" si="37"/>
        <v>0</v>
      </c>
      <c r="L81" s="120">
        <f t="shared" si="37"/>
        <v>0</v>
      </c>
      <c r="M81" s="120">
        <f t="shared" si="37"/>
        <v>0</v>
      </c>
      <c r="N81" s="120">
        <f t="shared" si="37"/>
        <v>0</v>
      </c>
      <c r="O81" s="120">
        <f t="shared" si="37"/>
        <v>0</v>
      </c>
      <c r="P81" s="120">
        <f t="shared" si="37"/>
        <v>0</v>
      </c>
    </row>
    <row r="82" spans="1:20" s="82" customFormat="1" x14ac:dyDescent="0.25">
      <c r="D82" s="82" t="s">
        <v>1108</v>
      </c>
      <c r="E82" s="157"/>
      <c r="F82" s="154"/>
      <c r="G82" s="154"/>
      <c r="H82" s="154"/>
      <c r="I82" s="154"/>
      <c r="J82" s="154"/>
      <c r="K82" s="154"/>
      <c r="L82" s="154"/>
      <c r="M82" s="154"/>
      <c r="N82" s="154"/>
      <c r="O82" s="154"/>
      <c r="P82" s="154"/>
      <c r="R82" s="170"/>
      <c r="S82" s="170"/>
      <c r="T82" s="170"/>
    </row>
    <row r="83" spans="1:20" s="170" customFormat="1" x14ac:dyDescent="0.25">
      <c r="A83" s="43"/>
      <c r="B83" s="43"/>
      <c r="C83" s="141"/>
      <c r="D83" s="220" t="s">
        <v>606</v>
      </c>
      <c r="E83" s="1185" t="s">
        <v>149</v>
      </c>
      <c r="F83" s="149">
        <f>F81+F77</f>
        <v>0</v>
      </c>
      <c r="G83" s="149">
        <f t="shared" ref="G83:P83" si="38">MIN(G81+G77,G7)</f>
        <v>0</v>
      </c>
      <c r="H83" s="149">
        <f t="shared" si="38"/>
        <v>0</v>
      </c>
      <c r="I83" s="149">
        <f t="shared" si="38"/>
        <v>0</v>
      </c>
      <c r="J83" s="149">
        <f t="shared" si="38"/>
        <v>0</v>
      </c>
      <c r="K83" s="149">
        <f t="shared" si="38"/>
        <v>0</v>
      </c>
      <c r="L83" s="149">
        <f t="shared" si="38"/>
        <v>0</v>
      </c>
      <c r="M83" s="149">
        <f t="shared" si="38"/>
        <v>0</v>
      </c>
      <c r="N83" s="149">
        <f t="shared" si="38"/>
        <v>0</v>
      </c>
      <c r="O83" s="149">
        <f t="shared" si="38"/>
        <v>0</v>
      </c>
      <c r="P83" s="149">
        <f t="shared" si="38"/>
        <v>0</v>
      </c>
    </row>
    <row r="84" spans="1:20" x14ac:dyDescent="0.25">
      <c r="A84" s="195"/>
      <c r="B84" s="195"/>
      <c r="C84" s="214"/>
      <c r="D84" s="218" t="s">
        <v>429</v>
      </c>
      <c r="E84" s="215"/>
      <c r="F84" s="216"/>
      <c r="G84" s="217"/>
      <c r="H84" s="217"/>
      <c r="I84" s="217"/>
      <c r="J84" s="217"/>
      <c r="K84" s="217"/>
      <c r="L84" s="217"/>
      <c r="M84" s="217"/>
      <c r="N84" s="217"/>
      <c r="O84" s="217"/>
      <c r="P84" s="217"/>
    </row>
    <row r="85" spans="1:20" s="82" customFormat="1" x14ac:dyDescent="0.25">
      <c r="D85" s="82" t="s">
        <v>428</v>
      </c>
      <c r="E85" s="157"/>
      <c r="F85" s="154"/>
      <c r="G85" s="155"/>
      <c r="H85" s="155"/>
      <c r="I85" s="155"/>
      <c r="J85" s="155"/>
      <c r="K85" s="155"/>
      <c r="L85" s="155"/>
      <c r="M85" s="155"/>
      <c r="N85" s="155"/>
      <c r="O85" s="155"/>
      <c r="P85" s="155"/>
    </row>
    <row r="86" spans="1:20" x14ac:dyDescent="0.25">
      <c r="C86" s="6"/>
      <c r="D86" s="41" t="s">
        <v>432</v>
      </c>
      <c r="E86" s="221" t="s">
        <v>149</v>
      </c>
      <c r="F86" s="35">
        <f>'WSS Profile'!$G$394</f>
        <v>0.5</v>
      </c>
      <c r="G86" s="35">
        <f>F86+IF('SW Plan'!$E$106="Activate",IF(AND(G$3&gt;='SW Plan'!$G$106,G$3&lt;'SW Plan'!$H$106+1),'SW Plan'!$H$114/('SW Plan'!$H$106-'SW Plan'!$G$106+1),0))</f>
        <v>0.5</v>
      </c>
      <c r="H86" s="35">
        <f>G86+IF('SW Plan'!$E$106="Activate",IF(AND(H$3&gt;='SW Plan'!$G$106,H$3&lt;'SW Plan'!$H$106+1),'SW Plan'!$H$114/('SW Plan'!$H$106-'SW Plan'!$G$106+1),0))</f>
        <v>0.5</v>
      </c>
      <c r="I86" s="35">
        <f>H86+IF('SW Plan'!$E$106="Activate",IF(AND(I$3&gt;='SW Plan'!$G$106,I$3&lt;'SW Plan'!$H$106+1),'SW Plan'!$H$114/('SW Plan'!$H$106-'SW Plan'!$G$106+1),0))</f>
        <v>0.5</v>
      </c>
      <c r="J86" s="35">
        <f>I86+IF('SW Plan'!$E$106="Activate",IF(AND(J$3&gt;='SW Plan'!$G$106,J$3&lt;'SW Plan'!$H$106+1),'SW Plan'!$H$114/('SW Plan'!$H$106-'SW Plan'!$G$106+1),0))</f>
        <v>0.5</v>
      </c>
      <c r="K86" s="35">
        <f>J86+IF('SW Plan'!$E$106="Activate",IF(AND(K$3&gt;='SW Plan'!$G$106,K$3&lt;'SW Plan'!$H$106+1),'SW Plan'!$H$114/('SW Plan'!$H$106-'SW Plan'!$G$106+1),0))</f>
        <v>0.5</v>
      </c>
      <c r="L86" s="35">
        <f>K86+IF('SW Plan'!$E$106="Activate",IF(AND(L$3&gt;='SW Plan'!$G$106,L$3&lt;'SW Plan'!$H$106+1),'SW Plan'!$H$114/('SW Plan'!$H$106-'SW Plan'!$G$106+1),0))</f>
        <v>0.5</v>
      </c>
      <c r="M86" s="35">
        <f>L86+IF('SW Plan'!$E$106="Activate",IF(AND(M$3&gt;='SW Plan'!$G$106,M$3&lt;'SW Plan'!$H$106+1),'SW Plan'!$H$114/('SW Plan'!$H$106-'SW Plan'!$G$106+1),0))</f>
        <v>0.5</v>
      </c>
      <c r="N86" s="35">
        <f>M86+IF('SW Plan'!$E$106="Activate",IF(AND(N$3&gt;='SW Plan'!$G$106,N$3&lt;'SW Plan'!$H$106+1),'SW Plan'!$H$114/('SW Plan'!$H$106-'SW Plan'!$G$106+1),0))</f>
        <v>0.5</v>
      </c>
      <c r="O86" s="35">
        <f>N86+IF('SW Plan'!$E$106="Activate",IF(AND(O$3&gt;='SW Plan'!$G$106,O$3&lt;'SW Plan'!$H$106+1),'SW Plan'!$H$114/('SW Plan'!$H$106-'SW Plan'!$G$106+1),0))</f>
        <v>0.5</v>
      </c>
      <c r="P86" s="35">
        <f>O86+IF('SW Plan'!$E$106="Activate",IF(AND(P$3&gt;='SW Plan'!$G$106,P$3&lt;'SW Plan'!$H$106+1),'SW Plan'!$H$114/('SW Plan'!$H$106-'SW Plan'!$G$106+1),0))</f>
        <v>0.5</v>
      </c>
    </row>
    <row r="87" spans="1:20" ht="30" x14ac:dyDescent="0.3">
      <c r="C87" s="6"/>
      <c r="D87" s="41" t="s">
        <v>400</v>
      </c>
      <c r="E87" s="889">
        <v>1</v>
      </c>
      <c r="F87" s="35">
        <f>F86/$E$87</f>
        <v>0.5</v>
      </c>
      <c r="G87" s="35">
        <f>G86/$E$87</f>
        <v>0.5</v>
      </c>
      <c r="H87" s="35">
        <f t="shared" ref="H87:P87" si="39">H86/$E$87</f>
        <v>0.5</v>
      </c>
      <c r="I87" s="35">
        <f t="shared" si="39"/>
        <v>0.5</v>
      </c>
      <c r="J87" s="35">
        <f t="shared" si="39"/>
        <v>0.5</v>
      </c>
      <c r="K87" s="35">
        <f t="shared" si="39"/>
        <v>0.5</v>
      </c>
      <c r="L87" s="35">
        <f t="shared" si="39"/>
        <v>0.5</v>
      </c>
      <c r="M87" s="35">
        <f t="shared" si="39"/>
        <v>0.5</v>
      </c>
      <c r="N87" s="35">
        <f t="shared" si="39"/>
        <v>0.5</v>
      </c>
      <c r="O87" s="35">
        <f t="shared" si="39"/>
        <v>0.5</v>
      </c>
      <c r="P87" s="35">
        <f t="shared" si="39"/>
        <v>0.5</v>
      </c>
      <c r="R87" s="1537"/>
    </row>
    <row r="88" spans="1:20" s="82" customFormat="1" x14ac:dyDescent="0.25">
      <c r="D88" s="82" t="s">
        <v>430</v>
      </c>
      <c r="E88" s="157"/>
      <c r="F88" s="154"/>
      <c r="G88" s="155"/>
      <c r="H88" s="155"/>
      <c r="I88" s="155"/>
      <c r="J88" s="155"/>
      <c r="K88" s="155"/>
      <c r="L88" s="155"/>
      <c r="M88" s="155"/>
      <c r="N88" s="155"/>
      <c r="O88" s="155"/>
      <c r="P88" s="155"/>
    </row>
    <row r="89" spans="1:20" x14ac:dyDescent="0.25">
      <c r="C89" s="6"/>
      <c r="D89" s="41" t="s">
        <v>427</v>
      </c>
      <c r="E89" s="221" t="s">
        <v>149</v>
      </c>
      <c r="F89" s="35">
        <f>'SW Plan'!$H$166</f>
        <v>0</v>
      </c>
      <c r="G89" s="35">
        <f>F89+IF('SW Plan'!$E$164="Activate",IF(G$73='SW Plan'!$H$164,'SW Plan'!$H$168,0))</f>
        <v>0</v>
      </c>
      <c r="H89" s="35">
        <f>G89+IF('SW Plan'!$E$164="Activate",IF(H$73='SW Plan'!$H$164,'SW Plan'!$H$168,0))</f>
        <v>0</v>
      </c>
      <c r="I89" s="35">
        <f>H89+IF('SW Plan'!$E$164="Activate",IF(I$73='SW Plan'!$H$164,'SW Plan'!$H$168,0))</f>
        <v>0</v>
      </c>
      <c r="J89" s="35">
        <f>I89+IF('SW Plan'!$E$164="Activate",IF(J$73='SW Plan'!$H$164,'SW Plan'!$H$168,0))</f>
        <v>0</v>
      </c>
      <c r="K89" s="35">
        <f>J89+IF('SW Plan'!$E$164="Activate",IF(K$73='SW Plan'!$H$164,'SW Plan'!$H$168,0))</f>
        <v>0</v>
      </c>
      <c r="L89" s="35">
        <f>K89+IF('SW Plan'!$E$164="Activate",IF(L$73='SW Plan'!$H$164,'SW Plan'!$H$168,0))</f>
        <v>0</v>
      </c>
      <c r="M89" s="35">
        <f>L89+IF('SW Plan'!$E$164="Activate",IF(M$73='SW Plan'!$H$164,'SW Plan'!$H$168,0))</f>
        <v>0</v>
      </c>
      <c r="N89" s="35">
        <f>M89+IF('SW Plan'!$E$164="Activate",IF(N$73='SW Plan'!$H$164,'SW Plan'!$H$168,0))</f>
        <v>0</v>
      </c>
      <c r="O89" s="35">
        <f>N89+IF('SW Plan'!$E$164="Activate",IF(O$73='SW Plan'!$H$164,'SW Plan'!$H$168,0))</f>
        <v>0</v>
      </c>
      <c r="P89" s="35">
        <f>O89+IF('SW Plan'!$E$164="Activate",IF(P$73='SW Plan'!$H$164,'SW Plan'!$H$168,0))</f>
        <v>0</v>
      </c>
    </row>
    <row r="90" spans="1:20" x14ac:dyDescent="0.25">
      <c r="C90" s="6"/>
      <c r="D90" s="41" t="s">
        <v>431</v>
      </c>
      <c r="E90" s="889">
        <f>E87</f>
        <v>1</v>
      </c>
      <c r="F90" s="35">
        <f>F89/$E$90</f>
        <v>0</v>
      </c>
      <c r="G90" s="35">
        <f t="shared" ref="G90:P90" si="40">G89/$E$90</f>
        <v>0</v>
      </c>
      <c r="H90" s="35">
        <f t="shared" si="40"/>
        <v>0</v>
      </c>
      <c r="I90" s="35">
        <f t="shared" si="40"/>
        <v>0</v>
      </c>
      <c r="J90" s="35">
        <f t="shared" si="40"/>
        <v>0</v>
      </c>
      <c r="K90" s="35">
        <f t="shared" si="40"/>
        <v>0</v>
      </c>
      <c r="L90" s="35">
        <f t="shared" si="40"/>
        <v>0</v>
      </c>
      <c r="M90" s="35">
        <f t="shared" si="40"/>
        <v>0</v>
      </c>
      <c r="N90" s="35">
        <f t="shared" si="40"/>
        <v>0</v>
      </c>
      <c r="O90" s="35">
        <f t="shared" si="40"/>
        <v>0</v>
      </c>
      <c r="P90" s="35">
        <f t="shared" si="40"/>
        <v>0</v>
      </c>
      <c r="R90" s="1538"/>
    </row>
    <row r="91" spans="1:20" s="82" customFormat="1" x14ac:dyDescent="0.25">
      <c r="D91" s="82" t="s">
        <v>398</v>
      </c>
      <c r="E91" s="157"/>
      <c r="F91" s="154"/>
      <c r="G91" s="155"/>
      <c r="H91" s="155"/>
      <c r="I91" s="155"/>
      <c r="J91" s="155"/>
      <c r="K91" s="155"/>
      <c r="L91" s="155"/>
      <c r="M91" s="155"/>
      <c r="N91" s="155"/>
      <c r="O91" s="155"/>
      <c r="P91" s="155"/>
    </row>
    <row r="92" spans="1:20" x14ac:dyDescent="0.25">
      <c r="C92" s="6"/>
      <c r="D92" s="158" t="s">
        <v>398</v>
      </c>
      <c r="E92" s="221" t="s">
        <v>149</v>
      </c>
      <c r="F92" s="35">
        <f>F90+F87</f>
        <v>0.5</v>
      </c>
      <c r="G92" s="35">
        <f>G90+G87</f>
        <v>0.5</v>
      </c>
      <c r="H92" s="35">
        <f t="shared" ref="H92:P92" si="41">H90+H87</f>
        <v>0.5</v>
      </c>
      <c r="I92" s="35">
        <f t="shared" si="41"/>
        <v>0.5</v>
      </c>
      <c r="J92" s="35">
        <f t="shared" si="41"/>
        <v>0.5</v>
      </c>
      <c r="K92" s="35">
        <f t="shared" si="41"/>
        <v>0.5</v>
      </c>
      <c r="L92" s="35">
        <f t="shared" si="41"/>
        <v>0.5</v>
      </c>
      <c r="M92" s="35">
        <f t="shared" si="41"/>
        <v>0.5</v>
      </c>
      <c r="N92" s="35">
        <f t="shared" si="41"/>
        <v>0.5</v>
      </c>
      <c r="O92" s="35">
        <f t="shared" si="41"/>
        <v>0.5</v>
      </c>
      <c r="P92" s="35">
        <f t="shared" si="41"/>
        <v>0.5</v>
      </c>
    </row>
    <row r="93" spans="1:20" s="52" customFormat="1" x14ac:dyDescent="0.25">
      <c r="A93" s="143"/>
      <c r="B93" s="143"/>
      <c r="C93" s="32"/>
      <c r="D93" s="41" t="s">
        <v>1109</v>
      </c>
      <c r="E93" s="221" t="s">
        <v>149</v>
      </c>
      <c r="F93" s="35">
        <f>MIN(F92,F83)</f>
        <v>0</v>
      </c>
      <c r="G93" s="35">
        <f t="shared" ref="G93:P93" si="42">MIN(G92,G83)</f>
        <v>0</v>
      </c>
      <c r="H93" s="35">
        <f t="shared" si="42"/>
        <v>0</v>
      </c>
      <c r="I93" s="35">
        <f t="shared" si="42"/>
        <v>0</v>
      </c>
      <c r="J93" s="35">
        <f t="shared" si="42"/>
        <v>0</v>
      </c>
      <c r="K93" s="35">
        <f t="shared" si="42"/>
        <v>0</v>
      </c>
      <c r="L93" s="35">
        <f t="shared" si="42"/>
        <v>0</v>
      </c>
      <c r="M93" s="35">
        <f t="shared" si="42"/>
        <v>0</v>
      </c>
      <c r="N93" s="35">
        <f t="shared" si="42"/>
        <v>0</v>
      </c>
      <c r="O93" s="35">
        <f t="shared" si="42"/>
        <v>0</v>
      </c>
      <c r="P93" s="35">
        <f t="shared" si="42"/>
        <v>0</v>
      </c>
    </row>
    <row r="94" spans="1:20" s="124" customFormat="1" ht="15.75" customHeight="1" x14ac:dyDescent="0.25">
      <c r="A94" s="163"/>
      <c r="B94" s="163"/>
      <c r="C94" s="773"/>
      <c r="D94" s="748" t="str">
        <f>'Summary of PIP'!C167</f>
        <v>Adequacy of solid waste storage capacity</v>
      </c>
      <c r="E94" s="775"/>
      <c r="F94" s="779">
        <f>IFERROR(F92/F83,0)</f>
        <v>0</v>
      </c>
      <c r="G94" s="779">
        <f t="shared" ref="G94:P94" si="43">IFERROR(G92/G83,0)</f>
        <v>0</v>
      </c>
      <c r="H94" s="779">
        <f t="shared" si="43"/>
        <v>0</v>
      </c>
      <c r="I94" s="779">
        <f t="shared" si="43"/>
        <v>0</v>
      </c>
      <c r="J94" s="779">
        <f t="shared" si="43"/>
        <v>0</v>
      </c>
      <c r="K94" s="779">
        <f t="shared" si="43"/>
        <v>0</v>
      </c>
      <c r="L94" s="779">
        <f t="shared" si="43"/>
        <v>0</v>
      </c>
      <c r="M94" s="779">
        <f t="shared" si="43"/>
        <v>0</v>
      </c>
      <c r="N94" s="779">
        <f t="shared" si="43"/>
        <v>0</v>
      </c>
      <c r="O94" s="779">
        <f t="shared" si="43"/>
        <v>0</v>
      </c>
      <c r="P94" s="779">
        <f t="shared" si="43"/>
        <v>0</v>
      </c>
      <c r="Q94" s="733"/>
    </row>
    <row r="95" spans="1:20" x14ac:dyDescent="0.25">
      <c r="A95" s="195"/>
      <c r="B95" s="195"/>
      <c r="C95" s="214"/>
      <c r="D95" s="218" t="s">
        <v>401</v>
      </c>
      <c r="E95" s="879"/>
      <c r="F95" s="216"/>
      <c r="G95" s="217"/>
      <c r="H95" s="217"/>
      <c r="I95" s="217"/>
      <c r="J95" s="217"/>
      <c r="K95" s="217"/>
      <c r="L95" s="217"/>
      <c r="M95" s="217"/>
      <c r="N95" s="217"/>
      <c r="O95" s="217"/>
      <c r="P95" s="217"/>
    </row>
    <row r="96" spans="1:20" s="170" customFormat="1" x14ac:dyDescent="0.25">
      <c r="A96" s="43"/>
      <c r="B96" s="43"/>
      <c r="C96" s="928"/>
      <c r="D96" s="1188" t="s">
        <v>1155</v>
      </c>
      <c r="E96" s="1041"/>
      <c r="F96" s="1042"/>
      <c r="G96" s="1042"/>
      <c r="H96" s="1042"/>
      <c r="I96" s="1042"/>
      <c r="J96" s="1042"/>
      <c r="K96" s="1042"/>
      <c r="L96" s="1042"/>
      <c r="M96" s="1042"/>
      <c r="N96" s="1042"/>
      <c r="O96" s="1042"/>
      <c r="P96" s="1042"/>
    </row>
    <row r="97" spans="1:16" s="170" customFormat="1" x14ac:dyDescent="0.25">
      <c r="A97" s="43"/>
      <c r="B97" s="43"/>
      <c r="C97" s="456"/>
      <c r="D97" s="73" t="s">
        <v>1072</v>
      </c>
      <c r="E97" s="1043">
        <f>'WSS Profile'!$F413*'WSS Profile'!$G413</f>
        <v>2</v>
      </c>
      <c r="F97" s="222">
        <f>'SW Plan'!$G127</f>
        <v>3</v>
      </c>
      <c r="G97" s="222">
        <f>IF('SW Plan'!$E$123="Activate",IF(AND(G$3&gt;='SW Plan'!$G$123,G$3&lt;'SW Plan'!$H$123+1),F97+(('SW Plan'!$H127-'SW Plan'!$G127)/('SW Plan'!$H$123-'SW Plan'!$G$123+1)),F97),F97)</f>
        <v>3</v>
      </c>
      <c r="H97" s="222">
        <f>IF('SW Plan'!$E$123="Activate",IF(AND(H$3&gt;='SW Plan'!$G$123,H$3&lt;'SW Plan'!$H$123+1),G97+(('SW Plan'!$H127-'SW Plan'!$G127)/('SW Plan'!$H$123-'SW Plan'!$G$123+1)),G97),G97)</f>
        <v>3</v>
      </c>
      <c r="I97" s="222">
        <f>IF('SW Plan'!$E$123="Activate",IF(AND(I$3&gt;='SW Plan'!$G$123,I$3&lt;'SW Plan'!$H$123+1),H97+(('SW Plan'!$H127-'SW Plan'!$G127)/('SW Plan'!$H$123-'SW Plan'!$G$123+1)),H97),H97)</f>
        <v>3</v>
      </c>
      <c r="J97" s="222">
        <f>IF('SW Plan'!$E$123="Activate",IF(AND(J$3&gt;='SW Plan'!$G$123,J$3&lt;'SW Plan'!$H$123+1),I97+(('SW Plan'!$H127-'SW Plan'!$G127)/('SW Plan'!$H$123-'SW Plan'!$G$123+1)),I97),I97)</f>
        <v>3</v>
      </c>
      <c r="K97" s="222">
        <f>IF('SW Plan'!$E$123="Activate",IF(AND(K$3&gt;='SW Plan'!$G$123,K$3&lt;'SW Plan'!$H$123+1),J97+(('SW Plan'!$H127-'SW Plan'!$G127)/('SW Plan'!$H$123-'SW Plan'!$G$123+1)),J97),J97)</f>
        <v>3</v>
      </c>
      <c r="L97" s="222">
        <f>IF('SW Plan'!$E$123="Activate",IF(AND(L$3&gt;='SW Plan'!$G$123,L$3&lt;'SW Plan'!$H$123+1),K97+(('SW Plan'!$H127-'SW Plan'!$G127)/('SW Plan'!$H$123-'SW Plan'!$G$123+1)),K97),K97)</f>
        <v>3</v>
      </c>
      <c r="M97" s="222">
        <f>IF('SW Plan'!$E$123="Activate",IF(AND(M$3&gt;='SW Plan'!$G$123,M$3&lt;'SW Plan'!$H$123+1),L97+(('SW Plan'!$H127-'SW Plan'!$G127)/('SW Plan'!$H$123-'SW Plan'!$G$123+1)),L97),L97)</f>
        <v>3</v>
      </c>
      <c r="N97" s="222">
        <f>IF('SW Plan'!$E$123="Activate",IF(AND(N$3&gt;='SW Plan'!$G$123,N$3&lt;'SW Plan'!$H$123+1),M97+(('SW Plan'!$H127-'SW Plan'!$G127)/('SW Plan'!$H$123-'SW Plan'!$G$123+1)),M97),M97)</f>
        <v>3</v>
      </c>
      <c r="O97" s="222">
        <f>IF('SW Plan'!$E$123="Activate",IF(AND(O$3&gt;='SW Plan'!$G$123,O$3&lt;'SW Plan'!$H$123+1),N97+(('SW Plan'!$H127-'SW Plan'!$G127)/('SW Plan'!$H$123-'SW Plan'!$G$123+1)),N97),N97)</f>
        <v>3</v>
      </c>
      <c r="P97" s="222">
        <f>IF('SW Plan'!$E$123="Activate",IF(AND(P$3&gt;='SW Plan'!$G$123,P$3&lt;'SW Plan'!$H$123+1),O97+(('SW Plan'!$H127-'SW Plan'!$G127)/('SW Plan'!$H$123-'SW Plan'!$G$123+1)),O97),O97)</f>
        <v>3</v>
      </c>
    </row>
    <row r="98" spans="1:16" s="170" customFormat="1" x14ac:dyDescent="0.25">
      <c r="A98" s="43"/>
      <c r="B98" s="43"/>
      <c r="C98" s="456"/>
      <c r="D98" s="73" t="s">
        <v>1071</v>
      </c>
      <c r="E98" s="1043">
        <f>'WSS Profile'!$F414*'WSS Profile'!$G414</f>
        <v>0</v>
      </c>
      <c r="F98" s="222">
        <f>'SW Plan'!$G128</f>
        <v>0</v>
      </c>
      <c r="G98" s="222">
        <f>IF('SW Plan'!$E$123="Activate",IF(AND(G$3&gt;='SW Plan'!$G$123,G$3&lt;'SW Plan'!$H$123+1),F98+(('SW Plan'!$H128-'SW Plan'!$G128)/('SW Plan'!$H$123-'SW Plan'!$G$123+1)),F98),F98)</f>
        <v>0</v>
      </c>
      <c r="H98" s="222">
        <f>IF('SW Plan'!$E$123="Activate",IF(AND(H$3&gt;='SW Plan'!$G$123,H$3&lt;'SW Plan'!$H$123+1),G98+(('SW Plan'!$H128-'SW Plan'!$G128)/('SW Plan'!$H$123-'SW Plan'!$G$123+1)),G98),G98)</f>
        <v>0</v>
      </c>
      <c r="I98" s="222">
        <f>IF('SW Plan'!$E$123="Activate",IF(AND(I$3&gt;='SW Plan'!$G$123,I$3&lt;'SW Plan'!$H$123+1),H98+(('SW Plan'!$H128-'SW Plan'!$G128)/('SW Plan'!$H$123-'SW Plan'!$G$123+1)),H98),H98)</f>
        <v>0</v>
      </c>
      <c r="J98" s="222">
        <f>IF('SW Plan'!$E$123="Activate",IF(AND(J$3&gt;='SW Plan'!$G$123,J$3&lt;'SW Plan'!$H$123+1),I98+(('SW Plan'!$H128-'SW Plan'!$G128)/('SW Plan'!$H$123-'SW Plan'!$G$123+1)),I98),I98)</f>
        <v>0</v>
      </c>
      <c r="K98" s="222">
        <f>IF('SW Plan'!$E$123="Activate",IF(AND(K$3&gt;='SW Plan'!$G$123,K$3&lt;'SW Plan'!$H$123+1),J98+(('SW Plan'!$H128-'SW Plan'!$G128)/('SW Plan'!$H$123-'SW Plan'!$G$123+1)),J98),J98)</f>
        <v>0</v>
      </c>
      <c r="L98" s="222">
        <f>IF('SW Plan'!$E$123="Activate",IF(AND(L$3&gt;='SW Plan'!$G$123,L$3&lt;'SW Plan'!$H$123+1),K98+(('SW Plan'!$H128-'SW Plan'!$G128)/('SW Plan'!$H$123-'SW Plan'!$G$123+1)),K98),K98)</f>
        <v>0</v>
      </c>
      <c r="M98" s="222">
        <f>IF('SW Plan'!$E$123="Activate",IF(AND(M$3&gt;='SW Plan'!$G$123,M$3&lt;'SW Plan'!$H$123+1),L98+(('SW Plan'!$H128-'SW Plan'!$G128)/('SW Plan'!$H$123-'SW Plan'!$G$123+1)),L98),L98)</f>
        <v>0</v>
      </c>
      <c r="N98" s="222">
        <f>IF('SW Plan'!$E$123="Activate",IF(AND(N$3&gt;='SW Plan'!$G$123,N$3&lt;'SW Plan'!$H$123+1),M98+(('SW Plan'!$H128-'SW Plan'!$G128)/('SW Plan'!$H$123-'SW Plan'!$G$123+1)),M98),M98)</f>
        <v>0</v>
      </c>
      <c r="O98" s="222">
        <f>IF('SW Plan'!$E$123="Activate",IF(AND(O$3&gt;='SW Plan'!$G$123,O$3&lt;'SW Plan'!$H$123+1),N98+(('SW Plan'!$H128-'SW Plan'!$G128)/('SW Plan'!$H$123-'SW Plan'!$G$123+1)),N98),N98)</f>
        <v>0</v>
      </c>
      <c r="P98" s="222">
        <f>IF('SW Plan'!$E$123="Activate",IF(AND(P$3&gt;='SW Plan'!$G$123,P$3&lt;'SW Plan'!$H$123+1),O98+(('SW Plan'!$H128-'SW Plan'!$G128)/('SW Plan'!$H$123-'SW Plan'!$G$123+1)),O98),O98)</f>
        <v>0</v>
      </c>
    </row>
    <row r="99" spans="1:16" s="170" customFormat="1" x14ac:dyDescent="0.25">
      <c r="A99" s="43"/>
      <c r="B99" s="43"/>
      <c r="C99" s="456"/>
      <c r="D99" s="73" t="s">
        <v>1070</v>
      </c>
      <c r="E99" s="1043">
        <f>'WSS Profile'!$F415*'WSS Profile'!$G415</f>
        <v>1.5</v>
      </c>
      <c r="F99" s="222">
        <f>'SW Plan'!$G129</f>
        <v>2</v>
      </c>
      <c r="G99" s="222">
        <f>IF('SW Plan'!$E$123="Activate",IF(AND(G$3&gt;='SW Plan'!$G$123,G$3&lt;'SW Plan'!$H$123+1),F99+(('SW Plan'!$H129-'SW Plan'!$G129)/('SW Plan'!$H$123-'SW Plan'!$G$123+1)),F99),F99)</f>
        <v>2</v>
      </c>
      <c r="H99" s="222">
        <f>IF('SW Plan'!$E$123="Activate",IF(AND(H$3&gt;='SW Plan'!$G$123,H$3&lt;'SW Plan'!$H$123+1),G99+(('SW Plan'!$H129-'SW Plan'!$G129)/('SW Plan'!$H$123-'SW Plan'!$G$123+1)),G99),G99)</f>
        <v>2</v>
      </c>
      <c r="I99" s="222">
        <f>IF('SW Plan'!$E$123="Activate",IF(AND(I$3&gt;='SW Plan'!$G$123,I$3&lt;'SW Plan'!$H$123+1),H99+(('SW Plan'!$H129-'SW Plan'!$G129)/('SW Plan'!$H$123-'SW Plan'!$G$123+1)),H99),H99)</f>
        <v>2</v>
      </c>
      <c r="J99" s="222">
        <f>IF('SW Plan'!$E$123="Activate",IF(AND(J$3&gt;='SW Plan'!$G$123,J$3&lt;'SW Plan'!$H$123+1),I99+(('SW Plan'!$H129-'SW Plan'!$G129)/('SW Plan'!$H$123-'SW Plan'!$G$123+1)),I99),I99)</f>
        <v>2</v>
      </c>
      <c r="K99" s="222">
        <f>IF('SW Plan'!$E$123="Activate",IF(AND(K$3&gt;='SW Plan'!$G$123,K$3&lt;'SW Plan'!$H$123+1),J99+(('SW Plan'!$H129-'SW Plan'!$G129)/('SW Plan'!$H$123-'SW Plan'!$G$123+1)),J99),J99)</f>
        <v>2</v>
      </c>
      <c r="L99" s="222">
        <f>IF('SW Plan'!$E$123="Activate",IF(AND(L$3&gt;='SW Plan'!$G$123,L$3&lt;'SW Plan'!$H$123+1),K99+(('SW Plan'!$H129-'SW Plan'!$G129)/('SW Plan'!$H$123-'SW Plan'!$G$123+1)),K99),K99)</f>
        <v>2</v>
      </c>
      <c r="M99" s="222">
        <f>IF('SW Plan'!$E$123="Activate",IF(AND(M$3&gt;='SW Plan'!$G$123,M$3&lt;'SW Plan'!$H$123+1),L99+(('SW Plan'!$H129-'SW Plan'!$G129)/('SW Plan'!$H$123-'SW Plan'!$G$123+1)),L99),L99)</f>
        <v>2</v>
      </c>
      <c r="N99" s="222">
        <f>IF('SW Plan'!$E$123="Activate",IF(AND(N$3&gt;='SW Plan'!$G$123,N$3&lt;'SW Plan'!$H$123+1),M99+(('SW Plan'!$H129-'SW Plan'!$G129)/('SW Plan'!$H$123-'SW Plan'!$G$123+1)),M99),M99)</f>
        <v>2</v>
      </c>
      <c r="O99" s="222">
        <f>IF('SW Plan'!$E$123="Activate",IF(AND(O$3&gt;='SW Plan'!$G$123,O$3&lt;'SW Plan'!$H$123+1),N99+(('SW Plan'!$H129-'SW Plan'!$G129)/('SW Plan'!$H$123-'SW Plan'!$G$123+1)),N99),N99)</f>
        <v>2</v>
      </c>
      <c r="P99" s="222">
        <f>IF('SW Plan'!$E$123="Activate",IF(AND(P$3&gt;='SW Plan'!$G$123,P$3&lt;'SW Plan'!$H$123+1),O99+(('SW Plan'!$H129-'SW Plan'!$G129)/('SW Plan'!$H$123-'SW Plan'!$G$123+1)),O99),O99)</f>
        <v>2</v>
      </c>
    </row>
    <row r="100" spans="1:16" s="170" customFormat="1" x14ac:dyDescent="0.25">
      <c r="A100" s="43"/>
      <c r="B100" s="43"/>
      <c r="C100" s="456"/>
      <c r="D100" s="73" t="s">
        <v>1069</v>
      </c>
      <c r="E100" s="1043">
        <f>'WSS Profile'!$F416*'WSS Profile'!$G416</f>
        <v>0</v>
      </c>
      <c r="F100" s="222">
        <f>'SW Plan'!$G130</f>
        <v>0</v>
      </c>
      <c r="G100" s="222">
        <f>IF('SW Plan'!$E$123="Activate",IF(AND(G$3&gt;='SW Plan'!$G$123,G$3&lt;'SW Plan'!$H$123+1),F100+(('SW Plan'!$H130-'SW Plan'!$G130)/('SW Plan'!$H$123-'SW Plan'!$G$123+1)),F100),F100)</f>
        <v>0</v>
      </c>
      <c r="H100" s="222">
        <f>IF('SW Plan'!$E$123="Activate",IF(AND(H$3&gt;='SW Plan'!$G$123,H$3&lt;'SW Plan'!$H$123+1),G100+(('SW Plan'!$H130-'SW Plan'!$G130)/('SW Plan'!$H$123-'SW Plan'!$G$123+1)),G100),G100)</f>
        <v>0</v>
      </c>
      <c r="I100" s="222">
        <f>IF('SW Plan'!$E$123="Activate",IF(AND(I$3&gt;='SW Plan'!$G$123,I$3&lt;'SW Plan'!$H$123+1),H100+(('SW Plan'!$H130-'SW Plan'!$G130)/('SW Plan'!$H$123-'SW Plan'!$G$123+1)),H100),H100)</f>
        <v>0</v>
      </c>
      <c r="J100" s="222">
        <f>IF('SW Plan'!$E$123="Activate",IF(AND(J$3&gt;='SW Plan'!$G$123,J$3&lt;'SW Plan'!$H$123+1),I100+(('SW Plan'!$H130-'SW Plan'!$G130)/('SW Plan'!$H$123-'SW Plan'!$G$123+1)),I100),I100)</f>
        <v>0</v>
      </c>
      <c r="K100" s="222">
        <f>IF('SW Plan'!$E$123="Activate",IF(AND(K$3&gt;='SW Plan'!$G$123,K$3&lt;'SW Plan'!$H$123+1),J100+(('SW Plan'!$H130-'SW Plan'!$G130)/('SW Plan'!$H$123-'SW Plan'!$G$123+1)),J100),J100)</f>
        <v>0</v>
      </c>
      <c r="L100" s="222">
        <f>IF('SW Plan'!$E$123="Activate",IF(AND(L$3&gt;='SW Plan'!$G$123,L$3&lt;'SW Plan'!$H$123+1),K100+(('SW Plan'!$H130-'SW Plan'!$G130)/('SW Plan'!$H$123-'SW Plan'!$G$123+1)),K100),K100)</f>
        <v>0</v>
      </c>
      <c r="M100" s="222">
        <f>IF('SW Plan'!$E$123="Activate",IF(AND(M$3&gt;='SW Plan'!$G$123,M$3&lt;'SW Plan'!$H$123+1),L100+(('SW Plan'!$H130-'SW Plan'!$G130)/('SW Plan'!$H$123-'SW Plan'!$G$123+1)),L100),L100)</f>
        <v>0</v>
      </c>
      <c r="N100" s="222">
        <f>IF('SW Plan'!$E$123="Activate",IF(AND(N$3&gt;='SW Plan'!$G$123,N$3&lt;'SW Plan'!$H$123+1),M100+(('SW Plan'!$H130-'SW Plan'!$G130)/('SW Plan'!$H$123-'SW Plan'!$G$123+1)),M100),M100)</f>
        <v>0</v>
      </c>
      <c r="O100" s="222">
        <f>IF('SW Plan'!$E$123="Activate",IF(AND(O$3&gt;='SW Plan'!$G$123,O$3&lt;'SW Plan'!$H$123+1),N100+(('SW Plan'!$H130-'SW Plan'!$G130)/('SW Plan'!$H$123-'SW Plan'!$G$123+1)),N100),N100)</f>
        <v>0</v>
      </c>
      <c r="P100" s="222">
        <f>IF('SW Plan'!$E$123="Activate",IF(AND(P$3&gt;='SW Plan'!$G$123,P$3&lt;'SW Plan'!$H$123+1),O100+(('SW Plan'!$H130-'SW Plan'!$G130)/('SW Plan'!$H$123-'SW Plan'!$G$123+1)),O100),O100)</f>
        <v>0</v>
      </c>
    </row>
    <row r="101" spans="1:16" s="170" customFormat="1" x14ac:dyDescent="0.25">
      <c r="A101" s="43"/>
      <c r="B101" s="43"/>
      <c r="C101" s="456"/>
      <c r="D101" s="73" t="s">
        <v>1068</v>
      </c>
      <c r="E101" s="1043">
        <f>'WSS Profile'!$F417*'WSS Profile'!$G417</f>
        <v>0</v>
      </c>
      <c r="F101" s="222">
        <f>'SW Plan'!$G131</f>
        <v>0</v>
      </c>
      <c r="G101" s="222">
        <f>IF('SW Plan'!$E$123="Activate",IF(AND(G$3&gt;='SW Plan'!$G$123,G$3&lt;'SW Plan'!$H$123+1),F101+(('SW Plan'!$H131-'SW Plan'!$G131)/('SW Plan'!$H$123-'SW Plan'!$G$123+1)),F101),F101)</f>
        <v>0</v>
      </c>
      <c r="H101" s="222">
        <f>IF('SW Plan'!$E$123="Activate",IF(AND(H$3&gt;='SW Plan'!$G$123,H$3&lt;'SW Plan'!$H$123+1),G101+(('SW Plan'!$H131-'SW Plan'!$G131)/('SW Plan'!$H$123-'SW Plan'!$G$123+1)),G101),G101)</f>
        <v>0</v>
      </c>
      <c r="I101" s="222">
        <f>IF('SW Plan'!$E$123="Activate",IF(AND(I$3&gt;='SW Plan'!$G$123,I$3&lt;'SW Plan'!$H$123+1),H101+(('SW Plan'!$H131-'SW Plan'!$G131)/('SW Plan'!$H$123-'SW Plan'!$G$123+1)),H101),H101)</f>
        <v>0</v>
      </c>
      <c r="J101" s="222">
        <f>IF('SW Plan'!$E$123="Activate",IF(AND(J$3&gt;='SW Plan'!$G$123,J$3&lt;'SW Plan'!$H$123+1),I101+(('SW Plan'!$H131-'SW Plan'!$G131)/('SW Plan'!$H$123-'SW Plan'!$G$123+1)),I101),I101)</f>
        <v>0</v>
      </c>
      <c r="K101" s="222">
        <f>IF('SW Plan'!$E$123="Activate",IF(AND(K$3&gt;='SW Plan'!$G$123,K$3&lt;'SW Plan'!$H$123+1),J101+(('SW Plan'!$H131-'SW Plan'!$G131)/('SW Plan'!$H$123-'SW Plan'!$G$123+1)),J101),J101)</f>
        <v>0</v>
      </c>
      <c r="L101" s="222">
        <f>IF('SW Plan'!$E$123="Activate",IF(AND(L$3&gt;='SW Plan'!$G$123,L$3&lt;'SW Plan'!$H$123+1),K101+(('SW Plan'!$H131-'SW Plan'!$G131)/('SW Plan'!$H$123-'SW Plan'!$G$123+1)),K101),K101)</f>
        <v>0</v>
      </c>
      <c r="M101" s="222">
        <f>IF('SW Plan'!$E$123="Activate",IF(AND(M$3&gt;='SW Plan'!$G$123,M$3&lt;'SW Plan'!$H$123+1),L101+(('SW Plan'!$H131-'SW Plan'!$G131)/('SW Plan'!$H$123-'SW Plan'!$G$123+1)),L101),L101)</f>
        <v>0</v>
      </c>
      <c r="N101" s="222">
        <f>IF('SW Plan'!$E$123="Activate",IF(AND(N$3&gt;='SW Plan'!$G$123,N$3&lt;'SW Plan'!$H$123+1),M101+(('SW Plan'!$H131-'SW Plan'!$G131)/('SW Plan'!$H$123-'SW Plan'!$G$123+1)),M101),M101)</f>
        <v>0</v>
      </c>
      <c r="O101" s="222">
        <f>IF('SW Plan'!$E$123="Activate",IF(AND(O$3&gt;='SW Plan'!$G$123,O$3&lt;'SW Plan'!$H$123+1),N101+(('SW Plan'!$H131-'SW Plan'!$G131)/('SW Plan'!$H$123-'SW Plan'!$G$123+1)),N101),N101)</f>
        <v>0</v>
      </c>
      <c r="P101" s="222">
        <f>IF('SW Plan'!$E$123="Activate",IF(AND(P$3&gt;='SW Plan'!$G$123,P$3&lt;'SW Plan'!$H$123+1),O101+(('SW Plan'!$H131-'SW Plan'!$G131)/('SW Plan'!$H$123-'SW Plan'!$G$123+1)),O101),O101)</f>
        <v>0</v>
      </c>
    </row>
    <row r="102" spans="1:16" s="170" customFormat="1" x14ac:dyDescent="0.25">
      <c r="A102" s="43"/>
      <c r="B102" s="43"/>
      <c r="C102" s="456"/>
      <c r="D102" s="73" t="s">
        <v>1067</v>
      </c>
      <c r="E102" s="1043">
        <f>'WSS Profile'!$F418*'WSS Profile'!$G418</f>
        <v>3</v>
      </c>
      <c r="F102" s="222">
        <f>'SW Plan'!$G132</f>
        <v>1</v>
      </c>
      <c r="G102" s="222">
        <f>IF('SW Plan'!$E$123="Activate",IF(AND(G$3&gt;='SW Plan'!$G$123,G$3&lt;'SW Plan'!$H$123+1),F102+(('SW Plan'!$H132-'SW Plan'!$G132)/('SW Plan'!$H$123-'SW Plan'!$G$123+1)),F102),F102)</f>
        <v>1</v>
      </c>
      <c r="H102" s="222">
        <f>IF('SW Plan'!$E$123="Activate",IF(AND(H$3&gt;='SW Plan'!$G$123,H$3&lt;'SW Plan'!$H$123+1),G102+(('SW Plan'!$H132-'SW Plan'!$G132)/('SW Plan'!$H$123-'SW Plan'!$G$123+1)),G102),G102)</f>
        <v>1</v>
      </c>
      <c r="I102" s="222">
        <f>IF('SW Plan'!$E$123="Activate",IF(AND(I$3&gt;='SW Plan'!$G$123,I$3&lt;'SW Plan'!$H$123+1),H102+(('SW Plan'!$H132-'SW Plan'!$G132)/('SW Plan'!$H$123-'SW Plan'!$G$123+1)),H102),H102)</f>
        <v>1</v>
      </c>
      <c r="J102" s="222">
        <f>IF('SW Plan'!$E$123="Activate",IF(AND(J$3&gt;='SW Plan'!$G$123,J$3&lt;'SW Plan'!$H$123+1),I102+(('SW Plan'!$H132-'SW Plan'!$G132)/('SW Plan'!$H$123-'SW Plan'!$G$123+1)),I102),I102)</f>
        <v>1</v>
      </c>
      <c r="K102" s="222">
        <f>IF('SW Plan'!$E$123="Activate",IF(AND(K$3&gt;='SW Plan'!$G$123,K$3&lt;'SW Plan'!$H$123+1),J102+(('SW Plan'!$H132-'SW Plan'!$G132)/('SW Plan'!$H$123-'SW Plan'!$G$123+1)),J102),J102)</f>
        <v>1</v>
      </c>
      <c r="L102" s="222">
        <f>IF('SW Plan'!$E$123="Activate",IF(AND(L$3&gt;='SW Plan'!$G$123,L$3&lt;'SW Plan'!$H$123+1),K102+(('SW Plan'!$H132-'SW Plan'!$G132)/('SW Plan'!$H$123-'SW Plan'!$G$123+1)),K102),K102)</f>
        <v>1</v>
      </c>
      <c r="M102" s="222">
        <f>IF('SW Plan'!$E$123="Activate",IF(AND(M$3&gt;='SW Plan'!$G$123,M$3&lt;'SW Plan'!$H$123+1),L102+(('SW Plan'!$H132-'SW Plan'!$G132)/('SW Plan'!$H$123-'SW Plan'!$G$123+1)),L102),L102)</f>
        <v>1</v>
      </c>
      <c r="N102" s="222">
        <f>IF('SW Plan'!$E$123="Activate",IF(AND(N$3&gt;='SW Plan'!$G$123,N$3&lt;'SW Plan'!$H$123+1),M102+(('SW Plan'!$H132-'SW Plan'!$G132)/('SW Plan'!$H$123-'SW Plan'!$G$123+1)),M102),M102)</f>
        <v>1</v>
      </c>
      <c r="O102" s="222">
        <f>IF('SW Plan'!$E$123="Activate",IF(AND(O$3&gt;='SW Plan'!$G$123,O$3&lt;'SW Plan'!$H$123+1),N102+(('SW Plan'!$H132-'SW Plan'!$G132)/('SW Plan'!$H$123-'SW Plan'!$G$123+1)),N102),N102)</f>
        <v>1</v>
      </c>
      <c r="P102" s="222">
        <f>IF('SW Plan'!$E$123="Activate",IF(AND(P$3&gt;='SW Plan'!$G$123,P$3&lt;'SW Plan'!$H$123+1),O102+(('SW Plan'!$H132-'SW Plan'!$G132)/('SW Plan'!$H$123-'SW Plan'!$G$123+1)),O102),O102)</f>
        <v>1</v>
      </c>
    </row>
    <row r="103" spans="1:16" s="170" customFormat="1" x14ac:dyDescent="0.25">
      <c r="A103" s="43"/>
      <c r="B103" s="43"/>
      <c r="C103" s="456"/>
      <c r="D103" s="73" t="s">
        <v>1157</v>
      </c>
      <c r="E103" s="1043"/>
      <c r="F103" s="222"/>
      <c r="G103" s="222">
        <f>SUM(G97:G102)-SUM(F97:F102)</f>
        <v>0</v>
      </c>
      <c r="H103" s="222">
        <f t="shared" ref="H103:P103" si="44">SUM(H97:H102)-SUM(G97:G102)</f>
        <v>0</v>
      </c>
      <c r="I103" s="222">
        <f t="shared" si="44"/>
        <v>0</v>
      </c>
      <c r="J103" s="222">
        <f t="shared" si="44"/>
        <v>0</v>
      </c>
      <c r="K103" s="222">
        <f t="shared" si="44"/>
        <v>0</v>
      </c>
      <c r="L103" s="222">
        <f t="shared" si="44"/>
        <v>0</v>
      </c>
      <c r="M103" s="222">
        <f t="shared" si="44"/>
        <v>0</v>
      </c>
      <c r="N103" s="222">
        <f t="shared" si="44"/>
        <v>0</v>
      </c>
      <c r="O103" s="222">
        <f t="shared" si="44"/>
        <v>0</v>
      </c>
      <c r="P103" s="222">
        <f t="shared" si="44"/>
        <v>0</v>
      </c>
    </row>
    <row r="104" spans="1:16" s="733" customFormat="1" x14ac:dyDescent="0.25">
      <c r="A104" s="138"/>
      <c r="B104" s="138"/>
      <c r="C104" s="135"/>
      <c r="D104" s="220" t="s">
        <v>1156</v>
      </c>
      <c r="E104" s="1044"/>
      <c r="F104" s="725">
        <f>SUMPRODUCT($E$97:$E$102,F97:F102)</f>
        <v>12</v>
      </c>
      <c r="G104" s="725">
        <f t="shared" ref="G104:P104" si="45">SUMPRODUCT($E$97:$E$102,G97:G102)</f>
        <v>12</v>
      </c>
      <c r="H104" s="725">
        <f t="shared" si="45"/>
        <v>12</v>
      </c>
      <c r="I104" s="725">
        <f t="shared" si="45"/>
        <v>12</v>
      </c>
      <c r="J104" s="725">
        <f t="shared" si="45"/>
        <v>12</v>
      </c>
      <c r="K104" s="725">
        <f t="shared" si="45"/>
        <v>12</v>
      </c>
      <c r="L104" s="725">
        <f t="shared" si="45"/>
        <v>12</v>
      </c>
      <c r="M104" s="725">
        <f t="shared" si="45"/>
        <v>12</v>
      </c>
      <c r="N104" s="725">
        <f t="shared" si="45"/>
        <v>12</v>
      </c>
      <c r="O104" s="725">
        <f t="shared" si="45"/>
        <v>12</v>
      </c>
      <c r="P104" s="725">
        <f t="shared" si="45"/>
        <v>12</v>
      </c>
    </row>
    <row r="105" spans="1:16" s="170" customFormat="1" x14ac:dyDescent="0.25">
      <c r="A105" s="43"/>
      <c r="B105" s="43"/>
      <c r="C105" s="928"/>
      <c r="D105" s="1188" t="s">
        <v>1154</v>
      </c>
      <c r="E105" s="1041"/>
      <c r="F105" s="1189"/>
      <c r="G105" s="1189"/>
      <c r="H105" s="1189"/>
      <c r="I105" s="1189"/>
      <c r="J105" s="1189"/>
      <c r="K105" s="1189"/>
      <c r="L105" s="1189"/>
      <c r="M105" s="1189"/>
      <c r="N105" s="1189"/>
      <c r="O105" s="1189"/>
      <c r="P105" s="1189"/>
    </row>
    <row r="106" spans="1:16" s="170" customFormat="1" x14ac:dyDescent="0.25">
      <c r="A106" s="43"/>
      <c r="B106" s="43"/>
      <c r="C106" s="456"/>
      <c r="D106" s="73" t="s">
        <v>1072</v>
      </c>
      <c r="E106" s="909"/>
      <c r="F106" s="222">
        <v>0</v>
      </c>
      <c r="G106" s="222">
        <f>F106+IF('SW Plan'!$E$146="Activate",IF(AND(G$3&gt;='SW Plan'!$G$146,G$3&lt;'SW Plan'!$H$146+1),('SW Plan'!$G149*'SW Plan'!$H149*'SW Plan'!$H156)/('SW Plan'!$H$146-'SW Plan'!$G$146+1),0),0)</f>
        <v>0</v>
      </c>
      <c r="H106" s="222">
        <f>G106+IF('SW Plan'!$E$146="Activate",IF(AND(H$3&gt;='SW Plan'!$G$146,H$3&lt;'SW Plan'!$H$146+1),('SW Plan'!$G149*'SW Plan'!$H149*'SW Plan'!$H156)/('SW Plan'!$H$146-'SW Plan'!$G$146+1),0),0)</f>
        <v>0</v>
      </c>
      <c r="I106" s="222">
        <f>H106+IF('SW Plan'!$E$146="Activate",IF(AND(I$3&gt;='SW Plan'!$G$146,I$3&lt;'SW Plan'!$H$146+1),('SW Plan'!$G149*'SW Plan'!$H149*'SW Plan'!$H156)/('SW Plan'!$H$146-'SW Plan'!$G$146+1),0),0)</f>
        <v>0</v>
      </c>
      <c r="J106" s="222">
        <f>I106+IF('SW Plan'!$E$146="Activate",IF(AND(J$3&gt;='SW Plan'!$G$146,J$3&lt;'SW Plan'!$H$146+1),('SW Plan'!$G149*'SW Plan'!$H149*'SW Plan'!$H156)/('SW Plan'!$H$146-'SW Plan'!$G$146+1),0),0)</f>
        <v>0</v>
      </c>
      <c r="K106" s="222">
        <f>J106+IF('SW Plan'!$E$146="Activate",IF(AND(K$3&gt;='SW Plan'!$G$146,K$3&lt;'SW Plan'!$H$146+1),('SW Plan'!$G149*'SW Plan'!$H149*'SW Plan'!$H156)/('SW Plan'!$H$146-'SW Plan'!$G$146+1),0),0)</f>
        <v>0</v>
      </c>
      <c r="L106" s="222">
        <f>K106+IF('SW Plan'!$E$146="Activate",IF(AND(L$3&gt;='SW Plan'!$G$146,L$3&lt;'SW Plan'!$H$146+1),('SW Plan'!$G149*'SW Plan'!$H149*'SW Plan'!$H156)/('SW Plan'!$H$146-'SW Plan'!$G$146+1),0),0)</f>
        <v>0</v>
      </c>
      <c r="M106" s="222">
        <f>L106+IF('SW Plan'!$E$146="Activate",IF(AND(M$3&gt;='SW Plan'!$G$146,M$3&lt;'SW Plan'!$H$146+1),('SW Plan'!$G149*'SW Plan'!$H149*'SW Plan'!$H156)/('SW Plan'!$H$146-'SW Plan'!$G$146+1),0),0)</f>
        <v>0</v>
      </c>
      <c r="N106" s="222">
        <f>M106+IF('SW Plan'!$E$146="Activate",IF(AND(N$3&gt;='SW Plan'!$G$146,N$3&lt;'SW Plan'!$H$146+1),('SW Plan'!$G149*'SW Plan'!$H149*'SW Plan'!$H156)/('SW Plan'!$H$146-'SW Plan'!$G$146+1),0),0)</f>
        <v>0</v>
      </c>
      <c r="O106" s="222">
        <f>N106+IF('SW Plan'!$E$146="Activate",IF(AND(O$3&gt;='SW Plan'!$G$146,O$3&lt;'SW Plan'!$H$146+1),('SW Plan'!$G149*'SW Plan'!$H149*'SW Plan'!$H156)/('SW Plan'!$H$146-'SW Plan'!$G$146+1),0),0)</f>
        <v>0</v>
      </c>
      <c r="P106" s="222">
        <f>O106+IF('SW Plan'!$E$146="Activate",IF(AND(P$3&gt;='SW Plan'!$G$146,P$3&lt;'SW Plan'!$H$146+1),('SW Plan'!$G149*'SW Plan'!$H149*'SW Plan'!$H156)/('SW Plan'!$H$146-'SW Plan'!$G$146+1),0),0)</f>
        <v>0</v>
      </c>
    </row>
    <row r="107" spans="1:16" s="170" customFormat="1" x14ac:dyDescent="0.25">
      <c r="A107" s="43"/>
      <c r="B107" s="43"/>
      <c r="C107" s="456"/>
      <c r="D107" s="73" t="s">
        <v>1071</v>
      </c>
      <c r="E107" s="909"/>
      <c r="F107" s="222">
        <v>0</v>
      </c>
      <c r="G107" s="222">
        <f>F107+IF('SW Plan'!$E$146="Activate",IF(AND(G$3&gt;='SW Plan'!$G$146,G$3&lt;'SW Plan'!$H$146+1),('SW Plan'!$G150*'SW Plan'!$H150*'SW Plan'!$H157)/('SW Plan'!$H$146-'SW Plan'!$G$146+1),0),0)</f>
        <v>0</v>
      </c>
      <c r="H107" s="222">
        <f>G107+IF('SW Plan'!$E$146="Activate",IF(AND(H$3&gt;='SW Plan'!$G$146,H$3&lt;'SW Plan'!$H$146+1),('SW Plan'!$G150*'SW Plan'!$H150*'SW Plan'!$H157)/('SW Plan'!$H$146-'SW Plan'!$G$146+1),0),0)</f>
        <v>0</v>
      </c>
      <c r="I107" s="222">
        <f>H107+IF('SW Plan'!$E$146="Activate",IF(AND(I$3&gt;='SW Plan'!$G$146,I$3&lt;'SW Plan'!$H$146+1),('SW Plan'!$G150*'SW Plan'!$H150*'SW Plan'!$H157)/('SW Plan'!$H$146-'SW Plan'!$G$146+1),0),0)</f>
        <v>0</v>
      </c>
      <c r="J107" s="222">
        <f>I107+IF('SW Plan'!$E$146="Activate",IF(AND(J$3&gt;='SW Plan'!$G$146,J$3&lt;'SW Plan'!$H$146+1),('SW Plan'!$G150*'SW Plan'!$H150*'SW Plan'!$H157)/('SW Plan'!$H$146-'SW Plan'!$G$146+1),0),0)</f>
        <v>0</v>
      </c>
      <c r="K107" s="222">
        <f>J107+IF('SW Plan'!$E$146="Activate",IF(AND(K$3&gt;='SW Plan'!$G$146,K$3&lt;'SW Plan'!$H$146+1),('SW Plan'!$G150*'SW Plan'!$H150*'SW Plan'!$H157)/('SW Plan'!$H$146-'SW Plan'!$G$146+1),0),0)</f>
        <v>0</v>
      </c>
      <c r="L107" s="222">
        <f>K107+IF('SW Plan'!$E$146="Activate",IF(AND(L$3&gt;='SW Plan'!$G$146,L$3&lt;'SW Plan'!$H$146+1),('SW Plan'!$G150*'SW Plan'!$H150*'SW Plan'!$H157)/('SW Plan'!$H$146-'SW Plan'!$G$146+1),0),0)</f>
        <v>0</v>
      </c>
      <c r="M107" s="222">
        <f>L107+IF('SW Plan'!$E$146="Activate",IF(AND(M$3&gt;='SW Plan'!$G$146,M$3&lt;'SW Plan'!$H$146+1),('SW Plan'!$G150*'SW Plan'!$H150*'SW Plan'!$H157)/('SW Plan'!$H$146-'SW Plan'!$G$146+1),0),0)</f>
        <v>0</v>
      </c>
      <c r="N107" s="222">
        <f>M107+IF('SW Plan'!$E$146="Activate",IF(AND(N$3&gt;='SW Plan'!$G$146,N$3&lt;'SW Plan'!$H$146+1),('SW Plan'!$G150*'SW Plan'!$H150*'SW Plan'!$H157)/('SW Plan'!$H$146-'SW Plan'!$G$146+1),0),0)</f>
        <v>0</v>
      </c>
      <c r="O107" s="222">
        <f>N107+IF('SW Plan'!$E$146="Activate",IF(AND(O$3&gt;='SW Plan'!$G$146,O$3&lt;'SW Plan'!$H$146+1),('SW Plan'!$G150*'SW Plan'!$H150*'SW Plan'!$H157)/('SW Plan'!$H$146-'SW Plan'!$G$146+1),0),0)</f>
        <v>0</v>
      </c>
      <c r="P107" s="222">
        <f>O107+IF('SW Plan'!$E$146="Activate",IF(AND(P$3&gt;='SW Plan'!$G$146,P$3&lt;'SW Plan'!$H$146+1),('SW Plan'!$G150*'SW Plan'!$H150*'SW Plan'!$H157)/('SW Plan'!$H$146-'SW Plan'!$G$146+1),0),0)</f>
        <v>0</v>
      </c>
    </row>
    <row r="108" spans="1:16" s="170" customFormat="1" x14ac:dyDescent="0.25">
      <c r="A108" s="43"/>
      <c r="B108" s="43"/>
      <c r="C108" s="456"/>
      <c r="D108" s="73" t="s">
        <v>1070</v>
      </c>
      <c r="E108" s="909"/>
      <c r="F108" s="222">
        <v>0</v>
      </c>
      <c r="G108" s="222">
        <f>F108+IF('SW Plan'!$E$146="Activate",IF(AND(G$3&gt;='SW Plan'!$G$146,G$3&lt;'SW Plan'!$H$146+1),('SW Plan'!$G151*'SW Plan'!$H151*'SW Plan'!$H158)/('SW Plan'!$H$146-'SW Plan'!$G$146+1),0),0)</f>
        <v>0</v>
      </c>
      <c r="H108" s="222">
        <f>G108+IF('SW Plan'!$E$146="Activate",IF(AND(H$3&gt;='SW Plan'!$G$146,H$3&lt;'SW Plan'!$H$146+1),('SW Plan'!$G151*'SW Plan'!$H151*'SW Plan'!$H158)/('SW Plan'!$H$146-'SW Plan'!$G$146+1),0),0)</f>
        <v>0</v>
      </c>
      <c r="I108" s="222">
        <f>H108+IF('SW Plan'!$E$146="Activate",IF(AND(I$3&gt;='SW Plan'!$G$146,I$3&lt;'SW Plan'!$H$146+1),('SW Plan'!$G151*'SW Plan'!$H151*'SW Plan'!$H158)/('SW Plan'!$H$146-'SW Plan'!$G$146+1),0),0)</f>
        <v>0</v>
      </c>
      <c r="J108" s="222">
        <f>I108+IF('SW Plan'!$E$146="Activate",IF(AND(J$3&gt;='SW Plan'!$G$146,J$3&lt;'SW Plan'!$H$146+1),('SW Plan'!$G151*'SW Plan'!$H151*'SW Plan'!$H158)/('SW Plan'!$H$146-'SW Plan'!$G$146+1),0),0)</f>
        <v>0</v>
      </c>
      <c r="K108" s="222">
        <f>J108+IF('SW Plan'!$E$146="Activate",IF(AND(K$3&gt;='SW Plan'!$G$146,K$3&lt;'SW Plan'!$H$146+1),('SW Plan'!$G151*'SW Plan'!$H151*'SW Plan'!$H158)/('SW Plan'!$H$146-'SW Plan'!$G$146+1),0),0)</f>
        <v>0</v>
      </c>
      <c r="L108" s="222">
        <f>K108+IF('SW Plan'!$E$146="Activate",IF(AND(L$3&gt;='SW Plan'!$G$146,L$3&lt;'SW Plan'!$H$146+1),('SW Plan'!$G151*'SW Plan'!$H151*'SW Plan'!$H158)/('SW Plan'!$H$146-'SW Plan'!$G$146+1),0),0)</f>
        <v>0</v>
      </c>
      <c r="M108" s="222">
        <f>L108+IF('SW Plan'!$E$146="Activate",IF(AND(M$3&gt;='SW Plan'!$G$146,M$3&lt;'SW Plan'!$H$146+1),('SW Plan'!$G151*'SW Plan'!$H151*'SW Plan'!$H158)/('SW Plan'!$H$146-'SW Plan'!$G$146+1),0),0)</f>
        <v>0</v>
      </c>
      <c r="N108" s="222">
        <f>M108+IF('SW Plan'!$E$146="Activate",IF(AND(N$3&gt;='SW Plan'!$G$146,N$3&lt;'SW Plan'!$H$146+1),('SW Plan'!$G151*'SW Plan'!$H151*'SW Plan'!$H158)/('SW Plan'!$H$146-'SW Plan'!$G$146+1),0),0)</f>
        <v>0</v>
      </c>
      <c r="O108" s="222">
        <f>N108+IF('SW Plan'!$E$146="Activate",IF(AND(O$3&gt;='SW Plan'!$G$146,O$3&lt;'SW Plan'!$H$146+1),('SW Plan'!$G151*'SW Plan'!$H151*'SW Plan'!$H158)/('SW Plan'!$H$146-'SW Plan'!$G$146+1),0),0)</f>
        <v>0</v>
      </c>
      <c r="P108" s="222">
        <f>O108+IF('SW Plan'!$E$146="Activate",IF(AND(P$3&gt;='SW Plan'!$G$146,P$3&lt;'SW Plan'!$H$146+1),('SW Plan'!$G151*'SW Plan'!$H151*'SW Plan'!$H158)/('SW Plan'!$H$146-'SW Plan'!$G$146+1),0),0)</f>
        <v>0</v>
      </c>
    </row>
    <row r="109" spans="1:16" s="170" customFormat="1" x14ac:dyDescent="0.25">
      <c r="A109" s="43"/>
      <c r="B109" s="43"/>
      <c r="C109" s="456"/>
      <c r="D109" s="73" t="s">
        <v>1069</v>
      </c>
      <c r="E109" s="909"/>
      <c r="F109" s="222">
        <v>0</v>
      </c>
      <c r="G109" s="222">
        <f>F109+IF('SW Plan'!$E$146="Activate",IF(AND(G$3&gt;='SW Plan'!$G$146,G$3&lt;'SW Plan'!$H$146+1),('SW Plan'!$G152*'SW Plan'!$H152*'SW Plan'!$H159)/('SW Plan'!$H$146-'SW Plan'!$G$146+1),0),0)</f>
        <v>0</v>
      </c>
      <c r="H109" s="222">
        <f>G109+IF('SW Plan'!$E$146="Activate",IF(AND(H$3&gt;='SW Plan'!$G$146,H$3&lt;'SW Plan'!$H$146+1),('SW Plan'!$G152*'SW Plan'!$H152*'SW Plan'!$H159)/('SW Plan'!$H$146-'SW Plan'!$G$146+1),0),0)</f>
        <v>0</v>
      </c>
      <c r="I109" s="222">
        <f>H109+IF('SW Plan'!$E$146="Activate",IF(AND(I$3&gt;='SW Plan'!$G$146,I$3&lt;'SW Plan'!$H$146+1),('SW Plan'!$G152*'SW Plan'!$H152*'SW Plan'!$H159)/('SW Plan'!$H$146-'SW Plan'!$G$146+1),0),0)</f>
        <v>0</v>
      </c>
      <c r="J109" s="222">
        <f>I109+IF('SW Plan'!$E$146="Activate",IF(AND(J$3&gt;='SW Plan'!$G$146,J$3&lt;'SW Plan'!$H$146+1),('SW Plan'!$G152*'SW Plan'!$H152*'SW Plan'!$H159)/('SW Plan'!$H$146-'SW Plan'!$G$146+1),0),0)</f>
        <v>0</v>
      </c>
      <c r="K109" s="222">
        <f>J109+IF('SW Plan'!$E$146="Activate",IF(AND(K$3&gt;='SW Plan'!$G$146,K$3&lt;'SW Plan'!$H$146+1),('SW Plan'!$G152*'SW Plan'!$H152*'SW Plan'!$H159)/('SW Plan'!$H$146-'SW Plan'!$G$146+1),0),0)</f>
        <v>0</v>
      </c>
      <c r="L109" s="222">
        <f>K109+IF('SW Plan'!$E$146="Activate",IF(AND(L$3&gt;='SW Plan'!$G$146,L$3&lt;'SW Plan'!$H$146+1),('SW Plan'!$G152*'SW Plan'!$H152*'SW Plan'!$H159)/('SW Plan'!$H$146-'SW Plan'!$G$146+1),0),0)</f>
        <v>0</v>
      </c>
      <c r="M109" s="222">
        <f>L109+IF('SW Plan'!$E$146="Activate",IF(AND(M$3&gt;='SW Plan'!$G$146,M$3&lt;'SW Plan'!$H$146+1),('SW Plan'!$G152*'SW Plan'!$H152*'SW Plan'!$H159)/('SW Plan'!$H$146-'SW Plan'!$G$146+1),0),0)</f>
        <v>0</v>
      </c>
      <c r="N109" s="222">
        <f>M109+IF('SW Plan'!$E$146="Activate",IF(AND(N$3&gt;='SW Plan'!$G$146,N$3&lt;'SW Plan'!$H$146+1),('SW Plan'!$G152*'SW Plan'!$H152*'SW Plan'!$H159)/('SW Plan'!$H$146-'SW Plan'!$G$146+1),0),0)</f>
        <v>0</v>
      </c>
      <c r="O109" s="222">
        <f>N109+IF('SW Plan'!$E$146="Activate",IF(AND(O$3&gt;='SW Plan'!$G$146,O$3&lt;'SW Plan'!$H$146+1),('SW Plan'!$G152*'SW Plan'!$H152*'SW Plan'!$H159)/('SW Plan'!$H$146-'SW Plan'!$G$146+1),0),0)</f>
        <v>0</v>
      </c>
      <c r="P109" s="222">
        <f>O109+IF('SW Plan'!$E$146="Activate",IF(AND(P$3&gt;='SW Plan'!$G$146,P$3&lt;'SW Plan'!$H$146+1),('SW Plan'!$G152*'SW Plan'!$H152*'SW Plan'!$H159)/('SW Plan'!$H$146-'SW Plan'!$G$146+1),0),0)</f>
        <v>0</v>
      </c>
    </row>
    <row r="110" spans="1:16" s="170" customFormat="1" x14ac:dyDescent="0.25">
      <c r="A110" s="43"/>
      <c r="B110" s="43"/>
      <c r="C110" s="456"/>
      <c r="D110" s="73" t="s">
        <v>1068</v>
      </c>
      <c r="E110" s="909"/>
      <c r="F110" s="222">
        <v>0</v>
      </c>
      <c r="G110" s="222">
        <f>F110+IF('SW Plan'!$E$146="Activate",IF(AND(G$3&gt;='SW Plan'!$G$146,G$3&lt;'SW Plan'!$H$146+1),('SW Plan'!$G153*'SW Plan'!$H153*'SW Plan'!$H160)/('SW Plan'!$H$146-'SW Plan'!$G$146+1),0),0)</f>
        <v>0</v>
      </c>
      <c r="H110" s="222">
        <f>G110+IF('SW Plan'!$E$146="Activate",IF(AND(H$3&gt;='SW Plan'!$G$146,H$3&lt;'SW Plan'!$H$146+1),('SW Plan'!$G153*'SW Plan'!$H153*'SW Plan'!$H160)/('SW Plan'!$H$146-'SW Plan'!$G$146+1),0),0)</f>
        <v>0</v>
      </c>
      <c r="I110" s="222">
        <f>H110+IF('SW Plan'!$E$146="Activate",IF(AND(I$3&gt;='SW Plan'!$G$146,I$3&lt;'SW Plan'!$H$146+1),('SW Plan'!$G153*'SW Plan'!$H153*'SW Plan'!$H160)/('SW Plan'!$H$146-'SW Plan'!$G$146+1),0),0)</f>
        <v>0</v>
      </c>
      <c r="J110" s="222">
        <f>I110+IF('SW Plan'!$E$146="Activate",IF(AND(J$3&gt;='SW Plan'!$G$146,J$3&lt;'SW Plan'!$H$146+1),('SW Plan'!$G153*'SW Plan'!$H153*'SW Plan'!$H160)/('SW Plan'!$H$146-'SW Plan'!$G$146+1),0),0)</f>
        <v>0</v>
      </c>
      <c r="K110" s="222">
        <f>J110+IF('SW Plan'!$E$146="Activate",IF(AND(K$3&gt;='SW Plan'!$G$146,K$3&lt;'SW Plan'!$H$146+1),('SW Plan'!$G153*'SW Plan'!$H153*'SW Plan'!$H160)/('SW Plan'!$H$146-'SW Plan'!$G$146+1),0),0)</f>
        <v>0</v>
      </c>
      <c r="L110" s="222">
        <f>K110+IF('SW Plan'!$E$146="Activate",IF(AND(L$3&gt;='SW Plan'!$G$146,L$3&lt;'SW Plan'!$H$146+1),('SW Plan'!$G153*'SW Plan'!$H153*'SW Plan'!$H160)/('SW Plan'!$H$146-'SW Plan'!$G$146+1),0),0)</f>
        <v>0</v>
      </c>
      <c r="M110" s="222">
        <f>L110+IF('SW Plan'!$E$146="Activate",IF(AND(M$3&gt;='SW Plan'!$G$146,M$3&lt;'SW Plan'!$H$146+1),('SW Plan'!$G153*'SW Plan'!$H153*'SW Plan'!$H160)/('SW Plan'!$H$146-'SW Plan'!$G$146+1),0),0)</f>
        <v>0</v>
      </c>
      <c r="N110" s="222">
        <f>M110+IF('SW Plan'!$E$146="Activate",IF(AND(N$3&gt;='SW Plan'!$G$146,N$3&lt;'SW Plan'!$H$146+1),('SW Plan'!$G153*'SW Plan'!$H153*'SW Plan'!$H160)/('SW Plan'!$H$146-'SW Plan'!$G$146+1),0),0)</f>
        <v>0</v>
      </c>
      <c r="O110" s="222">
        <f>N110+IF('SW Plan'!$E$146="Activate",IF(AND(O$3&gt;='SW Plan'!$G$146,O$3&lt;'SW Plan'!$H$146+1),('SW Plan'!$G153*'SW Plan'!$H153*'SW Plan'!$H160)/('SW Plan'!$H$146-'SW Plan'!$G$146+1),0),0)</f>
        <v>0</v>
      </c>
      <c r="P110" s="222">
        <f>O110+IF('SW Plan'!$E$146="Activate",IF(AND(P$3&gt;='SW Plan'!$G$146,P$3&lt;'SW Plan'!$H$146+1),('SW Plan'!$G153*'SW Plan'!$H153*'SW Plan'!$H160)/('SW Plan'!$H$146-'SW Plan'!$G$146+1),0),0)</f>
        <v>0</v>
      </c>
    </row>
    <row r="111" spans="1:16" s="170" customFormat="1" x14ac:dyDescent="0.25">
      <c r="A111" s="43"/>
      <c r="B111" s="43"/>
      <c r="C111" s="456"/>
      <c r="D111" s="73" t="s">
        <v>1067</v>
      </c>
      <c r="E111" s="909"/>
      <c r="F111" s="222">
        <v>0</v>
      </c>
      <c r="G111" s="222">
        <f>F111+IF('SW Plan'!$E$146="Activate",IF(AND(G$3&gt;='SW Plan'!$G$146,G$3&lt;'SW Plan'!$H$146+1),('SW Plan'!$G154*'SW Plan'!$H154*'SW Plan'!$H161)/('SW Plan'!$H$146-'SW Plan'!$G$146+1),0),0)</f>
        <v>0</v>
      </c>
      <c r="H111" s="222">
        <f>G111+IF('SW Plan'!$E$146="Activate",IF(AND(H$3&gt;='SW Plan'!$G$146,H$3&lt;'SW Plan'!$H$146+1),('SW Plan'!$G154*'SW Plan'!$H154*'SW Plan'!$H161)/('SW Plan'!$H$146-'SW Plan'!$G$146+1),0),0)</f>
        <v>0</v>
      </c>
      <c r="I111" s="222">
        <f>H111+IF('SW Plan'!$E$146="Activate",IF(AND(I$3&gt;='SW Plan'!$G$146,I$3&lt;'SW Plan'!$H$146+1),('SW Plan'!$G154*'SW Plan'!$H154*'SW Plan'!$H161)/('SW Plan'!$H$146-'SW Plan'!$G$146+1),0),0)</f>
        <v>0</v>
      </c>
      <c r="J111" s="222">
        <f>I111+IF('SW Plan'!$E$146="Activate",IF(AND(J$3&gt;='SW Plan'!$G$146,J$3&lt;'SW Plan'!$H$146+1),('SW Plan'!$G154*'SW Plan'!$H154*'SW Plan'!$H161)/('SW Plan'!$H$146-'SW Plan'!$G$146+1),0),0)</f>
        <v>0</v>
      </c>
      <c r="K111" s="222">
        <f>J111+IF('SW Plan'!$E$146="Activate",IF(AND(K$3&gt;='SW Plan'!$G$146,K$3&lt;'SW Plan'!$H$146+1),('SW Plan'!$G154*'SW Plan'!$H154*'SW Plan'!$H161)/('SW Plan'!$H$146-'SW Plan'!$G$146+1),0),0)</f>
        <v>0</v>
      </c>
      <c r="L111" s="222">
        <f>K111+IF('SW Plan'!$E$146="Activate",IF(AND(L$3&gt;='SW Plan'!$G$146,L$3&lt;'SW Plan'!$H$146+1),('SW Plan'!$G154*'SW Plan'!$H154*'SW Plan'!$H161)/('SW Plan'!$H$146-'SW Plan'!$G$146+1),0),0)</f>
        <v>0</v>
      </c>
      <c r="M111" s="222">
        <f>L111+IF('SW Plan'!$E$146="Activate",IF(AND(M$3&gt;='SW Plan'!$G$146,M$3&lt;'SW Plan'!$H$146+1),('SW Plan'!$G154*'SW Plan'!$H154*'SW Plan'!$H161)/('SW Plan'!$H$146-'SW Plan'!$G$146+1),0),0)</f>
        <v>0</v>
      </c>
      <c r="N111" s="222">
        <f>M111+IF('SW Plan'!$E$146="Activate",IF(AND(N$3&gt;='SW Plan'!$G$146,N$3&lt;'SW Plan'!$H$146+1),('SW Plan'!$G154*'SW Plan'!$H154*'SW Plan'!$H161)/('SW Plan'!$H$146-'SW Plan'!$G$146+1),0),0)</f>
        <v>0</v>
      </c>
      <c r="O111" s="222">
        <f>N111+IF('SW Plan'!$E$146="Activate",IF(AND(O$3&gt;='SW Plan'!$G$146,O$3&lt;'SW Plan'!$H$146+1),('SW Plan'!$G154*'SW Plan'!$H154*'SW Plan'!$H161)/('SW Plan'!$H$146-'SW Plan'!$G$146+1),0),0)</f>
        <v>0</v>
      </c>
      <c r="P111" s="222">
        <f>O111+IF('SW Plan'!$E$146="Activate",IF(AND(P$3&gt;='SW Plan'!$G$146,P$3&lt;'SW Plan'!$H$146+1),('SW Plan'!$G154*'SW Plan'!$H154*'SW Plan'!$H161)/('SW Plan'!$H$146-'SW Plan'!$G$146+1),0),0)</f>
        <v>0</v>
      </c>
    </row>
    <row r="112" spans="1:16" s="733" customFormat="1" x14ac:dyDescent="0.25">
      <c r="A112" s="138"/>
      <c r="B112" s="138"/>
      <c r="C112" s="135"/>
      <c r="D112" s="220" t="s">
        <v>404</v>
      </c>
      <c r="E112" s="892" t="s">
        <v>149</v>
      </c>
      <c r="F112" s="725">
        <f>SUM(F104:F111)</f>
        <v>12</v>
      </c>
      <c r="G112" s="725">
        <f t="shared" ref="G112:P112" si="46">SUM(G104:G111)</f>
        <v>12</v>
      </c>
      <c r="H112" s="725">
        <f t="shared" si="46"/>
        <v>12</v>
      </c>
      <c r="I112" s="725">
        <f t="shared" si="46"/>
        <v>12</v>
      </c>
      <c r="J112" s="725">
        <f t="shared" si="46"/>
        <v>12</v>
      </c>
      <c r="K112" s="725">
        <f t="shared" si="46"/>
        <v>12</v>
      </c>
      <c r="L112" s="725">
        <f t="shared" si="46"/>
        <v>12</v>
      </c>
      <c r="M112" s="725">
        <f t="shared" si="46"/>
        <v>12</v>
      </c>
      <c r="N112" s="725">
        <f t="shared" si="46"/>
        <v>12</v>
      </c>
      <c r="O112" s="725">
        <f t="shared" si="46"/>
        <v>12</v>
      </c>
      <c r="P112" s="725">
        <f t="shared" si="46"/>
        <v>12</v>
      </c>
    </row>
    <row r="113" spans="1:17" s="170" customFormat="1" x14ac:dyDescent="0.25">
      <c r="A113" s="43"/>
      <c r="B113" s="43"/>
      <c r="C113" s="456"/>
      <c r="D113" s="220" t="s">
        <v>403</v>
      </c>
      <c r="E113" s="892" t="s">
        <v>149</v>
      </c>
      <c r="F113" s="222">
        <f t="shared" ref="F113:P113" si="47">MIN(F83,F112)</f>
        <v>0</v>
      </c>
      <c r="G113" s="222">
        <f t="shared" si="47"/>
        <v>0</v>
      </c>
      <c r="H113" s="222">
        <f t="shared" si="47"/>
        <v>0</v>
      </c>
      <c r="I113" s="222">
        <f t="shared" si="47"/>
        <v>0</v>
      </c>
      <c r="J113" s="222">
        <f t="shared" si="47"/>
        <v>0</v>
      </c>
      <c r="K113" s="222">
        <f t="shared" si="47"/>
        <v>0</v>
      </c>
      <c r="L113" s="222">
        <f t="shared" si="47"/>
        <v>0</v>
      </c>
      <c r="M113" s="222">
        <f t="shared" si="47"/>
        <v>0</v>
      </c>
      <c r="N113" s="222">
        <f t="shared" si="47"/>
        <v>0</v>
      </c>
      <c r="O113" s="222">
        <f t="shared" si="47"/>
        <v>0</v>
      </c>
      <c r="P113" s="222">
        <f t="shared" si="47"/>
        <v>0</v>
      </c>
    </row>
    <row r="114" spans="1:17" s="124" customFormat="1" ht="15.75" customHeight="1" x14ac:dyDescent="0.25">
      <c r="A114" s="163"/>
      <c r="B114" s="163"/>
      <c r="C114" s="773"/>
      <c r="D114" s="748" t="s">
        <v>1349</v>
      </c>
      <c r="E114" s="775"/>
      <c r="F114" s="779">
        <f>IFERROR(F112/F83,0)</f>
        <v>0</v>
      </c>
      <c r="G114" s="779">
        <f t="shared" ref="G114:P114" si="48">IFERROR(G112/G83,0)</f>
        <v>0</v>
      </c>
      <c r="H114" s="779">
        <f t="shared" si="48"/>
        <v>0</v>
      </c>
      <c r="I114" s="779">
        <f t="shared" si="48"/>
        <v>0</v>
      </c>
      <c r="J114" s="779">
        <f t="shared" si="48"/>
        <v>0</v>
      </c>
      <c r="K114" s="779">
        <f t="shared" si="48"/>
        <v>0</v>
      </c>
      <c r="L114" s="779">
        <f t="shared" si="48"/>
        <v>0</v>
      </c>
      <c r="M114" s="779">
        <f t="shared" si="48"/>
        <v>0</v>
      </c>
      <c r="N114" s="779">
        <f t="shared" si="48"/>
        <v>0</v>
      </c>
      <c r="O114" s="779">
        <f t="shared" si="48"/>
        <v>0</v>
      </c>
      <c r="P114" s="779">
        <f t="shared" si="48"/>
        <v>0</v>
      </c>
      <c r="Q114" s="733"/>
    </row>
    <row r="115" spans="1:17" x14ac:dyDescent="0.25">
      <c r="A115" s="195"/>
      <c r="B115" s="195"/>
      <c r="C115" s="228"/>
      <c r="D115" s="231" t="s">
        <v>407</v>
      </c>
      <c r="E115" s="879"/>
      <c r="F115" s="216"/>
      <c r="G115" s="217"/>
      <c r="H115" s="217"/>
      <c r="I115" s="217"/>
      <c r="J115" s="217"/>
      <c r="K115" s="217"/>
      <c r="L115" s="217"/>
      <c r="M115" s="217"/>
      <c r="N115" s="217"/>
      <c r="O115" s="217"/>
      <c r="P115" s="217"/>
    </row>
    <row r="116" spans="1:17" ht="30" x14ac:dyDescent="0.25">
      <c r="C116" s="135"/>
      <c r="D116" s="312" t="s">
        <v>919</v>
      </c>
      <c r="E116" s="1532">
        <f>'WSS Profile'!G440</f>
        <v>0</v>
      </c>
      <c r="F116" s="219">
        <f>F113*$E$116</f>
        <v>0</v>
      </c>
      <c r="G116" s="194">
        <f>G113*$E$116</f>
        <v>0</v>
      </c>
      <c r="H116" s="194">
        <f t="shared" ref="H116:P116" si="49">H113*$E$116</f>
        <v>0</v>
      </c>
      <c r="I116" s="194">
        <f t="shared" si="49"/>
        <v>0</v>
      </c>
      <c r="J116" s="194">
        <f t="shared" si="49"/>
        <v>0</v>
      </c>
      <c r="K116" s="194">
        <f t="shared" si="49"/>
        <v>0</v>
      </c>
      <c r="L116" s="194">
        <f t="shared" si="49"/>
        <v>0</v>
      </c>
      <c r="M116" s="194">
        <f t="shared" si="49"/>
        <v>0</v>
      </c>
      <c r="N116" s="194">
        <f t="shared" si="49"/>
        <v>0</v>
      </c>
      <c r="O116" s="194">
        <f t="shared" si="49"/>
        <v>0</v>
      </c>
      <c r="P116" s="194">
        <f t="shared" si="49"/>
        <v>0</v>
      </c>
    </row>
    <row r="117" spans="1:17" x14ac:dyDescent="0.25">
      <c r="A117" s="195"/>
      <c r="B117" s="195"/>
      <c r="C117" s="214"/>
      <c r="D117" s="218" t="s">
        <v>408</v>
      </c>
      <c r="E117" s="879"/>
      <c r="F117" s="879"/>
      <c r="G117" s="879"/>
      <c r="H117" s="879"/>
      <c r="I117" s="879"/>
      <c r="J117" s="879"/>
      <c r="K117" s="879"/>
      <c r="L117" s="879"/>
      <c r="M117" s="879"/>
      <c r="N117" s="879"/>
      <c r="O117" s="879"/>
      <c r="P117" s="879"/>
    </row>
    <row r="118" spans="1:17" ht="30" x14ac:dyDescent="0.25">
      <c r="C118" s="31"/>
      <c r="D118" s="731" t="s">
        <v>405</v>
      </c>
      <c r="E118" s="892" t="s">
        <v>149</v>
      </c>
      <c r="F118" s="219">
        <f t="shared" ref="F118:P118" si="50">F113-F116</f>
        <v>0</v>
      </c>
      <c r="G118" s="219">
        <f t="shared" si="50"/>
        <v>0</v>
      </c>
      <c r="H118" s="219">
        <f t="shared" si="50"/>
        <v>0</v>
      </c>
      <c r="I118" s="219">
        <f t="shared" si="50"/>
        <v>0</v>
      </c>
      <c r="J118" s="219">
        <f t="shared" si="50"/>
        <v>0</v>
      </c>
      <c r="K118" s="219">
        <f t="shared" si="50"/>
        <v>0</v>
      </c>
      <c r="L118" s="219">
        <f t="shared" si="50"/>
        <v>0</v>
      </c>
      <c r="M118" s="219">
        <f t="shared" si="50"/>
        <v>0</v>
      </c>
      <c r="N118" s="219">
        <f t="shared" si="50"/>
        <v>0</v>
      </c>
      <c r="O118" s="219">
        <f t="shared" si="50"/>
        <v>0</v>
      </c>
      <c r="P118" s="219">
        <f t="shared" si="50"/>
        <v>0</v>
      </c>
    </row>
    <row r="119" spans="1:17" x14ac:dyDescent="0.25">
      <c r="C119" s="6"/>
      <c r="D119" s="6" t="s">
        <v>2786</v>
      </c>
      <c r="E119" s="1135">
        <f>'WSS Profile'!$G$437</f>
        <v>12</v>
      </c>
      <c r="F119" s="35">
        <f>'WSS Profile'!$G$437</f>
        <v>12</v>
      </c>
      <c r="G119" s="35">
        <f>F119+IF('SW Plan'!$E$175="Activate",IF(G$73='SW Plan'!$H$175,'SW Plan'!$H$177,0),0)</f>
        <v>12</v>
      </c>
      <c r="H119" s="35">
        <f>G119+IF('SW Plan'!$E$175="Activate",IF(H$73='SW Plan'!$H$175,'SW Plan'!$H$177,0),0)</f>
        <v>12</v>
      </c>
      <c r="I119" s="35">
        <f>H119+IF('SW Plan'!$E$175="Activate",IF(I$73='SW Plan'!$H$175,'SW Plan'!$H$177,0),0)</f>
        <v>12</v>
      </c>
      <c r="J119" s="35">
        <f>I119+IF('SW Plan'!$E$175="Activate",IF(J$73='SW Plan'!$H$175,'SW Plan'!$H$177,0),0)</f>
        <v>12</v>
      </c>
      <c r="K119" s="35">
        <f>J119+IF('SW Plan'!$E$175="Activate",IF(K$73='SW Plan'!$H$175,'SW Plan'!$H$177,0),0)</f>
        <v>12</v>
      </c>
      <c r="L119" s="35">
        <f>K119+IF('SW Plan'!$E$175="Activate",IF(L$73='SW Plan'!$H$175,'SW Plan'!$H$177,0),0)</f>
        <v>12</v>
      </c>
      <c r="M119" s="35">
        <f>L119+IF('SW Plan'!$E$175="Activate",IF(M$73='SW Plan'!$H$175,'SW Plan'!$H$177,0),0)</f>
        <v>12</v>
      </c>
      <c r="N119" s="35">
        <f>M119+IF('SW Plan'!$E$175="Activate",IF(N$73='SW Plan'!$H$175,'SW Plan'!$H$177,0),0)</f>
        <v>12</v>
      </c>
      <c r="O119" s="35">
        <f>N119+IF('SW Plan'!$E$175="Activate",IF(O$73='SW Plan'!$H$175,'SW Plan'!$H$177,0),0)</f>
        <v>12</v>
      </c>
      <c r="P119" s="35">
        <f>O119+IF('SW Plan'!$E$175="Activate",IF(P$73='SW Plan'!$H$175,'SW Plan'!$H$177,0),0)</f>
        <v>12</v>
      </c>
    </row>
    <row r="120" spans="1:17" x14ac:dyDescent="0.25">
      <c r="A120" s="27"/>
      <c r="B120" s="27"/>
      <c r="C120" s="455"/>
      <c r="D120" s="455" t="s">
        <v>2787</v>
      </c>
      <c r="E120" s="1135">
        <f>'WSS Profile'!G438</f>
        <v>0</v>
      </c>
      <c r="F120" s="1145">
        <f>'WSS Profile'!G438</f>
        <v>0</v>
      </c>
      <c r="G120" s="1145">
        <f>IF(AND('SW Plan'!$E$135="Activate",'MSW calcu'!G$153&gt;'SW Plan'!$H$135),'SW Plan'!$H$138+$F$120,$F$120)+(G119-$F$119)</f>
        <v>0</v>
      </c>
      <c r="H120" s="1145">
        <f>IF(AND('SW Plan'!$E$135="Activate",'MSW calcu'!H$153&gt;'SW Plan'!$H$135),'SW Plan'!$H$138+$F$120,$F$120)+(H119-$F$119)</f>
        <v>0</v>
      </c>
      <c r="I120" s="1145">
        <f>IF(AND('SW Plan'!$E$135="Activate",'MSW calcu'!I$153&gt;'SW Plan'!$H$135),'SW Plan'!$H$138+$F$120,$F$120)+(I119-$F$119)</f>
        <v>0</v>
      </c>
      <c r="J120" s="1145">
        <f>IF(AND('SW Plan'!$E$135="Activate",'MSW calcu'!J$153&gt;'SW Plan'!$H$135),'SW Plan'!$H$138+$F$120,$F$120)+(J119-$F$119)</f>
        <v>0</v>
      </c>
      <c r="K120" s="1145">
        <f>IF(AND('SW Plan'!$E$135="Activate",'MSW calcu'!K$153&gt;'SW Plan'!$H$135),'SW Plan'!$H$138+$F$120,$F$120)+(K119-$F$119)</f>
        <v>0</v>
      </c>
      <c r="L120" s="1145">
        <f>IF(AND('SW Plan'!$E$135="Activate",'MSW calcu'!L$153&gt;'SW Plan'!$H$135),'SW Plan'!$H$138+$F$120,$F$120)+(L119-$F$119)</f>
        <v>0</v>
      </c>
      <c r="M120" s="1145">
        <f>IF(AND('SW Plan'!$E$135="Activate",'MSW calcu'!M$153&gt;'SW Plan'!$H$135),'SW Plan'!$H$138+$F$120,$F$120)+(M119-$F$119)</f>
        <v>0</v>
      </c>
      <c r="N120" s="1145">
        <f>IF(AND('SW Plan'!$E$135="Activate",'MSW calcu'!N$153&gt;'SW Plan'!$H$135),'SW Plan'!$H$138+$F$120,$F$120)+(N119-$F$119)</f>
        <v>0</v>
      </c>
      <c r="O120" s="1145">
        <f>IF(AND('SW Plan'!$E$135="Activate",'MSW calcu'!O$153&gt;'SW Plan'!$H$135),'SW Plan'!$H$138+$F$120,$F$120)+(O119-$F$119)</f>
        <v>0</v>
      </c>
      <c r="P120" s="1145">
        <f>IF(AND('SW Plan'!$E$135="Activate",'MSW calcu'!P$153&gt;'SW Plan'!$H$135),'SW Plan'!$H$138+$F$120,$F$120)+(P119-$F$119)</f>
        <v>0</v>
      </c>
    </row>
    <row r="121" spans="1:17" s="124" customFormat="1" x14ac:dyDescent="0.25">
      <c r="A121" s="163"/>
      <c r="B121" s="163"/>
      <c r="C121" s="456"/>
      <c r="D121" s="220" t="s">
        <v>1270</v>
      </c>
      <c r="E121" s="892" t="s">
        <v>149</v>
      </c>
      <c r="F121" s="222">
        <f>MIN(F120,F118)</f>
        <v>0</v>
      </c>
      <c r="G121" s="222">
        <f>MIN(G120,G118)</f>
        <v>0</v>
      </c>
      <c r="H121" s="222">
        <f t="shared" ref="H121:P121" si="51">MIN(H120,H118)</f>
        <v>0</v>
      </c>
      <c r="I121" s="222">
        <f t="shared" si="51"/>
        <v>0</v>
      </c>
      <c r="J121" s="222">
        <f t="shared" si="51"/>
        <v>0</v>
      </c>
      <c r="K121" s="222">
        <f t="shared" si="51"/>
        <v>0</v>
      </c>
      <c r="L121" s="222">
        <f t="shared" si="51"/>
        <v>0</v>
      </c>
      <c r="M121" s="222">
        <f t="shared" si="51"/>
        <v>0</v>
      </c>
      <c r="N121" s="222">
        <f t="shared" si="51"/>
        <v>0</v>
      </c>
      <c r="O121" s="222">
        <f t="shared" si="51"/>
        <v>0</v>
      </c>
      <c r="P121" s="222">
        <f t="shared" si="51"/>
        <v>0</v>
      </c>
    </row>
    <row r="122" spans="1:17" s="124" customFormat="1" ht="15.75" customHeight="1" x14ac:dyDescent="0.25">
      <c r="A122" s="163"/>
      <c r="B122" s="163"/>
      <c r="C122" s="773"/>
      <c r="D122" s="748" t="str">
        <f>'Summary of PIP'!C171</f>
        <v>Adequacy of solid waste processing facilities</v>
      </c>
      <c r="E122" s="775"/>
      <c r="F122" s="779">
        <f>IFERROR(F120/F118,0)</f>
        <v>0</v>
      </c>
      <c r="G122" s="779">
        <f>IFERROR(G120/G118,0)</f>
        <v>0</v>
      </c>
      <c r="H122" s="779">
        <f t="shared" ref="H122:P122" si="52">IFERROR(H120/H118,0)</f>
        <v>0</v>
      </c>
      <c r="I122" s="779">
        <f t="shared" si="52"/>
        <v>0</v>
      </c>
      <c r="J122" s="779">
        <f t="shared" si="52"/>
        <v>0</v>
      </c>
      <c r="K122" s="779">
        <f t="shared" si="52"/>
        <v>0</v>
      </c>
      <c r="L122" s="779">
        <f t="shared" si="52"/>
        <v>0</v>
      </c>
      <c r="M122" s="779">
        <f t="shared" si="52"/>
        <v>0</v>
      </c>
      <c r="N122" s="779">
        <f t="shared" si="52"/>
        <v>0</v>
      </c>
      <c r="O122" s="779">
        <f t="shared" si="52"/>
        <v>0</v>
      </c>
      <c r="P122" s="779">
        <f t="shared" si="52"/>
        <v>0</v>
      </c>
      <c r="Q122" s="733"/>
    </row>
    <row r="123" spans="1:17" s="124" customFormat="1" x14ac:dyDescent="0.25">
      <c r="A123" s="163"/>
      <c r="B123" s="163"/>
      <c r="C123" s="9"/>
      <c r="D123" s="63" t="s">
        <v>1271</v>
      </c>
      <c r="E123" s="211"/>
      <c r="F123" s="9"/>
      <c r="G123" s="9"/>
      <c r="H123" s="9"/>
      <c r="I123" s="9"/>
      <c r="J123" s="9"/>
      <c r="K123" s="9"/>
      <c r="L123" s="9"/>
      <c r="M123" s="9"/>
      <c r="N123" s="9"/>
      <c r="O123" s="9"/>
      <c r="P123" s="9"/>
    </row>
    <row r="124" spans="1:17" s="124" customFormat="1" x14ac:dyDescent="0.25">
      <c r="A124" s="163"/>
      <c r="B124" s="163"/>
      <c r="C124" s="456"/>
      <c r="D124" s="73" t="s">
        <v>1272</v>
      </c>
      <c r="E124" s="79"/>
      <c r="F124" s="150">
        <f t="shared" ref="F124:P124" si="53">F121-F128</f>
        <v>0</v>
      </c>
      <c r="G124" s="150">
        <f t="shared" si="53"/>
        <v>0</v>
      </c>
      <c r="H124" s="150">
        <f t="shared" si="53"/>
        <v>0</v>
      </c>
      <c r="I124" s="150">
        <f t="shared" si="53"/>
        <v>0</v>
      </c>
      <c r="J124" s="150">
        <f t="shared" si="53"/>
        <v>0</v>
      </c>
      <c r="K124" s="150">
        <f t="shared" si="53"/>
        <v>0</v>
      </c>
      <c r="L124" s="150">
        <f t="shared" si="53"/>
        <v>0</v>
      </c>
      <c r="M124" s="150">
        <f t="shared" si="53"/>
        <v>0</v>
      </c>
      <c r="N124" s="150">
        <f t="shared" si="53"/>
        <v>0</v>
      </c>
      <c r="O124" s="150">
        <f t="shared" si="53"/>
        <v>0</v>
      </c>
      <c r="P124" s="150">
        <f t="shared" si="53"/>
        <v>0</v>
      </c>
    </row>
    <row r="125" spans="1:17" s="170" customFormat="1" x14ac:dyDescent="0.25">
      <c r="A125" s="43"/>
      <c r="B125" s="43"/>
      <c r="C125" s="141"/>
      <c r="D125" s="73" t="s">
        <v>2929</v>
      </c>
      <c r="E125" s="3967"/>
      <c r="F125" s="3968">
        <f>'WSS Profile'!G439</f>
        <v>0</v>
      </c>
      <c r="G125" s="168">
        <f>IF(AND('SW Plan'!$E$135="Activate",'MSW calcu'!G$153&gt;'SW Plan'!$H$135),'SW Plan'!$H$139,$F$125)</f>
        <v>0</v>
      </c>
      <c r="H125" s="168">
        <f>IF(AND('SW Plan'!$E$135="Activate",'MSW calcu'!H$153&gt;'SW Plan'!$H$135),'SW Plan'!$H$139,$F$125)</f>
        <v>0</v>
      </c>
      <c r="I125" s="168">
        <f>IF(AND('SW Plan'!$E$135="Activate",'MSW calcu'!I$153&gt;'SW Plan'!$H$135),'SW Plan'!$H$139,$F$125)</f>
        <v>0</v>
      </c>
      <c r="J125" s="168">
        <f>IF(AND('SW Plan'!$E$135="Activate",'MSW calcu'!J$153&gt;'SW Plan'!$H$135),'SW Plan'!$H$139,$F$125)</f>
        <v>0</v>
      </c>
      <c r="K125" s="168">
        <f>IF(AND('SW Plan'!$E$135="Activate",'MSW calcu'!K$153&gt;'SW Plan'!$H$135),'SW Plan'!$H$139,$F$125)</f>
        <v>0</v>
      </c>
      <c r="L125" s="168">
        <f>IF(AND('SW Plan'!$E$135="Activate",'MSW calcu'!L$153&gt;'SW Plan'!$H$135),'SW Plan'!$H$139,$F$125)</f>
        <v>0</v>
      </c>
      <c r="M125" s="168">
        <f>IF(AND('SW Plan'!$E$135="Activate",'MSW calcu'!M$153&gt;'SW Plan'!$H$135),'SW Plan'!$H$139,$F$125)</f>
        <v>0</v>
      </c>
      <c r="N125" s="168">
        <f>IF(AND('SW Plan'!$E$135="Activate",'MSW calcu'!N$153&gt;'SW Plan'!$H$135),'SW Plan'!$H$139,$F$125)</f>
        <v>0</v>
      </c>
      <c r="O125" s="168">
        <f>IF(AND('SW Plan'!$E$135="Activate",'MSW calcu'!O$153&gt;'SW Plan'!$H$135),'SW Plan'!$H$139,$F$125)</f>
        <v>0</v>
      </c>
      <c r="P125" s="168">
        <f>IF(AND('SW Plan'!$E$135="Activate",'MSW calcu'!P$153&gt;'SW Plan'!$H$135),'SW Plan'!$H$139,$F$125)</f>
        <v>0</v>
      </c>
    </row>
    <row r="126" spans="1:17" s="124" customFormat="1" ht="30" x14ac:dyDescent="0.25">
      <c r="A126" s="163"/>
      <c r="B126" s="163"/>
      <c r="C126" s="6"/>
      <c r="D126" s="164" t="s">
        <v>2928</v>
      </c>
      <c r="E126" s="298"/>
      <c r="F126" s="298">
        <f t="shared" ref="F126:P126" si="54">F124*$F$125</f>
        <v>0</v>
      </c>
      <c r="G126" s="298">
        <f t="shared" si="54"/>
        <v>0</v>
      </c>
      <c r="H126" s="298">
        <f t="shared" si="54"/>
        <v>0</v>
      </c>
      <c r="I126" s="298">
        <f t="shared" si="54"/>
        <v>0</v>
      </c>
      <c r="J126" s="298">
        <f t="shared" si="54"/>
        <v>0</v>
      </c>
      <c r="K126" s="298">
        <f t="shared" si="54"/>
        <v>0</v>
      </c>
      <c r="L126" s="298">
        <f t="shared" si="54"/>
        <v>0</v>
      </c>
      <c r="M126" s="298">
        <f t="shared" si="54"/>
        <v>0</v>
      </c>
      <c r="N126" s="298">
        <f t="shared" si="54"/>
        <v>0</v>
      </c>
      <c r="O126" s="298">
        <f t="shared" si="54"/>
        <v>0</v>
      </c>
      <c r="P126" s="298">
        <f t="shared" si="54"/>
        <v>0</v>
      </c>
    </row>
    <row r="127" spans="1:17" s="124" customFormat="1" x14ac:dyDescent="0.25">
      <c r="A127" s="163"/>
      <c r="B127" s="163"/>
      <c r="C127" s="9"/>
      <c r="D127" s="134" t="s">
        <v>1273</v>
      </c>
      <c r="E127" s="1134"/>
    </row>
    <row r="128" spans="1:17" s="124" customFormat="1" x14ac:dyDescent="0.25">
      <c r="A128" s="163"/>
      <c r="B128" s="163"/>
      <c r="C128" s="6"/>
      <c r="D128" s="73" t="s">
        <v>1272</v>
      </c>
      <c r="E128" s="221">
        <f>'SW Plan'!H178</f>
        <v>0</v>
      </c>
      <c r="F128" s="149">
        <f>$E$128*F121</f>
        <v>0</v>
      </c>
      <c r="G128" s="149">
        <f t="shared" ref="G128:P128" si="55">$E$128*G121</f>
        <v>0</v>
      </c>
      <c r="H128" s="149">
        <f t="shared" si="55"/>
        <v>0</v>
      </c>
      <c r="I128" s="149">
        <f t="shared" si="55"/>
        <v>0</v>
      </c>
      <c r="J128" s="149">
        <f t="shared" si="55"/>
        <v>0</v>
      </c>
      <c r="K128" s="149">
        <f t="shared" si="55"/>
        <v>0</v>
      </c>
      <c r="L128" s="149">
        <f t="shared" si="55"/>
        <v>0</v>
      </c>
      <c r="M128" s="149">
        <f t="shared" si="55"/>
        <v>0</v>
      </c>
      <c r="N128" s="149">
        <f t="shared" si="55"/>
        <v>0</v>
      </c>
      <c r="O128" s="149">
        <f t="shared" si="55"/>
        <v>0</v>
      </c>
      <c r="P128" s="149">
        <f t="shared" si="55"/>
        <v>0</v>
      </c>
    </row>
    <row r="129" spans="1:17" s="124" customFormat="1" ht="30" x14ac:dyDescent="0.25">
      <c r="A129" s="163"/>
      <c r="B129" s="163"/>
      <c r="C129" s="6"/>
      <c r="D129" s="164" t="s">
        <v>1274</v>
      </c>
      <c r="E129" s="892">
        <f>SUM('SW Plan'!H180:H182)</f>
        <v>0</v>
      </c>
      <c r="F129" s="150">
        <f>IF(F120&gt;$E$120,F128*$E$129,0)</f>
        <v>0</v>
      </c>
      <c r="G129" s="150">
        <f t="shared" ref="G129:P129" si="56">IF(G120&gt;$E$120,G128*$E$129,0)</f>
        <v>0</v>
      </c>
      <c r="H129" s="150">
        <f t="shared" si="56"/>
        <v>0</v>
      </c>
      <c r="I129" s="150">
        <f t="shared" si="56"/>
        <v>0</v>
      </c>
      <c r="J129" s="150">
        <f t="shared" si="56"/>
        <v>0</v>
      </c>
      <c r="K129" s="150">
        <f t="shared" si="56"/>
        <v>0</v>
      </c>
      <c r="L129" s="150">
        <f t="shared" si="56"/>
        <v>0</v>
      </c>
      <c r="M129" s="150">
        <f t="shared" si="56"/>
        <v>0</v>
      </c>
      <c r="N129" s="150">
        <f t="shared" si="56"/>
        <v>0</v>
      </c>
      <c r="O129" s="150">
        <f t="shared" si="56"/>
        <v>0</v>
      </c>
      <c r="P129" s="150">
        <f t="shared" si="56"/>
        <v>0</v>
      </c>
    </row>
    <row r="130" spans="1:17" s="124" customFormat="1" x14ac:dyDescent="0.25">
      <c r="A130" s="163"/>
      <c r="B130" s="163"/>
      <c r="C130" s="6"/>
      <c r="D130" s="456" t="s">
        <v>1275</v>
      </c>
      <c r="E130" s="892"/>
      <c r="F130" s="150">
        <f t="shared" ref="F130:P130" si="57">F121-F126-F129</f>
        <v>0</v>
      </c>
      <c r="G130" s="150">
        <f t="shared" si="57"/>
        <v>0</v>
      </c>
      <c r="H130" s="150">
        <f t="shared" si="57"/>
        <v>0</v>
      </c>
      <c r="I130" s="150">
        <f t="shared" si="57"/>
        <v>0</v>
      </c>
      <c r="J130" s="150">
        <f t="shared" si="57"/>
        <v>0</v>
      </c>
      <c r="K130" s="150">
        <f t="shared" si="57"/>
        <v>0</v>
      </c>
      <c r="L130" s="150">
        <f t="shared" si="57"/>
        <v>0</v>
      </c>
      <c r="M130" s="150">
        <f t="shared" si="57"/>
        <v>0</v>
      </c>
      <c r="N130" s="150">
        <f t="shared" si="57"/>
        <v>0</v>
      </c>
      <c r="O130" s="150">
        <f t="shared" si="57"/>
        <v>0</v>
      </c>
      <c r="P130" s="150">
        <f t="shared" si="57"/>
        <v>0</v>
      </c>
    </row>
    <row r="131" spans="1:17" s="124" customFormat="1" x14ac:dyDescent="0.25">
      <c r="A131" s="163"/>
      <c r="B131" s="163"/>
      <c r="C131" s="6"/>
      <c r="D131" s="456" t="s">
        <v>1276</v>
      </c>
      <c r="E131" s="892"/>
      <c r="F131" s="150">
        <f>MAX(0,F118-F120)</f>
        <v>0</v>
      </c>
      <c r="G131" s="150">
        <f>MAX(0,G118-G120)</f>
        <v>0</v>
      </c>
      <c r="H131" s="150">
        <f t="shared" ref="H131:P131" si="58">MAX(0,H118-H120)</f>
        <v>0</v>
      </c>
      <c r="I131" s="150">
        <f t="shared" si="58"/>
        <v>0</v>
      </c>
      <c r="J131" s="150">
        <f t="shared" si="58"/>
        <v>0</v>
      </c>
      <c r="K131" s="150">
        <f t="shared" si="58"/>
        <v>0</v>
      </c>
      <c r="L131" s="150">
        <f t="shared" si="58"/>
        <v>0</v>
      </c>
      <c r="M131" s="150">
        <f t="shared" si="58"/>
        <v>0</v>
      </c>
      <c r="N131" s="150">
        <f t="shared" si="58"/>
        <v>0</v>
      </c>
      <c r="O131" s="150">
        <f t="shared" si="58"/>
        <v>0</v>
      </c>
      <c r="P131" s="150">
        <f t="shared" si="58"/>
        <v>0</v>
      </c>
    </row>
    <row r="132" spans="1:17" x14ac:dyDescent="0.25">
      <c r="A132" s="195"/>
      <c r="B132" s="195"/>
      <c r="C132" s="214"/>
      <c r="D132" s="231" t="s">
        <v>409</v>
      </c>
      <c r="E132" s="879"/>
      <c r="F132" s="229"/>
      <c r="G132" s="230"/>
      <c r="H132" s="230"/>
      <c r="I132" s="230"/>
      <c r="J132" s="230"/>
      <c r="K132" s="230"/>
      <c r="L132" s="230"/>
      <c r="M132" s="230"/>
      <c r="N132" s="230"/>
      <c r="O132" s="230"/>
      <c r="P132" s="230"/>
    </row>
    <row r="133" spans="1:17" ht="30" x14ac:dyDescent="0.25">
      <c r="C133" s="6"/>
      <c r="D133" s="220" t="s">
        <v>406</v>
      </c>
      <c r="E133" s="212" t="s">
        <v>149</v>
      </c>
      <c r="F133" s="150">
        <f>F130+F131</f>
        <v>0</v>
      </c>
      <c r="G133" s="150">
        <f t="shared" ref="G133:P133" si="59">G130+G131</f>
        <v>0</v>
      </c>
      <c r="H133" s="150">
        <f t="shared" si="59"/>
        <v>0</v>
      </c>
      <c r="I133" s="150">
        <f t="shared" si="59"/>
        <v>0</v>
      </c>
      <c r="J133" s="150">
        <f t="shared" si="59"/>
        <v>0</v>
      </c>
      <c r="K133" s="150">
        <f t="shared" si="59"/>
        <v>0</v>
      </c>
      <c r="L133" s="150">
        <f t="shared" si="59"/>
        <v>0</v>
      </c>
      <c r="M133" s="150">
        <f t="shared" si="59"/>
        <v>0</v>
      </c>
      <c r="N133" s="150">
        <f t="shared" si="59"/>
        <v>0</v>
      </c>
      <c r="O133" s="150">
        <f t="shared" si="59"/>
        <v>0</v>
      </c>
      <c r="P133" s="150">
        <f t="shared" si="59"/>
        <v>0</v>
      </c>
    </row>
    <row r="134" spans="1:17" s="82" customFormat="1" x14ac:dyDescent="0.25">
      <c r="D134" s="82" t="s">
        <v>967</v>
      </c>
      <c r="E134" s="157"/>
      <c r="F134" s="154"/>
      <c r="G134" s="155"/>
      <c r="H134" s="155"/>
      <c r="I134" s="155"/>
      <c r="J134" s="155"/>
      <c r="K134" s="155"/>
      <c r="L134" s="155"/>
      <c r="M134" s="155"/>
      <c r="N134" s="155"/>
      <c r="O134" s="155"/>
      <c r="P134" s="155"/>
    </row>
    <row r="135" spans="1:17" ht="30" x14ac:dyDescent="0.25">
      <c r="C135" s="6"/>
      <c r="D135" s="73" t="s">
        <v>950</v>
      </c>
      <c r="E135" s="212" t="s">
        <v>149</v>
      </c>
      <c r="F135" s="172">
        <f>IF(OR('WSS Profile'!$G$445="Yes",IF('SW Plan'!$E$209="Activate",IF('MSW calcu'!F$73&gt;='SW Plan'!$H$209,F133,0))),F133,0)</f>
        <v>0</v>
      </c>
      <c r="G135" s="172">
        <f>IF(OR('WSS Profile'!$G$445="Yes",IF('SW Plan'!$E$209="Activate",IF('MSW calcu'!G$73&gt;='SW Plan'!$H$209,G133,0))),G133,0)</f>
        <v>0</v>
      </c>
      <c r="H135" s="172">
        <f>IF(OR('WSS Profile'!$G$445="Yes",IF('SW Plan'!$E$209="Activate",IF('MSW calcu'!H$73&gt;='SW Plan'!$H$209,H133,0))),H133,0)</f>
        <v>0</v>
      </c>
      <c r="I135" s="172">
        <f>IF(OR('WSS Profile'!$G$445="Yes",IF('SW Plan'!$E$209="Activate",IF('MSW calcu'!I$73&gt;='SW Plan'!$H$209,I133,0))),I133,0)</f>
        <v>0</v>
      </c>
      <c r="J135" s="172">
        <f>IF(OR('WSS Profile'!$G$445="Yes",IF('SW Plan'!$E$209="Activate",IF('MSW calcu'!J$73&gt;='SW Plan'!$H$209,J133,0))),J133,0)</f>
        <v>0</v>
      </c>
      <c r="K135" s="172">
        <f>IF(OR('WSS Profile'!$G$445="Yes",IF('SW Plan'!$E$209="Activate",IF('MSW calcu'!K$73&gt;='SW Plan'!$H$209,K133,0))),K133,0)</f>
        <v>0</v>
      </c>
      <c r="L135" s="172">
        <f>IF(OR('WSS Profile'!$G$445="Yes",IF('SW Plan'!$E$209="Activate",IF('MSW calcu'!L$73&gt;='SW Plan'!$H$209,L133,0))),L133,0)</f>
        <v>0</v>
      </c>
      <c r="M135" s="172">
        <f>IF(OR('WSS Profile'!$G$445="Yes",IF('SW Plan'!$E$209="Activate",IF('MSW calcu'!M$73&gt;='SW Plan'!$H$209,M133,0))),M133,0)</f>
        <v>0</v>
      </c>
      <c r="N135" s="172">
        <f>IF(OR('WSS Profile'!$G$445="Yes",IF('SW Plan'!$E$209="Activate",IF('MSW calcu'!N$73&gt;='SW Plan'!$H$209,N133,0))),N133,0)</f>
        <v>0</v>
      </c>
      <c r="O135" s="172">
        <f>IF(OR('WSS Profile'!$G$445="Yes",IF('SW Plan'!$E$209="Activate",IF('MSW calcu'!O$73&gt;='SW Plan'!$H$209,O133,0))),O133,0)</f>
        <v>0</v>
      </c>
      <c r="P135" s="172">
        <f>IF(OR('WSS Profile'!$G$445="Yes",IF('SW Plan'!$E$209="Activate",IF('MSW calcu'!P$73&gt;='SW Plan'!$H$209,P133,0))),P133,0)</f>
        <v>0</v>
      </c>
    </row>
    <row r="136" spans="1:17" ht="45" x14ac:dyDescent="0.25">
      <c r="C136" s="6"/>
      <c r="D136" s="73" t="s">
        <v>951</v>
      </c>
      <c r="E136" s="212">
        <f>IF('SW Plan'!$H$210="Yes",'SW Plan'!$H$211,0)</f>
        <v>0</v>
      </c>
      <c r="F136" s="120">
        <f>MAX(F135-IF(SUM($F135:F$135)-$E$136&gt;0,SUM($F135:F$135)-$E$136,0),0)</f>
        <v>0</v>
      </c>
      <c r="G136" s="120">
        <f>MAX(G135-IF(SUM($F135:G$135)-$E$136&gt;0,SUM($F135:G$135)-$E$136,0),0)</f>
        <v>0</v>
      </c>
      <c r="H136" s="120">
        <f>MAX(H135-IF(SUM($F135:H$135)-$E$136&gt;0,SUM($F135:H$135)-$E$136,0),0)</f>
        <v>0</v>
      </c>
      <c r="I136" s="120">
        <f>MAX(I135-IF(SUM($F135:I$135)-$E$136&gt;0,SUM($F135:I$135)-$E$136,0),0)</f>
        <v>0</v>
      </c>
      <c r="J136" s="120">
        <f>MAX(J135-IF(SUM($F135:J$135)-$E$136&gt;0,SUM($F135:J$135)-$E$136,0),0)</f>
        <v>0</v>
      </c>
      <c r="K136" s="120">
        <f>MAX(K135-IF(SUM($F135:K$135)-$E$136&gt;0,SUM($F135:K$135)-$E$136,0),0)</f>
        <v>0</v>
      </c>
      <c r="L136" s="120">
        <f>MAX(L135-IF(SUM($F135:L$135)-$E$136&gt;0,SUM($F135:L$135)-$E$136,0),0)</f>
        <v>0</v>
      </c>
      <c r="M136" s="120">
        <f>MAX(M135-IF(SUM($F135:M$135)-$E$136&gt;0,SUM($F135:M$135)-$E$136,0),0)</f>
        <v>0</v>
      </c>
      <c r="N136" s="120">
        <f>MAX(N135-IF(SUM($F135:N$135)-$E$136&gt;0,SUM($F135:N$135)-$E$136,0),0)</f>
        <v>0</v>
      </c>
      <c r="O136" s="120">
        <f>MAX(O135-IF(SUM($F135:O$135)-$E$136&gt;0,SUM($F135:O$135)-$E$136,0),0)</f>
        <v>0</v>
      </c>
      <c r="P136" s="120">
        <f>MAX(P135-IF(SUM($F135:P$135)-$E$136&gt;0,SUM($F135:P$135)-$E$136,0),0)</f>
        <v>0</v>
      </c>
    </row>
    <row r="137" spans="1:17" x14ac:dyDescent="0.25">
      <c r="C137" s="6"/>
      <c r="D137" s="73" t="s">
        <v>953</v>
      </c>
      <c r="E137" s="212"/>
      <c r="F137" s="120">
        <f>IF(AND('SW Plan'!$E$209="Activate",'MSW calcu'!F$73&gt;='SW Plan'!$H$209),F135-F136,0)</f>
        <v>0</v>
      </c>
      <c r="G137" s="120">
        <f>IF(AND('SW Plan'!$E$209="Activate",'MSW calcu'!G$73&gt;='SW Plan'!$H$209),G135-G136,0)</f>
        <v>0</v>
      </c>
      <c r="H137" s="120">
        <f>IF(AND('SW Plan'!$E$209="Activate",'MSW calcu'!H$73&gt;='SW Plan'!$H$209),H135-H136,0)</f>
        <v>0</v>
      </c>
      <c r="I137" s="120">
        <f>IF(AND('SW Plan'!$E$209="Activate",'MSW calcu'!I$73&gt;='SW Plan'!$H$209),I135-I136,0)</f>
        <v>0</v>
      </c>
      <c r="J137" s="120">
        <f>IF(AND('SW Plan'!$E$209="Activate",'MSW calcu'!J$73&gt;='SW Plan'!$H$209),J135-J136,0)</f>
        <v>0</v>
      </c>
      <c r="K137" s="120">
        <f>IF(AND('SW Plan'!$E$209="Activate",'MSW calcu'!K$73&gt;='SW Plan'!$H$209),K135-K136,0)</f>
        <v>0</v>
      </c>
      <c r="L137" s="120">
        <f>IF(AND('SW Plan'!$E$209="Activate",'MSW calcu'!L$73&gt;='SW Plan'!$H$209),L135-L136,0)</f>
        <v>0</v>
      </c>
      <c r="M137" s="120">
        <f>IF(AND('SW Plan'!$E$209="Activate",'MSW calcu'!M$73&gt;='SW Plan'!$H$209),M135-M136,0)</f>
        <v>0</v>
      </c>
      <c r="N137" s="120">
        <f>IF(AND('SW Plan'!$E$209="Activate",'MSW calcu'!N$73&gt;='SW Plan'!$H$209),N135-N136,0)</f>
        <v>0</v>
      </c>
      <c r="O137" s="120">
        <f>IF(AND('SW Plan'!$E$209="Activate",'MSW calcu'!O$73&gt;='SW Plan'!$H$209),O135-O136,0)</f>
        <v>0</v>
      </c>
      <c r="P137" s="120">
        <f>IF(AND('SW Plan'!$E$209="Activate",'MSW calcu'!P$73&gt;='SW Plan'!$H$209),P135-P136,0)</f>
        <v>0</v>
      </c>
    </row>
    <row r="138" spans="1:17" ht="45" x14ac:dyDescent="0.25">
      <c r="C138" s="6"/>
      <c r="D138" s="73" t="s">
        <v>952</v>
      </c>
      <c r="E138" s="286">
        <f>IF('SW Plan'!$E$209="Activate",'SW Plan'!$H$212,0)</f>
        <v>0</v>
      </c>
      <c r="F138" s="120">
        <f>MAX(F137-IF(SUM($F137:F$137)-$E$138&gt;0,SUM($F137:F$137)-$E$138,0),0)</f>
        <v>0</v>
      </c>
      <c r="G138" s="120">
        <f>MAX(G137-IF(SUM($F137:G$137)-$E$138&gt;0,SUM($F137:G$137)-$E$138,0),0)</f>
        <v>0</v>
      </c>
      <c r="H138" s="120">
        <f>MAX(H137-IF(SUM($F137:H$137)-$E$138&gt;0,SUM($F137:H$137)-$E$138,0),0)</f>
        <v>0</v>
      </c>
      <c r="I138" s="120">
        <f>MAX(I137-IF(SUM($F137:I$137)-$E$138&gt;0,SUM($F137:I$137)-$E$138,0),0)</f>
        <v>0</v>
      </c>
      <c r="J138" s="120">
        <f>MAX(J137-IF(SUM($F137:J$137)-$E$138&gt;0,SUM($F137:J$137)-$E$138,0),0)</f>
        <v>0</v>
      </c>
      <c r="K138" s="120">
        <f>MAX(K137-IF(SUM($F137:K$137)-$E$138&gt;0,SUM($F137:K$137)-$E$138,0),0)</f>
        <v>0</v>
      </c>
      <c r="L138" s="120">
        <f>MAX(L137-IF(SUM($F137:L$137)-$E$138&gt;0,SUM($F137:L$137)-$E$138,0),0)</f>
        <v>0</v>
      </c>
      <c r="M138" s="120">
        <f>MAX(M137-IF(SUM($F137:M$137)-$E$138&gt;0,SUM($F137:M$137)-$E$138,0),0)</f>
        <v>0</v>
      </c>
      <c r="N138" s="120">
        <f>MAX(N137-IF(SUM($F137:N$137)-$E$138&gt;0,SUM($F137:N$137)-$E$138,0),0)</f>
        <v>0</v>
      </c>
      <c r="O138" s="120">
        <f>MAX(O137-IF(SUM($F137:O$137)-$E$138&gt;0,SUM($F137:O$137)-$E$138,0),0)</f>
        <v>0</v>
      </c>
      <c r="P138" s="120">
        <f>MAX(P137-IF(SUM($F137:P$137)-$E$138&gt;0,SUM($F137:P$137)-$E$138,0),0)</f>
        <v>0</v>
      </c>
    </row>
    <row r="139" spans="1:17" s="49" customFormat="1" x14ac:dyDescent="0.25">
      <c r="A139" s="63"/>
      <c r="B139" s="63"/>
      <c r="C139" s="31"/>
      <c r="D139" s="135" t="s">
        <v>969</v>
      </c>
      <c r="E139" s="302"/>
      <c r="F139" s="126">
        <f>F138+F136</f>
        <v>0</v>
      </c>
      <c r="G139" s="126">
        <f t="shared" ref="G139:P139" si="60">G138+G136</f>
        <v>0</v>
      </c>
      <c r="H139" s="126">
        <f t="shared" si="60"/>
        <v>0</v>
      </c>
      <c r="I139" s="126">
        <f t="shared" si="60"/>
        <v>0</v>
      </c>
      <c r="J139" s="126">
        <f t="shared" si="60"/>
        <v>0</v>
      </c>
      <c r="K139" s="126">
        <f t="shared" si="60"/>
        <v>0</v>
      </c>
      <c r="L139" s="126">
        <f t="shared" si="60"/>
        <v>0</v>
      </c>
      <c r="M139" s="126">
        <f t="shared" si="60"/>
        <v>0</v>
      </c>
      <c r="N139" s="126">
        <f t="shared" si="60"/>
        <v>0</v>
      </c>
      <c r="O139" s="126">
        <f t="shared" si="60"/>
        <v>0</v>
      </c>
      <c r="P139" s="126">
        <f t="shared" si="60"/>
        <v>0</v>
      </c>
    </row>
    <row r="140" spans="1:17" s="82" customFormat="1" x14ac:dyDescent="0.25">
      <c r="D140" s="82" t="s">
        <v>968</v>
      </c>
      <c r="E140" s="153"/>
      <c r="F140" s="154"/>
      <c r="G140" s="155"/>
      <c r="H140" s="155"/>
      <c r="I140" s="155"/>
      <c r="J140" s="155"/>
      <c r="K140" s="155"/>
      <c r="L140" s="155"/>
      <c r="M140" s="155"/>
      <c r="N140" s="155"/>
      <c r="O140" s="155"/>
      <c r="P140" s="155"/>
    </row>
    <row r="141" spans="1:17" s="170" customFormat="1" ht="17.25" customHeight="1" x14ac:dyDescent="0.25">
      <c r="A141" s="43"/>
      <c r="B141" s="43"/>
      <c r="C141" s="141"/>
      <c r="D141" s="164" t="s">
        <v>433</v>
      </c>
      <c r="E141" s="212" t="s">
        <v>149</v>
      </c>
      <c r="F141" s="222">
        <f t="shared" ref="F141:P141" si="61">F133-F139</f>
        <v>0</v>
      </c>
      <c r="G141" s="222">
        <f t="shared" si="61"/>
        <v>0</v>
      </c>
      <c r="H141" s="222">
        <f t="shared" si="61"/>
        <v>0</v>
      </c>
      <c r="I141" s="222">
        <f t="shared" si="61"/>
        <v>0</v>
      </c>
      <c r="J141" s="222">
        <f t="shared" si="61"/>
        <v>0</v>
      </c>
      <c r="K141" s="222">
        <f t="shared" si="61"/>
        <v>0</v>
      </c>
      <c r="L141" s="222">
        <f t="shared" si="61"/>
        <v>0</v>
      </c>
      <c r="M141" s="222">
        <f t="shared" si="61"/>
        <v>0</v>
      </c>
      <c r="N141" s="222">
        <f t="shared" si="61"/>
        <v>0</v>
      </c>
      <c r="O141" s="222">
        <f t="shared" si="61"/>
        <v>0</v>
      </c>
      <c r="P141" s="222">
        <f t="shared" si="61"/>
        <v>0</v>
      </c>
    </row>
    <row r="142" spans="1:17" s="124" customFormat="1" ht="15.75" customHeight="1" x14ac:dyDescent="0.25">
      <c r="A142" s="163"/>
      <c r="B142" s="163"/>
      <c r="C142" s="773"/>
      <c r="D142" s="748" t="str">
        <f>'Summary of PIP'!C178</f>
        <v>Extent of solid waste disposal in open dump sites</v>
      </c>
      <c r="E142" s="1190"/>
      <c r="F142" s="779">
        <f>MIN(IFERROR(F141/F113,0),100%)</f>
        <v>0</v>
      </c>
      <c r="G142" s="779">
        <f t="shared" ref="G142:P142" si="62">MIN(IFERROR(G141/G113,0),100%)</f>
        <v>0</v>
      </c>
      <c r="H142" s="779">
        <f t="shared" si="62"/>
        <v>0</v>
      </c>
      <c r="I142" s="779">
        <f t="shared" si="62"/>
        <v>0</v>
      </c>
      <c r="J142" s="779">
        <f t="shared" si="62"/>
        <v>0</v>
      </c>
      <c r="K142" s="779">
        <f t="shared" si="62"/>
        <v>0</v>
      </c>
      <c r="L142" s="779">
        <f t="shared" si="62"/>
        <v>0</v>
      </c>
      <c r="M142" s="779">
        <f t="shared" si="62"/>
        <v>0</v>
      </c>
      <c r="N142" s="779">
        <f t="shared" si="62"/>
        <v>0</v>
      </c>
      <c r="O142" s="779">
        <f t="shared" si="62"/>
        <v>0</v>
      </c>
      <c r="P142" s="779">
        <f t="shared" si="62"/>
        <v>0</v>
      </c>
      <c r="Q142" s="733"/>
    </row>
    <row r="143" spans="1:17" x14ac:dyDescent="0.25">
      <c r="D143" s="163"/>
      <c r="E143" s="162"/>
      <c r="F143" s="163"/>
      <c r="G143" s="163"/>
      <c r="H143" s="163"/>
      <c r="I143" s="163"/>
      <c r="J143" s="163"/>
      <c r="K143" s="163"/>
      <c r="L143" s="163"/>
      <c r="M143" s="163"/>
      <c r="N143" s="163"/>
      <c r="O143" s="163"/>
      <c r="P143" s="163"/>
    </row>
    <row r="144" spans="1:17" s="124" customFormat="1" x14ac:dyDescent="0.25">
      <c r="A144" s="227"/>
      <c r="B144" s="227"/>
      <c r="C144" s="228"/>
      <c r="D144" s="231" t="s">
        <v>410</v>
      </c>
      <c r="E144" s="879"/>
      <c r="F144" s="229"/>
      <c r="G144" s="230"/>
      <c r="H144" s="230"/>
      <c r="I144" s="230"/>
      <c r="J144" s="230"/>
      <c r="K144" s="230"/>
      <c r="L144" s="230"/>
      <c r="M144" s="230"/>
      <c r="N144" s="230"/>
      <c r="O144" s="230"/>
      <c r="P144" s="230"/>
    </row>
    <row r="145" spans="1:17" s="170" customFormat="1" x14ac:dyDescent="0.25">
      <c r="A145" s="43"/>
      <c r="B145" s="43"/>
      <c r="C145" s="141"/>
      <c r="D145" s="73" t="s">
        <v>441</v>
      </c>
      <c r="E145" s="212" t="s">
        <v>149</v>
      </c>
      <c r="F145" s="222">
        <f>'WSS Profile'!$G$433/30</f>
        <v>4</v>
      </c>
      <c r="G145" s="222">
        <f t="shared" ref="G145:P145" si="63">F145+((G53+G50)*G6/1000)</f>
        <v>4</v>
      </c>
      <c r="H145" s="222">
        <f t="shared" si="63"/>
        <v>4</v>
      </c>
      <c r="I145" s="222">
        <f t="shared" si="63"/>
        <v>4</v>
      </c>
      <c r="J145" s="222">
        <f t="shared" si="63"/>
        <v>4</v>
      </c>
      <c r="K145" s="222">
        <f t="shared" si="63"/>
        <v>4</v>
      </c>
      <c r="L145" s="222">
        <f t="shared" si="63"/>
        <v>4</v>
      </c>
      <c r="M145" s="222">
        <f t="shared" si="63"/>
        <v>4</v>
      </c>
      <c r="N145" s="222">
        <f t="shared" si="63"/>
        <v>4</v>
      </c>
      <c r="O145" s="222">
        <f t="shared" si="63"/>
        <v>4</v>
      </c>
      <c r="P145" s="222">
        <f t="shared" si="63"/>
        <v>4</v>
      </c>
    </row>
    <row r="146" spans="1:17" s="124" customFormat="1" x14ac:dyDescent="0.25">
      <c r="A146" s="163"/>
      <c r="B146" s="163"/>
      <c r="C146" s="456"/>
      <c r="D146" s="73" t="s">
        <v>443</v>
      </c>
      <c r="E146" s="212" t="s">
        <v>149</v>
      </c>
      <c r="F146" s="222">
        <f t="shared" ref="F146:P146" si="64">F145+F116</f>
        <v>4</v>
      </c>
      <c r="G146" s="222">
        <f t="shared" si="64"/>
        <v>4</v>
      </c>
      <c r="H146" s="222">
        <f t="shared" si="64"/>
        <v>4</v>
      </c>
      <c r="I146" s="222">
        <f t="shared" si="64"/>
        <v>4</v>
      </c>
      <c r="J146" s="222">
        <f t="shared" si="64"/>
        <v>4</v>
      </c>
      <c r="K146" s="222">
        <f t="shared" si="64"/>
        <v>4</v>
      </c>
      <c r="L146" s="222">
        <f t="shared" si="64"/>
        <v>4</v>
      </c>
      <c r="M146" s="222">
        <f t="shared" si="64"/>
        <v>4</v>
      </c>
      <c r="N146" s="222">
        <f t="shared" si="64"/>
        <v>4</v>
      </c>
      <c r="O146" s="222">
        <f t="shared" si="64"/>
        <v>4</v>
      </c>
      <c r="P146" s="222">
        <f t="shared" si="64"/>
        <v>4</v>
      </c>
    </row>
    <row r="147" spans="1:17" x14ac:dyDescent="0.25">
      <c r="E147" s="162"/>
    </row>
    <row r="148" spans="1:17" s="92" customFormat="1" x14ac:dyDescent="0.25">
      <c r="A148" s="721"/>
      <c r="B148" s="721"/>
      <c r="C148" s="773"/>
      <c r="D148" s="773" t="s">
        <v>412</v>
      </c>
      <c r="E148" s="774"/>
      <c r="F148" s="747">
        <f>MIN(IFERROR(F83/F7,0),100%)</f>
        <v>0</v>
      </c>
      <c r="G148" s="747">
        <f t="shared" ref="G148:P148" si="65">MIN(IFERROR(G83/G7,0),100%)</f>
        <v>0</v>
      </c>
      <c r="H148" s="747">
        <f t="shared" si="65"/>
        <v>0</v>
      </c>
      <c r="I148" s="747">
        <f t="shared" si="65"/>
        <v>0</v>
      </c>
      <c r="J148" s="747">
        <f t="shared" si="65"/>
        <v>0</v>
      </c>
      <c r="K148" s="747">
        <f t="shared" si="65"/>
        <v>0</v>
      </c>
      <c r="L148" s="747">
        <f t="shared" si="65"/>
        <v>0</v>
      </c>
      <c r="M148" s="747">
        <f t="shared" si="65"/>
        <v>0</v>
      </c>
      <c r="N148" s="747">
        <f t="shared" si="65"/>
        <v>0</v>
      </c>
      <c r="O148" s="747">
        <f t="shared" si="65"/>
        <v>0</v>
      </c>
      <c r="P148" s="747">
        <f t="shared" si="65"/>
        <v>0</v>
      </c>
    </row>
    <row r="149" spans="1:17" s="92" customFormat="1" x14ac:dyDescent="0.25">
      <c r="A149" s="721"/>
      <c r="B149" s="721"/>
      <c r="C149" s="773"/>
      <c r="D149" s="773" t="s">
        <v>442</v>
      </c>
      <c r="E149" s="774"/>
      <c r="F149" s="747">
        <f>MIN(IFERROR(F146/F83,0),100%)</f>
        <v>0</v>
      </c>
      <c r="G149" s="747">
        <f t="shared" ref="G149:P149" si="66">MIN(IFERROR(G146/G83,0),100%)</f>
        <v>0</v>
      </c>
      <c r="H149" s="747">
        <f t="shared" si="66"/>
        <v>0</v>
      </c>
      <c r="I149" s="747">
        <f t="shared" si="66"/>
        <v>0</v>
      </c>
      <c r="J149" s="747">
        <f t="shared" si="66"/>
        <v>0</v>
      </c>
      <c r="K149" s="747">
        <f t="shared" si="66"/>
        <v>0</v>
      </c>
      <c r="L149" s="747">
        <f t="shared" si="66"/>
        <v>0</v>
      </c>
      <c r="M149" s="747">
        <f t="shared" si="66"/>
        <v>0</v>
      </c>
      <c r="N149" s="747">
        <f t="shared" si="66"/>
        <v>0</v>
      </c>
      <c r="O149" s="747">
        <f t="shared" si="66"/>
        <v>0</v>
      </c>
      <c r="P149" s="747">
        <f t="shared" si="66"/>
        <v>0</v>
      </c>
    </row>
    <row r="150" spans="1:17" s="733" customFormat="1" x14ac:dyDescent="0.25">
      <c r="A150" s="900"/>
      <c r="B150" s="900"/>
      <c r="C150" s="901"/>
      <c r="D150" s="757" t="s">
        <v>758</v>
      </c>
      <c r="E150" s="1202"/>
      <c r="F150" s="777">
        <f>MIN(IFERROR(F139/F133,0),100%)</f>
        <v>0</v>
      </c>
      <c r="G150" s="777">
        <f t="shared" ref="G150:P150" si="67">MIN(IFERROR(G139/G133,0),100%)</f>
        <v>0</v>
      </c>
      <c r="H150" s="777">
        <f t="shared" si="67"/>
        <v>0</v>
      </c>
      <c r="I150" s="777">
        <f t="shared" si="67"/>
        <v>0</v>
      </c>
      <c r="J150" s="777">
        <f t="shared" si="67"/>
        <v>0</v>
      </c>
      <c r="K150" s="777">
        <f t="shared" si="67"/>
        <v>0</v>
      </c>
      <c r="L150" s="777">
        <f t="shared" si="67"/>
        <v>0</v>
      </c>
      <c r="M150" s="777">
        <f t="shared" si="67"/>
        <v>0</v>
      </c>
      <c r="N150" s="777">
        <f t="shared" si="67"/>
        <v>0</v>
      </c>
      <c r="O150" s="777">
        <f t="shared" si="67"/>
        <v>0</v>
      </c>
      <c r="P150" s="777">
        <f t="shared" si="67"/>
        <v>0</v>
      </c>
      <c r="Q150" s="49"/>
    </row>
    <row r="151" spans="1:17" x14ac:dyDescent="0.25">
      <c r="D151" s="143"/>
      <c r="E151" s="1203"/>
      <c r="F151" s="143"/>
      <c r="G151" s="143"/>
      <c r="H151" s="143"/>
      <c r="I151" s="143"/>
      <c r="J151" s="143"/>
      <c r="K151" s="143"/>
      <c r="L151" s="143"/>
      <c r="M151" s="143"/>
      <c r="N151" s="143"/>
      <c r="O151" s="143"/>
      <c r="P151" s="143"/>
      <c r="Q151" s="52"/>
    </row>
    <row r="152" spans="1:17" x14ac:dyDescent="0.25">
      <c r="A152" s="11" t="s">
        <v>13</v>
      </c>
      <c r="B152" s="11"/>
      <c r="C152" s="11" t="s">
        <v>423</v>
      </c>
      <c r="D152" s="12"/>
    </row>
    <row r="153" spans="1:17" x14ac:dyDescent="0.25">
      <c r="C153" s="13" t="s">
        <v>3</v>
      </c>
      <c r="D153" s="13" t="s">
        <v>4</v>
      </c>
      <c r="E153" s="13" t="s">
        <v>33</v>
      </c>
      <c r="F153" s="13">
        <f t="shared" ref="F153:P153" si="68">F$3</f>
        <v>2014</v>
      </c>
      <c r="G153" s="13">
        <f t="shared" si="68"/>
        <v>2015</v>
      </c>
      <c r="H153" s="13">
        <f t="shared" si="68"/>
        <v>2016</v>
      </c>
      <c r="I153" s="13">
        <f t="shared" si="68"/>
        <v>2017</v>
      </c>
      <c r="J153" s="13">
        <f t="shared" si="68"/>
        <v>2018</v>
      </c>
      <c r="K153" s="13">
        <f t="shared" si="68"/>
        <v>2019</v>
      </c>
      <c r="L153" s="13">
        <f t="shared" si="68"/>
        <v>2020</v>
      </c>
      <c r="M153" s="13">
        <f t="shared" si="68"/>
        <v>2021</v>
      </c>
      <c r="N153" s="13">
        <f t="shared" si="68"/>
        <v>2022</v>
      </c>
      <c r="O153" s="13">
        <f t="shared" si="68"/>
        <v>2023</v>
      </c>
      <c r="P153" s="13">
        <f t="shared" si="68"/>
        <v>2024</v>
      </c>
    </row>
    <row r="154" spans="1:17" s="124" customFormat="1" x14ac:dyDescent="0.25">
      <c r="A154" s="163"/>
      <c r="B154" s="163"/>
      <c r="C154" s="456"/>
      <c r="D154" s="456" t="s">
        <v>415</v>
      </c>
      <c r="E154" s="286"/>
      <c r="F154" s="172">
        <v>1</v>
      </c>
      <c r="G154" s="172">
        <v>1</v>
      </c>
      <c r="H154" s="172">
        <f>G154*(1+'Finance info'!$F$22)</f>
        <v>1.03</v>
      </c>
      <c r="I154" s="172">
        <f>H154*(1+'Finance info'!$F$22)</f>
        <v>1.0609</v>
      </c>
      <c r="J154" s="172">
        <f>I154*(1+'Finance info'!$F$22)</f>
        <v>1.092727</v>
      </c>
      <c r="K154" s="172">
        <f>J154*(1+'Finance info'!$F$22)</f>
        <v>1.1255088100000001</v>
      </c>
      <c r="L154" s="172">
        <f>K154*(1+'Finance info'!$F$22)</f>
        <v>1.1592740743000001</v>
      </c>
      <c r="M154" s="172">
        <f>L154*(1+'Finance info'!$F$22)</f>
        <v>1.1940522965290001</v>
      </c>
      <c r="N154" s="172">
        <f>M154*(1+'Finance info'!$F$22)</f>
        <v>1.2298738654248702</v>
      </c>
      <c r="O154" s="172">
        <f>N154*(1+'Finance info'!$F$22)</f>
        <v>1.2667700813876164</v>
      </c>
      <c r="P154" s="172">
        <f>O154*(1+'Finance info'!$F$22)</f>
        <v>1.3047731838292449</v>
      </c>
    </row>
    <row r="155" spans="1:17" s="124" customFormat="1" x14ac:dyDescent="0.25">
      <c r="A155" s="163"/>
      <c r="B155" s="163"/>
      <c r="C155" s="135">
        <v>1</v>
      </c>
      <c r="D155" s="313" t="s">
        <v>388</v>
      </c>
      <c r="E155" s="1136">
        <f>IFERROR('SW Plan'!H180/SUM('SW Plan'!$H$180:$H$182),0)</f>
        <v>0</v>
      </c>
      <c r="F155" s="172">
        <f>$E155*F$129</f>
        <v>0</v>
      </c>
      <c r="G155" s="172">
        <f t="shared" ref="G155:P155" si="69">$E155*G$129</f>
        <v>0</v>
      </c>
      <c r="H155" s="172">
        <f t="shared" si="69"/>
        <v>0</v>
      </c>
      <c r="I155" s="172">
        <f t="shared" si="69"/>
        <v>0</v>
      </c>
      <c r="J155" s="172">
        <f t="shared" si="69"/>
        <v>0</v>
      </c>
      <c r="K155" s="172">
        <f t="shared" si="69"/>
        <v>0</v>
      </c>
      <c r="L155" s="172">
        <f t="shared" si="69"/>
        <v>0</v>
      </c>
      <c r="M155" s="172">
        <f t="shared" si="69"/>
        <v>0</v>
      </c>
      <c r="N155" s="172">
        <f t="shared" si="69"/>
        <v>0</v>
      </c>
      <c r="O155" s="172">
        <f t="shared" si="69"/>
        <v>0</v>
      </c>
      <c r="P155" s="172">
        <f t="shared" si="69"/>
        <v>0</v>
      </c>
    </row>
    <row r="156" spans="1:17" s="124" customFormat="1" x14ac:dyDescent="0.25">
      <c r="A156" s="163"/>
      <c r="B156" s="163"/>
      <c r="C156" s="135"/>
      <c r="D156" s="6" t="s">
        <v>417</v>
      </c>
      <c r="E156" s="286" t="s">
        <v>416</v>
      </c>
      <c r="F156" s="172">
        <f>F155</f>
        <v>0</v>
      </c>
      <c r="G156" s="172">
        <f>F156+IF('SW Plan'!$E$175="Activate",IF(AND(G$153&gt;='SW Plan'!$H$175,G$153&lt;'SW Plan'!$H$183+1),'SW Plan'!$H$180/('SW Plan'!$H$183-'SW Plan'!$H$175+1),0))</f>
        <v>0</v>
      </c>
      <c r="H156" s="172">
        <f>G156+IF('SW Plan'!$E$175="Activate",IF(AND(H$153&gt;='SW Plan'!$H$175,H$153&lt;'SW Plan'!$H$183+1),'SW Plan'!$H$180/('SW Plan'!$H$183-'SW Plan'!$H$175+1),0))</f>
        <v>0</v>
      </c>
      <c r="I156" s="172">
        <f>H156+IF('SW Plan'!$E$175="Activate",IF(AND(I$153&gt;='SW Plan'!$H$175,I$153&lt;'SW Plan'!$H$183+1),'SW Plan'!$H$180/('SW Plan'!$H$183-'SW Plan'!$H$175+1),0))</f>
        <v>0</v>
      </c>
      <c r="J156" s="172">
        <f>I156+IF('SW Plan'!$E$175="Activate",IF(AND(J$153&gt;='SW Plan'!$H$175,J$153&lt;'SW Plan'!$H$183+1),'SW Plan'!$H$180/('SW Plan'!$H$183-'SW Plan'!$H$175+1),0))</f>
        <v>0</v>
      </c>
      <c r="K156" s="172">
        <f>J156+IF('SW Plan'!$E$175="Activate",IF(AND(K$153&gt;='SW Plan'!$H$175,K$153&lt;'SW Plan'!$H$183+1),'SW Plan'!$H$180/('SW Plan'!$H$183-'SW Plan'!$H$175+1),0))</f>
        <v>0</v>
      </c>
      <c r="L156" s="172">
        <f>K156+IF('SW Plan'!$E$175="Activate",IF(AND(L$153&gt;='SW Plan'!$H$175,L$153&lt;'SW Plan'!$H$183+1),'SW Plan'!$H$180/('SW Plan'!$H$183-'SW Plan'!$H$175+1),0))</f>
        <v>0</v>
      </c>
      <c r="M156" s="172">
        <f>L156+IF('SW Plan'!$E$175="Activate",IF(AND(M$153&gt;='SW Plan'!$H$175,M$153&lt;'SW Plan'!$H$183+1),'SW Plan'!$H$180/('SW Plan'!$H$183-'SW Plan'!$H$175+1),0))</f>
        <v>0</v>
      </c>
      <c r="N156" s="172">
        <f>M156+IF('SW Plan'!$E$175="Activate",IF(AND(N$153&gt;='SW Plan'!$H$175,N$153&lt;'SW Plan'!$H$183+1),'SW Plan'!$H$180/('SW Plan'!$H$183-'SW Plan'!$H$175+1),0))</f>
        <v>0</v>
      </c>
      <c r="O156" s="172">
        <f>N156+IF('SW Plan'!$E$175="Activate",IF(AND(O$153&gt;='SW Plan'!$H$175,O$153&lt;'SW Plan'!$H$183+1),'SW Plan'!$H$180/('SW Plan'!$H$183-'SW Plan'!$H$175+1),0))</f>
        <v>0</v>
      </c>
      <c r="P156" s="172">
        <f>O156+IF('SW Plan'!$E$175="Activate",IF(AND(P$153&gt;='SW Plan'!$H$175,P$153&lt;'SW Plan'!$H$183+1),'SW Plan'!$H$180/('SW Plan'!$H$183-'SW Plan'!$H$175+1),0))</f>
        <v>0</v>
      </c>
    </row>
    <row r="157" spans="1:17" s="124" customFormat="1" x14ac:dyDescent="0.25">
      <c r="A157" s="163"/>
      <c r="B157" s="163"/>
      <c r="C157" s="135"/>
      <c r="D157" s="6" t="s">
        <v>418</v>
      </c>
      <c r="E157" s="286">
        <f>'SW Plan'!$H$185</f>
        <v>0</v>
      </c>
      <c r="F157" s="5800">
        <f>$E$157*F$154*F156/CurrencyMultiplier</f>
        <v>0</v>
      </c>
      <c r="G157" s="5800">
        <f>$E$157*G154*G156/CurrencyMultiplier</f>
        <v>0</v>
      </c>
      <c r="H157" s="5800">
        <f>$E$157*H154*H156/CurrencyMultiplier</f>
        <v>0</v>
      </c>
      <c r="I157" s="5799">
        <f t="shared" ref="I157:P157" si="70">$E$157*I154*I156/1000</f>
        <v>0</v>
      </c>
      <c r="J157" s="5799">
        <f t="shared" si="70"/>
        <v>0</v>
      </c>
      <c r="K157" s="5799">
        <f t="shared" si="70"/>
        <v>0</v>
      </c>
      <c r="L157" s="5799">
        <f t="shared" si="70"/>
        <v>0</v>
      </c>
      <c r="M157" s="5799">
        <f t="shared" si="70"/>
        <v>0</v>
      </c>
      <c r="N157" s="5799">
        <f t="shared" si="70"/>
        <v>0</v>
      </c>
      <c r="O157" s="5799">
        <f t="shared" si="70"/>
        <v>0</v>
      </c>
      <c r="P157" s="5799">
        <f t="shared" si="70"/>
        <v>0</v>
      </c>
      <c r="Q157" s="124" t="s">
        <v>3586</v>
      </c>
    </row>
    <row r="158" spans="1:17" s="82" customFormat="1" x14ac:dyDescent="0.25">
      <c r="E158" s="153"/>
      <c r="F158" s="154"/>
      <c r="G158" s="155"/>
      <c r="H158" s="155"/>
      <c r="I158" s="155"/>
      <c r="J158" s="155"/>
      <c r="K158" s="155"/>
      <c r="L158" s="155"/>
      <c r="M158" s="155"/>
      <c r="N158" s="155"/>
      <c r="O158" s="155"/>
      <c r="P158" s="155"/>
    </row>
    <row r="159" spans="1:17" s="124" customFormat="1" x14ac:dyDescent="0.25">
      <c r="A159" s="163"/>
      <c r="B159" s="163"/>
      <c r="C159" s="135">
        <v>2</v>
      </c>
      <c r="D159" s="313" t="s">
        <v>389</v>
      </c>
      <c r="E159" s="1136">
        <f>IFERROR('SW Plan'!H181/SUM('SW Plan'!$H$180:$H$182),0)</f>
        <v>0</v>
      </c>
      <c r="F159" s="172">
        <f>$E159*F$129</f>
        <v>0</v>
      </c>
      <c r="G159" s="172">
        <f t="shared" ref="G159:P159" si="71">$E159*G$129</f>
        <v>0</v>
      </c>
      <c r="H159" s="172">
        <f t="shared" si="71"/>
        <v>0</v>
      </c>
      <c r="I159" s="172">
        <f t="shared" si="71"/>
        <v>0</v>
      </c>
      <c r="J159" s="172">
        <f t="shared" si="71"/>
        <v>0</v>
      </c>
      <c r="K159" s="172">
        <f t="shared" si="71"/>
        <v>0</v>
      </c>
      <c r="L159" s="172">
        <f t="shared" si="71"/>
        <v>0</v>
      </c>
      <c r="M159" s="172">
        <f t="shared" si="71"/>
        <v>0</v>
      </c>
      <c r="N159" s="172">
        <f t="shared" si="71"/>
        <v>0</v>
      </c>
      <c r="O159" s="172">
        <f t="shared" si="71"/>
        <v>0</v>
      </c>
      <c r="P159" s="172">
        <f t="shared" si="71"/>
        <v>0</v>
      </c>
    </row>
    <row r="160" spans="1:17" s="124" customFormat="1" x14ac:dyDescent="0.25">
      <c r="A160" s="163"/>
      <c r="B160" s="163"/>
      <c r="C160" s="135"/>
      <c r="D160" s="6" t="s">
        <v>419</v>
      </c>
      <c r="E160" s="286" t="s">
        <v>416</v>
      </c>
      <c r="F160" s="172">
        <f>F159</f>
        <v>0</v>
      </c>
      <c r="G160" s="172">
        <f>F160+IF('SW Plan'!$E$175="Activate",IF(AND(G$153&gt;='SW Plan'!$H$175,G$153&lt;'SW Plan'!$H$183+1),'SW Plan'!$H$181/('SW Plan'!$H$183-'SW Plan'!$H$175+1),0))</f>
        <v>0</v>
      </c>
      <c r="H160" s="172">
        <f>G160+IF('SW Plan'!$E$175="Activate",IF(AND(H$153&gt;='SW Plan'!$H$175,H$153&lt;'SW Plan'!$H$183+1),'SW Plan'!$H$181/('SW Plan'!$H$183-'SW Plan'!$H$175+1),0))</f>
        <v>0</v>
      </c>
      <c r="I160" s="172">
        <f>H160+IF('SW Plan'!$E$175="Activate",IF(AND(I$153&gt;='SW Plan'!$H$175,I$153&lt;'SW Plan'!$H$183+1),'SW Plan'!$H$181/('SW Plan'!$H$183-'SW Plan'!$H$175+1),0))</f>
        <v>0</v>
      </c>
      <c r="J160" s="172">
        <f>I160+IF('SW Plan'!$E$175="Activate",IF(AND(J$153&gt;='SW Plan'!$H$175,J$153&lt;'SW Plan'!$H$183+1),'SW Plan'!$H$181/('SW Plan'!$H$183-'SW Plan'!$H$175+1),0))</f>
        <v>0</v>
      </c>
      <c r="K160" s="172">
        <f>J160+IF('SW Plan'!$E$175="Activate",IF(AND(K$153&gt;='SW Plan'!$H$175,K$153&lt;'SW Plan'!$H$183+1),'SW Plan'!$H$181/('SW Plan'!$H$183-'SW Plan'!$H$175+1),0))</f>
        <v>0</v>
      </c>
      <c r="L160" s="172">
        <f>K160+IF('SW Plan'!$E$175="Activate",IF(AND(L$153&gt;='SW Plan'!$H$175,L$153&lt;'SW Plan'!$H$183+1),'SW Plan'!$H$181/('SW Plan'!$H$183-'SW Plan'!$H$175+1),0))</f>
        <v>0</v>
      </c>
      <c r="M160" s="172">
        <f>L160+IF('SW Plan'!$E$175="Activate",IF(AND(M$153&gt;='SW Plan'!$H$175,M$153&lt;'SW Plan'!$H$183+1),'SW Plan'!$H$181/('SW Plan'!$H$183-'SW Plan'!$H$175+1),0))</f>
        <v>0</v>
      </c>
      <c r="N160" s="172">
        <f>M160+IF('SW Plan'!$E$175="Activate",IF(AND(N$153&gt;='SW Plan'!$H$175,N$153&lt;'SW Plan'!$H$183+1),'SW Plan'!$H$181/('SW Plan'!$H$183-'SW Plan'!$H$175+1),0))</f>
        <v>0</v>
      </c>
      <c r="O160" s="172">
        <f>N160+IF('SW Plan'!$E$175="Activate",IF(AND(O$153&gt;='SW Plan'!$H$175,O$153&lt;'SW Plan'!$H$183+1),'SW Plan'!$H$181/('SW Plan'!$H$183-'SW Plan'!$H$175+1),0))</f>
        <v>0</v>
      </c>
      <c r="P160" s="172">
        <f>O160+IF('SW Plan'!$E$175="Activate",IF(AND(P$153&gt;='SW Plan'!$H$175,P$153&lt;'SW Plan'!$H$183+1),'SW Plan'!$H$181/('SW Plan'!$H$183-'SW Plan'!$H$175+1),0))</f>
        <v>0</v>
      </c>
    </row>
    <row r="161" spans="1:17" s="124" customFormat="1" x14ac:dyDescent="0.25">
      <c r="A161" s="163"/>
      <c r="B161" s="163"/>
      <c r="C161" s="135"/>
      <c r="D161" s="6" t="s">
        <v>420</v>
      </c>
      <c r="E161" s="286">
        <f>'SW Plan'!$H$186</f>
        <v>0</v>
      </c>
      <c r="F161" s="5799">
        <f>$E$161*F$154*F160/1000</f>
        <v>0</v>
      </c>
      <c r="G161" s="5799">
        <f>$E$161*G$154*G160/1000</f>
        <v>0</v>
      </c>
      <c r="H161" s="5799">
        <f t="shared" ref="H161:P161" si="72">$E$161*H$154*H160/1000</f>
        <v>0</v>
      </c>
      <c r="I161" s="5799">
        <f t="shared" si="72"/>
        <v>0</v>
      </c>
      <c r="J161" s="5799">
        <f t="shared" si="72"/>
        <v>0</v>
      </c>
      <c r="K161" s="5799">
        <f t="shared" si="72"/>
        <v>0</v>
      </c>
      <c r="L161" s="5799">
        <f t="shared" si="72"/>
        <v>0</v>
      </c>
      <c r="M161" s="5799">
        <f t="shared" si="72"/>
        <v>0</v>
      </c>
      <c r="N161" s="5799">
        <f t="shared" si="72"/>
        <v>0</v>
      </c>
      <c r="O161" s="5799">
        <f t="shared" si="72"/>
        <v>0</v>
      </c>
      <c r="P161" s="5799">
        <f t="shared" si="72"/>
        <v>0</v>
      </c>
    </row>
    <row r="162" spans="1:17" s="82" customFormat="1" x14ac:dyDescent="0.25">
      <c r="E162" s="153"/>
      <c r="F162" s="154"/>
      <c r="G162" s="155"/>
      <c r="H162" s="155"/>
      <c r="I162" s="155"/>
      <c r="J162" s="155"/>
      <c r="K162" s="155"/>
      <c r="L162" s="155"/>
      <c r="M162" s="155"/>
      <c r="N162" s="155"/>
      <c r="O162" s="155"/>
      <c r="P162" s="155"/>
    </row>
    <row r="163" spans="1:17" s="124" customFormat="1" ht="30" x14ac:dyDescent="0.25">
      <c r="A163" s="163"/>
      <c r="B163" s="163"/>
      <c r="C163" s="135">
        <v>3</v>
      </c>
      <c r="D163" s="313" t="s">
        <v>390</v>
      </c>
      <c r="E163" s="1136">
        <f>IFERROR('SW Plan'!H182/SUM('SW Plan'!$H$180:$H$182),0)</f>
        <v>0</v>
      </c>
      <c r="F163" s="172">
        <f>$E163*F$129</f>
        <v>0</v>
      </c>
      <c r="G163" s="172">
        <f t="shared" ref="G163:P163" si="73">$E163*G$129</f>
        <v>0</v>
      </c>
      <c r="H163" s="172">
        <f t="shared" si="73"/>
        <v>0</v>
      </c>
      <c r="I163" s="172">
        <f t="shared" si="73"/>
        <v>0</v>
      </c>
      <c r="J163" s="172">
        <f t="shared" si="73"/>
        <v>0</v>
      </c>
      <c r="K163" s="172">
        <f t="shared" si="73"/>
        <v>0</v>
      </c>
      <c r="L163" s="172">
        <f t="shared" si="73"/>
        <v>0</v>
      </c>
      <c r="M163" s="172">
        <f t="shared" si="73"/>
        <v>0</v>
      </c>
      <c r="N163" s="172">
        <f t="shared" si="73"/>
        <v>0</v>
      </c>
      <c r="O163" s="172">
        <f t="shared" si="73"/>
        <v>0</v>
      </c>
      <c r="P163" s="172">
        <f t="shared" si="73"/>
        <v>0</v>
      </c>
    </row>
    <row r="164" spans="1:17" s="124" customFormat="1" x14ac:dyDescent="0.25">
      <c r="A164" s="163"/>
      <c r="B164" s="163"/>
      <c r="C164" s="135"/>
      <c r="D164" s="6" t="s">
        <v>421</v>
      </c>
      <c r="E164" s="286" t="s">
        <v>416</v>
      </c>
      <c r="F164" s="172">
        <f>F163</f>
        <v>0</v>
      </c>
      <c r="G164" s="172">
        <f>F164+IF('SW Plan'!$E$175="Activate",IF(AND(G$153&gt;='SW Plan'!$H$175,G$153&lt;'SW Plan'!$H$183+1),'SW Plan'!$H$182/('SW Plan'!$H$183-'SW Plan'!$H$175+1),0))</f>
        <v>0</v>
      </c>
      <c r="H164" s="172">
        <f>G164+IF('SW Plan'!$E$175="Activate",IF(AND(H$153&gt;='SW Plan'!$H$175,H$153&lt;'SW Plan'!$H$183+1),'SW Plan'!$H$182/('SW Plan'!$H$183-'SW Plan'!$H$175+1),0))</f>
        <v>0</v>
      </c>
      <c r="I164" s="172">
        <f>H164+IF('SW Plan'!$E$175="Activate",IF(AND(I$153&gt;='SW Plan'!$H$175,I$153&lt;'SW Plan'!$H$183+1),'SW Plan'!$H$182/('SW Plan'!$H$183-'SW Plan'!$H$175+1),0))</f>
        <v>0</v>
      </c>
      <c r="J164" s="172">
        <f>I164+IF('SW Plan'!$E$175="Activate",IF(AND(J$153&gt;='SW Plan'!$H$175,J$153&lt;'SW Plan'!$H$183+1),'SW Plan'!$H$182/('SW Plan'!$H$183-'SW Plan'!$H$175+1),0))</f>
        <v>0</v>
      </c>
      <c r="K164" s="172">
        <f>J164+IF('SW Plan'!$E$175="Activate",IF(AND(K$153&gt;='SW Plan'!$H$175,K$153&lt;'SW Plan'!$H$183+1),'SW Plan'!$H$182/('SW Plan'!$H$183-'SW Plan'!$H$175+1),0))</f>
        <v>0</v>
      </c>
      <c r="L164" s="172">
        <f>K164+IF('SW Plan'!$E$175="Activate",IF(AND(L$153&gt;='SW Plan'!$H$175,L$153&lt;'SW Plan'!$H$183+1),'SW Plan'!$H$182/('SW Plan'!$H$183-'SW Plan'!$H$175+1),0))</f>
        <v>0</v>
      </c>
      <c r="M164" s="172">
        <f>L164+IF('SW Plan'!$E$175="Activate",IF(AND(M$153&gt;='SW Plan'!$H$175,M$153&lt;'SW Plan'!$H$183+1),'SW Plan'!$H$182/('SW Plan'!$H$183-'SW Plan'!$H$175+1),0))</f>
        <v>0</v>
      </c>
      <c r="N164" s="172">
        <f>M164+IF('SW Plan'!$E$175="Activate",IF(AND(N$153&gt;='SW Plan'!$H$175,N$153&lt;'SW Plan'!$H$183+1),'SW Plan'!$H$182/('SW Plan'!$H$183-'SW Plan'!$H$175+1),0))</f>
        <v>0</v>
      </c>
      <c r="O164" s="172">
        <f>N164+IF('SW Plan'!$E$175="Activate",IF(AND(O$153&gt;='SW Plan'!$H$175,O$153&lt;'SW Plan'!$H$183+1),'SW Plan'!$H$182/('SW Plan'!$H$183-'SW Plan'!$H$175+1),0))</f>
        <v>0</v>
      </c>
      <c r="P164" s="172">
        <f>O164+IF('SW Plan'!$E$175="Activate",IF(AND(P$153&gt;='SW Plan'!$H$175,P$153&lt;'SW Plan'!$H$183+1),'SW Plan'!$H$182/('SW Plan'!$H$183-'SW Plan'!$H$175+1),0))</f>
        <v>0</v>
      </c>
    </row>
    <row r="165" spans="1:17" s="124" customFormat="1" x14ac:dyDescent="0.25">
      <c r="A165" s="163"/>
      <c r="B165" s="163"/>
      <c r="C165" s="135"/>
      <c r="D165" s="6" t="s">
        <v>422</v>
      </c>
      <c r="E165" s="286">
        <f>'SW Plan'!$H$187</f>
        <v>0</v>
      </c>
      <c r="F165" s="5799">
        <f>$E$165*F$154*F164/1000</f>
        <v>0</v>
      </c>
      <c r="G165" s="5799">
        <f>$E$165*G$154*G164/1000</f>
        <v>0</v>
      </c>
      <c r="H165" s="5799">
        <f t="shared" ref="H165:P165" si="74">$E$165*H$154*H164/1000</f>
        <v>0</v>
      </c>
      <c r="I165" s="5799">
        <f>$E$165*I$154*I164/1000</f>
        <v>0</v>
      </c>
      <c r="J165" s="5799">
        <f t="shared" si="74"/>
        <v>0</v>
      </c>
      <c r="K165" s="5799">
        <f t="shared" si="74"/>
        <v>0</v>
      </c>
      <c r="L165" s="5799">
        <f t="shared" si="74"/>
        <v>0</v>
      </c>
      <c r="M165" s="5799">
        <f t="shared" si="74"/>
        <v>0</v>
      </c>
      <c r="N165" s="5799">
        <f t="shared" si="74"/>
        <v>0</v>
      </c>
      <c r="O165" s="5799">
        <f t="shared" si="74"/>
        <v>0</v>
      </c>
      <c r="P165" s="5799">
        <f t="shared" si="74"/>
        <v>0</v>
      </c>
    </row>
    <row r="166" spans="1:17" x14ac:dyDescent="0.25">
      <c r="C166" s="63"/>
      <c r="E166" s="162"/>
      <c r="F166" s="163"/>
      <c r="G166" s="163"/>
      <c r="H166" s="163"/>
      <c r="I166" s="163"/>
      <c r="J166" s="163"/>
      <c r="K166" s="163"/>
      <c r="L166" s="163"/>
      <c r="M166" s="163"/>
      <c r="N166" s="163"/>
      <c r="O166" s="163"/>
      <c r="P166" s="163"/>
      <c r="Q166" s="124"/>
    </row>
    <row r="167" spans="1:17" s="124" customFormat="1" x14ac:dyDescent="0.25">
      <c r="A167" s="163"/>
      <c r="B167" s="163"/>
      <c r="C167" s="456"/>
      <c r="D167" s="456" t="s">
        <v>426</v>
      </c>
      <c r="E167" s="456"/>
      <c r="F167" s="172">
        <f>F$155+F$159+F$163</f>
        <v>0</v>
      </c>
      <c r="G167" s="172">
        <f t="shared" ref="G167:P167" si="75">G$155+G$159+G$163</f>
        <v>0</v>
      </c>
      <c r="H167" s="172">
        <f t="shared" si="75"/>
        <v>0</v>
      </c>
      <c r="I167" s="172">
        <f t="shared" si="75"/>
        <v>0</v>
      </c>
      <c r="J167" s="172">
        <f t="shared" si="75"/>
        <v>0</v>
      </c>
      <c r="K167" s="172">
        <f t="shared" si="75"/>
        <v>0</v>
      </c>
      <c r="L167" s="172">
        <f t="shared" si="75"/>
        <v>0</v>
      </c>
      <c r="M167" s="172">
        <f t="shared" si="75"/>
        <v>0</v>
      </c>
      <c r="N167" s="172">
        <f t="shared" si="75"/>
        <v>0</v>
      </c>
      <c r="O167" s="172">
        <f t="shared" si="75"/>
        <v>0</v>
      </c>
      <c r="P167" s="172">
        <f t="shared" si="75"/>
        <v>0</v>
      </c>
    </row>
    <row r="168" spans="1:17" s="92" customFormat="1" x14ac:dyDescent="0.25">
      <c r="A168" s="134"/>
      <c r="B168" s="134"/>
      <c r="C168" s="135"/>
      <c r="D168" s="456" t="s">
        <v>424</v>
      </c>
      <c r="E168" s="135"/>
      <c r="F168" s="172">
        <f>F156+F160+F164</f>
        <v>0</v>
      </c>
      <c r="G168" s="172">
        <f t="shared" ref="G168:P168" si="76">G156+G160+G164</f>
        <v>0</v>
      </c>
      <c r="H168" s="172">
        <f t="shared" si="76"/>
        <v>0</v>
      </c>
      <c r="I168" s="172">
        <f t="shared" si="76"/>
        <v>0</v>
      </c>
      <c r="J168" s="172">
        <f t="shared" si="76"/>
        <v>0</v>
      </c>
      <c r="K168" s="172">
        <f t="shared" si="76"/>
        <v>0</v>
      </c>
      <c r="L168" s="172">
        <f t="shared" si="76"/>
        <v>0</v>
      </c>
      <c r="M168" s="172">
        <f t="shared" si="76"/>
        <v>0</v>
      </c>
      <c r="N168" s="172">
        <f t="shared" si="76"/>
        <v>0</v>
      </c>
      <c r="O168" s="172">
        <f t="shared" si="76"/>
        <v>0</v>
      </c>
      <c r="P168" s="172">
        <f t="shared" si="76"/>
        <v>0</v>
      </c>
    </row>
    <row r="169" spans="1:17" s="733" customFormat="1" x14ac:dyDescent="0.25">
      <c r="A169" s="138"/>
      <c r="B169" s="138"/>
      <c r="C169" s="732"/>
      <c r="D169" s="722" t="s">
        <v>425</v>
      </c>
      <c r="E169" s="722"/>
      <c r="F169" s="842">
        <f>F157+F161+F165</f>
        <v>0</v>
      </c>
      <c r="G169" s="842">
        <f t="shared" ref="G169:P169" si="77">G157+G161+G165</f>
        <v>0</v>
      </c>
      <c r="H169" s="842">
        <f t="shared" si="77"/>
        <v>0</v>
      </c>
      <c r="I169" s="842">
        <f>I157+I161+I165</f>
        <v>0</v>
      </c>
      <c r="J169" s="842">
        <f t="shared" si="77"/>
        <v>0</v>
      </c>
      <c r="K169" s="842">
        <f t="shared" si="77"/>
        <v>0</v>
      </c>
      <c r="L169" s="842">
        <f t="shared" si="77"/>
        <v>0</v>
      </c>
      <c r="M169" s="842">
        <f t="shared" si="77"/>
        <v>0</v>
      </c>
      <c r="N169" s="842">
        <f t="shared" si="77"/>
        <v>0</v>
      </c>
      <c r="O169" s="842">
        <f t="shared" si="77"/>
        <v>0</v>
      </c>
      <c r="P169" s="842">
        <f t="shared" si="77"/>
        <v>0</v>
      </c>
    </row>
    <row r="170" spans="1:17" s="92" customFormat="1" x14ac:dyDescent="0.25">
      <c r="A170" s="721"/>
      <c r="B170" s="721"/>
      <c r="C170" s="773"/>
      <c r="D170" s="773" t="s">
        <v>155</v>
      </c>
      <c r="E170" s="775" t="s">
        <v>18</v>
      </c>
      <c r="F170" s="747">
        <f>MIN(IFERROR((F126+F129+F116)/F$83,0),100%)</f>
        <v>0</v>
      </c>
      <c r="G170" s="747">
        <f>MIN(IFERROR((G126+G129+G116)/G$83,0),100%)</f>
        <v>0</v>
      </c>
      <c r="H170" s="747">
        <f t="shared" ref="H170:P170" si="78">MIN(IFERROR((H126+H129+H116)/H$83,0),100%)</f>
        <v>0</v>
      </c>
      <c r="I170" s="747">
        <f t="shared" si="78"/>
        <v>0</v>
      </c>
      <c r="J170" s="747">
        <f t="shared" si="78"/>
        <v>0</v>
      </c>
      <c r="K170" s="747">
        <f t="shared" si="78"/>
        <v>0</v>
      </c>
      <c r="L170" s="747">
        <f t="shared" si="78"/>
        <v>0</v>
      </c>
      <c r="M170" s="747">
        <f t="shared" si="78"/>
        <v>0</v>
      </c>
      <c r="N170" s="747">
        <f t="shared" si="78"/>
        <v>0</v>
      </c>
      <c r="O170" s="747">
        <f t="shared" si="78"/>
        <v>0</v>
      </c>
      <c r="P170" s="747">
        <f t="shared" si="78"/>
        <v>0</v>
      </c>
    </row>
    <row r="171" spans="1:17" x14ac:dyDescent="0.25">
      <c r="G171" s="10"/>
      <c r="H171" s="10"/>
      <c r="I171" s="10"/>
      <c r="J171" s="10"/>
      <c r="K171" s="10"/>
      <c r="L171" s="10"/>
      <c r="M171" s="10"/>
      <c r="N171" s="10"/>
      <c r="O171" s="10"/>
      <c r="P171" s="10"/>
    </row>
    <row r="173" spans="1:17" x14ac:dyDescent="0.25">
      <c r="A173" s="11" t="s">
        <v>30</v>
      </c>
      <c r="B173" s="11"/>
      <c r="C173" s="11" t="s">
        <v>622</v>
      </c>
      <c r="D173" s="12"/>
    </row>
    <row r="174" spans="1:17" x14ac:dyDescent="0.25">
      <c r="C174" s="13" t="s">
        <v>3</v>
      </c>
      <c r="D174" s="13" t="s">
        <v>4</v>
      </c>
      <c r="E174" s="13" t="s">
        <v>33</v>
      </c>
      <c r="F174" s="13">
        <f t="shared" ref="F174:P174" si="79">F$3</f>
        <v>2014</v>
      </c>
      <c r="G174" s="13">
        <f t="shared" si="79"/>
        <v>2015</v>
      </c>
      <c r="H174" s="13">
        <f t="shared" si="79"/>
        <v>2016</v>
      </c>
      <c r="I174" s="13">
        <f t="shared" si="79"/>
        <v>2017</v>
      </c>
      <c r="J174" s="13">
        <f t="shared" si="79"/>
        <v>2018</v>
      </c>
      <c r="K174" s="13">
        <f t="shared" si="79"/>
        <v>2019</v>
      </c>
      <c r="L174" s="13">
        <f t="shared" si="79"/>
        <v>2020</v>
      </c>
      <c r="M174" s="13">
        <f t="shared" si="79"/>
        <v>2021</v>
      </c>
      <c r="N174" s="13">
        <f t="shared" si="79"/>
        <v>2022</v>
      </c>
      <c r="O174" s="13">
        <f t="shared" si="79"/>
        <v>2023</v>
      </c>
      <c r="P174" s="13">
        <f t="shared" si="79"/>
        <v>2024</v>
      </c>
    </row>
    <row r="175" spans="1:17" s="170" customFormat="1" x14ac:dyDescent="0.25">
      <c r="A175" s="204"/>
      <c r="B175" s="204"/>
      <c r="C175" s="205"/>
      <c r="D175" s="207" t="s">
        <v>615</v>
      </c>
      <c r="E175" s="205"/>
      <c r="F175" s="206"/>
      <c r="G175" s="206"/>
      <c r="H175" s="206"/>
      <c r="I175" s="206"/>
      <c r="J175" s="206"/>
      <c r="K175" s="206"/>
      <c r="L175" s="206"/>
      <c r="M175" s="206"/>
      <c r="N175" s="206"/>
      <c r="O175" s="206"/>
      <c r="P175" s="206"/>
    </row>
    <row r="176" spans="1:17" x14ac:dyDescent="0.25">
      <c r="C176" s="6"/>
      <c r="D176" s="31" t="s">
        <v>158</v>
      </c>
      <c r="E176" s="223">
        <f>E182</f>
        <v>0</v>
      </c>
      <c r="F176" s="36">
        <f>F182</f>
        <v>0</v>
      </c>
      <c r="G176" s="36"/>
      <c r="H176" s="36"/>
      <c r="I176" s="36"/>
      <c r="J176" s="36"/>
      <c r="K176" s="36"/>
      <c r="L176" s="36"/>
      <c r="M176" s="36"/>
      <c r="N176" s="36"/>
      <c r="O176" s="36"/>
      <c r="P176" s="36"/>
    </row>
    <row r="177" spans="1:17" x14ac:dyDescent="0.25">
      <c r="A177" s="27"/>
      <c r="B177" s="27"/>
      <c r="C177" s="455"/>
      <c r="D177" s="910" t="s">
        <v>178</v>
      </c>
      <c r="E177" s="942">
        <f>E183</f>
        <v>0</v>
      </c>
      <c r="F177" s="64">
        <f>F183</f>
        <v>0</v>
      </c>
      <c r="G177" s="64">
        <f t="shared" ref="G177:P177" si="80">G183</f>
        <v>0</v>
      </c>
      <c r="H177" s="64">
        <f t="shared" si="80"/>
        <v>0</v>
      </c>
      <c r="I177" s="64">
        <f t="shared" si="80"/>
        <v>0</v>
      </c>
      <c r="J177" s="64">
        <f t="shared" si="80"/>
        <v>0</v>
      </c>
      <c r="K177" s="64">
        <f t="shared" si="80"/>
        <v>0</v>
      </c>
      <c r="L177" s="64">
        <f t="shared" si="80"/>
        <v>0</v>
      </c>
      <c r="M177" s="64">
        <f t="shared" si="80"/>
        <v>0</v>
      </c>
      <c r="N177" s="64">
        <f t="shared" si="80"/>
        <v>0</v>
      </c>
      <c r="O177" s="64">
        <f t="shared" si="80"/>
        <v>0</v>
      </c>
      <c r="P177" s="64">
        <f t="shared" si="80"/>
        <v>0</v>
      </c>
    </row>
    <row r="178" spans="1:17" s="170" customFormat="1" x14ac:dyDescent="0.25">
      <c r="A178" s="43"/>
      <c r="B178" s="43"/>
      <c r="C178" s="141"/>
      <c r="D178" s="2400" t="s">
        <v>2133</v>
      </c>
      <c r="E178" s="223">
        <f>E184</f>
        <v>0</v>
      </c>
      <c r="F178" s="5816">
        <f>(F18+F20)*$F$176*$E$178/CurrencyMultiplier</f>
        <v>0</v>
      </c>
      <c r="G178" s="5816">
        <f>(G18+G20)*$F$176*$E$178/CurrencyMultiplier</f>
        <v>0</v>
      </c>
      <c r="H178" s="36">
        <f>(H18+H20)*$F$176*$E$178/CurrencyMultiplier</f>
        <v>0</v>
      </c>
      <c r="I178" s="36">
        <f>(I18+I20)*$F$176*$E$178/CurrencyMultiplier</f>
        <v>0</v>
      </c>
      <c r="J178" s="36">
        <f>(J18+J20)*$F$176*$E$178/CurrencyMultiplier</f>
        <v>0</v>
      </c>
      <c r="K178" s="36">
        <f>(K18+K20)*$F$176*$E$178/CurrencyMultiplier</f>
        <v>0</v>
      </c>
      <c r="L178" s="36">
        <f>(L18+L20)*$F$176*$E$178/CurrencyMultiplier</f>
        <v>0</v>
      </c>
      <c r="M178" s="36">
        <f>(M18+M20)*$F$176*$E$178/CurrencyMultiplier</f>
        <v>0</v>
      </c>
      <c r="N178" s="36">
        <f>(N18+N20)*$F$176*$E$178/CurrencyMultiplier</f>
        <v>0</v>
      </c>
      <c r="O178" s="36">
        <f>(O18+O20)*$F$176*$E$178/CurrencyMultiplier</f>
        <v>0</v>
      </c>
      <c r="P178" s="36">
        <f>(P18+P20)*$F$176*$E$178/CurrencyMultiplier</f>
        <v>0</v>
      </c>
    </row>
    <row r="179" spans="1:17" s="124" customFormat="1" x14ac:dyDescent="0.25">
      <c r="A179" s="163"/>
      <c r="B179" s="163"/>
      <c r="C179" s="456"/>
      <c r="D179" s="135" t="s">
        <v>157</v>
      </c>
      <c r="E179" s="223">
        <f>E185</f>
        <v>0</v>
      </c>
      <c r="F179" s="194">
        <f>F185</f>
        <v>0</v>
      </c>
      <c r="G179" s="194">
        <f t="shared" ref="G179:P179" si="81">G185</f>
        <v>0</v>
      </c>
      <c r="H179" s="194">
        <f t="shared" si="81"/>
        <v>0</v>
      </c>
      <c r="I179" s="194">
        <f t="shared" si="81"/>
        <v>0</v>
      </c>
      <c r="J179" s="194">
        <f t="shared" si="81"/>
        <v>0</v>
      </c>
      <c r="K179" s="194">
        <f t="shared" si="81"/>
        <v>0</v>
      </c>
      <c r="L179" s="194">
        <f t="shared" si="81"/>
        <v>0</v>
      </c>
      <c r="M179" s="194">
        <f t="shared" si="81"/>
        <v>0</v>
      </c>
      <c r="N179" s="194">
        <f t="shared" si="81"/>
        <v>0</v>
      </c>
      <c r="O179" s="194">
        <f t="shared" si="81"/>
        <v>0</v>
      </c>
      <c r="P179" s="194">
        <f t="shared" si="81"/>
        <v>0</v>
      </c>
    </row>
    <row r="180" spans="1:17" x14ac:dyDescent="0.25">
      <c r="A180" s="3"/>
      <c r="B180" s="3"/>
      <c r="C180" s="671"/>
      <c r="D180" s="722" t="s">
        <v>413</v>
      </c>
      <c r="E180" s="730" t="str">
        <f>CONCATENATE('General info'!E43," ",'General info'!G43)</f>
        <v>INR Lakhs</v>
      </c>
      <c r="F180" s="679">
        <f>SUM(F$177:F$179)</f>
        <v>0</v>
      </c>
      <c r="G180" s="679">
        <f t="shared" ref="G180:P180" si="82">SUM(G$177:G$179)</f>
        <v>0</v>
      </c>
      <c r="H180" s="679">
        <f t="shared" si="82"/>
        <v>0</v>
      </c>
      <c r="I180" s="679">
        <f t="shared" si="82"/>
        <v>0</v>
      </c>
      <c r="J180" s="679">
        <f t="shared" si="82"/>
        <v>0</v>
      </c>
      <c r="K180" s="679">
        <f t="shared" si="82"/>
        <v>0</v>
      </c>
      <c r="L180" s="679">
        <f t="shared" si="82"/>
        <v>0</v>
      </c>
      <c r="M180" s="679">
        <f t="shared" si="82"/>
        <v>0</v>
      </c>
      <c r="N180" s="679">
        <f t="shared" si="82"/>
        <v>0</v>
      </c>
      <c r="O180" s="679">
        <f t="shared" si="82"/>
        <v>0</v>
      </c>
      <c r="P180" s="679">
        <f t="shared" si="82"/>
        <v>0</v>
      </c>
    </row>
    <row r="181" spans="1:17" s="170" customFormat="1" x14ac:dyDescent="0.25">
      <c r="A181" s="204"/>
      <c r="B181" s="204"/>
      <c r="C181" s="205"/>
      <c r="D181" s="207" t="s">
        <v>548</v>
      </c>
      <c r="E181" s="369"/>
      <c r="F181" s="1192"/>
      <c r="G181" s="1192"/>
      <c r="H181" s="1192"/>
      <c r="I181" s="1192"/>
      <c r="J181" s="1192"/>
      <c r="K181" s="1192"/>
      <c r="L181" s="1192"/>
      <c r="M181" s="1192"/>
      <c r="N181" s="1192"/>
      <c r="O181" s="1192"/>
      <c r="P181" s="1192"/>
    </row>
    <row r="182" spans="1:17" x14ac:dyDescent="0.25">
      <c r="C182" s="6"/>
      <c r="D182" s="135" t="s">
        <v>621</v>
      </c>
      <c r="E182" s="223">
        <f>IF('WSS Profile'!$F$452="Yes",1,0)</f>
        <v>0</v>
      </c>
      <c r="F182" s="1193">
        <f>F189</f>
        <v>0</v>
      </c>
      <c r="G182" s="36"/>
      <c r="H182" s="36"/>
      <c r="I182" s="36"/>
      <c r="J182" s="36"/>
      <c r="K182" s="36"/>
      <c r="L182" s="36"/>
      <c r="M182" s="36"/>
      <c r="N182" s="36"/>
      <c r="O182" s="36"/>
      <c r="P182" s="36"/>
    </row>
    <row r="183" spans="1:17" s="170" customFormat="1" x14ac:dyDescent="0.25">
      <c r="C183" s="889"/>
      <c r="D183" s="910" t="s">
        <v>178</v>
      </c>
      <c r="E183" s="942">
        <f>IF(D183='WSS Profile'!$F$453,1,0)*$E$182</f>
        <v>0</v>
      </c>
      <c r="F183" s="5816">
        <f>Population!E$48*$F$182*$E$183/CurrencyMultiplier</f>
        <v>0</v>
      </c>
      <c r="G183" s="5816">
        <f>Population!F$48*$F$182*$E$183/CurrencyMultiplier</f>
        <v>0</v>
      </c>
      <c r="H183" s="64">
        <f>Population!G$48*$F$182*$E$183/CurrencyMultiplier</f>
        <v>0</v>
      </c>
      <c r="I183" s="64">
        <f>Population!H$48*$F$182*$E$183/CurrencyMultiplier</f>
        <v>0</v>
      </c>
      <c r="J183" s="64">
        <f>Population!I$48*$F$182*$E$183/CurrencyMultiplier</f>
        <v>0</v>
      </c>
      <c r="K183" s="64">
        <f>Population!J$48*$F$182*$E$183/CurrencyMultiplier</f>
        <v>0</v>
      </c>
      <c r="L183" s="64">
        <f>Population!K$48*$F$182*$E$183/CurrencyMultiplier</f>
        <v>0</v>
      </c>
      <c r="M183" s="64">
        <f>Population!L$48*$F$182*$E$183/CurrencyMultiplier</f>
        <v>0</v>
      </c>
      <c r="N183" s="64">
        <f>Population!M$48*$F$182*$E$183/CurrencyMultiplier</f>
        <v>0</v>
      </c>
      <c r="O183" s="64">
        <f>Population!N$48*$F$182*$E$183/CurrencyMultiplier</f>
        <v>0</v>
      </c>
      <c r="P183" s="64">
        <f>Population!O$48*$F$182*$E$183/CurrencyMultiplier</f>
        <v>0</v>
      </c>
    </row>
    <row r="184" spans="1:17" s="170" customFormat="1" x14ac:dyDescent="0.25">
      <c r="A184" s="43"/>
      <c r="B184" s="43"/>
      <c r="C184" s="141"/>
      <c r="D184" s="2400" t="s">
        <v>2133</v>
      </c>
      <c r="E184" s="223">
        <f>IF(D184='WSS Profile'!$F$453,1,0)*$E$182</f>
        <v>0</v>
      </c>
      <c r="F184" s="5816">
        <f>(F$60+F$62)*$F$182*$E$184/CurrencyMultiplier</f>
        <v>0</v>
      </c>
      <c r="G184" s="5816">
        <f>(G$60+G$62)*$F$182*$E$184/CurrencyMultiplier</f>
        <v>0</v>
      </c>
      <c r="H184" s="36">
        <f>(H$60+H$62)*$F$182*$E$184/CurrencyMultiplier</f>
        <v>0</v>
      </c>
      <c r="I184" s="36">
        <f>(I$60+I$62)*$F$182*$E$184/CurrencyMultiplier</f>
        <v>0</v>
      </c>
      <c r="J184" s="36">
        <f>(J$60+J$62)*$F$182*$E$184/CurrencyMultiplier</f>
        <v>0</v>
      </c>
      <c r="K184" s="36">
        <f>(K$60+K$62)*$F$182*$E$184/CurrencyMultiplier</f>
        <v>0</v>
      </c>
      <c r="L184" s="36">
        <f>(L$60+L$62)*$F$182*$E$184/CurrencyMultiplier</f>
        <v>0</v>
      </c>
      <c r="M184" s="36">
        <f>(M$60+M$62)*$F$182*$E$184/CurrencyMultiplier</f>
        <v>0</v>
      </c>
      <c r="N184" s="36">
        <f>(N$60+N$62)*$F$182*$E$184/CurrencyMultiplier</f>
        <v>0</v>
      </c>
      <c r="O184" s="36">
        <f>(O$60+O$62)*$F$182*$E$184/CurrencyMultiplier</f>
        <v>0</v>
      </c>
      <c r="P184" s="36">
        <f>(P$60+P$62)*$F$182*$E$184/CurrencyMultiplier</f>
        <v>0</v>
      </c>
    </row>
    <row r="185" spans="1:17" x14ac:dyDescent="0.25">
      <c r="C185" s="6"/>
      <c r="D185" s="135" t="s">
        <v>157</v>
      </c>
      <c r="E185" s="223">
        <f>IF('WSS Profile'!$F$454="Yes",1,0)</f>
        <v>0</v>
      </c>
      <c r="F185" s="194">
        <f>$E$185*'WS calcu'!E$538</f>
        <v>0</v>
      </c>
      <c r="G185" s="194">
        <f>$E$185*'WS calcu'!F$538</f>
        <v>0</v>
      </c>
      <c r="H185" s="194">
        <f>$E$185*'WS calcu'!G$538</f>
        <v>0</v>
      </c>
      <c r="I185" s="194">
        <f>$E$185*'WS calcu'!H$538</f>
        <v>0</v>
      </c>
      <c r="J185" s="194">
        <f>$E$185*'WS calcu'!I$538</f>
        <v>0</v>
      </c>
      <c r="K185" s="194">
        <f>$E$185*'WS calcu'!J$538</f>
        <v>0</v>
      </c>
      <c r="L185" s="194">
        <f>$E$185*'WS calcu'!K$538</f>
        <v>0</v>
      </c>
      <c r="M185" s="194">
        <f>$E$185*'WS calcu'!L$538</f>
        <v>0</v>
      </c>
      <c r="N185" s="194">
        <f>$E$185*'WS calcu'!M$538</f>
        <v>0</v>
      </c>
      <c r="O185" s="194">
        <f>$E$185*'WS calcu'!N$538</f>
        <v>0</v>
      </c>
      <c r="P185" s="194">
        <f>$E$185*'WS calcu'!O$538</f>
        <v>0</v>
      </c>
    </row>
    <row r="186" spans="1:17" x14ac:dyDescent="0.25">
      <c r="A186" s="3"/>
      <c r="B186" s="3"/>
      <c r="C186" s="671"/>
      <c r="D186" s="722" t="s">
        <v>413</v>
      </c>
      <c r="E186" s="730" t="str">
        <f>CONCATENATE('General info'!E43," ",'General info'!G43)</f>
        <v>INR Lakhs</v>
      </c>
      <c r="F186" s="679">
        <f>SUM(F$183:F$185)</f>
        <v>0</v>
      </c>
      <c r="G186" s="679">
        <f>SUM(G$183:G$185)</f>
        <v>0</v>
      </c>
      <c r="H186" s="679">
        <f t="shared" ref="H186:P186" si="83">SUM(H$183:H$185)</f>
        <v>0</v>
      </c>
      <c r="I186" s="679">
        <f t="shared" si="83"/>
        <v>0</v>
      </c>
      <c r="J186" s="679">
        <f t="shared" si="83"/>
        <v>0</v>
      </c>
      <c r="K186" s="679">
        <f t="shared" si="83"/>
        <v>0</v>
      </c>
      <c r="L186" s="679">
        <f t="shared" si="83"/>
        <v>0</v>
      </c>
      <c r="M186" s="679">
        <f t="shared" si="83"/>
        <v>0</v>
      </c>
      <c r="N186" s="679">
        <f t="shared" si="83"/>
        <v>0</v>
      </c>
      <c r="O186" s="679">
        <f t="shared" si="83"/>
        <v>0</v>
      </c>
      <c r="P186" s="679">
        <f t="shared" si="83"/>
        <v>0</v>
      </c>
    </row>
    <row r="187" spans="1:17" s="170" customFormat="1" x14ac:dyDescent="0.25">
      <c r="A187" s="204"/>
      <c r="B187" s="204"/>
      <c r="C187" s="205"/>
      <c r="D187" s="207" t="s">
        <v>547</v>
      </c>
      <c r="E187" s="369"/>
      <c r="F187" s="1192"/>
      <c r="G187" s="1194"/>
      <c r="H187" s="1192"/>
      <c r="I187" s="1192"/>
      <c r="J187" s="1192"/>
      <c r="K187" s="1192"/>
      <c r="L187" s="1192"/>
      <c r="M187" s="1192"/>
      <c r="N187" s="1192"/>
      <c r="O187" s="1192"/>
      <c r="P187" s="1192"/>
    </row>
    <row r="188" spans="1:17" s="368" customFormat="1" x14ac:dyDescent="0.25">
      <c r="A188" s="367"/>
      <c r="B188" s="367"/>
      <c r="C188" s="367"/>
      <c r="D188" s="724" t="s">
        <v>345</v>
      </c>
      <c r="E188" s="367"/>
      <c r="F188" s="34"/>
      <c r="G188" s="34"/>
      <c r="H188" s="304"/>
      <c r="I188" s="304"/>
      <c r="J188" s="304"/>
      <c r="K188" s="304"/>
      <c r="L188" s="304"/>
      <c r="M188" s="304"/>
      <c r="N188" s="304"/>
      <c r="O188" s="304"/>
      <c r="P188" s="304"/>
    </row>
    <row r="189" spans="1:17" s="305" customFormat="1" x14ac:dyDescent="0.25">
      <c r="A189" s="162"/>
      <c r="B189" s="162"/>
      <c r="C189" s="7250"/>
      <c r="D189" s="1150" t="s">
        <v>474</v>
      </c>
      <c r="E189" s="1155" t="s">
        <v>993</v>
      </c>
      <c r="F189" s="14">
        <f>'Financing Plan'!$N$227*$E$182</f>
        <v>0</v>
      </c>
      <c r="G189" s="14">
        <f>IF(F189&lt;&gt;0,F189,IF(G$174='Financing Plan'!$I$228,'Financing Plan'!$N$228,F$189))</f>
        <v>0</v>
      </c>
      <c r="H189" s="14">
        <f>IF(G189&lt;&gt;0,G189,IF(H$174='Financing Plan'!$I$228,'Financing Plan'!$N$228,G$189))</f>
        <v>0</v>
      </c>
      <c r="I189" s="14">
        <f>IF(H189&lt;&gt;0,H189,IF(I$174='Financing Plan'!$I$228,'Financing Plan'!$N$228,H$189))</f>
        <v>0</v>
      </c>
      <c r="J189" s="14">
        <f>IF(I189&lt;&gt;0,I189,IF(J$174='Financing Plan'!$I$228,'Financing Plan'!$N$228,I$189))</f>
        <v>0</v>
      </c>
      <c r="K189" s="14">
        <f>IF(J189&lt;&gt;0,J189,IF(K$174='Financing Plan'!$I$228,'Financing Plan'!$N$228,J$189))</f>
        <v>0</v>
      </c>
      <c r="L189" s="14">
        <f>IF(K189&lt;&gt;0,K189,IF(L$174='Financing Plan'!$I$228,'Financing Plan'!$N$228,K$189))</f>
        <v>0</v>
      </c>
      <c r="M189" s="14">
        <f>IF(L189&lt;&gt;0,L189,IF(M$174='Financing Plan'!$I$228,'Financing Plan'!$N$228,L$189))</f>
        <v>0</v>
      </c>
      <c r="N189" s="14">
        <f>IF(M189&lt;&gt;0,M189,IF(N$174='Financing Plan'!$I$228,'Financing Plan'!$N$228,M$189))</f>
        <v>0</v>
      </c>
      <c r="O189" s="14">
        <f>IF(N189&lt;&gt;0,N189,IF(O$174='Financing Plan'!$I$228,'Financing Plan'!$N$228,N$189))</f>
        <v>0</v>
      </c>
      <c r="P189" s="14">
        <f>IF(O189&lt;&gt;0,O189,IF(P$174='Financing Plan'!$I$228,'Financing Plan'!$N$228,O$189))</f>
        <v>0</v>
      </c>
    </row>
    <row r="190" spans="1:17" s="305" customFormat="1" x14ac:dyDescent="0.25">
      <c r="A190" s="162"/>
      <c r="B190" s="162"/>
      <c r="C190" s="7251"/>
      <c r="D190" s="1151">
        <f>IF(SUM($E$201:$G$201)=0,0,1)</f>
        <v>0</v>
      </c>
      <c r="E190" s="1191" t="s">
        <v>994</v>
      </c>
      <c r="F190" s="14">
        <f>'Financing Plan'!$N$227*$E$182</f>
        <v>0</v>
      </c>
      <c r="G190" s="5502">
        <f>IF(G189&lt;&gt;F189,G189,F190*(1+'Financing Plan'!F230))</f>
        <v>0</v>
      </c>
      <c r="H190" s="5502">
        <f>IF(H189&lt;&gt;G189,H189,G190*(1+'Financing Plan'!G230))</f>
        <v>0</v>
      </c>
      <c r="I190" s="5502">
        <f>IF(I189&lt;&gt;H189,I189,H190*(1+'Financing Plan'!H230))</f>
        <v>0</v>
      </c>
      <c r="J190" s="5502">
        <f>IF(J189&lt;&gt;I189,J189,I190*(1+'Financing Plan'!I230))</f>
        <v>0</v>
      </c>
      <c r="K190" s="5502">
        <f>IF(K189&lt;&gt;J189,K189,J190*(1+'Financing Plan'!J230))</f>
        <v>0</v>
      </c>
      <c r="L190" s="5502">
        <f>IF(L189&lt;&gt;K189,L189,K190*(1+'Financing Plan'!K230))</f>
        <v>0</v>
      </c>
      <c r="M190" s="5502">
        <f>IF(M189&lt;&gt;L189,M189,L190*(1+'Financing Plan'!L230))</f>
        <v>0</v>
      </c>
      <c r="N190" s="5502">
        <f>IF(N189&lt;&gt;M189,N189,M190*(1+'Financing Plan'!M230))</f>
        <v>0</v>
      </c>
      <c r="O190" s="5502">
        <f>IF(O189&lt;&gt;N189,O189,N190*(1+'Financing Plan'!N230))</f>
        <v>0</v>
      </c>
      <c r="P190" s="5502">
        <f>IF(P189&lt;&gt;O189,P189,O190*(1+'Financing Plan'!O230))</f>
        <v>0</v>
      </c>
    </row>
    <row r="191" spans="1:17" s="170" customFormat="1" x14ac:dyDescent="0.25">
      <c r="A191" s="43"/>
      <c r="B191" s="43"/>
      <c r="C191" s="141"/>
      <c r="D191" s="910" t="s">
        <v>178</v>
      </c>
      <c r="E191" s="100">
        <f>IF(D191='Financing Plan'!$K$227,1,IF(AND('Financing Plan'!$I$228&lt;&gt;0,D191='Financing Plan'!$K$228),1,0))*$D$190</f>
        <v>0</v>
      </c>
      <c r="F191" s="5816">
        <f>Population!E$49*F190*$E$191/CurrencyMultiplier</f>
        <v>0</v>
      </c>
      <c r="G191" s="5816">
        <f>Population!F$49*G190*$E$191/CurrencyMultiplier</f>
        <v>0</v>
      </c>
      <c r="H191" s="64">
        <f>Population!G$49*H190*$E$191/CurrencyMultiplier</f>
        <v>0</v>
      </c>
      <c r="I191" s="64">
        <f>Population!H$49*I190*$E$191/CurrencyMultiplier</f>
        <v>0</v>
      </c>
      <c r="J191" s="64">
        <f>Population!I$49*J190*$E$191/CurrencyMultiplier</f>
        <v>0</v>
      </c>
      <c r="K191" s="64">
        <f>Population!J$49*K190*$E$191/CurrencyMultiplier</f>
        <v>0</v>
      </c>
      <c r="L191" s="64">
        <f>Population!K$49*L190*$E$191/CurrencyMultiplier</f>
        <v>0</v>
      </c>
      <c r="M191" s="64">
        <f>Population!L$49*M190*$E$191/CurrencyMultiplier</f>
        <v>0</v>
      </c>
      <c r="N191" s="64">
        <f>Population!M$49*N190*$E$191/CurrencyMultiplier</f>
        <v>0</v>
      </c>
      <c r="O191" s="64">
        <f>Population!N$49*O190*$E$191/CurrencyMultiplier</f>
        <v>0</v>
      </c>
      <c r="P191" s="64">
        <f>Population!O$49*P190*$E$191/CurrencyMultiplier</f>
        <v>0</v>
      </c>
      <c r="Q191" s="305"/>
    </row>
    <row r="192" spans="1:17" s="170" customFormat="1" x14ac:dyDescent="0.25">
      <c r="A192" s="43"/>
      <c r="B192" s="43"/>
      <c r="C192" s="141"/>
      <c r="D192" s="2400" t="s">
        <v>2133</v>
      </c>
      <c r="E192" s="100">
        <f>IF(D192='Financing Plan'!$K$227,1,IF(AND('Financing Plan'!$I$228&lt;&gt;0,D192='Financing Plan'!$K$228),1,0))*$D$190</f>
        <v>0</v>
      </c>
      <c r="F192" s="5816">
        <f>(F$60+F$62)*F190*$E$192/CurrencyMultiplier</f>
        <v>0</v>
      </c>
      <c r="G192" s="5816">
        <f>(G$60+G$62)*G190*$E$192/CurrencyMultiplier</f>
        <v>0</v>
      </c>
      <c r="H192" s="36">
        <f>(H$60+H$62)*H190*$E$192/CurrencyMultiplier</f>
        <v>0</v>
      </c>
      <c r="I192" s="36">
        <f>(I$60+I$62)*I190*$E$192/CurrencyMultiplier</f>
        <v>0</v>
      </c>
      <c r="J192" s="36">
        <f>(J$60+J$62)*J190*$E$192/CurrencyMultiplier</f>
        <v>0</v>
      </c>
      <c r="K192" s="36">
        <f>(K$60+K$62)*K190*$E$192/CurrencyMultiplier</f>
        <v>0</v>
      </c>
      <c r="L192" s="36">
        <f>(L$60+L$62)*L190*$E$192/CurrencyMultiplier</f>
        <v>0</v>
      </c>
      <c r="M192" s="36">
        <f>(M$60+M$62)*M190*$E$192/CurrencyMultiplier</f>
        <v>0</v>
      </c>
      <c r="N192" s="36">
        <f>(N$60+N$62)*N190*$E$192/CurrencyMultiplier</f>
        <v>0</v>
      </c>
      <c r="O192" s="36">
        <f>(O$60+O$62)*O190*$E$192/CurrencyMultiplier</f>
        <v>0</v>
      </c>
      <c r="P192" s="36">
        <f>(P$60+P$62)*P190*$E$192/CurrencyMultiplier</f>
        <v>0</v>
      </c>
      <c r="Q192" s="305"/>
    </row>
    <row r="193" spans="1:16" s="733" customFormat="1" x14ac:dyDescent="0.25">
      <c r="C193" s="903"/>
      <c r="D193" s="161" t="s">
        <v>920</v>
      </c>
      <c r="E193" s="1157"/>
      <c r="F193" s="30">
        <f>F191+F192</f>
        <v>0</v>
      </c>
      <c r="G193" s="30">
        <f t="shared" ref="G193:P193" si="84">G191+G192</f>
        <v>0</v>
      </c>
      <c r="H193" s="30">
        <f t="shared" si="84"/>
        <v>0</v>
      </c>
      <c r="I193" s="30">
        <f t="shared" si="84"/>
        <v>0</v>
      </c>
      <c r="J193" s="30">
        <f t="shared" si="84"/>
        <v>0</v>
      </c>
      <c r="K193" s="30">
        <f t="shared" si="84"/>
        <v>0</v>
      </c>
      <c r="L193" s="30">
        <f t="shared" si="84"/>
        <v>0</v>
      </c>
      <c r="M193" s="30">
        <f t="shared" si="84"/>
        <v>0</v>
      </c>
      <c r="N193" s="30">
        <f t="shared" si="84"/>
        <v>0</v>
      </c>
      <c r="O193" s="30">
        <f t="shared" si="84"/>
        <v>0</v>
      </c>
      <c r="P193" s="30">
        <f t="shared" si="84"/>
        <v>0</v>
      </c>
    </row>
    <row r="194" spans="1:16" s="368" customFormat="1" x14ac:dyDescent="0.25">
      <c r="A194" s="367"/>
      <c r="B194" s="367"/>
      <c r="C194" s="367"/>
      <c r="D194" s="724" t="s">
        <v>549</v>
      </c>
      <c r="E194" s="367"/>
      <c r="F194" s="34"/>
      <c r="G194" s="1195"/>
      <c r="H194" s="1195"/>
      <c r="I194" s="1195"/>
      <c r="J194" s="1195"/>
      <c r="K194" s="1195"/>
      <c r="L194" s="1195"/>
      <c r="M194" s="1195"/>
      <c r="N194" s="1195"/>
      <c r="O194" s="1195"/>
      <c r="P194" s="1195"/>
    </row>
    <row r="195" spans="1:16" s="305" customFormat="1" x14ac:dyDescent="0.25">
      <c r="A195" s="162"/>
      <c r="B195" s="162"/>
      <c r="C195" s="7250"/>
      <c r="D195" s="1150" t="s">
        <v>474</v>
      </c>
      <c r="E195" s="1155" t="s">
        <v>993</v>
      </c>
      <c r="F195" s="1196">
        <f>'WS calcu'!D537</f>
        <v>0</v>
      </c>
      <c r="G195" s="1197">
        <f>IF(F195&lt;&gt;0,F195,IF(G$174='Financing Plan'!$J$234,'Financing Plan'!$M$234,F$195))</f>
        <v>0</v>
      </c>
      <c r="H195" s="1197">
        <f>IF(G195&lt;&gt;0,G195,IF(H$174='Financing Plan'!$J$234,'Financing Plan'!$M$234,G$195))</f>
        <v>0</v>
      </c>
      <c r="I195" s="1197">
        <f>IF(H195&lt;&gt;0,H195,IF(I$174='Financing Plan'!$J$234,'Financing Plan'!$M$234,H$195))</f>
        <v>0</v>
      </c>
      <c r="J195" s="1197">
        <f>IF(I195&lt;&gt;0,I195,IF(J$174='Financing Plan'!$J$234,'Financing Plan'!$M$234,I$195))</f>
        <v>0</v>
      </c>
      <c r="K195" s="1197">
        <f>IF(J195&lt;&gt;0,J195,IF(K$174='Financing Plan'!$J$234,'Financing Plan'!$M$234,J$195))</f>
        <v>0</v>
      </c>
      <c r="L195" s="1197">
        <f>IF(K195&lt;&gt;0,K195,IF(L$174='Financing Plan'!$J$234,'Financing Plan'!$M$234,K$195))</f>
        <v>0</v>
      </c>
      <c r="M195" s="1197">
        <f>IF(L195&lt;&gt;0,L195,IF(M$174='Financing Plan'!$J$234,'Financing Plan'!$M$234,L$195))</f>
        <v>0</v>
      </c>
      <c r="N195" s="1197">
        <f>IF(M195&lt;&gt;0,M195,IF(N$174='Financing Plan'!$J$234,'Financing Plan'!$M$234,M$195))</f>
        <v>0</v>
      </c>
      <c r="O195" s="1197">
        <f>IF(N195&lt;&gt;0,N195,IF(O$174='Financing Plan'!$J$234,'Financing Plan'!$M$234,N$195))</f>
        <v>0</v>
      </c>
      <c r="P195" s="1197">
        <f>IF(O195&lt;&gt;0,O195,IF(P$174='Financing Plan'!$J$234,'Financing Plan'!$M$234,O$195))</f>
        <v>0</v>
      </c>
    </row>
    <row r="196" spans="1:16" s="305" customFormat="1" ht="22.5" x14ac:dyDescent="0.25">
      <c r="A196" s="162"/>
      <c r="B196" s="162"/>
      <c r="C196" s="7251"/>
      <c r="D196" s="1151"/>
      <c r="E196" s="1156" t="s">
        <v>994</v>
      </c>
      <c r="F196" s="1197">
        <f>'WS calcu'!D537</f>
        <v>0</v>
      </c>
      <c r="G196" s="1197">
        <f>IF(F195&lt;&gt;G195,G195,IF('Financing Plan'!F236&lt;&gt;0,'Financing Plan'!F236,F196))</f>
        <v>0</v>
      </c>
      <c r="H196" s="1197">
        <f>IF(G195&lt;&gt;H195,'MSW calcu'!H195,IF('Financing Plan'!G236&lt;&gt;0,'Financing Plan'!G236,'MSW calcu'!G196))</f>
        <v>0</v>
      </c>
      <c r="I196" s="1197">
        <f>IF(H195&lt;&gt;I195,'MSW calcu'!I195,IF('Financing Plan'!H236&lt;&gt;0,'Financing Plan'!H236,'MSW calcu'!H196))</f>
        <v>0</v>
      </c>
      <c r="J196" s="1197">
        <f>IF(I195&lt;&gt;J195,'MSW calcu'!J195,IF('Financing Plan'!I236&lt;&gt;0,'Financing Plan'!I236,'MSW calcu'!I196))</f>
        <v>0</v>
      </c>
      <c r="K196" s="1197">
        <f>IF(J195&lt;&gt;K195,'MSW calcu'!K195,IF('Financing Plan'!J236&lt;&gt;0,'Financing Plan'!J236,'MSW calcu'!J196))</f>
        <v>0</v>
      </c>
      <c r="L196" s="1197">
        <f>IF(K195&lt;&gt;L195,'MSW calcu'!L195,IF('Financing Plan'!K236&lt;&gt;0,'Financing Plan'!K236,'MSW calcu'!K196))</f>
        <v>0</v>
      </c>
      <c r="M196" s="1197">
        <f>IF(L195&lt;&gt;M195,'MSW calcu'!M195,IF('Financing Plan'!L236&lt;&gt;0,'Financing Plan'!L236,'MSW calcu'!L196))</f>
        <v>0</v>
      </c>
      <c r="N196" s="1197">
        <f>IF(M195&lt;&gt;N195,'MSW calcu'!N195,IF('Financing Plan'!M236&lt;&gt;0,'Financing Plan'!M236,'MSW calcu'!M196))</f>
        <v>0</v>
      </c>
      <c r="O196" s="1197">
        <f>IF(N195&lt;&gt;O195,'MSW calcu'!O195,IF('Financing Plan'!N236&lt;&gt;0,'Financing Plan'!N236,'MSW calcu'!N196))</f>
        <v>0</v>
      </c>
      <c r="P196" s="1197">
        <f>IF(O195&lt;&gt;P195,'MSW calcu'!P195,IF('Financing Plan'!O236&lt;&gt;0,'Financing Plan'!O236,'MSW calcu'!O196))</f>
        <v>0</v>
      </c>
    </row>
    <row r="197" spans="1:16" s="733" customFormat="1" x14ac:dyDescent="0.25">
      <c r="A197" s="138"/>
      <c r="B197" s="138"/>
      <c r="C197" s="902"/>
      <c r="D197" s="135" t="s">
        <v>921</v>
      </c>
      <c r="E197" s="1154">
        <f>IF(SUM($E$202:$G$202)=0,0,1)</f>
        <v>0</v>
      </c>
      <c r="F197" s="1198">
        <f>'WS calcu'!E540</f>
        <v>0</v>
      </c>
      <c r="G197" s="1198">
        <f>'WS calcu'!F540</f>
        <v>0</v>
      </c>
      <c r="H197" s="1198">
        <f>'WS calcu'!G540</f>
        <v>0</v>
      </c>
      <c r="I197" s="1198">
        <f>'WS calcu'!H540</f>
        <v>0</v>
      </c>
      <c r="J197" s="1198">
        <f>'WS calcu'!I540</f>
        <v>0</v>
      </c>
      <c r="K197" s="1198">
        <f>'WS calcu'!J540</f>
        <v>0</v>
      </c>
      <c r="L197" s="1198">
        <f>'WS calcu'!K540</f>
        <v>0</v>
      </c>
      <c r="M197" s="1198">
        <f>'WS calcu'!L540</f>
        <v>0</v>
      </c>
      <c r="N197" s="1198">
        <f>'WS calcu'!M540</f>
        <v>0</v>
      </c>
      <c r="O197" s="1198">
        <f>'WS calcu'!N540</f>
        <v>0</v>
      </c>
      <c r="P197" s="1198">
        <f>'WS calcu'!O540</f>
        <v>0</v>
      </c>
    </row>
    <row r="198" spans="1:16" s="170" customFormat="1" x14ac:dyDescent="0.25">
      <c r="A198" s="685"/>
      <c r="B198" s="685"/>
      <c r="C198" s="732"/>
      <c r="D198" s="722" t="s">
        <v>922</v>
      </c>
      <c r="E198" s="732"/>
      <c r="F198" s="1199">
        <f>F193+F197</f>
        <v>0</v>
      </c>
      <c r="G198" s="1199">
        <f t="shared" ref="G198:P198" si="85">G193+G197</f>
        <v>0</v>
      </c>
      <c r="H198" s="1199">
        <f t="shared" si="85"/>
        <v>0</v>
      </c>
      <c r="I198" s="1199">
        <f t="shared" si="85"/>
        <v>0</v>
      </c>
      <c r="J198" s="1199">
        <f t="shared" si="85"/>
        <v>0</v>
      </c>
      <c r="K198" s="1199">
        <f t="shared" si="85"/>
        <v>0</v>
      </c>
      <c r="L198" s="1199">
        <f t="shared" si="85"/>
        <v>0</v>
      </c>
      <c r="M198" s="1199">
        <f t="shared" si="85"/>
        <v>0</v>
      </c>
      <c r="N198" s="1199">
        <f t="shared" si="85"/>
        <v>0</v>
      </c>
      <c r="O198" s="1199">
        <f t="shared" si="85"/>
        <v>0</v>
      </c>
      <c r="P198" s="1199">
        <f t="shared" si="85"/>
        <v>0</v>
      </c>
    </row>
    <row r="199" spans="1:16" s="56" customFormat="1" x14ac:dyDescent="0.25">
      <c r="A199"/>
      <c r="B199"/>
      <c r="C199"/>
      <c r="D199" s="1142"/>
      <c r="E199"/>
      <c r="F199"/>
      <c r="G199"/>
      <c r="H199"/>
      <c r="I199"/>
      <c r="J199"/>
      <c r="K199"/>
      <c r="L199"/>
      <c r="M199"/>
      <c r="N199"/>
      <c r="O199"/>
      <c r="P199"/>
    </row>
    <row r="200" spans="1:16" s="56" customFormat="1" x14ac:dyDescent="0.25">
      <c r="A200"/>
      <c r="B200"/>
      <c r="C200"/>
      <c r="D200" s="729" t="s">
        <v>972</v>
      </c>
      <c r="E200" s="1045" t="s">
        <v>973</v>
      </c>
      <c r="F200" s="1045" t="s">
        <v>474</v>
      </c>
      <c r="G200" s="1045" t="s">
        <v>974</v>
      </c>
      <c r="H200" s="1040" t="s">
        <v>975</v>
      </c>
      <c r="I200" s="1040"/>
      <c r="J200"/>
      <c r="K200"/>
      <c r="L200"/>
      <c r="M200"/>
      <c r="N200"/>
      <c r="O200"/>
      <c r="P200"/>
    </row>
    <row r="201" spans="1:16" s="56" customFormat="1" x14ac:dyDescent="0.25">
      <c r="A201"/>
      <c r="B201"/>
      <c r="C201"/>
      <c r="D201" s="729" t="s">
        <v>976</v>
      </c>
      <c r="E201" s="1045">
        <f>IF(AND('WSS Profile'!G452&gt;0,'WSS Profile'!$F$452="Yes"),1,0)</f>
        <v>0</v>
      </c>
      <c r="F201" s="1045">
        <f>IF(AND(E201=1,SUM('Financing Plan'!$F$230:$O$230)&lt;&gt;0),1,0)</f>
        <v>0</v>
      </c>
      <c r="G201" s="1045">
        <f>IF(AND(E201=0,'Financing Plan'!$I$228&lt;&gt;0),1,0)</f>
        <v>0</v>
      </c>
      <c r="H201" s="1040"/>
      <c r="I201" s="1040"/>
      <c r="J201"/>
      <c r="K201"/>
      <c r="L201"/>
      <c r="M201"/>
      <c r="N201"/>
      <c r="O201"/>
      <c r="P201"/>
    </row>
    <row r="202" spans="1:16" s="56" customFormat="1" x14ac:dyDescent="0.25">
      <c r="A202"/>
      <c r="B202"/>
      <c r="C202"/>
      <c r="D202" s="729" t="s">
        <v>206</v>
      </c>
      <c r="E202" s="1045">
        <f>IF(AND('WSS Profile'!$G$454&gt;0,'WSS Profile'!$F$454="Yes"),1,0)</f>
        <v>0</v>
      </c>
      <c r="F202" s="1045">
        <f>IF(AND(E202=1,SUM('Financing Plan'!$F$236:$O$236)&lt;&gt;0),1,0)</f>
        <v>0</v>
      </c>
      <c r="G202" s="1045">
        <f>IF(AND(E202=0,'Financing Plan'!$J$234&lt;&gt;0),1,0)</f>
        <v>0</v>
      </c>
      <c r="H202" s="1040"/>
      <c r="I202" s="1040"/>
      <c r="J202"/>
      <c r="K202"/>
      <c r="L202"/>
      <c r="M202"/>
      <c r="N202"/>
      <c r="O202"/>
      <c r="P202"/>
    </row>
    <row r="203" spans="1:16" s="56" customFormat="1" x14ac:dyDescent="0.25">
      <c r="A203"/>
      <c r="B203"/>
      <c r="C203"/>
      <c r="D203"/>
      <c r="F203"/>
      <c r="G203"/>
      <c r="H203"/>
      <c r="I203"/>
      <c r="J203"/>
      <c r="K203"/>
      <c r="L203"/>
      <c r="M203"/>
      <c r="N203"/>
      <c r="O203"/>
      <c r="P203"/>
    </row>
    <row r="204" spans="1:16" x14ac:dyDescent="0.25">
      <c r="A204" s="11" t="s">
        <v>30</v>
      </c>
      <c r="B204" s="11"/>
      <c r="C204" s="11" t="s">
        <v>623</v>
      </c>
      <c r="D204" s="12"/>
    </row>
    <row r="205" spans="1:16" x14ac:dyDescent="0.25">
      <c r="C205" s="13" t="s">
        <v>3</v>
      </c>
      <c r="D205" s="13" t="s">
        <v>4</v>
      </c>
      <c r="E205" s="13" t="s">
        <v>33</v>
      </c>
      <c r="F205" s="13">
        <f t="shared" ref="F205:P205" si="86">F$3</f>
        <v>2014</v>
      </c>
      <c r="G205" s="13">
        <f t="shared" si="86"/>
        <v>2015</v>
      </c>
      <c r="H205" s="13">
        <f t="shared" si="86"/>
        <v>2016</v>
      </c>
      <c r="I205" s="13">
        <f t="shared" si="86"/>
        <v>2017</v>
      </c>
      <c r="J205" s="13">
        <f t="shared" si="86"/>
        <v>2018</v>
      </c>
      <c r="K205" s="13">
        <f t="shared" si="86"/>
        <v>2019</v>
      </c>
      <c r="L205" s="13">
        <f t="shared" si="86"/>
        <v>2020</v>
      </c>
      <c r="M205" s="13">
        <f t="shared" si="86"/>
        <v>2021</v>
      </c>
      <c r="N205" s="13">
        <f t="shared" si="86"/>
        <v>2022</v>
      </c>
      <c r="O205" s="13">
        <f t="shared" si="86"/>
        <v>2023</v>
      </c>
      <c r="P205" s="13">
        <f t="shared" si="86"/>
        <v>2024</v>
      </c>
    </row>
    <row r="206" spans="1:16" s="170" customFormat="1" x14ac:dyDescent="0.25">
      <c r="A206" s="204"/>
      <c r="B206" s="204"/>
      <c r="C206" s="205"/>
      <c r="D206" s="207" t="s">
        <v>503</v>
      </c>
      <c r="E206" s="205"/>
      <c r="F206" s="206"/>
      <c r="G206" s="206"/>
      <c r="H206" s="206"/>
      <c r="I206" s="206"/>
      <c r="J206" s="206"/>
      <c r="K206" s="206"/>
      <c r="L206" s="206"/>
      <c r="M206" s="206"/>
      <c r="N206" s="206"/>
      <c r="O206" s="206"/>
      <c r="P206" s="206"/>
    </row>
    <row r="207" spans="1:16" x14ac:dyDescent="0.25">
      <c r="C207" s="757"/>
      <c r="D207" s="763" t="s">
        <v>87</v>
      </c>
      <c r="E207" s="775" t="s">
        <v>18</v>
      </c>
      <c r="F207" s="776">
        <f>'SW Plan'!H228</f>
        <v>0</v>
      </c>
      <c r="G207" s="777">
        <f>IF($F$207=0,0,(F207+IF('SW Plan'!$E$227="Activate",IF(AND(G$174&gt;='SW Plan'!$G$227,G$174&lt;'SW Plan'!$H$227+1),('SW Plan'!$H$230-$F$207)/('SW Plan'!$H$227+1-'SW Plan'!$G$227),0),0)))</f>
        <v>0</v>
      </c>
      <c r="H207" s="777">
        <f>IF($F$207=0,0,(G207+IF('SW Plan'!$E$227="Activate",IF(AND(H$174&gt;='SW Plan'!$G$227,H$174&lt;'SW Plan'!$H$227+1),('SW Plan'!$H$230-$F$207)/('SW Plan'!$H$227+1-'SW Plan'!$G$227),0),0)))</f>
        <v>0</v>
      </c>
      <c r="I207" s="777">
        <f>IF($F$207=0,0,(H207+IF('SW Plan'!$E$227="Activate",IF(AND(I$174&gt;='SW Plan'!$G$227,I$174&lt;'SW Plan'!$H$227+1),('SW Plan'!$H$230-$F$207)/('SW Plan'!$H$227+1-'SW Plan'!$G$227),0),0)))</f>
        <v>0</v>
      </c>
      <c r="J207" s="777">
        <f>IF($F$207=0,0,(I207+IF('SW Plan'!$E$227="Activate",IF(AND(J$174&gt;='SW Plan'!$G$227,J$174&lt;'SW Plan'!$H$227+1),('SW Plan'!$H$230-$F$207)/('SW Plan'!$H$227+1-'SW Plan'!$G$227),0),0)))</f>
        <v>0</v>
      </c>
      <c r="K207" s="777">
        <f>IF($F$207=0,0,(J207+IF('SW Plan'!$E$227="Activate",IF(AND(K$174&gt;='SW Plan'!$G$227,K$174&lt;'SW Plan'!$H$227+1),('SW Plan'!$H$230-$F$207)/('SW Plan'!$H$227+1-'SW Plan'!$G$227),0),0)))</f>
        <v>0</v>
      </c>
      <c r="L207" s="777">
        <f>IF($F$207=0,0,(K207+IF('SW Plan'!$E$227="Activate",IF(AND(L$174&gt;='SW Plan'!$G$227,L$174&lt;'SW Plan'!$H$227+1),('SW Plan'!$H$230-$F$207)/('SW Plan'!$H$227+1-'SW Plan'!$G$227),0),0)))</f>
        <v>0</v>
      </c>
      <c r="M207" s="777">
        <f>IF($F$207=0,0,(L207+IF('SW Plan'!$E$227="Activate",IF(AND(M$174&gt;='SW Plan'!$G$227,M$174&lt;'SW Plan'!$H$227+1),('SW Plan'!$H$230-$F$207)/('SW Plan'!$H$227+1-'SW Plan'!$G$227),0),0)))</f>
        <v>0</v>
      </c>
      <c r="N207" s="777">
        <f>IF($F$207=0,0,(M207+IF('SW Plan'!$E$227="Activate",IF(AND(N$174&gt;='SW Plan'!$G$227,N$174&lt;'SW Plan'!$H$227+1),('SW Plan'!$H$230-$F$207)/('SW Plan'!$H$227+1-'SW Plan'!$G$227),0),0)))</f>
        <v>0</v>
      </c>
      <c r="O207" s="777">
        <f>IF($F$207=0,0,(N207+IF('SW Plan'!$E$227="Activate",IF(AND(O$174&gt;='SW Plan'!$G$227,O$174&lt;'SW Plan'!$H$227+1),('SW Plan'!$H$230-$F$207)/('SW Plan'!$H$227+1-'SW Plan'!$G$227),0),0)))</f>
        <v>0</v>
      </c>
      <c r="P207" s="777">
        <f>IF($F$207=0,0,(O207+IF('SW Plan'!$E$227="Activate",IF(AND(P$174&gt;='SW Plan'!$G$227,P$174&lt;'SW Plan'!$H$227+1),('SW Plan'!$H$230-$F$207)/('SW Plan'!$H$227+1-'SW Plan'!$G$227),0),0)))</f>
        <v>0</v>
      </c>
    </row>
    <row r="208" spans="1:16" x14ac:dyDescent="0.25">
      <c r="C208" s="757"/>
      <c r="D208" s="948" t="s">
        <v>1060</v>
      </c>
      <c r="E208" s="775"/>
      <c r="F208" s="1007">
        <f>IF(SUM($E$201:$E$202)&lt;&gt;0,0,IF(F211&lt;&gt;0,'WS calcu'!E$507,0))</f>
        <v>0</v>
      </c>
      <c r="G208" s="1007">
        <f>IF(SUM($E$201:$E$202)&lt;&gt;0,0,IF(G211&lt;&gt;0,'WS calcu'!F$507,0))</f>
        <v>0</v>
      </c>
      <c r="H208" s="1007">
        <f>IF(SUM($E$201:$E$202)&lt;&gt;0,0,IF(H211&lt;&gt;0,'WS calcu'!G$507,0))</f>
        <v>0</v>
      </c>
      <c r="I208" s="1007">
        <f>IF(SUM($E$201:$E$202)&lt;&gt;0,0,IF(I211&lt;&gt;0,'WS calcu'!H$507,0))</f>
        <v>0</v>
      </c>
      <c r="J208" s="1007">
        <f>IF(SUM($E$201:$E$202)&lt;&gt;0,0,IF(J211&lt;&gt;0,'WS calcu'!I$507,0))</f>
        <v>0</v>
      </c>
      <c r="K208" s="1007">
        <f>IF(SUM($E$201:$E$202)&lt;&gt;0,0,IF(K211&lt;&gt;0,'WS calcu'!J$507,0))</f>
        <v>0</v>
      </c>
      <c r="L208" s="1007">
        <f>IF(SUM($E$201:$E$202)&lt;&gt;0,0,IF(L211&lt;&gt;0,'WS calcu'!K$507,0))</f>
        <v>0</v>
      </c>
      <c r="M208" s="1007">
        <f>IF(SUM($E$201:$E$202)&lt;&gt;0,0,IF(M211&lt;&gt;0,'WS calcu'!L$507,0))</f>
        <v>0</v>
      </c>
      <c r="N208" s="1007">
        <f>IF(SUM($E$201:$E$202)&lt;&gt;0,0,IF(N211&lt;&gt;0,'WS calcu'!M$507,0))</f>
        <v>0</v>
      </c>
      <c r="O208" s="1007">
        <f>IF(SUM($E$201:$E$202)&lt;&gt;0,0,IF(O211&lt;&gt;0,'WS calcu'!N$507,0))</f>
        <v>0</v>
      </c>
      <c r="P208" s="1007">
        <f>IF(SUM($E$201:$E$202)&lt;&gt;0,0,IF(P211&lt;&gt;0,'WS calcu'!O$507,0))</f>
        <v>0</v>
      </c>
    </row>
    <row r="209" spans="1:18" s="49" customFormat="1" x14ac:dyDescent="0.25">
      <c r="A209" s="63"/>
      <c r="B209" s="63"/>
      <c r="C209" s="31"/>
      <c r="D209" s="31" t="s">
        <v>624</v>
      </c>
      <c r="E209" s="213"/>
      <c r="F209" s="224">
        <f>F180*$F$207</f>
        <v>0</v>
      </c>
      <c r="G209" s="224">
        <f t="shared" ref="G209:P209" si="87">G180*$F$207</f>
        <v>0</v>
      </c>
      <c r="H209" s="224">
        <f t="shared" si="87"/>
        <v>0</v>
      </c>
      <c r="I209" s="224">
        <f t="shared" si="87"/>
        <v>0</v>
      </c>
      <c r="J209" s="224">
        <f t="shared" si="87"/>
        <v>0</v>
      </c>
      <c r="K209" s="224">
        <f t="shared" si="87"/>
        <v>0</v>
      </c>
      <c r="L209" s="224">
        <f t="shared" si="87"/>
        <v>0</v>
      </c>
      <c r="M209" s="224">
        <f t="shared" si="87"/>
        <v>0</v>
      </c>
      <c r="N209" s="224">
        <f t="shared" si="87"/>
        <v>0</v>
      </c>
      <c r="O209" s="224">
        <f t="shared" si="87"/>
        <v>0</v>
      </c>
      <c r="P209" s="224">
        <f t="shared" si="87"/>
        <v>0</v>
      </c>
    </row>
    <row r="210" spans="1:18" s="49" customFormat="1" x14ac:dyDescent="0.25">
      <c r="A210" s="63"/>
      <c r="B210" s="63"/>
      <c r="C210" s="31"/>
      <c r="D210" s="31" t="s">
        <v>562</v>
      </c>
      <c r="E210" s="213"/>
      <c r="F210" s="224">
        <f t="shared" ref="F210:P210" si="88">F186*F207</f>
        <v>0</v>
      </c>
      <c r="G210" s="225">
        <f t="shared" si="88"/>
        <v>0</v>
      </c>
      <c r="H210" s="225">
        <f t="shared" si="88"/>
        <v>0</v>
      </c>
      <c r="I210" s="225">
        <f t="shared" si="88"/>
        <v>0</v>
      </c>
      <c r="J210" s="225">
        <f t="shared" si="88"/>
        <v>0</v>
      </c>
      <c r="K210" s="225">
        <f t="shared" si="88"/>
        <v>0</v>
      </c>
      <c r="L210" s="225">
        <f t="shared" si="88"/>
        <v>0</v>
      </c>
      <c r="M210" s="225">
        <f t="shared" si="88"/>
        <v>0</v>
      </c>
      <c r="N210" s="225">
        <f t="shared" si="88"/>
        <v>0</v>
      </c>
      <c r="O210" s="225">
        <f t="shared" si="88"/>
        <v>0</v>
      </c>
      <c r="P210" s="225">
        <f t="shared" si="88"/>
        <v>0</v>
      </c>
    </row>
    <row r="211" spans="1:18" s="733" customFormat="1" x14ac:dyDescent="0.25">
      <c r="A211" s="138"/>
      <c r="B211" s="138"/>
      <c r="C211" s="902"/>
      <c r="D211" s="31" t="s">
        <v>563</v>
      </c>
      <c r="E211" s="1200"/>
      <c r="F211" s="1201">
        <f>IF(SUM($E$201:$E$202)=0,F198*'WS calcu'!E$507,F198*F207)</f>
        <v>0</v>
      </c>
      <c r="G211" s="1201">
        <f>IF(SUM($E$201:$E$202)=0,G198*'WS calcu'!F$507,G198*G207)</f>
        <v>0</v>
      </c>
      <c r="H211" s="1201">
        <f>IF(SUM($E$201:$E$202)=0,H198*'WS calcu'!G$507,H198*H207)</f>
        <v>0</v>
      </c>
      <c r="I211" s="1201">
        <f>IF(SUM($E$201:$E$202)=0,I198*'WS calcu'!H$507,I198*I207)</f>
        <v>0</v>
      </c>
      <c r="J211" s="1201">
        <f>IF(SUM($E$201:$E$202)=0,J198*'WS calcu'!I$507,J198*J207)</f>
        <v>0</v>
      </c>
      <c r="K211" s="1201">
        <f>IF(SUM($E$201:$E$202)=0,K198*'WS calcu'!J$507,K198*K207)</f>
        <v>0</v>
      </c>
      <c r="L211" s="1201">
        <f>IF(SUM($E$201:$E$202)=0,L198*'WS calcu'!K$507,L198*L207)</f>
        <v>0</v>
      </c>
      <c r="M211" s="1201">
        <f>IF(SUM($E$201:$E$202)=0,M198*'WS calcu'!L$507,M198*M207)</f>
        <v>0</v>
      </c>
      <c r="N211" s="1201">
        <f>IF(SUM($E$201:$E$202)=0,N198*'WS calcu'!M$507,N198*N207)</f>
        <v>0</v>
      </c>
      <c r="O211" s="1201">
        <f>IF(SUM($E$201:$E$202)=0,O198*'WS calcu'!N$507,O198*O207)</f>
        <v>0</v>
      </c>
      <c r="P211" s="1201">
        <f>IF(SUM($E$201:$E$202)=0,P198*'WS calcu'!O$507,P198*P207)</f>
        <v>0</v>
      </c>
      <c r="Q211" s="49"/>
      <c r="R211" s="49"/>
    </row>
    <row r="212" spans="1:18" s="48" customFormat="1" x14ac:dyDescent="0.25">
      <c r="A212" s="199"/>
      <c r="B212" s="199"/>
      <c r="C212" s="276"/>
      <c r="D212" s="717" t="s">
        <v>466</v>
      </c>
      <c r="E212" s="203"/>
      <c r="F212" s="199"/>
      <c r="G212" s="199"/>
      <c r="H212" s="199"/>
      <c r="I212" s="199"/>
      <c r="J212" s="199"/>
      <c r="K212" s="199"/>
      <c r="L212" s="199"/>
      <c r="M212" s="199"/>
      <c r="N212" s="199"/>
      <c r="O212" s="199"/>
      <c r="P212" s="199"/>
      <c r="Q212" s="68"/>
    </row>
    <row r="213" spans="1:18" s="48" customFormat="1" x14ac:dyDescent="0.25">
      <c r="A213" s="9"/>
      <c r="B213" s="9"/>
      <c r="C213" s="757"/>
      <c r="D213" s="778" t="s">
        <v>502</v>
      </c>
      <c r="E213" s="775" t="s">
        <v>18</v>
      </c>
      <c r="F213" s="759">
        <f>'SW Plan'!H229</f>
        <v>0</v>
      </c>
      <c r="G213" s="777">
        <f>F213+IF('SW Plan'!$E$227="Activate",IF(AND(G$174&gt;='SW Plan'!$G$227,G$174&lt;'SW Plan'!$H$227+1),('SW Plan'!$H$231-$F$213)/('SW Plan'!$H$227+1-'SW Plan'!$G$227),0),0)</f>
        <v>0</v>
      </c>
      <c r="H213" s="777">
        <f>G213+IF('SW Plan'!$E$227="Activate",IF(AND(H$174&gt;='SW Plan'!$G$227,H$174&lt;'SW Plan'!$H$227+1),('SW Plan'!$H$231-$F$213)/('SW Plan'!$H$227+1-'SW Plan'!$G$227),0),0)</f>
        <v>0</v>
      </c>
      <c r="I213" s="777">
        <f>H213+IF('SW Plan'!$E$227="Activate",IF(AND(I$174&gt;='SW Plan'!$G$227,I$174&lt;'SW Plan'!$H$227+1),('SW Plan'!$H$231-$F$213)/('SW Plan'!$H$227+1-'SW Plan'!$G$227),0),0)</f>
        <v>0</v>
      </c>
      <c r="J213" s="777">
        <f>I213+IF('SW Plan'!$E$227="Activate",IF(AND(J$174&gt;='SW Plan'!$G$227,J$174&lt;'SW Plan'!$H$227+1),('SW Plan'!$H$231-$F$213)/('SW Plan'!$H$227+1-'SW Plan'!$G$227),0),0)</f>
        <v>0</v>
      </c>
      <c r="K213" s="777">
        <f>J213+IF('SW Plan'!$E$227="Activate",IF(AND(K$174&gt;='SW Plan'!$G$227,K$174&lt;'SW Plan'!$H$227+1),('SW Plan'!$H$231-$F$213)/('SW Plan'!$H$227+1-'SW Plan'!$G$227),0),0)</f>
        <v>0</v>
      </c>
      <c r="L213" s="777">
        <f>K213+IF('SW Plan'!$E$227="Activate",IF(AND(L$174&gt;='SW Plan'!$G$227,L$174&lt;'SW Plan'!$H$227+1),('SW Plan'!$H$231-$F$213)/('SW Plan'!$H$227+1-'SW Plan'!$G$227),0),0)</f>
        <v>0</v>
      </c>
      <c r="M213" s="777">
        <f>L213+IF('SW Plan'!$E$227="Activate",IF(AND(M$174&gt;='SW Plan'!$G$227,M$174&lt;'SW Plan'!$H$227+1),('SW Plan'!$H$231-$F$213)/('SW Plan'!$H$227+1-'SW Plan'!$G$227),0),0)</f>
        <v>0</v>
      </c>
      <c r="N213" s="777">
        <f>M213+IF('SW Plan'!$E$227="Activate",IF(AND(N$174&gt;='SW Plan'!$G$227,N$174&lt;'SW Plan'!$H$227+1),('SW Plan'!$H$231-$F$213)/('SW Plan'!$H$227+1-'SW Plan'!$G$227),0),0)</f>
        <v>0</v>
      </c>
      <c r="O213" s="777">
        <f>N213+IF('SW Plan'!$E$227="Activate",IF(AND(O$174&gt;='SW Plan'!$G$227,O$174&lt;'SW Plan'!$H$227+1),('SW Plan'!$H$231-$F$213)/('SW Plan'!$H$227+1-'SW Plan'!$G$227),0),0)</f>
        <v>0</v>
      </c>
      <c r="P213" s="777">
        <f>O213+IF('SW Plan'!$E$227="Activate",IF(AND(P$174&gt;='SW Plan'!$G$227,P$174&lt;'SW Plan'!$H$227+1),('SW Plan'!$H$231-$F$213)/('SW Plan'!$H$227+1-'SW Plan'!$G$227),0),0)</f>
        <v>0</v>
      </c>
      <c r="Q213" s="68"/>
    </row>
    <row r="214" spans="1:18" s="304" customFormat="1" x14ac:dyDescent="0.25">
      <c r="A214" s="34"/>
      <c r="B214" s="34"/>
      <c r="C214" s="34"/>
      <c r="D214" s="34" t="s">
        <v>615</v>
      </c>
      <c r="E214" s="34"/>
      <c r="F214" s="34"/>
      <c r="G214" s="34"/>
      <c r="H214" s="34"/>
      <c r="I214" s="34"/>
      <c r="J214" s="34"/>
      <c r="K214" s="34"/>
      <c r="L214" s="34"/>
      <c r="M214" s="34"/>
      <c r="N214" s="34"/>
      <c r="O214" s="34"/>
      <c r="P214" s="34"/>
    </row>
    <row r="215" spans="1:18" s="48" customFormat="1" x14ac:dyDescent="0.25">
      <c r="A215" s="9"/>
      <c r="B215" s="9"/>
      <c r="C215" s="6"/>
      <c r="D215" s="341" t="s">
        <v>625</v>
      </c>
      <c r="E215" s="339"/>
      <c r="F215" s="376">
        <f>F218</f>
        <v>0</v>
      </c>
      <c r="G215" s="443">
        <f t="shared" ref="G215:P215" si="89">(F215-F216)+(F180-F209)</f>
        <v>0</v>
      </c>
      <c r="H215" s="443">
        <f t="shared" si="89"/>
        <v>0</v>
      </c>
      <c r="I215" s="443">
        <f t="shared" si="89"/>
        <v>0</v>
      </c>
      <c r="J215" s="443">
        <f t="shared" si="89"/>
        <v>0</v>
      </c>
      <c r="K215" s="443">
        <f t="shared" si="89"/>
        <v>0</v>
      </c>
      <c r="L215" s="443">
        <f t="shared" si="89"/>
        <v>0</v>
      </c>
      <c r="M215" s="443">
        <f t="shared" si="89"/>
        <v>0</v>
      </c>
      <c r="N215" s="443">
        <f t="shared" si="89"/>
        <v>0</v>
      </c>
      <c r="O215" s="443">
        <f t="shared" si="89"/>
        <v>0</v>
      </c>
      <c r="P215" s="443">
        <f t="shared" si="89"/>
        <v>0</v>
      </c>
      <c r="Q215" s="68"/>
    </row>
    <row r="216" spans="1:18" s="48" customFormat="1" x14ac:dyDescent="0.25">
      <c r="A216" s="9"/>
      <c r="B216" s="9"/>
      <c r="C216" s="6"/>
      <c r="D216" s="341" t="s">
        <v>626</v>
      </c>
      <c r="E216" s="455"/>
      <c r="F216" s="340">
        <f>F219</f>
        <v>0</v>
      </c>
      <c r="G216" s="21">
        <f>G215*$F$213</f>
        <v>0</v>
      </c>
      <c r="H216" s="21">
        <f t="shared" ref="H216:P216" si="90">H215*$F$213</f>
        <v>0</v>
      </c>
      <c r="I216" s="21">
        <f t="shared" si="90"/>
        <v>0</v>
      </c>
      <c r="J216" s="21">
        <f t="shared" si="90"/>
        <v>0</v>
      </c>
      <c r="K216" s="21">
        <f t="shared" si="90"/>
        <v>0</v>
      </c>
      <c r="L216" s="21">
        <f t="shared" si="90"/>
        <v>0</v>
      </c>
      <c r="M216" s="21">
        <f t="shared" si="90"/>
        <v>0</v>
      </c>
      <c r="N216" s="21">
        <f t="shared" si="90"/>
        <v>0</v>
      </c>
      <c r="O216" s="21">
        <f t="shared" si="90"/>
        <v>0</v>
      </c>
      <c r="P216" s="21">
        <f t="shared" si="90"/>
        <v>0</v>
      </c>
      <c r="Q216" s="68"/>
    </row>
    <row r="217" spans="1:18" s="304" customFormat="1" x14ac:dyDescent="0.25">
      <c r="A217" s="34"/>
      <c r="B217" s="34"/>
      <c r="C217" s="34"/>
      <c r="D217" s="34" t="s">
        <v>627</v>
      </c>
      <c r="E217" s="34"/>
      <c r="F217" s="34"/>
      <c r="G217" s="34"/>
      <c r="H217" s="34"/>
      <c r="I217" s="34"/>
      <c r="J217" s="34"/>
      <c r="K217" s="34"/>
      <c r="L217" s="34"/>
      <c r="M217" s="34"/>
      <c r="N217" s="34"/>
      <c r="O217" s="34"/>
      <c r="P217" s="34"/>
    </row>
    <row r="218" spans="1:18" s="48" customFormat="1" x14ac:dyDescent="0.25">
      <c r="A218" s="9"/>
      <c r="B218" s="9"/>
      <c r="C218" s="6"/>
      <c r="D218" s="341" t="s">
        <v>556</v>
      </c>
      <c r="E218" s="455"/>
      <c r="F218" s="340">
        <f>'Finance info'!I88</f>
        <v>0</v>
      </c>
      <c r="G218" s="21">
        <f t="shared" ref="G218:P218" si="91">(F218-F219)+(F186-F210)</f>
        <v>0</v>
      </c>
      <c r="H218" s="21">
        <f t="shared" si="91"/>
        <v>0</v>
      </c>
      <c r="I218" s="21">
        <f t="shared" si="91"/>
        <v>0</v>
      </c>
      <c r="J218" s="21">
        <f t="shared" si="91"/>
        <v>0</v>
      </c>
      <c r="K218" s="21">
        <f t="shared" si="91"/>
        <v>0</v>
      </c>
      <c r="L218" s="21">
        <f t="shared" si="91"/>
        <v>0</v>
      </c>
      <c r="M218" s="21">
        <f t="shared" si="91"/>
        <v>0</v>
      </c>
      <c r="N218" s="21">
        <f t="shared" si="91"/>
        <v>0</v>
      </c>
      <c r="O218" s="21">
        <f t="shared" si="91"/>
        <v>0</v>
      </c>
      <c r="P218" s="21">
        <f t="shared" si="91"/>
        <v>0</v>
      </c>
      <c r="Q218" s="68"/>
    </row>
    <row r="219" spans="1:18" s="48" customFormat="1" x14ac:dyDescent="0.25">
      <c r="A219" s="9"/>
      <c r="B219" s="9"/>
      <c r="C219" s="6"/>
      <c r="D219" s="341" t="s">
        <v>557</v>
      </c>
      <c r="E219" s="455"/>
      <c r="F219" s="340">
        <f>'Finance info'!J88</f>
        <v>0</v>
      </c>
      <c r="G219" s="21">
        <f t="shared" ref="G219:P219" si="92">G218*G213</f>
        <v>0</v>
      </c>
      <c r="H219" s="21">
        <f t="shared" si="92"/>
        <v>0</v>
      </c>
      <c r="I219" s="21">
        <f t="shared" si="92"/>
        <v>0</v>
      </c>
      <c r="J219" s="21">
        <f t="shared" si="92"/>
        <v>0</v>
      </c>
      <c r="K219" s="21">
        <f t="shared" si="92"/>
        <v>0</v>
      </c>
      <c r="L219" s="21">
        <f t="shared" si="92"/>
        <v>0</v>
      </c>
      <c r="M219" s="21">
        <f t="shared" si="92"/>
        <v>0</v>
      </c>
      <c r="N219" s="21">
        <f t="shared" si="92"/>
        <v>0</v>
      </c>
      <c r="O219" s="21">
        <f t="shared" si="92"/>
        <v>0</v>
      </c>
      <c r="P219" s="21">
        <f t="shared" si="92"/>
        <v>0</v>
      </c>
      <c r="Q219" s="68"/>
    </row>
    <row r="220" spans="1:18" s="304" customFormat="1" x14ac:dyDescent="0.25">
      <c r="A220" s="34"/>
      <c r="B220" s="34"/>
      <c r="C220" s="34"/>
      <c r="D220" s="34" t="s">
        <v>620</v>
      </c>
      <c r="E220" s="34"/>
      <c r="F220" s="34"/>
      <c r="G220" s="34"/>
      <c r="H220" s="34"/>
      <c r="I220" s="34"/>
      <c r="J220" s="34"/>
      <c r="K220" s="34"/>
      <c r="L220" s="34"/>
      <c r="M220" s="34"/>
      <c r="N220" s="34"/>
      <c r="O220" s="34"/>
      <c r="P220" s="34"/>
    </row>
    <row r="221" spans="1:18" s="48" customFormat="1" x14ac:dyDescent="0.25">
      <c r="A221" s="9"/>
      <c r="B221" s="9"/>
      <c r="C221" s="6"/>
      <c r="D221" s="341" t="s">
        <v>558</v>
      </c>
      <c r="E221" s="455"/>
      <c r="F221" s="340">
        <f>'Finance info'!I88</f>
        <v>0</v>
      </c>
      <c r="G221" s="21">
        <f t="shared" ref="G221:P221" si="93">(F221-F222)+(F198-F211)</f>
        <v>0</v>
      </c>
      <c r="H221" s="21">
        <f t="shared" si="93"/>
        <v>0</v>
      </c>
      <c r="I221" s="21">
        <f t="shared" si="93"/>
        <v>0</v>
      </c>
      <c r="J221" s="21">
        <f t="shared" si="93"/>
        <v>0</v>
      </c>
      <c r="K221" s="21">
        <f t="shared" si="93"/>
        <v>0</v>
      </c>
      <c r="L221" s="21">
        <f t="shared" si="93"/>
        <v>0</v>
      </c>
      <c r="M221" s="21">
        <f t="shared" si="93"/>
        <v>0</v>
      </c>
      <c r="N221" s="21">
        <f t="shared" si="93"/>
        <v>0</v>
      </c>
      <c r="O221" s="21">
        <f t="shared" si="93"/>
        <v>0</v>
      </c>
      <c r="P221" s="21">
        <f t="shared" si="93"/>
        <v>0</v>
      </c>
      <c r="Q221" s="68"/>
    </row>
    <row r="222" spans="1:18" s="48" customFormat="1" x14ac:dyDescent="0.25">
      <c r="A222" s="9"/>
      <c r="B222" s="9"/>
      <c r="C222" s="6"/>
      <c r="D222" s="341" t="s">
        <v>559</v>
      </c>
      <c r="E222" s="455"/>
      <c r="F222" s="340">
        <f>'Finance info'!J88</f>
        <v>0</v>
      </c>
      <c r="G222" s="21">
        <f>G221*G213</f>
        <v>0</v>
      </c>
      <c r="H222" s="21">
        <f t="shared" ref="H222:P222" si="94">H221*H213</f>
        <v>0</v>
      </c>
      <c r="I222" s="21">
        <f t="shared" si="94"/>
        <v>0</v>
      </c>
      <c r="J222" s="21">
        <f t="shared" si="94"/>
        <v>0</v>
      </c>
      <c r="K222" s="21">
        <f t="shared" si="94"/>
        <v>0</v>
      </c>
      <c r="L222" s="21">
        <f t="shared" si="94"/>
        <v>0</v>
      </c>
      <c r="M222" s="21">
        <f t="shared" si="94"/>
        <v>0</v>
      </c>
      <c r="N222" s="21">
        <f t="shared" si="94"/>
        <v>0</v>
      </c>
      <c r="O222" s="21">
        <f t="shared" si="94"/>
        <v>0</v>
      </c>
      <c r="P222" s="21">
        <f t="shared" si="94"/>
        <v>0</v>
      </c>
      <c r="Q222" s="68"/>
    </row>
    <row r="223" spans="1:18" s="124" customFormat="1" x14ac:dyDescent="0.25">
      <c r="A223" s="163"/>
      <c r="B223" s="163"/>
      <c r="C223" s="773"/>
      <c r="D223" s="747" t="str">
        <f>'Summary of PIP'!C191</f>
        <v>Billed arrears to total billed demand</v>
      </c>
      <c r="E223" s="775"/>
      <c r="F223" s="779">
        <f>IFERROR(F221/(F221+F198),0)</f>
        <v>0</v>
      </c>
      <c r="G223" s="779">
        <f t="shared" ref="G223:P223" si="95">IFERROR(G221/(G221+G198),0)</f>
        <v>0</v>
      </c>
      <c r="H223" s="779">
        <f t="shared" si="95"/>
        <v>0</v>
      </c>
      <c r="I223" s="779">
        <f t="shared" si="95"/>
        <v>0</v>
      </c>
      <c r="J223" s="779">
        <f t="shared" si="95"/>
        <v>0</v>
      </c>
      <c r="K223" s="779">
        <f t="shared" si="95"/>
        <v>0</v>
      </c>
      <c r="L223" s="779">
        <f t="shared" si="95"/>
        <v>0</v>
      </c>
      <c r="M223" s="779">
        <f t="shared" si="95"/>
        <v>0</v>
      </c>
      <c r="N223" s="779">
        <f t="shared" si="95"/>
        <v>0</v>
      </c>
      <c r="O223" s="779">
        <f t="shared" si="95"/>
        <v>0</v>
      </c>
      <c r="P223" s="779">
        <f t="shared" si="95"/>
        <v>0</v>
      </c>
    </row>
    <row r="225" spans="1:17" s="170" customFormat="1" x14ac:dyDescent="0.25">
      <c r="A225" s="204"/>
      <c r="B225" s="204"/>
      <c r="C225" s="205"/>
      <c r="D225" s="207" t="s">
        <v>142</v>
      </c>
      <c r="E225" s="205"/>
      <c r="F225" s="206"/>
      <c r="G225" s="206"/>
      <c r="H225" s="206"/>
      <c r="I225" s="206"/>
      <c r="J225" s="206"/>
      <c r="K225" s="206"/>
      <c r="L225" s="206"/>
      <c r="M225" s="206"/>
      <c r="N225" s="206"/>
      <c r="O225" s="206"/>
      <c r="P225" s="206"/>
    </row>
    <row r="226" spans="1:17" s="124" customFormat="1" x14ac:dyDescent="0.25">
      <c r="A226" s="163"/>
      <c r="B226" s="163"/>
      <c r="C226" s="456"/>
      <c r="D226" s="456" t="s">
        <v>414</v>
      </c>
      <c r="E226" s="226" t="str">
        <f>CONCATENATE('General info'!E43," ",'General info'!G43)</f>
        <v>INR Lakhs</v>
      </c>
      <c r="F226" s="376">
        <f>'Financial Projections'!J200</f>
        <v>0</v>
      </c>
      <c r="G226" s="376">
        <f>'Financial Projections'!K67</f>
        <v>0</v>
      </c>
      <c r="H226" s="376">
        <f>'Financial Projections'!L67</f>
        <v>0</v>
      </c>
      <c r="I226" s="376">
        <f>'Financial Projections'!M67</f>
        <v>0</v>
      </c>
      <c r="J226" s="376">
        <f>'Financial Projections'!N67</f>
        <v>0</v>
      </c>
      <c r="K226" s="376">
        <f>'Financial Projections'!O67</f>
        <v>0</v>
      </c>
      <c r="L226" s="376">
        <f>'Financial Projections'!P67</f>
        <v>0</v>
      </c>
      <c r="M226" s="376">
        <f>'Financial Projections'!Q67</f>
        <v>0</v>
      </c>
      <c r="N226" s="376">
        <f>'Financial Projections'!R67</f>
        <v>0</v>
      </c>
      <c r="O226" s="376">
        <f>'Financial Projections'!S67</f>
        <v>0</v>
      </c>
      <c r="P226" s="376">
        <f>'Financial Projections'!T67</f>
        <v>0</v>
      </c>
    </row>
    <row r="227" spans="1:17" s="124" customFormat="1" x14ac:dyDescent="0.25">
      <c r="A227" s="163"/>
      <c r="B227" s="163"/>
      <c r="C227" s="773"/>
      <c r="D227" s="747" t="s">
        <v>328</v>
      </c>
      <c r="E227" s="775" t="s">
        <v>18</v>
      </c>
      <c r="F227" s="747">
        <f>IFERROR(('Finance info'!$J$81)/F226,0)</f>
        <v>0</v>
      </c>
      <c r="G227" s="747">
        <f>IFERROR(('PIP finance'!G442+G211)/G226,0)</f>
        <v>0</v>
      </c>
      <c r="H227" s="747">
        <f>IFERROR(('PIP finance'!H442+H211)/H226,0)</f>
        <v>0</v>
      </c>
      <c r="I227" s="747">
        <f>IFERROR(('PIP finance'!I442+I211)/I226,0)</f>
        <v>0</v>
      </c>
      <c r="J227" s="747">
        <f>IFERROR(('PIP finance'!J442+J211)/J226,0)</f>
        <v>0</v>
      </c>
      <c r="K227" s="747">
        <f>IFERROR(('PIP finance'!K442+K211)/K226,0)</f>
        <v>0</v>
      </c>
      <c r="L227" s="747">
        <f>IFERROR(('PIP finance'!L442+L211)/L226,0)</f>
        <v>0</v>
      </c>
      <c r="M227" s="747">
        <f>IFERROR(('PIP finance'!M442+M211)/M226,0)</f>
        <v>0</v>
      </c>
      <c r="N227" s="747">
        <f>IFERROR(('PIP finance'!N442+N211)/N226,0)</f>
        <v>0</v>
      </c>
      <c r="O227" s="747">
        <f>IFERROR(('PIP finance'!O442+O211)/O226,0)</f>
        <v>0</v>
      </c>
      <c r="P227" s="747">
        <f>IFERROR(('PIP finance'!P442+P211)/P226,0)</f>
        <v>0</v>
      </c>
    </row>
    <row r="228" spans="1:17" s="124" customFormat="1" x14ac:dyDescent="0.25">
      <c r="A228" s="163"/>
      <c r="B228" s="163"/>
      <c r="C228" s="773"/>
      <c r="D228" s="747" t="s">
        <v>329</v>
      </c>
      <c r="E228" s="775" t="s">
        <v>18</v>
      </c>
      <c r="F228" s="747">
        <f>IFERROR(('Finance info'!$I$81)/F226,0)</f>
        <v>0</v>
      </c>
      <c r="G228" s="747">
        <f>IFERROR(('PIP finance'!G442+G198)/G226,0)</f>
        <v>0</v>
      </c>
      <c r="H228" s="747">
        <f>IFERROR(('PIP finance'!H442+H198)/H226,0)</f>
        <v>0</v>
      </c>
      <c r="I228" s="747">
        <f>IFERROR(('PIP finance'!I442+I198)/I226,0)</f>
        <v>0</v>
      </c>
      <c r="J228" s="747">
        <f>IFERROR(('PIP finance'!J442+J198)/J226,0)</f>
        <v>0</v>
      </c>
      <c r="K228" s="747">
        <f>IFERROR(('PIP finance'!K442+K198)/K226,0)</f>
        <v>0</v>
      </c>
      <c r="L228" s="747">
        <f>IFERROR(('PIP finance'!L442+L198)/L226,0)</f>
        <v>0</v>
      </c>
      <c r="M228" s="747">
        <f>IFERROR(('PIP finance'!M442+M198)/M226,0)</f>
        <v>0</v>
      </c>
      <c r="N228" s="747">
        <f>IFERROR(('PIP finance'!N442+N198)/N226,0)</f>
        <v>0</v>
      </c>
      <c r="O228" s="747">
        <f>IFERROR(('PIP finance'!O442+O198)/O226,0)</f>
        <v>0</v>
      </c>
      <c r="P228" s="747">
        <f>IFERROR(('PIP finance'!P442+P198)/P226,0)</f>
        <v>0</v>
      </c>
    </row>
    <row r="229" spans="1:17" s="124" customFormat="1" x14ac:dyDescent="0.25">
      <c r="A229" s="163"/>
      <c r="B229" s="163"/>
      <c r="C229" s="773"/>
      <c r="D229" s="747" t="s">
        <v>1350</v>
      </c>
      <c r="E229" s="775" t="s">
        <v>1371</v>
      </c>
      <c r="F229" s="5811">
        <f>IFERROR((F226*CurrencyMultiplier)/(F83*1000),0)</f>
        <v>0</v>
      </c>
      <c r="G229" s="5811">
        <f>IFERROR((G226*CurrencyMultiplier)/(G83*1000),0)</f>
        <v>0</v>
      </c>
      <c r="H229" s="765">
        <f>IFERROR((H226*CurrencyMultiplier)/(H83*1000),0)</f>
        <v>0</v>
      </c>
      <c r="I229" s="765">
        <f>IFERROR((I226*CurrencyMultiplier)/(I83*1000),0)</f>
        <v>0</v>
      </c>
      <c r="J229" s="765">
        <f>IFERROR((J226*CurrencyMultiplier)/(J83*1000),0)</f>
        <v>0</v>
      </c>
      <c r="K229" s="765">
        <f>IFERROR((K226*CurrencyMultiplier)/(K83*1000),0)</f>
        <v>0</v>
      </c>
      <c r="L229" s="765">
        <f>IFERROR((L226*CurrencyMultiplier)/(L83*1000),0)</f>
        <v>0</v>
      </c>
      <c r="M229" s="765">
        <f>IFERROR((M226*CurrencyMultiplier)/(M83*1000),0)</f>
        <v>0</v>
      </c>
      <c r="N229" s="765">
        <f>IFERROR((N226*CurrencyMultiplier)/(N83*1000),0)</f>
        <v>0</v>
      </c>
      <c r="O229" s="765">
        <f>IFERROR((O226*CurrencyMultiplier)/(O83*1000),0)</f>
        <v>0</v>
      </c>
      <c r="P229" s="765">
        <f>IFERROR((P226*CurrencyMultiplier)/(P83*1000),0)</f>
        <v>0</v>
      </c>
    </row>
    <row r="230" spans="1:17" s="124" customFormat="1" x14ac:dyDescent="0.25">
      <c r="A230" s="163"/>
      <c r="B230" s="163"/>
      <c r="C230" s="773"/>
      <c r="D230" s="747" t="s">
        <v>1342</v>
      </c>
      <c r="E230" s="775"/>
      <c r="F230" s="5811">
        <f>IFERROR(F226*CurrencyMultiplier/Population!E$24,0)</f>
        <v>0</v>
      </c>
      <c r="G230" s="5811">
        <f>IFERROR(G226*CurrencyMultiplier/Population!F$24,0)</f>
        <v>0</v>
      </c>
      <c r="H230" s="765">
        <f>IFERROR(H226*CurrencyMultiplier/Population!G$24,0)</f>
        <v>0</v>
      </c>
      <c r="I230" s="765">
        <f>IFERROR(I226*CurrencyMultiplier/Population!H$24,0)</f>
        <v>0</v>
      </c>
      <c r="J230" s="765">
        <f>IFERROR(J226*CurrencyMultiplier/Population!I$24,0)</f>
        <v>0</v>
      </c>
      <c r="K230" s="765">
        <f>IFERROR(K226*CurrencyMultiplier/Population!J$24,0)</f>
        <v>0</v>
      </c>
      <c r="L230" s="765">
        <f>IFERROR(L226*CurrencyMultiplier/Population!K$24,0)</f>
        <v>0</v>
      </c>
      <c r="M230" s="765">
        <f>IFERROR(M226*CurrencyMultiplier/Population!L$24,0)</f>
        <v>0</v>
      </c>
      <c r="N230" s="765">
        <f>IFERROR(N226*CurrencyMultiplier/Population!M$24,0)</f>
        <v>0</v>
      </c>
      <c r="O230" s="765">
        <f>IFERROR(O226*CurrencyMultiplier/Population!N$24,0)</f>
        <v>0</v>
      </c>
      <c r="P230" s="765">
        <f>IFERROR(P226*CurrencyMultiplier/Population!O$24,0)</f>
        <v>0</v>
      </c>
    </row>
    <row r="231" spans="1:17" s="124" customFormat="1" x14ac:dyDescent="0.25">
      <c r="A231" s="163"/>
      <c r="B231" s="163"/>
      <c r="C231" s="773"/>
      <c r="D231" s="747" t="s">
        <v>1343</v>
      </c>
      <c r="E231" s="775"/>
      <c r="F231" s="5811">
        <f>IFERROR('Financial Projections'!J191*CurrencyMultiplier/Population!E$24,0)</f>
        <v>0</v>
      </c>
      <c r="G231" s="5811">
        <f>IFERROR('Financial Projections'!K63*CurrencyMultiplier/Population!F$24,0)</f>
        <v>0</v>
      </c>
      <c r="H231" s="765">
        <f>IFERROR('Financial Projections'!L63*CurrencyMultiplier/Population!G$24,0)</f>
        <v>0</v>
      </c>
      <c r="I231" s="765">
        <f>IFERROR('Financial Projections'!M63*CurrencyMultiplier/Population!H$24,0)</f>
        <v>0</v>
      </c>
      <c r="J231" s="765">
        <f>IFERROR('Financial Projections'!N63*CurrencyMultiplier/Population!I$24,0)</f>
        <v>0</v>
      </c>
      <c r="K231" s="765">
        <f>IFERROR('Financial Projections'!O63*CurrencyMultiplier/Population!J$24,0)</f>
        <v>0</v>
      </c>
      <c r="L231" s="765">
        <f>IFERROR('Financial Projections'!P63*CurrencyMultiplier/Population!K$24,0)</f>
        <v>0</v>
      </c>
      <c r="M231" s="765">
        <f>IFERROR('Financial Projections'!Q63*CurrencyMultiplier/Population!L$24,0)</f>
        <v>0</v>
      </c>
      <c r="N231" s="765">
        <f>IFERROR('Financial Projections'!R63*CurrencyMultiplier/Population!M$24,0)</f>
        <v>0</v>
      </c>
      <c r="O231" s="765">
        <f>IFERROR('Financial Projections'!S63*CurrencyMultiplier/Population!N$24,0)</f>
        <v>0</v>
      </c>
      <c r="P231" s="765">
        <f>IFERROR('Financial Projections'!T63*CurrencyMultiplier/Population!O$24,0)</f>
        <v>0</v>
      </c>
    </row>
    <row r="234" spans="1:17" x14ac:dyDescent="0.25">
      <c r="C234" s="13" t="s">
        <v>3</v>
      </c>
      <c r="D234" s="13" t="s">
        <v>4</v>
      </c>
      <c r="E234" s="13" t="s">
        <v>33</v>
      </c>
      <c r="F234" s="13">
        <f t="shared" ref="F234:P234" si="96">F$3</f>
        <v>2014</v>
      </c>
      <c r="G234" s="13">
        <f t="shared" si="96"/>
        <v>2015</v>
      </c>
      <c r="H234" s="13">
        <f t="shared" si="96"/>
        <v>2016</v>
      </c>
      <c r="I234" s="13">
        <f t="shared" si="96"/>
        <v>2017</v>
      </c>
      <c r="J234" s="13">
        <f t="shared" si="96"/>
        <v>2018</v>
      </c>
      <c r="K234" s="13">
        <f t="shared" si="96"/>
        <v>2019</v>
      </c>
      <c r="L234" s="13">
        <f t="shared" si="96"/>
        <v>2020</v>
      </c>
      <c r="M234" s="13">
        <f t="shared" si="96"/>
        <v>2021</v>
      </c>
      <c r="N234" s="13">
        <f t="shared" si="96"/>
        <v>2022</v>
      </c>
      <c r="O234" s="13">
        <f t="shared" si="96"/>
        <v>2023</v>
      </c>
      <c r="P234" s="13">
        <f t="shared" si="96"/>
        <v>2024</v>
      </c>
    </row>
    <row r="235" spans="1:17" s="48" customFormat="1" x14ac:dyDescent="0.25">
      <c r="A235" s="3"/>
      <c r="B235" s="3"/>
      <c r="C235" s="671"/>
      <c r="D235" s="720" t="s">
        <v>564</v>
      </c>
      <c r="E235" s="669"/>
      <c r="F235" s="726">
        <f>IFERROR(F216+F209,0)</f>
        <v>0</v>
      </c>
      <c r="G235" s="726">
        <f t="shared" ref="G235:P235" si="97">IFERROR(G216+G209,0)</f>
        <v>0</v>
      </c>
      <c r="H235" s="726">
        <f t="shared" si="97"/>
        <v>0</v>
      </c>
      <c r="I235" s="726">
        <f t="shared" si="97"/>
        <v>0</v>
      </c>
      <c r="J235" s="726">
        <f t="shared" si="97"/>
        <v>0</v>
      </c>
      <c r="K235" s="726">
        <f t="shared" si="97"/>
        <v>0</v>
      </c>
      <c r="L235" s="726">
        <f t="shared" si="97"/>
        <v>0</v>
      </c>
      <c r="M235" s="726">
        <f t="shared" si="97"/>
        <v>0</v>
      </c>
      <c r="N235" s="726">
        <f t="shared" si="97"/>
        <v>0</v>
      </c>
      <c r="O235" s="726">
        <f t="shared" si="97"/>
        <v>0</v>
      </c>
      <c r="P235" s="726">
        <f t="shared" si="97"/>
        <v>0</v>
      </c>
      <c r="Q235" s="68"/>
    </row>
    <row r="236" spans="1:17" s="48" customFormat="1" x14ac:dyDescent="0.25">
      <c r="A236" s="3"/>
      <c r="B236" s="3"/>
      <c r="C236" s="671"/>
      <c r="D236" s="720" t="s">
        <v>560</v>
      </c>
      <c r="E236" s="669"/>
      <c r="F236" s="726">
        <f>IFERROR(F219+F210+'PIP finance'!F442,0)</f>
        <v>0</v>
      </c>
      <c r="G236" s="726">
        <f>IFERROR(G219+G210+'PIP finance'!G442,0)</f>
        <v>0</v>
      </c>
      <c r="H236" s="726">
        <f>IFERROR(H219+H210+'PIP finance'!H442,0)</f>
        <v>0</v>
      </c>
      <c r="I236" s="726">
        <f>IFERROR(I219+I210+'PIP finance'!I442,0)</f>
        <v>0</v>
      </c>
      <c r="J236" s="726">
        <f>IFERROR(J219+J210+'PIP finance'!J442,0)</f>
        <v>0</v>
      </c>
      <c r="K236" s="726">
        <f>IFERROR(K219+K210+'PIP finance'!K442,0)</f>
        <v>0</v>
      </c>
      <c r="L236" s="726">
        <f>IFERROR(L219+L210+'PIP finance'!L442,0)</f>
        <v>0</v>
      </c>
      <c r="M236" s="726">
        <f>IFERROR(M219+M210+'PIP finance'!M442,0)</f>
        <v>0</v>
      </c>
      <c r="N236" s="726">
        <f>IFERROR(N219+N210+'PIP finance'!N442,0)</f>
        <v>0</v>
      </c>
      <c r="O236" s="726">
        <f>IFERROR(O219+O210+'PIP finance'!O442,0)</f>
        <v>0</v>
      </c>
      <c r="P236" s="726">
        <f>IFERROR(P219+P210+'PIP finance'!P442,0)</f>
        <v>0</v>
      </c>
      <c r="Q236" s="68"/>
    </row>
    <row r="237" spans="1:17" s="48" customFormat="1" x14ac:dyDescent="0.25">
      <c r="A237" s="3"/>
      <c r="B237" s="3"/>
      <c r="C237" s="671"/>
      <c r="D237" s="720" t="s">
        <v>561</v>
      </c>
      <c r="E237" s="669"/>
      <c r="F237" s="726">
        <f>IFERROR(F222+F211+'PIP finance'!F442,0)</f>
        <v>0</v>
      </c>
      <c r="G237" s="726">
        <f>IFERROR(G222+G211+'PIP finance'!G442,0)</f>
        <v>0</v>
      </c>
      <c r="H237" s="726">
        <f>IFERROR(H222+H211+'PIP finance'!H442,0)</f>
        <v>0</v>
      </c>
      <c r="I237" s="726">
        <f>IFERROR(I222+I211+'PIP finance'!I442,0)</f>
        <v>0</v>
      </c>
      <c r="J237" s="726">
        <f>IFERROR(J222+J211+'PIP finance'!J442,0)</f>
        <v>0</v>
      </c>
      <c r="K237" s="726">
        <f>IFERROR(K222+K211+'PIP finance'!K442,0)</f>
        <v>0</v>
      </c>
      <c r="L237" s="726">
        <f>IFERROR(L222+L211+'PIP finance'!L442,0)</f>
        <v>0</v>
      </c>
      <c r="M237" s="726">
        <f>IFERROR(M222+M211+'PIP finance'!M442,0)</f>
        <v>0</v>
      </c>
      <c r="N237" s="726">
        <f>IFERROR(N222+N211+'PIP finance'!N442,0)</f>
        <v>0</v>
      </c>
      <c r="O237" s="726">
        <f>IFERROR(O222+O211+'PIP finance'!O442,0)</f>
        <v>0</v>
      </c>
      <c r="P237" s="726">
        <f>IFERROR(P222+P211+'PIP finance'!P442,0)</f>
        <v>0</v>
      </c>
      <c r="Q237" s="68"/>
    </row>
    <row r="238" spans="1:17" s="1076" customFormat="1" ht="12.75" x14ac:dyDescent="0.25">
      <c r="A238" s="1032"/>
      <c r="B238" s="1072"/>
      <c r="D238" s="1073" t="s">
        <v>1189</v>
      </c>
      <c r="F238" s="1075">
        <f>F236-F235</f>
        <v>0</v>
      </c>
      <c r="G238" s="1075">
        <f t="shared" ref="G238:P238" si="98">G236-G235</f>
        <v>0</v>
      </c>
      <c r="H238" s="1075">
        <f t="shared" si="98"/>
        <v>0</v>
      </c>
      <c r="I238" s="1075">
        <f t="shared" si="98"/>
        <v>0</v>
      </c>
      <c r="J238" s="1075">
        <f t="shared" si="98"/>
        <v>0</v>
      </c>
      <c r="K238" s="1075">
        <f t="shared" si="98"/>
        <v>0</v>
      </c>
      <c r="L238" s="1075">
        <f t="shared" si="98"/>
        <v>0</v>
      </c>
      <c r="M238" s="1075">
        <f t="shared" si="98"/>
        <v>0</v>
      </c>
      <c r="N238" s="1075">
        <f t="shared" si="98"/>
        <v>0</v>
      </c>
      <c r="O238" s="1075">
        <f t="shared" si="98"/>
        <v>0</v>
      </c>
      <c r="P238" s="1075">
        <f t="shared" si="98"/>
        <v>0</v>
      </c>
    </row>
    <row r="239" spans="1:17" s="1076" customFormat="1" ht="12.75" x14ac:dyDescent="0.25">
      <c r="A239" s="1032"/>
      <c r="B239" s="1072"/>
      <c r="C239" s="1077"/>
      <c r="D239" s="1073" t="s">
        <v>1185</v>
      </c>
      <c r="E239" s="1074"/>
      <c r="F239" s="1075">
        <f>F237-F236</f>
        <v>0</v>
      </c>
      <c r="G239" s="1075">
        <f t="shared" ref="G239:P239" si="99">G237-G236</f>
        <v>0</v>
      </c>
      <c r="H239" s="1075">
        <f t="shared" si="99"/>
        <v>0</v>
      </c>
      <c r="I239" s="1075">
        <f t="shared" si="99"/>
        <v>0</v>
      </c>
      <c r="J239" s="1075">
        <f t="shared" si="99"/>
        <v>0</v>
      </c>
      <c r="K239" s="1075">
        <f t="shared" si="99"/>
        <v>0</v>
      </c>
      <c r="L239" s="1075">
        <f t="shared" si="99"/>
        <v>0</v>
      </c>
      <c r="M239" s="1075">
        <f t="shared" si="99"/>
        <v>0</v>
      </c>
      <c r="N239" s="1075">
        <f t="shared" si="99"/>
        <v>0</v>
      </c>
      <c r="O239" s="1075">
        <f t="shared" si="99"/>
        <v>0</v>
      </c>
      <c r="P239" s="1075">
        <f t="shared" si="99"/>
        <v>0</v>
      </c>
    </row>
    <row r="240" spans="1:17" x14ac:dyDescent="0.25">
      <c r="F240" s="24"/>
      <c r="G240" s="24"/>
      <c r="H240" s="24"/>
      <c r="I240" s="24"/>
      <c r="J240" s="24"/>
      <c r="K240" s="24"/>
      <c r="L240" s="24"/>
      <c r="M240" s="24"/>
      <c r="N240" s="24"/>
      <c r="O240" s="24"/>
      <c r="P240" s="24"/>
    </row>
    <row r="241" spans="1:17" x14ac:dyDescent="0.25">
      <c r="D241" s="42"/>
      <c r="G241" s="38"/>
      <c r="H241" s="38"/>
      <c r="I241" s="38"/>
      <c r="J241" s="38"/>
    </row>
    <row r="242" spans="1:17" x14ac:dyDescent="0.25">
      <c r="G242" s="38"/>
      <c r="H242" s="38"/>
      <c r="I242" s="38"/>
      <c r="J242" s="38"/>
    </row>
    <row r="243" spans="1:17" s="48" customFormat="1" ht="18.75" x14ac:dyDescent="0.25">
      <c r="A243" s="381"/>
      <c r="B243" s="381"/>
      <c r="C243" s="381"/>
      <c r="D243" s="383" t="s">
        <v>569</v>
      </c>
      <c r="E243" s="381"/>
      <c r="F243" s="381"/>
      <c r="G243" s="381"/>
      <c r="H243" s="381"/>
      <c r="I243" s="381"/>
      <c r="J243" s="381"/>
      <c r="K243" s="381"/>
      <c r="L243" s="381"/>
      <c r="M243" s="381"/>
      <c r="N243" s="381"/>
      <c r="O243" s="381"/>
      <c r="P243" s="382"/>
    </row>
    <row r="244" spans="1:17" ht="15.75" thickBot="1" x14ac:dyDescent="0.3"/>
    <row r="245" spans="1:17" x14ac:dyDescent="0.25">
      <c r="A245" s="27"/>
      <c r="B245" s="27"/>
      <c r="C245" s="27"/>
      <c r="D245" s="1400" t="s">
        <v>455</v>
      </c>
      <c r="E245" s="1006"/>
      <c r="F245" s="543">
        <f t="shared" ref="F245:P245" si="100">F292</f>
        <v>2014</v>
      </c>
      <c r="G245" s="543">
        <f t="shared" si="100"/>
        <v>2015</v>
      </c>
      <c r="H245" s="543">
        <f t="shared" si="100"/>
        <v>2016</v>
      </c>
      <c r="I245" s="543">
        <f t="shared" si="100"/>
        <v>2017</v>
      </c>
      <c r="J245" s="543">
        <f t="shared" si="100"/>
        <v>2018</v>
      </c>
      <c r="K245" s="543">
        <f t="shared" si="100"/>
        <v>2019</v>
      </c>
      <c r="L245" s="543">
        <f t="shared" si="100"/>
        <v>2020</v>
      </c>
      <c r="M245" s="543">
        <f t="shared" si="100"/>
        <v>2021</v>
      </c>
      <c r="N245" s="543">
        <f t="shared" si="100"/>
        <v>2022</v>
      </c>
      <c r="O245" s="543">
        <f t="shared" si="100"/>
        <v>2023</v>
      </c>
      <c r="P245" s="544">
        <f t="shared" si="100"/>
        <v>2024</v>
      </c>
    </row>
    <row r="246" spans="1:17" x14ac:dyDescent="0.25">
      <c r="A246" s="27"/>
      <c r="B246" s="27"/>
      <c r="C246" s="27"/>
      <c r="D246" s="4750" t="s">
        <v>738</v>
      </c>
      <c r="E246" s="1162"/>
      <c r="F246" s="541"/>
      <c r="G246" s="541"/>
      <c r="H246" s="541"/>
      <c r="I246" s="541"/>
      <c r="J246" s="541"/>
      <c r="K246" s="541"/>
      <c r="L246" s="541"/>
      <c r="M246" s="541"/>
      <c r="N246" s="541"/>
      <c r="O246" s="541"/>
      <c r="P246" s="542"/>
    </row>
    <row r="247" spans="1:17" x14ac:dyDescent="0.25">
      <c r="A247" s="27"/>
      <c r="B247" s="27"/>
      <c r="C247" s="27"/>
      <c r="D247" s="1161" t="s">
        <v>2888</v>
      </c>
      <c r="E247" s="1162"/>
      <c r="F247" s="348">
        <f>F18</f>
        <v>9007</v>
      </c>
      <c r="G247" s="348">
        <f t="shared" ref="G247:P247" si="101">G18</f>
        <v>9007</v>
      </c>
      <c r="H247" s="348">
        <f t="shared" si="101"/>
        <v>9007</v>
      </c>
      <c r="I247" s="348">
        <f t="shared" si="101"/>
        <v>9007</v>
      </c>
      <c r="J247" s="348">
        <f t="shared" si="101"/>
        <v>9007</v>
      </c>
      <c r="K247" s="348">
        <f t="shared" si="101"/>
        <v>9007</v>
      </c>
      <c r="L247" s="348">
        <f t="shared" si="101"/>
        <v>9007</v>
      </c>
      <c r="M247" s="348">
        <f t="shared" si="101"/>
        <v>9007</v>
      </c>
      <c r="N247" s="348">
        <f t="shared" si="101"/>
        <v>9007</v>
      </c>
      <c r="O247" s="348">
        <f t="shared" si="101"/>
        <v>9007</v>
      </c>
      <c r="P247" s="841">
        <f t="shared" si="101"/>
        <v>9007</v>
      </c>
    </row>
    <row r="248" spans="1:17" x14ac:dyDescent="0.25">
      <c r="A248" s="27"/>
      <c r="B248" s="27"/>
      <c r="C248" s="27"/>
      <c r="D248" s="1161" t="s">
        <v>1808</v>
      </c>
      <c r="E248" s="1162"/>
      <c r="F248" s="4627">
        <f>F26</f>
        <v>9007</v>
      </c>
      <c r="G248" s="348">
        <f>G26</f>
        <v>9007</v>
      </c>
      <c r="H248" s="348">
        <f t="shared" ref="H248:P248" si="102">H26</f>
        <v>9007</v>
      </c>
      <c r="I248" s="348">
        <f t="shared" si="102"/>
        <v>9007</v>
      </c>
      <c r="J248" s="348">
        <f t="shared" si="102"/>
        <v>9007</v>
      </c>
      <c r="K248" s="348">
        <f t="shared" si="102"/>
        <v>9007</v>
      </c>
      <c r="L248" s="348">
        <f t="shared" si="102"/>
        <v>9007</v>
      </c>
      <c r="M248" s="348">
        <f t="shared" si="102"/>
        <v>9007</v>
      </c>
      <c r="N248" s="348">
        <f t="shared" si="102"/>
        <v>9007</v>
      </c>
      <c r="O248" s="348">
        <f t="shared" si="102"/>
        <v>9007</v>
      </c>
      <c r="P248" s="841">
        <f t="shared" si="102"/>
        <v>9007</v>
      </c>
    </row>
    <row r="249" spans="1:17" x14ac:dyDescent="0.25">
      <c r="A249" s="27"/>
      <c r="B249" s="27"/>
      <c r="C249" s="27"/>
      <c r="D249" s="1161" t="s">
        <v>1809</v>
      </c>
      <c r="E249" s="1162"/>
      <c r="F249" s="4627">
        <f>F34</f>
        <v>9007</v>
      </c>
      <c r="G249" s="348">
        <f>G34</f>
        <v>9007</v>
      </c>
      <c r="H249" s="348">
        <f t="shared" ref="H249:P249" si="103">H34</f>
        <v>9007</v>
      </c>
      <c r="I249" s="348">
        <f t="shared" si="103"/>
        <v>9007</v>
      </c>
      <c r="J249" s="348">
        <f t="shared" si="103"/>
        <v>9007</v>
      </c>
      <c r="K249" s="348">
        <f t="shared" si="103"/>
        <v>9007</v>
      </c>
      <c r="L249" s="348">
        <f t="shared" si="103"/>
        <v>9007</v>
      </c>
      <c r="M249" s="348">
        <f t="shared" si="103"/>
        <v>9007</v>
      </c>
      <c r="N249" s="348">
        <f t="shared" si="103"/>
        <v>9007</v>
      </c>
      <c r="O249" s="348">
        <f t="shared" si="103"/>
        <v>9007</v>
      </c>
      <c r="P249" s="841">
        <f t="shared" si="103"/>
        <v>9007</v>
      </c>
    </row>
    <row r="250" spans="1:17" x14ac:dyDescent="0.25">
      <c r="A250" s="27"/>
      <c r="B250" s="27"/>
      <c r="C250" s="27"/>
      <c r="D250" s="1161" t="s">
        <v>1810</v>
      </c>
      <c r="E250" s="1162"/>
      <c r="F250" s="4627">
        <f>F42</f>
        <v>9007</v>
      </c>
      <c r="G250" s="348">
        <f>G42</f>
        <v>9007</v>
      </c>
      <c r="H250" s="348">
        <f t="shared" ref="H250:P250" si="104">H42</f>
        <v>9007</v>
      </c>
      <c r="I250" s="348">
        <f t="shared" si="104"/>
        <v>9007</v>
      </c>
      <c r="J250" s="348">
        <f t="shared" si="104"/>
        <v>9007</v>
      </c>
      <c r="K250" s="348">
        <f t="shared" si="104"/>
        <v>9007</v>
      </c>
      <c r="L250" s="348">
        <f t="shared" si="104"/>
        <v>9007</v>
      </c>
      <c r="M250" s="348">
        <f t="shared" si="104"/>
        <v>9007</v>
      </c>
      <c r="N250" s="348">
        <f t="shared" si="104"/>
        <v>9007</v>
      </c>
      <c r="O250" s="348">
        <f t="shared" si="104"/>
        <v>9007</v>
      </c>
      <c r="P250" s="841">
        <f t="shared" si="104"/>
        <v>9007</v>
      </c>
    </row>
    <row r="251" spans="1:17" s="170" customFormat="1" x14ac:dyDescent="0.25">
      <c r="D251" s="1161" t="s">
        <v>1811</v>
      </c>
      <c r="E251" s="1162"/>
      <c r="F251" s="4625">
        <f>F55</f>
        <v>9007</v>
      </c>
      <c r="G251" s="597">
        <f>G55</f>
        <v>9007</v>
      </c>
      <c r="H251" s="597">
        <f t="shared" ref="H251:P251" si="105">H55</f>
        <v>9007</v>
      </c>
      <c r="I251" s="597">
        <f t="shared" si="105"/>
        <v>9007</v>
      </c>
      <c r="J251" s="597">
        <f t="shared" si="105"/>
        <v>9007</v>
      </c>
      <c r="K251" s="597">
        <f t="shared" si="105"/>
        <v>9007</v>
      </c>
      <c r="L251" s="597">
        <f t="shared" si="105"/>
        <v>9007</v>
      </c>
      <c r="M251" s="597">
        <f t="shared" si="105"/>
        <v>9007</v>
      </c>
      <c r="N251" s="597">
        <f t="shared" si="105"/>
        <v>9007</v>
      </c>
      <c r="O251" s="597">
        <f t="shared" si="105"/>
        <v>9007</v>
      </c>
      <c r="P251" s="652">
        <f t="shared" si="105"/>
        <v>9007</v>
      </c>
      <c r="Q251" s="52"/>
    </row>
    <row r="252" spans="1:17" x14ac:dyDescent="0.25">
      <c r="A252" s="27"/>
      <c r="B252" s="27"/>
      <c r="C252" s="27"/>
      <c r="D252" s="2419" t="s">
        <v>2977</v>
      </c>
      <c r="E252" s="570"/>
      <c r="F252" s="1215">
        <f>Population!E31</f>
        <v>0</v>
      </c>
      <c r="G252" s="1215">
        <f>Population!F31</f>
        <v>0</v>
      </c>
      <c r="H252" s="1215">
        <f>Population!G31</f>
        <v>0</v>
      </c>
      <c r="I252" s="1215">
        <f>Population!H31</f>
        <v>0</v>
      </c>
      <c r="J252" s="1215">
        <f>Population!I31</f>
        <v>0</v>
      </c>
      <c r="K252" s="1215">
        <f>Population!J31</f>
        <v>0</v>
      </c>
      <c r="L252" s="1215">
        <f>Population!K31</f>
        <v>0</v>
      </c>
      <c r="M252" s="1215">
        <f>Population!L31</f>
        <v>0</v>
      </c>
      <c r="N252" s="1215">
        <f>Population!M31</f>
        <v>0</v>
      </c>
      <c r="O252" s="1215">
        <f>Population!N31</f>
        <v>0</v>
      </c>
      <c r="P252" s="1216">
        <f>Population!O31</f>
        <v>0</v>
      </c>
    </row>
    <row r="253" spans="1:17" x14ac:dyDescent="0.25">
      <c r="A253" s="27"/>
      <c r="B253" s="27"/>
      <c r="C253" s="27"/>
      <c r="D253" s="4750" t="s">
        <v>739</v>
      </c>
      <c r="E253" s="1162"/>
      <c r="F253" s="541"/>
      <c r="G253" s="541"/>
      <c r="H253" s="541"/>
      <c r="I253" s="541"/>
      <c r="J253" s="541"/>
      <c r="K253" s="541"/>
      <c r="L253" s="541"/>
      <c r="M253" s="541"/>
      <c r="N253" s="541"/>
      <c r="O253" s="541"/>
      <c r="P253" s="542"/>
    </row>
    <row r="254" spans="1:17" x14ac:dyDescent="0.25">
      <c r="A254" s="27"/>
      <c r="B254" s="27"/>
      <c r="C254" s="27"/>
      <c r="D254" s="1161" t="s">
        <v>1811</v>
      </c>
      <c r="E254" s="1162"/>
      <c r="F254" s="536"/>
      <c r="G254" s="536"/>
      <c r="H254" s="536"/>
      <c r="I254" s="536"/>
      <c r="J254" s="536"/>
      <c r="K254" s="536"/>
      <c r="L254" s="536"/>
      <c r="M254" s="536"/>
      <c r="N254" s="536"/>
      <c r="O254" s="536"/>
      <c r="P254" s="537"/>
    </row>
    <row r="255" spans="1:17" x14ac:dyDescent="0.25">
      <c r="A255" s="27"/>
      <c r="B255" s="27"/>
      <c r="C255" s="27"/>
      <c r="D255" s="1161" t="s">
        <v>1810</v>
      </c>
      <c r="E255" s="1162"/>
      <c r="F255" s="4627">
        <f>F43</f>
        <v>360</v>
      </c>
      <c r="G255" s="348">
        <f>G43</f>
        <v>360</v>
      </c>
      <c r="H255" s="348">
        <f t="shared" ref="H255:P255" si="106">H43</f>
        <v>360</v>
      </c>
      <c r="I255" s="348">
        <f t="shared" si="106"/>
        <v>360</v>
      </c>
      <c r="J255" s="348">
        <f t="shared" si="106"/>
        <v>360</v>
      </c>
      <c r="K255" s="348">
        <f t="shared" si="106"/>
        <v>360</v>
      </c>
      <c r="L255" s="348">
        <f t="shared" si="106"/>
        <v>360</v>
      </c>
      <c r="M255" s="348">
        <f t="shared" si="106"/>
        <v>360</v>
      </c>
      <c r="N255" s="348">
        <f t="shared" si="106"/>
        <v>360</v>
      </c>
      <c r="O255" s="348">
        <f t="shared" si="106"/>
        <v>360</v>
      </c>
      <c r="P255" s="841">
        <f t="shared" si="106"/>
        <v>360</v>
      </c>
    </row>
    <row r="256" spans="1:17" x14ac:dyDescent="0.25">
      <c r="A256" s="27"/>
      <c r="B256" s="27"/>
      <c r="C256" s="27"/>
      <c r="D256" s="1161" t="s">
        <v>1809</v>
      </c>
      <c r="E256" s="1162"/>
      <c r="F256" s="4627">
        <f>F35</f>
        <v>360</v>
      </c>
      <c r="G256" s="348">
        <f>G35</f>
        <v>360</v>
      </c>
      <c r="H256" s="348">
        <f t="shared" ref="H256:P256" si="107">H35</f>
        <v>360</v>
      </c>
      <c r="I256" s="348">
        <f t="shared" si="107"/>
        <v>360</v>
      </c>
      <c r="J256" s="348">
        <f t="shared" si="107"/>
        <v>360</v>
      </c>
      <c r="K256" s="348">
        <f t="shared" si="107"/>
        <v>360</v>
      </c>
      <c r="L256" s="348">
        <f t="shared" si="107"/>
        <v>360</v>
      </c>
      <c r="M256" s="348">
        <f t="shared" si="107"/>
        <v>360</v>
      </c>
      <c r="N256" s="348">
        <f t="shared" si="107"/>
        <v>360</v>
      </c>
      <c r="O256" s="348">
        <f t="shared" si="107"/>
        <v>360</v>
      </c>
      <c r="P256" s="841">
        <f t="shared" si="107"/>
        <v>360</v>
      </c>
    </row>
    <row r="257" spans="1:16" x14ac:dyDescent="0.25">
      <c r="A257" s="27"/>
      <c r="B257" s="27"/>
      <c r="C257" s="27"/>
      <c r="D257" s="1161" t="s">
        <v>1808</v>
      </c>
      <c r="E257" s="1162"/>
      <c r="F257" s="4627">
        <f>F27</f>
        <v>360</v>
      </c>
      <c r="G257" s="348">
        <f>G27</f>
        <v>360</v>
      </c>
      <c r="H257" s="348">
        <f t="shared" ref="H257:P257" si="108">H27</f>
        <v>360</v>
      </c>
      <c r="I257" s="348">
        <f t="shared" si="108"/>
        <v>360</v>
      </c>
      <c r="J257" s="348">
        <f t="shared" si="108"/>
        <v>360</v>
      </c>
      <c r="K257" s="348">
        <f t="shared" si="108"/>
        <v>360</v>
      </c>
      <c r="L257" s="348">
        <f t="shared" si="108"/>
        <v>360</v>
      </c>
      <c r="M257" s="348">
        <f t="shared" si="108"/>
        <v>360</v>
      </c>
      <c r="N257" s="348">
        <f t="shared" si="108"/>
        <v>360</v>
      </c>
      <c r="O257" s="348">
        <f t="shared" si="108"/>
        <v>360</v>
      </c>
      <c r="P257" s="841">
        <f t="shared" si="108"/>
        <v>360</v>
      </c>
    </row>
    <row r="258" spans="1:16" x14ac:dyDescent="0.25">
      <c r="A258" s="27"/>
      <c r="B258" s="27"/>
      <c r="C258" s="27"/>
      <c r="D258" s="1161" t="s">
        <v>2888</v>
      </c>
      <c r="E258" s="1162"/>
      <c r="F258" s="4627">
        <f>F19</f>
        <v>360</v>
      </c>
      <c r="G258" s="348">
        <f>G19</f>
        <v>360</v>
      </c>
      <c r="H258" s="348">
        <f t="shared" ref="H258:P258" si="109">H19</f>
        <v>360</v>
      </c>
      <c r="I258" s="348">
        <f t="shared" si="109"/>
        <v>360</v>
      </c>
      <c r="J258" s="348">
        <f t="shared" si="109"/>
        <v>360</v>
      </c>
      <c r="K258" s="348">
        <f t="shared" si="109"/>
        <v>360</v>
      </c>
      <c r="L258" s="348">
        <f t="shared" si="109"/>
        <v>360</v>
      </c>
      <c r="M258" s="348">
        <f t="shared" si="109"/>
        <v>360</v>
      </c>
      <c r="N258" s="348">
        <f t="shared" si="109"/>
        <v>360</v>
      </c>
      <c r="O258" s="348">
        <f t="shared" si="109"/>
        <v>360</v>
      </c>
      <c r="P258" s="841">
        <f t="shared" si="109"/>
        <v>360</v>
      </c>
    </row>
    <row r="259" spans="1:16" x14ac:dyDescent="0.25">
      <c r="A259" s="27"/>
      <c r="B259" s="27"/>
      <c r="C259" s="27"/>
      <c r="D259" s="2419" t="s">
        <v>2977</v>
      </c>
      <c r="E259" s="570"/>
      <c r="F259" s="1215">
        <f>F12</f>
        <v>0</v>
      </c>
      <c r="G259" s="1215">
        <f t="shared" ref="G259:P259" si="110">G12</f>
        <v>0</v>
      </c>
      <c r="H259" s="1215">
        <f t="shared" si="110"/>
        <v>0</v>
      </c>
      <c r="I259" s="1215">
        <f t="shared" si="110"/>
        <v>0</v>
      </c>
      <c r="J259" s="1215">
        <f t="shared" si="110"/>
        <v>0</v>
      </c>
      <c r="K259" s="1215">
        <f t="shared" si="110"/>
        <v>0</v>
      </c>
      <c r="L259" s="1215">
        <f t="shared" si="110"/>
        <v>0</v>
      </c>
      <c r="M259" s="1215">
        <f t="shared" si="110"/>
        <v>0</v>
      </c>
      <c r="N259" s="1215">
        <f t="shared" si="110"/>
        <v>0</v>
      </c>
      <c r="O259" s="1215">
        <f t="shared" si="110"/>
        <v>0</v>
      </c>
      <c r="P259" s="1216">
        <f t="shared" si="110"/>
        <v>0</v>
      </c>
    </row>
    <row r="260" spans="1:16" x14ac:dyDescent="0.25">
      <c r="A260" s="27"/>
      <c r="B260" s="27"/>
      <c r="C260" s="27"/>
      <c r="D260" s="4750" t="s">
        <v>740</v>
      </c>
      <c r="E260" s="1162"/>
      <c r="F260" s="4748"/>
      <c r="G260" s="1162"/>
      <c r="H260" s="425"/>
      <c r="I260" s="425"/>
      <c r="J260" s="425"/>
      <c r="K260" s="425"/>
      <c r="L260" s="1162"/>
      <c r="M260" s="1162"/>
      <c r="N260" s="1162"/>
      <c r="O260" s="1162"/>
      <c r="P260" s="4749"/>
    </row>
    <row r="261" spans="1:16" x14ac:dyDescent="0.25">
      <c r="A261" s="27"/>
      <c r="B261" s="27"/>
      <c r="C261" s="27"/>
      <c r="D261" s="1161" t="s">
        <v>493</v>
      </c>
      <c r="E261" s="1162"/>
      <c r="F261" s="558">
        <v>0</v>
      </c>
      <c r="G261" s="558">
        <f>SUM('PIP finance'!G325:G332)</f>
        <v>0</v>
      </c>
      <c r="H261" s="558">
        <f>SUM('PIP finance'!H325:H332)</f>
        <v>0</v>
      </c>
      <c r="I261" s="558">
        <f>SUM('PIP finance'!I325:I332)</f>
        <v>0</v>
      </c>
      <c r="J261" s="558">
        <f>SUM('PIP finance'!J325:J332)</f>
        <v>0</v>
      </c>
      <c r="K261" s="558">
        <f>SUM('PIP finance'!K325:K332)</f>
        <v>0</v>
      </c>
      <c r="L261" s="558">
        <f>SUM('PIP finance'!L325:L332)</f>
        <v>0</v>
      </c>
      <c r="M261" s="558">
        <f>SUM('PIP finance'!M325:M332)</f>
        <v>0</v>
      </c>
      <c r="N261" s="558">
        <f>SUM('PIP finance'!N325:N332)</f>
        <v>0</v>
      </c>
      <c r="O261" s="558">
        <f>SUM('PIP finance'!O325:O332)</f>
        <v>0</v>
      </c>
      <c r="P261" s="653">
        <f>SUM('PIP finance'!P325:P332)</f>
        <v>0</v>
      </c>
    </row>
    <row r="262" spans="1:16" x14ac:dyDescent="0.25">
      <c r="A262" s="27"/>
      <c r="B262" s="27"/>
      <c r="C262" s="27"/>
      <c r="D262" s="1161" t="s">
        <v>494</v>
      </c>
      <c r="E262" s="1162"/>
      <c r="F262" s="558">
        <v>0</v>
      </c>
      <c r="G262" s="558">
        <f>SUM('PIP finance'!G366:G373)</f>
        <v>0</v>
      </c>
      <c r="H262" s="558">
        <f>SUM('PIP finance'!H366:H373)</f>
        <v>0</v>
      </c>
      <c r="I262" s="558">
        <f>SUM('PIP finance'!I366:I373)</f>
        <v>0</v>
      </c>
      <c r="J262" s="558">
        <f>SUM('PIP finance'!J366:J373)</f>
        <v>0</v>
      </c>
      <c r="K262" s="558">
        <f>SUM('PIP finance'!K366:K373)</f>
        <v>0</v>
      </c>
      <c r="L262" s="558">
        <f>SUM('PIP finance'!L366:L373)</f>
        <v>0</v>
      </c>
      <c r="M262" s="558">
        <f>SUM('PIP finance'!M366:M373)</f>
        <v>0</v>
      </c>
      <c r="N262" s="558">
        <f>SUM('PIP finance'!N366:N373)</f>
        <v>0</v>
      </c>
      <c r="O262" s="558">
        <f>SUM('PIP finance'!O366:O373)</f>
        <v>0</v>
      </c>
      <c r="P262" s="653">
        <f>SUM('PIP finance'!P366:P373)</f>
        <v>0</v>
      </c>
    </row>
    <row r="263" spans="1:16" ht="15.75" thickBot="1" x14ac:dyDescent="0.3">
      <c r="A263" s="27"/>
      <c r="B263" s="27"/>
      <c r="C263" s="27"/>
      <c r="D263" s="1159" t="s">
        <v>495</v>
      </c>
      <c r="E263" s="1160"/>
      <c r="F263" s="962">
        <v>0</v>
      </c>
      <c r="G263" s="962">
        <f>SUM('PIP finance'!G407:G414)+G186</f>
        <v>0</v>
      </c>
      <c r="H263" s="962">
        <f>SUM('PIP finance'!H407:H414)+H186</f>
        <v>0</v>
      </c>
      <c r="I263" s="962">
        <f>SUM('PIP finance'!I407:I414)+I186</f>
        <v>0</v>
      </c>
      <c r="J263" s="962">
        <f>SUM('PIP finance'!J407:J414)+J186</f>
        <v>0</v>
      </c>
      <c r="K263" s="962">
        <f>SUM('PIP finance'!K407:K414)+K186</f>
        <v>0</v>
      </c>
      <c r="L263" s="962">
        <f>SUM('PIP finance'!L407:L414)+L186</f>
        <v>0</v>
      </c>
      <c r="M263" s="962">
        <f>SUM('PIP finance'!M407:M414)+M186</f>
        <v>0</v>
      </c>
      <c r="N263" s="962">
        <f>SUM('PIP finance'!N407:N414)+N186</f>
        <v>0</v>
      </c>
      <c r="O263" s="962">
        <f>SUM('PIP finance'!O407:O414)+O186</f>
        <v>0</v>
      </c>
      <c r="P263" s="963">
        <f>SUM('PIP finance'!P407:P414)+P186</f>
        <v>0</v>
      </c>
    </row>
    <row r="264" spans="1:16" ht="15.75" thickBot="1" x14ac:dyDescent="0.3">
      <c r="A264" s="27"/>
      <c r="B264" s="27"/>
      <c r="C264" s="27"/>
      <c r="E264" s="9"/>
      <c r="F264" s="211"/>
    </row>
    <row r="265" spans="1:16" x14ac:dyDescent="0.25">
      <c r="A265" s="27"/>
      <c r="B265" s="27"/>
      <c r="C265" s="27"/>
      <c r="D265" s="1400" t="s">
        <v>1447</v>
      </c>
      <c r="E265" s="543"/>
      <c r="F265" s="543">
        <f t="shared" ref="F265:P265" si="111">F245</f>
        <v>2014</v>
      </c>
      <c r="G265" s="543">
        <f t="shared" si="111"/>
        <v>2015</v>
      </c>
      <c r="H265" s="543">
        <f t="shared" si="111"/>
        <v>2016</v>
      </c>
      <c r="I265" s="543">
        <f t="shared" si="111"/>
        <v>2017</v>
      </c>
      <c r="J265" s="543">
        <f t="shared" si="111"/>
        <v>2018</v>
      </c>
      <c r="K265" s="543">
        <f t="shared" si="111"/>
        <v>2019</v>
      </c>
      <c r="L265" s="543">
        <f t="shared" si="111"/>
        <v>2020</v>
      </c>
      <c r="M265" s="543">
        <f t="shared" si="111"/>
        <v>2021</v>
      </c>
      <c r="N265" s="543">
        <f t="shared" si="111"/>
        <v>2022</v>
      </c>
      <c r="O265" s="543">
        <f t="shared" si="111"/>
        <v>2023</v>
      </c>
      <c r="P265" s="544">
        <f t="shared" si="111"/>
        <v>2024</v>
      </c>
    </row>
    <row r="266" spans="1:16" x14ac:dyDescent="0.25">
      <c r="A266" s="27"/>
      <c r="B266" s="27"/>
      <c r="C266" s="27"/>
      <c r="D266" s="1161" t="s">
        <v>1813</v>
      </c>
      <c r="E266" s="1053"/>
      <c r="F266" s="1053">
        <f t="shared" ref="F266:P266" si="112">F7</f>
        <v>12</v>
      </c>
      <c r="G266" s="1053">
        <f t="shared" si="112"/>
        <v>0</v>
      </c>
      <c r="H266" s="1053">
        <f t="shared" si="112"/>
        <v>0</v>
      </c>
      <c r="I266" s="1053">
        <f t="shared" si="112"/>
        <v>0</v>
      </c>
      <c r="J266" s="1053">
        <f t="shared" si="112"/>
        <v>0</v>
      </c>
      <c r="K266" s="1053">
        <f t="shared" si="112"/>
        <v>0</v>
      </c>
      <c r="L266" s="1053">
        <f t="shared" si="112"/>
        <v>0</v>
      </c>
      <c r="M266" s="1053">
        <f t="shared" si="112"/>
        <v>0</v>
      </c>
      <c r="N266" s="1053">
        <f t="shared" si="112"/>
        <v>0</v>
      </c>
      <c r="O266" s="1053">
        <f t="shared" si="112"/>
        <v>0</v>
      </c>
      <c r="P266" s="1054">
        <f t="shared" si="112"/>
        <v>0</v>
      </c>
    </row>
    <row r="267" spans="1:16" x14ac:dyDescent="0.25">
      <c r="A267" s="27"/>
      <c r="B267" s="27"/>
      <c r="C267" s="27"/>
      <c r="D267" s="1161" t="s">
        <v>1814</v>
      </c>
      <c r="E267" s="1053"/>
      <c r="F267" s="1053">
        <f t="shared" ref="F267:P267" si="113">F83</f>
        <v>0</v>
      </c>
      <c r="G267" s="1053">
        <f t="shared" si="113"/>
        <v>0</v>
      </c>
      <c r="H267" s="1053">
        <f t="shared" si="113"/>
        <v>0</v>
      </c>
      <c r="I267" s="1053">
        <f t="shared" si="113"/>
        <v>0</v>
      </c>
      <c r="J267" s="1053">
        <f t="shared" si="113"/>
        <v>0</v>
      </c>
      <c r="K267" s="1053">
        <f t="shared" si="113"/>
        <v>0</v>
      </c>
      <c r="L267" s="1053">
        <f t="shared" si="113"/>
        <v>0</v>
      </c>
      <c r="M267" s="1053">
        <f t="shared" si="113"/>
        <v>0</v>
      </c>
      <c r="N267" s="1053">
        <f t="shared" si="113"/>
        <v>0</v>
      </c>
      <c r="O267" s="1053">
        <f t="shared" si="113"/>
        <v>0</v>
      </c>
      <c r="P267" s="1054">
        <f t="shared" si="113"/>
        <v>0</v>
      </c>
    </row>
    <row r="268" spans="1:16" x14ac:dyDescent="0.25">
      <c r="A268" s="27"/>
      <c r="B268" s="27"/>
      <c r="C268" s="27"/>
      <c r="D268" s="1161" t="s">
        <v>1815</v>
      </c>
      <c r="E268" s="1053"/>
      <c r="F268" s="1053">
        <f t="shared" ref="F268:P268" si="114">F93</f>
        <v>0</v>
      </c>
      <c r="G268" s="1053">
        <f t="shared" si="114"/>
        <v>0</v>
      </c>
      <c r="H268" s="1053">
        <f t="shared" si="114"/>
        <v>0</v>
      </c>
      <c r="I268" s="1053">
        <f t="shared" si="114"/>
        <v>0</v>
      </c>
      <c r="J268" s="1053">
        <f t="shared" si="114"/>
        <v>0</v>
      </c>
      <c r="K268" s="1053">
        <f t="shared" si="114"/>
        <v>0</v>
      </c>
      <c r="L268" s="1053">
        <f t="shared" si="114"/>
        <v>0</v>
      </c>
      <c r="M268" s="1053">
        <f t="shared" si="114"/>
        <v>0</v>
      </c>
      <c r="N268" s="1053">
        <f t="shared" si="114"/>
        <v>0</v>
      </c>
      <c r="O268" s="1053">
        <f t="shared" si="114"/>
        <v>0</v>
      </c>
      <c r="P268" s="1054">
        <f t="shared" si="114"/>
        <v>0</v>
      </c>
    </row>
    <row r="269" spans="1:16" x14ac:dyDescent="0.25">
      <c r="A269" s="27"/>
      <c r="B269" s="27"/>
      <c r="C269" s="27"/>
      <c r="D269" s="1161" t="s">
        <v>1816</v>
      </c>
      <c r="E269" s="1053"/>
      <c r="F269" s="1053">
        <f t="shared" ref="F269:P269" si="115">F113</f>
        <v>0</v>
      </c>
      <c r="G269" s="1053">
        <f t="shared" si="115"/>
        <v>0</v>
      </c>
      <c r="H269" s="1053">
        <f t="shared" si="115"/>
        <v>0</v>
      </c>
      <c r="I269" s="1053">
        <f t="shared" si="115"/>
        <v>0</v>
      </c>
      <c r="J269" s="1053">
        <f t="shared" si="115"/>
        <v>0</v>
      </c>
      <c r="K269" s="1053">
        <f t="shared" si="115"/>
        <v>0</v>
      </c>
      <c r="L269" s="1053">
        <f t="shared" si="115"/>
        <v>0</v>
      </c>
      <c r="M269" s="1053">
        <f t="shared" si="115"/>
        <v>0</v>
      </c>
      <c r="N269" s="1053">
        <f t="shared" si="115"/>
        <v>0</v>
      </c>
      <c r="O269" s="1053">
        <f t="shared" si="115"/>
        <v>0</v>
      </c>
      <c r="P269" s="1054">
        <f t="shared" si="115"/>
        <v>0</v>
      </c>
    </row>
    <row r="270" spans="1:16" x14ac:dyDescent="0.25">
      <c r="A270" s="27"/>
      <c r="B270" s="27"/>
      <c r="C270" s="27"/>
      <c r="D270" s="1161" t="s">
        <v>1817</v>
      </c>
      <c r="E270" s="1053"/>
      <c r="F270" s="1053">
        <f t="shared" ref="F270:P270" si="116">F116+F121</f>
        <v>0</v>
      </c>
      <c r="G270" s="1053">
        <f t="shared" si="116"/>
        <v>0</v>
      </c>
      <c r="H270" s="1053">
        <f t="shared" si="116"/>
        <v>0</v>
      </c>
      <c r="I270" s="1053">
        <f t="shared" si="116"/>
        <v>0</v>
      </c>
      <c r="J270" s="1053">
        <f t="shared" si="116"/>
        <v>0</v>
      </c>
      <c r="K270" s="1053">
        <f t="shared" si="116"/>
        <v>0</v>
      </c>
      <c r="L270" s="1053">
        <f t="shared" si="116"/>
        <v>0</v>
      </c>
      <c r="M270" s="1053">
        <f t="shared" si="116"/>
        <v>0</v>
      </c>
      <c r="N270" s="1053">
        <f t="shared" si="116"/>
        <v>0</v>
      </c>
      <c r="O270" s="1053">
        <f t="shared" si="116"/>
        <v>0</v>
      </c>
      <c r="P270" s="1054">
        <f t="shared" si="116"/>
        <v>0</v>
      </c>
    </row>
    <row r="271" spans="1:16" ht="15.75" thickBot="1" x14ac:dyDescent="0.3">
      <c r="A271" s="27"/>
      <c r="B271" s="27"/>
      <c r="C271" s="27"/>
      <c r="D271" s="1161" t="s">
        <v>1819</v>
      </c>
      <c r="E271" s="1053"/>
      <c r="F271" s="1053">
        <f t="shared" ref="F271:P271" si="117">F116+F126+F129</f>
        <v>0</v>
      </c>
      <c r="G271" s="1053">
        <f t="shared" si="117"/>
        <v>0</v>
      </c>
      <c r="H271" s="1053">
        <f t="shared" si="117"/>
        <v>0</v>
      </c>
      <c r="I271" s="1053">
        <f t="shared" si="117"/>
        <v>0</v>
      </c>
      <c r="J271" s="1053">
        <f t="shared" si="117"/>
        <v>0</v>
      </c>
      <c r="K271" s="1053">
        <f t="shared" si="117"/>
        <v>0</v>
      </c>
      <c r="L271" s="1053">
        <f t="shared" si="117"/>
        <v>0</v>
      </c>
      <c r="M271" s="1053">
        <f t="shared" si="117"/>
        <v>0</v>
      </c>
      <c r="N271" s="1053">
        <f t="shared" si="117"/>
        <v>0</v>
      </c>
      <c r="O271" s="1053">
        <f t="shared" si="117"/>
        <v>0</v>
      </c>
      <c r="P271" s="1054">
        <f t="shared" si="117"/>
        <v>0</v>
      </c>
    </row>
    <row r="272" spans="1:16" x14ac:dyDescent="0.25">
      <c r="A272" s="27"/>
      <c r="B272" s="27"/>
      <c r="C272" s="27"/>
      <c r="D272" s="1400" t="s">
        <v>1452</v>
      </c>
      <c r="E272" s="543"/>
      <c r="F272" s="543">
        <f t="shared" ref="F272:P272" si="118">F265</f>
        <v>2014</v>
      </c>
      <c r="G272" s="543">
        <f t="shared" si="118"/>
        <v>2015</v>
      </c>
      <c r="H272" s="543">
        <f t="shared" si="118"/>
        <v>2016</v>
      </c>
      <c r="I272" s="543">
        <f t="shared" si="118"/>
        <v>2017</v>
      </c>
      <c r="J272" s="543">
        <f t="shared" si="118"/>
        <v>2018</v>
      </c>
      <c r="K272" s="543">
        <f t="shared" si="118"/>
        <v>2019</v>
      </c>
      <c r="L272" s="543">
        <f t="shared" si="118"/>
        <v>2020</v>
      </c>
      <c r="M272" s="543">
        <f t="shared" si="118"/>
        <v>2021</v>
      </c>
      <c r="N272" s="543">
        <f t="shared" si="118"/>
        <v>2022</v>
      </c>
      <c r="O272" s="543">
        <f t="shared" si="118"/>
        <v>2023</v>
      </c>
      <c r="P272" s="544">
        <f t="shared" si="118"/>
        <v>2024</v>
      </c>
    </row>
    <row r="273" spans="1:17" x14ac:dyDescent="0.25">
      <c r="A273" s="27"/>
      <c r="B273" s="27"/>
      <c r="C273" s="27"/>
      <c r="D273" s="1161" t="s">
        <v>1813</v>
      </c>
      <c r="E273" s="1053"/>
      <c r="F273" s="1053">
        <f t="shared" ref="F273:P273" si="119">F266</f>
        <v>12</v>
      </c>
      <c r="G273" s="1053">
        <f t="shared" si="119"/>
        <v>0</v>
      </c>
      <c r="H273" s="1053">
        <f t="shared" si="119"/>
        <v>0</v>
      </c>
      <c r="I273" s="1053">
        <f t="shared" si="119"/>
        <v>0</v>
      </c>
      <c r="J273" s="1053">
        <f t="shared" si="119"/>
        <v>0</v>
      </c>
      <c r="K273" s="1053">
        <f t="shared" si="119"/>
        <v>0</v>
      </c>
      <c r="L273" s="1053">
        <f t="shared" si="119"/>
        <v>0</v>
      </c>
      <c r="M273" s="1053">
        <f t="shared" si="119"/>
        <v>0</v>
      </c>
      <c r="N273" s="1053">
        <f t="shared" si="119"/>
        <v>0</v>
      </c>
      <c r="O273" s="1053">
        <f t="shared" si="119"/>
        <v>0</v>
      </c>
      <c r="P273" s="1054">
        <f t="shared" si="119"/>
        <v>0</v>
      </c>
    </row>
    <row r="274" spans="1:17" ht="30" x14ac:dyDescent="0.25">
      <c r="A274" s="27"/>
      <c r="B274" s="27"/>
      <c r="C274" s="27"/>
      <c r="D274" s="1401" t="s">
        <v>2923</v>
      </c>
      <c r="E274" s="1053"/>
      <c r="F274" s="1053">
        <f>SUM(F53)*F6/1000</f>
        <v>0</v>
      </c>
      <c r="G274" s="1053">
        <f>SUM($F$53:G53)*F6/1000</f>
        <v>0</v>
      </c>
      <c r="H274" s="1053">
        <f>SUM($F$53:H53)*G6/1000</f>
        <v>0</v>
      </c>
      <c r="I274" s="1053">
        <f>SUM($F$53:I53)*H6/1000</f>
        <v>0</v>
      </c>
      <c r="J274" s="1053">
        <f>SUM($F$53:J53)*I6/1000</f>
        <v>0</v>
      </c>
      <c r="K274" s="1053">
        <f>SUM($F$53:K53)*J6/1000</f>
        <v>0</v>
      </c>
      <c r="L274" s="1053">
        <f>SUM($F$53:L53)*K6/1000</f>
        <v>0</v>
      </c>
      <c r="M274" s="1053">
        <f>SUM($F$53:M53)*L6/1000</f>
        <v>0</v>
      </c>
      <c r="N274" s="1053">
        <f>SUM($F$53:N53)*M6/1000</f>
        <v>0</v>
      </c>
      <c r="O274" s="1053">
        <f>SUM($F$53:O53)*N6/1000</f>
        <v>0</v>
      </c>
      <c r="P274" s="1054">
        <f>SUM($F$53:P53)*O6/1000</f>
        <v>0</v>
      </c>
    </row>
    <row r="275" spans="1:17" x14ac:dyDescent="0.25">
      <c r="A275" s="27"/>
      <c r="B275" s="27"/>
      <c r="C275" s="27"/>
      <c r="D275" s="1401" t="s">
        <v>2921</v>
      </c>
      <c r="E275" s="1053"/>
      <c r="F275" s="1053">
        <f t="shared" ref="F275:P275" si="120">F77</f>
        <v>0</v>
      </c>
      <c r="G275" s="1053">
        <f t="shared" si="120"/>
        <v>0</v>
      </c>
      <c r="H275" s="1053">
        <f t="shared" si="120"/>
        <v>0</v>
      </c>
      <c r="I275" s="1053">
        <f t="shared" si="120"/>
        <v>0</v>
      </c>
      <c r="J275" s="1053">
        <f t="shared" si="120"/>
        <v>0</v>
      </c>
      <c r="K275" s="1053">
        <f t="shared" si="120"/>
        <v>0</v>
      </c>
      <c r="L275" s="1053">
        <f t="shared" si="120"/>
        <v>0</v>
      </c>
      <c r="M275" s="1053">
        <f t="shared" si="120"/>
        <v>0</v>
      </c>
      <c r="N275" s="1053">
        <f t="shared" si="120"/>
        <v>0</v>
      </c>
      <c r="O275" s="1053">
        <f t="shared" si="120"/>
        <v>0</v>
      </c>
      <c r="P275" s="1054">
        <f t="shared" si="120"/>
        <v>0</v>
      </c>
    </row>
    <row r="276" spans="1:17" x14ac:dyDescent="0.25">
      <c r="A276" s="27"/>
      <c r="B276" s="27"/>
      <c r="C276" s="27"/>
      <c r="D276" s="633" t="s">
        <v>2922</v>
      </c>
      <c r="E276" s="1053"/>
      <c r="F276" s="1053">
        <f t="shared" ref="F276:P276" si="121">F81+F275</f>
        <v>0</v>
      </c>
      <c r="G276" s="1053">
        <f t="shared" si="121"/>
        <v>0</v>
      </c>
      <c r="H276" s="1053">
        <f t="shared" si="121"/>
        <v>0</v>
      </c>
      <c r="I276" s="1053">
        <f t="shared" si="121"/>
        <v>0</v>
      </c>
      <c r="J276" s="1053">
        <f t="shared" si="121"/>
        <v>0</v>
      </c>
      <c r="K276" s="1053">
        <f t="shared" si="121"/>
        <v>0</v>
      </c>
      <c r="L276" s="1053">
        <f t="shared" si="121"/>
        <v>0</v>
      </c>
      <c r="M276" s="1053">
        <f t="shared" si="121"/>
        <v>0</v>
      </c>
      <c r="N276" s="1053">
        <f t="shared" si="121"/>
        <v>0</v>
      </c>
      <c r="O276" s="1053">
        <f t="shared" si="121"/>
        <v>0</v>
      </c>
      <c r="P276" s="1054">
        <f t="shared" si="121"/>
        <v>0</v>
      </c>
    </row>
    <row r="277" spans="1:17" ht="15.75" thickBot="1" x14ac:dyDescent="0.3">
      <c r="A277" s="27"/>
      <c r="B277" s="27"/>
      <c r="C277" s="27"/>
      <c r="D277" s="1402" t="s">
        <v>1818</v>
      </c>
      <c r="E277" s="1055"/>
      <c r="F277" s="1055">
        <f t="shared" ref="F277:P277" si="122">F268</f>
        <v>0</v>
      </c>
      <c r="G277" s="1055">
        <f t="shared" si="122"/>
        <v>0</v>
      </c>
      <c r="H277" s="1055">
        <f t="shared" si="122"/>
        <v>0</v>
      </c>
      <c r="I277" s="1055">
        <f t="shared" si="122"/>
        <v>0</v>
      </c>
      <c r="J277" s="1055">
        <f t="shared" si="122"/>
        <v>0</v>
      </c>
      <c r="K277" s="1055">
        <f t="shared" si="122"/>
        <v>0</v>
      </c>
      <c r="L277" s="1055">
        <f t="shared" si="122"/>
        <v>0</v>
      </c>
      <c r="M277" s="1055">
        <f t="shared" si="122"/>
        <v>0</v>
      </c>
      <c r="N277" s="1055">
        <f t="shared" si="122"/>
        <v>0</v>
      </c>
      <c r="O277" s="1055">
        <f t="shared" si="122"/>
        <v>0</v>
      </c>
      <c r="P277" s="1056">
        <f t="shared" si="122"/>
        <v>0</v>
      </c>
    </row>
    <row r="278" spans="1:17" x14ac:dyDescent="0.25">
      <c r="A278" s="27"/>
      <c r="B278" s="27"/>
      <c r="C278" s="27"/>
      <c r="D278" s="1400" t="s">
        <v>572</v>
      </c>
      <c r="E278" s="538"/>
      <c r="F278" s="538"/>
      <c r="G278" s="1399"/>
      <c r="H278" s="539"/>
      <c r="I278" s="539"/>
      <c r="J278" s="539"/>
      <c r="K278" s="539"/>
      <c r="L278" s="1399"/>
      <c r="M278" s="1399"/>
      <c r="N278" s="1399"/>
      <c r="O278" s="1399"/>
      <c r="P278" s="540"/>
    </row>
    <row r="279" spans="1:17" x14ac:dyDescent="0.25">
      <c r="A279" s="27"/>
      <c r="B279" s="27"/>
      <c r="C279" s="27"/>
      <c r="D279" s="1161" t="s">
        <v>493</v>
      </c>
      <c r="E279" s="558"/>
      <c r="F279" s="558">
        <v>0</v>
      </c>
      <c r="G279" s="558">
        <f>SUM('PIP finance'!G335:G345)</f>
        <v>0</v>
      </c>
      <c r="H279" s="558">
        <f>SUM('PIP finance'!H335:H345)</f>
        <v>0</v>
      </c>
      <c r="I279" s="558">
        <f>SUM('PIP finance'!I335:I345)</f>
        <v>0</v>
      </c>
      <c r="J279" s="558">
        <f>SUM('PIP finance'!J335:J345)</f>
        <v>0</v>
      </c>
      <c r="K279" s="558">
        <f>SUM('PIP finance'!K335:K345)</f>
        <v>0</v>
      </c>
      <c r="L279" s="558">
        <f>SUM('PIP finance'!L335:L345)</f>
        <v>0</v>
      </c>
      <c r="M279" s="558">
        <f>SUM('PIP finance'!M335:M345)</f>
        <v>0</v>
      </c>
      <c r="N279" s="558">
        <f>SUM('PIP finance'!N335:N345)</f>
        <v>0</v>
      </c>
      <c r="O279" s="558">
        <f>SUM('PIP finance'!O335:O345)</f>
        <v>0</v>
      </c>
      <c r="P279" s="653">
        <f>SUM('PIP finance'!P335:P345)</f>
        <v>0</v>
      </c>
    </row>
    <row r="280" spans="1:17" x14ac:dyDescent="0.25">
      <c r="A280" s="27"/>
      <c r="B280" s="27"/>
      <c r="C280" s="27"/>
      <c r="D280" s="1161" t="s">
        <v>494</v>
      </c>
      <c r="E280" s="558"/>
      <c r="F280" s="558">
        <v>0</v>
      </c>
      <c r="G280" s="558">
        <f>SUM('PIP finance'!G376:G386)</f>
        <v>0</v>
      </c>
      <c r="H280" s="558">
        <f>SUM('PIP finance'!H376:H386)</f>
        <v>0</v>
      </c>
      <c r="I280" s="558">
        <f>SUM('PIP finance'!I376:I386)</f>
        <v>0</v>
      </c>
      <c r="J280" s="558">
        <f>SUM('PIP finance'!J376:J386)</f>
        <v>0</v>
      </c>
      <c r="K280" s="558">
        <f>SUM('PIP finance'!K376:K386)</f>
        <v>0</v>
      </c>
      <c r="L280" s="558">
        <f>SUM('PIP finance'!L376:L386)</f>
        <v>0</v>
      </c>
      <c r="M280" s="558">
        <f>SUM('PIP finance'!M376:M386)</f>
        <v>0</v>
      </c>
      <c r="N280" s="558">
        <f>SUM('PIP finance'!N376:N386)</f>
        <v>0</v>
      </c>
      <c r="O280" s="558">
        <f>SUM('PIP finance'!O376:O386)</f>
        <v>0</v>
      </c>
      <c r="P280" s="653">
        <f>SUM('PIP finance'!P376:P386)</f>
        <v>0</v>
      </c>
    </row>
    <row r="281" spans="1:17" ht="15.75" thickBot="1" x14ac:dyDescent="0.3">
      <c r="A281" s="27"/>
      <c r="B281" s="27"/>
      <c r="C281" s="27"/>
      <c r="D281" s="1159" t="s">
        <v>495</v>
      </c>
      <c r="E281" s="962"/>
      <c r="F281" s="962">
        <v>0</v>
      </c>
      <c r="G281" s="962">
        <f>SUM('PIP finance'!G417:G427)</f>
        <v>0</v>
      </c>
      <c r="H281" s="962">
        <f>SUM('PIP finance'!H417:H427)</f>
        <v>0</v>
      </c>
      <c r="I281" s="962">
        <f>SUM('PIP finance'!I417:I427)</f>
        <v>0</v>
      </c>
      <c r="J281" s="962">
        <f>SUM('PIP finance'!J417:J427)</f>
        <v>0</v>
      </c>
      <c r="K281" s="962">
        <f>SUM('PIP finance'!K417:K427)</f>
        <v>0</v>
      </c>
      <c r="L281" s="962">
        <f>SUM('PIP finance'!L417:L427)</f>
        <v>0</v>
      </c>
      <c r="M281" s="962">
        <f>SUM('PIP finance'!M417:M427)</f>
        <v>0</v>
      </c>
      <c r="N281" s="962">
        <f>SUM('PIP finance'!N417:N427)</f>
        <v>0</v>
      </c>
      <c r="O281" s="962">
        <f>SUM('PIP finance'!O417:O427)</f>
        <v>0</v>
      </c>
      <c r="P281" s="963">
        <f>SUM('PIP finance'!P417:P427)</f>
        <v>0</v>
      </c>
    </row>
    <row r="282" spans="1:17" ht="15.75" thickBot="1" x14ac:dyDescent="0.3">
      <c r="A282" s="27"/>
      <c r="B282" s="27"/>
      <c r="C282" s="27"/>
      <c r="E282" s="9"/>
      <c r="F282" s="591"/>
      <c r="G282" s="591"/>
      <c r="H282" s="591"/>
      <c r="I282" s="591"/>
      <c r="J282" s="591"/>
      <c r="K282" s="591"/>
      <c r="L282" s="591"/>
      <c r="M282" s="591"/>
      <c r="N282" s="591"/>
      <c r="O282" s="591"/>
      <c r="P282" s="591"/>
    </row>
    <row r="283" spans="1:17" x14ac:dyDescent="0.25">
      <c r="A283" s="27"/>
      <c r="B283" s="27"/>
      <c r="C283" s="27"/>
      <c r="D283" s="1400" t="s">
        <v>741</v>
      </c>
      <c r="E283" s="1006"/>
      <c r="F283" s="543">
        <f t="shared" ref="F283:P283" si="123">F265</f>
        <v>2014</v>
      </c>
      <c r="G283" s="543">
        <f t="shared" si="123"/>
        <v>2015</v>
      </c>
      <c r="H283" s="543">
        <f t="shared" si="123"/>
        <v>2016</v>
      </c>
      <c r="I283" s="543">
        <f t="shared" si="123"/>
        <v>2017</v>
      </c>
      <c r="J283" s="543">
        <f t="shared" si="123"/>
        <v>2018</v>
      </c>
      <c r="K283" s="543">
        <f t="shared" si="123"/>
        <v>2019</v>
      </c>
      <c r="L283" s="543">
        <f t="shared" si="123"/>
        <v>2020</v>
      </c>
      <c r="M283" s="543">
        <f t="shared" si="123"/>
        <v>2021</v>
      </c>
      <c r="N283" s="543">
        <f t="shared" si="123"/>
        <v>2022</v>
      </c>
      <c r="O283" s="543">
        <f t="shared" si="123"/>
        <v>2023</v>
      </c>
      <c r="P283" s="544">
        <f t="shared" si="123"/>
        <v>2024</v>
      </c>
    </row>
    <row r="284" spans="1:17" x14ac:dyDescent="0.25">
      <c r="A284" s="27"/>
      <c r="B284" s="27"/>
      <c r="C284" s="27"/>
      <c r="D284" s="1161" t="s">
        <v>1820</v>
      </c>
      <c r="E284" s="1162"/>
      <c r="F284" s="1053">
        <f>F116+F121</f>
        <v>0</v>
      </c>
      <c r="G284" s="1053">
        <f t="shared" ref="G284:P284" si="124">G116+G121</f>
        <v>0</v>
      </c>
      <c r="H284" s="1053">
        <f t="shared" si="124"/>
        <v>0</v>
      </c>
      <c r="I284" s="1053">
        <f t="shared" si="124"/>
        <v>0</v>
      </c>
      <c r="J284" s="1053">
        <f t="shared" si="124"/>
        <v>0</v>
      </c>
      <c r="K284" s="1053">
        <f t="shared" si="124"/>
        <v>0</v>
      </c>
      <c r="L284" s="1053">
        <f t="shared" si="124"/>
        <v>0</v>
      </c>
      <c r="M284" s="1053">
        <f t="shared" si="124"/>
        <v>0</v>
      </c>
      <c r="N284" s="1053">
        <f t="shared" si="124"/>
        <v>0</v>
      </c>
      <c r="O284" s="1053">
        <f t="shared" si="124"/>
        <v>0</v>
      </c>
      <c r="P284" s="1054">
        <f t="shared" si="124"/>
        <v>0</v>
      </c>
    </row>
    <row r="285" spans="1:17" x14ac:dyDescent="0.25">
      <c r="A285" s="27"/>
      <c r="B285" s="27"/>
      <c r="C285" s="27"/>
      <c r="D285" s="1161" t="s">
        <v>1821</v>
      </c>
      <c r="E285" s="1162"/>
      <c r="F285" s="1053">
        <f t="shared" ref="F285:P285" si="125">F135</f>
        <v>0</v>
      </c>
      <c r="G285" s="1053">
        <f t="shared" si="125"/>
        <v>0</v>
      </c>
      <c r="H285" s="1053">
        <f t="shared" si="125"/>
        <v>0</v>
      </c>
      <c r="I285" s="1053">
        <f t="shared" si="125"/>
        <v>0</v>
      </c>
      <c r="J285" s="1053">
        <f t="shared" si="125"/>
        <v>0</v>
      </c>
      <c r="K285" s="1053">
        <f t="shared" si="125"/>
        <v>0</v>
      </c>
      <c r="L285" s="1053">
        <f t="shared" si="125"/>
        <v>0</v>
      </c>
      <c r="M285" s="1053">
        <f t="shared" si="125"/>
        <v>0</v>
      </c>
      <c r="N285" s="1053">
        <f t="shared" si="125"/>
        <v>0</v>
      </c>
      <c r="O285" s="1053">
        <f t="shared" si="125"/>
        <v>0</v>
      </c>
      <c r="P285" s="1054">
        <f t="shared" si="125"/>
        <v>0</v>
      </c>
    </row>
    <row r="286" spans="1:17" ht="15.75" thickBot="1" x14ac:dyDescent="0.3">
      <c r="D286" s="1159" t="s">
        <v>1451</v>
      </c>
      <c r="E286" s="1160"/>
      <c r="F286" s="1055">
        <f t="shared" ref="F286:P286" si="126">F141</f>
        <v>0</v>
      </c>
      <c r="G286" s="1055">
        <f t="shared" si="126"/>
        <v>0</v>
      </c>
      <c r="H286" s="1055">
        <f t="shared" si="126"/>
        <v>0</v>
      </c>
      <c r="I286" s="1055">
        <f t="shared" si="126"/>
        <v>0</v>
      </c>
      <c r="J286" s="1055">
        <f t="shared" si="126"/>
        <v>0</v>
      </c>
      <c r="K286" s="1055">
        <f t="shared" si="126"/>
        <v>0</v>
      </c>
      <c r="L286" s="1055">
        <f t="shared" si="126"/>
        <v>0</v>
      </c>
      <c r="M286" s="1055">
        <f t="shared" si="126"/>
        <v>0</v>
      </c>
      <c r="N286" s="1055">
        <f t="shared" si="126"/>
        <v>0</v>
      </c>
      <c r="O286" s="1055">
        <f t="shared" si="126"/>
        <v>0</v>
      </c>
      <c r="P286" s="1056">
        <f t="shared" si="126"/>
        <v>0</v>
      </c>
      <c r="Q286" s="9"/>
    </row>
    <row r="287" spans="1:17" x14ac:dyDescent="0.25">
      <c r="D287" s="1400" t="s">
        <v>572</v>
      </c>
      <c r="E287" s="1399"/>
      <c r="F287" s="538"/>
      <c r="G287" s="1399"/>
      <c r="H287" s="539"/>
      <c r="I287" s="539"/>
      <c r="J287" s="539"/>
      <c r="K287" s="539"/>
      <c r="L287" s="1399"/>
      <c r="M287" s="1399"/>
      <c r="N287" s="1399"/>
      <c r="O287" s="1399"/>
      <c r="P287" s="540"/>
      <c r="Q287" s="9"/>
    </row>
    <row r="288" spans="1:17" x14ac:dyDescent="0.25">
      <c r="D288" s="1161" t="s">
        <v>493</v>
      </c>
      <c r="E288" s="1162"/>
      <c r="F288" s="558">
        <v>0</v>
      </c>
      <c r="G288" s="558">
        <f>SUM('PIP finance'!G347:G353)</f>
        <v>0</v>
      </c>
      <c r="H288" s="558">
        <f>SUM('PIP finance'!H347:H353)</f>
        <v>0</v>
      </c>
      <c r="I288" s="558">
        <f>SUM('PIP finance'!I347:I353)</f>
        <v>0</v>
      </c>
      <c r="J288" s="558">
        <f>SUM('PIP finance'!J347:J353)</f>
        <v>0</v>
      </c>
      <c r="K288" s="558">
        <f>SUM('PIP finance'!K347:K353)</f>
        <v>0</v>
      </c>
      <c r="L288" s="558">
        <f>SUM('PIP finance'!L347:L353)</f>
        <v>0</v>
      </c>
      <c r="M288" s="558">
        <f>SUM('PIP finance'!M347:M353)</f>
        <v>0</v>
      </c>
      <c r="N288" s="558">
        <f>SUM('PIP finance'!N347:N353)</f>
        <v>0</v>
      </c>
      <c r="O288" s="558">
        <f>SUM('PIP finance'!O347:O353)</f>
        <v>0</v>
      </c>
      <c r="P288" s="653">
        <f>SUM('PIP finance'!P347:P353)</f>
        <v>0</v>
      </c>
      <c r="Q288" s="9"/>
    </row>
    <row r="289" spans="1:17" x14ac:dyDescent="0.25">
      <c r="D289" s="1161" t="s">
        <v>494</v>
      </c>
      <c r="E289" s="1162"/>
      <c r="F289" s="558">
        <v>0</v>
      </c>
      <c r="G289" s="558">
        <f>SUM('PIP finance'!G388:G394)</f>
        <v>0</v>
      </c>
      <c r="H289" s="558">
        <f>SUM('PIP finance'!H388:H394)</f>
        <v>0</v>
      </c>
      <c r="I289" s="558">
        <f>SUM('PIP finance'!I388:I394)</f>
        <v>0</v>
      </c>
      <c r="J289" s="558">
        <f>SUM('PIP finance'!J388:J394)</f>
        <v>0</v>
      </c>
      <c r="K289" s="558">
        <f>SUM('PIP finance'!K388:K394)</f>
        <v>0</v>
      </c>
      <c r="L289" s="558">
        <f>SUM('PIP finance'!L388:L394)</f>
        <v>0</v>
      </c>
      <c r="M289" s="558">
        <f>SUM('PIP finance'!M388:M394)</f>
        <v>0</v>
      </c>
      <c r="N289" s="558">
        <f>SUM('PIP finance'!N388:N394)</f>
        <v>0</v>
      </c>
      <c r="O289" s="558">
        <f>SUM('PIP finance'!O388:O394)</f>
        <v>0</v>
      </c>
      <c r="P289" s="653">
        <f>SUM('PIP finance'!P388:P394)</f>
        <v>0</v>
      </c>
      <c r="Q289" s="9"/>
    </row>
    <row r="290" spans="1:17" ht="15.75" thickBot="1" x14ac:dyDescent="0.3">
      <c r="D290" s="1159" t="s">
        <v>495</v>
      </c>
      <c r="E290" s="1160"/>
      <c r="F290" s="962">
        <v>0</v>
      </c>
      <c r="G290" s="962">
        <f>SUM('PIP finance'!G429:G435)</f>
        <v>0</v>
      </c>
      <c r="H290" s="962">
        <f>SUM('PIP finance'!H423:H435)</f>
        <v>0</v>
      </c>
      <c r="I290" s="962">
        <f>SUM('PIP finance'!I423:I435)</f>
        <v>0</v>
      </c>
      <c r="J290" s="962">
        <f>SUM('PIP finance'!J423:J435)</f>
        <v>0</v>
      </c>
      <c r="K290" s="962">
        <f>SUM('PIP finance'!K423:K435)</f>
        <v>0</v>
      </c>
      <c r="L290" s="962">
        <f>SUM('PIP finance'!L423:L435)</f>
        <v>0</v>
      </c>
      <c r="M290" s="962">
        <f>SUM('PIP finance'!M423:M435)</f>
        <v>0</v>
      </c>
      <c r="N290" s="962">
        <f>SUM('PIP finance'!N423:N435)</f>
        <v>0</v>
      </c>
      <c r="O290" s="962">
        <f>SUM('PIP finance'!O423:O435)</f>
        <v>0</v>
      </c>
      <c r="P290" s="963">
        <f>SUM('PIP finance'!P423:P435)</f>
        <v>0</v>
      </c>
      <c r="Q290" s="9"/>
    </row>
    <row r="291" spans="1:17" ht="15.75" thickBot="1" x14ac:dyDescent="0.3">
      <c r="E291" s="9"/>
      <c r="F291" s="211"/>
      <c r="Q291" s="9"/>
    </row>
    <row r="292" spans="1:17" x14ac:dyDescent="0.25">
      <c r="D292" s="1400" t="s">
        <v>457</v>
      </c>
      <c r="E292" s="1006"/>
      <c r="F292" s="543">
        <f t="shared" ref="F292:P292" si="127">F174</f>
        <v>2014</v>
      </c>
      <c r="G292" s="543">
        <f t="shared" si="127"/>
        <v>2015</v>
      </c>
      <c r="H292" s="543">
        <f t="shared" si="127"/>
        <v>2016</v>
      </c>
      <c r="I292" s="543">
        <f t="shared" si="127"/>
        <v>2017</v>
      </c>
      <c r="J292" s="543">
        <f t="shared" si="127"/>
        <v>2018</v>
      </c>
      <c r="K292" s="543">
        <f t="shared" si="127"/>
        <v>2019</v>
      </c>
      <c r="L292" s="543">
        <f t="shared" si="127"/>
        <v>2020</v>
      </c>
      <c r="M292" s="543">
        <f t="shared" si="127"/>
        <v>2021</v>
      </c>
      <c r="N292" s="543">
        <f t="shared" si="127"/>
        <v>2022</v>
      </c>
      <c r="O292" s="543">
        <f t="shared" si="127"/>
        <v>2023</v>
      </c>
      <c r="P292" s="544">
        <f t="shared" si="127"/>
        <v>2024</v>
      </c>
      <c r="Q292" s="9"/>
    </row>
    <row r="293" spans="1:17" x14ac:dyDescent="0.25">
      <c r="D293" s="1161" t="s">
        <v>467</v>
      </c>
      <c r="E293" s="1162"/>
      <c r="F293" s="592">
        <f>'Financial Projections'!J191</f>
        <v>0</v>
      </c>
      <c r="G293" s="592">
        <f>'Financial Projections'!K63</f>
        <v>0</v>
      </c>
      <c r="H293" s="592">
        <f>'Financial Projections'!L63</f>
        <v>0</v>
      </c>
      <c r="I293" s="592">
        <f>'Financial Projections'!M63</f>
        <v>0</v>
      </c>
      <c r="J293" s="592">
        <f>'Financial Projections'!N63</f>
        <v>0</v>
      </c>
      <c r="K293" s="592">
        <f>'Financial Projections'!O63</f>
        <v>0</v>
      </c>
      <c r="L293" s="592">
        <f>'Financial Projections'!P63</f>
        <v>0</v>
      </c>
      <c r="M293" s="592">
        <f>'Financial Projections'!Q63</f>
        <v>0</v>
      </c>
      <c r="N293" s="592">
        <f>'Financial Projections'!R63</f>
        <v>0</v>
      </c>
      <c r="O293" s="592">
        <f>'Financial Projections'!S63</f>
        <v>0</v>
      </c>
      <c r="P293" s="593">
        <f>'Financial Projections'!T63</f>
        <v>0</v>
      </c>
      <c r="Q293" s="9"/>
    </row>
    <row r="294" spans="1:17" ht="15.75" thickBot="1" x14ac:dyDescent="0.3">
      <c r="D294" s="1159" t="s">
        <v>190</v>
      </c>
      <c r="E294" s="1160"/>
      <c r="F294" s="594">
        <f t="shared" ref="F294:P294" si="128">F226</f>
        <v>0</v>
      </c>
      <c r="G294" s="594">
        <f t="shared" si="128"/>
        <v>0</v>
      </c>
      <c r="H294" s="594">
        <f t="shared" si="128"/>
        <v>0</v>
      </c>
      <c r="I294" s="594">
        <f t="shared" si="128"/>
        <v>0</v>
      </c>
      <c r="J294" s="594">
        <f t="shared" si="128"/>
        <v>0</v>
      </c>
      <c r="K294" s="594">
        <f t="shared" si="128"/>
        <v>0</v>
      </c>
      <c r="L294" s="594">
        <f t="shared" si="128"/>
        <v>0</v>
      </c>
      <c r="M294" s="594">
        <f t="shared" si="128"/>
        <v>0</v>
      </c>
      <c r="N294" s="594">
        <f t="shared" si="128"/>
        <v>0</v>
      </c>
      <c r="O294" s="594">
        <f t="shared" si="128"/>
        <v>0</v>
      </c>
      <c r="P294" s="595">
        <f t="shared" si="128"/>
        <v>0</v>
      </c>
      <c r="Q294" s="9"/>
    </row>
    <row r="296" spans="1:17" s="48" customFormat="1" ht="21.75" customHeight="1" x14ac:dyDescent="0.25">
      <c r="A296" s="381"/>
      <c r="B296" s="381"/>
      <c r="C296" s="381"/>
      <c r="D296" s="383" t="s">
        <v>642</v>
      </c>
      <c r="E296" s="381"/>
      <c r="F296" s="381"/>
      <c r="G296" s="381"/>
      <c r="H296" s="381"/>
      <c r="I296" s="381"/>
      <c r="J296" s="381"/>
      <c r="K296" s="381"/>
      <c r="L296" s="381"/>
      <c r="M296" s="381"/>
      <c r="N296" s="381"/>
      <c r="O296" s="381"/>
      <c r="P296" s="382"/>
    </row>
    <row r="298" spans="1:17" ht="90" x14ac:dyDescent="0.25">
      <c r="D298" s="565" t="s">
        <v>672</v>
      </c>
      <c r="E298" s="571" t="s">
        <v>1702</v>
      </c>
      <c r="F298" s="571" t="s">
        <v>1703</v>
      </c>
      <c r="G298" s="571" t="s">
        <v>681</v>
      </c>
      <c r="H298" s="572"/>
      <c r="I298" s="308"/>
      <c r="J298" s="308"/>
      <c r="K298" s="308"/>
      <c r="L298" s="308"/>
    </row>
    <row r="299" spans="1:17" x14ac:dyDescent="0.25">
      <c r="D299" s="568" t="s">
        <v>645</v>
      </c>
      <c r="E299" s="573">
        <f>F60</f>
        <v>9007</v>
      </c>
      <c r="F299" s="1162">
        <f>'WSS Profile'!G391</f>
        <v>0</v>
      </c>
      <c r="G299" s="573">
        <f>H299-E299</f>
        <v>-9007</v>
      </c>
      <c r="H299" s="574">
        <f>F10</f>
        <v>0</v>
      </c>
      <c r="I299" s="308"/>
      <c r="J299" s="308"/>
      <c r="K299" s="308"/>
      <c r="L299" s="308"/>
    </row>
    <row r="300" spans="1:17" x14ac:dyDescent="0.25">
      <c r="D300" s="569" t="s">
        <v>646</v>
      </c>
      <c r="E300" s="575">
        <f>F61</f>
        <v>360</v>
      </c>
      <c r="F300" s="570">
        <f>'WSS Profile'!G392</f>
        <v>0</v>
      </c>
      <c r="G300" s="575">
        <f>H300-E300</f>
        <v>-360</v>
      </c>
      <c r="H300" s="576">
        <f>F12</f>
        <v>0</v>
      </c>
      <c r="I300" s="308"/>
      <c r="J300" s="308"/>
      <c r="K300" s="308"/>
      <c r="L300" s="308"/>
    </row>
    <row r="301" spans="1:17" x14ac:dyDescent="0.25">
      <c r="D301" s="308"/>
      <c r="E301" s="308"/>
      <c r="F301" s="308"/>
      <c r="G301" s="308"/>
      <c r="H301" s="308"/>
      <c r="I301" s="308"/>
      <c r="J301" s="308"/>
      <c r="K301" s="308"/>
      <c r="L301" s="308"/>
    </row>
    <row r="302" spans="1:17" ht="30" x14ac:dyDescent="0.25">
      <c r="A302" s="27"/>
      <c r="B302" s="27"/>
      <c r="C302" s="27"/>
      <c r="D302" s="565"/>
      <c r="E302" s="571" t="s">
        <v>691</v>
      </c>
      <c r="F302" s="572" t="s">
        <v>681</v>
      </c>
      <c r="G302" s="308"/>
      <c r="H302" s="308"/>
      <c r="I302" s="308"/>
      <c r="J302" s="308"/>
      <c r="K302" s="308"/>
      <c r="L302" s="308"/>
      <c r="M302" s="27"/>
      <c r="N302" s="27"/>
      <c r="O302" s="27"/>
      <c r="P302" s="27"/>
    </row>
    <row r="303" spans="1:17" x14ac:dyDescent="0.25">
      <c r="A303" s="27"/>
      <c r="B303" s="27"/>
      <c r="C303" s="27"/>
      <c r="D303" s="568" t="s">
        <v>673</v>
      </c>
      <c r="E303" s="577">
        <f>F266</f>
        <v>12</v>
      </c>
      <c r="F303" s="578"/>
      <c r="G303" s="308"/>
      <c r="H303" s="308"/>
      <c r="I303" s="308"/>
      <c r="J303" s="308"/>
      <c r="K303" s="308"/>
      <c r="L303" s="308"/>
      <c r="M303" s="27"/>
      <c r="N303" s="27"/>
      <c r="O303" s="27"/>
      <c r="P303" s="27"/>
    </row>
    <row r="304" spans="1:17" x14ac:dyDescent="0.25">
      <c r="A304" s="27"/>
      <c r="B304" s="27"/>
      <c r="C304" s="27"/>
      <c r="D304" s="568" t="s">
        <v>501</v>
      </c>
      <c r="E304" s="577">
        <f>F267</f>
        <v>0</v>
      </c>
      <c r="F304" s="579">
        <f>$E$303-E304</f>
        <v>12</v>
      </c>
      <c r="G304" s="308"/>
      <c r="H304" s="308"/>
      <c r="I304" s="308"/>
      <c r="J304" s="308"/>
      <c r="K304" s="308"/>
      <c r="L304" s="308"/>
      <c r="M304" s="27"/>
      <c r="N304" s="27"/>
      <c r="O304" s="27"/>
      <c r="P304" s="27"/>
    </row>
    <row r="305" spans="1:16" x14ac:dyDescent="0.25">
      <c r="A305" s="27"/>
      <c r="B305" s="27"/>
      <c r="C305" s="27"/>
      <c r="D305" s="568" t="s">
        <v>687</v>
      </c>
      <c r="E305" s="577">
        <f>F268</f>
        <v>0</v>
      </c>
      <c r="F305" s="579">
        <f>$E$303-E305</f>
        <v>12</v>
      </c>
      <c r="G305" s="308"/>
      <c r="H305" s="308"/>
      <c r="I305" s="308"/>
      <c r="J305" s="308"/>
      <c r="K305" s="308"/>
      <c r="L305" s="308"/>
      <c r="M305" s="27"/>
      <c r="N305" s="27"/>
      <c r="O305" s="27"/>
      <c r="P305" s="27"/>
    </row>
    <row r="306" spans="1:16" x14ac:dyDescent="0.25">
      <c r="A306" s="27"/>
      <c r="B306" s="27"/>
      <c r="C306" s="27"/>
      <c r="D306" s="568" t="s">
        <v>674</v>
      </c>
      <c r="E306" s="577">
        <f>F269</f>
        <v>0</v>
      </c>
      <c r="F306" s="579">
        <f>$E$303-E306</f>
        <v>12</v>
      </c>
      <c r="G306" s="308"/>
      <c r="H306" s="308"/>
      <c r="I306" s="308"/>
      <c r="J306" s="308"/>
      <c r="K306" s="308"/>
      <c r="L306" s="308"/>
      <c r="M306" s="27"/>
      <c r="N306" s="27"/>
      <c r="O306" s="27"/>
      <c r="P306" s="27"/>
    </row>
    <row r="307" spans="1:16" x14ac:dyDescent="0.25">
      <c r="A307" s="27"/>
      <c r="B307" s="27"/>
      <c r="C307" s="27"/>
      <c r="D307" s="569" t="s">
        <v>1439</v>
      </c>
      <c r="E307" s="1394">
        <f>F121</f>
        <v>0</v>
      </c>
      <c r="F307" s="583">
        <f>$E$306-E307</f>
        <v>0</v>
      </c>
      <c r="G307" s="308"/>
      <c r="H307" s="308"/>
      <c r="I307" s="308"/>
      <c r="J307" s="308"/>
      <c r="K307" s="308"/>
      <c r="L307" s="308"/>
      <c r="M307" s="27"/>
      <c r="N307" s="27"/>
      <c r="O307" s="27"/>
      <c r="P307" s="27"/>
    </row>
    <row r="308" spans="1:16" x14ac:dyDescent="0.25">
      <c r="A308" s="27"/>
      <c r="B308" s="27"/>
      <c r="C308" s="27"/>
      <c r="D308" s="453"/>
      <c r="E308" s="453"/>
      <c r="F308" s="308"/>
      <c r="G308" s="308"/>
      <c r="H308" s="308"/>
      <c r="I308" s="308"/>
      <c r="J308" s="308"/>
      <c r="K308" s="308"/>
      <c r="L308" s="308"/>
      <c r="M308" s="27"/>
      <c r="N308" s="27"/>
      <c r="O308" s="27"/>
      <c r="P308" s="27"/>
    </row>
    <row r="309" spans="1:16" ht="45" x14ac:dyDescent="0.25">
      <c r="A309" s="27"/>
      <c r="B309" s="27"/>
      <c r="C309" s="27"/>
      <c r="D309" s="582"/>
      <c r="E309" s="566" t="s">
        <v>690</v>
      </c>
      <c r="F309" s="572" t="s">
        <v>681</v>
      </c>
      <c r="G309" s="308"/>
      <c r="H309" s="308"/>
      <c r="I309" s="308"/>
      <c r="J309" s="308"/>
      <c r="K309" s="308"/>
      <c r="L309" s="308"/>
      <c r="M309" s="27"/>
      <c r="N309" s="27"/>
      <c r="O309" s="27"/>
      <c r="P309" s="27"/>
    </row>
    <row r="310" spans="1:16" x14ac:dyDescent="0.25">
      <c r="A310" s="27"/>
      <c r="B310" s="27"/>
      <c r="C310" s="27"/>
      <c r="D310" s="569" t="s">
        <v>410</v>
      </c>
      <c r="E310" s="580">
        <f>F146</f>
        <v>4</v>
      </c>
      <c r="F310" s="581">
        <f>E304-E310</f>
        <v>-4</v>
      </c>
      <c r="G310" s="308"/>
      <c r="H310" s="308"/>
      <c r="I310" s="308"/>
      <c r="J310" s="308"/>
      <c r="K310" s="308"/>
      <c r="L310" s="308"/>
      <c r="M310" s="27"/>
      <c r="N310" s="27"/>
      <c r="O310" s="27"/>
      <c r="P310" s="27"/>
    </row>
    <row r="311" spans="1:16" x14ac:dyDescent="0.25">
      <c r="A311" s="27"/>
      <c r="B311" s="27"/>
      <c r="C311" s="27"/>
      <c r="D311" s="308"/>
      <c r="E311" s="400"/>
      <c r="F311" s="308"/>
      <c r="G311" s="308"/>
      <c r="H311" s="308"/>
      <c r="I311" s="308"/>
      <c r="J311" s="308"/>
      <c r="K311" s="308"/>
      <c r="L311" s="308"/>
      <c r="M311" s="27"/>
      <c r="N311" s="27"/>
      <c r="O311" s="27"/>
      <c r="P311" s="27"/>
    </row>
    <row r="312" spans="1:16" ht="60" x14ac:dyDescent="0.25">
      <c r="A312" s="27"/>
      <c r="B312" s="27"/>
      <c r="C312" s="27"/>
      <c r="D312" s="565" t="s">
        <v>1438</v>
      </c>
      <c r="E312" s="571" t="s">
        <v>1440</v>
      </c>
      <c r="F312" s="571" t="s">
        <v>1441</v>
      </c>
      <c r="G312" s="567" t="s">
        <v>1442</v>
      </c>
      <c r="H312" s="27"/>
      <c r="I312" s="308"/>
      <c r="J312" s="308"/>
      <c r="K312" s="308"/>
      <c r="L312" s="308"/>
      <c r="M312" s="27"/>
      <c r="N312" s="27"/>
      <c r="O312" s="27"/>
      <c r="P312" s="27"/>
    </row>
    <row r="313" spans="1:16" x14ac:dyDescent="0.25">
      <c r="A313" s="27"/>
      <c r="B313" s="27"/>
      <c r="C313" s="27"/>
      <c r="D313" s="569" t="s">
        <v>691</v>
      </c>
      <c r="E313" s="1395">
        <f>F126+F129</f>
        <v>0</v>
      </c>
      <c r="F313" s="1394">
        <f>F135</f>
        <v>0</v>
      </c>
      <c r="G313" s="1396">
        <f>F141</f>
        <v>0</v>
      </c>
      <c r="H313" s="27"/>
      <c r="I313" s="308"/>
      <c r="J313" s="308"/>
      <c r="K313" s="308"/>
      <c r="L313" s="308"/>
      <c r="M313" s="27"/>
      <c r="N313" s="27"/>
      <c r="O313" s="27"/>
      <c r="P313" s="27"/>
    </row>
    <row r="314" spans="1:16" x14ac:dyDescent="0.25">
      <c r="A314" s="27"/>
      <c r="B314" s="27"/>
      <c r="C314" s="27"/>
      <c r="D314" s="308"/>
      <c r="E314" s="584"/>
      <c r="F314" s="308"/>
      <c r="G314" s="308"/>
      <c r="H314" s="308"/>
      <c r="I314" s="308"/>
      <c r="J314" s="308"/>
      <c r="K314" s="308"/>
      <c r="L314" s="308"/>
      <c r="M314" s="27"/>
      <c r="N314" s="27"/>
      <c r="O314" s="27"/>
      <c r="P314" s="27"/>
    </row>
    <row r="315" spans="1:16" ht="30" x14ac:dyDescent="0.25">
      <c r="A315" s="27"/>
      <c r="B315" s="27"/>
      <c r="C315" s="27"/>
      <c r="D315" s="559"/>
      <c r="E315" s="571" t="s">
        <v>693</v>
      </c>
      <c r="F315" s="572" t="s">
        <v>692</v>
      </c>
      <c r="G315" s="386"/>
      <c r="H315" s="386"/>
      <c r="I315" s="386"/>
      <c r="J315" s="386"/>
      <c r="K315" s="386"/>
      <c r="L315" s="386"/>
      <c r="M315" s="27"/>
      <c r="N315" s="27"/>
      <c r="O315" s="27"/>
      <c r="P315" s="27"/>
    </row>
    <row r="316" spans="1:16" x14ac:dyDescent="0.25">
      <c r="A316" s="27"/>
      <c r="B316" s="27"/>
      <c r="C316" s="27"/>
      <c r="D316" s="560" t="s">
        <v>663</v>
      </c>
      <c r="E316" s="585">
        <f>'Finance info'!J81</f>
        <v>0</v>
      </c>
      <c r="F316" s="586">
        <f>'Finance info'!I81</f>
        <v>0</v>
      </c>
      <c r="G316" s="386"/>
      <c r="H316" s="386"/>
      <c r="I316" s="328"/>
      <c r="J316" s="386"/>
      <c r="K316" s="386"/>
      <c r="L316" s="386"/>
      <c r="M316" s="27"/>
      <c r="N316" s="27"/>
      <c r="O316" s="27"/>
      <c r="P316" s="27"/>
    </row>
    <row r="317" spans="1:16" x14ac:dyDescent="0.25">
      <c r="A317" s="27"/>
      <c r="B317" s="27"/>
      <c r="C317" s="27"/>
      <c r="D317" s="562" t="s">
        <v>662</v>
      </c>
      <c r="E317" s="587">
        <f>'Finance info'!J88</f>
        <v>0</v>
      </c>
      <c r="F317" s="588">
        <f>'Finance info'!I88</f>
        <v>0</v>
      </c>
      <c r="G317" s="386"/>
      <c r="H317" s="386"/>
      <c r="I317" s="386"/>
      <c r="J317" s="386"/>
      <c r="K317" s="386"/>
      <c r="L317" s="386"/>
      <c r="P317" s="27"/>
    </row>
    <row r="318" spans="1:16" x14ac:dyDescent="0.25">
      <c r="A318" s="27"/>
      <c r="B318" s="27"/>
      <c r="C318" s="27"/>
      <c r="D318" s="386"/>
      <c r="E318" s="589"/>
      <c r="F318" s="386"/>
      <c r="G318" s="386"/>
      <c r="H318" s="386"/>
      <c r="I318" s="386"/>
      <c r="J318" s="386"/>
      <c r="K318" s="386"/>
      <c r="L318" s="386"/>
      <c r="P318" s="27"/>
    </row>
    <row r="319" spans="1:16" ht="30" x14ac:dyDescent="0.25">
      <c r="A319" s="27"/>
      <c r="B319" s="27"/>
      <c r="C319" s="27"/>
      <c r="D319" s="565"/>
      <c r="E319" s="566" t="s">
        <v>665</v>
      </c>
      <c r="F319" s="566" t="s">
        <v>666</v>
      </c>
      <c r="G319" s="566" t="s">
        <v>494</v>
      </c>
      <c r="H319" s="566" t="s">
        <v>667</v>
      </c>
      <c r="I319" s="566" t="s">
        <v>660</v>
      </c>
      <c r="J319" s="566" t="s">
        <v>505</v>
      </c>
      <c r="K319" s="566" t="s">
        <v>49</v>
      </c>
      <c r="L319" s="567" t="s">
        <v>26</v>
      </c>
      <c r="P319" s="27"/>
    </row>
    <row r="320" spans="1:16" x14ac:dyDescent="0.25">
      <c r="A320" s="27"/>
      <c r="B320" s="27"/>
      <c r="C320" s="27"/>
      <c r="D320" s="568" t="s">
        <v>664</v>
      </c>
      <c r="E320" s="577">
        <f>'Finance info'!J235</f>
        <v>0</v>
      </c>
      <c r="F320" s="577">
        <f>'Finance info'!J236</f>
        <v>0</v>
      </c>
      <c r="G320" s="577">
        <f>'Finance info'!J237</f>
        <v>0</v>
      </c>
      <c r="H320" s="577">
        <f>'Finance info'!J239</f>
        <v>0</v>
      </c>
      <c r="I320" s="577">
        <f>'Finance info'!J238</f>
        <v>0</v>
      </c>
      <c r="J320" s="386"/>
      <c r="K320" s="386"/>
      <c r="L320" s="578"/>
      <c r="P320" s="27"/>
    </row>
    <row r="321" spans="1:16" x14ac:dyDescent="0.25">
      <c r="A321" s="27"/>
      <c r="B321" s="27"/>
      <c r="C321" s="27"/>
      <c r="D321" s="569" t="s">
        <v>540</v>
      </c>
      <c r="E321" s="278"/>
      <c r="F321" s="590"/>
      <c r="G321" s="590"/>
      <c r="H321" s="590"/>
      <c r="I321" s="590"/>
      <c r="J321" s="580">
        <f>'Finance info'!J228</f>
        <v>0</v>
      </c>
      <c r="K321" s="580">
        <f>'Finance info'!J229</f>
        <v>0</v>
      </c>
      <c r="L321" s="581">
        <f>'Finance info'!J230</f>
        <v>0</v>
      </c>
      <c r="O321" s="10"/>
      <c r="P321" s="27"/>
    </row>
    <row r="322" spans="1:16" x14ac:dyDescent="0.25">
      <c r="A322" s="27"/>
      <c r="B322" s="27"/>
      <c r="C322" s="27"/>
      <c r="D322" s="1162"/>
      <c r="E322" s="1162"/>
      <c r="F322" s="1162"/>
      <c r="G322" s="1162"/>
      <c r="H322" s="1162"/>
      <c r="I322" s="1162"/>
      <c r="J322" s="1162"/>
      <c r="K322" s="1162"/>
      <c r="L322" s="1162"/>
      <c r="P322" s="27"/>
    </row>
    <row r="323" spans="1:16" x14ac:dyDescent="0.25">
      <c r="A323" s="27"/>
      <c r="B323" s="27"/>
      <c r="C323" s="27"/>
      <c r="E323" s="9"/>
      <c r="P323" s="27"/>
    </row>
    <row r="324" spans="1:16" x14ac:dyDescent="0.25">
      <c r="A324" s="27"/>
      <c r="B324" s="27"/>
      <c r="C324" s="27"/>
      <c r="D324" s="27"/>
      <c r="E324" s="9"/>
      <c r="F324" s="27"/>
      <c r="G324" s="27"/>
      <c r="H324" s="27"/>
      <c r="I324" s="27"/>
      <c r="J324" s="27"/>
      <c r="K324" s="27"/>
      <c r="L324" s="27"/>
      <c r="M324" s="27"/>
      <c r="N324" s="27"/>
      <c r="O324" s="27"/>
      <c r="P324" s="27"/>
    </row>
    <row r="325" spans="1:16" x14ac:dyDescent="0.25">
      <c r="A325" s="27"/>
      <c r="B325" s="27"/>
      <c r="C325" s="27"/>
      <c r="D325" s="27"/>
      <c r="E325" s="9"/>
      <c r="F325" s="27"/>
      <c r="G325" s="27"/>
      <c r="H325" s="27"/>
      <c r="I325" s="27"/>
      <c r="J325" s="27"/>
      <c r="K325" s="27"/>
      <c r="L325" s="27"/>
      <c r="M325" s="27"/>
      <c r="N325" s="27"/>
      <c r="O325" s="27"/>
      <c r="P325" s="27"/>
    </row>
    <row r="326" spans="1:16" x14ac:dyDescent="0.25">
      <c r="A326" s="27"/>
      <c r="B326" s="27"/>
      <c r="C326" s="27"/>
      <c r="D326" s="27"/>
      <c r="E326" s="9"/>
      <c r="F326" s="27"/>
      <c r="G326" s="27"/>
      <c r="H326" s="27"/>
      <c r="I326" s="27"/>
      <c r="J326" s="27"/>
      <c r="K326" s="27"/>
      <c r="L326" s="27"/>
      <c r="M326" s="27"/>
      <c r="N326" s="27"/>
      <c r="O326" s="27"/>
      <c r="P326" s="27"/>
    </row>
    <row r="327" spans="1:16" x14ac:dyDescent="0.25">
      <c r="A327" s="27"/>
      <c r="B327" s="27"/>
      <c r="C327" s="27"/>
      <c r="D327" s="27"/>
      <c r="E327" s="9"/>
      <c r="F327" s="27"/>
      <c r="G327" s="27"/>
      <c r="H327" s="27"/>
      <c r="I327" s="27"/>
      <c r="J327" s="27"/>
      <c r="K327" s="27"/>
      <c r="L327" s="27"/>
      <c r="M327" s="27"/>
      <c r="N327" s="27"/>
      <c r="O327" s="27"/>
      <c r="P327" s="27"/>
    </row>
    <row r="328" spans="1:16" x14ac:dyDescent="0.25">
      <c r="A328" s="27"/>
      <c r="B328" s="27"/>
      <c r="C328" s="27"/>
      <c r="D328" s="27"/>
      <c r="E328" s="9"/>
      <c r="F328" s="27"/>
      <c r="G328" s="27"/>
      <c r="H328" s="27"/>
      <c r="I328" s="27"/>
      <c r="J328" s="27"/>
      <c r="K328" s="27"/>
      <c r="L328" s="27"/>
      <c r="M328" s="27"/>
      <c r="N328" s="27"/>
      <c r="O328" s="27"/>
      <c r="P328" s="27"/>
    </row>
    <row r="329" spans="1:16" x14ac:dyDescent="0.25">
      <c r="A329" s="27"/>
      <c r="B329" s="27"/>
      <c r="C329" s="27"/>
      <c r="D329" s="27"/>
      <c r="E329" s="9"/>
      <c r="F329" s="27"/>
      <c r="G329" s="27"/>
      <c r="H329" s="27"/>
      <c r="I329" s="27"/>
      <c r="J329" s="27"/>
      <c r="K329" s="27"/>
      <c r="L329" s="27"/>
      <c r="M329" s="27"/>
      <c r="N329" s="27"/>
      <c r="O329" s="27"/>
      <c r="P329" s="27"/>
    </row>
    <row r="330" spans="1:16" x14ac:dyDescent="0.25">
      <c r="A330" s="27"/>
      <c r="B330" s="27"/>
      <c r="C330" s="27"/>
      <c r="D330" s="27"/>
      <c r="E330" s="9"/>
      <c r="F330" s="27"/>
      <c r="G330" s="27"/>
      <c r="H330" s="27"/>
      <c r="I330" s="27"/>
      <c r="J330" s="27"/>
      <c r="K330" s="27"/>
      <c r="L330" s="27"/>
      <c r="M330" s="27"/>
      <c r="N330" s="27"/>
      <c r="O330" s="27"/>
      <c r="P330" s="27"/>
    </row>
    <row r="331" spans="1:16" x14ac:dyDescent="0.25">
      <c r="A331" s="27"/>
      <c r="B331" s="27"/>
      <c r="C331" s="27"/>
    </row>
    <row r="332" spans="1:16" x14ac:dyDescent="0.25">
      <c r="A332" s="27"/>
      <c r="B332" s="27"/>
      <c r="C332" s="27"/>
    </row>
    <row r="333" spans="1:16" x14ac:dyDescent="0.25">
      <c r="A333" s="27"/>
      <c r="B333" s="27"/>
      <c r="C333" s="27"/>
      <c r="D333" s="27"/>
      <c r="E333" s="9"/>
      <c r="F333" s="27"/>
      <c r="G333" s="27"/>
      <c r="H333" s="27"/>
      <c r="I333" s="27"/>
      <c r="J333" s="27"/>
      <c r="K333" s="27"/>
      <c r="L333" s="27"/>
      <c r="M333" s="27"/>
      <c r="N333" s="27"/>
      <c r="O333" s="27"/>
      <c r="P333" s="27"/>
    </row>
    <row r="334" spans="1:16" x14ac:dyDescent="0.25">
      <c r="A334" s="27"/>
      <c r="B334" s="27"/>
      <c r="C334" s="27"/>
      <c r="D334" s="27"/>
      <c r="E334" s="9"/>
      <c r="F334" s="27"/>
      <c r="G334" s="27"/>
      <c r="H334" s="27"/>
      <c r="I334" s="27"/>
      <c r="J334" s="27"/>
      <c r="K334" s="27"/>
      <c r="L334" s="27"/>
      <c r="M334" s="27"/>
      <c r="N334" s="27"/>
      <c r="O334" s="27"/>
      <c r="P334" s="27"/>
    </row>
  </sheetData>
  <sheetProtection selectLockedCells="1"/>
  <mergeCells count="2">
    <mergeCell ref="C189:C190"/>
    <mergeCell ref="C195:C196"/>
  </mergeCells>
  <pageMargins left="0.7" right="0.7" top="0.75" bottom="0.75" header="0.3" footer="0.3"/>
  <pageSetup paperSize="9"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1" tint="4.9989318521683403E-2"/>
  </sheetPr>
  <dimension ref="A2:AM1262"/>
  <sheetViews>
    <sheetView topLeftCell="A1178" zoomScale="80" zoomScaleNormal="80" zoomScaleSheetLayoutView="80" workbookViewId="0">
      <selection activeCell="P1071" sqref="P1071:P1072"/>
    </sheetView>
  </sheetViews>
  <sheetFormatPr defaultColWidth="9.140625" defaultRowHeight="15" outlineLevelRow="1" x14ac:dyDescent="0.25"/>
  <cols>
    <col min="1" max="1" width="4.85546875" style="9" customWidth="1"/>
    <col min="2" max="2" width="6" style="9" customWidth="1"/>
    <col min="3" max="3" width="47.85546875" style="9" customWidth="1"/>
    <col min="4" max="4" width="14.42578125" style="182" customWidth="1"/>
    <col min="5" max="15" width="11.28515625" style="9" customWidth="1"/>
    <col min="16" max="16" width="37" style="27" customWidth="1"/>
    <col min="17" max="17" width="13.28515625" style="3987" customWidth="1"/>
    <col min="18" max="47" width="13.28515625" style="27" customWidth="1"/>
    <col min="48" max="16384" width="9.140625" style="27"/>
  </cols>
  <sheetData>
    <row r="2" spans="1:17" x14ac:dyDescent="0.25">
      <c r="A2" s="11" t="s">
        <v>2</v>
      </c>
      <c r="B2" s="906" t="s">
        <v>2199</v>
      </c>
      <c r="C2" s="907"/>
      <c r="D2" s="2479"/>
      <c r="E2" s="27"/>
      <c r="F2" s="127"/>
      <c r="G2" s="127"/>
      <c r="H2" s="127"/>
      <c r="I2" s="127"/>
      <c r="J2" s="127"/>
      <c r="K2" s="127"/>
      <c r="L2" s="127"/>
      <c r="M2" s="127"/>
      <c r="N2" s="127"/>
      <c r="O2" s="127"/>
    </row>
    <row r="3" spans="1:17" hidden="1" outlineLevel="1" x14ac:dyDescent="0.25">
      <c r="B3" s="13" t="s">
        <v>3</v>
      </c>
      <c r="C3" s="13" t="s">
        <v>4</v>
      </c>
      <c r="D3" s="2480" t="s">
        <v>33</v>
      </c>
      <c r="E3" s="13">
        <f>'WS calcu'!E$3</f>
        <v>2014</v>
      </c>
      <c r="F3" s="13">
        <f>'WS calcu'!F$3</f>
        <v>2015</v>
      </c>
      <c r="G3" s="13">
        <f>'WS calcu'!G$3</f>
        <v>2016</v>
      </c>
      <c r="H3" s="13">
        <f>'WS calcu'!H$3</f>
        <v>2017</v>
      </c>
      <c r="I3" s="13">
        <f>'WS calcu'!I$3</f>
        <v>2018</v>
      </c>
      <c r="J3" s="13">
        <f>'WS calcu'!J$3</f>
        <v>2019</v>
      </c>
      <c r="K3" s="13">
        <f>'WS calcu'!K$3</f>
        <v>2020</v>
      </c>
      <c r="L3" s="13">
        <f>'WS calcu'!L$3</f>
        <v>2021</v>
      </c>
      <c r="M3" s="13">
        <f>'WS calcu'!M$3</f>
        <v>2022</v>
      </c>
      <c r="N3" s="13">
        <f>'WS calcu'!N$3</f>
        <v>2023</v>
      </c>
      <c r="O3" s="13">
        <f>'WS calcu'!O$3</f>
        <v>2024</v>
      </c>
    </row>
    <row r="4" spans="1:17" hidden="1" outlineLevel="1" x14ac:dyDescent="0.25">
      <c r="B4" s="547">
        <v>1</v>
      </c>
      <c r="C4" s="2426" t="s">
        <v>2204</v>
      </c>
      <c r="D4" s="2481"/>
      <c r="E4" s="2427">
        <f>Population!E$32</f>
        <v>0</v>
      </c>
      <c r="F4" s="2427">
        <f>Population!F$32</f>
        <v>0</v>
      </c>
      <c r="G4" s="2427">
        <f>Population!G$32</f>
        <v>0</v>
      </c>
      <c r="H4" s="2427">
        <f>Population!H$32</f>
        <v>0</v>
      </c>
      <c r="I4" s="2427">
        <f>Population!I$32</f>
        <v>0</v>
      </c>
      <c r="J4" s="2427">
        <f>Population!J$32</f>
        <v>0</v>
      </c>
      <c r="K4" s="2427">
        <f>Population!K$32</f>
        <v>0</v>
      </c>
      <c r="L4" s="2427">
        <f>Population!L$32</f>
        <v>0</v>
      </c>
      <c r="M4" s="2427">
        <f>Population!M$32</f>
        <v>0</v>
      </c>
      <c r="N4" s="2427">
        <f>Population!N$32</f>
        <v>0</v>
      </c>
      <c r="O4" s="2428">
        <f>Population!O$32</f>
        <v>0</v>
      </c>
    </row>
    <row r="5" spans="1:17" hidden="1" outlineLevel="1" x14ac:dyDescent="0.25">
      <c r="A5" s="27"/>
      <c r="B5" s="615"/>
      <c r="C5" s="48" t="s">
        <v>2202</v>
      </c>
      <c r="D5" s="2482"/>
      <c r="E5" s="48"/>
      <c r="F5" s="2100">
        <f t="shared" ref="F5:O5" si="0">F7-E7</f>
        <v>0</v>
      </c>
      <c r="G5" s="2100">
        <f t="shared" si="0"/>
        <v>0</v>
      </c>
      <c r="H5" s="2100">
        <f t="shared" si="0"/>
        <v>0</v>
      </c>
      <c r="I5" s="2100">
        <f>I7-H7</f>
        <v>0</v>
      </c>
      <c r="J5" s="2100">
        <f t="shared" si="0"/>
        <v>0</v>
      </c>
      <c r="K5" s="2100">
        <f t="shared" si="0"/>
        <v>0</v>
      </c>
      <c r="L5" s="2100">
        <f t="shared" si="0"/>
        <v>0</v>
      </c>
      <c r="M5" s="2100">
        <f t="shared" si="0"/>
        <v>0</v>
      </c>
      <c r="N5" s="2100">
        <f t="shared" si="0"/>
        <v>0</v>
      </c>
      <c r="O5" s="2101">
        <f t="shared" si="0"/>
        <v>0</v>
      </c>
      <c r="Q5" s="3988"/>
    </row>
    <row r="6" spans="1:17" hidden="1" outlineLevel="1" x14ac:dyDescent="0.25">
      <c r="A6" s="27"/>
      <c r="B6" s="615"/>
      <c r="C6" s="48" t="s">
        <v>2203</v>
      </c>
      <c r="D6" s="2482"/>
      <c r="E6" s="48"/>
      <c r="F6" s="2100">
        <f t="shared" ref="F6:O6" si="1">F8-E8</f>
        <v>0</v>
      </c>
      <c r="G6" s="2100">
        <f t="shared" si="1"/>
        <v>0</v>
      </c>
      <c r="H6" s="2100">
        <f t="shared" si="1"/>
        <v>0</v>
      </c>
      <c r="I6" s="2100">
        <f t="shared" si="1"/>
        <v>0</v>
      </c>
      <c r="J6" s="2100">
        <f t="shared" si="1"/>
        <v>0</v>
      </c>
      <c r="K6" s="2100">
        <f t="shared" si="1"/>
        <v>0</v>
      </c>
      <c r="L6" s="2100">
        <f t="shared" si="1"/>
        <v>0</v>
      </c>
      <c r="M6" s="2100">
        <f t="shared" si="1"/>
        <v>0</v>
      </c>
      <c r="N6" s="2100">
        <f t="shared" si="1"/>
        <v>0</v>
      </c>
      <c r="O6" s="2101">
        <f t="shared" si="1"/>
        <v>0</v>
      </c>
    </row>
    <row r="7" spans="1:17" hidden="1" outlineLevel="1" x14ac:dyDescent="0.25">
      <c r="B7" s="2429"/>
      <c r="C7" s="2430" t="s">
        <v>2200</v>
      </c>
      <c r="D7" s="2483"/>
      <c r="E7" s="2430">
        <f>'WSS Profile'!F290</f>
        <v>4451</v>
      </c>
      <c r="F7" s="2431">
        <f>E7*(1+F$4)</f>
        <v>4451</v>
      </c>
      <c r="G7" s="2431">
        <f t="shared" ref="G7:O7" si="2">F7*(1+G$4)</f>
        <v>4451</v>
      </c>
      <c r="H7" s="2431">
        <f t="shared" si="2"/>
        <v>4451</v>
      </c>
      <c r="I7" s="2431">
        <f>H7*(1+I$4)</f>
        <v>4451</v>
      </c>
      <c r="J7" s="2431">
        <f t="shared" si="2"/>
        <v>4451</v>
      </c>
      <c r="K7" s="2431">
        <f>J7*(1+K$4)</f>
        <v>4451</v>
      </c>
      <c r="L7" s="2431">
        <f t="shared" si="2"/>
        <v>4451</v>
      </c>
      <c r="M7" s="2431">
        <f t="shared" si="2"/>
        <v>4451</v>
      </c>
      <c r="N7" s="2431">
        <f t="shared" si="2"/>
        <v>4451</v>
      </c>
      <c r="O7" s="2432">
        <f t="shared" si="2"/>
        <v>4451</v>
      </c>
    </row>
    <row r="8" spans="1:17" hidden="1" outlineLevel="1" x14ac:dyDescent="0.25">
      <c r="B8" s="2071"/>
      <c r="C8" s="546" t="s">
        <v>2201</v>
      </c>
      <c r="D8" s="2484"/>
      <c r="E8" s="546">
        <f>'WSS Profile'!G290</f>
        <v>191</v>
      </c>
      <c r="F8" s="2185">
        <f t="shared" ref="F8:O8" si="3">E8*(1+F$4)</f>
        <v>191</v>
      </c>
      <c r="G8" s="2185">
        <f t="shared" si="3"/>
        <v>191</v>
      </c>
      <c r="H8" s="2185">
        <f>G8*(1+H$4)</f>
        <v>191</v>
      </c>
      <c r="I8" s="2185">
        <f t="shared" si="3"/>
        <v>191</v>
      </c>
      <c r="J8" s="2185">
        <f t="shared" si="3"/>
        <v>191</v>
      </c>
      <c r="K8" s="2185">
        <f t="shared" si="3"/>
        <v>191</v>
      </c>
      <c r="L8" s="2185">
        <f t="shared" si="3"/>
        <v>191</v>
      </c>
      <c r="M8" s="2185">
        <f t="shared" si="3"/>
        <v>191</v>
      </c>
      <c r="N8" s="2185">
        <f t="shared" si="3"/>
        <v>191</v>
      </c>
      <c r="O8" s="2186">
        <f t="shared" si="3"/>
        <v>191</v>
      </c>
    </row>
    <row r="9" spans="1:17" hidden="1" outlineLevel="1" x14ac:dyDescent="0.25">
      <c r="B9" s="2433"/>
      <c r="C9" s="2434" t="s">
        <v>16</v>
      </c>
      <c r="D9" s="2485"/>
      <c r="E9" s="2434">
        <f>E7+E8</f>
        <v>4642</v>
      </c>
      <c r="F9" s="2435">
        <f t="shared" ref="F9:O9" si="4">E9*(1+F$4)</f>
        <v>4642</v>
      </c>
      <c r="G9" s="2435">
        <f t="shared" si="4"/>
        <v>4642</v>
      </c>
      <c r="H9" s="2435">
        <f>G9*(1+H$4)</f>
        <v>4642</v>
      </c>
      <c r="I9" s="2435">
        <f t="shared" si="4"/>
        <v>4642</v>
      </c>
      <c r="J9" s="2435">
        <f t="shared" si="4"/>
        <v>4642</v>
      </c>
      <c r="K9" s="2435">
        <f t="shared" si="4"/>
        <v>4642</v>
      </c>
      <c r="L9" s="2435">
        <f t="shared" si="4"/>
        <v>4642</v>
      </c>
      <c r="M9" s="2435">
        <f t="shared" si="4"/>
        <v>4642</v>
      </c>
      <c r="N9" s="2435">
        <f t="shared" si="4"/>
        <v>4642</v>
      </c>
      <c r="O9" s="2436">
        <f t="shared" si="4"/>
        <v>4642</v>
      </c>
    </row>
    <row r="10" spans="1:17" hidden="1" outlineLevel="1" x14ac:dyDescent="0.25">
      <c r="B10" s="2073"/>
      <c r="C10" s="908" t="s">
        <v>2791</v>
      </c>
      <c r="D10" s="2486" t="s">
        <v>1257</v>
      </c>
      <c r="E10" s="2402">
        <f>IFERROR(D33/E14,0)</f>
        <v>1</v>
      </c>
      <c r="F10" s="2402">
        <f>IFERROR((SUM($E$29:F29)+$D$33)/F14,0)</f>
        <v>1</v>
      </c>
      <c r="G10" s="2402">
        <f>IFERROR((SUM($E$29:G29)+$D$33)/G14,0)</f>
        <v>1</v>
      </c>
      <c r="H10" s="2402">
        <f>IFERROR((SUM($E$29:H29)+$D$33)/H14,0)</f>
        <v>1</v>
      </c>
      <c r="I10" s="2402">
        <f>IFERROR((SUM($E$29:I29)+$D$33)/I14,0)</f>
        <v>1</v>
      </c>
      <c r="J10" s="2402">
        <f>IFERROR((SUM($E$29:J29)+$D$33)/J14,0)</f>
        <v>1</v>
      </c>
      <c r="K10" s="2402">
        <f>IFERROR((SUM($E$29:K29)+$D$33)/K14,0)</f>
        <v>1</v>
      </c>
      <c r="L10" s="2402">
        <f>IFERROR((SUM($E$29:L29)+$D$33)/L14,0)</f>
        <v>1</v>
      </c>
      <c r="M10" s="2402">
        <f>IFERROR((SUM($E$29:M29)+$D$33)/M14,0)</f>
        <v>1</v>
      </c>
      <c r="N10" s="2402">
        <f>IFERROR((SUM($E$29:N29)+$D$33)/N14,0)</f>
        <v>1</v>
      </c>
      <c r="O10" s="2403">
        <f>IFERROR((SUM($E$29:O29)+$D$33)/O14,0)</f>
        <v>1</v>
      </c>
    </row>
    <row r="11" spans="1:17" s="170" customFormat="1" hidden="1" outlineLevel="1" x14ac:dyDescent="0.25">
      <c r="B11" s="3973"/>
      <c r="C11" s="3974"/>
      <c r="D11" s="2251" t="s">
        <v>2931</v>
      </c>
      <c r="E11" s="4022">
        <f>IFERROR((SUM($E$39:E39))/E14,0)</f>
        <v>0</v>
      </c>
      <c r="F11" s="4022">
        <f>IFERROR((SUM($E$39:F39))/F14,0)</f>
        <v>0</v>
      </c>
      <c r="G11" s="4022">
        <f>IFERROR((SUM($E$39:G39))/G14,0)</f>
        <v>0</v>
      </c>
      <c r="H11" s="4022">
        <f>IFERROR((SUM($E$39:H39))/H14,0)</f>
        <v>0</v>
      </c>
      <c r="I11" s="4022">
        <f>IFERROR((SUM($E$39:I39))/I14,0)</f>
        <v>0</v>
      </c>
      <c r="J11" s="4022">
        <f>IFERROR((SUM($E$39:J39))/J14,0)</f>
        <v>0</v>
      </c>
      <c r="K11" s="4022">
        <f>IFERROR((SUM($E$39:K39))/K14,0)</f>
        <v>0</v>
      </c>
      <c r="L11" s="4022">
        <f>IFERROR((SUM($E$39:L39))/L14,0)</f>
        <v>0</v>
      </c>
      <c r="M11" s="4022">
        <f>IFERROR((SUM($E$39:M39))/M14,0)</f>
        <v>0</v>
      </c>
      <c r="N11" s="4022">
        <f>IFERROR((SUM($E$39:N39))/N14,0)</f>
        <v>0</v>
      </c>
      <c r="O11" s="4023">
        <f>IFERROR((SUM($E$39:O39))/O14,0)</f>
        <v>0</v>
      </c>
      <c r="P11" s="27"/>
      <c r="Q11" s="3987"/>
    </row>
    <row r="12" spans="1:17" s="170" customFormat="1" hidden="1" outlineLevel="1" x14ac:dyDescent="0.25">
      <c r="A12" s="43"/>
      <c r="B12" s="3979"/>
      <c r="C12" s="3974"/>
      <c r="D12" s="2486" t="s">
        <v>2933</v>
      </c>
      <c r="E12" s="2402">
        <f>IFERROR(D65/E14,0)</f>
        <v>0</v>
      </c>
      <c r="F12" s="2402">
        <f>IFERROR(((SUM($E$53:F53)+$D$65)*(1-$D$463))/F14,0)</f>
        <v>0</v>
      </c>
      <c r="G12" s="2402">
        <f>IFERROR(((SUM($E$53:G53)+$D$65)*(1-$D$463))/G14,0)</f>
        <v>0</v>
      </c>
      <c r="H12" s="2402">
        <f>IFERROR(((SUM($E$53:H53)+$D$65)*(1-$D$463))/H14,0)</f>
        <v>0</v>
      </c>
      <c r="I12" s="2402">
        <f>IFERROR(((SUM($E$53:I53)+$D$65)*(1-$D$463))/I14,0)</f>
        <v>0</v>
      </c>
      <c r="J12" s="2402">
        <f>IFERROR(((SUM($E$53:J53)+$D$65)*(1-$D$463))/J14,0)</f>
        <v>0</v>
      </c>
      <c r="K12" s="2402">
        <f>IFERROR(((SUM($E$53:K53)+$D$65)*(1-$D$463))/K14,0)</f>
        <v>0</v>
      </c>
      <c r="L12" s="2402">
        <f>IFERROR(((SUM($E$53:L53)+$D$65)*(1-$D$463))/L14,0)</f>
        <v>0</v>
      </c>
      <c r="M12" s="2402">
        <f>IFERROR(((SUM($E$53:M53)+$D$65)*(1-$D$463))/M14,0)</f>
        <v>0</v>
      </c>
      <c r="N12" s="2402">
        <f>IFERROR(((SUM($E$53:N53)+$D$65)*(1-$D$463))/N14,0)</f>
        <v>0</v>
      </c>
      <c r="O12" s="2403">
        <f>IFERROR(((SUM($E$53:O53)+$D$65)*(1-$D$463))/O14,0)</f>
        <v>0</v>
      </c>
      <c r="Q12" s="3987"/>
    </row>
    <row r="13" spans="1:17" s="170" customFormat="1" hidden="1" outlineLevel="1" x14ac:dyDescent="0.25">
      <c r="A13" s="43"/>
      <c r="B13" s="3979"/>
      <c r="C13" s="3974"/>
      <c r="D13" s="2486" t="s">
        <v>2802</v>
      </c>
      <c r="E13" s="2402"/>
      <c r="F13" s="2402">
        <f>IFERROR(((SUM($E$53:F53)+$D$65)*$D$463)/F14,0)</f>
        <v>0</v>
      </c>
      <c r="G13" s="2402">
        <f>IFERROR(((SUM($E$53:G53)+$D$65)*$D$463)/G14,0)</f>
        <v>0</v>
      </c>
      <c r="H13" s="2402">
        <f>IFERROR(((SUM($E$53:H53)+$D$65)*$D$463)/H14,0)</f>
        <v>0</v>
      </c>
      <c r="I13" s="2402">
        <f>IFERROR(((SUM($E$53:I53)+$D$65)*$D$463)/I14,0)</f>
        <v>0</v>
      </c>
      <c r="J13" s="2402">
        <f>IFERROR(((SUM($E$53:J53)+$D$65)*$D$463)/J14,0)</f>
        <v>0</v>
      </c>
      <c r="K13" s="2402">
        <f>IFERROR(((SUM($E$53:K53)+$D$65)*$D$463)/K14,0)</f>
        <v>0</v>
      </c>
      <c r="L13" s="2402">
        <f>IFERROR(((SUM($E$53:L53)+$D$65)*$D$463)/L14,0)</f>
        <v>0</v>
      </c>
      <c r="M13" s="2402">
        <f>IFERROR(((SUM($E$53:M53)+$D$65)*$D$463)/M14,0)</f>
        <v>0</v>
      </c>
      <c r="N13" s="2402">
        <f>IFERROR(((SUM($E$53:N53)+$D$65)*$D$463)/N14,0)</f>
        <v>0</v>
      </c>
      <c r="O13" s="2403">
        <f>IFERROR(((SUM($E$53:O53)+$D$65)*$D$463)/O14,0)</f>
        <v>0</v>
      </c>
      <c r="P13" s="170">
        <f>D65</f>
        <v>0</v>
      </c>
      <c r="Q13" s="3987"/>
    </row>
    <row r="14" spans="1:17" hidden="1" outlineLevel="1" x14ac:dyDescent="0.25">
      <c r="B14" s="2073"/>
      <c r="C14" s="2152"/>
      <c r="D14" s="2486"/>
      <c r="E14" s="4024">
        <f>D33+D65</f>
        <v>424</v>
      </c>
      <c r="F14" s="4024">
        <f>(SUM($E$29:F29)+$D$33)+(SUM($E$53:F53)+$D$65)+SUM($E$39:F39)</f>
        <v>1050</v>
      </c>
      <c r="G14" s="4024">
        <f>(SUM($E$29:G29)+$D$33)+(SUM($E$53:G53)+$D$65)+SUM($E$39:G39)</f>
        <v>1676</v>
      </c>
      <c r="H14" s="4024">
        <f>(SUM($E$29:H29)+$D$33)+(SUM($E$53:H53)+$D$65)+SUM($E$39:H39)</f>
        <v>2302</v>
      </c>
      <c r="I14" s="4024">
        <f>(SUM($E$29:I29)+$D$33)+(SUM($E$53:I53)+$D$65)+SUM($E$39:I39)</f>
        <v>2928</v>
      </c>
      <c r="J14" s="4024">
        <f>(SUM($E$29:J29)+$D$33)+(SUM($E$53:J53)+$D$65)+SUM($E$39:J39)</f>
        <v>3554</v>
      </c>
      <c r="K14" s="4024">
        <f>(SUM($E$29:K29)+$D$33)+(SUM($E$53:K53)+$D$65)+SUM($E$39:K39)</f>
        <v>3554</v>
      </c>
      <c r="L14" s="4024">
        <f>(SUM($E$29:L29)+$D$33)+(SUM($E$53:L53)+$D$65)+SUM($E$39:L39)</f>
        <v>3554</v>
      </c>
      <c r="M14" s="4024">
        <f>(SUM($E$29:M29)+$D$33)+(SUM($E$53:M53)+$D$65)+SUM($E$39:M39)</f>
        <v>3554</v>
      </c>
      <c r="N14" s="4024">
        <f>(SUM($E$29:N29)+$D$33)+(SUM($E$53:N53)+$D$65)+SUM($E$39:N39)</f>
        <v>3554</v>
      </c>
      <c r="O14" s="4025">
        <f>(SUM($E$29:O29)+$D$33)+(SUM($E$53:O53)+$D$65)+SUM($E$39:O39)</f>
        <v>3554</v>
      </c>
    </row>
    <row r="15" spans="1:17" hidden="1" outlineLevel="1" x14ac:dyDescent="0.25">
      <c r="B15" s="2073"/>
      <c r="C15" s="908" t="s">
        <v>2792</v>
      </c>
      <c r="D15" s="2486" t="s">
        <v>1257</v>
      </c>
      <c r="E15" s="4022">
        <f>IFERROR(D34/E19,0)</f>
        <v>0</v>
      </c>
      <c r="F15" s="4022">
        <f>IFERROR((SUM($E$30:F30)+$D$34)/F19,0)</f>
        <v>1</v>
      </c>
      <c r="G15" s="4022">
        <f>IFERROR((SUM($E$30:G30)+$D$34)/G19,0)</f>
        <v>1</v>
      </c>
      <c r="H15" s="4022">
        <f>IFERROR((SUM($E$30:H30)+$D$34)/H19,0)</f>
        <v>1</v>
      </c>
      <c r="I15" s="4022">
        <f>IFERROR((SUM($E$30:I30)+$D$34)/I19,0)</f>
        <v>1</v>
      </c>
      <c r="J15" s="4022">
        <f>IFERROR((SUM($E$30:J30)+$D$34)/J19,0)</f>
        <v>1</v>
      </c>
      <c r="K15" s="4022">
        <f>IFERROR((SUM($E$30:K30)+$D$34)/K19,0)</f>
        <v>1</v>
      </c>
      <c r="L15" s="4022">
        <f>IFERROR((SUM($E$30:L30)+$D$34)/L19,0)</f>
        <v>1</v>
      </c>
      <c r="M15" s="4022">
        <f>IFERROR((SUM($E$30:M30)+$D$34)/M19,0)</f>
        <v>1</v>
      </c>
      <c r="N15" s="4022">
        <f>IFERROR((SUM($E$30:N30)+$D$34)/N19,0)</f>
        <v>1</v>
      </c>
      <c r="O15" s="4023">
        <f>IFERROR((SUM($E$30:O30)+$D$34)/O19,0)</f>
        <v>1</v>
      </c>
    </row>
    <row r="16" spans="1:17" s="170" customFormat="1" hidden="1" outlineLevel="1" x14ac:dyDescent="0.25">
      <c r="B16" s="3973"/>
      <c r="C16" s="3974"/>
      <c r="D16" s="2251" t="s">
        <v>2931</v>
      </c>
      <c r="E16" s="4022"/>
      <c r="F16" s="4022">
        <f>IFERROR((SUM($E$40:F40))/F19,0)</f>
        <v>0</v>
      </c>
      <c r="G16" s="4022">
        <f>IFERROR((SUM($E$40:G40))/G19,0)</f>
        <v>0</v>
      </c>
      <c r="H16" s="4022">
        <f>IFERROR((SUM($E$40:H40))/H19,0)</f>
        <v>0</v>
      </c>
      <c r="I16" s="4022">
        <f>IFERROR((SUM($E$40:I40))/I19,0)</f>
        <v>0</v>
      </c>
      <c r="J16" s="4022">
        <f>IFERROR((SUM($E$40:J40))/J19,0)</f>
        <v>0</v>
      </c>
      <c r="K16" s="4022">
        <f>IFERROR((SUM($E$40:K40))/K19,0)</f>
        <v>0</v>
      </c>
      <c r="L16" s="4022">
        <f>IFERROR((SUM($E$40:L40))/L19,0)</f>
        <v>0</v>
      </c>
      <c r="M16" s="4022">
        <f>IFERROR((SUM($E$40:M40))/M19,0)</f>
        <v>0</v>
      </c>
      <c r="N16" s="4022">
        <f>IFERROR((SUM($E$40:N40))/N19,0)</f>
        <v>0</v>
      </c>
      <c r="O16" s="4023">
        <f>IFERROR((SUM($E$40:O40))/O19,0)</f>
        <v>0</v>
      </c>
      <c r="Q16" s="3987"/>
    </row>
    <row r="17" spans="1:17" s="170" customFormat="1" hidden="1" outlineLevel="1" x14ac:dyDescent="0.25">
      <c r="A17" s="43"/>
      <c r="B17" s="3979"/>
      <c r="C17" s="3974"/>
      <c r="D17" s="2486" t="s">
        <v>2933</v>
      </c>
      <c r="E17" s="4022">
        <f>IFERROR(D66/E19,0)</f>
        <v>0</v>
      </c>
      <c r="F17" s="4022">
        <f>IFERROR(((SUM($E$54:F54)+$D$66)*(1-$D$464))/F19,0)</f>
        <v>0</v>
      </c>
      <c r="G17" s="4022">
        <f>IFERROR(((SUM($E$54:G54)+$D$66)*(1-$D$464))/G19,0)</f>
        <v>0</v>
      </c>
      <c r="H17" s="4022">
        <f>IFERROR(((SUM($E$54:H54)+$D$66)*(1-$D$464))/H19,0)</f>
        <v>0</v>
      </c>
      <c r="I17" s="4022">
        <f>IFERROR(((SUM($E$54:I54)+$D$66)*(1-$D$464))/I19,0)</f>
        <v>0</v>
      </c>
      <c r="J17" s="4022">
        <f>IFERROR(((SUM($E$54:J54)+$D$66)*(1-$D$464))/J19,0)</f>
        <v>0</v>
      </c>
      <c r="K17" s="4022">
        <f>IFERROR(((SUM($E$54:K54)+$D$66)*(1-$D$464))/K19,0)</f>
        <v>0</v>
      </c>
      <c r="L17" s="4022">
        <f>IFERROR(((SUM($E$54:L54)+$D$66)*(1-$D$464))/L19,0)</f>
        <v>0</v>
      </c>
      <c r="M17" s="4022">
        <f>IFERROR(((SUM($E$54:M54)+$D$66)*(1-$D$464))/M19,0)</f>
        <v>0</v>
      </c>
      <c r="N17" s="4022">
        <f>IFERROR(((SUM($E$54:N54)+$D$66)*(1-$D$464))/N19,0)</f>
        <v>0</v>
      </c>
      <c r="O17" s="4023">
        <f>IFERROR(((SUM($E$54:O54)+$D$66)*(1-$D$464))/O19,0)</f>
        <v>0</v>
      </c>
      <c r="Q17" s="3987"/>
    </row>
    <row r="18" spans="1:17" s="170" customFormat="1" hidden="1" outlineLevel="1" x14ac:dyDescent="0.25">
      <c r="A18" s="43"/>
      <c r="B18" s="3979"/>
      <c r="C18" s="3974"/>
      <c r="D18" s="2486" t="s">
        <v>2802</v>
      </c>
      <c r="E18" s="4022"/>
      <c r="F18" s="4022">
        <f>IFERROR(((SUM($E$54:F54)+$D$66)*$D$464)/F19,0)</f>
        <v>0</v>
      </c>
      <c r="G18" s="4022">
        <f>IFERROR(((SUM($E$54:G54)+$D$66)*$D$464)/G19,0)</f>
        <v>0</v>
      </c>
      <c r="H18" s="4022">
        <f>IFERROR(((SUM($E$54:H54)+$D$66)*$D$464)/H19,0)</f>
        <v>0</v>
      </c>
      <c r="I18" s="4022">
        <f>IFERROR(((SUM($E$54:I54)+$D$66)*$D$464)/I19,0)</f>
        <v>0</v>
      </c>
      <c r="J18" s="4022">
        <f>IFERROR(((SUM($E$54:J54)+$D$66)*$D$464)/J19,0)</f>
        <v>0</v>
      </c>
      <c r="K18" s="4022">
        <f>IFERROR(((SUM($E$54:K54)+$D$66)*$D$464)/K19,0)</f>
        <v>0</v>
      </c>
      <c r="L18" s="4022">
        <f>IFERROR(((SUM($E$54:L54)+$D$66)*$D$464)/L19,0)</f>
        <v>0</v>
      </c>
      <c r="M18" s="4022">
        <f>IFERROR(((SUM($E$54:M54)+$D$66)*$D$464)/M19,0)</f>
        <v>0</v>
      </c>
      <c r="N18" s="4022">
        <f>IFERROR(((SUM($E$54:N54)+$D$66)*$D$464)/N19,0)</f>
        <v>0</v>
      </c>
      <c r="O18" s="4023">
        <f>IFERROR(((SUM($E$54:O54)+$D$66)*$D$464)/O19,0)</f>
        <v>0</v>
      </c>
      <c r="Q18" s="3987"/>
    </row>
    <row r="19" spans="1:17" hidden="1" outlineLevel="1" x14ac:dyDescent="0.25">
      <c r="B19" s="2074"/>
      <c r="C19" s="2066"/>
      <c r="D19" s="2487"/>
      <c r="E19" s="4026">
        <f>D34+D66</f>
        <v>0</v>
      </c>
      <c r="F19" s="4026">
        <f>(SUM($E$30:F30)+$D$34)+(SUM($E$54:F54)+$D$66)++SUM($E$40:F40)</f>
        <v>33</v>
      </c>
      <c r="G19" s="4026">
        <f>(SUM($E$30:G30)+$D$34)+(SUM($E$54:G54)+$D$66)++SUM($E$40:G40)</f>
        <v>66</v>
      </c>
      <c r="H19" s="4026">
        <f>(SUM($E$30:H30)+$D$34)+(SUM($E$54:H54)+$D$66)++SUM($E$40:H40)</f>
        <v>99</v>
      </c>
      <c r="I19" s="4026">
        <f>(SUM($E$30:I30)+$D$34)+(SUM($E$54:I54)+$D$66)++SUM($E$40:I40)</f>
        <v>132</v>
      </c>
      <c r="J19" s="4026">
        <f>(SUM($E$30:J30)+$D$34)+(SUM($E$54:J54)+$D$66)++SUM($E$40:J40)</f>
        <v>165</v>
      </c>
      <c r="K19" s="4026">
        <f>(SUM($E$30:K30)+$D$34)+(SUM($E$54:K54)+$D$66)++SUM($E$40:K40)</f>
        <v>165</v>
      </c>
      <c r="L19" s="4026">
        <f>(SUM($E$30:L30)+$D$34)+(SUM($E$54:L54)+$D$66)++SUM($E$40:L40)</f>
        <v>165</v>
      </c>
      <c r="M19" s="4026">
        <f>(SUM($E$30:M30)+$D$34)+(SUM($E$54:M54)+$D$66)++SUM($E$40:M40)</f>
        <v>165</v>
      </c>
      <c r="N19" s="4026">
        <f>(SUM($E$30:N30)+$D$34)+(SUM($E$54:N54)+$D$66)++SUM($E$40:N40)</f>
        <v>165</v>
      </c>
      <c r="O19" s="4027">
        <f>(SUM($E$30:O30)+$D$34)+(SUM($E$54:O54)+$D$66)++SUM($E$40:O40)</f>
        <v>165</v>
      </c>
    </row>
    <row r="20" spans="1:17" hidden="1" outlineLevel="1" x14ac:dyDescent="0.25">
      <c r="B20" s="908"/>
      <c r="C20" s="908"/>
      <c r="D20" s="2486"/>
      <c r="E20" s="2404"/>
      <c r="F20" s="2404"/>
      <c r="G20" s="2404"/>
      <c r="H20" s="2404"/>
      <c r="I20" s="2404"/>
      <c r="J20" s="2404"/>
      <c r="K20" s="2404"/>
      <c r="L20" s="2404"/>
      <c r="M20" s="2404"/>
      <c r="N20" s="2404"/>
      <c r="O20" s="2404"/>
    </row>
    <row r="21" spans="1:17" hidden="1" outlineLevel="1" x14ac:dyDescent="0.25">
      <c r="B21" s="547">
        <v>2</v>
      </c>
      <c r="C21" s="2424" t="s">
        <v>2793</v>
      </c>
      <c r="D21" s="2481"/>
      <c r="E21" s="2093">
        <f>E246</f>
        <v>4027</v>
      </c>
      <c r="F21" s="2093">
        <f>F246</f>
        <v>3221.6</v>
      </c>
      <c r="G21" s="2093">
        <f t="shared" ref="G21:O21" si="5">G246</f>
        <v>2416.1999999999998</v>
      </c>
      <c r="H21" s="2093">
        <f>H246</f>
        <v>1610.8000000000002</v>
      </c>
      <c r="I21" s="2093">
        <f t="shared" si="5"/>
        <v>805.40000000000009</v>
      </c>
      <c r="J21" s="2093">
        <f t="shared" si="5"/>
        <v>0</v>
      </c>
      <c r="K21" s="2093">
        <f t="shared" si="5"/>
        <v>0</v>
      </c>
      <c r="L21" s="2093">
        <f t="shared" si="5"/>
        <v>0</v>
      </c>
      <c r="M21" s="2093">
        <f t="shared" si="5"/>
        <v>0</v>
      </c>
      <c r="N21" s="2093">
        <f t="shared" si="5"/>
        <v>0</v>
      </c>
      <c r="O21" s="1057">
        <f t="shared" si="5"/>
        <v>0</v>
      </c>
    </row>
    <row r="22" spans="1:17" hidden="1" outlineLevel="1" x14ac:dyDescent="0.25">
      <c r="B22" s="2071"/>
      <c r="C22" s="1162"/>
      <c r="D22" s="2488"/>
      <c r="E22" s="550">
        <f>E247</f>
        <v>191</v>
      </c>
      <c r="F22" s="550">
        <f>F247</f>
        <v>152.80000000000001</v>
      </c>
      <c r="G22" s="550">
        <f t="shared" ref="G22:O22" si="6">G247</f>
        <v>114.6</v>
      </c>
      <c r="H22" s="550">
        <f t="shared" si="6"/>
        <v>76.399999999999991</v>
      </c>
      <c r="I22" s="550">
        <f t="shared" si="6"/>
        <v>38.199999999999989</v>
      </c>
      <c r="J22" s="550">
        <f t="shared" si="6"/>
        <v>0</v>
      </c>
      <c r="K22" s="550">
        <f t="shared" si="6"/>
        <v>0</v>
      </c>
      <c r="L22" s="550">
        <f t="shared" si="6"/>
        <v>0</v>
      </c>
      <c r="M22" s="550">
        <f t="shared" si="6"/>
        <v>0</v>
      </c>
      <c r="N22" s="550">
        <f t="shared" si="6"/>
        <v>0</v>
      </c>
      <c r="O22" s="1033">
        <f t="shared" si="6"/>
        <v>0</v>
      </c>
    </row>
    <row r="23" spans="1:17" hidden="1" outlineLevel="1" x14ac:dyDescent="0.25">
      <c r="B23" s="2429"/>
      <c r="C23" s="2430" t="s">
        <v>2200</v>
      </c>
      <c r="D23" s="2489"/>
      <c r="E23" s="5141">
        <f>E7</f>
        <v>4451</v>
      </c>
      <c r="F23" s="5141">
        <f>$E$23+(F21-$E$21)</f>
        <v>3645.6</v>
      </c>
      <c r="G23" s="5141">
        <f t="shared" ref="G23:O23" si="7">$E$23+(G21-$E$21)</f>
        <v>2840.2</v>
      </c>
      <c r="H23" s="5141">
        <f t="shared" si="7"/>
        <v>2034.8000000000002</v>
      </c>
      <c r="I23" s="5141">
        <f t="shared" si="7"/>
        <v>1229.4000000000001</v>
      </c>
      <c r="J23" s="5141">
        <f t="shared" si="7"/>
        <v>424</v>
      </c>
      <c r="K23" s="5141">
        <f t="shared" si="7"/>
        <v>424</v>
      </c>
      <c r="L23" s="5141">
        <f t="shared" si="7"/>
        <v>424</v>
      </c>
      <c r="M23" s="5141">
        <f t="shared" si="7"/>
        <v>424</v>
      </c>
      <c r="N23" s="5141">
        <f t="shared" si="7"/>
        <v>424</v>
      </c>
      <c r="O23" s="5142">
        <f t="shared" si="7"/>
        <v>424</v>
      </c>
    </row>
    <row r="24" spans="1:17" hidden="1" outlineLevel="1" x14ac:dyDescent="0.25">
      <c r="B24" s="2071"/>
      <c r="C24" s="546" t="s">
        <v>2201</v>
      </c>
      <c r="D24" s="2490"/>
      <c r="E24" s="2208">
        <f>E8</f>
        <v>191</v>
      </c>
      <c r="F24" s="2208">
        <f>$E$24+(F22-$E$22)</f>
        <v>152.80000000000001</v>
      </c>
      <c r="G24" s="2208">
        <f t="shared" ref="G24:O24" si="8">$E$24+(G22-$E$22)</f>
        <v>114.6</v>
      </c>
      <c r="H24" s="2208">
        <f t="shared" si="8"/>
        <v>76.399999999999991</v>
      </c>
      <c r="I24" s="2208">
        <f t="shared" si="8"/>
        <v>38.199999999999989</v>
      </c>
      <c r="J24" s="2208">
        <f t="shared" si="8"/>
        <v>0</v>
      </c>
      <c r="K24" s="2208">
        <f t="shared" si="8"/>
        <v>0</v>
      </c>
      <c r="L24" s="2208">
        <f t="shared" si="8"/>
        <v>0</v>
      </c>
      <c r="M24" s="2208">
        <f t="shared" si="8"/>
        <v>0</v>
      </c>
      <c r="N24" s="2208">
        <f t="shared" si="8"/>
        <v>0</v>
      </c>
      <c r="O24" s="2209">
        <f t="shared" si="8"/>
        <v>0</v>
      </c>
    </row>
    <row r="25" spans="1:17" hidden="1" outlineLevel="1" x14ac:dyDescent="0.25">
      <c r="B25" s="551"/>
      <c r="C25" s="2364" t="s">
        <v>16</v>
      </c>
      <c r="D25" s="2491"/>
      <c r="E25" s="2108">
        <f>E23+E24</f>
        <v>4642</v>
      </c>
      <c r="F25" s="2108">
        <f>F23+F24</f>
        <v>3798.4</v>
      </c>
      <c r="G25" s="2108">
        <f t="shared" ref="G25:O25" si="9">G23+G24</f>
        <v>2954.7999999999997</v>
      </c>
      <c r="H25" s="2108">
        <f t="shared" si="9"/>
        <v>2111.2000000000003</v>
      </c>
      <c r="I25" s="2108">
        <f t="shared" si="9"/>
        <v>1267.6000000000001</v>
      </c>
      <c r="J25" s="2108">
        <f t="shared" si="9"/>
        <v>424</v>
      </c>
      <c r="K25" s="2108">
        <f t="shared" si="9"/>
        <v>424</v>
      </c>
      <c r="L25" s="2108">
        <f t="shared" si="9"/>
        <v>424</v>
      </c>
      <c r="M25" s="2108">
        <f t="shared" si="9"/>
        <v>424</v>
      </c>
      <c r="N25" s="2108">
        <f t="shared" si="9"/>
        <v>424</v>
      </c>
      <c r="O25" s="2109">
        <f t="shared" si="9"/>
        <v>424</v>
      </c>
    </row>
    <row r="26" spans="1:17" hidden="1" outlineLevel="1" x14ac:dyDescent="0.25">
      <c r="F26" s="24"/>
      <c r="G26" s="24"/>
      <c r="H26" s="24"/>
      <c r="I26" s="24"/>
      <c r="J26" s="24"/>
      <c r="K26" s="24"/>
      <c r="L26" s="24"/>
      <c r="M26" s="24"/>
      <c r="N26" s="24"/>
      <c r="O26" s="24"/>
    </row>
    <row r="27" spans="1:17" hidden="1" outlineLevel="1" x14ac:dyDescent="0.25">
      <c r="B27" s="547">
        <v>3</v>
      </c>
      <c r="C27" s="2424" t="s">
        <v>2513</v>
      </c>
      <c r="D27" s="2492" t="s">
        <v>2422</v>
      </c>
      <c r="E27" s="2438"/>
      <c r="F27" s="2439">
        <f>F29+F31</f>
        <v>626</v>
      </c>
      <c r="G27" s="2439">
        <f>G29+G31</f>
        <v>626</v>
      </c>
      <c r="H27" s="2439">
        <f>H29+H31</f>
        <v>626</v>
      </c>
      <c r="I27" s="2439">
        <f t="shared" ref="I27:O27" si="10">I29+I31</f>
        <v>626</v>
      </c>
      <c r="J27" s="2439">
        <f>J29+J31</f>
        <v>626</v>
      </c>
      <c r="K27" s="2439">
        <f t="shared" si="10"/>
        <v>0</v>
      </c>
      <c r="L27" s="2439">
        <f t="shared" si="10"/>
        <v>0</v>
      </c>
      <c r="M27" s="2439">
        <f t="shared" si="10"/>
        <v>0</v>
      </c>
      <c r="N27" s="2439">
        <f t="shared" si="10"/>
        <v>0</v>
      </c>
      <c r="O27" s="1295">
        <f t="shared" si="10"/>
        <v>0</v>
      </c>
    </row>
    <row r="28" spans="1:17" hidden="1" outlineLevel="1" x14ac:dyDescent="0.25">
      <c r="B28" s="2071"/>
      <c r="C28" s="436"/>
      <c r="D28" s="2251" t="s">
        <v>27</v>
      </c>
      <c r="E28" s="1071"/>
      <c r="F28" s="348">
        <f t="shared" ref="F28:O28" si="11">F30+F32</f>
        <v>33</v>
      </c>
      <c r="G28" s="348">
        <f t="shared" si="11"/>
        <v>33</v>
      </c>
      <c r="H28" s="348">
        <f t="shared" si="11"/>
        <v>33</v>
      </c>
      <c r="I28" s="348">
        <f>I30+I32</f>
        <v>33</v>
      </c>
      <c r="J28" s="348">
        <f t="shared" si="11"/>
        <v>33</v>
      </c>
      <c r="K28" s="348">
        <f t="shared" si="11"/>
        <v>0</v>
      </c>
      <c r="L28" s="348">
        <f t="shared" si="11"/>
        <v>0</v>
      </c>
      <c r="M28" s="348">
        <f t="shared" si="11"/>
        <v>0</v>
      </c>
      <c r="N28" s="348">
        <f t="shared" si="11"/>
        <v>0</v>
      </c>
      <c r="O28" s="1301">
        <f t="shared" si="11"/>
        <v>0</v>
      </c>
    </row>
    <row r="29" spans="1:17" s="305" customFormat="1" hidden="1" outlineLevel="1" x14ac:dyDescent="0.25">
      <c r="A29" s="162"/>
      <c r="B29" s="2440"/>
      <c r="C29" s="2441" t="s">
        <v>2514</v>
      </c>
      <c r="D29" s="2493">
        <f>'WW Plan'!G119</f>
        <v>1</v>
      </c>
      <c r="E29" s="4011">
        <f>ROUND(IF('WW Plan'!$E$111="Activate",IF(AND(E$3&gt;='WW Plan'!$G$117,E$3&lt;'WW Plan'!$H$117+1),('WW Plan'!$G$120)/('WW Plan'!$H$117+1-'WW Plan'!$G$117),0),0),0)</f>
        <v>0</v>
      </c>
      <c r="F29" s="4011">
        <f>ROUND(IF('WW Plan'!$E$111="Activate",IF(AND(F$3&gt;='WW Plan'!$G$117,F$3&lt;'WW Plan'!$H$117+1),('WW Plan'!$G$120)/('WW Plan'!$H$117+1-'WW Plan'!$G$117),0),0),0)</f>
        <v>626</v>
      </c>
      <c r="G29" s="2442">
        <f>ROUND(IF('WW Plan'!$E$111="Activate",IF(AND(G$3&gt;='WW Plan'!$G$117,G$3&lt;'WW Plan'!$H$117+1),('WW Plan'!$G$120)/('WW Plan'!$H$117+1-'WW Plan'!$G$117),0),0),0)</f>
        <v>626</v>
      </c>
      <c r="H29" s="2442">
        <f>ROUND(IF('WW Plan'!$E$111="Activate",IF(AND(H$3&gt;='WW Plan'!$G$117,H$3&lt;'WW Plan'!$H$117+1),('WW Plan'!$G$120)/('WW Plan'!$H$117+1-'WW Plan'!$G$117),0),0),0)</f>
        <v>626</v>
      </c>
      <c r="I29" s="2442">
        <f>ROUND(IF('WW Plan'!$E$111="Activate",IF(AND(I$3&gt;='WW Plan'!$G$117,I$3&lt;'WW Plan'!$H$117+1),('WW Plan'!$G$120)/('WW Plan'!$H$117+1-'WW Plan'!$G$117),0),0),0)</f>
        <v>626</v>
      </c>
      <c r="J29" s="2442">
        <f>ROUND(IF('WW Plan'!$E$111="Activate",IF(AND(J$3&gt;='WW Plan'!$G$117,J$3&lt;'WW Plan'!$H$117+1),('WW Plan'!$G$120)/('WW Plan'!$H$117+1-'WW Plan'!$G$117),0),0),0)</f>
        <v>626</v>
      </c>
      <c r="K29" s="2442">
        <f>ROUND(IF('WW Plan'!$E$111="Activate",IF(AND(K$3&gt;='WW Plan'!$G$117,K$3&lt;'WW Plan'!$H$117+1),('WW Plan'!$G$120)/('WW Plan'!$H$117+1-'WW Plan'!$G$117),0),0),0)</f>
        <v>0</v>
      </c>
      <c r="L29" s="2442">
        <f>ROUND(IF('WW Plan'!$E$111="Activate",IF(AND(L$3&gt;='WW Plan'!$G$117,L$3&lt;'WW Plan'!$H$117+1),('WW Plan'!$G$120)/('WW Plan'!$H$117+1-'WW Plan'!$G$117),0),0),0)</f>
        <v>0</v>
      </c>
      <c r="M29" s="2442">
        <f>ROUND(IF('WW Plan'!$E$111="Activate",IF(AND(M$3&gt;='WW Plan'!$G$117,M$3&lt;'WW Plan'!$H$117+1),('WW Plan'!$G$120)/('WW Plan'!$H$117+1-'WW Plan'!$G$117),0),0),0)</f>
        <v>0</v>
      </c>
      <c r="N29" s="2442">
        <f>ROUND(IF('WW Plan'!$E$111="Activate",IF(AND(N$3&gt;='WW Plan'!$G$117,N$3&lt;'WW Plan'!$H$117+1),('WW Plan'!$G$120)/('WW Plan'!$H$117+1-'WW Plan'!$G$117),0),0),0)</f>
        <v>0</v>
      </c>
      <c r="O29" s="2443">
        <f>ROUND(IF('WW Plan'!$E$111="Activate",IF(AND(O$3&gt;='WW Plan'!$G$117,O$3&lt;'WW Plan'!$H$117+1),('WW Plan'!$G$120)/('WW Plan'!$H$117+1-'WW Plan'!$G$117),0),0),0)</f>
        <v>0</v>
      </c>
      <c r="Q29" s="3987"/>
    </row>
    <row r="30" spans="1:17" s="305" customFormat="1" hidden="1" outlineLevel="1" x14ac:dyDescent="0.25">
      <c r="A30" s="162"/>
      <c r="B30" s="2077"/>
      <c r="C30" s="167" t="s">
        <v>2515</v>
      </c>
      <c r="D30" s="2494">
        <f>'WW Plan'!H119</f>
        <v>1</v>
      </c>
      <c r="E30" s="628">
        <f>ROUND(IF('WW Plan'!$E$111="Activate",IF(AND(E$3&gt;='WW Plan'!$G$117,E$3&lt;'WW Plan'!$H$117+1),('WW Plan'!$H$120)/('WW Plan'!$H$117+1-'WW Plan'!$G$117),0),0),0)</f>
        <v>0</v>
      </c>
      <c r="F30" s="628">
        <f>ROUND(IF('WW Plan'!$E$111="Activate",IF(AND(F$3&gt;='WW Plan'!$G$117,F$3&lt;'WW Plan'!$H$117+1),('WW Plan'!$H$120)/('WW Plan'!$H$117+1-'WW Plan'!$G$117),0),0),0)</f>
        <v>33</v>
      </c>
      <c r="G30" s="628">
        <f>ROUND(IF('WW Plan'!$E$111="Activate",IF(AND(G$3&gt;='WW Plan'!$G$117,G$3&lt;'WW Plan'!$H$117+1),('WW Plan'!$H$120)/('WW Plan'!$H$117+1-'WW Plan'!$G$117),0),0),0)</f>
        <v>33</v>
      </c>
      <c r="H30" s="628">
        <f>ROUND(IF('WW Plan'!$E$111="Activate",IF(AND(H$3&gt;='WW Plan'!$G$117,H$3&lt;'WW Plan'!$H$117+1),('WW Plan'!$H$120)/('WW Plan'!$H$117+1-'WW Plan'!$G$117),0),0),0)</f>
        <v>33</v>
      </c>
      <c r="I30" s="628">
        <f>ROUND(IF('WW Plan'!$E$111="Activate",IF(AND(I$3&gt;='WW Plan'!$G$117,I$3&lt;'WW Plan'!$H$117+1),('WW Plan'!$H$120)/('WW Plan'!$H$117+1-'WW Plan'!$G$117),0),0),0)</f>
        <v>33</v>
      </c>
      <c r="J30" s="628">
        <f>ROUND(IF('WW Plan'!$E$111="Activate",IF(AND(J$3&gt;='WW Plan'!$G$117,J$3&lt;'WW Plan'!$H$117+1),('WW Plan'!$H$120)/('WW Plan'!$H$117+1-'WW Plan'!$G$117),0),0),0)</f>
        <v>33</v>
      </c>
      <c r="K30" s="628">
        <f>ROUND(IF('WW Plan'!$E$111="Activate",IF(AND(K$3&gt;='WW Plan'!$G$117,K$3&lt;'WW Plan'!$H$117+1),('WW Plan'!$H$120)/('WW Plan'!$H$117+1-'WW Plan'!$G$117),0),0),0)</f>
        <v>0</v>
      </c>
      <c r="L30" s="628">
        <f>ROUND(IF('WW Plan'!$E$111="Activate",IF(AND(L$3&gt;='WW Plan'!$G$117,L$3&lt;'WW Plan'!$H$117+1),('WW Plan'!$H$120)/('WW Plan'!$H$117+1-'WW Plan'!$G$117),0),0),0)</f>
        <v>0</v>
      </c>
      <c r="M30" s="628">
        <f>ROUND(IF('WW Plan'!$E$111="Activate",IF(AND(M$3&gt;='WW Plan'!$G$117,M$3&lt;'WW Plan'!$H$117+1),('WW Plan'!$H$120)/('WW Plan'!$H$117+1-'WW Plan'!$G$117),0),0),0)</f>
        <v>0</v>
      </c>
      <c r="N30" s="628">
        <f>ROUND(IF('WW Plan'!$E$111="Activate",IF(AND(N$3&gt;='WW Plan'!$G$117,N$3&lt;'WW Plan'!$H$117+1),('WW Plan'!$H$120)/('WW Plan'!$H$117+1-'WW Plan'!$G$117),0),0),0)</f>
        <v>0</v>
      </c>
      <c r="O30" s="2122">
        <f>ROUND(IF('WW Plan'!$E$111="Activate",IF(AND(O$3&gt;='WW Plan'!$G$117,O$3&lt;'WW Plan'!$H$117+1),('WW Plan'!$H$120)/('WW Plan'!$H$117+1-'WW Plan'!$G$117),0),0),0)</f>
        <v>0</v>
      </c>
      <c r="Q30" s="3987"/>
    </row>
    <row r="31" spans="1:17" s="305" customFormat="1" hidden="1" outlineLevel="1" x14ac:dyDescent="0.25">
      <c r="A31" s="162"/>
      <c r="B31" s="2077"/>
      <c r="C31" s="167" t="s">
        <v>573</v>
      </c>
      <c r="D31" s="2486" t="s">
        <v>2422</v>
      </c>
      <c r="E31" s="628">
        <f t="shared" ref="E31:O31" si="12">(E10*E5)</f>
        <v>0</v>
      </c>
      <c r="F31" s="628">
        <f>(F10*F5)</f>
        <v>0</v>
      </c>
      <c r="G31" s="628">
        <f t="shared" si="12"/>
        <v>0</v>
      </c>
      <c r="H31" s="628">
        <f t="shared" si="12"/>
        <v>0</v>
      </c>
      <c r="I31" s="628">
        <f t="shared" si="12"/>
        <v>0</v>
      </c>
      <c r="J31" s="628">
        <f t="shared" si="12"/>
        <v>0</v>
      </c>
      <c r="K31" s="628">
        <f t="shared" si="12"/>
        <v>0</v>
      </c>
      <c r="L31" s="628">
        <f t="shared" si="12"/>
        <v>0</v>
      </c>
      <c r="M31" s="628">
        <f t="shared" si="12"/>
        <v>0</v>
      </c>
      <c r="N31" s="628">
        <f t="shared" si="12"/>
        <v>0</v>
      </c>
      <c r="O31" s="2122">
        <f t="shared" si="12"/>
        <v>0</v>
      </c>
      <c r="Q31" s="3987"/>
    </row>
    <row r="32" spans="1:17" s="305" customFormat="1" hidden="1" outlineLevel="1" x14ac:dyDescent="0.25">
      <c r="A32" s="162"/>
      <c r="B32" s="2444"/>
      <c r="C32" s="2445"/>
      <c r="D32" s="2495" t="s">
        <v>27</v>
      </c>
      <c r="E32" s="2446">
        <f t="shared" ref="E32:O32" si="13">(E15*E6)</f>
        <v>0</v>
      </c>
      <c r="F32" s="2446">
        <f t="shared" si="13"/>
        <v>0</v>
      </c>
      <c r="G32" s="2446">
        <f t="shared" si="13"/>
        <v>0</v>
      </c>
      <c r="H32" s="2446">
        <f t="shared" si="13"/>
        <v>0</v>
      </c>
      <c r="I32" s="2446">
        <f t="shared" si="13"/>
        <v>0</v>
      </c>
      <c r="J32" s="2446">
        <f t="shared" si="13"/>
        <v>0</v>
      </c>
      <c r="K32" s="2446">
        <f t="shared" si="13"/>
        <v>0</v>
      </c>
      <c r="L32" s="2446">
        <f t="shared" si="13"/>
        <v>0</v>
      </c>
      <c r="M32" s="2446">
        <f t="shared" si="13"/>
        <v>0</v>
      </c>
      <c r="N32" s="2446">
        <f t="shared" si="13"/>
        <v>0</v>
      </c>
      <c r="O32" s="2447">
        <f t="shared" si="13"/>
        <v>0</v>
      </c>
      <c r="Q32" s="3987"/>
    </row>
    <row r="33" spans="1:17" hidden="1" outlineLevel="1" x14ac:dyDescent="0.25">
      <c r="B33" s="2429"/>
      <c r="C33" s="2430" t="s">
        <v>2200</v>
      </c>
      <c r="D33" s="4012">
        <f>'WW Plan'!G118</f>
        <v>424</v>
      </c>
      <c r="E33" s="2431">
        <f>E23</f>
        <v>4451</v>
      </c>
      <c r="F33" s="2431">
        <f>F23+SUM($E$27:F27)</f>
        <v>4271.6000000000004</v>
      </c>
      <c r="G33" s="2431">
        <f>G23+SUM($E$27:G27)</f>
        <v>4092.2</v>
      </c>
      <c r="H33" s="2431">
        <f>H23+SUM($E$27:H27)</f>
        <v>3912.8</v>
      </c>
      <c r="I33" s="2431">
        <f>I23+SUM($E$27:I27)</f>
        <v>3733.4</v>
      </c>
      <c r="J33" s="2431">
        <f>J23+SUM($E$27:J27)</f>
        <v>3554</v>
      </c>
      <c r="K33" s="2431">
        <f>K23+SUM($E$27:K27)</f>
        <v>3554</v>
      </c>
      <c r="L33" s="2431">
        <f>L23+SUM($E$27:L27)</f>
        <v>3554</v>
      </c>
      <c r="M33" s="2431">
        <f>M23+SUM($E$27:M27)</f>
        <v>3554</v>
      </c>
      <c r="N33" s="2431">
        <f>N23+SUM($E$27:N27)</f>
        <v>3554</v>
      </c>
      <c r="O33" s="2432">
        <f>O23+SUM($E$27:O27)</f>
        <v>3554</v>
      </c>
      <c r="P33" s="305"/>
    </row>
    <row r="34" spans="1:17" hidden="1" outlineLevel="1" x14ac:dyDescent="0.25">
      <c r="B34" s="2071"/>
      <c r="C34" s="546" t="s">
        <v>2201</v>
      </c>
      <c r="D34" s="2496">
        <f>'WW Plan'!H118</f>
        <v>0</v>
      </c>
      <c r="E34" s="2185">
        <f>E24</f>
        <v>191</v>
      </c>
      <c r="F34" s="2185">
        <f>F24+SUM($E$28:F28)</f>
        <v>185.8</v>
      </c>
      <c r="G34" s="2185">
        <f>G24+SUM($E$28:G28)</f>
        <v>180.6</v>
      </c>
      <c r="H34" s="2185">
        <f>H24+SUM($E$28:H28)</f>
        <v>175.39999999999998</v>
      </c>
      <c r="I34" s="2185">
        <f>I24+SUM($E$28:I28)</f>
        <v>170.2</v>
      </c>
      <c r="J34" s="2185">
        <f>J24+SUM($E$28:J28)</f>
        <v>165</v>
      </c>
      <c r="K34" s="2185">
        <f>K24+SUM($E$28:K28)</f>
        <v>165</v>
      </c>
      <c r="L34" s="2185">
        <f>L24+SUM($E$28:L28)</f>
        <v>165</v>
      </c>
      <c r="M34" s="2185">
        <f>M24+SUM($E$28:M28)</f>
        <v>165</v>
      </c>
      <c r="N34" s="2185">
        <f>N24+SUM($E$28:N28)</f>
        <v>165</v>
      </c>
      <c r="O34" s="2186">
        <f>O24+SUM($E$28:O28)</f>
        <v>165</v>
      </c>
      <c r="P34" s="305"/>
    </row>
    <row r="35" spans="1:17" hidden="1" outlineLevel="1" x14ac:dyDescent="0.25">
      <c r="B35" s="2433"/>
      <c r="C35" s="2434" t="s">
        <v>16</v>
      </c>
      <c r="D35" s="2497">
        <f>D33+D34</f>
        <v>424</v>
      </c>
      <c r="E35" s="2435">
        <f>E33+E34</f>
        <v>4642</v>
      </c>
      <c r="F35" s="2435">
        <f>F33+F34</f>
        <v>4457.4000000000005</v>
      </c>
      <c r="G35" s="2435">
        <f t="shared" ref="G35:O35" si="14">G33+G34</f>
        <v>4272.8</v>
      </c>
      <c r="H35" s="2435">
        <f t="shared" si="14"/>
        <v>4088.2000000000003</v>
      </c>
      <c r="I35" s="2435">
        <f t="shared" si="14"/>
        <v>3903.6</v>
      </c>
      <c r="J35" s="2435">
        <f t="shared" si="14"/>
        <v>3719</v>
      </c>
      <c r="K35" s="2435">
        <f>K33+K34</f>
        <v>3719</v>
      </c>
      <c r="L35" s="2435">
        <f t="shared" si="14"/>
        <v>3719</v>
      </c>
      <c r="M35" s="2435">
        <f t="shared" si="14"/>
        <v>3719</v>
      </c>
      <c r="N35" s="2435">
        <f t="shared" si="14"/>
        <v>3719</v>
      </c>
      <c r="O35" s="2435">
        <f t="shared" si="14"/>
        <v>3719</v>
      </c>
      <c r="P35" s="2449"/>
    </row>
    <row r="36" spans="1:17" hidden="1" outlineLevel="1" x14ac:dyDescent="0.25">
      <c r="B36" s="624"/>
      <c r="C36" s="48" t="s">
        <v>2774</v>
      </c>
      <c r="D36" s="5770">
        <f>'WW Plan'!$G$121</f>
        <v>30000</v>
      </c>
      <c r="E36" s="545"/>
      <c r="F36" s="2437">
        <f>((F29*$D$36*'WW Plan'!$G$122)+('WW Plan'!$H$122*'WW calcu'!F30*'WW calcu'!$D$36))/CurrencyMultiplier</f>
        <v>118.62</v>
      </c>
      <c r="G36" s="2437">
        <f>((G29*$D$36*'WW Plan'!$G$122)+('WW Plan'!$H$122*'WW calcu'!G30*'WW calcu'!$D$36))/CurrencyMultiplier</f>
        <v>118.62</v>
      </c>
      <c r="H36" s="2437">
        <f>((H29*$D$36*'WW Plan'!$G$122)+('WW Plan'!$H$122*'WW calcu'!H30*'WW calcu'!$D$36))/CurrencyMultiplier</f>
        <v>118.62</v>
      </c>
      <c r="I36" s="2437">
        <f>((I29*$D$36*'WW Plan'!$G$122)+('WW Plan'!$H$122*'WW calcu'!I30*'WW calcu'!$D$36))/CurrencyMultiplier</f>
        <v>118.62</v>
      </c>
      <c r="J36" s="2437">
        <f>((J29*$D$36*'WW Plan'!$G$122)+('WW Plan'!$H$122*'WW calcu'!J30*'WW calcu'!$D$36))/CurrencyMultiplier</f>
        <v>118.62</v>
      </c>
      <c r="K36" s="2437">
        <f>((K29*$D$36*'WW Plan'!$G$122)+('WW Plan'!$H$122*'WW calcu'!K30*'WW calcu'!$D$36))/CurrencyMultiplier</f>
        <v>0</v>
      </c>
      <c r="L36" s="2437">
        <f>((L29*$D$36*'WW Plan'!$G$122)+('WW Plan'!$H$122*'WW calcu'!L30*'WW calcu'!$D$36))/CurrencyMultiplier</f>
        <v>0</v>
      </c>
      <c r="M36" s="2437">
        <f>((M29*$D$36*'WW Plan'!$G$122)+('WW Plan'!$H$122*'WW calcu'!M30*'WW calcu'!$D$36))/CurrencyMultiplier</f>
        <v>0</v>
      </c>
      <c r="N36" s="2437">
        <f>((N29*$D$36*'WW Plan'!$G$122)+('WW Plan'!$H$122*'WW calcu'!N30*'WW calcu'!$D$36))/CurrencyMultiplier</f>
        <v>0</v>
      </c>
      <c r="O36" s="2437">
        <f>((O29*$D$36*'WW Plan'!$G$122)+('WW Plan'!$H$122*'WW calcu'!O30*'WW calcu'!$D$36))/CurrencyMultiplier</f>
        <v>0</v>
      </c>
      <c r="P36" s="3725">
        <f>SUM(E36:O36)</f>
        <v>593.1</v>
      </c>
    </row>
    <row r="37" spans="1:17" hidden="1" outlineLevel="1" x14ac:dyDescent="0.25">
      <c r="B37" s="625"/>
      <c r="C37" s="2187" t="s">
        <v>2775</v>
      </c>
      <c r="D37" s="5771"/>
      <c r="E37" s="563"/>
      <c r="F37" s="2392">
        <f>(F29+F30)*$D$36/CurrencyMultiplier</f>
        <v>197.7</v>
      </c>
      <c r="G37" s="2392">
        <f>(G29+G30)*$D$36/CurrencyMultiplier</f>
        <v>197.7</v>
      </c>
      <c r="H37" s="2392">
        <f>(H29+H30)*$D$36/CurrencyMultiplier</f>
        <v>197.7</v>
      </c>
      <c r="I37" s="2392">
        <f>(I29+I30)*$D$36/CurrencyMultiplier</f>
        <v>197.7</v>
      </c>
      <c r="J37" s="2392">
        <f>(J29+J30)*$D$36/CurrencyMultiplier</f>
        <v>197.7</v>
      </c>
      <c r="K37" s="2392">
        <f>(K29+K30)*$D$36/CurrencyMultiplier</f>
        <v>0</v>
      </c>
      <c r="L37" s="2392">
        <f>(L29+L30)*$D$36/CurrencyMultiplier</f>
        <v>0</v>
      </c>
      <c r="M37" s="2392">
        <f>(M29+M30)*$D$36/CurrencyMultiplier</f>
        <v>0</v>
      </c>
      <c r="N37" s="2392">
        <f>(N29+N30)*$D$36/CurrencyMultiplier</f>
        <v>0</v>
      </c>
      <c r="O37" s="2392">
        <f>(O29+O30)*$D$36/CurrencyMultiplier</f>
        <v>0</v>
      </c>
      <c r="P37" s="3726">
        <f>SUM(E37:O37)</f>
        <v>988.5</v>
      </c>
      <c r="Q37" s="3989"/>
    </row>
    <row r="38" spans="1:17" hidden="1" outlineLevel="1" x14ac:dyDescent="0.25">
      <c r="B38" s="2391"/>
      <c r="C38" s="51"/>
      <c r="D38" s="2498"/>
      <c r="E38" s="545"/>
      <c r="F38" s="1071"/>
      <c r="G38" s="1071"/>
      <c r="H38" s="1071"/>
      <c r="I38" s="1071"/>
      <c r="J38" s="1071"/>
      <c r="K38" s="1071"/>
      <c r="L38" s="1071"/>
      <c r="M38" s="1071"/>
      <c r="N38" s="1071"/>
      <c r="O38" s="1071"/>
      <c r="P38" s="2448"/>
      <c r="Q38" s="3989"/>
    </row>
    <row r="39" spans="1:17" hidden="1" outlineLevel="1" x14ac:dyDescent="0.25">
      <c r="A39" s="27"/>
      <c r="B39" s="556">
        <v>4</v>
      </c>
      <c r="C39" s="2424" t="s">
        <v>2414</v>
      </c>
      <c r="D39" s="2500">
        <f>'WW Plan'!G124</f>
        <v>0</v>
      </c>
      <c r="E39" s="2877">
        <f>ROUND(IF('WW Plan'!$E$111="Activate",IF(AND(E$3&gt;='WW Plan'!$G$123,E$3&lt;'WW Plan'!$H$123+1),('WW Plan'!$G$125)/('WW Plan'!$H$123+1-'WW Plan'!$G$123),0),0),0)</f>
        <v>0</v>
      </c>
      <c r="F39" s="2877">
        <f>ROUND(IF('WW Plan'!$E$111="Activate",IF(AND(F$3&gt;='WW Plan'!$G$123,F$3&lt;'WW Plan'!$H$123+1),('WW Plan'!$G$125)/('WW Plan'!$H$123+1-'WW Plan'!$G$123),0),0),0)</f>
        <v>0</v>
      </c>
      <c r="G39" s="2877">
        <f>ROUND(IF('WW Plan'!$E$111="Activate",IF(AND(G$3&gt;='WW Plan'!$G$123,G$3&lt;'WW Plan'!$H$123+1),('WW Plan'!$G$125)/('WW Plan'!$H$123+1-'WW Plan'!$G$123),0),0),0)</f>
        <v>0</v>
      </c>
      <c r="H39" s="2877">
        <f>ROUND(IF('WW Plan'!$E$111="Activate",IF(AND(H$3&gt;='WW Plan'!$G$123,H$3&lt;'WW Plan'!$H$123+1),('WW Plan'!$G$125)/('WW Plan'!$H$123+1-'WW Plan'!$G$123),0),0),0)</f>
        <v>0</v>
      </c>
      <c r="I39" s="2877">
        <f>ROUND(IF('WW Plan'!$E$111="Activate",IF(AND(I$3&gt;='WW Plan'!$G$123,I$3&lt;'WW Plan'!$H$123+1),('WW Plan'!$G$125)/('WW Plan'!$H$123+1-'WW Plan'!$G$123),0),0),0)</f>
        <v>0</v>
      </c>
      <c r="J39" s="2877">
        <f>ROUND(IF('WW Plan'!$E$111="Activate",IF(AND(J$3&gt;='WW Plan'!$G$123,J$3&lt;'WW Plan'!$H$123+1),('WW Plan'!$G$125)/('WW Plan'!$H$123+1-'WW Plan'!$G$123),0),0),0)</f>
        <v>0</v>
      </c>
      <c r="K39" s="2877">
        <f>ROUND(IF('WW Plan'!$E$111="Activate",IF(AND(K$3&gt;='WW Plan'!$G$123,K$3&lt;'WW Plan'!$H$123+1),('WW Plan'!$G$125)/('WW Plan'!$H$123+1-'WW Plan'!$G$123),0),0),0)</f>
        <v>0</v>
      </c>
      <c r="L39" s="2877">
        <f>ROUND(IF('WW Plan'!$E$111="Activate",IF(AND(L$3&gt;='WW Plan'!$G$123,L$3&lt;'WW Plan'!$H$123+1),('WW Plan'!$G$125)/('WW Plan'!$H$123+1-'WW Plan'!$G$123),0),0),0)</f>
        <v>0</v>
      </c>
      <c r="M39" s="2877">
        <f>ROUND(IF('WW Plan'!$E$111="Activate",IF(AND(M$3&gt;='WW Plan'!$G$123,M$3&lt;'WW Plan'!$H$123+1),('WW Plan'!$G$125)/('WW Plan'!$H$123+1-'WW Plan'!$G$123),0),0),0)</f>
        <v>0</v>
      </c>
      <c r="N39" s="2877">
        <f>ROUND(IF('WW Plan'!$E$111="Activate",IF(AND(N$3&gt;='WW Plan'!$G$123,N$3&lt;'WW Plan'!$H$123+1),('WW Plan'!$G$125)/('WW Plan'!$H$123+1-'WW Plan'!$G$123),0),0),0)</f>
        <v>0</v>
      </c>
      <c r="O39" s="3975">
        <f>ROUND(IF('WW Plan'!$E$111="Activate",IF(AND(O$3&gt;='WW Plan'!$G$123,O$3&lt;'WW Plan'!$H$123+1),('WW Plan'!$G$125)/('WW Plan'!$H$123+1-'WW Plan'!$G$123),0),0),0)</f>
        <v>0</v>
      </c>
      <c r="P39" s="305"/>
    </row>
    <row r="40" spans="1:17" hidden="1" outlineLevel="1" x14ac:dyDescent="0.25">
      <c r="A40" s="27"/>
      <c r="B40" s="615"/>
      <c r="C40" s="2450" t="s">
        <v>2201</v>
      </c>
      <c r="D40" s="2501">
        <f>'WW Plan'!H124</f>
        <v>0</v>
      </c>
      <c r="E40" s="119">
        <f>ROUND(IF('WW Plan'!$E$111="Activate",IF(AND(E$3&gt;='WW Plan'!$G$123,E$3&lt;'WW Plan'!$H$123+1),('WW Plan'!$H$125)/('WW Plan'!$H$123+1-'WW Plan'!$G$123),0),0),0)</f>
        <v>0</v>
      </c>
      <c r="F40" s="119">
        <f>ROUND(IF('WW Plan'!$E$111="Activate",IF(AND(F$3&gt;='WW Plan'!$G$123,F$3&lt;'WW Plan'!$H$123+1),('WW Plan'!$H$125)/('WW Plan'!$H$123+1-'WW Plan'!$G$123),0),0),0)</f>
        <v>0</v>
      </c>
      <c r="G40" s="119">
        <f>ROUND(IF('WW Plan'!$E$111="Activate",IF(AND(G$3&gt;='WW Plan'!$G$123,G$3&lt;'WW Plan'!$H$123+1),('WW Plan'!$H$125)/('WW Plan'!$H$123+1-'WW Plan'!$G$123),0),0),0)</f>
        <v>0</v>
      </c>
      <c r="H40" s="119">
        <f>ROUND(IF('WW Plan'!$E$111="Activate",IF(AND(H$3&gt;='WW Plan'!$G$123,H$3&lt;'WW Plan'!$H$123+1),('WW Plan'!$H$125)/('WW Plan'!$H$123+1-'WW Plan'!$G$123),0),0),0)</f>
        <v>0</v>
      </c>
      <c r="I40" s="119">
        <f>ROUND(IF('WW Plan'!$E$111="Activate",IF(AND(I$3&gt;='WW Plan'!$G$123,I$3&lt;'WW Plan'!$H$123+1),('WW Plan'!$H$125)/('WW Plan'!$H$123+1-'WW Plan'!$G$123),0),0),0)</f>
        <v>0</v>
      </c>
      <c r="J40" s="119">
        <f>ROUND(IF('WW Plan'!$E$111="Activate",IF(AND(J$3&gt;='WW Plan'!$G$123,J$3&lt;'WW Plan'!$H$123+1),('WW Plan'!$H$125)/('WW Plan'!$H$123+1-'WW Plan'!$G$123),0),0),0)</f>
        <v>0</v>
      </c>
      <c r="K40" s="119">
        <f>ROUND(IF('WW Plan'!$E$111="Activate",IF(AND(K$3&gt;='WW Plan'!$G$123,K$3&lt;'WW Plan'!$H$123+1),('WW Plan'!$H$125)/('WW Plan'!$H$123+1-'WW Plan'!$G$123),0),0),0)</f>
        <v>0</v>
      </c>
      <c r="L40" s="119">
        <f>ROUND(IF('WW Plan'!$E$111="Activate",IF(AND(L$3&gt;='WW Plan'!$G$123,L$3&lt;'WW Plan'!$H$123+1),('WW Plan'!$H$125)/('WW Plan'!$H$123+1-'WW Plan'!$G$123),0),0),0)</f>
        <v>0</v>
      </c>
      <c r="M40" s="119">
        <f>ROUND(IF('WW Plan'!$E$111="Activate",IF(AND(M$3&gt;='WW Plan'!$G$123,M$3&lt;'WW Plan'!$H$123+1),('WW Plan'!$H$125)/('WW Plan'!$H$123+1-'WW Plan'!$G$123),0),0),0)</f>
        <v>0</v>
      </c>
      <c r="N40" s="119">
        <f>ROUND(IF('WW Plan'!$E$111="Activate",IF(AND(N$3&gt;='WW Plan'!$G$123,N$3&lt;'WW Plan'!$H$123+1),('WW Plan'!$H$125)/('WW Plan'!$H$123+1-'WW Plan'!$G$123),0),0),0)</f>
        <v>0</v>
      </c>
      <c r="O40" s="2276">
        <f>ROUND(IF('WW Plan'!$E$111="Activate",IF(AND(O$3&gt;='WW Plan'!$G$123,O$3&lt;'WW Plan'!$H$123+1),('WW Plan'!$H$125)/('WW Plan'!$H$123+1-'WW Plan'!$G$123),0),0),0)</f>
        <v>0</v>
      </c>
      <c r="P40" s="305"/>
    </row>
    <row r="41" spans="1:17" s="170" customFormat="1" hidden="1" outlineLevel="1" x14ac:dyDescent="0.25">
      <c r="B41" s="3976"/>
      <c r="C41" s="2451" t="s">
        <v>573</v>
      </c>
      <c r="D41" s="2504" t="s">
        <v>2422</v>
      </c>
      <c r="E41" s="2442">
        <f t="shared" ref="E41:O41" si="15">ROUND((E11*E5),0)</f>
        <v>0</v>
      </c>
      <c r="F41" s="2442">
        <f t="shared" si="15"/>
        <v>0</v>
      </c>
      <c r="G41" s="2442">
        <f t="shared" si="15"/>
        <v>0</v>
      </c>
      <c r="H41" s="2442">
        <f t="shared" si="15"/>
        <v>0</v>
      </c>
      <c r="I41" s="2442">
        <f t="shared" si="15"/>
        <v>0</v>
      </c>
      <c r="J41" s="2442">
        <f t="shared" si="15"/>
        <v>0</v>
      </c>
      <c r="K41" s="2442">
        <f t="shared" si="15"/>
        <v>0</v>
      </c>
      <c r="L41" s="2442">
        <f t="shared" si="15"/>
        <v>0</v>
      </c>
      <c r="M41" s="2442">
        <f t="shared" si="15"/>
        <v>0</v>
      </c>
      <c r="N41" s="2442">
        <f t="shared" si="15"/>
        <v>0</v>
      </c>
      <c r="O41" s="2443">
        <f t="shared" si="15"/>
        <v>0</v>
      </c>
      <c r="Q41" s="3987"/>
    </row>
    <row r="42" spans="1:17" s="170" customFormat="1" hidden="1" outlineLevel="1" x14ac:dyDescent="0.25">
      <c r="B42" s="3977"/>
      <c r="C42" s="2452"/>
      <c r="D42" s="2495" t="s">
        <v>27</v>
      </c>
      <c r="E42" s="2446">
        <f t="shared" ref="E42:O42" si="16">ROUND((E16*E6),0)</f>
        <v>0</v>
      </c>
      <c r="F42" s="2446">
        <f t="shared" si="16"/>
        <v>0</v>
      </c>
      <c r="G42" s="2446">
        <f t="shared" si="16"/>
        <v>0</v>
      </c>
      <c r="H42" s="2446">
        <f t="shared" si="16"/>
        <v>0</v>
      </c>
      <c r="I42" s="2446">
        <f t="shared" si="16"/>
        <v>0</v>
      </c>
      <c r="J42" s="2446">
        <f t="shared" si="16"/>
        <v>0</v>
      </c>
      <c r="K42" s="2446">
        <f t="shared" si="16"/>
        <v>0</v>
      </c>
      <c r="L42" s="2446">
        <f t="shared" si="16"/>
        <v>0</v>
      </c>
      <c r="M42" s="2446">
        <f t="shared" si="16"/>
        <v>0</v>
      </c>
      <c r="N42" s="2446">
        <f t="shared" si="16"/>
        <v>0</v>
      </c>
      <c r="O42" s="2447">
        <f t="shared" si="16"/>
        <v>0</v>
      </c>
      <c r="Q42" s="3987"/>
    </row>
    <row r="43" spans="1:17" s="3987" customFormat="1" hidden="1" outlineLevel="1" x14ac:dyDescent="0.25">
      <c r="B43" s="4044"/>
      <c r="C43" s="51" t="s">
        <v>2951</v>
      </c>
      <c r="D43" s="2504" t="s">
        <v>2422</v>
      </c>
      <c r="E43" s="545">
        <f t="shared" ref="E43:O43" si="17">E353</f>
        <v>0</v>
      </c>
      <c r="F43" s="545">
        <f t="shared" si="17"/>
        <v>0</v>
      </c>
      <c r="G43" s="545">
        <f t="shared" si="17"/>
        <v>0</v>
      </c>
      <c r="H43" s="545">
        <f t="shared" si="17"/>
        <v>0</v>
      </c>
      <c r="I43" s="545">
        <f t="shared" si="17"/>
        <v>0</v>
      </c>
      <c r="J43" s="545">
        <f t="shared" si="17"/>
        <v>0</v>
      </c>
      <c r="K43" s="545">
        <f>K353</f>
        <v>0</v>
      </c>
      <c r="L43" s="545">
        <f t="shared" si="17"/>
        <v>0</v>
      </c>
      <c r="M43" s="545">
        <f t="shared" si="17"/>
        <v>0</v>
      </c>
      <c r="N43" s="545">
        <f t="shared" si="17"/>
        <v>0</v>
      </c>
      <c r="O43" s="561">
        <f t="shared" si="17"/>
        <v>0</v>
      </c>
    </row>
    <row r="44" spans="1:17" s="3987" customFormat="1" hidden="1" outlineLevel="1" x14ac:dyDescent="0.25">
      <c r="B44" s="4044"/>
      <c r="C44" s="51"/>
      <c r="D44" s="2486" t="s">
        <v>27</v>
      </c>
      <c r="E44" s="545">
        <f t="shared" ref="E44:O44" si="18">E354</f>
        <v>0</v>
      </c>
      <c r="F44" s="545">
        <f t="shared" si="18"/>
        <v>0</v>
      </c>
      <c r="G44" s="545">
        <f t="shared" si="18"/>
        <v>0</v>
      </c>
      <c r="H44" s="545">
        <f t="shared" si="18"/>
        <v>0</v>
      </c>
      <c r="I44" s="545">
        <f t="shared" si="18"/>
        <v>0</v>
      </c>
      <c r="J44" s="545">
        <f t="shared" si="18"/>
        <v>0</v>
      </c>
      <c r="K44" s="545">
        <f>K354</f>
        <v>0</v>
      </c>
      <c r="L44" s="545">
        <f t="shared" si="18"/>
        <v>0</v>
      </c>
      <c r="M44" s="545">
        <f t="shared" si="18"/>
        <v>0</v>
      </c>
      <c r="N44" s="545">
        <f t="shared" si="18"/>
        <v>0</v>
      </c>
      <c r="O44" s="561">
        <f t="shared" si="18"/>
        <v>0</v>
      </c>
    </row>
    <row r="45" spans="1:17" s="3987" customFormat="1" hidden="1" outlineLevel="1" x14ac:dyDescent="0.25">
      <c r="B45" s="4046"/>
      <c r="C45" s="5147" t="s">
        <v>2952</v>
      </c>
      <c r="D45" s="5148" t="s">
        <v>2422</v>
      </c>
      <c r="E45" s="4016">
        <f>E350-E353</f>
        <v>0</v>
      </c>
      <c r="F45" s="4016">
        <f>F350-F353</f>
        <v>0</v>
      </c>
      <c r="G45" s="4016">
        <f t="shared" ref="F45:O46" si="19">G350-G353</f>
        <v>0</v>
      </c>
      <c r="H45" s="4016">
        <f>H350-H353</f>
        <v>0</v>
      </c>
      <c r="I45" s="4016">
        <f t="shared" si="19"/>
        <v>0</v>
      </c>
      <c r="J45" s="5149">
        <f t="shared" si="19"/>
        <v>0</v>
      </c>
      <c r="K45" s="5149">
        <f t="shared" si="19"/>
        <v>0</v>
      </c>
      <c r="L45" s="5149">
        <f t="shared" si="19"/>
        <v>0</v>
      </c>
      <c r="M45" s="5149">
        <f t="shared" si="19"/>
        <v>0</v>
      </c>
      <c r="N45" s="5149">
        <f t="shared" si="19"/>
        <v>0</v>
      </c>
      <c r="O45" s="5150">
        <f>O350-O353</f>
        <v>0</v>
      </c>
      <c r="P45" s="3995"/>
    </row>
    <row r="46" spans="1:17" s="3987" customFormat="1" hidden="1" outlineLevel="1" x14ac:dyDescent="0.25">
      <c r="B46" s="4047"/>
      <c r="C46" s="5151"/>
      <c r="D46" s="5152" t="s">
        <v>27</v>
      </c>
      <c r="E46" s="5153">
        <f>E351-E354</f>
        <v>0</v>
      </c>
      <c r="F46" s="5153">
        <f t="shared" si="19"/>
        <v>0</v>
      </c>
      <c r="G46" s="5153">
        <f t="shared" si="19"/>
        <v>0</v>
      </c>
      <c r="H46" s="5153">
        <f t="shared" si="19"/>
        <v>0</v>
      </c>
      <c r="I46" s="5153">
        <f t="shared" si="19"/>
        <v>0</v>
      </c>
      <c r="J46" s="5153">
        <f t="shared" si="19"/>
        <v>0</v>
      </c>
      <c r="K46" s="5153">
        <f t="shared" si="19"/>
        <v>0</v>
      </c>
      <c r="L46" s="5153">
        <f t="shared" si="19"/>
        <v>0</v>
      </c>
      <c r="M46" s="5153">
        <f t="shared" si="19"/>
        <v>0</v>
      </c>
      <c r="N46" s="5153">
        <f t="shared" si="19"/>
        <v>0</v>
      </c>
      <c r="O46" s="5154">
        <f t="shared" si="19"/>
        <v>0</v>
      </c>
    </row>
    <row r="47" spans="1:17" hidden="1" outlineLevel="1" x14ac:dyDescent="0.25">
      <c r="B47" s="2071"/>
      <c r="C47" s="53" t="s">
        <v>2200</v>
      </c>
      <c r="D47" s="2490"/>
      <c r="E47" s="2208">
        <f>E33+E43</f>
        <v>4451</v>
      </c>
      <c r="F47" s="2208">
        <f>F33+F43</f>
        <v>4271.6000000000004</v>
      </c>
      <c r="G47" s="2208">
        <f t="shared" ref="G47:N47" si="20">G33+G43</f>
        <v>4092.2</v>
      </c>
      <c r="H47" s="2208">
        <f>H33+H43</f>
        <v>3912.8</v>
      </c>
      <c r="I47" s="2208">
        <f>I33+I43</f>
        <v>3733.4</v>
      </c>
      <c r="J47" s="2208">
        <f>J33+J43</f>
        <v>3554</v>
      </c>
      <c r="K47" s="2208">
        <f t="shared" si="20"/>
        <v>3554</v>
      </c>
      <c r="L47" s="2208">
        <f t="shared" si="20"/>
        <v>3554</v>
      </c>
      <c r="M47" s="2208">
        <f t="shared" si="20"/>
        <v>3554</v>
      </c>
      <c r="N47" s="2208">
        <f t="shared" si="20"/>
        <v>3554</v>
      </c>
      <c r="O47" s="2209">
        <f>O33+O43</f>
        <v>3554</v>
      </c>
      <c r="P47" s="3986"/>
    </row>
    <row r="48" spans="1:17" hidden="1" outlineLevel="1" x14ac:dyDescent="0.25">
      <c r="B48" s="2071"/>
      <c r="C48" s="53" t="s">
        <v>2201</v>
      </c>
      <c r="D48" s="2490"/>
      <c r="E48" s="2208">
        <f>E34+E44</f>
        <v>191</v>
      </c>
      <c r="F48" s="2208">
        <f>F34+F44</f>
        <v>185.8</v>
      </c>
      <c r="G48" s="2208">
        <f t="shared" ref="G48:N48" si="21">G34+G44</f>
        <v>180.6</v>
      </c>
      <c r="H48" s="2208">
        <f t="shared" si="21"/>
        <v>175.39999999999998</v>
      </c>
      <c r="I48" s="2208">
        <f t="shared" si="21"/>
        <v>170.2</v>
      </c>
      <c r="J48" s="2208">
        <f>J34+J44</f>
        <v>165</v>
      </c>
      <c r="K48" s="2208">
        <f>K34+K44</f>
        <v>165</v>
      </c>
      <c r="L48" s="2208">
        <f t="shared" si="21"/>
        <v>165</v>
      </c>
      <c r="M48" s="2208">
        <f t="shared" si="21"/>
        <v>165</v>
      </c>
      <c r="N48" s="2208">
        <f t="shared" si="21"/>
        <v>165</v>
      </c>
      <c r="O48" s="2209">
        <f>O34+O44</f>
        <v>165</v>
      </c>
      <c r="P48" s="3986"/>
    </row>
    <row r="49" spans="1:17" hidden="1" outlineLevel="1" x14ac:dyDescent="0.25">
      <c r="B49" s="2071"/>
      <c r="C49" s="53" t="s">
        <v>16</v>
      </c>
      <c r="D49" s="2490"/>
      <c r="E49" s="2185">
        <f>E35</f>
        <v>4642</v>
      </c>
      <c r="F49" s="2185">
        <f>F47+F48</f>
        <v>4457.4000000000005</v>
      </c>
      <c r="G49" s="2185">
        <f t="shared" ref="G49:N49" si="22">G47+G48</f>
        <v>4272.8</v>
      </c>
      <c r="H49" s="2185">
        <f t="shared" si="22"/>
        <v>4088.2000000000003</v>
      </c>
      <c r="I49" s="2185">
        <f>I47+I48</f>
        <v>3903.6</v>
      </c>
      <c r="J49" s="2185">
        <f>J47+J48</f>
        <v>3719</v>
      </c>
      <c r="K49" s="2185">
        <f t="shared" si="22"/>
        <v>3719</v>
      </c>
      <c r="L49" s="2185">
        <f t="shared" si="22"/>
        <v>3719</v>
      </c>
      <c r="M49" s="2185">
        <f t="shared" si="22"/>
        <v>3719</v>
      </c>
      <c r="N49" s="2185">
        <f t="shared" si="22"/>
        <v>3719</v>
      </c>
      <c r="O49" s="2186">
        <f>O47+O48</f>
        <v>3719</v>
      </c>
      <c r="P49" s="305"/>
    </row>
    <row r="50" spans="1:17" hidden="1" outlineLevel="1" x14ac:dyDescent="0.25">
      <c r="B50" s="4013"/>
      <c r="C50" s="4014" t="s">
        <v>2774</v>
      </c>
      <c r="D50" s="4015">
        <f>'WW Plan'!$G$126</f>
        <v>0</v>
      </c>
      <c r="E50" s="4016"/>
      <c r="F50" s="4017">
        <f>(((F39)*$D$50*'WW Plan'!$G$127)+('WW Plan'!$H$127*(F40)*$D$50))/CurrencyMultiplier</f>
        <v>0</v>
      </c>
      <c r="G50" s="4017">
        <f>(((G39)*$D$50*'WW Plan'!$G$127)+('WW Plan'!$H$127*(G40)*$D$50))/CurrencyMultiplier</f>
        <v>0</v>
      </c>
      <c r="H50" s="4017">
        <f>(((H39)*$D$50*'WW Plan'!$G$127)+('WW Plan'!$H$127*(H40)*$D$50))/CurrencyMultiplier</f>
        <v>0</v>
      </c>
      <c r="I50" s="4017">
        <f>(((I39)*$D$50*'WW Plan'!$G$127)+('WW Plan'!$H$127*(I40)*$D$50))/CurrencyMultiplier</f>
        <v>0</v>
      </c>
      <c r="J50" s="4017">
        <f>(((J39)*$D$50*'WW Plan'!$G$127)+('WW Plan'!$H$127*(J40)*$D$50))/CurrencyMultiplier</f>
        <v>0</v>
      </c>
      <c r="K50" s="4017">
        <f>(((K39)*$D$50*'WW Plan'!$G$127)+('WW Plan'!$H$127*(K40)*$D$50))/CurrencyMultiplier</f>
        <v>0</v>
      </c>
      <c r="L50" s="4017">
        <f>(((L39)*$D$50*'WW Plan'!$G$127)+('WW Plan'!$H$127*(L40)*$D$50))/CurrencyMultiplier</f>
        <v>0</v>
      </c>
      <c r="M50" s="4017">
        <f>(((M39)*$D$50*'WW Plan'!$G$127)+('WW Plan'!$H$127*(M40)*$D$50))/CurrencyMultiplier</f>
        <v>0</v>
      </c>
      <c r="N50" s="4017">
        <f>(((N39)*$D$50*'WW Plan'!$G$127)+('WW Plan'!$H$127*(N40)*$D$50))/CurrencyMultiplier</f>
        <v>0</v>
      </c>
      <c r="O50" s="4017">
        <f>(((O39)*$D$50*'WW Plan'!$G$127)+('WW Plan'!$H$127*(O40)*$D$50))/CurrencyMultiplier</f>
        <v>0</v>
      </c>
      <c r="P50" s="5143">
        <f>SUM(E50:O50)</f>
        <v>0</v>
      </c>
    </row>
    <row r="51" spans="1:17" hidden="1" outlineLevel="1" x14ac:dyDescent="0.25">
      <c r="B51" s="625"/>
      <c r="C51" s="2187" t="s">
        <v>2775</v>
      </c>
      <c r="D51" s="2499"/>
      <c r="E51" s="563"/>
      <c r="F51" s="2392">
        <f>(F39+F40)*$D$50/CurrencyMultiplier</f>
        <v>0</v>
      </c>
      <c r="G51" s="2392">
        <f>(G39+G40)*$D$50/CurrencyMultiplier</f>
        <v>0</v>
      </c>
      <c r="H51" s="2392">
        <f>(H39+H40)*$D$50/CurrencyMultiplier</f>
        <v>0</v>
      </c>
      <c r="I51" s="2392">
        <f>(I39+I40)*$D$50/CurrencyMultiplier</f>
        <v>0</v>
      </c>
      <c r="J51" s="2392">
        <f>(J39+J40)*$D$50/CurrencyMultiplier</f>
        <v>0</v>
      </c>
      <c r="K51" s="2392">
        <f>(K39+K40)*$D$50/CurrencyMultiplier</f>
        <v>0</v>
      </c>
      <c r="L51" s="2392">
        <f>(L39+L40)*$D$50/CurrencyMultiplier</f>
        <v>0</v>
      </c>
      <c r="M51" s="2392">
        <f>(M39+M40)*$D$50/CurrencyMultiplier</f>
        <v>0</v>
      </c>
      <c r="N51" s="2392">
        <f>(N39+N40)*$D$50/CurrencyMultiplier</f>
        <v>0</v>
      </c>
      <c r="O51" s="2392">
        <f>(O39+O40)*$D$50/CurrencyMultiplier</f>
        <v>0</v>
      </c>
      <c r="P51" s="5144">
        <f>SUM(E51:O51)</f>
        <v>0</v>
      </c>
    </row>
    <row r="52" spans="1:17" hidden="1" outlineLevel="1" x14ac:dyDescent="0.25">
      <c r="C52" s="27"/>
      <c r="E52" s="24"/>
      <c r="F52" s="24"/>
      <c r="G52" s="24"/>
      <c r="H52" s="24"/>
      <c r="I52" s="24"/>
      <c r="J52" s="24"/>
      <c r="K52" s="24"/>
      <c r="L52" s="24"/>
      <c r="M52" s="24"/>
      <c r="N52" s="24"/>
      <c r="O52" s="24"/>
    </row>
    <row r="53" spans="1:17" hidden="1" outlineLevel="1" x14ac:dyDescent="0.25">
      <c r="B53" s="547">
        <v>5</v>
      </c>
      <c r="C53" s="2424" t="s">
        <v>2415</v>
      </c>
      <c r="D53" s="2502">
        <f>IFERROR('WW Plan'!G130/'WW Plan'!G115,0)</f>
        <v>0</v>
      </c>
      <c r="E53" s="2188">
        <f>ROUND(IF('WW Plan'!$E$111="Activate",IF(AND(E$3&gt;='WW Plan'!$G$128,E$3&lt;'WW Plan'!$H$128+1),('WW Plan'!$G$130)/('WW Plan'!$H$128+1-'WW Plan'!$G$128),0),0),0)</f>
        <v>0</v>
      </c>
      <c r="F53" s="2188">
        <f>ROUND(IF('WW Plan'!$E$111="Activate",IF(AND(F$3&gt;='WW Plan'!$G$128,F$3&lt;'WW Plan'!$H$128+1),('WW Plan'!$G$130)/('WW Plan'!$H$128+1-'WW Plan'!$G$128),0),0),0)</f>
        <v>0</v>
      </c>
      <c r="G53" s="2094">
        <f>ROUND(IF('WW Plan'!$E$111="Activate",IF(AND(G$3&gt;='WW Plan'!$G$128,G$3&lt;'WW Plan'!$H$128+1),('WW Plan'!$G$130)/('WW Plan'!$H$128+1-'WW Plan'!$G$128),0),0),0)</f>
        <v>0</v>
      </c>
      <c r="H53" s="2094">
        <f>ROUND(IF('WW Plan'!$E$111="Activate",IF(AND(H$3&gt;='WW Plan'!$G$128,H$3&lt;'WW Plan'!$H$128+1),('WW Plan'!$G$130)/('WW Plan'!$H$128+1-'WW Plan'!$G$128),0),0),0)</f>
        <v>0</v>
      </c>
      <c r="I53" s="2094">
        <f>ROUND(IF('WW Plan'!$E$111="Activate",IF(AND(I$3&gt;='WW Plan'!$G$128,I$3&lt;'WW Plan'!$H$128+1),('WW Plan'!$G$130)/('WW Plan'!$H$128+1-'WW Plan'!$G$128),0),0),0)</f>
        <v>0</v>
      </c>
      <c r="J53" s="2094">
        <f>ROUND(IF('WW Plan'!$E$111="Activate",IF(AND(J$3&gt;='WW Plan'!$G$128,J$3&lt;'WW Plan'!$H$128+1),('WW Plan'!$G$130)/('WW Plan'!$H$128+1-'WW Plan'!$G$128),0),0),0)</f>
        <v>0</v>
      </c>
      <c r="K53" s="2094">
        <f>ROUND(IF('WW Plan'!$E$111="Activate",IF(AND(K$3&gt;='WW Plan'!$G$128,K$3&lt;'WW Plan'!$H$128+1),('WW Plan'!$G$130)/('WW Plan'!$H$128+1-'WW Plan'!$G$128),0),0),0)</f>
        <v>0</v>
      </c>
      <c r="L53" s="2094">
        <f>ROUND(IF('WW Plan'!$E$111="Activate",IF(AND(L$3&gt;='WW Plan'!$G$128,L$3&lt;'WW Plan'!$H$128+1),('WW Plan'!$G$130)/('WW Plan'!$H$128+1-'WW Plan'!$G$128),0),0),0)</f>
        <v>0</v>
      </c>
      <c r="M53" s="2094">
        <f>ROUND(IF('WW Plan'!$E$111="Activate",IF(AND(M$3&gt;='WW Plan'!$G$128,M$3&lt;'WW Plan'!$H$128+1),('WW Plan'!$G$130)/('WW Plan'!$H$128+1-'WW Plan'!$G$128),0),0),0)</f>
        <v>0</v>
      </c>
      <c r="N53" s="2094">
        <f>ROUND(IF('WW Plan'!$E$111="Activate",IF(AND(N$3&gt;='WW Plan'!$G$128,N$3&lt;'WW Plan'!$H$128+1),('WW Plan'!$G$130)/('WW Plan'!$H$128+1-'WW Plan'!$G$128),0),0),0)</f>
        <v>0</v>
      </c>
      <c r="O53" s="2094">
        <f>ROUND(IF('WW Plan'!$E$111="Activate",IF(AND(O$3&gt;='WW Plan'!$G$128,O$3&lt;'WW Plan'!$H$128+1),('WW Plan'!$G$130)/('WW Plan'!$H$128+1-'WW Plan'!$G$128),0),0),0)</f>
        <v>0</v>
      </c>
      <c r="P53" s="5145">
        <f>IFERROR(D65/$E$7,0)</f>
        <v>0</v>
      </c>
    </row>
    <row r="54" spans="1:17" hidden="1" outlineLevel="1" x14ac:dyDescent="0.25">
      <c r="B54" s="2071"/>
      <c r="C54" s="2450" t="s">
        <v>2201</v>
      </c>
      <c r="D54" s="2503">
        <f>IFERROR('WW Plan'!H130/'WW Plan'!H115,0)</f>
        <v>0</v>
      </c>
      <c r="E54" s="597">
        <f>ROUND(IF('WW Plan'!$E$111="Activate",IF(AND(E$3&gt;='WW Plan'!$G$128,E$3&lt;'WW Plan'!$H$128+1),('WW Plan'!$H$130)/('WW Plan'!$H$128+1-'WW Plan'!$G$128),0),0),0)</f>
        <v>0</v>
      </c>
      <c r="F54" s="597">
        <f>ROUND(IF('WW Plan'!$E$111="Activate",IF(AND(F$3&gt;='WW Plan'!$G$128,F$3&lt;'WW Plan'!$H$128+1),('WW Plan'!$H$130)/('WW Plan'!$H$128+1-'WW Plan'!$G$128),0),0),0)</f>
        <v>0</v>
      </c>
      <c r="G54" s="597">
        <f>ROUND(IF('WW Plan'!$E$111="Activate",IF(AND(G$3&gt;='WW Plan'!$G$128,G$3&lt;'WW Plan'!$H$128+1),('WW Plan'!$H$130)/('WW Plan'!$H$128+1-'WW Plan'!$G$128),0),0),0)</f>
        <v>0</v>
      </c>
      <c r="H54" s="597">
        <f>ROUND(IF('WW Plan'!$E$111="Activate",IF(AND(H$3&gt;='WW Plan'!$G$128,H$3&lt;'WW Plan'!$H$128+1),('WW Plan'!$H$130)/('WW Plan'!$H$128+1-'WW Plan'!$G$128),0),0),0)</f>
        <v>0</v>
      </c>
      <c r="I54" s="597">
        <f>ROUND(IF('WW Plan'!$E$111="Activate",IF(AND(I$3&gt;='WW Plan'!$G$128,I$3&lt;'WW Plan'!$H$128+1),('WW Plan'!$H$130)/('WW Plan'!$H$128+1-'WW Plan'!$G$128),0),0),0)</f>
        <v>0</v>
      </c>
      <c r="J54" s="597">
        <f>ROUND(IF('WW Plan'!$E$111="Activate",IF(AND(J$3&gt;='WW Plan'!$G$128,J$3&lt;'WW Plan'!$H$128+1),('WW Plan'!$H$130)/('WW Plan'!$H$128+1-'WW Plan'!$G$128),0),0),0)</f>
        <v>0</v>
      </c>
      <c r="K54" s="597">
        <f>ROUND(IF('WW Plan'!$E$111="Activate",IF(AND(K$3&gt;='WW Plan'!$G$128,K$3&lt;'WW Plan'!$H$128+1),('WW Plan'!$H$130)/('WW Plan'!$H$128+1-'WW Plan'!$G$128),0),0),0)</f>
        <v>0</v>
      </c>
      <c r="L54" s="597">
        <f>ROUND(IF('WW Plan'!$E$111="Activate",IF(AND(L$3&gt;='WW Plan'!$G$128,L$3&lt;'WW Plan'!$H$128+1),('WW Plan'!$H$130)/('WW Plan'!$H$128+1-'WW Plan'!$G$128),0),0),0)</f>
        <v>0</v>
      </c>
      <c r="M54" s="597">
        <f>ROUND(IF('WW Plan'!$E$111="Activate",IF(AND(M$3&gt;='WW Plan'!$G$128,M$3&lt;'WW Plan'!$H$128+1),('WW Plan'!$H$130)/('WW Plan'!$H$128+1-'WW Plan'!$G$128),0),0),0)</f>
        <v>0</v>
      </c>
      <c r="N54" s="597">
        <f>ROUND(IF('WW Plan'!$E$111="Activate",IF(AND(N$3&gt;='WW Plan'!$G$128,N$3&lt;'WW Plan'!$H$128+1),('WW Plan'!$H$130)/('WW Plan'!$H$128+1-'WW Plan'!$G$128),0),0),0)</f>
        <v>0</v>
      </c>
      <c r="O54" s="597">
        <f>ROUND(IF('WW Plan'!$E$111="Activate",IF(AND(O$3&gt;='WW Plan'!$G$128,O$3&lt;'WW Plan'!$H$128+1),('WW Plan'!$H$130)/('WW Plan'!$H$128+1-'WW Plan'!$G$128),0),0),0)</f>
        <v>0</v>
      </c>
      <c r="P54" s="5146">
        <f>IFERROR(D66/$E$8,0)</f>
        <v>0</v>
      </c>
    </row>
    <row r="55" spans="1:17" s="305" customFormat="1" hidden="1" outlineLevel="1" x14ac:dyDescent="0.25">
      <c r="A55" s="162"/>
      <c r="B55" s="2440"/>
      <c r="C55" s="2451" t="s">
        <v>2934</v>
      </c>
      <c r="D55" s="2504" t="s">
        <v>2422</v>
      </c>
      <c r="E55" s="2442">
        <f t="shared" ref="E55:O55" si="23">ROUND(E12*E5,0)</f>
        <v>0</v>
      </c>
      <c r="F55" s="2442">
        <f>ROUND(F12*F5,0)</f>
        <v>0</v>
      </c>
      <c r="G55" s="2442">
        <f t="shared" si="23"/>
        <v>0</v>
      </c>
      <c r="H55" s="2442">
        <f t="shared" si="23"/>
        <v>0</v>
      </c>
      <c r="I55" s="2442">
        <f t="shared" si="23"/>
        <v>0</v>
      </c>
      <c r="J55" s="2442">
        <f t="shared" si="23"/>
        <v>0</v>
      </c>
      <c r="K55" s="2442">
        <f t="shared" si="23"/>
        <v>0</v>
      </c>
      <c r="L55" s="2442">
        <f t="shared" si="23"/>
        <v>0</v>
      </c>
      <c r="M55" s="2442">
        <f t="shared" si="23"/>
        <v>0</v>
      </c>
      <c r="N55" s="2442">
        <f t="shared" si="23"/>
        <v>0</v>
      </c>
      <c r="O55" s="2443">
        <f t="shared" si="23"/>
        <v>0</v>
      </c>
      <c r="Q55" s="3987"/>
    </row>
    <row r="56" spans="1:17" s="305" customFormat="1" hidden="1" outlineLevel="1" x14ac:dyDescent="0.25">
      <c r="A56" s="162"/>
      <c r="B56" s="2444"/>
      <c r="C56" s="2452"/>
      <c r="D56" s="2495" t="s">
        <v>27</v>
      </c>
      <c r="E56" s="2446">
        <f t="shared" ref="E56:O56" si="24">ROUND(E17*E6,0)</f>
        <v>0</v>
      </c>
      <c r="F56" s="2446">
        <f t="shared" si="24"/>
        <v>0</v>
      </c>
      <c r="G56" s="2446">
        <f t="shared" si="24"/>
        <v>0</v>
      </c>
      <c r="H56" s="2446">
        <f t="shared" si="24"/>
        <v>0</v>
      </c>
      <c r="I56" s="2446">
        <f t="shared" si="24"/>
        <v>0</v>
      </c>
      <c r="J56" s="2446">
        <f t="shared" si="24"/>
        <v>0</v>
      </c>
      <c r="K56" s="2446">
        <f t="shared" si="24"/>
        <v>0</v>
      </c>
      <c r="L56" s="2446">
        <f t="shared" si="24"/>
        <v>0</v>
      </c>
      <c r="M56" s="2446">
        <f t="shared" si="24"/>
        <v>0</v>
      </c>
      <c r="N56" s="2446">
        <f t="shared" si="24"/>
        <v>0</v>
      </c>
      <c r="O56" s="2447">
        <f t="shared" si="24"/>
        <v>0</v>
      </c>
      <c r="P56" s="4021"/>
      <c r="Q56" s="3987"/>
    </row>
    <row r="57" spans="1:17" s="170" customFormat="1" hidden="1" outlineLevel="1" x14ac:dyDescent="0.25">
      <c r="A57" s="43"/>
      <c r="B57" s="2298"/>
      <c r="C57" s="2451" t="s">
        <v>2935</v>
      </c>
      <c r="D57" s="2504" t="s">
        <v>2422</v>
      </c>
      <c r="E57" s="628"/>
      <c r="F57" s="628">
        <f t="shared" ref="F57:O57" si="25">ROUND(F13*F5,0)</f>
        <v>0</v>
      </c>
      <c r="G57" s="628">
        <f t="shared" si="25"/>
        <v>0</v>
      </c>
      <c r="H57" s="628">
        <f t="shared" si="25"/>
        <v>0</v>
      </c>
      <c r="I57" s="628">
        <f t="shared" si="25"/>
        <v>0</v>
      </c>
      <c r="J57" s="628">
        <f t="shared" si="25"/>
        <v>0</v>
      </c>
      <c r="K57" s="628">
        <f t="shared" si="25"/>
        <v>0</v>
      </c>
      <c r="L57" s="628">
        <f t="shared" si="25"/>
        <v>0</v>
      </c>
      <c r="M57" s="628">
        <f t="shared" si="25"/>
        <v>0</v>
      </c>
      <c r="N57" s="628">
        <f t="shared" si="25"/>
        <v>0</v>
      </c>
      <c r="O57" s="2122">
        <f t="shared" si="25"/>
        <v>0</v>
      </c>
      <c r="P57" s="4021"/>
      <c r="Q57" s="3987"/>
    </row>
    <row r="58" spans="1:17" s="170" customFormat="1" hidden="1" outlineLevel="1" x14ac:dyDescent="0.25">
      <c r="A58" s="43"/>
      <c r="B58" s="2298"/>
      <c r="C58" s="374"/>
      <c r="D58" s="2486" t="s">
        <v>27</v>
      </c>
      <c r="E58" s="628"/>
      <c r="F58" s="628">
        <f t="shared" ref="F58:O58" si="26">ROUND(F18*F6,0)</f>
        <v>0</v>
      </c>
      <c r="G58" s="628">
        <f t="shared" si="26"/>
        <v>0</v>
      </c>
      <c r="H58" s="628">
        <f t="shared" si="26"/>
        <v>0</v>
      </c>
      <c r="I58" s="628">
        <f t="shared" si="26"/>
        <v>0</v>
      </c>
      <c r="J58" s="628">
        <f t="shared" si="26"/>
        <v>0</v>
      </c>
      <c r="K58" s="628">
        <f t="shared" si="26"/>
        <v>0</v>
      </c>
      <c r="L58" s="628">
        <f t="shared" si="26"/>
        <v>0</v>
      </c>
      <c r="M58" s="628">
        <f t="shared" si="26"/>
        <v>0</v>
      </c>
      <c r="N58" s="628">
        <f t="shared" si="26"/>
        <v>0</v>
      </c>
      <c r="O58" s="2122">
        <f t="shared" si="26"/>
        <v>0</v>
      </c>
      <c r="P58" s="4021"/>
      <c r="Q58" s="3987"/>
    </row>
    <row r="59" spans="1:17" s="3987" customFormat="1" hidden="1" outlineLevel="1" x14ac:dyDescent="0.25">
      <c r="A59" s="3998"/>
      <c r="B59" s="4046"/>
      <c r="C59" s="7258" t="s">
        <v>2955</v>
      </c>
      <c r="D59" s="5148" t="s">
        <v>2422</v>
      </c>
      <c r="E59" s="4016">
        <f>E407</f>
        <v>0</v>
      </c>
      <c r="F59" s="4016">
        <f t="shared" ref="F59:O59" si="27">F407</f>
        <v>0</v>
      </c>
      <c r="G59" s="4016">
        <f t="shared" si="27"/>
        <v>0</v>
      </c>
      <c r="H59" s="4016">
        <f t="shared" si="27"/>
        <v>0</v>
      </c>
      <c r="I59" s="4016">
        <f t="shared" si="27"/>
        <v>0</v>
      </c>
      <c r="J59" s="4016">
        <f t="shared" si="27"/>
        <v>0</v>
      </c>
      <c r="K59" s="4016">
        <f t="shared" si="27"/>
        <v>0</v>
      </c>
      <c r="L59" s="4016">
        <f t="shared" si="27"/>
        <v>0</v>
      </c>
      <c r="M59" s="4016">
        <f t="shared" si="27"/>
        <v>0</v>
      </c>
      <c r="N59" s="4016">
        <f t="shared" si="27"/>
        <v>0</v>
      </c>
      <c r="O59" s="5155">
        <f t="shared" si="27"/>
        <v>0</v>
      </c>
      <c r="P59" s="4045"/>
    </row>
    <row r="60" spans="1:17" s="3987" customFormat="1" hidden="1" outlineLevel="1" x14ac:dyDescent="0.25">
      <c r="A60" s="3998"/>
      <c r="B60" s="4047"/>
      <c r="C60" s="7259"/>
      <c r="D60" s="5152" t="s">
        <v>27</v>
      </c>
      <c r="E60" s="5153">
        <f>E408</f>
        <v>0</v>
      </c>
      <c r="F60" s="5153">
        <f t="shared" ref="F60:O60" si="28">F408</f>
        <v>0</v>
      </c>
      <c r="G60" s="5153">
        <f t="shared" si="28"/>
        <v>0</v>
      </c>
      <c r="H60" s="5153">
        <f t="shared" si="28"/>
        <v>0</v>
      </c>
      <c r="I60" s="5153">
        <f t="shared" si="28"/>
        <v>0</v>
      </c>
      <c r="J60" s="5153">
        <f t="shared" si="28"/>
        <v>0</v>
      </c>
      <c r="K60" s="5153">
        <f t="shared" si="28"/>
        <v>0</v>
      </c>
      <c r="L60" s="5153">
        <f t="shared" si="28"/>
        <v>0</v>
      </c>
      <c r="M60" s="5153">
        <f t="shared" si="28"/>
        <v>0</v>
      </c>
      <c r="N60" s="5153">
        <f t="shared" si="28"/>
        <v>0</v>
      </c>
      <c r="O60" s="5154">
        <f t="shared" si="28"/>
        <v>0</v>
      </c>
      <c r="P60" s="4045"/>
    </row>
    <row r="61" spans="1:17" s="3987" customFormat="1" hidden="1" outlineLevel="1" x14ac:dyDescent="0.25">
      <c r="A61" s="3998"/>
      <c r="B61" s="4044"/>
      <c r="C61" s="7260" t="s">
        <v>2953</v>
      </c>
      <c r="D61" s="2486" t="s">
        <v>2422</v>
      </c>
      <c r="E61" s="545">
        <f>E466</f>
        <v>0</v>
      </c>
      <c r="F61" s="545">
        <f t="shared" ref="F61:O61" si="29">F466</f>
        <v>0</v>
      </c>
      <c r="G61" s="545">
        <f t="shared" si="29"/>
        <v>0</v>
      </c>
      <c r="H61" s="545">
        <f t="shared" si="29"/>
        <v>0</v>
      </c>
      <c r="I61" s="545">
        <f t="shared" si="29"/>
        <v>0</v>
      </c>
      <c r="J61" s="545">
        <f>J466</f>
        <v>0</v>
      </c>
      <c r="K61" s="545">
        <f t="shared" si="29"/>
        <v>0</v>
      </c>
      <c r="L61" s="545">
        <f t="shared" si="29"/>
        <v>0</v>
      </c>
      <c r="M61" s="545">
        <f t="shared" si="29"/>
        <v>0</v>
      </c>
      <c r="N61" s="545">
        <f t="shared" si="29"/>
        <v>0</v>
      </c>
      <c r="O61" s="561">
        <f t="shared" si="29"/>
        <v>0</v>
      </c>
      <c r="P61" s="4045"/>
    </row>
    <row r="62" spans="1:17" s="3987" customFormat="1" hidden="1" outlineLevel="1" x14ac:dyDescent="0.25">
      <c r="A62" s="3998"/>
      <c r="B62" s="4044"/>
      <c r="C62" s="7260"/>
      <c r="D62" s="2486" t="s">
        <v>27</v>
      </c>
      <c r="E62" s="545">
        <f>E467</f>
        <v>0</v>
      </c>
      <c r="F62" s="545">
        <f t="shared" ref="F62:O62" si="30">F467</f>
        <v>0</v>
      </c>
      <c r="G62" s="545">
        <f t="shared" si="30"/>
        <v>0</v>
      </c>
      <c r="H62" s="545">
        <f t="shared" si="30"/>
        <v>0</v>
      </c>
      <c r="I62" s="545">
        <f t="shared" si="30"/>
        <v>0</v>
      </c>
      <c r="J62" s="545">
        <f t="shared" si="30"/>
        <v>0</v>
      </c>
      <c r="K62" s="545">
        <f t="shared" si="30"/>
        <v>0</v>
      </c>
      <c r="L62" s="545">
        <f t="shared" si="30"/>
        <v>0</v>
      </c>
      <c r="M62" s="545">
        <f t="shared" si="30"/>
        <v>0</v>
      </c>
      <c r="N62" s="545">
        <f t="shared" si="30"/>
        <v>0</v>
      </c>
      <c r="O62" s="561">
        <f t="shared" si="30"/>
        <v>0</v>
      </c>
      <c r="P62" s="4045"/>
    </row>
    <row r="63" spans="1:17" s="3987" customFormat="1" ht="15" hidden="1" customHeight="1" outlineLevel="1" x14ac:dyDescent="0.25">
      <c r="A63" s="3998"/>
      <c r="B63" s="4046"/>
      <c r="C63" s="5147" t="s">
        <v>2952</v>
      </c>
      <c r="D63" s="5148" t="s">
        <v>2422</v>
      </c>
      <c r="E63" s="4016">
        <f t="shared" ref="E63:O63" si="31">E463-E466</f>
        <v>0</v>
      </c>
      <c r="F63" s="4016">
        <f t="shared" si="31"/>
        <v>0</v>
      </c>
      <c r="G63" s="4016">
        <f t="shared" si="31"/>
        <v>0</v>
      </c>
      <c r="H63" s="4016">
        <f t="shared" si="31"/>
        <v>0</v>
      </c>
      <c r="I63" s="4016">
        <f t="shared" si="31"/>
        <v>0</v>
      </c>
      <c r="J63" s="4016">
        <f t="shared" si="31"/>
        <v>0</v>
      </c>
      <c r="K63" s="4016">
        <f t="shared" si="31"/>
        <v>0</v>
      </c>
      <c r="L63" s="4016">
        <f t="shared" si="31"/>
        <v>0</v>
      </c>
      <c r="M63" s="4016">
        <f t="shared" si="31"/>
        <v>0</v>
      </c>
      <c r="N63" s="4016">
        <f t="shared" si="31"/>
        <v>0</v>
      </c>
      <c r="O63" s="5155">
        <f t="shared" si="31"/>
        <v>0</v>
      </c>
      <c r="P63" s="4045"/>
    </row>
    <row r="64" spans="1:17" s="3987" customFormat="1" hidden="1" outlineLevel="1" x14ac:dyDescent="0.25">
      <c r="A64" s="3998"/>
      <c r="B64" s="4047"/>
      <c r="C64" s="5151"/>
      <c r="D64" s="5152" t="s">
        <v>27</v>
      </c>
      <c r="E64" s="5153">
        <f>E464-E467</f>
        <v>0</v>
      </c>
      <c r="F64" s="5153">
        <f>F464-F467</f>
        <v>0</v>
      </c>
      <c r="G64" s="5153">
        <f t="shared" ref="G64:O64" si="32">G464-G467</f>
        <v>0</v>
      </c>
      <c r="H64" s="5153">
        <f t="shared" si="32"/>
        <v>0</v>
      </c>
      <c r="I64" s="5153">
        <f t="shared" si="32"/>
        <v>0</v>
      </c>
      <c r="J64" s="5153">
        <f t="shared" si="32"/>
        <v>0</v>
      </c>
      <c r="K64" s="5153">
        <f t="shared" si="32"/>
        <v>0</v>
      </c>
      <c r="L64" s="5153">
        <f t="shared" si="32"/>
        <v>0</v>
      </c>
      <c r="M64" s="5153">
        <f t="shared" si="32"/>
        <v>0</v>
      </c>
      <c r="N64" s="5153">
        <f t="shared" si="32"/>
        <v>0</v>
      </c>
      <c r="O64" s="5154">
        <f t="shared" si="32"/>
        <v>0</v>
      </c>
      <c r="P64" s="4045"/>
    </row>
    <row r="65" spans="1:16" hidden="1" outlineLevel="1" x14ac:dyDescent="0.25">
      <c r="B65" s="2071"/>
      <c r="C65" s="53" t="s">
        <v>2200</v>
      </c>
      <c r="D65" s="5156">
        <f>'WW Plan'!G129</f>
        <v>0</v>
      </c>
      <c r="E65" s="2185">
        <f>E47</f>
        <v>4451</v>
      </c>
      <c r="F65" s="2208">
        <f t="shared" ref="F65:O65" si="33">F47+F59+F61</f>
        <v>4271.6000000000004</v>
      </c>
      <c r="G65" s="2208">
        <f t="shared" si="33"/>
        <v>4092.2</v>
      </c>
      <c r="H65" s="2208">
        <f t="shared" si="33"/>
        <v>3912.8</v>
      </c>
      <c r="I65" s="2208">
        <f t="shared" si="33"/>
        <v>3733.4</v>
      </c>
      <c r="J65" s="2208">
        <f t="shared" si="33"/>
        <v>3554</v>
      </c>
      <c r="K65" s="2208">
        <f t="shared" si="33"/>
        <v>3554</v>
      </c>
      <c r="L65" s="2208">
        <f t="shared" si="33"/>
        <v>3554</v>
      </c>
      <c r="M65" s="2208">
        <f t="shared" si="33"/>
        <v>3554</v>
      </c>
      <c r="N65" s="2208">
        <f t="shared" si="33"/>
        <v>3554</v>
      </c>
      <c r="O65" s="2208">
        <f t="shared" si="33"/>
        <v>3554</v>
      </c>
      <c r="P65" s="4021"/>
    </row>
    <row r="66" spans="1:16" hidden="1" outlineLevel="1" x14ac:dyDescent="0.25">
      <c r="B66" s="2071"/>
      <c r="C66" s="53" t="s">
        <v>2201</v>
      </c>
      <c r="D66" s="2496">
        <f>'WW Plan'!H129</f>
        <v>0</v>
      </c>
      <c r="E66" s="2185">
        <f>E48</f>
        <v>191</v>
      </c>
      <c r="F66" s="2208">
        <f t="shared" ref="F66:O66" si="34">F48+F60+F62</f>
        <v>185.8</v>
      </c>
      <c r="G66" s="2208">
        <f t="shared" si="34"/>
        <v>180.6</v>
      </c>
      <c r="H66" s="2208">
        <f t="shared" si="34"/>
        <v>175.39999999999998</v>
      </c>
      <c r="I66" s="2208">
        <f t="shared" si="34"/>
        <v>170.2</v>
      </c>
      <c r="J66" s="2208">
        <f t="shared" si="34"/>
        <v>165</v>
      </c>
      <c r="K66" s="2208">
        <f t="shared" si="34"/>
        <v>165</v>
      </c>
      <c r="L66" s="2208">
        <f t="shared" si="34"/>
        <v>165</v>
      </c>
      <c r="M66" s="2208">
        <f t="shared" si="34"/>
        <v>165</v>
      </c>
      <c r="N66" s="2208">
        <f t="shared" si="34"/>
        <v>165</v>
      </c>
      <c r="O66" s="2208">
        <f t="shared" si="34"/>
        <v>165</v>
      </c>
      <c r="P66" s="4021"/>
    </row>
    <row r="67" spans="1:16" hidden="1" outlineLevel="1" x14ac:dyDescent="0.25">
      <c r="B67" s="2433"/>
      <c r="C67" s="2454" t="s">
        <v>16</v>
      </c>
      <c r="D67" s="2497">
        <f>D65+D66</f>
        <v>0</v>
      </c>
      <c r="E67" s="2435">
        <f>E65+E66</f>
        <v>4642</v>
      </c>
      <c r="F67" s="2700">
        <f>F65+F66</f>
        <v>4457.4000000000005</v>
      </c>
      <c r="G67" s="2700">
        <f t="shared" ref="G67:O67" si="35">G65+G66</f>
        <v>4272.8</v>
      </c>
      <c r="H67" s="2700">
        <f t="shared" si="35"/>
        <v>4088.2000000000003</v>
      </c>
      <c r="I67" s="2700">
        <f t="shared" si="35"/>
        <v>3903.6</v>
      </c>
      <c r="J67" s="2700">
        <f t="shared" si="35"/>
        <v>3719</v>
      </c>
      <c r="K67" s="2700">
        <f t="shared" si="35"/>
        <v>3719</v>
      </c>
      <c r="L67" s="2700">
        <f t="shared" si="35"/>
        <v>3719</v>
      </c>
      <c r="M67" s="2700">
        <f t="shared" si="35"/>
        <v>3719</v>
      </c>
      <c r="N67" s="2700">
        <f t="shared" si="35"/>
        <v>3719</v>
      </c>
      <c r="O67" s="2701">
        <f t="shared" si="35"/>
        <v>3719</v>
      </c>
    </row>
    <row r="68" spans="1:16" hidden="1" outlineLevel="1" x14ac:dyDescent="0.25">
      <c r="B68" s="624"/>
      <c r="C68" s="48" t="s">
        <v>2774</v>
      </c>
      <c r="D68" s="2498">
        <f>'WW Plan'!G135</f>
        <v>0</v>
      </c>
      <c r="E68" s="545"/>
      <c r="F68" s="2437">
        <f>((F53*$D$68*'WW Plan'!$G$136)+('WW Plan'!$H$136*'WW calcu'!F54*'WW calcu'!$D$68))/CurrencyMultiplier</f>
        <v>0</v>
      </c>
      <c r="G68" s="2437">
        <f>((G53*$D$68*'WW Plan'!$G$136)+('WW Plan'!$H$136*'WW calcu'!G54*'WW calcu'!$D$68))/CurrencyMultiplier</f>
        <v>0</v>
      </c>
      <c r="H68" s="2437">
        <f>((H53*$D$68*'WW Plan'!$G$136)+('WW Plan'!$H$136*'WW calcu'!H54*'WW calcu'!$D$68))/CurrencyMultiplier</f>
        <v>0</v>
      </c>
      <c r="I68" s="2437">
        <f>((I53*$D$68*'WW Plan'!$G$136)+('WW Plan'!$H$136*'WW calcu'!I54*'WW calcu'!$D$68))/CurrencyMultiplier</f>
        <v>0</v>
      </c>
      <c r="J68" s="2437">
        <f>((J53*$D$68*'WW Plan'!$G$136)+('WW Plan'!$H$136*'WW calcu'!J54*'WW calcu'!$D$68))/CurrencyMultiplier</f>
        <v>0</v>
      </c>
      <c r="K68" s="2437">
        <f>((K53*$D$68*'WW Plan'!$G$136)+('WW Plan'!$H$136*'WW calcu'!K54*'WW calcu'!$D$68))/CurrencyMultiplier</f>
        <v>0</v>
      </c>
      <c r="L68" s="2437">
        <f>((L53*$D$68*'WW Plan'!$G$136)+('WW Plan'!$H$136*'WW calcu'!L54*'WW calcu'!$D$68))/CurrencyMultiplier</f>
        <v>0</v>
      </c>
      <c r="M68" s="2437">
        <f>((M53*$D$68*'WW Plan'!$G$136)+('WW Plan'!$H$136*'WW calcu'!M54*'WW calcu'!$D$68))/CurrencyMultiplier</f>
        <v>0</v>
      </c>
      <c r="N68" s="2437">
        <f>((N53*$D$68*'WW Plan'!$G$136)+('WW Plan'!$H$136*'WW calcu'!N54*'WW calcu'!$D$68))/CurrencyMultiplier</f>
        <v>0</v>
      </c>
      <c r="O68" s="2437">
        <f>((O53*$D$68*'WW Plan'!$G$136)+('WW Plan'!$H$136*'WW calcu'!O54*'WW calcu'!$D$68))/CurrencyMultiplier</f>
        <v>0</v>
      </c>
      <c r="P68" s="3725">
        <f>SUM(E68:O68)</f>
        <v>0</v>
      </c>
    </row>
    <row r="69" spans="1:16" hidden="1" outlineLevel="1" x14ac:dyDescent="0.25">
      <c r="B69" s="625"/>
      <c r="C69" s="2187" t="s">
        <v>2775</v>
      </c>
      <c r="D69" s="2499"/>
      <c r="E69" s="563"/>
      <c r="F69" s="2392">
        <f>(F53+F54)*$D$68/CurrencyMultiplier</f>
        <v>0</v>
      </c>
      <c r="G69" s="2392">
        <f>(G53+G54)*$D$68/CurrencyMultiplier</f>
        <v>0</v>
      </c>
      <c r="H69" s="2392">
        <f>(H53+H54)*$D$68/CurrencyMultiplier</f>
        <v>0</v>
      </c>
      <c r="I69" s="2392">
        <f>(I53+I54)*$D$68/CurrencyMultiplier</f>
        <v>0</v>
      </c>
      <c r="J69" s="2392">
        <f>(J53+J54)*$D$68/CurrencyMultiplier</f>
        <v>0</v>
      </c>
      <c r="K69" s="2392">
        <f>(K53+K54)*$D$68/CurrencyMultiplier</f>
        <v>0</v>
      </c>
      <c r="L69" s="2392">
        <f>(L53+L54)*$D$68/CurrencyMultiplier</f>
        <v>0</v>
      </c>
      <c r="M69" s="2392">
        <f>(M53+M54)*$D$68/CurrencyMultiplier</f>
        <v>0</v>
      </c>
      <c r="N69" s="2392">
        <f>(N53+N54)*$D$68/CurrencyMultiplier</f>
        <v>0</v>
      </c>
      <c r="O69" s="2392">
        <f>(O53+O54)*$D$68/CurrencyMultiplier</f>
        <v>0</v>
      </c>
      <c r="P69" s="3726">
        <f>SUM(E69:O69)</f>
        <v>0</v>
      </c>
    </row>
    <row r="70" spans="1:16" hidden="1" outlineLevel="1" x14ac:dyDescent="0.25">
      <c r="E70" s="2264"/>
      <c r="F70" s="2264"/>
      <c r="G70" s="2264"/>
      <c r="H70" s="2264"/>
      <c r="I70" s="2264"/>
      <c r="J70" s="2264"/>
      <c r="K70" s="2264"/>
      <c r="L70" s="2264"/>
      <c r="M70" s="2264"/>
      <c r="N70" s="2264"/>
      <c r="O70" s="2264"/>
    </row>
    <row r="71" spans="1:16" hidden="1" outlineLevel="1" x14ac:dyDescent="0.25">
      <c r="E71" s="2264"/>
      <c r="F71" s="2264"/>
      <c r="G71" s="2264"/>
      <c r="H71" s="2264"/>
      <c r="I71" s="2264"/>
      <c r="J71" s="2264"/>
      <c r="K71" s="2264"/>
      <c r="L71" s="2264"/>
      <c r="M71" s="2264"/>
      <c r="N71" s="2264"/>
      <c r="O71" s="2264"/>
    </row>
    <row r="72" spans="1:16" collapsed="1" x14ac:dyDescent="0.25">
      <c r="A72" s="11" t="s">
        <v>8</v>
      </c>
      <c r="B72" s="906" t="s">
        <v>2944</v>
      </c>
      <c r="C72" s="907"/>
      <c r="D72" s="4056"/>
      <c r="E72" s="2264"/>
      <c r="F72" s="2264"/>
      <c r="G72" s="2264"/>
      <c r="H72" s="2264"/>
      <c r="I72" s="2264"/>
      <c r="J72" s="2264"/>
      <c r="K72" s="2264"/>
      <c r="L72" s="2264"/>
      <c r="M72" s="2264"/>
      <c r="N72" s="2264"/>
      <c r="O72" s="2264"/>
    </row>
    <row r="73" spans="1:16" hidden="1" outlineLevel="1" x14ac:dyDescent="0.25">
      <c r="B73" s="13" t="s">
        <v>3</v>
      </c>
      <c r="C73" s="13" t="s">
        <v>4</v>
      </c>
      <c r="D73" s="3983" t="s">
        <v>33</v>
      </c>
      <c r="E73" s="13">
        <f>'WS calcu'!E$3</f>
        <v>2014</v>
      </c>
      <c r="F73" s="13">
        <f>'WS calcu'!F$3</f>
        <v>2015</v>
      </c>
      <c r="G73" s="13">
        <f>'WS calcu'!G$3</f>
        <v>2016</v>
      </c>
      <c r="H73" s="13">
        <f>'WS calcu'!H$3</f>
        <v>2017</v>
      </c>
      <c r="I73" s="13">
        <f>'WS calcu'!I$3</f>
        <v>2018</v>
      </c>
      <c r="J73" s="13">
        <f>'WS calcu'!J$3</f>
        <v>2019</v>
      </c>
      <c r="K73" s="13">
        <f>'WS calcu'!K$3</f>
        <v>2020</v>
      </c>
      <c r="L73" s="13">
        <f>'WS calcu'!L$3</f>
        <v>2021</v>
      </c>
      <c r="M73" s="13">
        <f>'WS calcu'!M$3</f>
        <v>2022</v>
      </c>
      <c r="N73" s="13">
        <f>'WS calcu'!N$3</f>
        <v>2023</v>
      </c>
      <c r="O73" s="13">
        <f>'WS calcu'!O$3</f>
        <v>2024</v>
      </c>
    </row>
    <row r="74" spans="1:16" hidden="1" outlineLevel="1" x14ac:dyDescent="0.25">
      <c r="B74" s="547"/>
      <c r="C74" s="2424" t="s">
        <v>2945</v>
      </c>
      <c r="D74" s="2481"/>
      <c r="E74" s="4042"/>
      <c r="F74" s="4042"/>
      <c r="G74" s="4042"/>
      <c r="H74" s="4042"/>
      <c r="I74" s="4042"/>
      <c r="J74" s="4042"/>
      <c r="K74" s="4042"/>
      <c r="L74" s="4042"/>
      <c r="M74" s="4042"/>
      <c r="N74" s="4042"/>
      <c r="O74" s="4043"/>
    </row>
    <row r="75" spans="1:16" hidden="1" outlineLevel="1" x14ac:dyDescent="0.25">
      <c r="B75" s="2071"/>
      <c r="C75" s="3984" t="s">
        <v>2946</v>
      </c>
      <c r="D75" s="2251" t="s">
        <v>2422</v>
      </c>
      <c r="E75" s="545">
        <f>ROUND(IF('WW Plan'!$E$137="Activate",IF(AND(E$73&gt;='WW Plan'!$G$143,E$73&lt;'WW Plan'!$H$143+1),('WW Plan'!$G$145)/('WW Plan'!$H$143+1-'WW Plan'!$G$143),0),0),0)</f>
        <v>0</v>
      </c>
      <c r="F75" s="545">
        <f>ROUND(IF('WW Plan'!$E$137="Activate",IF(AND(F$73&gt;='WW Plan'!$G$143,F$73&lt;'WW Plan'!$H$143+1),('WW Plan'!$G$145)/('WW Plan'!$H$143+1-'WW Plan'!$G$143),0),0),0)</f>
        <v>0</v>
      </c>
      <c r="G75" s="545">
        <f>ROUND(IF('WW Plan'!$E$137="Activate",IF(AND(G$73&gt;='WW Plan'!$G$143,G$73&lt;'WW Plan'!$H$143+1),('WW Plan'!$G$145)/('WW Plan'!$H$143+1-'WW Plan'!$G$143),0),0),0)</f>
        <v>0</v>
      </c>
      <c r="H75" s="545">
        <f>ROUND(IF('WW Plan'!$E$137="Activate",IF(AND(H$73&gt;='WW Plan'!$G$143,H$73&lt;'WW Plan'!$H$143+1),('WW Plan'!$G$145)/('WW Plan'!$H$143+1-'WW Plan'!$G$143),0),0),0)</f>
        <v>0</v>
      </c>
      <c r="I75" s="545">
        <f>ROUND(IF('WW Plan'!$E$137="Activate",IF(AND(I$73&gt;='WW Plan'!$G$143,I$73&lt;'WW Plan'!$H$143+1),('WW Plan'!$G$145)/('WW Plan'!$H$143+1-'WW Plan'!$G$143),0),0),0)</f>
        <v>0</v>
      </c>
      <c r="J75" s="545">
        <f>ROUND(IF('WW Plan'!$E$137="Activate",IF(AND(J$73&gt;='WW Plan'!$G$143,J$73&lt;'WW Plan'!$H$143+1),('WW Plan'!$G$145)/('WW Plan'!$H$143+1-'WW Plan'!$G$143),0),0),0)</f>
        <v>0</v>
      </c>
      <c r="K75" s="545">
        <f>ROUND(IF('WW Plan'!$E$137="Activate",IF(AND(K$73&gt;='WW Plan'!$G$143,K$73&lt;'WW Plan'!$H$143+1),('WW Plan'!$G$145)/('WW Plan'!$H$143+1-'WW Plan'!$G$143),0),0),0)</f>
        <v>0</v>
      </c>
      <c r="L75" s="545">
        <f>ROUND(IF('WW Plan'!$E$137="Activate",IF(AND(L$73&gt;='WW Plan'!$G$143,L$73&lt;'WW Plan'!$H$143+1),('WW Plan'!$G$145)/('WW Plan'!$H$143+1-'WW Plan'!$G$143),0),0),0)</f>
        <v>0</v>
      </c>
      <c r="M75" s="545">
        <f>ROUND(IF('WW Plan'!$E$137="Activate",IF(AND(M$73&gt;='WW Plan'!$G$143,M$73&lt;'WW Plan'!$H$143+1),('WW Plan'!$G$145)/('WW Plan'!$H$143+1-'WW Plan'!$G$143),0),0),0)</f>
        <v>0</v>
      </c>
      <c r="N75" s="545">
        <f>ROUND(IF('WW Plan'!$E$137="Activate",IF(AND(N$73&gt;='WW Plan'!$G$143,N$73&lt;'WW Plan'!$H$143+1),('WW Plan'!$G$145)/('WW Plan'!$H$143+1-'WW Plan'!$G$143),0),0),0)</f>
        <v>0</v>
      </c>
      <c r="O75" s="561">
        <f>ROUND(IF('WW Plan'!$E$137="Activate",IF(AND(O$73&gt;='WW Plan'!$G$143,O$73&lt;'WW Plan'!$H$143+1),('WW Plan'!$G$145)/('WW Plan'!$H$143+1-'WW Plan'!$G$143),0),0),0)</f>
        <v>0</v>
      </c>
    </row>
    <row r="76" spans="1:16" hidden="1" outlineLevel="1" x14ac:dyDescent="0.25">
      <c r="B76" s="2071"/>
      <c r="C76" s="1162"/>
      <c r="D76" s="2251" t="s">
        <v>27</v>
      </c>
      <c r="E76" s="545">
        <f>ROUND(IF('WW Plan'!$E$137="Activate",IF(AND(E$73&gt;='WW Plan'!$G$143,E$73&lt;'WW Plan'!$H$143+1),('WW Plan'!$H$145)/('WW Plan'!$H$143+1-'WW Plan'!$G$143),0),0),0)</f>
        <v>0</v>
      </c>
      <c r="F76" s="545">
        <f>ROUND(IF('WW Plan'!$E$137="Activate",IF(AND(F$73&gt;='WW Plan'!$G$143,F$73&lt;'WW Plan'!$H$143+1),('WW Plan'!$H$145)/('WW Plan'!$H$143+1-'WW Plan'!$G$143),0),0),0)</f>
        <v>0</v>
      </c>
      <c r="G76" s="545">
        <f>ROUND(IF('WW Plan'!$E$137="Activate",IF(AND(G$73&gt;='WW Plan'!$G$143,G$73&lt;'WW Plan'!$H$143+1),('WW Plan'!$H$145)/('WW Plan'!$H$143+1-'WW Plan'!$G$143),0),0),0)</f>
        <v>0</v>
      </c>
      <c r="H76" s="545">
        <f>ROUND(IF('WW Plan'!$E$137="Activate",IF(AND(H$73&gt;='WW Plan'!$G$143,H$73&lt;'WW Plan'!$H$143+1),('WW Plan'!$H$145)/('WW Plan'!$H$143+1-'WW Plan'!$G$143),0),0),0)</f>
        <v>0</v>
      </c>
      <c r="I76" s="545">
        <f>ROUND(IF('WW Plan'!$E$137="Activate",IF(AND(I$73&gt;='WW Plan'!$G$143,I$73&lt;'WW Plan'!$H$143+1),('WW Plan'!$H$145)/('WW Plan'!$H$143+1-'WW Plan'!$G$143),0),0),0)</f>
        <v>0</v>
      </c>
      <c r="J76" s="545">
        <f>ROUND(IF('WW Plan'!$E$137="Activate",IF(AND(J$73&gt;='WW Plan'!$G$143,J$73&lt;'WW Plan'!$H$143+1),('WW Plan'!$H$145)/('WW Plan'!$H$143+1-'WW Plan'!$G$143),0),0),0)</f>
        <v>0</v>
      </c>
      <c r="K76" s="545">
        <f>ROUND(IF('WW Plan'!$E$137="Activate",IF(AND(K$73&gt;='WW Plan'!$G$143,K$73&lt;'WW Plan'!$H$143+1),('WW Plan'!$H$145)/('WW Plan'!$H$143+1-'WW Plan'!$G$143),0),0),0)</f>
        <v>0</v>
      </c>
      <c r="L76" s="545">
        <f>ROUND(IF('WW Plan'!$E$137="Activate",IF(AND(L$73&gt;='WW Plan'!$G$143,L$73&lt;'WW Plan'!$H$143+1),('WW Plan'!$H$145)/('WW Plan'!$H$143+1-'WW Plan'!$G$143),0),0),0)</f>
        <v>0</v>
      </c>
      <c r="M76" s="545">
        <f>ROUND(IF('WW Plan'!$E$137="Activate",IF(AND(M$73&gt;='WW Plan'!$G$143,M$73&lt;'WW Plan'!$H$143+1),('WW Plan'!$H$145)/('WW Plan'!$H$143+1-'WW Plan'!$G$143),0),0),0)</f>
        <v>0</v>
      </c>
      <c r="N76" s="545">
        <f>ROUND(IF('WW Plan'!$E$137="Activate",IF(AND(N$73&gt;='WW Plan'!$G$143,N$73&lt;'WW Plan'!$H$143+1),('WW Plan'!$H$145)/('WW Plan'!$H$143+1-'WW Plan'!$G$143),0),0),0)</f>
        <v>0</v>
      </c>
      <c r="O76" s="561">
        <f>ROUND(IF('WW Plan'!$E$137="Activate",IF(AND(O$73&gt;='WW Plan'!$G$143,O$73&lt;'WW Plan'!$H$143+1),('WW Plan'!$H$145)/('WW Plan'!$H$143+1-'WW Plan'!$G$143),0),0),0)</f>
        <v>0</v>
      </c>
    </row>
    <row r="77" spans="1:16" hidden="1" outlineLevel="1" x14ac:dyDescent="0.25">
      <c r="B77" s="4050"/>
      <c r="C77" s="4051" t="s">
        <v>2957</v>
      </c>
      <c r="D77" s="4058">
        <f>'WW Plan'!G144</f>
        <v>0</v>
      </c>
      <c r="E77" s="5157">
        <f>E75*'WW Plan'!$G$140</f>
        <v>0</v>
      </c>
      <c r="F77" s="5157">
        <f>SUM($E$75:F75)*'WW Plan'!$G$140</f>
        <v>0</v>
      </c>
      <c r="G77" s="5157">
        <f>SUM($E$75:G75)*'WW Plan'!$G$140</f>
        <v>0</v>
      </c>
      <c r="H77" s="5157">
        <f>SUM($E$75:H75)*'WW Plan'!$G$140</f>
        <v>0</v>
      </c>
      <c r="I77" s="5157">
        <f>SUM($E$75:I75)*'WW Plan'!$G$140</f>
        <v>0</v>
      </c>
      <c r="J77" s="5157">
        <f>SUM($E$75:J75)*'WW Plan'!$G$140</f>
        <v>0</v>
      </c>
      <c r="K77" s="5157">
        <f>SUM($E$75:K75)*'WW Plan'!$G$140</f>
        <v>0</v>
      </c>
      <c r="L77" s="5157">
        <f>SUM($E$75:L75)*'WW Plan'!$G$140</f>
        <v>0</v>
      </c>
      <c r="M77" s="5157">
        <f>SUM($E$75:M75)*'WW Plan'!$G$140</f>
        <v>0</v>
      </c>
      <c r="N77" s="5157">
        <f>SUM($E$75:N75)*'WW Plan'!$G$140</f>
        <v>0</v>
      </c>
      <c r="O77" s="5158">
        <f>SUM($E$75:O75)*'WW Plan'!$G$140</f>
        <v>0</v>
      </c>
      <c r="P77" s="127"/>
    </row>
    <row r="78" spans="1:16" hidden="1" outlineLevel="1" x14ac:dyDescent="0.25">
      <c r="B78" s="4052"/>
      <c r="C78" s="4057" t="s">
        <v>2201</v>
      </c>
      <c r="D78" s="4059">
        <f>'WW Plan'!H144</f>
        <v>0</v>
      </c>
      <c r="E78" s="5159">
        <f>E76*'WW Plan'!$H$140</f>
        <v>0</v>
      </c>
      <c r="F78" s="5159">
        <f>SUM($E$76:F76)*'WW Plan'!$H$140</f>
        <v>0</v>
      </c>
      <c r="G78" s="5159">
        <f>SUM($E$76:G76)*'WW Plan'!$H$140</f>
        <v>0</v>
      </c>
      <c r="H78" s="5159">
        <f>SUM($E$76:H76)*'WW Plan'!$H$140</f>
        <v>0</v>
      </c>
      <c r="I78" s="5159">
        <f>SUM($E$76:I76)*'WW Plan'!$H$140</f>
        <v>0</v>
      </c>
      <c r="J78" s="5159">
        <f>SUM($E$76:J76)*'WW Plan'!$H$140</f>
        <v>0</v>
      </c>
      <c r="K78" s="5159">
        <f>SUM($E$76:K76)*'WW Plan'!$H$140</f>
        <v>0</v>
      </c>
      <c r="L78" s="5159">
        <f>SUM($E$76:L76)*'WW Plan'!$H$140</f>
        <v>0</v>
      </c>
      <c r="M78" s="5159">
        <f>SUM($E$76:M76)*'WW Plan'!$H$140</f>
        <v>0</v>
      </c>
      <c r="N78" s="5159">
        <f>SUM($E$76:N76)*'WW Plan'!$H$140</f>
        <v>0</v>
      </c>
      <c r="O78" s="5160">
        <f>SUM($E$76:O76)*'WW Plan'!$H$140</f>
        <v>0</v>
      </c>
    </row>
    <row r="79" spans="1:16" hidden="1" outlineLevel="1" x14ac:dyDescent="0.25">
      <c r="B79" s="2071"/>
      <c r="C79" s="48" t="s">
        <v>2774</v>
      </c>
      <c r="D79" s="2488"/>
      <c r="E79" s="5161"/>
      <c r="F79" s="4054">
        <f>(((F75)*$D$80*'WW Plan'!$G$147)+('WW Plan'!$H$147*(F76)*$D$80))/CurrencyMultiplier</f>
        <v>0</v>
      </c>
      <c r="G79" s="4054">
        <f>(((G75)*$D$80*'WW Plan'!$G$147)+('WW Plan'!$H$147*(G76)*$D$80))/CurrencyMultiplier</f>
        <v>0</v>
      </c>
      <c r="H79" s="4054">
        <f>(((H75)*$D$80*'WW Plan'!$G$147)+('WW Plan'!$H$147*(H76)*$D$80))/CurrencyMultiplier</f>
        <v>0</v>
      </c>
      <c r="I79" s="4054">
        <f>(((I75)*$D$80*'WW Plan'!$G$147)+('WW Plan'!$H$147*(I76)*$D$80))/CurrencyMultiplier</f>
        <v>0</v>
      </c>
      <c r="J79" s="4054">
        <f>(((J75)*$D$80*'WW Plan'!$G$147)+('WW Plan'!$H$147*(J76)*$D$80))/CurrencyMultiplier</f>
        <v>0</v>
      </c>
      <c r="K79" s="4054">
        <f>(((K75)*$D$80*'WW Plan'!$G$147)+('WW Plan'!$H$147*(K76)*$D$80))/CurrencyMultiplier</f>
        <v>0</v>
      </c>
      <c r="L79" s="4054">
        <f>(((L75)*$D$80*'WW Plan'!$G$147)+('WW Plan'!$H$147*(L76)*$D$80))/CurrencyMultiplier</f>
        <v>0</v>
      </c>
      <c r="M79" s="4054">
        <f>(((M75)*$D$80*'WW Plan'!$G$147)+('WW Plan'!$H$147*(M76)*$D$80))/CurrencyMultiplier</f>
        <v>0</v>
      </c>
      <c r="N79" s="4054">
        <f>(((N75)*$D$80*'WW Plan'!$G$147)+('WW Plan'!$H$147*(N76)*$D$80))/CurrencyMultiplier</f>
        <v>0</v>
      </c>
      <c r="O79" s="4054">
        <f>(((O75)*$D$80*'WW Plan'!$G$147)+('WW Plan'!$H$147*(O76)*$D$80))/CurrencyMultiplier</f>
        <v>0</v>
      </c>
      <c r="P79" s="3725">
        <f>SUM(E79:O79)</f>
        <v>0</v>
      </c>
    </row>
    <row r="80" spans="1:16" hidden="1" outlineLevel="1" x14ac:dyDescent="0.25">
      <c r="B80" s="551"/>
      <c r="C80" s="2187" t="s">
        <v>2775</v>
      </c>
      <c r="D80" s="4053">
        <f>'WW Plan'!$G$146</f>
        <v>0</v>
      </c>
      <c r="E80" s="5162"/>
      <c r="F80" s="4055">
        <f>(F75+F76)*$D$80/CurrencyMultiplier</f>
        <v>0</v>
      </c>
      <c r="G80" s="4055">
        <f>(G75+G76)*$D$80/CurrencyMultiplier</f>
        <v>0</v>
      </c>
      <c r="H80" s="4055">
        <f>(H75+H76)*$D$80/CurrencyMultiplier</f>
        <v>0</v>
      </c>
      <c r="I80" s="4055">
        <f>(I75+I76)*$D$80/CurrencyMultiplier</f>
        <v>0</v>
      </c>
      <c r="J80" s="4055">
        <f>(J75+J76)*$D$80/CurrencyMultiplier</f>
        <v>0</v>
      </c>
      <c r="K80" s="4055">
        <f>(K75+K76)*$D$80/CurrencyMultiplier</f>
        <v>0</v>
      </c>
      <c r="L80" s="4055">
        <f>(L75+L76)*$D$80/CurrencyMultiplier</f>
        <v>0</v>
      </c>
      <c r="M80" s="4055">
        <f>(M75+M76)*$D$80/CurrencyMultiplier</f>
        <v>0</v>
      </c>
      <c r="N80" s="4055">
        <f>(N75+N76)*$D$80/CurrencyMultiplier</f>
        <v>0</v>
      </c>
      <c r="O80" s="4055">
        <f>(O75+O76)*$D$80/CurrencyMultiplier</f>
        <v>0</v>
      </c>
      <c r="P80" s="3726">
        <f>SUM(E80:O80)</f>
        <v>0</v>
      </c>
    </row>
    <row r="81" spans="2:17" hidden="1" outlineLevel="1" x14ac:dyDescent="0.25">
      <c r="B81" s="1162"/>
      <c r="C81" s="1162"/>
      <c r="D81" s="2251"/>
      <c r="E81" s="5163"/>
      <c r="F81" s="5163"/>
      <c r="G81" s="5163"/>
      <c r="H81" s="5163"/>
      <c r="I81" s="5163"/>
      <c r="J81" s="5163"/>
      <c r="K81" s="5163"/>
      <c r="L81" s="5163"/>
      <c r="M81" s="5163"/>
      <c r="N81" s="5163"/>
      <c r="O81" s="5163"/>
    </row>
    <row r="82" spans="2:17" hidden="1" outlineLevel="1" x14ac:dyDescent="0.25">
      <c r="B82" s="547"/>
      <c r="C82" s="2424" t="s">
        <v>2947</v>
      </c>
      <c r="D82" s="2481"/>
      <c r="E82" s="5164"/>
      <c r="F82" s="5164"/>
      <c r="G82" s="5164"/>
      <c r="H82" s="5164"/>
      <c r="I82" s="5164"/>
      <c r="J82" s="5164"/>
      <c r="K82" s="5164"/>
      <c r="L82" s="5164"/>
      <c r="M82" s="5164"/>
      <c r="N82" s="5164"/>
      <c r="O82" s="5165"/>
    </row>
    <row r="83" spans="2:17" hidden="1" outlineLevel="1" x14ac:dyDescent="0.25">
      <c r="B83" s="2071"/>
      <c r="C83" s="3984" t="s">
        <v>2946</v>
      </c>
      <c r="D83" s="2251" t="s">
        <v>2422</v>
      </c>
      <c r="E83" s="545">
        <f>ROUND(IF('WW Plan'!$E$137="Activate",IF(AND(E$73&gt;='WW Plan'!$G$148,E$73&lt;'WW Plan'!$H$148+1),('WW Plan'!$G$150)/('WW Plan'!$H$148+1-'WW Plan'!$G$148),0),0),0)</f>
        <v>0</v>
      </c>
      <c r="F83" s="545">
        <f>ROUND(IF('WW Plan'!$E$137="Activate",IF(AND(F$73&gt;='WW Plan'!$G$148,F$73&lt;'WW Plan'!$H$148+1),('WW Plan'!$G$150)/('WW Plan'!$H$148+1-'WW Plan'!$G$148),0),0),0)</f>
        <v>0</v>
      </c>
      <c r="G83" s="545">
        <f>ROUND(IF('WW Plan'!$E$137="Activate",IF(AND(G$73&gt;='WW Plan'!$G$148,G$73&lt;'WW Plan'!$H$148+1),('WW Plan'!$G$150)/('WW Plan'!$H$148+1-'WW Plan'!$G$148),0),0),0)</f>
        <v>0</v>
      </c>
      <c r="H83" s="545">
        <f>ROUND(IF('WW Plan'!$E$137="Activate",IF(AND(H$73&gt;='WW Plan'!$G$148,H$73&lt;'WW Plan'!$H$148+1),('WW Plan'!$G$150)/('WW Plan'!$H$148+1-'WW Plan'!$G$148),0),0),0)</f>
        <v>0</v>
      </c>
      <c r="I83" s="545">
        <f>ROUND(IF('WW Plan'!$E$137="Activate",IF(AND(I$73&gt;='WW Plan'!$G$148,I$73&lt;'WW Plan'!$H$148+1),('WW Plan'!$G$150)/('WW Plan'!$H$148+1-'WW Plan'!$G$148),0),0),0)</f>
        <v>0</v>
      </c>
      <c r="J83" s="545">
        <f>ROUND(IF('WW Plan'!$E$137="Activate",IF(AND(J$73&gt;='WW Plan'!$G$148,J$73&lt;'WW Plan'!$H$148+1),('WW Plan'!$G$150)/('WW Plan'!$H$148+1-'WW Plan'!$G$148),0),0),0)</f>
        <v>0</v>
      </c>
      <c r="K83" s="545">
        <f>ROUND(IF('WW Plan'!$E$137="Activate",IF(AND(K$73&gt;='WW Plan'!$G$148,K$73&lt;'WW Plan'!$H$148+1),('WW Plan'!$G$150)/('WW Plan'!$H$148+1-'WW Plan'!$G$148),0),0),0)</f>
        <v>0</v>
      </c>
      <c r="L83" s="545">
        <f>ROUND(IF('WW Plan'!$E$137="Activate",IF(AND(L$73&gt;='WW Plan'!$G$148,L$73&lt;'WW Plan'!$H$148+1),('WW Plan'!$G$150)/('WW Plan'!$H$148+1-'WW Plan'!$G$148),0),0),0)</f>
        <v>0</v>
      </c>
      <c r="M83" s="545">
        <f>ROUND(IF('WW Plan'!$E$137="Activate",IF(AND(M$73&gt;='WW Plan'!$G$148,M$73&lt;'WW Plan'!$H$148+1),('WW Plan'!$G$150)/('WW Plan'!$H$148+1-'WW Plan'!$G$148),0),0),0)</f>
        <v>0</v>
      </c>
      <c r="N83" s="545">
        <f>ROUND(IF('WW Plan'!$E$137="Activate",IF(AND(N$73&gt;='WW Plan'!$G$148,N$73&lt;'WW Plan'!$H$148+1),('WW Plan'!$G$150)/('WW Plan'!$H$148+1-'WW Plan'!$G$148),0),0),0)</f>
        <v>0</v>
      </c>
      <c r="O83" s="561">
        <f>ROUND(IF('WW Plan'!$E$137="Activate",IF(AND(O$73&gt;='WW Plan'!$G$148,O$73&lt;'WW Plan'!$H$148+1),('WW Plan'!$G$150)/('WW Plan'!$H$148+1-'WW Plan'!$G$148),0),0),0)</f>
        <v>0</v>
      </c>
    </row>
    <row r="84" spans="2:17" hidden="1" outlineLevel="1" x14ac:dyDescent="0.25">
      <c r="B84" s="2071"/>
      <c r="C84" s="1162"/>
      <c r="D84" s="2251" t="s">
        <v>27</v>
      </c>
      <c r="E84" s="545">
        <f>ROUND(IF('WW Plan'!$E$137="Activate",IF(AND(E$73&gt;='WW Plan'!$G$148,E$73&lt;'WW Plan'!$H$148+1),('WW Plan'!$H$150)/('WW Plan'!$H$148+1-'WW Plan'!$G$148),0),0),0)</f>
        <v>0</v>
      </c>
      <c r="F84" s="545">
        <f>ROUND(IF('WW Plan'!$E$137="Activate",IF(AND(F$73&gt;='WW Plan'!$G$148,F$73&lt;'WW Plan'!$H$148+1),('WW Plan'!$H$150)/('WW Plan'!$H$148+1-'WW Plan'!$G$148),0),0),0)</f>
        <v>0</v>
      </c>
      <c r="G84" s="545">
        <f>ROUND(IF('WW Plan'!$E$137="Activate",IF(AND(G$73&gt;='WW Plan'!$G$148,G$73&lt;'WW Plan'!$H$148+1),('WW Plan'!$H$150)/('WW Plan'!$H$148+1-'WW Plan'!$G$148),0),0),0)</f>
        <v>0</v>
      </c>
      <c r="H84" s="545">
        <f>ROUND(IF('WW Plan'!$E$137="Activate",IF(AND(H$73&gt;='WW Plan'!$G$148,H$73&lt;'WW Plan'!$H$148+1),('WW Plan'!$H$150)/('WW Plan'!$H$148+1-'WW Plan'!$G$148),0),0),0)</f>
        <v>0</v>
      </c>
      <c r="I84" s="545">
        <f>ROUND(IF('WW Plan'!$E$137="Activate",IF(AND(I$73&gt;='WW Plan'!$G$148,I$73&lt;'WW Plan'!$H$148+1),('WW Plan'!$H$150)/('WW Plan'!$H$148+1-'WW Plan'!$G$148),0),0),0)</f>
        <v>0</v>
      </c>
      <c r="J84" s="545">
        <f>ROUND(IF('WW Plan'!$E$137="Activate",IF(AND(J$73&gt;='WW Plan'!$G$148,J$73&lt;'WW Plan'!$H$148+1),('WW Plan'!$H$150)/('WW Plan'!$H$148+1-'WW Plan'!$G$148),0),0),0)</f>
        <v>0</v>
      </c>
      <c r="K84" s="545">
        <f>ROUND(IF('WW Plan'!$E$137="Activate",IF(AND(K$73&gt;='WW Plan'!$G$148,K$73&lt;'WW Plan'!$H$148+1),('WW Plan'!$H$150)/('WW Plan'!$H$148+1-'WW Plan'!$G$148),0),0),0)</f>
        <v>0</v>
      </c>
      <c r="L84" s="545">
        <f>ROUND(IF('WW Plan'!$E$137="Activate",IF(AND(L$73&gt;='WW Plan'!$G$148,L$73&lt;'WW Plan'!$H$148+1),('WW Plan'!$H$150)/('WW Plan'!$H$148+1-'WW Plan'!$G$148),0),0),0)</f>
        <v>0</v>
      </c>
      <c r="M84" s="545">
        <f>ROUND(IF('WW Plan'!$E$137="Activate",IF(AND(M$73&gt;='WW Plan'!$G$148,M$73&lt;'WW Plan'!$H$148+1),('WW Plan'!$H$150)/('WW Plan'!$H$148+1-'WW Plan'!$G$148),0),0),0)</f>
        <v>0</v>
      </c>
      <c r="N84" s="545">
        <f>ROUND(IF('WW Plan'!$E$137="Activate",IF(AND(N$73&gt;='WW Plan'!$G$148,N$73&lt;'WW Plan'!$H$148+1),('WW Plan'!$H$150)/('WW Plan'!$H$148+1-'WW Plan'!$G$148),0),0),0)</f>
        <v>0</v>
      </c>
      <c r="O84" s="561">
        <f>ROUND(IF('WW Plan'!$E$137="Activate",IF(AND(O$73&gt;='WW Plan'!$G$148,O$73&lt;'WW Plan'!$H$148+1),('WW Plan'!$H$150)/('WW Plan'!$H$148+1-'WW Plan'!$G$148),0),0),0)</f>
        <v>0</v>
      </c>
    </row>
    <row r="85" spans="2:17" hidden="1" outlineLevel="1" x14ac:dyDescent="0.25">
      <c r="B85" s="2096"/>
      <c r="C85" s="4051" t="s">
        <v>2957</v>
      </c>
      <c r="D85" s="4058">
        <f>'WW Plan'!G149</f>
        <v>0</v>
      </c>
      <c r="E85" s="5157">
        <f>(E83*'WW Plan'!$G$140)+E77</f>
        <v>0</v>
      </c>
      <c r="F85" s="5157">
        <f>(SUM($E$83:F83)*'WW Plan'!$G$140)+F77</f>
        <v>0</v>
      </c>
      <c r="G85" s="5157">
        <f>(SUM($E$83:G83)*'WW Plan'!$G$140)+G77</f>
        <v>0</v>
      </c>
      <c r="H85" s="5157">
        <f>(SUM($E$83:H83)*'WW Plan'!$G$140)+H77</f>
        <v>0</v>
      </c>
      <c r="I85" s="5157">
        <f>(SUM($E$83:I83)*'WW Plan'!$G$140)+I77</f>
        <v>0</v>
      </c>
      <c r="J85" s="5157">
        <f>(SUM($E$83:J83)*'WW Plan'!$G$140)+J77</f>
        <v>0</v>
      </c>
      <c r="K85" s="5157">
        <f>(SUM($E$83:K83)*'WW Plan'!$G$140)+K77</f>
        <v>0</v>
      </c>
      <c r="L85" s="5157">
        <f>(SUM($E$83:L83)*'WW Plan'!$G$140)+L77</f>
        <v>0</v>
      </c>
      <c r="M85" s="5157">
        <f>(SUM($E$83:M83)*'WW Plan'!$G$140)+M77</f>
        <v>0</v>
      </c>
      <c r="N85" s="5157">
        <f>(SUM($E$83:N83)*'WW Plan'!$G$140)+N77</f>
        <v>0</v>
      </c>
      <c r="O85" s="5158">
        <f>(SUM($E$83:O83)*'WW Plan'!$G$140)+O77</f>
        <v>0</v>
      </c>
    </row>
    <row r="86" spans="2:17" hidden="1" outlineLevel="1" x14ac:dyDescent="0.25">
      <c r="B86" s="2096"/>
      <c r="C86" s="4057" t="s">
        <v>2201</v>
      </c>
      <c r="D86" s="4059">
        <f>'WW Plan'!H149</f>
        <v>0</v>
      </c>
      <c r="E86" s="5159">
        <f>(E84*'WW Plan'!$H$140)+E78</f>
        <v>0</v>
      </c>
      <c r="F86" s="5159">
        <f>(SUM($E$84:F84)*'WW Plan'!$H$140)+F78</f>
        <v>0</v>
      </c>
      <c r="G86" s="5159">
        <f>(SUM($E$84:G84)*'WW Plan'!$H$140)+G78</f>
        <v>0</v>
      </c>
      <c r="H86" s="5159">
        <f>(SUM($E$84:H84)*'WW Plan'!$H$140)+H78</f>
        <v>0</v>
      </c>
      <c r="I86" s="5159">
        <f>(SUM($E$84:I84)*'WW Plan'!$H$140)+I78</f>
        <v>0</v>
      </c>
      <c r="J86" s="5159">
        <f>(SUM($E$84:J84)*'WW Plan'!$H$140)+J78</f>
        <v>0</v>
      </c>
      <c r="K86" s="5159">
        <f>(SUM($E$84:K84)*'WW Plan'!$H$140)+K78</f>
        <v>0</v>
      </c>
      <c r="L86" s="5159">
        <f>(SUM($E$84:L84)*'WW Plan'!$H$140)+L78</f>
        <v>0</v>
      </c>
      <c r="M86" s="5159">
        <f>(SUM($E$84:M84)*'WW Plan'!$H$140)+M78</f>
        <v>0</v>
      </c>
      <c r="N86" s="5159">
        <f>(SUM($E$84:N84)*'WW Plan'!$H$140)+N78</f>
        <v>0</v>
      </c>
      <c r="O86" s="5160">
        <f>(SUM($E$84:O84)*'WW Plan'!$H$140)+O78</f>
        <v>0</v>
      </c>
    </row>
    <row r="87" spans="2:17" hidden="1" outlineLevel="1" x14ac:dyDescent="0.25">
      <c r="B87" s="2071"/>
      <c r="C87" s="48" t="s">
        <v>2774</v>
      </c>
      <c r="D87" s="2488"/>
      <c r="E87" s="5161"/>
      <c r="F87" s="4054">
        <f>(((F83)*$D$88*'WW Plan'!$G$152)+('WW Plan'!$H$152*(F84)*$D$88))/CurrencyMultiplier</f>
        <v>0</v>
      </c>
      <c r="G87" s="4054">
        <f>(((G83)*$D$88*'WW Plan'!$G$152)+('WW Plan'!$H$152*(G84)*$D$88))/CurrencyMultiplier</f>
        <v>0</v>
      </c>
      <c r="H87" s="4054">
        <f>(((H83)*$D$88*'WW Plan'!$G$152)+('WW Plan'!$H$152*(H84)*$D$88))/CurrencyMultiplier</f>
        <v>0</v>
      </c>
      <c r="I87" s="4054">
        <f>(((I83)*$D$88*'WW Plan'!$G$152)+('WW Plan'!$H$152*(I84)*$D$88))/CurrencyMultiplier</f>
        <v>0</v>
      </c>
      <c r="J87" s="4054">
        <f>(((J83)*$D$88*'WW Plan'!$G$152)+('WW Plan'!$H$152*(J84)*$D$88))/CurrencyMultiplier</f>
        <v>0</v>
      </c>
      <c r="K87" s="4054">
        <f>(((K83)*$D$88*'WW Plan'!$G$152)+('WW Plan'!$H$152*(K84)*$D$88))/CurrencyMultiplier</f>
        <v>0</v>
      </c>
      <c r="L87" s="4054">
        <f>(((L83)*$D$88*'WW Plan'!$G$152)+('WW Plan'!$H$152*(L84)*$D$88))/CurrencyMultiplier</f>
        <v>0</v>
      </c>
      <c r="M87" s="4054">
        <f>(((M83)*$D$88*'WW Plan'!$G$152)+('WW Plan'!$H$152*(M84)*$D$88))/CurrencyMultiplier</f>
        <v>0</v>
      </c>
      <c r="N87" s="4054">
        <f>(((N83)*$D$88*'WW Plan'!$G$152)+('WW Plan'!$H$152*(N84)*$D$88))/CurrencyMultiplier</f>
        <v>0</v>
      </c>
      <c r="O87" s="4054">
        <f>(((O83)*$D$88*'WW Plan'!$G$152)+('WW Plan'!$H$152*(O84)*$D$88))/CurrencyMultiplier</f>
        <v>0</v>
      </c>
      <c r="P87" s="3725">
        <f>SUM(E87:O87)</f>
        <v>0</v>
      </c>
    </row>
    <row r="88" spans="2:17" hidden="1" outlineLevel="1" x14ac:dyDescent="0.25">
      <c r="B88" s="551"/>
      <c r="C88" s="2187" t="s">
        <v>2775</v>
      </c>
      <c r="D88" s="4053">
        <f>'WW Plan'!$G$151</f>
        <v>0</v>
      </c>
      <c r="E88" s="5162"/>
      <c r="F88" s="4055">
        <f>(F83+F84)*$D$88/CurrencyMultiplier</f>
        <v>0</v>
      </c>
      <c r="G88" s="4055">
        <f>(G83+G84)*$D$88/CurrencyMultiplier</f>
        <v>0</v>
      </c>
      <c r="H88" s="4055">
        <f>(H83+H84)*$D$88/CurrencyMultiplier</f>
        <v>0</v>
      </c>
      <c r="I88" s="4055">
        <f>(I83+I84)*$D$88/CurrencyMultiplier</f>
        <v>0</v>
      </c>
      <c r="J88" s="4055">
        <f>(J83+J84)*$D$88/CurrencyMultiplier</f>
        <v>0</v>
      </c>
      <c r="K88" s="4055">
        <f>(K83+K84)*$D$88/CurrencyMultiplier</f>
        <v>0</v>
      </c>
      <c r="L88" s="4055">
        <f>(L83+L84)*$D$88/CurrencyMultiplier</f>
        <v>0</v>
      </c>
      <c r="M88" s="4055">
        <f>(M83+M84)*$D$88/CurrencyMultiplier</f>
        <v>0</v>
      </c>
      <c r="N88" s="4055">
        <f>(N83+N84)*$D$88/CurrencyMultiplier</f>
        <v>0</v>
      </c>
      <c r="O88" s="4055">
        <f>(O83+O84)*$D$88/CurrencyMultiplier</f>
        <v>0</v>
      </c>
      <c r="P88" s="3726">
        <f>SUM(E88:O88)</f>
        <v>0</v>
      </c>
    </row>
    <row r="89" spans="2:17" hidden="1" outlineLevel="1" x14ac:dyDescent="0.25">
      <c r="E89" s="5166"/>
      <c r="F89" s="5166"/>
      <c r="G89" s="5166"/>
      <c r="H89" s="5166"/>
      <c r="I89" s="5166"/>
      <c r="J89" s="5166"/>
      <c r="K89" s="5166"/>
      <c r="L89" s="5166"/>
      <c r="M89" s="5166"/>
      <c r="N89" s="5166"/>
      <c r="O89" s="5166"/>
    </row>
    <row r="90" spans="2:17" hidden="1" outlineLevel="1" x14ac:dyDescent="0.25">
      <c r="B90" s="547"/>
      <c r="C90" s="2424" t="s">
        <v>2948</v>
      </c>
      <c r="D90" s="2481"/>
      <c r="E90" s="5164"/>
      <c r="F90" s="5164"/>
      <c r="G90" s="5164"/>
      <c r="H90" s="5164"/>
      <c r="I90" s="5164"/>
      <c r="J90" s="5164"/>
      <c r="K90" s="5164"/>
      <c r="L90" s="5164"/>
      <c r="M90" s="5164"/>
      <c r="N90" s="5164"/>
      <c r="O90" s="5165"/>
    </row>
    <row r="91" spans="2:17" hidden="1" outlineLevel="1" x14ac:dyDescent="0.25">
      <c r="B91" s="2071"/>
      <c r="C91" s="3984" t="s">
        <v>2946</v>
      </c>
      <c r="D91" s="2251" t="s">
        <v>2422</v>
      </c>
      <c r="E91" s="545">
        <f>ROUND(IF('WW Plan'!$E$137="Activate",IF(AND(E$73&gt;='WW Plan'!$G$153,E$73&lt;'WW Plan'!$H$153+1),('WW Plan'!$G$154)/('WW Plan'!$H$153+1-'WW Plan'!$G$153),0),0),0)</f>
        <v>0</v>
      </c>
      <c r="F91" s="545">
        <f>ROUND(IF('WW Plan'!$E$137="Activate",IF(AND(F$73&gt;='WW Plan'!$G$153,F$73&lt;'WW Plan'!$H$153+1),('WW Plan'!$G$154)/('WW Plan'!$H$153+1-'WW Plan'!$G$153),0),0),0)</f>
        <v>0</v>
      </c>
      <c r="G91" s="545">
        <f>ROUND(IF('WW Plan'!$E$137="Activate",IF(AND(G$73&gt;='WW Plan'!$G$153,G$73&lt;'WW Plan'!$H$153+1),('WW Plan'!$G$154)/('WW Plan'!$H$153+1-'WW Plan'!$G$153),0),0),0)</f>
        <v>0</v>
      </c>
      <c r="H91" s="545">
        <f>ROUND(IF('WW Plan'!$E$137="Activate",IF(AND(H$73&gt;='WW Plan'!$G$153,H$73&lt;'WW Plan'!$H$153+1),('WW Plan'!$G$154)/('WW Plan'!$H$153+1-'WW Plan'!$G$153),0),0),0)</f>
        <v>0</v>
      </c>
      <c r="I91" s="545">
        <f>ROUND(IF('WW Plan'!$E$137="Activate",IF(AND(I$73&gt;='WW Plan'!$G$153,I$73&lt;'WW Plan'!$H$153+1),('WW Plan'!$G$154)/('WW Plan'!$H$153+1-'WW Plan'!$G$153),0),0),0)</f>
        <v>0</v>
      </c>
      <c r="J91" s="545">
        <f>ROUND(IF('WW Plan'!$E$137="Activate",IF(AND(J$73&gt;='WW Plan'!$G$153,J$73&lt;'WW Plan'!$H$153+1),('WW Plan'!$G$154)/('WW Plan'!$H$153+1-'WW Plan'!$G$153),0),0),0)</f>
        <v>0</v>
      </c>
      <c r="K91" s="545">
        <f>ROUND(IF('WW Plan'!$E$137="Activate",IF(AND(K$73&gt;='WW Plan'!$G$153,K$73&lt;'WW Plan'!$H$153+1),('WW Plan'!$G$154)/('WW Plan'!$H$153+1-'WW Plan'!$G$153),0),0),0)</f>
        <v>0</v>
      </c>
      <c r="L91" s="545">
        <f>ROUND(IF('WW Plan'!$E$137="Activate",IF(AND(L$73&gt;='WW Plan'!$G$153,L$73&lt;'WW Plan'!$H$153+1),('WW Plan'!$G$154)/('WW Plan'!$H$153+1-'WW Plan'!$G$153),0),0),0)</f>
        <v>0</v>
      </c>
      <c r="M91" s="545">
        <f>ROUND(IF('WW Plan'!$E$137="Activate",IF(AND(M$73&gt;='WW Plan'!$G$153,M$73&lt;'WW Plan'!$H$153+1),('WW Plan'!$G$154)/('WW Plan'!$H$153+1-'WW Plan'!$G$153),0),0),0)</f>
        <v>0</v>
      </c>
      <c r="N91" s="545">
        <f>ROUND(IF('WW Plan'!$E$137="Activate",IF(AND(N$73&gt;='WW Plan'!$G$153,N$73&lt;'WW Plan'!$H$153+1),('WW Plan'!$G$154)/('WW Plan'!$H$153+1-'WW Plan'!$G$153),0),0),0)</f>
        <v>0</v>
      </c>
      <c r="O91" s="561">
        <f>ROUND(IF('WW Plan'!$E$137="Activate",IF(AND(O$73&gt;='WW Plan'!$G$153,O$73&lt;'WW Plan'!$H$153+1),('WW Plan'!$G$154)/('WW Plan'!$H$153+1-'WW Plan'!$G$153),0),0),0)</f>
        <v>0</v>
      </c>
      <c r="Q91" s="3988"/>
    </row>
    <row r="92" spans="2:17" hidden="1" outlineLevel="1" x14ac:dyDescent="0.25">
      <c r="B92" s="2071"/>
      <c r="C92" s="1162"/>
      <c r="D92" s="2251" t="s">
        <v>27</v>
      </c>
      <c r="E92" s="545">
        <f>ROUND(IF('WW Plan'!$E$137="Activate",IF(AND(E$73&gt;='WW Plan'!$G$153,E$73&lt;'WW Plan'!$H$153+1),('WW Plan'!$H$154)/('WW Plan'!$H$153+1-'WW Plan'!$G$153),0),0),0)</f>
        <v>0</v>
      </c>
      <c r="F92" s="545">
        <f>ROUND(IF('WW Plan'!$E$137="Activate",IF(AND(F$73&gt;='WW Plan'!$G$153,F$73&lt;'WW Plan'!$H$153+1),('WW Plan'!$H$154)/('WW Plan'!$H$153+1-'WW Plan'!$G$153),0),0),0)</f>
        <v>0</v>
      </c>
      <c r="G92" s="545">
        <f>ROUND(IF('WW Plan'!$E$137="Activate",IF(AND(G$73&gt;='WW Plan'!$G$153,G$73&lt;'WW Plan'!$H$153+1),('WW Plan'!$H$154)/('WW Plan'!$H$153+1-'WW Plan'!$G$153),0),0),0)</f>
        <v>0</v>
      </c>
      <c r="H92" s="545">
        <f>ROUND(IF('WW Plan'!$E$137="Activate",IF(AND(H$73&gt;='WW Plan'!$G$153,H$73&lt;'WW Plan'!$H$153+1),('WW Plan'!$H$154)/('WW Plan'!$H$153+1-'WW Plan'!$G$153),0),0),0)</f>
        <v>0</v>
      </c>
      <c r="I92" s="545">
        <f>ROUND(IF('WW Plan'!$E$137="Activate",IF(AND(I$73&gt;='WW Plan'!$G$153,I$73&lt;'WW Plan'!$H$153+1),('WW Plan'!$H$154)/('WW Plan'!$H$153+1-'WW Plan'!$G$153),0),0),0)</f>
        <v>0</v>
      </c>
      <c r="J92" s="545">
        <f>ROUND(IF('WW Plan'!$E$137="Activate",IF(AND(J$73&gt;='WW Plan'!$G$153,J$73&lt;'WW Plan'!$H$153+1),('WW Plan'!$H$154)/('WW Plan'!$H$153+1-'WW Plan'!$G$153),0),0),0)</f>
        <v>0</v>
      </c>
      <c r="K92" s="545">
        <f>ROUND(IF('WW Plan'!$E$137="Activate",IF(AND(K$73&gt;='WW Plan'!$G$153,K$73&lt;'WW Plan'!$H$153+1),('WW Plan'!$H$154)/('WW Plan'!$H$153+1-'WW Plan'!$G$153),0),0),0)</f>
        <v>0</v>
      </c>
      <c r="L92" s="545">
        <f>ROUND(IF('WW Plan'!$E$137="Activate",IF(AND(L$73&gt;='WW Plan'!$G$153,L$73&lt;'WW Plan'!$H$153+1),('WW Plan'!$H$154)/('WW Plan'!$H$153+1-'WW Plan'!$G$153),0),0),0)</f>
        <v>0</v>
      </c>
      <c r="M92" s="545">
        <f>ROUND(IF('WW Plan'!$E$137="Activate",IF(AND(M$73&gt;='WW Plan'!$G$153,M$73&lt;'WW Plan'!$H$153+1),('WW Plan'!$H$154)/('WW Plan'!$H$153+1-'WW Plan'!$G$153),0),0),0)</f>
        <v>0</v>
      </c>
      <c r="N92" s="545">
        <f>ROUND(IF('WW Plan'!$E$137="Activate",IF(AND(N$73&gt;='WW Plan'!$G$153,N$73&lt;'WW Plan'!$H$153+1),('WW Plan'!$H$154)/('WW Plan'!$H$153+1-'WW Plan'!$G$153),0),0),0)</f>
        <v>0</v>
      </c>
      <c r="O92" s="561">
        <f>ROUND(IF('WW Plan'!$E$137="Activate",IF(AND(O$73&gt;='WW Plan'!$G$153,O$73&lt;'WW Plan'!$H$153+1),('WW Plan'!$H$154)/('WW Plan'!$H$153+1-'WW Plan'!$G$153),0),0),0)</f>
        <v>0</v>
      </c>
      <c r="Q92" s="3988"/>
    </row>
    <row r="93" spans="2:17" hidden="1" outlineLevel="1" x14ac:dyDescent="0.25">
      <c r="B93" s="2096"/>
      <c r="C93" s="4051" t="s">
        <v>2957</v>
      </c>
      <c r="D93" s="4060">
        <f>IFERROR('WW Plan'!G154/'WW Plan'!G139,0)</f>
        <v>0</v>
      </c>
      <c r="E93" s="5157">
        <f>E91*'WW Plan'!$G$140</f>
        <v>0</v>
      </c>
      <c r="F93" s="5157">
        <f>(SUM($E$91:F91)*'WW Plan'!$G$140)+F85</f>
        <v>0</v>
      </c>
      <c r="G93" s="5157">
        <f>(SUM($E$91:G91)*'WW Plan'!$G$140)+G85</f>
        <v>0</v>
      </c>
      <c r="H93" s="5157">
        <f>(SUM($E$91:H91)*'WW Plan'!$G$140)+H85</f>
        <v>0</v>
      </c>
      <c r="I93" s="5157">
        <f>(SUM($E$91:I91)*'WW Plan'!$G$140)+I85</f>
        <v>0</v>
      </c>
      <c r="J93" s="5157">
        <f>(SUM($E$91:J91)*'WW Plan'!$G$140)+J85</f>
        <v>0</v>
      </c>
      <c r="K93" s="5157">
        <f>(SUM($E$91:K91)*'WW Plan'!$G$140)+K85</f>
        <v>0</v>
      </c>
      <c r="L93" s="5157">
        <f>(SUM($E$91:L91)*'WW Plan'!$G$140)+L85</f>
        <v>0</v>
      </c>
      <c r="M93" s="5157">
        <f>(SUM($E$91:M91)*'WW Plan'!$G$140)+M85</f>
        <v>0</v>
      </c>
      <c r="N93" s="5157">
        <f>(SUM($E$91:N91)*'WW Plan'!$G$140)+N85</f>
        <v>0</v>
      </c>
      <c r="O93" s="5158">
        <f>(SUM($E$91:O91)*'WW Plan'!$G$140)+O85</f>
        <v>0</v>
      </c>
    </row>
    <row r="94" spans="2:17" hidden="1" outlineLevel="1" x14ac:dyDescent="0.25">
      <c r="B94" s="2096"/>
      <c r="C94" s="4057" t="s">
        <v>2201</v>
      </c>
      <c r="D94" s="4061">
        <f>IFERROR('WW Plan'!H154/'WW Plan'!H139,0)</f>
        <v>0</v>
      </c>
      <c r="E94" s="5159">
        <f>E92*'WW Plan'!$H$140</f>
        <v>0</v>
      </c>
      <c r="F94" s="5159">
        <f>(SUM($E$92:F92)*'WW Plan'!$H$140)+F86</f>
        <v>0</v>
      </c>
      <c r="G94" s="5159">
        <f>(SUM($E$92:G92)*'WW Plan'!$H$140)+G86</f>
        <v>0</v>
      </c>
      <c r="H94" s="5159">
        <f>(SUM($E$92:H92)*'WW Plan'!$H$140)+H86</f>
        <v>0</v>
      </c>
      <c r="I94" s="5159">
        <f>(SUM($E$92:I92)*'WW Plan'!$H$140)+I86</f>
        <v>0</v>
      </c>
      <c r="J94" s="5159">
        <f>(SUM($E$92:J92)*'WW Plan'!$H$140)+J86</f>
        <v>0</v>
      </c>
      <c r="K94" s="5159">
        <f>(SUM($E$92:K92)*'WW Plan'!$H$140)+K86</f>
        <v>0</v>
      </c>
      <c r="L94" s="5159">
        <f>(SUM($E$92:L92)*'WW Plan'!$H$140)+L86</f>
        <v>0</v>
      </c>
      <c r="M94" s="5159">
        <f>(SUM($E$92:M92)*'WW Plan'!$H$140)+M86</f>
        <v>0</v>
      </c>
      <c r="N94" s="5159">
        <f>(SUM($E$92:N92)*'WW Plan'!$H$140)+N86</f>
        <v>0</v>
      </c>
      <c r="O94" s="5160">
        <f>(SUM($E$92:O92)*'WW Plan'!$H$140)+O86</f>
        <v>0</v>
      </c>
    </row>
    <row r="95" spans="2:17" hidden="1" outlineLevel="1" x14ac:dyDescent="0.25">
      <c r="B95" s="2071"/>
      <c r="C95" s="48" t="s">
        <v>2774</v>
      </c>
      <c r="D95" s="2488"/>
      <c r="E95" s="5161"/>
      <c r="F95" s="4054">
        <f>(((F91)*$D$96*'WW Plan'!$G$160)+('WW Plan'!$H$160*(F92)*$D$96))/CurrencyMultiplier</f>
        <v>0</v>
      </c>
      <c r="G95" s="4054">
        <f>(((G91)*$D$96*'WW Plan'!$G$160)+('WW Plan'!$H$160*(G92)*$D$96))/CurrencyMultiplier</f>
        <v>0</v>
      </c>
      <c r="H95" s="4054">
        <f>(((H91)*$D$96*'WW Plan'!$G$160)+('WW Plan'!$H$160*(H92)*$D$96))/CurrencyMultiplier</f>
        <v>0</v>
      </c>
      <c r="I95" s="4054">
        <f>(((I91)*$D$96*'WW Plan'!$G$160)+('WW Plan'!$H$160*(I92)*$D$96))/CurrencyMultiplier</f>
        <v>0</v>
      </c>
      <c r="J95" s="4054">
        <f>(((J91)*$D$96*'WW Plan'!$G$160)+('WW Plan'!$H$160*(J92)*$D$96))/CurrencyMultiplier</f>
        <v>0</v>
      </c>
      <c r="K95" s="4054">
        <f>(((K91)*$D$96*'WW Plan'!$G$160)+('WW Plan'!$H$160*(K92)*$D$96))/CurrencyMultiplier</f>
        <v>0</v>
      </c>
      <c r="L95" s="4054">
        <f>(((L91)*$D$96*'WW Plan'!$G$160)+('WW Plan'!$H$160*(L92)*$D$96))/CurrencyMultiplier</f>
        <v>0</v>
      </c>
      <c r="M95" s="4054">
        <f>(((M91)*$D$96*'WW Plan'!$G$160)+('WW Plan'!$H$160*(M92)*$D$96))/CurrencyMultiplier</f>
        <v>0</v>
      </c>
      <c r="N95" s="4054">
        <f>(((N91)*$D$96*'WW Plan'!$G$160)+('WW Plan'!$H$160*(N92)*$D$96))/CurrencyMultiplier</f>
        <v>0</v>
      </c>
      <c r="O95" s="4054">
        <f>(((O91)*$D$96*'WW Plan'!$G$160)+('WW Plan'!$H$160*(O92)*$D$96))/CurrencyMultiplier</f>
        <v>0</v>
      </c>
      <c r="P95" s="3725">
        <f>SUM(E95:O95)</f>
        <v>0</v>
      </c>
    </row>
    <row r="96" spans="2:17" hidden="1" outlineLevel="1" x14ac:dyDescent="0.25">
      <c r="B96" s="551"/>
      <c r="C96" s="2187" t="s">
        <v>2775</v>
      </c>
      <c r="D96" s="4053">
        <f>'WW Plan'!$G$159</f>
        <v>0</v>
      </c>
      <c r="E96" s="5162"/>
      <c r="F96" s="4055">
        <f>(F91+F92)*$D$96/CurrencyMultiplier</f>
        <v>0</v>
      </c>
      <c r="G96" s="4055">
        <f>(G91+G92)*$D$96/CurrencyMultiplier</f>
        <v>0</v>
      </c>
      <c r="H96" s="4055">
        <f>(H91+H92)*$D$96/CurrencyMultiplier</f>
        <v>0</v>
      </c>
      <c r="I96" s="4055">
        <f>(I91+I92)*$D$96/CurrencyMultiplier</f>
        <v>0</v>
      </c>
      <c r="J96" s="4055">
        <f>(J91+J92)*$D$96/CurrencyMultiplier</f>
        <v>0</v>
      </c>
      <c r="K96" s="4055">
        <f>(K91+K92)*$D$96/CurrencyMultiplier</f>
        <v>0</v>
      </c>
      <c r="L96" s="4055">
        <f>(L91+L92)*$D$96/CurrencyMultiplier</f>
        <v>0</v>
      </c>
      <c r="M96" s="4055">
        <f>(M91+M92)*$D$96/CurrencyMultiplier</f>
        <v>0</v>
      </c>
      <c r="N96" s="4055">
        <f>(N91+N92)*$D$96/CurrencyMultiplier</f>
        <v>0</v>
      </c>
      <c r="O96" s="4055">
        <f>(O91+O92)*$D$96/CurrencyMultiplier</f>
        <v>0</v>
      </c>
      <c r="P96" s="3726">
        <f>SUM(E96:O96)</f>
        <v>0</v>
      </c>
    </row>
    <row r="97" spans="1:18" hidden="1" outlineLevel="1" x14ac:dyDescent="0.25">
      <c r="E97" s="4062"/>
      <c r="F97" s="4062"/>
      <c r="G97" s="4062"/>
      <c r="H97" s="4062"/>
      <c r="I97" s="4062"/>
      <c r="J97" s="4062"/>
      <c r="K97" s="4062"/>
      <c r="L97" s="4062"/>
      <c r="M97" s="4062"/>
      <c r="N97" s="4062"/>
      <c r="O97" s="4062"/>
    </row>
    <row r="98" spans="1:18" hidden="1" outlineLevel="1" x14ac:dyDescent="0.25"/>
    <row r="99" spans="1:18" collapsed="1" x14ac:dyDescent="0.25">
      <c r="A99" s="11" t="s">
        <v>8</v>
      </c>
      <c r="B99" s="906" t="s">
        <v>2446</v>
      </c>
      <c r="C99" s="907"/>
      <c r="E99" s="24"/>
      <c r="F99" s="24"/>
      <c r="G99" s="24"/>
      <c r="H99" s="24"/>
      <c r="I99" s="24"/>
      <c r="J99" s="24"/>
      <c r="K99" s="24"/>
      <c r="L99" s="24"/>
      <c r="M99" s="24"/>
      <c r="N99" s="24"/>
      <c r="O99" s="24"/>
    </row>
    <row r="100" spans="1:18" hidden="1" outlineLevel="1" x14ac:dyDescent="0.25">
      <c r="B100" s="13" t="s">
        <v>3</v>
      </c>
      <c r="C100" s="13" t="s">
        <v>4</v>
      </c>
      <c r="D100" s="2480" t="s">
        <v>33</v>
      </c>
      <c r="E100" s="13">
        <f>'WS calcu'!E$3</f>
        <v>2014</v>
      </c>
      <c r="F100" s="13">
        <f>'WS calcu'!F$3</f>
        <v>2015</v>
      </c>
      <c r="G100" s="13">
        <f>'WS calcu'!G$3</f>
        <v>2016</v>
      </c>
      <c r="H100" s="13">
        <f>'WS calcu'!H$3</f>
        <v>2017</v>
      </c>
      <c r="I100" s="13">
        <f>'WS calcu'!I$3</f>
        <v>2018</v>
      </c>
      <c r="J100" s="13">
        <f>'WS calcu'!J$3</f>
        <v>2019</v>
      </c>
      <c r="K100" s="13">
        <f>'WS calcu'!K$3</f>
        <v>2020</v>
      </c>
      <c r="L100" s="13">
        <f>'WS calcu'!L$3</f>
        <v>2021</v>
      </c>
      <c r="M100" s="13">
        <f>'WS calcu'!M$3</f>
        <v>2022</v>
      </c>
      <c r="N100" s="13">
        <f>'WS calcu'!N$3</f>
        <v>2023</v>
      </c>
      <c r="O100" s="13">
        <f>'WS calcu'!O$3</f>
        <v>2024</v>
      </c>
    </row>
    <row r="101" spans="1:18" s="56" customFormat="1" hidden="1" outlineLevel="1" x14ac:dyDescent="0.25">
      <c r="A101"/>
      <c r="B101" s="4063"/>
      <c r="C101" s="4064" t="s">
        <v>2958</v>
      </c>
      <c r="D101" s="4065"/>
      <c r="E101" s="4066"/>
      <c r="F101" s="4066"/>
      <c r="G101" s="4066"/>
      <c r="H101" s="4066"/>
      <c r="I101" s="4066"/>
      <c r="J101" s="4066"/>
      <c r="K101" s="4066"/>
      <c r="L101" s="4066"/>
      <c r="M101" s="4066"/>
      <c r="N101" s="4066"/>
      <c r="O101" s="4067"/>
      <c r="Q101" s="3990"/>
      <c r="R101" s="27"/>
    </row>
    <row r="102" spans="1:18" s="82" customFormat="1" hidden="1" outlineLevel="1" x14ac:dyDescent="0.25">
      <c r="B102" s="3957"/>
      <c r="C102" s="47" t="s">
        <v>2959</v>
      </c>
      <c r="D102" s="2506"/>
      <c r="E102" s="2058"/>
      <c r="F102" s="2058"/>
      <c r="G102" s="2058"/>
      <c r="H102" s="2058"/>
      <c r="I102" s="2058"/>
      <c r="J102" s="2058"/>
      <c r="K102" s="2058"/>
      <c r="L102" s="2058"/>
      <c r="M102" s="2058"/>
      <c r="N102" s="2058"/>
      <c r="O102" s="4068"/>
      <c r="Q102" s="3991"/>
      <c r="R102" s="27"/>
    </row>
    <row r="103" spans="1:18" s="82" customFormat="1" hidden="1" outlineLevel="1" x14ac:dyDescent="0.25">
      <c r="B103" s="3957"/>
      <c r="C103" s="2056" t="s">
        <v>2431</v>
      </c>
      <c r="D103" s="2506">
        <f>'WW Plan'!G116</f>
        <v>0</v>
      </c>
      <c r="E103" s="2058">
        <f t="shared" ref="E103:O103" si="36">IF(E27&gt;0,$D$103*($D$29/COUNTIF($E$27:$O$27,"&gt;0")),0)+IF(E39&gt;0,$D$103*($D$39/COUNTIF($E$39:$O$39,"&gt;0")),0)+IF(E53&gt;0,$D$103*($D$53/COUNTIF($E$53:$O$53,"&gt;0")),0)</f>
        <v>0</v>
      </c>
      <c r="F103" s="2058">
        <f t="shared" si="36"/>
        <v>0</v>
      </c>
      <c r="G103" s="2058">
        <f t="shared" si="36"/>
        <v>0</v>
      </c>
      <c r="H103" s="2058">
        <f t="shared" si="36"/>
        <v>0</v>
      </c>
      <c r="I103" s="2058">
        <f t="shared" si="36"/>
        <v>0</v>
      </c>
      <c r="J103" s="2058">
        <f t="shared" si="36"/>
        <v>0</v>
      </c>
      <c r="K103" s="2058">
        <f t="shared" si="36"/>
        <v>0</v>
      </c>
      <c r="L103" s="2058">
        <f t="shared" si="36"/>
        <v>0</v>
      </c>
      <c r="M103" s="2058">
        <f t="shared" si="36"/>
        <v>0</v>
      </c>
      <c r="N103" s="2058">
        <f t="shared" si="36"/>
        <v>0</v>
      </c>
      <c r="O103" s="4068">
        <f t="shared" si="36"/>
        <v>0</v>
      </c>
      <c r="Q103" s="3991"/>
      <c r="R103" s="27"/>
    </row>
    <row r="104" spans="1:18" s="82" customFormat="1" hidden="1" outlineLevel="1" x14ac:dyDescent="0.25">
      <c r="B104" s="3957"/>
      <c r="C104" s="2056" t="s">
        <v>2432</v>
      </c>
      <c r="D104" s="2506">
        <f>'WW Plan'!H116</f>
        <v>0</v>
      </c>
      <c r="E104" s="2058">
        <f t="shared" ref="E104:O104" si="37">IF(E28&gt;0,$D$104*($D$30/COUNTIF($E$28:$O$28,"&gt;0")),0)+IF(E40&gt;0,$D$104*($D$40/COUNTIF($E$40:$O$40,"&gt;0")),0)+IF(E54&gt;0,$D$104*($D$54/COUNTIF($E$54:$O$54,"&gt;0")),0)</f>
        <v>0</v>
      </c>
      <c r="F104" s="2058">
        <f t="shared" si="37"/>
        <v>0</v>
      </c>
      <c r="G104" s="2058">
        <f t="shared" si="37"/>
        <v>0</v>
      </c>
      <c r="H104" s="2058">
        <f t="shared" si="37"/>
        <v>0</v>
      </c>
      <c r="I104" s="2058">
        <f t="shared" si="37"/>
        <v>0</v>
      </c>
      <c r="J104" s="2058">
        <f t="shared" si="37"/>
        <v>0</v>
      </c>
      <c r="K104" s="2058">
        <f t="shared" si="37"/>
        <v>0</v>
      </c>
      <c r="L104" s="2058">
        <f t="shared" si="37"/>
        <v>0</v>
      </c>
      <c r="M104" s="2058">
        <f t="shared" si="37"/>
        <v>0</v>
      </c>
      <c r="N104" s="2058">
        <f t="shared" si="37"/>
        <v>0</v>
      </c>
      <c r="O104" s="4068">
        <f t="shared" si="37"/>
        <v>0</v>
      </c>
      <c r="Q104" s="3991"/>
      <c r="R104" s="27"/>
    </row>
    <row r="105" spans="1:18" s="82" customFormat="1" hidden="1" outlineLevel="1" x14ac:dyDescent="0.25">
      <c r="B105" s="3957"/>
      <c r="C105" s="47" t="s">
        <v>2960</v>
      </c>
      <c r="D105" s="2506"/>
      <c r="E105" s="2058"/>
      <c r="F105" s="2058"/>
      <c r="G105" s="2058"/>
      <c r="H105" s="2058"/>
      <c r="I105" s="2058"/>
      <c r="J105" s="2058"/>
      <c r="K105" s="2058"/>
      <c r="L105" s="2058"/>
      <c r="M105" s="2058"/>
      <c r="N105" s="2058"/>
      <c r="O105" s="4068"/>
      <c r="Q105" s="3991"/>
      <c r="R105" s="27"/>
    </row>
    <row r="106" spans="1:18" s="3991" customFormat="1" hidden="1" outlineLevel="1" x14ac:dyDescent="0.25">
      <c r="B106" s="4069"/>
      <c r="C106" s="5167" t="s">
        <v>2431</v>
      </c>
      <c r="D106" s="2506">
        <f>'WW Plan'!G142</f>
        <v>0</v>
      </c>
      <c r="E106" s="2350">
        <f t="shared" ref="E106:O106" si="38">IF(E75&gt;0,$D$106*($D$77/COUNTIF($E$75:$O$75,"&gt;0")),0)+IF(E83&gt;0,$D$106*($D$85/COUNTIF($E$83:$O$83,"&gt;0")),0)+IF(E91&gt;0,$D$106*($D$93/COUNTIF($E$91:$O$91,"&gt;0")),0)</f>
        <v>0</v>
      </c>
      <c r="F106" s="2350">
        <f t="shared" si="38"/>
        <v>0</v>
      </c>
      <c r="G106" s="2350">
        <f t="shared" si="38"/>
        <v>0</v>
      </c>
      <c r="H106" s="2350">
        <f t="shared" si="38"/>
        <v>0</v>
      </c>
      <c r="I106" s="2350">
        <f t="shared" si="38"/>
        <v>0</v>
      </c>
      <c r="J106" s="2350">
        <f t="shared" si="38"/>
        <v>0</v>
      </c>
      <c r="K106" s="2350">
        <f t="shared" si="38"/>
        <v>0</v>
      </c>
      <c r="L106" s="2350">
        <f t="shared" si="38"/>
        <v>0</v>
      </c>
      <c r="M106" s="2350">
        <f t="shared" si="38"/>
        <v>0</v>
      </c>
      <c r="N106" s="2350">
        <f t="shared" si="38"/>
        <v>0</v>
      </c>
      <c r="O106" s="1495">
        <f t="shared" si="38"/>
        <v>0</v>
      </c>
    </row>
    <row r="107" spans="1:18" s="3991" customFormat="1" hidden="1" outlineLevel="1" x14ac:dyDescent="0.25">
      <c r="B107" s="4069"/>
      <c r="C107" s="5167" t="s">
        <v>2432</v>
      </c>
      <c r="D107" s="2506">
        <f>'WW Plan'!H142</f>
        <v>0</v>
      </c>
      <c r="E107" s="2350">
        <f t="shared" ref="E107:O107" si="39">IF(E76&gt;0,$D$107*($D$78/COUNTIF($E$76:$O$76,"&gt;0")),0)+IF(E84&gt;0,$D$107*($D$86/COUNTIF($E$84:$O$84,"&gt;0")),0)+IF(E92&gt;0,$D$107*($D$94/COUNTIF($E$92:$O$92,"&gt;0")),0)</f>
        <v>0</v>
      </c>
      <c r="F107" s="2350">
        <f t="shared" si="39"/>
        <v>0</v>
      </c>
      <c r="G107" s="2350">
        <f t="shared" si="39"/>
        <v>0</v>
      </c>
      <c r="H107" s="2350">
        <f t="shared" si="39"/>
        <v>0</v>
      </c>
      <c r="I107" s="2350">
        <f t="shared" si="39"/>
        <v>0</v>
      </c>
      <c r="J107" s="2350">
        <f t="shared" si="39"/>
        <v>0</v>
      </c>
      <c r="K107" s="2350">
        <f t="shared" si="39"/>
        <v>0</v>
      </c>
      <c r="L107" s="2350">
        <f t="shared" si="39"/>
        <v>0</v>
      </c>
      <c r="M107" s="2350">
        <f t="shared" si="39"/>
        <v>0</v>
      </c>
      <c r="N107" s="2350">
        <f t="shared" si="39"/>
        <v>0</v>
      </c>
      <c r="O107" s="1495">
        <f t="shared" si="39"/>
        <v>0</v>
      </c>
    </row>
    <row r="108" spans="1:18" s="82" customFormat="1" hidden="1" outlineLevel="1" x14ac:dyDescent="0.25">
      <c r="B108" s="3957"/>
      <c r="C108" s="47" t="s">
        <v>16</v>
      </c>
      <c r="D108" s="5168"/>
      <c r="E108" s="2350"/>
      <c r="F108" s="2350"/>
      <c r="G108" s="2350"/>
      <c r="H108" s="2350"/>
      <c r="I108" s="2350"/>
      <c r="J108" s="2350"/>
      <c r="K108" s="2350"/>
      <c r="L108" s="2350"/>
      <c r="M108" s="2350"/>
      <c r="N108" s="2350"/>
      <c r="O108" s="1495"/>
      <c r="Q108" s="3991"/>
      <c r="R108" s="27"/>
    </row>
    <row r="109" spans="1:18" s="82" customFormat="1" hidden="1" outlineLevel="1" x14ac:dyDescent="0.25">
      <c r="B109" s="3957"/>
      <c r="C109" s="5167" t="s">
        <v>2422</v>
      </c>
      <c r="D109" s="5168"/>
      <c r="E109" s="2350">
        <f>E103+E106</f>
        <v>0</v>
      </c>
      <c r="F109" s="2350">
        <f t="shared" ref="F109:O109" si="40">F103+F106</f>
        <v>0</v>
      </c>
      <c r="G109" s="2350">
        <f t="shared" si="40"/>
        <v>0</v>
      </c>
      <c r="H109" s="2350">
        <f t="shared" si="40"/>
        <v>0</v>
      </c>
      <c r="I109" s="2350">
        <f t="shared" si="40"/>
        <v>0</v>
      </c>
      <c r="J109" s="2350">
        <f t="shared" si="40"/>
        <v>0</v>
      </c>
      <c r="K109" s="2350">
        <f t="shared" si="40"/>
        <v>0</v>
      </c>
      <c r="L109" s="2350">
        <f t="shared" si="40"/>
        <v>0</v>
      </c>
      <c r="M109" s="2350">
        <f t="shared" si="40"/>
        <v>0</v>
      </c>
      <c r="N109" s="2350">
        <f t="shared" si="40"/>
        <v>0</v>
      </c>
      <c r="O109" s="1495">
        <f t="shared" si="40"/>
        <v>0</v>
      </c>
      <c r="Q109" s="3991"/>
    </row>
    <row r="110" spans="1:18" s="82" customFormat="1" hidden="1" outlineLevel="1" x14ac:dyDescent="0.25">
      <c r="B110" s="2455"/>
      <c r="C110" s="5169" t="s">
        <v>27</v>
      </c>
      <c r="D110" s="5170"/>
      <c r="E110" s="5171">
        <f>E104+E107</f>
        <v>0</v>
      </c>
      <c r="F110" s="5171">
        <f t="shared" ref="F110:O110" si="41">F104+F107</f>
        <v>0</v>
      </c>
      <c r="G110" s="5171">
        <f t="shared" si="41"/>
        <v>0</v>
      </c>
      <c r="H110" s="5171">
        <f t="shared" si="41"/>
        <v>0</v>
      </c>
      <c r="I110" s="5171">
        <f t="shared" si="41"/>
        <v>0</v>
      </c>
      <c r="J110" s="5171">
        <f t="shared" si="41"/>
        <v>0</v>
      </c>
      <c r="K110" s="5171">
        <f t="shared" si="41"/>
        <v>0</v>
      </c>
      <c r="L110" s="5171">
        <f t="shared" si="41"/>
        <v>0</v>
      </c>
      <c r="M110" s="5171">
        <f t="shared" si="41"/>
        <v>0</v>
      </c>
      <c r="N110" s="5171">
        <f t="shared" si="41"/>
        <v>0</v>
      </c>
      <c r="O110" s="5172">
        <f t="shared" si="41"/>
        <v>0</v>
      </c>
      <c r="Q110" s="3991"/>
    </row>
    <row r="111" spans="1:18" s="82" customFormat="1" hidden="1" outlineLevel="1" x14ac:dyDescent="0.25">
      <c r="C111" s="2056"/>
      <c r="D111" s="2506"/>
      <c r="E111" s="2058"/>
      <c r="F111" s="2058"/>
      <c r="G111" s="2058"/>
      <c r="H111" s="2058"/>
      <c r="I111" s="2058"/>
      <c r="J111" s="2058"/>
      <c r="K111" s="2058"/>
      <c r="L111" s="2058"/>
      <c r="M111" s="2058"/>
      <c r="N111" s="2058"/>
      <c r="O111" s="2058"/>
      <c r="Q111" s="3991"/>
    </row>
    <row r="112" spans="1:18" s="56" customFormat="1" hidden="1" outlineLevel="1" x14ac:dyDescent="0.25">
      <c r="A112"/>
      <c r="B112" s="1913"/>
      <c r="C112" s="1914" t="s">
        <v>2816</v>
      </c>
      <c r="D112" s="2505"/>
      <c r="E112" s="1915"/>
      <c r="F112" s="1915"/>
      <c r="G112" s="1915"/>
      <c r="H112" s="1915"/>
      <c r="I112" s="1915"/>
      <c r="J112" s="1915"/>
      <c r="K112" s="1915"/>
      <c r="L112" s="1915"/>
      <c r="M112" s="1915"/>
      <c r="N112" s="1915"/>
      <c r="O112" s="1915"/>
      <c r="Q112" s="3990"/>
      <c r="R112" s="3985"/>
    </row>
    <row r="113" spans="1:25" s="82" customFormat="1" hidden="1" outlineLevel="1" x14ac:dyDescent="0.25">
      <c r="C113" s="2477" t="s">
        <v>1297</v>
      </c>
      <c r="D113" s="2507">
        <f>'WSS Profile'!F294</f>
        <v>46</v>
      </c>
      <c r="E113" s="1129"/>
      <c r="F113" s="1129"/>
      <c r="G113" s="1129"/>
      <c r="H113" s="1129"/>
      <c r="I113" s="1129"/>
      <c r="J113" s="1129"/>
      <c r="K113" s="1129"/>
      <c r="L113" s="1129"/>
      <c r="M113" s="1129"/>
      <c r="N113" s="1129"/>
      <c r="O113" s="1129"/>
      <c r="Q113" s="3991"/>
      <c r="R113" s="3985"/>
    </row>
    <row r="114" spans="1:25" s="170" customFormat="1" hidden="1" outlineLevel="1" x14ac:dyDescent="0.25">
      <c r="B114" s="2461"/>
      <c r="C114" s="2462" t="s">
        <v>2806</v>
      </c>
      <c r="D114" s="2508"/>
      <c r="E114" s="2463">
        <f>'WSS Profile'!F297</f>
        <v>10</v>
      </c>
      <c r="F114" s="2463">
        <f>IF(AND('WW Plan'!$E$57="Activate",F100&gt;='WW Plan'!$G$58,F100&lt;'WW Plan'!$H$58+1),'WW calcu'!E114-($E$114-'WW Plan'!$G$63)/('WW Plan'!$H$58+1-'WW Plan'!$G$58),E114)</f>
        <v>10</v>
      </c>
      <c r="G114" s="2463">
        <f>IF(AND('WW Plan'!$E$57="Activate",G100&gt;='WW Plan'!$G$58,G100&lt;'WW Plan'!$H$58+1),'WW calcu'!F114-($E$114-'WW Plan'!$G$63)/('WW Plan'!$H$58+1-'WW Plan'!$G$58),F114)</f>
        <v>10</v>
      </c>
      <c r="H114" s="2463">
        <f>IF(AND('WW Plan'!$E$57="Activate",H100&gt;='WW Plan'!$G$58,H100&lt;'WW Plan'!$H$58+1),'WW calcu'!G114-($E$114-'WW Plan'!$G$63)/('WW Plan'!$H$58+1-'WW Plan'!$G$58),G114)</f>
        <v>10</v>
      </c>
      <c r="I114" s="2463">
        <f>IF(AND('WW Plan'!$E$57="Activate",I100&gt;='WW Plan'!$G$58,I100&lt;'WW Plan'!$H$58+1),'WW calcu'!H114-($E$114-'WW Plan'!$G$63)/('WW Plan'!$H$58+1-'WW Plan'!$G$58),H114)</f>
        <v>10</v>
      </c>
      <c r="J114" s="2463">
        <f>IF(AND('WW Plan'!$E$57="Activate",J100&gt;='WW Plan'!$G$58,J100&lt;'WW Plan'!$H$58+1),'WW calcu'!I114-($E$114-'WW Plan'!$G$63)/('WW Plan'!$H$58+1-'WW Plan'!$G$58),I114)</f>
        <v>10</v>
      </c>
      <c r="K114" s="2463">
        <f>IF(AND('WW Plan'!$E$57="Activate",K100&gt;='WW Plan'!$G$58,K100&lt;'WW Plan'!$H$58+1),'WW calcu'!J114-($E$114-'WW Plan'!$G$63)/('WW Plan'!$H$58+1-'WW Plan'!$G$58),J114)</f>
        <v>10</v>
      </c>
      <c r="L114" s="2463">
        <f>IF(AND('WW Plan'!$E$57="Activate",L100&gt;='WW Plan'!$G$58,L100&lt;'WW Plan'!$H$58+1),'WW calcu'!K114-($E$114-'WW Plan'!$G$63)/('WW Plan'!$H$58+1-'WW Plan'!$G$58),K114)</f>
        <v>10</v>
      </c>
      <c r="M114" s="2463">
        <f>IF(AND('WW Plan'!$E$57="Activate",M100&gt;='WW Plan'!$G$58,M100&lt;'WW Plan'!$H$58+1),'WW calcu'!L114-($E$114-'WW Plan'!$G$63)/('WW Plan'!$H$58+1-'WW Plan'!$G$58),L114)</f>
        <v>10</v>
      </c>
      <c r="N114" s="2463">
        <f>IF(AND('WW Plan'!$E$57="Activate",N100&gt;='WW Plan'!$G$58,N100&lt;'WW Plan'!$H$58+1),'WW calcu'!M114-($E$114-'WW Plan'!$G$63)/('WW Plan'!$H$58+1-'WW Plan'!$G$58),M114)</f>
        <v>10</v>
      </c>
      <c r="O114" s="2464">
        <f>IF(AND('WW Plan'!$E$57="Activate",O100&gt;='WW Plan'!$G$58,O100&lt;'WW Plan'!$H$58+1),'WW calcu'!N114-($E$114-'WW Plan'!$G$63)/('WW Plan'!$H$58+1-'WW Plan'!$G$58),N114)</f>
        <v>10</v>
      </c>
      <c r="Q114" s="3987"/>
      <c r="R114" s="82"/>
    </row>
    <row r="115" spans="1:25" s="170" customFormat="1" hidden="1" outlineLevel="1" x14ac:dyDescent="0.25">
      <c r="B115" s="2376"/>
      <c r="C115" s="2417" t="s">
        <v>2812</v>
      </c>
      <c r="D115" s="2509"/>
      <c r="E115" s="2456"/>
      <c r="F115" s="2456"/>
      <c r="G115" s="2456"/>
      <c r="H115" s="2456"/>
      <c r="I115" s="2456"/>
      <c r="J115" s="2456"/>
      <c r="K115" s="2456"/>
      <c r="L115" s="2456"/>
      <c r="M115" s="2456"/>
      <c r="N115" s="2456"/>
      <c r="O115" s="2467"/>
      <c r="Q115" s="3987"/>
      <c r="R115" s="3985"/>
    </row>
    <row r="116" spans="1:25" s="2411" customFormat="1" hidden="1" outlineLevel="1" x14ac:dyDescent="0.25">
      <c r="B116" s="2130"/>
      <c r="C116" s="2182" t="s">
        <v>2794</v>
      </c>
      <c r="D116" s="2510">
        <f>$D$113-E120</f>
        <v>8.1818181818181799</v>
      </c>
      <c r="E116" s="119">
        <f>IFERROR(E117/$D$120,0)</f>
        <v>8.1818181818181817</v>
      </c>
      <c r="F116" s="119">
        <f>IFERROR(F117/$D$120,0)</f>
        <v>5.4545454545454541</v>
      </c>
      <c r="G116" s="119">
        <f>IFERROR(G117/$D$120,0)</f>
        <v>2.7272727272727271</v>
      </c>
      <c r="H116" s="119">
        <f t="shared" ref="H116:O116" si="42">IFERROR(H117/$D$120,0)</f>
        <v>0</v>
      </c>
      <c r="I116" s="119">
        <f t="shared" si="42"/>
        <v>0</v>
      </c>
      <c r="J116" s="119">
        <f t="shared" si="42"/>
        <v>0</v>
      </c>
      <c r="K116" s="119">
        <f t="shared" si="42"/>
        <v>0</v>
      </c>
      <c r="L116" s="119">
        <f t="shared" si="42"/>
        <v>0</v>
      </c>
      <c r="M116" s="119">
        <f t="shared" si="42"/>
        <v>0</v>
      </c>
      <c r="N116" s="119">
        <f t="shared" si="42"/>
        <v>0</v>
      </c>
      <c r="O116" s="2276">
        <f t="shared" si="42"/>
        <v>0</v>
      </c>
      <c r="P116" s="2410"/>
      <c r="Q116" s="3992"/>
      <c r="R116" s="3985"/>
      <c r="S116" s="2410"/>
      <c r="T116" s="2410"/>
      <c r="U116" s="2410"/>
      <c r="V116" s="2410"/>
      <c r="W116" s="2410"/>
      <c r="X116" s="2410"/>
      <c r="Y116" s="2410"/>
    </row>
    <row r="117" spans="1:25" s="52" customFormat="1" hidden="1" outlineLevel="1" x14ac:dyDescent="0.25">
      <c r="A117" s="143"/>
      <c r="B117" s="624"/>
      <c r="C117" s="2182" t="s">
        <v>2809</v>
      </c>
      <c r="D117" s="2511"/>
      <c r="E117" s="125">
        <f>'WSS Profile'!$F$296</f>
        <v>45</v>
      </c>
      <c r="F117" s="2457">
        <f>E117-(IF(AND(F100&gt;='WW Plan'!$G$58,F100&lt;'WW Plan'!$H$58+1),'WW Plan'!$G$62/('WW Plan'!$H$58+1-'WW Plan'!$G$58),0)*IF('WW Plan'!$E$57="Activate",1,0))</f>
        <v>30</v>
      </c>
      <c r="G117" s="2457">
        <f>F117-(IF(AND(G100&gt;='WW Plan'!$G$58,G100&lt;'WW Plan'!$H$58+1),'WW Plan'!$G$62/('WW Plan'!$H$58+1-'WW Plan'!$G$58),0)*IF('WW Plan'!$E$57="Activate",1,0))</f>
        <v>15</v>
      </c>
      <c r="H117" s="2457">
        <f>G117-(IF(AND(H100&gt;='WW Plan'!$G$58,H100&lt;'WW Plan'!$H$58+1),'WW Plan'!$G$62/('WW Plan'!$H$58+1-'WW Plan'!$G$58),0)*IF('WW Plan'!$E$57="Activate",1,0))</f>
        <v>0</v>
      </c>
      <c r="I117" s="2457">
        <f>H117-(IF(AND(I100&gt;='WW Plan'!$G$58,I100&lt;'WW Plan'!$H$58+1),'WW Plan'!$G$62/('WW Plan'!$H$58+1-'WW Plan'!$G$58),0)*IF('WW Plan'!$E$57="Activate",1,0))</f>
        <v>0</v>
      </c>
      <c r="J117" s="2457">
        <f>I117-(IF(AND(J100&gt;='WW Plan'!$G$58,J100&lt;'WW Plan'!$H$58+1),'WW Plan'!$G$62/('WW Plan'!$H$58+1-'WW Plan'!$G$58),0)*IF('WW Plan'!$E$57="Activate",1,0))</f>
        <v>0</v>
      </c>
      <c r="K117" s="2457">
        <f>J117-(IF(AND(K100&gt;='WW Plan'!$G$58,K100&lt;'WW Plan'!$H$58+1),'WW Plan'!$G$62/('WW Plan'!$H$58+1-'WW Plan'!$G$58),0)*IF('WW Plan'!$E$57="Activate",1,0))</f>
        <v>0</v>
      </c>
      <c r="L117" s="2457">
        <f>K117-(IF(AND(L100&gt;='WW Plan'!$G$58,L100&lt;'WW Plan'!$H$58+1),'WW Plan'!$G$62/('WW Plan'!$H$58+1-'WW Plan'!$G$58),0)*IF('WW Plan'!$E$57="Activate",1,0))</f>
        <v>0</v>
      </c>
      <c r="M117" s="2457">
        <f>L117-(IF(AND(M100&gt;='WW Plan'!$G$58,M100&lt;'WW Plan'!$H$58+1),'WW Plan'!$G$62/('WW Plan'!$H$58+1-'WW Plan'!$G$58),0)*IF('WW Plan'!$E$57="Activate",1,0))</f>
        <v>0</v>
      </c>
      <c r="N117" s="2457">
        <f>M117-(IF(AND(N100&gt;='WW Plan'!$G$58,N100&lt;'WW Plan'!$H$58+1),'WW Plan'!$G$62/('WW Plan'!$H$58+1-'WW Plan'!$G$58),0)*IF('WW Plan'!$E$57="Activate",1,0))</f>
        <v>0</v>
      </c>
      <c r="O117" s="2458">
        <f>N117-(IF(AND(O100&gt;='WW Plan'!$G$58,O100&lt;'WW Plan'!$H$58+1),'WW Plan'!$G$62/('WW Plan'!$H$58+1-'WW Plan'!$G$58),0)*IF('WW Plan'!$E$57="Activate",1,0))</f>
        <v>0</v>
      </c>
      <c r="Q117" s="3987"/>
      <c r="R117" s="82"/>
    </row>
    <row r="118" spans="1:25" s="2411" customFormat="1" hidden="1" outlineLevel="1" x14ac:dyDescent="0.25">
      <c r="B118" s="2130"/>
      <c r="C118" s="2182" t="s">
        <v>2795</v>
      </c>
      <c r="D118" s="2510">
        <f>MIN(D116,E526)</f>
        <v>0</v>
      </c>
      <c r="E118" s="2267">
        <f t="shared" ref="E118:O118" si="43">$D$118-(E527-($E$122-E122))</f>
        <v>0</v>
      </c>
      <c r="F118" s="2267">
        <f t="shared" si="43"/>
        <v>-15.333333333333343</v>
      </c>
      <c r="G118" s="2267">
        <f t="shared" si="43"/>
        <v>-30.666666666666686</v>
      </c>
      <c r="H118" s="2267">
        <f t="shared" si="43"/>
        <v>-46.000000000000014</v>
      </c>
      <c r="I118" s="2267">
        <f t="shared" si="43"/>
        <v>-46.000000000000014</v>
      </c>
      <c r="J118" s="2267">
        <f t="shared" si="43"/>
        <v>-46.000000000000014</v>
      </c>
      <c r="K118" s="2267">
        <f t="shared" si="43"/>
        <v>-46.000000000000014</v>
      </c>
      <c r="L118" s="2267">
        <f t="shared" si="43"/>
        <v>-46.000000000000014</v>
      </c>
      <c r="M118" s="2267">
        <f t="shared" si="43"/>
        <v>-46.000000000000014</v>
      </c>
      <c r="N118" s="2267">
        <f t="shared" si="43"/>
        <v>-46.000000000000014</v>
      </c>
      <c r="O118" s="2468">
        <f t="shared" si="43"/>
        <v>-46.000000000000014</v>
      </c>
      <c r="P118" s="2410"/>
      <c r="Q118" s="3992"/>
      <c r="R118" s="3985"/>
      <c r="S118" s="2410"/>
      <c r="T118" s="2410"/>
      <c r="U118" s="2410"/>
      <c r="V118" s="2410"/>
      <c r="W118" s="2410"/>
      <c r="X118" s="2410"/>
      <c r="Y118" s="2410"/>
    </row>
    <row r="119" spans="1:25" s="52" customFormat="1" hidden="1" outlineLevel="1" x14ac:dyDescent="0.25">
      <c r="A119" s="143"/>
      <c r="B119" s="2469"/>
      <c r="C119" s="2478" t="s">
        <v>2813</v>
      </c>
      <c r="D119" s="2512"/>
      <c r="E119" s="2470"/>
      <c r="F119" s="2471"/>
      <c r="G119" s="2471"/>
      <c r="H119" s="2471"/>
      <c r="I119" s="2471"/>
      <c r="J119" s="2471"/>
      <c r="K119" s="2471"/>
      <c r="L119" s="2471"/>
      <c r="M119" s="2471"/>
      <c r="N119" s="2471"/>
      <c r="O119" s="2472"/>
      <c r="Q119" s="3987"/>
      <c r="R119" s="3985"/>
    </row>
    <row r="120" spans="1:25" s="52" customFormat="1" hidden="1" outlineLevel="1" x14ac:dyDescent="0.25">
      <c r="B120" s="622"/>
      <c r="C120" s="2182" t="s">
        <v>2811</v>
      </c>
      <c r="D120" s="2513">
        <f>IFERROR('WSS Profile'!F295/'WSS Profile'!F294,0)</f>
        <v>5.5</v>
      </c>
      <c r="E120" s="125">
        <f>IFERROR(E121/$D$120,0)</f>
        <v>37.81818181818182</v>
      </c>
      <c r="F120" s="125">
        <f>IFERROR(F121/$D$120,0)</f>
        <v>40.545454545454547</v>
      </c>
      <c r="G120" s="125">
        <f t="shared" ref="G120:O120" si="44">IFERROR(G121/$D$120,0)</f>
        <v>43.272727272727273</v>
      </c>
      <c r="H120" s="125">
        <f t="shared" si="44"/>
        <v>46</v>
      </c>
      <c r="I120" s="125">
        <f t="shared" si="44"/>
        <v>46</v>
      </c>
      <c r="J120" s="125">
        <f t="shared" si="44"/>
        <v>46</v>
      </c>
      <c r="K120" s="125">
        <f t="shared" si="44"/>
        <v>46</v>
      </c>
      <c r="L120" s="125">
        <f t="shared" si="44"/>
        <v>46</v>
      </c>
      <c r="M120" s="125">
        <f t="shared" si="44"/>
        <v>46</v>
      </c>
      <c r="N120" s="125">
        <f t="shared" si="44"/>
        <v>46</v>
      </c>
      <c r="O120" s="2327">
        <f t="shared" si="44"/>
        <v>46</v>
      </c>
      <c r="Q120" s="3987"/>
      <c r="R120" s="82"/>
    </row>
    <row r="121" spans="1:25" s="52" customFormat="1" hidden="1" outlineLevel="1" x14ac:dyDescent="0.25">
      <c r="B121" s="622"/>
      <c r="C121" s="2182" t="s">
        <v>2810</v>
      </c>
      <c r="D121" s="2514"/>
      <c r="E121" s="125">
        <f>'WSS Profile'!F295-'WSS Profile'!F296</f>
        <v>208</v>
      </c>
      <c r="F121" s="125">
        <f>(E117-F117)+E121</f>
        <v>223</v>
      </c>
      <c r="G121" s="125">
        <f t="shared" ref="G121:O121" si="45">(F117-G117)+F121</f>
        <v>238</v>
      </c>
      <c r="H121" s="125">
        <f t="shared" si="45"/>
        <v>253</v>
      </c>
      <c r="I121" s="125">
        <f t="shared" si="45"/>
        <v>253</v>
      </c>
      <c r="J121" s="125">
        <f t="shared" si="45"/>
        <v>253</v>
      </c>
      <c r="K121" s="125">
        <f t="shared" si="45"/>
        <v>253</v>
      </c>
      <c r="L121" s="125">
        <f t="shared" si="45"/>
        <v>253</v>
      </c>
      <c r="M121" s="125">
        <f t="shared" si="45"/>
        <v>253</v>
      </c>
      <c r="N121" s="125">
        <f t="shared" si="45"/>
        <v>253</v>
      </c>
      <c r="O121" s="2327">
        <f t="shared" si="45"/>
        <v>253</v>
      </c>
      <c r="Q121" s="3987"/>
      <c r="R121" s="3985"/>
    </row>
    <row r="122" spans="1:25" s="2411" customFormat="1" hidden="1" outlineLevel="1" x14ac:dyDescent="0.25">
      <c r="B122" s="2130"/>
      <c r="C122" s="2182" t="s">
        <v>2798</v>
      </c>
      <c r="D122" s="2510">
        <f>E526-D118</f>
        <v>0</v>
      </c>
      <c r="E122" s="2267">
        <f t="shared" ref="E122:O122" si="46">MAX($D$122-E527,0)</f>
        <v>0</v>
      </c>
      <c r="F122" s="2267">
        <f t="shared" si="46"/>
        <v>0</v>
      </c>
      <c r="G122" s="2267">
        <f t="shared" si="46"/>
        <v>0</v>
      </c>
      <c r="H122" s="2267">
        <f t="shared" si="46"/>
        <v>0</v>
      </c>
      <c r="I122" s="2267">
        <f t="shared" si="46"/>
        <v>0</v>
      </c>
      <c r="J122" s="2267">
        <f t="shared" si="46"/>
        <v>0</v>
      </c>
      <c r="K122" s="2267">
        <f t="shared" si="46"/>
        <v>0</v>
      </c>
      <c r="L122" s="2267">
        <f t="shared" si="46"/>
        <v>0</v>
      </c>
      <c r="M122" s="2267">
        <f t="shared" si="46"/>
        <v>0</v>
      </c>
      <c r="N122" s="2267">
        <f t="shared" si="46"/>
        <v>0</v>
      </c>
      <c r="O122" s="2468">
        <f t="shared" si="46"/>
        <v>0</v>
      </c>
      <c r="P122" s="2410"/>
      <c r="Q122" s="3992"/>
      <c r="R122" s="3985"/>
      <c r="S122" s="2410"/>
      <c r="T122" s="2410"/>
      <c r="U122" s="2410"/>
      <c r="V122" s="2410"/>
      <c r="W122" s="2410"/>
      <c r="X122" s="2410"/>
      <c r="Y122" s="2410"/>
    </row>
    <row r="123" spans="1:25" s="2411" customFormat="1" hidden="1" outlineLevel="1" x14ac:dyDescent="0.25">
      <c r="B123" s="2473"/>
      <c r="C123" s="2474" t="s">
        <v>2797</v>
      </c>
      <c r="D123" s="2515">
        <f>E120-D122</f>
        <v>37.81818181818182</v>
      </c>
      <c r="E123" s="2475">
        <f t="shared" ref="E123:O123" si="47">E120-E122</f>
        <v>37.81818181818182</v>
      </c>
      <c r="F123" s="2475">
        <f t="shared" si="47"/>
        <v>40.545454545454547</v>
      </c>
      <c r="G123" s="2475">
        <f t="shared" si="47"/>
        <v>43.272727272727273</v>
      </c>
      <c r="H123" s="2475">
        <f t="shared" si="47"/>
        <v>46</v>
      </c>
      <c r="I123" s="2475">
        <f t="shared" si="47"/>
        <v>46</v>
      </c>
      <c r="J123" s="2475">
        <f t="shared" si="47"/>
        <v>46</v>
      </c>
      <c r="K123" s="2475">
        <f t="shared" si="47"/>
        <v>46</v>
      </c>
      <c r="L123" s="2475">
        <f t="shared" si="47"/>
        <v>46</v>
      </c>
      <c r="M123" s="2475">
        <f t="shared" si="47"/>
        <v>46</v>
      </c>
      <c r="N123" s="2475">
        <f t="shared" si="47"/>
        <v>46</v>
      </c>
      <c r="O123" s="2476">
        <f t="shared" si="47"/>
        <v>46</v>
      </c>
      <c r="P123" s="2410"/>
      <c r="Q123" s="3992"/>
      <c r="R123" s="82"/>
      <c r="S123" s="2410"/>
      <c r="T123" s="2410"/>
      <c r="U123" s="2410"/>
      <c r="V123" s="2410"/>
      <c r="W123" s="2410"/>
      <c r="X123" s="2410"/>
      <c r="Y123" s="2410"/>
    </row>
    <row r="124" spans="1:25" s="2411" customFormat="1" hidden="1" outlineLevel="1" x14ac:dyDescent="0.25">
      <c r="B124" s="2130"/>
      <c r="C124" s="2417" t="s">
        <v>2814</v>
      </c>
      <c r="D124" s="2510"/>
      <c r="E124" s="2267"/>
      <c r="F124" s="2267"/>
      <c r="G124" s="2267"/>
      <c r="H124" s="2267"/>
      <c r="I124" s="2267"/>
      <c r="J124" s="2267"/>
      <c r="K124" s="2267"/>
      <c r="L124" s="2267"/>
      <c r="M124" s="2267"/>
      <c r="N124" s="2267"/>
      <c r="O124" s="2468"/>
      <c r="P124" s="2410"/>
      <c r="Q124" s="3992"/>
      <c r="R124" s="3985"/>
      <c r="S124" s="2410"/>
      <c r="T124" s="2410"/>
      <c r="U124" s="2410"/>
      <c r="V124" s="2410"/>
      <c r="W124" s="2410"/>
      <c r="X124" s="2410"/>
      <c r="Y124" s="2410"/>
    </row>
    <row r="125" spans="1:25" s="170" customFormat="1" hidden="1" outlineLevel="1" x14ac:dyDescent="0.25">
      <c r="B125" s="2376"/>
      <c r="C125" s="2182" t="s">
        <v>2807</v>
      </c>
      <c r="D125" s="2509"/>
      <c r="E125" s="2418">
        <f t="shared" ref="E125:O125" si="48">ROUND(E114*E121,0)</f>
        <v>2080</v>
      </c>
      <c r="F125" s="2465">
        <f t="shared" si="48"/>
        <v>2230</v>
      </c>
      <c r="G125" s="2465">
        <f t="shared" si="48"/>
        <v>2380</v>
      </c>
      <c r="H125" s="2465">
        <f t="shared" si="48"/>
        <v>2530</v>
      </c>
      <c r="I125" s="2465">
        <f t="shared" si="48"/>
        <v>2530</v>
      </c>
      <c r="J125" s="2465">
        <f t="shared" si="48"/>
        <v>2530</v>
      </c>
      <c r="K125" s="2465">
        <f t="shared" si="48"/>
        <v>2530</v>
      </c>
      <c r="L125" s="2465">
        <f t="shared" si="48"/>
        <v>2530</v>
      </c>
      <c r="M125" s="2465">
        <f t="shared" si="48"/>
        <v>2530</v>
      </c>
      <c r="N125" s="2465">
        <f t="shared" si="48"/>
        <v>2530</v>
      </c>
      <c r="O125" s="2466">
        <f t="shared" si="48"/>
        <v>2530</v>
      </c>
      <c r="Q125" s="3987"/>
      <c r="R125" s="3985"/>
    </row>
    <row r="126" spans="1:25" s="733" customFormat="1" hidden="1" outlineLevel="1" x14ac:dyDescent="0.25">
      <c r="B126" s="2459"/>
      <c r="C126" s="436" t="s">
        <v>2808</v>
      </c>
      <c r="D126" s="2516"/>
      <c r="E126" s="154">
        <f>MAX(E125-SUM($E$109:E109),0)</f>
        <v>2080</v>
      </c>
      <c r="F126" s="154">
        <f>MAX(F125-SUM($E$109:F109),0)</f>
        <v>2230</v>
      </c>
      <c r="G126" s="154">
        <f>MAX(G125-SUM($E$109:G109),0)</f>
        <v>2380</v>
      </c>
      <c r="H126" s="154">
        <f>MAX(H125-SUM($E$109:H109),0)</f>
        <v>2530</v>
      </c>
      <c r="I126" s="154">
        <f>MAX(I125-SUM($E$109:I109),0)</f>
        <v>2530</v>
      </c>
      <c r="J126" s="154">
        <f>MAX(J125-SUM($E$109:J109),0)</f>
        <v>2530</v>
      </c>
      <c r="K126" s="154">
        <f>MAX(K125-SUM($E$109:K109),0)</f>
        <v>2530</v>
      </c>
      <c r="L126" s="154">
        <f>MAX(L125-SUM($E$109:L109),0)</f>
        <v>2530</v>
      </c>
      <c r="M126" s="154">
        <f>MAX(M125-SUM($E$109:M109),0)</f>
        <v>2530</v>
      </c>
      <c r="N126" s="154">
        <f>MAX(N125-SUM($E$109:N109),0)</f>
        <v>2530</v>
      </c>
      <c r="O126" s="2460">
        <f>MAX(O125-SUM($E$109:O109),0)</f>
        <v>2530</v>
      </c>
      <c r="Q126" s="3993"/>
      <c r="R126" s="82"/>
    </row>
    <row r="127" spans="1:25" s="170" customFormat="1" hidden="1" outlineLevel="1" x14ac:dyDescent="0.25">
      <c r="B127" s="622"/>
      <c r="C127" s="50" t="s">
        <v>2799</v>
      </c>
      <c r="D127" s="2517"/>
      <c r="E127" s="2100">
        <f>IFERROR(ROUND((E122/(E122+E123))*E126,0),0)</f>
        <v>0</v>
      </c>
      <c r="F127" s="2100">
        <f>IFERROR(ROUND((F122/(F122+F123))*F126,0),0)</f>
        <v>0</v>
      </c>
      <c r="G127" s="2100">
        <f t="shared" ref="G127:O127" si="49">IFERROR(ROUND((G122/(G122+G123))*G126,0),0)</f>
        <v>0</v>
      </c>
      <c r="H127" s="2100">
        <f t="shared" si="49"/>
        <v>0</v>
      </c>
      <c r="I127" s="2100">
        <f t="shared" si="49"/>
        <v>0</v>
      </c>
      <c r="J127" s="2100">
        <f t="shared" si="49"/>
        <v>0</v>
      </c>
      <c r="K127" s="2100">
        <f t="shared" si="49"/>
        <v>0</v>
      </c>
      <c r="L127" s="2100">
        <f t="shared" si="49"/>
        <v>0</v>
      </c>
      <c r="M127" s="2100">
        <f t="shared" si="49"/>
        <v>0</v>
      </c>
      <c r="N127" s="2100">
        <f t="shared" si="49"/>
        <v>0</v>
      </c>
      <c r="O127" s="2101">
        <f t="shared" si="49"/>
        <v>0</v>
      </c>
      <c r="Q127" s="3987"/>
      <c r="R127" s="3985"/>
    </row>
    <row r="128" spans="1:25" s="170" customFormat="1" hidden="1" outlineLevel="1" x14ac:dyDescent="0.25">
      <c r="B128" s="2210"/>
      <c r="C128" s="278" t="s">
        <v>2800</v>
      </c>
      <c r="D128" s="2518"/>
      <c r="E128" s="2104">
        <f>IFERROR(ROUND((E123/(E122+E123))*E126,0),0)</f>
        <v>2080</v>
      </c>
      <c r="F128" s="2104">
        <f>IFERROR(ROUND((F123/(F122+F123))*F126,0),0)</f>
        <v>2230</v>
      </c>
      <c r="G128" s="2104">
        <f t="shared" ref="G128:O128" si="50">IFERROR(ROUND((G123/(G122+G123))*G126,0),0)</f>
        <v>2380</v>
      </c>
      <c r="H128" s="2104">
        <f t="shared" si="50"/>
        <v>2530</v>
      </c>
      <c r="I128" s="2104">
        <f t="shared" si="50"/>
        <v>2530</v>
      </c>
      <c r="J128" s="2104">
        <f t="shared" si="50"/>
        <v>2530</v>
      </c>
      <c r="K128" s="2104">
        <f t="shared" si="50"/>
        <v>2530</v>
      </c>
      <c r="L128" s="2104">
        <f t="shared" si="50"/>
        <v>2530</v>
      </c>
      <c r="M128" s="2104">
        <f t="shared" si="50"/>
        <v>2530</v>
      </c>
      <c r="N128" s="2104">
        <f t="shared" si="50"/>
        <v>2530</v>
      </c>
      <c r="O128" s="2105">
        <f t="shared" si="50"/>
        <v>2530</v>
      </c>
      <c r="Q128" s="3987"/>
      <c r="R128" s="3985"/>
    </row>
    <row r="129" spans="2:18" s="733" customFormat="1" hidden="1" outlineLevel="1" x14ac:dyDescent="0.25">
      <c r="B129" s="189"/>
      <c r="C129" s="436"/>
      <c r="D129" s="2516"/>
      <c r="E129" s="2412"/>
      <c r="F129" s="154"/>
      <c r="G129" s="154"/>
      <c r="H129" s="154"/>
      <c r="I129" s="154"/>
      <c r="J129" s="154"/>
      <c r="K129" s="154"/>
      <c r="L129" s="154"/>
      <c r="M129" s="154"/>
      <c r="N129" s="154"/>
      <c r="O129" s="154"/>
      <c r="Q129" s="3993"/>
      <c r="R129" s="82"/>
    </row>
    <row r="130" spans="2:18" customFormat="1" hidden="1" outlineLevel="1" x14ac:dyDescent="0.25">
      <c r="C130" s="2477" t="s">
        <v>646</v>
      </c>
      <c r="D130" s="2519">
        <f>'WSS Profile'!G294</f>
        <v>2</v>
      </c>
      <c r="E130" s="1152"/>
      <c r="F130" s="1142"/>
      <c r="G130" s="1142"/>
      <c r="H130" s="1142"/>
      <c r="I130" s="1142"/>
      <c r="J130" s="1142"/>
      <c r="K130" s="1142"/>
      <c r="L130" s="1142"/>
      <c r="M130" s="1142"/>
      <c r="N130" s="1142"/>
      <c r="O130" s="1142"/>
      <c r="Q130" s="3994"/>
      <c r="R130" s="3985"/>
    </row>
    <row r="131" spans="2:18" s="170" customFormat="1" hidden="1" outlineLevel="1" x14ac:dyDescent="0.25">
      <c r="B131" s="2461"/>
      <c r="C131" s="2462" t="s">
        <v>1266</v>
      </c>
      <c r="D131" s="2508"/>
      <c r="E131" s="2463">
        <f>'WSS Profile'!G297</f>
        <v>13</v>
      </c>
      <c r="F131" s="2463">
        <f>IF(AND('WW Plan'!$E$57="Activate",F100&gt;='WW Plan'!$G$58,F100&lt;'WW Plan'!$H$58+1),'WW calcu'!E131-($E$131-'WW Plan'!$G$63)/('WW Plan'!$H$58+1-'WW Plan'!$G$58),E131)</f>
        <v>12</v>
      </c>
      <c r="G131" s="2463">
        <f>IF(AND('WW Plan'!$E$57="Activate",G100&gt;='WW Plan'!$G$58,G100&lt;'WW Plan'!$H$58+1),'WW calcu'!F131-($E$131-'WW Plan'!$G$63)/('WW Plan'!$H$58+1-'WW Plan'!$G$58),F131)</f>
        <v>11</v>
      </c>
      <c r="H131" s="2463">
        <f>IF(AND('WW Plan'!$E$57="Activate",H100&gt;='WW Plan'!$G$58,H100&lt;'WW Plan'!$H$58+1),'WW calcu'!G131-($E$131-'WW Plan'!$G$63)/('WW Plan'!$H$58+1-'WW Plan'!$G$58),G131)</f>
        <v>10</v>
      </c>
      <c r="I131" s="2463">
        <f>IF(AND('WW Plan'!$E$57="Activate",I100&gt;='WW Plan'!$G$58,I100&lt;'WW Plan'!$H$58+1),'WW calcu'!H131-($E$131-'WW Plan'!$G$63)/('WW Plan'!$H$58+1-'WW Plan'!$G$58),H131)</f>
        <v>10</v>
      </c>
      <c r="J131" s="2463">
        <f>IF(AND('WW Plan'!$E$57="Activate",J100&gt;='WW Plan'!$G$58,J100&lt;'WW Plan'!$H$58+1),'WW calcu'!I131-($E$131-'WW Plan'!$G$63)/('WW Plan'!$H$58+1-'WW Plan'!$G$58),I131)</f>
        <v>10</v>
      </c>
      <c r="K131" s="2463">
        <f>IF(AND('WW Plan'!$E$57="Activate",K100&gt;='WW Plan'!$G$58,K100&lt;'WW Plan'!$H$58+1),'WW calcu'!J131-($E$131-'WW Plan'!$G$63)/('WW Plan'!$H$58+1-'WW Plan'!$G$58),J131)</f>
        <v>10</v>
      </c>
      <c r="L131" s="2463">
        <f>IF(AND('WW Plan'!$E$57="Activate",L100&gt;='WW Plan'!$G$58,L100&lt;'WW Plan'!$H$58+1),'WW calcu'!K131-($E$131-'WW Plan'!$G$63)/('WW Plan'!$H$58+1-'WW Plan'!$G$58),K131)</f>
        <v>10</v>
      </c>
      <c r="M131" s="2463">
        <f>IF(AND('WW Plan'!$E$57="Activate",M100&gt;='WW Plan'!$G$58,M100&lt;'WW Plan'!$H$58+1),'WW calcu'!L131-($E$131-'WW Plan'!$G$63)/('WW Plan'!$H$58+1-'WW Plan'!$G$58),L131)</f>
        <v>10</v>
      </c>
      <c r="N131" s="2463">
        <f>IF(AND('WW Plan'!$E$57="Activate",N100&gt;='WW Plan'!$G$58,N100&lt;'WW Plan'!$H$58+1),'WW calcu'!M131-($E$131-'WW Plan'!$G$63)/('WW Plan'!$H$58+1-'WW Plan'!$G$58),M131)</f>
        <v>10</v>
      </c>
      <c r="O131" s="2464">
        <f>IF(AND('WW Plan'!$E$57="Activate",O100&gt;='WW Plan'!$G$58,O100&lt;'WW Plan'!$H$58+1),'WW calcu'!N131-($E$131-'WW Plan'!$G$63)/('WW Plan'!$H$58+1-'WW Plan'!$G$58),N131)</f>
        <v>10</v>
      </c>
      <c r="Q131" s="3987"/>
      <c r="R131" s="3985"/>
    </row>
    <row r="132" spans="2:18" s="170" customFormat="1" hidden="1" outlineLevel="1" x14ac:dyDescent="0.25">
      <c r="B132" s="2376"/>
      <c r="C132" s="2417" t="s">
        <v>2812</v>
      </c>
      <c r="D132" s="2509"/>
      <c r="E132" s="2456"/>
      <c r="F132" s="2456"/>
      <c r="G132" s="2456"/>
      <c r="H132" s="2456"/>
      <c r="I132" s="2456"/>
      <c r="J132" s="2456"/>
      <c r="K132" s="2456"/>
      <c r="L132" s="2456"/>
      <c r="M132" s="2456"/>
      <c r="N132" s="2456"/>
      <c r="O132" s="2467"/>
      <c r="Q132" s="3987"/>
      <c r="R132" s="82"/>
    </row>
    <row r="133" spans="2:18" s="170" customFormat="1" hidden="1" outlineLevel="1" x14ac:dyDescent="0.2">
      <c r="B133" s="2130"/>
      <c r="C133" s="2182" t="s">
        <v>2794</v>
      </c>
      <c r="D133" s="2510">
        <f>$D$130-E137</f>
        <v>0</v>
      </c>
      <c r="E133" s="119">
        <f>IFERROR(E134/$D$137,0)</f>
        <v>0</v>
      </c>
      <c r="F133" s="119">
        <f t="shared" ref="F133:O133" si="51">IFERROR(F134/$D$137,0)</f>
        <v>0</v>
      </c>
      <c r="G133" s="119">
        <f t="shared" si="51"/>
        <v>0</v>
      </c>
      <c r="H133" s="119">
        <f t="shared" si="51"/>
        <v>0</v>
      </c>
      <c r="I133" s="119">
        <f t="shared" si="51"/>
        <v>0</v>
      </c>
      <c r="J133" s="119">
        <f t="shared" si="51"/>
        <v>0</v>
      </c>
      <c r="K133" s="119">
        <f t="shared" si="51"/>
        <v>0</v>
      </c>
      <c r="L133" s="119">
        <f t="shared" si="51"/>
        <v>0</v>
      </c>
      <c r="M133" s="119">
        <f t="shared" si="51"/>
        <v>0</v>
      </c>
      <c r="N133" s="119">
        <f t="shared" si="51"/>
        <v>0</v>
      </c>
      <c r="O133" s="2276">
        <f t="shared" si="51"/>
        <v>0</v>
      </c>
      <c r="Q133" s="3987"/>
    </row>
    <row r="134" spans="2:18" hidden="1" outlineLevel="1" x14ac:dyDescent="0.25">
      <c r="B134" s="624"/>
      <c r="C134" s="2182" t="s">
        <v>2809</v>
      </c>
      <c r="D134" s="2511"/>
      <c r="E134" s="125">
        <f>'WSS Profile'!$G$296</f>
        <v>0</v>
      </c>
      <c r="F134" s="2457">
        <f>E134-(IF(AND(F100&gt;='WW Plan'!$G$58,F100&lt;'WW Plan'!$H$58+1),'WW Plan'!$H$62/('WW Plan'!$H$58+1-'WW Plan'!$G$58),0)*IF('WW Plan'!$E$57="Activate",1,0))</f>
        <v>0</v>
      </c>
      <c r="G134" s="2457">
        <f>F134-(IF(AND(G100&gt;='WW Plan'!$G$58,G100&lt;'WW Plan'!$H$58+1),'WW Plan'!$H$62/('WW Plan'!$H$58+1-'WW Plan'!$G$58),0)*IF('WW Plan'!$E$57="Activate",1,0))</f>
        <v>0</v>
      </c>
      <c r="H134" s="2457">
        <f>G134-(IF(AND(H100&gt;='WW Plan'!$G$58,H100&lt;'WW Plan'!$H$58+1),'WW Plan'!$H$62/('WW Plan'!$H$58+1-'WW Plan'!$G$58),0)*IF('WW Plan'!$E$57="Activate",1,0))</f>
        <v>0</v>
      </c>
      <c r="I134" s="2457">
        <f>H134-(IF(AND(I100&gt;='WW Plan'!$G$58,I100&lt;'WW Plan'!$H$58+1),'WW Plan'!$H$62/('WW Plan'!$H$58+1-'WW Plan'!$G$58),0)*IF('WW Plan'!$E$57="Activate",1,0))</f>
        <v>0</v>
      </c>
      <c r="J134" s="2457">
        <f>I134-(IF(AND(J100&gt;='WW Plan'!$G$58,J100&lt;'WW Plan'!$H$58+1),'WW Plan'!$H$62/('WW Plan'!$H$58+1-'WW Plan'!$G$58),0)*IF('WW Plan'!$E$57="Activate",1,0))</f>
        <v>0</v>
      </c>
      <c r="K134" s="2457">
        <f>J134-(IF(AND(K100&gt;='WW Plan'!$G$58,K100&lt;'WW Plan'!$H$58+1),'WW Plan'!$H$62/('WW Plan'!$H$58+1-'WW Plan'!$G$58),0)*IF('WW Plan'!$E$57="Activate",1,0))</f>
        <v>0</v>
      </c>
      <c r="L134" s="2457">
        <f>K134-(IF(AND(L100&gt;='WW Plan'!$G$58,L100&lt;'WW Plan'!$H$58+1),'WW Plan'!$H$62/('WW Plan'!$H$58+1-'WW Plan'!$G$58),0)*IF('WW Plan'!$E$57="Activate",1,0))</f>
        <v>0</v>
      </c>
      <c r="M134" s="2457">
        <f>L134-(IF(AND(M100&gt;='WW Plan'!$G$58,M100&lt;'WW Plan'!$H$58+1),'WW Plan'!$H$62/('WW Plan'!$H$58+1-'WW Plan'!$G$58),0)*IF('WW Plan'!$E$57="Activate",1,0))</f>
        <v>0</v>
      </c>
      <c r="N134" s="2457">
        <f>M134-(IF(AND(N100&gt;='WW Plan'!$G$58,N100&lt;'WW Plan'!$H$58+1),'WW Plan'!$H$62/('WW Plan'!$H$58+1-'WW Plan'!$G$58),0)*IF('WW Plan'!$E$57="Activate",1,0))</f>
        <v>0</v>
      </c>
      <c r="O134" s="2458">
        <f>N134-(IF(AND(O100&gt;='WW Plan'!$G$58,O100&lt;'WW Plan'!$H$58+1),'WW Plan'!$H$62/('WW Plan'!$H$58+1-'WW Plan'!$G$58),0)*IF('WW Plan'!$E$57="Activate",1,0))</f>
        <v>0</v>
      </c>
    </row>
    <row r="135" spans="2:18" s="170" customFormat="1" hidden="1" outlineLevel="1" x14ac:dyDescent="0.2">
      <c r="B135" s="2130"/>
      <c r="C135" s="2182" t="s">
        <v>2795</v>
      </c>
      <c r="D135" s="2510">
        <f>MIN(D133,E528)</f>
        <v>0</v>
      </c>
      <c r="E135" s="2267">
        <f t="shared" ref="E135:O135" si="52">$D$135-(E529-($E$139-E139))</f>
        <v>0</v>
      </c>
      <c r="F135" s="2267">
        <f t="shared" si="52"/>
        <v>-0.66666666666666652</v>
      </c>
      <c r="G135" s="2267">
        <f t="shared" si="52"/>
        <v>-1.3333333333333335</v>
      </c>
      <c r="H135" s="2267">
        <f t="shared" si="52"/>
        <v>-2</v>
      </c>
      <c r="I135" s="2267">
        <f t="shared" si="52"/>
        <v>-2</v>
      </c>
      <c r="J135" s="2267">
        <f t="shared" si="52"/>
        <v>-2</v>
      </c>
      <c r="K135" s="2267">
        <f t="shared" si="52"/>
        <v>-2</v>
      </c>
      <c r="L135" s="2267">
        <f t="shared" si="52"/>
        <v>-2</v>
      </c>
      <c r="M135" s="2267">
        <f t="shared" si="52"/>
        <v>-2</v>
      </c>
      <c r="N135" s="2267">
        <f t="shared" si="52"/>
        <v>-2</v>
      </c>
      <c r="O135" s="2468">
        <f t="shared" si="52"/>
        <v>-2</v>
      </c>
      <c r="Q135" s="3987"/>
    </row>
    <row r="136" spans="2:18" s="170" customFormat="1" hidden="1" outlineLevel="1" x14ac:dyDescent="0.25">
      <c r="B136" s="2469"/>
      <c r="C136" s="2478" t="s">
        <v>2813</v>
      </c>
      <c r="D136" s="2512"/>
      <c r="E136" s="2470"/>
      <c r="F136" s="2471"/>
      <c r="G136" s="2471"/>
      <c r="H136" s="2471"/>
      <c r="I136" s="2471"/>
      <c r="J136" s="2471"/>
      <c r="K136" s="2471"/>
      <c r="L136" s="2471"/>
      <c r="M136" s="2471"/>
      <c r="N136" s="2471"/>
      <c r="O136" s="2472"/>
      <c r="Q136" s="3987"/>
    </row>
    <row r="137" spans="2:18" s="49" customFormat="1" ht="30" hidden="1" outlineLevel="1" x14ac:dyDescent="0.25">
      <c r="B137" s="622"/>
      <c r="C137" s="2182" t="s">
        <v>2430</v>
      </c>
      <c r="D137" s="2513">
        <f>IFERROR('WSS Profile'!G295/'WSS Profile'!G294,0)</f>
        <v>6</v>
      </c>
      <c r="E137" s="125">
        <f>IFERROR(E138/$D$137,0)</f>
        <v>2</v>
      </c>
      <c r="F137" s="125">
        <f t="shared" ref="F137:O137" si="53">IFERROR(F138/$D$137,0)</f>
        <v>2</v>
      </c>
      <c r="G137" s="125">
        <f t="shared" si="53"/>
        <v>2</v>
      </c>
      <c r="H137" s="125">
        <f t="shared" si="53"/>
        <v>2</v>
      </c>
      <c r="I137" s="125">
        <f t="shared" si="53"/>
        <v>2</v>
      </c>
      <c r="J137" s="125">
        <f t="shared" si="53"/>
        <v>2</v>
      </c>
      <c r="K137" s="125">
        <f t="shared" si="53"/>
        <v>2</v>
      </c>
      <c r="L137" s="125">
        <f t="shared" si="53"/>
        <v>2</v>
      </c>
      <c r="M137" s="125">
        <f t="shared" si="53"/>
        <v>2</v>
      </c>
      <c r="N137" s="125">
        <f t="shared" si="53"/>
        <v>2</v>
      </c>
      <c r="O137" s="2327">
        <f t="shared" si="53"/>
        <v>2</v>
      </c>
      <c r="Q137" s="3993"/>
    </row>
    <row r="138" spans="2:18" s="49" customFormat="1" ht="30" hidden="1" outlineLevel="1" x14ac:dyDescent="0.25">
      <c r="B138" s="622"/>
      <c r="C138" s="2182" t="s">
        <v>1296</v>
      </c>
      <c r="D138" s="2514"/>
      <c r="E138" s="125">
        <f>'WSS Profile'!G295-'WSS Profile'!G296</f>
        <v>12</v>
      </c>
      <c r="F138" s="125">
        <f>(E134-F134)+E138</f>
        <v>12</v>
      </c>
      <c r="G138" s="125">
        <f t="shared" ref="G138:O138" si="54">(F134-G134)+F138</f>
        <v>12</v>
      </c>
      <c r="H138" s="125">
        <f t="shared" si="54"/>
        <v>12</v>
      </c>
      <c r="I138" s="125">
        <f t="shared" si="54"/>
        <v>12</v>
      </c>
      <c r="J138" s="125">
        <f t="shared" si="54"/>
        <v>12</v>
      </c>
      <c r="K138" s="125">
        <f t="shared" si="54"/>
        <v>12</v>
      </c>
      <c r="L138" s="125">
        <f t="shared" si="54"/>
        <v>12</v>
      </c>
      <c r="M138" s="125">
        <f t="shared" si="54"/>
        <v>12</v>
      </c>
      <c r="N138" s="125">
        <f t="shared" si="54"/>
        <v>12</v>
      </c>
      <c r="O138" s="2327">
        <f t="shared" si="54"/>
        <v>12</v>
      </c>
      <c r="Q138" s="3993"/>
    </row>
    <row r="139" spans="2:18" s="170" customFormat="1" hidden="1" outlineLevel="1" x14ac:dyDescent="0.2">
      <c r="B139" s="2130"/>
      <c r="C139" s="2182" t="s">
        <v>2798</v>
      </c>
      <c r="D139" s="2510">
        <f>E528-D135</f>
        <v>0</v>
      </c>
      <c r="E139" s="2267">
        <f t="shared" ref="E139:O139" si="55">MAX($D$139-E529,0)</f>
        <v>0</v>
      </c>
      <c r="F139" s="2267">
        <f t="shared" si="55"/>
        <v>0</v>
      </c>
      <c r="G139" s="2267">
        <f t="shared" si="55"/>
        <v>0</v>
      </c>
      <c r="H139" s="2267">
        <f t="shared" si="55"/>
        <v>0</v>
      </c>
      <c r="I139" s="2267">
        <f t="shared" si="55"/>
        <v>0</v>
      </c>
      <c r="J139" s="2267">
        <f t="shared" si="55"/>
        <v>0</v>
      </c>
      <c r="K139" s="2267">
        <f t="shared" si="55"/>
        <v>0</v>
      </c>
      <c r="L139" s="2267">
        <f t="shared" si="55"/>
        <v>0</v>
      </c>
      <c r="M139" s="2267">
        <f t="shared" si="55"/>
        <v>0</v>
      </c>
      <c r="N139" s="2267">
        <f t="shared" si="55"/>
        <v>0</v>
      </c>
      <c r="O139" s="2468">
        <f t="shared" si="55"/>
        <v>0</v>
      </c>
      <c r="Q139" s="3995"/>
    </row>
    <row r="140" spans="2:18" s="170" customFormat="1" hidden="1" outlineLevel="1" x14ac:dyDescent="0.2">
      <c r="B140" s="2473"/>
      <c r="C140" s="2474" t="s">
        <v>2797</v>
      </c>
      <c r="D140" s="2515">
        <f>E137-D139</f>
        <v>2</v>
      </c>
      <c r="E140" s="2475">
        <f t="shared" ref="E140:O140" si="56">E137-E139</f>
        <v>2</v>
      </c>
      <c r="F140" s="2475">
        <f t="shared" si="56"/>
        <v>2</v>
      </c>
      <c r="G140" s="2475">
        <f t="shared" si="56"/>
        <v>2</v>
      </c>
      <c r="H140" s="2475">
        <f t="shared" si="56"/>
        <v>2</v>
      </c>
      <c r="I140" s="2475">
        <f t="shared" si="56"/>
        <v>2</v>
      </c>
      <c r="J140" s="2475">
        <f t="shared" si="56"/>
        <v>2</v>
      </c>
      <c r="K140" s="2475">
        <f t="shared" si="56"/>
        <v>2</v>
      </c>
      <c r="L140" s="2475">
        <f t="shared" si="56"/>
        <v>2</v>
      </c>
      <c r="M140" s="2475">
        <f t="shared" si="56"/>
        <v>2</v>
      </c>
      <c r="N140" s="2475">
        <f t="shared" si="56"/>
        <v>2</v>
      </c>
      <c r="O140" s="2476">
        <f t="shared" si="56"/>
        <v>2</v>
      </c>
      <c r="Q140" s="3987"/>
    </row>
    <row r="141" spans="2:18" s="170" customFormat="1" hidden="1" outlineLevel="1" x14ac:dyDescent="0.2">
      <c r="B141" s="2130"/>
      <c r="C141" s="2417" t="s">
        <v>2814</v>
      </c>
      <c r="D141" s="2510"/>
      <c r="E141" s="2267"/>
      <c r="F141" s="2267"/>
      <c r="G141" s="2267"/>
      <c r="H141" s="2267"/>
      <c r="I141" s="2267"/>
      <c r="J141" s="2267"/>
      <c r="K141" s="2267"/>
      <c r="L141" s="2267"/>
      <c r="M141" s="2267"/>
      <c r="N141" s="2267"/>
      <c r="O141" s="2468"/>
      <c r="Q141" s="3987"/>
    </row>
    <row r="142" spans="2:18" s="49" customFormat="1" hidden="1" outlineLevel="1" x14ac:dyDescent="0.25">
      <c r="B142" s="2376"/>
      <c r="C142" s="2182" t="s">
        <v>957</v>
      </c>
      <c r="D142" s="2509"/>
      <c r="E142" s="2418">
        <f>ROUND(E131*E138,0)</f>
        <v>156</v>
      </c>
      <c r="F142" s="2465">
        <f>ROUND(F131*F138,0)</f>
        <v>144</v>
      </c>
      <c r="G142" s="2465">
        <f>ROUND(G131*G138,0)</f>
        <v>132</v>
      </c>
      <c r="H142" s="2465">
        <f t="shared" ref="H142:O142" si="57">ROUND(H131*H138,0)</f>
        <v>120</v>
      </c>
      <c r="I142" s="2465">
        <f t="shared" si="57"/>
        <v>120</v>
      </c>
      <c r="J142" s="2465">
        <f t="shared" si="57"/>
        <v>120</v>
      </c>
      <c r="K142" s="2465">
        <f t="shared" si="57"/>
        <v>120</v>
      </c>
      <c r="L142" s="2465">
        <f t="shared" si="57"/>
        <v>120</v>
      </c>
      <c r="M142" s="2465">
        <f t="shared" si="57"/>
        <v>120</v>
      </c>
      <c r="N142" s="2465">
        <f t="shared" si="57"/>
        <v>120</v>
      </c>
      <c r="O142" s="2466">
        <f t="shared" si="57"/>
        <v>120</v>
      </c>
      <c r="Q142" s="3993"/>
    </row>
    <row r="143" spans="2:18" s="733" customFormat="1" hidden="1" outlineLevel="1" x14ac:dyDescent="0.25">
      <c r="B143" s="2459"/>
      <c r="C143" s="436" t="s">
        <v>2433</v>
      </c>
      <c r="D143" s="2516"/>
      <c r="E143" s="154">
        <f>E142-SUM($E$110:E110)</f>
        <v>156</v>
      </c>
      <c r="F143" s="154">
        <f>F142-SUM($E$110:F110)</f>
        <v>144</v>
      </c>
      <c r="G143" s="154">
        <f>G142-SUM($E$110:G110)</f>
        <v>132</v>
      </c>
      <c r="H143" s="154">
        <f>H142-SUM($E$110:H110)</f>
        <v>120</v>
      </c>
      <c r="I143" s="154">
        <f>I142-SUM($E$110:I110)</f>
        <v>120</v>
      </c>
      <c r="J143" s="154">
        <f>J142-SUM($E$110:J110)</f>
        <v>120</v>
      </c>
      <c r="K143" s="154">
        <f>K142-SUM($E$110:K110)</f>
        <v>120</v>
      </c>
      <c r="L143" s="154">
        <f>L142-SUM($E$110:L110)</f>
        <v>120</v>
      </c>
      <c r="M143" s="154">
        <f>M142-SUM($E$110:M110)</f>
        <v>120</v>
      </c>
      <c r="N143" s="154">
        <f>N142-SUM($E$110:N110)</f>
        <v>120</v>
      </c>
      <c r="O143" s="2460">
        <f>O142-SUM($E$110:O110)</f>
        <v>120</v>
      </c>
      <c r="Q143" s="3993"/>
    </row>
    <row r="144" spans="2:18" s="170" customFormat="1" hidden="1" outlineLevel="1" x14ac:dyDescent="0.25">
      <c r="B144" s="622"/>
      <c r="C144" s="50" t="s">
        <v>2799</v>
      </c>
      <c r="D144" s="2517"/>
      <c r="E144" s="2100">
        <f>IFERROR(ROUND((E139/(E139+E140))*E143,0),0)</f>
        <v>0</v>
      </c>
      <c r="F144" s="2100">
        <f t="shared" ref="F144:O144" si="58">IFERROR(ROUND((F139/(F139+F140))*F143,0),0)</f>
        <v>0</v>
      </c>
      <c r="G144" s="2100">
        <f t="shared" si="58"/>
        <v>0</v>
      </c>
      <c r="H144" s="2100">
        <f t="shared" si="58"/>
        <v>0</v>
      </c>
      <c r="I144" s="2100">
        <f t="shared" si="58"/>
        <v>0</v>
      </c>
      <c r="J144" s="2100">
        <f t="shared" si="58"/>
        <v>0</v>
      </c>
      <c r="K144" s="2100">
        <f t="shared" si="58"/>
        <v>0</v>
      </c>
      <c r="L144" s="2100">
        <f t="shared" si="58"/>
        <v>0</v>
      </c>
      <c r="M144" s="2100">
        <f t="shared" si="58"/>
        <v>0</v>
      </c>
      <c r="N144" s="2100">
        <f t="shared" si="58"/>
        <v>0</v>
      </c>
      <c r="O144" s="2101">
        <f t="shared" si="58"/>
        <v>0</v>
      </c>
      <c r="Q144" s="3987"/>
    </row>
    <row r="145" spans="1:17" s="170" customFormat="1" hidden="1" outlineLevel="1" x14ac:dyDescent="0.25">
      <c r="B145" s="2210"/>
      <c r="C145" s="278" t="s">
        <v>2800</v>
      </c>
      <c r="D145" s="2518"/>
      <c r="E145" s="2104">
        <f>IFERROR(ROUND((E140/(E139+E140))*E143,0),0)</f>
        <v>156</v>
      </c>
      <c r="F145" s="2104">
        <f t="shared" ref="F145:N145" si="59">IFERROR(ROUND((F140/(F139+F140))*F143,0),0)</f>
        <v>144</v>
      </c>
      <c r="G145" s="2104">
        <f t="shared" si="59"/>
        <v>132</v>
      </c>
      <c r="H145" s="2104">
        <f t="shared" si="59"/>
        <v>120</v>
      </c>
      <c r="I145" s="2104">
        <f t="shared" si="59"/>
        <v>120</v>
      </c>
      <c r="J145" s="2104">
        <f t="shared" si="59"/>
        <v>120</v>
      </c>
      <c r="K145" s="2104">
        <f t="shared" si="59"/>
        <v>120</v>
      </c>
      <c r="L145" s="2104">
        <f t="shared" si="59"/>
        <v>120</v>
      </c>
      <c r="M145" s="2104">
        <f t="shared" si="59"/>
        <v>120</v>
      </c>
      <c r="N145" s="2104">
        <f t="shared" si="59"/>
        <v>120</v>
      </c>
      <c r="O145" s="2105">
        <f>IFERROR(ROUND((O140/(O139+O140))*O143,0),0)</f>
        <v>120</v>
      </c>
      <c r="Q145" s="3987"/>
    </row>
    <row r="146" spans="1:17" s="733" customFormat="1" hidden="1" outlineLevel="1" x14ac:dyDescent="0.25">
      <c r="B146" s="189"/>
      <c r="C146" s="436"/>
      <c r="D146" s="2516"/>
      <c r="E146" s="154"/>
      <c r="F146" s="154"/>
      <c r="G146" s="154"/>
      <c r="H146" s="154"/>
      <c r="I146" s="154"/>
      <c r="J146" s="154"/>
      <c r="K146" s="154"/>
      <c r="L146" s="154"/>
      <c r="M146" s="154"/>
      <c r="N146" s="154"/>
      <c r="O146" s="154"/>
      <c r="Q146" s="3993"/>
    </row>
    <row r="147" spans="1:17" s="733" customFormat="1" hidden="1" outlineLevel="1" x14ac:dyDescent="0.25">
      <c r="B147" s="189"/>
      <c r="C147" s="2425" t="s">
        <v>2815</v>
      </c>
      <c r="D147" s="2516"/>
      <c r="E147" s="154"/>
      <c r="F147" s="154"/>
      <c r="G147" s="154"/>
      <c r="H147" s="154"/>
      <c r="I147" s="154"/>
      <c r="J147" s="154"/>
      <c r="K147" s="154"/>
      <c r="L147" s="154"/>
      <c r="M147" s="154"/>
      <c r="N147" s="154"/>
      <c r="O147" s="154"/>
      <c r="Q147" s="3993"/>
    </row>
    <row r="148" spans="1:17" s="82" customFormat="1" hidden="1" outlineLevel="1" x14ac:dyDescent="0.25">
      <c r="B148" s="2377"/>
      <c r="C148" s="2378" t="s">
        <v>2759</v>
      </c>
      <c r="D148" s="5766">
        <f>'WW Plan'!H64</f>
        <v>100000</v>
      </c>
      <c r="E148" s="2379"/>
      <c r="F148" s="2380">
        <f>((F121-E121)+(F138-E138))*$D$148/'General info'!$G$44</f>
        <v>15</v>
      </c>
      <c r="G148" s="2380">
        <f>((G121-F121)+(G138-F138))*$D$148/'General info'!$G$44</f>
        <v>15</v>
      </c>
      <c r="H148" s="2380">
        <f>((H121-G121)+(H138-G138))*$D$148/'General info'!$G$44</f>
        <v>15</v>
      </c>
      <c r="I148" s="2380">
        <f>((I121-H121)+(I138-H138))*$D$148/'General info'!$G$44</f>
        <v>0</v>
      </c>
      <c r="J148" s="2380">
        <f>((J121-I121)+(J138-I138))*$D$148/'General info'!$G$44</f>
        <v>0</v>
      </c>
      <c r="K148" s="2380">
        <f>((K121-J121)+(K138-J138))*$D$148/'General info'!$G$44</f>
        <v>0</v>
      </c>
      <c r="L148" s="2380">
        <f>((L121-K121)+(L138-K138))*$D$148/'General info'!$G$44</f>
        <v>0</v>
      </c>
      <c r="M148" s="2380">
        <f>((M121-L121)+(M138-L138))*$D$148/'General info'!$G$44</f>
        <v>0</v>
      </c>
      <c r="N148" s="2380">
        <f>((N121-M121)+(N138-M138))*$D$148/'General info'!$G$44</f>
        <v>0</v>
      </c>
      <c r="O148" s="2380">
        <f>((O121-N121)+(O138-N138))*$D$148/'General info'!$G$44</f>
        <v>0</v>
      </c>
      <c r="Q148" s="3991"/>
    </row>
    <row r="149" spans="1:17" s="82" customFormat="1" hidden="1" outlineLevel="1" x14ac:dyDescent="0.25">
      <c r="B149" s="2369"/>
      <c r="C149" s="2370" t="s">
        <v>2773</v>
      </c>
      <c r="D149" s="5767">
        <f>'WW Plan'!H66*12</f>
        <v>0</v>
      </c>
      <c r="E149" s="2313"/>
      <c r="F149" s="2371">
        <f>((F121-$E$121)+(F138-$E$138))*$D$149/'General info'!$G$44</f>
        <v>0</v>
      </c>
      <c r="G149" s="2371">
        <f>((G121-$E$121)+(G138-$E$138))*$D$149/'General info'!$G$44</f>
        <v>0</v>
      </c>
      <c r="H149" s="2371">
        <f>((H121-$E$121)+(H138-$E$138))*$D$149/'General info'!$G$44</f>
        <v>0</v>
      </c>
      <c r="I149" s="2371">
        <f>((I121-$E$121)+(I138-$E$138))*$D$149/'General info'!$G$44</f>
        <v>0</v>
      </c>
      <c r="J149" s="2371">
        <f>((J121-$E$121)+(J138-$E$138))*$D$149/'General info'!$G$44</f>
        <v>0</v>
      </c>
      <c r="K149" s="2371">
        <f>((K121-$E$121)+(K138-$E$138))*$D$149/'General info'!$G$44</f>
        <v>0</v>
      </c>
      <c r="L149" s="2371">
        <f>((L121-$E$121)+(L138-$E$138))*$D$149/'General info'!$G$44</f>
        <v>0</v>
      </c>
      <c r="M149" s="2371">
        <f>((M121-$E$121)+(M138-$E$138))*$D$149/'General info'!$G$44</f>
        <v>0</v>
      </c>
      <c r="N149" s="2371">
        <f>((N121-$E$121)+(N138-$E$138))*$D$149/'General info'!$G$44</f>
        <v>0</v>
      </c>
      <c r="O149" s="2371">
        <f>((O121-$E$121)+(O138-$E$138))*$D$149/'General info'!$G$44</f>
        <v>0</v>
      </c>
      <c r="Q149" s="3991"/>
    </row>
    <row r="150" spans="1:17" s="82" customFormat="1" hidden="1" outlineLevel="1" x14ac:dyDescent="0.25">
      <c r="C150" s="719"/>
      <c r="D150" s="153"/>
      <c r="F150" s="155"/>
      <c r="G150" s="155"/>
      <c r="H150" s="155"/>
      <c r="I150" s="155"/>
      <c r="J150" s="155"/>
      <c r="K150" s="155"/>
      <c r="L150" s="155"/>
      <c r="M150" s="155"/>
      <c r="N150" s="155"/>
      <c r="O150" s="155"/>
      <c r="Q150" s="3991"/>
    </row>
    <row r="151" spans="1:17" s="56" customFormat="1" hidden="1" outlineLevel="1" x14ac:dyDescent="0.25">
      <c r="A151"/>
      <c r="B151" s="1913"/>
      <c r="C151" s="1914" t="s">
        <v>956</v>
      </c>
      <c r="D151" s="2505"/>
      <c r="E151" s="1915"/>
      <c r="F151" s="1915"/>
      <c r="G151" s="1915"/>
      <c r="H151" s="1915"/>
      <c r="I151" s="1915"/>
      <c r="J151" s="1915"/>
      <c r="K151" s="1915"/>
      <c r="L151" s="1915"/>
      <c r="M151" s="1915"/>
      <c r="N151" s="1915"/>
      <c r="O151" s="1915"/>
      <c r="Q151" s="3990"/>
    </row>
    <row r="152" spans="1:17" s="82" customFormat="1" hidden="1" outlineLevel="1" x14ac:dyDescent="0.25">
      <c r="B152" s="7268">
        <v>1</v>
      </c>
      <c r="C152" s="7271" t="s">
        <v>2424</v>
      </c>
      <c r="D152" s="2054" t="s">
        <v>2422</v>
      </c>
      <c r="E152" s="2052">
        <f>(IF('WW Plan'!$E$161="Activate",IF(AND(E$3&gt;='WW Plan'!$G$170,E$3&lt;'WW Plan'!$H$170+1),('WW Plan'!$G$166*'WW Plan'!$G$171)/('WW Plan'!$H$170+1-'WW Plan'!$G$170),0),0))</f>
        <v>0</v>
      </c>
      <c r="F152" s="2052">
        <f>(IF('WW Plan'!$E$161="Activate",IF(AND(F$3&gt;='WW Plan'!$G$170,F$3&lt;'WW Plan'!$H$170+1),('WW Plan'!$G$166*'WW Plan'!$G$171)/('WW Plan'!$H$170+1-'WW Plan'!$G$170),0),0))</f>
        <v>0</v>
      </c>
      <c r="G152" s="2052">
        <f>(IF('WW Plan'!$E$161="Activate",IF(AND(G$3&gt;='WW Plan'!$G$170,G$3&lt;'WW Plan'!$H$170+1),('WW Plan'!$G$166*'WW Plan'!$G$171)/('WW Plan'!$H$170+1-'WW Plan'!$G$170),0),0))</f>
        <v>0</v>
      </c>
      <c r="H152" s="2052">
        <f>(IF('WW Plan'!$E$161="Activate",IF(AND(H$3&gt;='WW Plan'!$G$170,H$3&lt;'WW Plan'!$H$170+1),('WW Plan'!$G$166*'WW Plan'!$G$171)/('WW Plan'!$H$170+1-'WW Plan'!$G$170),0),0))</f>
        <v>0</v>
      </c>
      <c r="I152" s="2052">
        <f>(IF('WW Plan'!$E$161="Activate",IF(AND(I$3&gt;='WW Plan'!$G$170,I$3&lt;'WW Plan'!$H$170+1),('WW Plan'!$G$166*'WW Plan'!$G$171)/('WW Plan'!$H$170+1-'WW Plan'!$G$170),0),0))</f>
        <v>0</v>
      </c>
      <c r="J152" s="2052">
        <f>(IF('WW Plan'!$E$161="Activate",IF(AND(J$3&gt;='WW Plan'!$G$170,J$3&lt;'WW Plan'!$H$170+1),('WW Plan'!$G$166*'WW Plan'!$G$171)/('WW Plan'!$H$170+1-'WW Plan'!$G$170),0),0))</f>
        <v>0</v>
      </c>
      <c r="K152" s="2052">
        <f>(IF('WW Plan'!$E$161="Activate",IF(AND(K$3&gt;='WW Plan'!$G$170,K$3&lt;'WW Plan'!$H$170+1),('WW Plan'!$G$166*'WW Plan'!$G$171)/('WW Plan'!$H$170+1-'WW Plan'!$G$170),0),0))</f>
        <v>0</v>
      </c>
      <c r="L152" s="2052">
        <f>(IF('WW Plan'!$E$161="Activate",IF(AND(L$3&gt;='WW Plan'!$G$170,L$3&lt;'WW Plan'!$H$170+1),('WW Plan'!$G$166*'WW Plan'!$G$171)/('WW Plan'!$H$170+1-'WW Plan'!$G$170),0),0))</f>
        <v>0</v>
      </c>
      <c r="M152" s="2052">
        <f>(IF('WW Plan'!$E$161="Activate",IF(AND(M$3&gt;='WW Plan'!$G$170,M$3&lt;'WW Plan'!$H$170+1),('WW Plan'!$G$166*'WW Plan'!$G$171)/('WW Plan'!$H$170+1-'WW Plan'!$G$170),0),0))</f>
        <v>0</v>
      </c>
      <c r="N152" s="2052">
        <f>(IF('WW Plan'!$E$161="Activate",IF(AND(N$3&gt;='WW Plan'!$G$170,N$3&lt;'WW Plan'!$H$170+1),('WW Plan'!$G$166*'WW Plan'!$G$171)/('WW Plan'!$H$170+1-'WW Plan'!$G$170),0),0))</f>
        <v>0</v>
      </c>
      <c r="O152" s="2052">
        <f>(IF('WW Plan'!$E$161="Activate",IF(AND(O$3&gt;='WW Plan'!$G$170,O$3&lt;'WW Plan'!$H$170+1),('WW Plan'!$G$166*'WW Plan'!$G$171)/('WW Plan'!$H$170+1-'WW Plan'!$G$170),0),0))</f>
        <v>0</v>
      </c>
      <c r="Q152" s="3991"/>
    </row>
    <row r="153" spans="1:17" s="82" customFormat="1" hidden="1" outlineLevel="1" x14ac:dyDescent="0.25">
      <c r="B153" s="7269"/>
      <c r="C153" s="7272"/>
      <c r="D153" s="2367" t="s">
        <v>2423</v>
      </c>
      <c r="E153" s="2368">
        <f>(IF('WW Plan'!$E$161="Activate",IF(AND(E$3&gt;='WW Plan'!$G$170,E$3&lt;'WW Plan'!$H$170+1),('WW Plan'!$H$166*'WW Plan'!$H$171)/('WW Plan'!$H$170+1-'WW Plan'!$G$170),0),0))</f>
        <v>0</v>
      </c>
      <c r="F153" s="2368">
        <f>(IF('WW Plan'!$E$161="Activate",IF(AND(F$3&gt;='WW Plan'!$G$170,F$3&lt;'WW Plan'!$H$170+1),('WW Plan'!$H$166*'WW Plan'!$H$171)/('WW Plan'!$H$170+1-'WW Plan'!$G$170),0),0))</f>
        <v>0</v>
      </c>
      <c r="G153" s="2368">
        <f>(IF('WW Plan'!$E$161="Activate",IF(AND(G$3&gt;='WW Plan'!$G$170,G$3&lt;'WW Plan'!$H$170+1),('WW Plan'!$H$166*'WW Plan'!$H$171)/('WW Plan'!$H$170+1-'WW Plan'!$G$170),0),0))</f>
        <v>0</v>
      </c>
      <c r="H153" s="2368">
        <f>(IF('WW Plan'!$E$161="Activate",IF(AND(H$3&gt;='WW Plan'!$G$170,H$3&lt;'WW Plan'!$H$170+1),('WW Plan'!$H$166*'WW Plan'!$H$171)/('WW Plan'!$H$170+1-'WW Plan'!$G$170),0),0))</f>
        <v>0</v>
      </c>
      <c r="I153" s="2368">
        <f>(IF('WW Plan'!$E$161="Activate",IF(AND(I$3&gt;='WW Plan'!$G$170,I$3&lt;'WW Plan'!$H$170+1),('WW Plan'!$H$166*'WW Plan'!$H$171)/('WW Plan'!$H$170+1-'WW Plan'!$G$170),0),0))</f>
        <v>0</v>
      </c>
      <c r="J153" s="2368">
        <f>(IF('WW Plan'!$E$161="Activate",IF(AND(J$3&gt;='WW Plan'!$G$170,J$3&lt;'WW Plan'!$H$170+1),('WW Plan'!$H$166*'WW Plan'!$H$171)/('WW Plan'!$H$170+1-'WW Plan'!$G$170),0),0))</f>
        <v>0</v>
      </c>
      <c r="K153" s="2368">
        <f>(IF('WW Plan'!$E$161="Activate",IF(AND(K$3&gt;='WW Plan'!$G$170,K$3&lt;'WW Plan'!$H$170+1),('WW Plan'!$H$166*'WW Plan'!$H$171)/('WW Plan'!$H$170+1-'WW Plan'!$G$170),0),0))</f>
        <v>0</v>
      </c>
      <c r="L153" s="2368">
        <f>(IF('WW Plan'!$E$161="Activate",IF(AND(L$3&gt;='WW Plan'!$G$170,L$3&lt;'WW Plan'!$H$170+1),('WW Plan'!$H$166*'WW Plan'!$H$171)/('WW Plan'!$H$170+1-'WW Plan'!$G$170),0),0))</f>
        <v>0</v>
      </c>
      <c r="M153" s="2368">
        <f>(IF('WW Plan'!$E$161="Activate",IF(AND(M$3&gt;='WW Plan'!$G$170,M$3&lt;'WW Plan'!$H$170+1),('WW Plan'!$H$166*'WW Plan'!$H$171)/('WW Plan'!$H$170+1-'WW Plan'!$G$170),0),0))</f>
        <v>0</v>
      </c>
      <c r="N153" s="2368">
        <f>(IF('WW Plan'!$E$161="Activate",IF(AND(N$3&gt;='WW Plan'!$G$170,N$3&lt;'WW Plan'!$H$170+1),('WW Plan'!$H$166*'WW Plan'!$H$171)/('WW Plan'!$H$170+1-'WW Plan'!$G$170),0),0))</f>
        <v>0</v>
      </c>
      <c r="O153" s="2368">
        <f>(IF('WW Plan'!$E$161="Activate",IF(AND(O$3&gt;='WW Plan'!$G$170,O$3&lt;'WW Plan'!$H$170+1),('WW Plan'!$H$166*'WW Plan'!$H$171)/('WW Plan'!$H$170+1-'WW Plan'!$G$170),0),0))</f>
        <v>0</v>
      </c>
      <c r="Q153" s="3991"/>
    </row>
    <row r="154" spans="1:17" s="82" customFormat="1" hidden="1" outlineLevel="1" x14ac:dyDescent="0.25">
      <c r="B154" s="7270"/>
      <c r="C154" s="7273"/>
      <c r="D154" s="5772" t="s">
        <v>493</v>
      </c>
      <c r="E154" s="2053"/>
      <c r="F154" s="2053">
        <f>(F152+F153)*'WW Plan'!$H$173/CurrencyMultiplier</f>
        <v>0</v>
      </c>
      <c r="G154" s="2053">
        <f>(G152+G153)*'WW Plan'!$H$173/CurrencyMultiplier</f>
        <v>0</v>
      </c>
      <c r="H154" s="2053">
        <f>(H152+H153)*'WW Plan'!$H$173/CurrencyMultiplier</f>
        <v>0</v>
      </c>
      <c r="I154" s="2053">
        <f>(I152+I153)*'WW Plan'!$H$173/CurrencyMultiplier</f>
        <v>0</v>
      </c>
      <c r="J154" s="2053">
        <f>(J152+J153)*'WW Plan'!$H$173/CurrencyMultiplier</f>
        <v>0</v>
      </c>
      <c r="K154" s="2053">
        <f>(K152+K153)*'WW Plan'!$H$173/CurrencyMultiplier</f>
        <v>0</v>
      </c>
      <c r="L154" s="2053">
        <f>(L152+L153)*'WW Plan'!$H$173/CurrencyMultiplier</f>
        <v>0</v>
      </c>
      <c r="M154" s="2053">
        <f>(M152+M153)*'WW Plan'!$H$173/CurrencyMultiplier</f>
        <v>0</v>
      </c>
      <c r="N154" s="2053">
        <f>(N152+N153)*'WW Plan'!$H$173/CurrencyMultiplier</f>
        <v>0</v>
      </c>
      <c r="O154" s="2053">
        <f>(O152+O153)*'WW Plan'!$H$173/CurrencyMultiplier</f>
        <v>0</v>
      </c>
      <c r="Q154" s="3991"/>
    </row>
    <row r="155" spans="1:17" s="82" customFormat="1" hidden="1" outlineLevel="1" x14ac:dyDescent="0.25">
      <c r="B155" s="7268">
        <v>2</v>
      </c>
      <c r="C155" s="7271" t="s">
        <v>2425</v>
      </c>
      <c r="D155" s="2054" t="s">
        <v>2422</v>
      </c>
      <c r="E155" s="2052">
        <f>(IF('WW Plan'!$E$161="Activate",IF(AND(E$3&gt;='WW Plan'!$G$174,E$3&lt;'WW Plan'!$H$174+1),('WW Plan'!$G$166*'WW Plan'!$G$175)/('WW Plan'!$H$174+1-'WW Plan'!$G$174),0),0))</f>
        <v>0</v>
      </c>
      <c r="F155" s="2052">
        <f>(IF('WW Plan'!$E$161="Activate",IF(AND(F$3&gt;='WW Plan'!$G$174,F$3&lt;'WW Plan'!$H$174+1),('WW Plan'!$G$166*'WW Plan'!$G$175)/('WW Plan'!$H$174+1-'WW Plan'!$G$174),0),0))</f>
        <v>0</v>
      </c>
      <c r="G155" s="2052">
        <f>(IF('WW Plan'!$E$161="Activate",IF(AND(G$3&gt;='WW Plan'!$G$174,G$3&lt;'WW Plan'!$H$174+1),('WW Plan'!$G$166*'WW Plan'!$G$175)/('WW Plan'!$H$174+1-'WW Plan'!$G$174),0),0))</f>
        <v>0</v>
      </c>
      <c r="H155" s="2052">
        <f>(IF('WW Plan'!$E$161="Activate",IF(AND(H$3&gt;='WW Plan'!$G$174,H$3&lt;'WW Plan'!$H$174+1),('WW Plan'!$G$166*'WW Plan'!$G$175)/('WW Plan'!$H$174+1-'WW Plan'!$G$174),0),0))</f>
        <v>0</v>
      </c>
      <c r="I155" s="2052">
        <f>(IF('WW Plan'!$E$161="Activate",IF(AND(I$3&gt;='WW Plan'!$G$174,I$3&lt;'WW Plan'!$H$174+1),('WW Plan'!$G$166*'WW Plan'!$G$175)/('WW Plan'!$H$174+1-'WW Plan'!$G$174),0),0))</f>
        <v>0</v>
      </c>
      <c r="J155" s="2052">
        <f>(IF('WW Plan'!$E$161="Activate",IF(AND(J$3&gt;='WW Plan'!$G$174,J$3&lt;'WW Plan'!$H$174+1),('WW Plan'!$G$166*'WW Plan'!$G$175)/('WW Plan'!$H$174+1-'WW Plan'!$G$174),0),0))</f>
        <v>0</v>
      </c>
      <c r="K155" s="2052">
        <f>(IF('WW Plan'!$E$161="Activate",IF(AND(K$3&gt;='WW Plan'!$G$174,K$3&lt;'WW Plan'!$H$174+1),('WW Plan'!$G$166*'WW Plan'!$G$175)/('WW Plan'!$H$174+1-'WW Plan'!$G$174),0),0))</f>
        <v>0</v>
      </c>
      <c r="L155" s="2052">
        <f>(IF('WW Plan'!$E$161="Activate",IF(AND(L$3&gt;='WW Plan'!$G$174,L$3&lt;'WW Plan'!$H$174+1),('WW Plan'!$G$166*'WW Plan'!$G$175)/('WW Plan'!$H$174+1-'WW Plan'!$G$174),0),0))</f>
        <v>0</v>
      </c>
      <c r="M155" s="2052">
        <f>(IF('WW Plan'!$E$161="Activate",IF(AND(M$3&gt;='WW Plan'!$G$174,M$3&lt;'WW Plan'!$H$174+1),('WW Plan'!$G$166*'WW Plan'!$G$175)/('WW Plan'!$H$174+1-'WW Plan'!$G$174),0),0))</f>
        <v>0</v>
      </c>
      <c r="N155" s="2052">
        <f>(IF('WW Plan'!$E$161="Activate",IF(AND(N$3&gt;='WW Plan'!$G$174,N$3&lt;'WW Plan'!$H$174+1),('WW Plan'!$G$166*'WW Plan'!$G$175)/('WW Plan'!$H$174+1-'WW Plan'!$G$174),0),0))</f>
        <v>0</v>
      </c>
      <c r="O155" s="2052">
        <f>(IF('WW Plan'!$E$161="Activate",IF(AND(O$3&gt;='WW Plan'!$G$174,O$3&lt;'WW Plan'!$H$174+1),('WW Plan'!$G$166*'WW Plan'!$G$175)/('WW Plan'!$H$174+1-'WW Plan'!$G$174),0),0))</f>
        <v>0</v>
      </c>
      <c r="Q155" s="3991"/>
    </row>
    <row r="156" spans="1:17" s="82" customFormat="1" hidden="1" outlineLevel="1" x14ac:dyDescent="0.25">
      <c r="B156" s="7269"/>
      <c r="C156" s="7272"/>
      <c r="D156" s="2367" t="s">
        <v>2423</v>
      </c>
      <c r="E156" s="2368">
        <f>(IF('WW Plan'!$E$161="Activate",IF(AND(E$3&gt;='WW Plan'!$G$174,E$3&lt;'WW Plan'!$H$174+1),('WW Plan'!$H$166*'WW Plan'!$H$175)/('WW Plan'!$H$174+1-'WW Plan'!$G$174),0),0))</f>
        <v>0</v>
      </c>
      <c r="F156" s="2368">
        <f>(IF('WW Plan'!$E$161="Activate",IF(AND(F$3&gt;='WW Plan'!$G$174,F$3&lt;'WW Plan'!$H$174+1),('WW Plan'!$H$166*'WW Plan'!$H$175)/('WW Plan'!$H$174+1-'WW Plan'!$G$174),0),0))</f>
        <v>0</v>
      </c>
      <c r="G156" s="2368">
        <f>(IF('WW Plan'!$E$161="Activate",IF(AND(G$3&gt;='WW Plan'!$G$174,G$3&lt;'WW Plan'!$H$174+1),('WW Plan'!$H$166*'WW Plan'!$H$175)/('WW Plan'!$H$174+1-'WW Plan'!$G$174),0),0))</f>
        <v>0</v>
      </c>
      <c r="H156" s="2368">
        <f>(IF('WW Plan'!$E$161="Activate",IF(AND(H$3&gt;='WW Plan'!$G$174,H$3&lt;'WW Plan'!$H$174+1),('WW Plan'!$H$166*'WW Plan'!$H$175)/('WW Plan'!$H$174+1-'WW Plan'!$G$174),0),0))</f>
        <v>0</v>
      </c>
      <c r="I156" s="2368">
        <f>(IF('WW Plan'!$E$161="Activate",IF(AND(I$3&gt;='WW Plan'!$G$174,I$3&lt;'WW Plan'!$H$174+1),('WW Plan'!$H$166*'WW Plan'!$H$175)/('WW Plan'!$H$174+1-'WW Plan'!$G$174),0),0))</f>
        <v>0</v>
      </c>
      <c r="J156" s="2368">
        <f>(IF('WW Plan'!$E$161="Activate",IF(AND(J$3&gt;='WW Plan'!$G$174,J$3&lt;'WW Plan'!$H$174+1),('WW Plan'!$H$166*'WW Plan'!$H$175)/('WW Plan'!$H$174+1-'WW Plan'!$G$174),0),0))</f>
        <v>0</v>
      </c>
      <c r="K156" s="2368">
        <f>(IF('WW Plan'!$E$161="Activate",IF(AND(K$3&gt;='WW Plan'!$G$174,K$3&lt;'WW Plan'!$H$174+1),('WW Plan'!$H$166*'WW Plan'!$H$175)/('WW Plan'!$H$174+1-'WW Plan'!$G$174),0),0))</f>
        <v>0</v>
      </c>
      <c r="L156" s="2368">
        <f>(IF('WW Plan'!$E$161="Activate",IF(AND(L$3&gt;='WW Plan'!$G$174,L$3&lt;'WW Plan'!$H$174+1),('WW Plan'!$H$166*'WW Plan'!$H$175)/('WW Plan'!$H$174+1-'WW Plan'!$G$174),0),0))</f>
        <v>0</v>
      </c>
      <c r="M156" s="2368">
        <f>(IF('WW Plan'!$E$161="Activate",IF(AND(M$3&gt;='WW Plan'!$G$174,M$3&lt;'WW Plan'!$H$174+1),('WW Plan'!$H$166*'WW Plan'!$H$175)/('WW Plan'!$H$174+1-'WW Plan'!$G$174),0),0))</f>
        <v>0</v>
      </c>
      <c r="N156" s="2368">
        <f>(IF('WW Plan'!$E$161="Activate",IF(AND(N$3&gt;='WW Plan'!$G$174,N$3&lt;'WW Plan'!$H$174+1),('WW Plan'!$H$166*'WW Plan'!$H$175)/('WW Plan'!$H$174+1-'WW Plan'!$G$174),0),0))</f>
        <v>0</v>
      </c>
      <c r="O156" s="2368">
        <f>(IF('WW Plan'!$E$161="Activate",IF(AND(O$3&gt;='WW Plan'!$G$174,O$3&lt;'WW Plan'!$H$174+1),('WW Plan'!$H$166*'WW Plan'!$H$175)/('WW Plan'!$H$174+1-'WW Plan'!$G$174),0),0))</f>
        <v>0</v>
      </c>
      <c r="Q156" s="3991"/>
    </row>
    <row r="157" spans="1:17" s="82" customFormat="1" hidden="1" outlineLevel="1" x14ac:dyDescent="0.25">
      <c r="B157" s="7270"/>
      <c r="C157" s="7273"/>
      <c r="D157" s="5772" t="s">
        <v>493</v>
      </c>
      <c r="E157" s="2053"/>
      <c r="F157" s="2053">
        <f>(F155+F156)*'WW Plan'!$H$177/CurrencyMultiplier</f>
        <v>0</v>
      </c>
      <c r="G157" s="2053">
        <f>(G155+G156)*'WW Plan'!$H$177/CurrencyMultiplier</f>
        <v>0</v>
      </c>
      <c r="H157" s="2053">
        <f>(H155+H156)*'WW Plan'!$H$177/CurrencyMultiplier</f>
        <v>0</v>
      </c>
      <c r="I157" s="2053">
        <f>(I155+I156)*'WW Plan'!$H$177/CurrencyMultiplier</f>
        <v>0</v>
      </c>
      <c r="J157" s="2053">
        <f>(J155+J156)*'WW Plan'!$H$177/CurrencyMultiplier</f>
        <v>0</v>
      </c>
      <c r="K157" s="2053">
        <f>(K155+K156)*'WW Plan'!$H$177/CurrencyMultiplier</f>
        <v>0</v>
      </c>
      <c r="L157" s="2053">
        <f>(L155+L156)*'WW Plan'!$H$177/CurrencyMultiplier</f>
        <v>0</v>
      </c>
      <c r="M157" s="2053">
        <f>(M155+M156)*'WW Plan'!$H$177/CurrencyMultiplier</f>
        <v>0</v>
      </c>
      <c r="N157" s="2053">
        <f>(N155+N156)*'WW Plan'!$H$177/CurrencyMultiplier</f>
        <v>0</v>
      </c>
      <c r="O157" s="2053">
        <f>(O155+O156)*'WW Plan'!$H$177/CurrencyMultiplier</f>
        <v>0</v>
      </c>
      <c r="Q157" s="3991"/>
    </row>
    <row r="158" spans="1:17" s="82" customFormat="1" hidden="1" outlineLevel="1" x14ac:dyDescent="0.25">
      <c r="B158" s="7268">
        <v>3</v>
      </c>
      <c r="C158" s="7271" t="s">
        <v>2426</v>
      </c>
      <c r="D158" s="2054" t="s">
        <v>2422</v>
      </c>
      <c r="E158" s="2052">
        <f>(IF('WW Plan'!$E$161="Activate",IF(AND(E$3&gt;='WW Plan'!$G$178,E$3&lt;'WW Plan'!$H$178+1),('WW Plan'!$G$166*'WW Plan'!$G$179)/('WW Plan'!$H$178+1-'WW Plan'!$G$178),0),0))</f>
        <v>0</v>
      </c>
      <c r="F158" s="2052">
        <f>(IF('WW Plan'!$E$161="Activate",IF(AND(F$3&gt;='WW Plan'!$G$178,F$3&lt;'WW Plan'!$H$178+1),('WW Plan'!$G$166*'WW Plan'!$G$179)/('WW Plan'!$H$178+1-'WW Plan'!$G$178),0),0))</f>
        <v>0</v>
      </c>
      <c r="G158" s="2052">
        <f>(IF('WW Plan'!$E$161="Activate",IF(AND(G$3&gt;='WW Plan'!$G$178,G$3&lt;'WW Plan'!$H$178+1),('WW Plan'!$G$166*'WW Plan'!$G$179)/('WW Plan'!$H$178+1-'WW Plan'!$G$178),0),0))</f>
        <v>0</v>
      </c>
      <c r="H158" s="2052">
        <f>(IF('WW Plan'!$E$161="Activate",IF(AND(H$3&gt;='WW Plan'!$G$178,H$3&lt;'WW Plan'!$H$178+1),('WW Plan'!$G$166*'WW Plan'!$G$179)/('WW Plan'!$H$178+1-'WW Plan'!$G$178),0),0))</f>
        <v>0</v>
      </c>
      <c r="I158" s="2052">
        <f>(IF('WW Plan'!$E$161="Activate",IF(AND(I$3&gt;='WW Plan'!$G$178,I$3&lt;'WW Plan'!$H$178+1),('WW Plan'!$G$166*'WW Plan'!$G$179)/('WW Plan'!$H$178+1-'WW Plan'!$G$178),0),0))</f>
        <v>0</v>
      </c>
      <c r="J158" s="2052">
        <f>(IF('WW Plan'!$E$161="Activate",IF(AND(J$3&gt;='WW Plan'!$G$178,J$3&lt;'WW Plan'!$H$178+1),('WW Plan'!$G$166*'WW Plan'!$G$179)/('WW Plan'!$H$178+1-'WW Plan'!$G$178),0),0))</f>
        <v>0</v>
      </c>
      <c r="K158" s="2052">
        <f>(IF('WW Plan'!$E$161="Activate",IF(AND(K$3&gt;='WW Plan'!$G$178,K$3&lt;'WW Plan'!$H$178+1),('WW Plan'!$G$166*'WW Plan'!$G$179)/('WW Plan'!$H$178+1-'WW Plan'!$G$178),0),0))</f>
        <v>0</v>
      </c>
      <c r="L158" s="2052">
        <f>(IF('WW Plan'!$E$161="Activate",IF(AND(L$3&gt;='WW Plan'!$G$178,L$3&lt;'WW Plan'!$H$178+1),('WW Plan'!$G$166*'WW Plan'!$G$179)/('WW Plan'!$H$178+1-'WW Plan'!$G$178),0),0))</f>
        <v>0</v>
      </c>
      <c r="M158" s="2052">
        <f>(IF('WW Plan'!$E$161="Activate",IF(AND(M$3&gt;='WW Plan'!$G$178,M$3&lt;'WW Plan'!$H$178+1),('WW Plan'!$G$166*'WW Plan'!$G$179)/('WW Plan'!$H$178+1-'WW Plan'!$G$178),0),0))</f>
        <v>0</v>
      </c>
      <c r="N158" s="2052">
        <f>(IF('WW Plan'!$E$161="Activate",IF(AND(N$3&gt;='WW Plan'!$G$178,N$3&lt;'WW Plan'!$H$178+1),('WW Plan'!$G$166*'WW Plan'!$G$179)/('WW Plan'!$H$178+1-'WW Plan'!$G$178),0),0))</f>
        <v>0</v>
      </c>
      <c r="O158" s="2052">
        <f>(IF('WW Plan'!$E$161="Activate",IF(AND(O$3&gt;='WW Plan'!$G$178,O$3&lt;'WW Plan'!$H$178+1),('WW Plan'!$G$166*'WW Plan'!$G$179)/('WW Plan'!$H$178+1-'WW Plan'!$G$178),0),0))</f>
        <v>0</v>
      </c>
      <c r="Q158" s="3991"/>
    </row>
    <row r="159" spans="1:17" s="82" customFormat="1" hidden="1" outlineLevel="1" x14ac:dyDescent="0.25">
      <c r="B159" s="7269"/>
      <c r="C159" s="7272"/>
      <c r="D159" s="2367" t="s">
        <v>2423</v>
      </c>
      <c r="E159" s="2368">
        <f>(IF('WW Plan'!$E$161="Activate",IF(AND(E$3&gt;='WW Plan'!$G$178,E$3&lt;'WW Plan'!$H$178+1),('WW Plan'!$H$166*'WW Plan'!$H$179)/('WW Plan'!$H$178+1-'WW Plan'!$G$178),0),0))</f>
        <v>0</v>
      </c>
      <c r="F159" s="2368">
        <f>(IF('WW Plan'!$E$161="Activate",IF(AND(F$3&gt;='WW Plan'!$G$178,F$3&lt;'WW Plan'!$H$178+1),('WW Plan'!$H$166*'WW Plan'!$H$179)/('WW Plan'!$H$178+1-'WW Plan'!$G$178),0),0))</f>
        <v>0</v>
      </c>
      <c r="G159" s="2368">
        <f>(IF('WW Plan'!$E$161="Activate",IF(AND(G$3&gt;='WW Plan'!$G$178,G$3&lt;'WW Plan'!$H$178+1),('WW Plan'!$H$166*'WW Plan'!$H$179)/('WW Plan'!$H$178+1-'WW Plan'!$G$178),0),0))</f>
        <v>0</v>
      </c>
      <c r="H159" s="2368">
        <f>(IF('WW Plan'!$E$161="Activate",IF(AND(H$3&gt;='WW Plan'!$G$178,H$3&lt;'WW Plan'!$H$178+1),('WW Plan'!$H$166*'WW Plan'!$H$179)/('WW Plan'!$H$178+1-'WW Plan'!$G$178),0),0))</f>
        <v>0</v>
      </c>
      <c r="I159" s="2368">
        <f>(IF('WW Plan'!$E$161="Activate",IF(AND(I$3&gt;='WW Plan'!$G$178,I$3&lt;'WW Plan'!$H$178+1),('WW Plan'!$H$166*'WW Plan'!$H$179)/('WW Plan'!$H$178+1-'WW Plan'!$G$178),0),0))</f>
        <v>0</v>
      </c>
      <c r="J159" s="2368">
        <f>(IF('WW Plan'!$E$161="Activate",IF(AND(J$3&gt;='WW Plan'!$G$178,J$3&lt;'WW Plan'!$H$178+1),('WW Plan'!$H$166*'WW Plan'!$H$179)/('WW Plan'!$H$178+1-'WW Plan'!$G$178),0),0))</f>
        <v>0</v>
      </c>
      <c r="K159" s="2368">
        <f>(IF('WW Plan'!$E$161="Activate",IF(AND(K$3&gt;='WW Plan'!$G$178,K$3&lt;'WW Plan'!$H$178+1),('WW Plan'!$H$166*'WW Plan'!$H$179)/('WW Plan'!$H$178+1-'WW Plan'!$G$178),0),0))</f>
        <v>0</v>
      </c>
      <c r="L159" s="2368">
        <f>(IF('WW Plan'!$E$161="Activate",IF(AND(L$3&gt;='WW Plan'!$G$178,L$3&lt;'WW Plan'!$H$178+1),('WW Plan'!$H$166*'WW Plan'!$H$179)/('WW Plan'!$H$178+1-'WW Plan'!$G$178),0),0))</f>
        <v>0</v>
      </c>
      <c r="M159" s="2368">
        <f>(IF('WW Plan'!$E$161="Activate",IF(AND(M$3&gt;='WW Plan'!$G$178,M$3&lt;'WW Plan'!$H$178+1),('WW Plan'!$H$166*'WW Plan'!$H$179)/('WW Plan'!$H$178+1-'WW Plan'!$G$178),0),0))</f>
        <v>0</v>
      </c>
      <c r="N159" s="2368">
        <f>(IF('WW Plan'!$E$161="Activate",IF(AND(N$3&gt;='WW Plan'!$G$178,N$3&lt;'WW Plan'!$H$178+1),('WW Plan'!$H$166*'WW Plan'!$H$179)/('WW Plan'!$H$178+1-'WW Plan'!$G$178),0),0))</f>
        <v>0</v>
      </c>
      <c r="O159" s="2368">
        <f>(IF('WW Plan'!$E$161="Activate",IF(AND(O$3&gt;='WW Plan'!$G$178,O$3&lt;'WW Plan'!$H$178+1),('WW Plan'!$H$166*'WW Plan'!$H$179)/('WW Plan'!$H$178+1-'WW Plan'!$G$178),0),0))</f>
        <v>0</v>
      </c>
      <c r="Q159" s="3991"/>
    </row>
    <row r="160" spans="1:17" s="82" customFormat="1" hidden="1" outlineLevel="1" x14ac:dyDescent="0.25">
      <c r="B160" s="7270"/>
      <c r="C160" s="7273"/>
      <c r="D160" s="5772" t="s">
        <v>493</v>
      </c>
      <c r="E160" s="2053"/>
      <c r="F160" s="2053">
        <f>(F158+F159)*'WW Plan'!$H$181/CurrencyMultiplier</f>
        <v>0</v>
      </c>
      <c r="G160" s="2053">
        <f>(G158+G159)*'WW Plan'!$H$181/CurrencyMultiplier</f>
        <v>0</v>
      </c>
      <c r="H160" s="2053">
        <f>(H158+H159)*'WW Plan'!$H$181/CurrencyMultiplier</f>
        <v>0</v>
      </c>
      <c r="I160" s="2053">
        <f>(I158+I159)*'WW Plan'!$H$181/CurrencyMultiplier</f>
        <v>0</v>
      </c>
      <c r="J160" s="2053">
        <f>(J158+J159)*'WW Plan'!$H$181/CurrencyMultiplier</f>
        <v>0</v>
      </c>
      <c r="K160" s="2053">
        <f>(K158+K159)*'WW Plan'!$H$181/CurrencyMultiplier</f>
        <v>0</v>
      </c>
      <c r="L160" s="2053">
        <f>(L158+L159)*'WW Plan'!$H$181/CurrencyMultiplier</f>
        <v>0</v>
      </c>
      <c r="M160" s="2053">
        <f>(M158+M159)*'WW Plan'!$H$181/CurrencyMultiplier</f>
        <v>0</v>
      </c>
      <c r="N160" s="2053">
        <f>(N158+N159)*'WW Plan'!$H$181/CurrencyMultiplier</f>
        <v>0</v>
      </c>
      <c r="O160" s="2053">
        <f>(O158+O159)*'WW Plan'!$H$181/CurrencyMultiplier</f>
        <v>0</v>
      </c>
      <c r="Q160" s="3991"/>
    </row>
    <row r="161" spans="1:17" s="82" customFormat="1" hidden="1" outlineLevel="1" x14ac:dyDescent="0.25">
      <c r="B161" s="7274"/>
      <c r="C161" s="7276" t="s">
        <v>2427</v>
      </c>
      <c r="D161" s="2054" t="s">
        <v>2422</v>
      </c>
      <c r="E161" s="2052">
        <f>SUM($D$152:E152)+SUM($D$155:E155)+SUM($D$158:E158)</f>
        <v>0</v>
      </c>
      <c r="F161" s="2052">
        <f>SUM($D$152:F152)+SUM($D$155:F155)+SUM($D$158:F158)</f>
        <v>0</v>
      </c>
      <c r="G161" s="2052">
        <f>SUM($D$152:G152)+SUM($D$155:G155)+SUM($D$158:G158)</f>
        <v>0</v>
      </c>
      <c r="H161" s="2052">
        <f>SUM($D$152:H152)+SUM($D$155:H155)+SUM($D$158:H158)</f>
        <v>0</v>
      </c>
      <c r="I161" s="2052">
        <f>SUM($D$152:I152)+SUM($D$155:I155)+SUM($D$158:I158)</f>
        <v>0</v>
      </c>
      <c r="J161" s="2052">
        <f>SUM($D$152:J152)+SUM($D$155:J155)+SUM($D$158:J158)</f>
        <v>0</v>
      </c>
      <c r="K161" s="2052">
        <f>SUM($D$152:K152)+SUM($D$155:K155)+SUM($D$158:K158)</f>
        <v>0</v>
      </c>
      <c r="L161" s="2052">
        <f>SUM($D$152:L152)+SUM($D$155:L155)+SUM($D$158:L158)</f>
        <v>0</v>
      </c>
      <c r="M161" s="2052">
        <f>SUM($D$152:M152)+SUM($D$155:M155)+SUM($D$158:M158)</f>
        <v>0</v>
      </c>
      <c r="N161" s="2052">
        <f>SUM($D$152:N152)+SUM($D$155:N155)+SUM($D$158:N158)</f>
        <v>0</v>
      </c>
      <c r="O161" s="2052">
        <f>SUM($D$152:O152)+SUM($D$155:O155)+SUM($D$158:O158)</f>
        <v>0</v>
      </c>
      <c r="Q161" s="3991"/>
    </row>
    <row r="162" spans="1:17" s="82" customFormat="1" hidden="1" outlineLevel="1" x14ac:dyDescent="0.25">
      <c r="B162" s="7275"/>
      <c r="C162" s="7277"/>
      <c r="D162" s="2055" t="s">
        <v>2423</v>
      </c>
      <c r="E162" s="2053">
        <f>SUM($D$153:E153)+SUM($D$156:E156)+SUM($D$159:E159)</f>
        <v>0</v>
      </c>
      <c r="F162" s="2053">
        <f>SUM($D$153:F153)+SUM($D$156:F156)+SUM($D$159:F159)</f>
        <v>0</v>
      </c>
      <c r="G162" s="2053">
        <f>SUM($D$153:G153)+SUM($D$156:G156)+SUM($D$159:G159)</f>
        <v>0</v>
      </c>
      <c r="H162" s="2053">
        <f>SUM($D$153:H153)+SUM($D$156:H156)+SUM($D$159:H159)</f>
        <v>0</v>
      </c>
      <c r="I162" s="2053">
        <f>SUM($D$153:I153)+SUM($D$156:I156)+SUM($D$159:I159)</f>
        <v>0</v>
      </c>
      <c r="J162" s="2053">
        <f>SUM($D$153:J153)+SUM($D$156:J156)+SUM($D$159:J159)</f>
        <v>0</v>
      </c>
      <c r="K162" s="2053">
        <f>SUM($D$153:K153)+SUM($D$156:K156)+SUM($D$159:K159)</f>
        <v>0</v>
      </c>
      <c r="L162" s="2053">
        <f>SUM($D$153:L153)+SUM($D$156:L156)+SUM($D$159:L159)</f>
        <v>0</v>
      </c>
      <c r="M162" s="2053">
        <f>SUM($D$153:M153)+SUM($D$156:M156)+SUM($D$159:M159)</f>
        <v>0</v>
      </c>
      <c r="N162" s="2053">
        <f>SUM($D$153:N153)+SUM($D$156:N156)+SUM($D$159:N159)</f>
        <v>0</v>
      </c>
      <c r="O162" s="2053">
        <f>SUM($D$153:O153)+SUM($D$156:O156)+SUM($D$159:O159)</f>
        <v>0</v>
      </c>
      <c r="Q162" s="3991"/>
    </row>
    <row r="163" spans="1:17" s="82" customFormat="1" hidden="1" outlineLevel="1" x14ac:dyDescent="0.25">
      <c r="B163" s="7274"/>
      <c r="C163" s="7276" t="s">
        <v>2429</v>
      </c>
      <c r="D163" s="2054" t="s">
        <v>2422</v>
      </c>
      <c r="E163" s="2052">
        <f>IFERROR(E161/('WW Plan'!$G$166/'WW Plan'!$G$165),0)</f>
        <v>0</v>
      </c>
      <c r="F163" s="2052">
        <f>IFERROR(F161/('WW Plan'!$G$166/'WW Plan'!$G$165),0)</f>
        <v>0</v>
      </c>
      <c r="G163" s="2052">
        <f>IFERROR(G161/('WW Plan'!$G$166/'WW Plan'!$G$165),0)</f>
        <v>0</v>
      </c>
      <c r="H163" s="2052">
        <f>IFERROR(H161/('WW Plan'!$G$166/'WW Plan'!$G$165),0)</f>
        <v>0</v>
      </c>
      <c r="I163" s="2052">
        <f>IFERROR(I161/('WW Plan'!$G$166/'WW Plan'!$G$165),0)</f>
        <v>0</v>
      </c>
      <c r="J163" s="2052">
        <f>IFERROR(J161/('WW Plan'!$G$166/'WW Plan'!$G$165),0)</f>
        <v>0</v>
      </c>
      <c r="K163" s="2052">
        <f>IFERROR(K161/('WW Plan'!$G$166/'WW Plan'!$G$165),0)</f>
        <v>0</v>
      </c>
      <c r="L163" s="2052">
        <f>IFERROR(L161/('WW Plan'!$G$166/'WW Plan'!$G$165),0)</f>
        <v>0</v>
      </c>
      <c r="M163" s="2052">
        <f>IFERROR(M161/('WW Plan'!$G$166/'WW Plan'!$G$165),0)</f>
        <v>0</v>
      </c>
      <c r="N163" s="2052">
        <f>IFERROR(N161/('WW Plan'!$G$166/'WW Plan'!$G$165),0)</f>
        <v>0</v>
      </c>
      <c r="O163" s="2052">
        <f>IFERROR(O161/('WW Plan'!$G$166/'WW Plan'!$G$165),0)</f>
        <v>0</v>
      </c>
      <c r="Q163" s="3991"/>
    </row>
    <row r="164" spans="1:17" s="82" customFormat="1" hidden="1" outlineLevel="1" x14ac:dyDescent="0.25">
      <c r="B164" s="7275"/>
      <c r="C164" s="7277"/>
      <c r="D164" s="2055" t="s">
        <v>2423</v>
      </c>
      <c r="E164" s="2053">
        <f>IFERROR(E162/('WW Plan'!$H$166/'WW Plan'!$H$165),0)</f>
        <v>0</v>
      </c>
      <c r="F164" s="2053">
        <f>IFERROR(F162/('WW Plan'!$H$166/'WW Plan'!$H$165),0)</f>
        <v>0</v>
      </c>
      <c r="G164" s="2053">
        <f>IFERROR(G162/('WW Plan'!$H$166/'WW Plan'!$H$165),0)</f>
        <v>0</v>
      </c>
      <c r="H164" s="2053">
        <f>IFERROR(H162/('WW Plan'!$H$166/'WW Plan'!$H$165),0)</f>
        <v>0</v>
      </c>
      <c r="I164" s="2053">
        <f>IFERROR(I162/('WW Plan'!$H$166/'WW Plan'!$H$165),0)</f>
        <v>0</v>
      </c>
      <c r="J164" s="2053">
        <f>IFERROR(J162/('WW Plan'!$H$166/'WW Plan'!$H$165),0)</f>
        <v>0</v>
      </c>
      <c r="K164" s="2053">
        <f>IFERROR(K162/('WW Plan'!$H$166/'WW Plan'!$H$165),0)</f>
        <v>0</v>
      </c>
      <c r="L164" s="2053">
        <f>IFERROR(L162/('WW Plan'!$H$166/'WW Plan'!$H$165),0)</f>
        <v>0</v>
      </c>
      <c r="M164" s="2053">
        <f>IFERROR(M162/('WW Plan'!$H$166/'WW Plan'!$H$165),0)</f>
        <v>0</v>
      </c>
      <c r="N164" s="2053">
        <f>IFERROR(N162/('WW Plan'!$H$166/'WW Plan'!$H$165),0)</f>
        <v>0</v>
      </c>
      <c r="O164" s="2053">
        <f>IFERROR(O162/('WW Plan'!$H$166/'WW Plan'!$H$165),0)</f>
        <v>0</v>
      </c>
      <c r="Q164" s="3991"/>
    </row>
    <row r="165" spans="1:17" s="82" customFormat="1" hidden="1" outlineLevel="1" x14ac:dyDescent="0.25">
      <c r="B165" s="7274"/>
      <c r="C165" s="7276" t="s">
        <v>2428</v>
      </c>
      <c r="D165" s="7301">
        <f>'WW Plan'!G167</f>
        <v>0</v>
      </c>
      <c r="E165" s="2421">
        <f t="shared" ref="E165:O165" si="60">E161*$D$165</f>
        <v>0</v>
      </c>
      <c r="F165" s="2421">
        <f t="shared" si="60"/>
        <v>0</v>
      </c>
      <c r="G165" s="2421">
        <f t="shared" si="60"/>
        <v>0</v>
      </c>
      <c r="H165" s="2421">
        <f t="shared" si="60"/>
        <v>0</v>
      </c>
      <c r="I165" s="2421">
        <f t="shared" si="60"/>
        <v>0</v>
      </c>
      <c r="J165" s="2421">
        <f t="shared" si="60"/>
        <v>0</v>
      </c>
      <c r="K165" s="2421">
        <f t="shared" si="60"/>
        <v>0</v>
      </c>
      <c r="L165" s="2421">
        <f t="shared" si="60"/>
        <v>0</v>
      </c>
      <c r="M165" s="2421">
        <f t="shared" si="60"/>
        <v>0</v>
      </c>
      <c r="N165" s="2421">
        <f t="shared" si="60"/>
        <v>0</v>
      </c>
      <c r="O165" s="2421">
        <f t="shared" si="60"/>
        <v>0</v>
      </c>
      <c r="Q165" s="3991"/>
    </row>
    <row r="166" spans="1:17" s="82" customFormat="1" hidden="1" outlineLevel="1" x14ac:dyDescent="0.25">
      <c r="B166" s="7275"/>
      <c r="C166" s="7277"/>
      <c r="D166" s="7302"/>
      <c r="E166" s="2422">
        <f t="shared" ref="E166:O166" si="61">E162*$D$165</f>
        <v>0</v>
      </c>
      <c r="F166" s="2422">
        <f t="shared" si="61"/>
        <v>0</v>
      </c>
      <c r="G166" s="2422">
        <f t="shared" si="61"/>
        <v>0</v>
      </c>
      <c r="H166" s="2422">
        <f t="shared" si="61"/>
        <v>0</v>
      </c>
      <c r="I166" s="2422">
        <f t="shared" si="61"/>
        <v>0</v>
      </c>
      <c r="J166" s="2422">
        <f t="shared" si="61"/>
        <v>0</v>
      </c>
      <c r="K166" s="2422">
        <f t="shared" si="61"/>
        <v>0</v>
      </c>
      <c r="L166" s="2422">
        <f t="shared" si="61"/>
        <v>0</v>
      </c>
      <c r="M166" s="2422">
        <f t="shared" si="61"/>
        <v>0</v>
      </c>
      <c r="N166" s="2422">
        <f t="shared" si="61"/>
        <v>0</v>
      </c>
      <c r="O166" s="2422">
        <f t="shared" si="61"/>
        <v>0</v>
      </c>
      <c r="Q166" s="3991"/>
    </row>
    <row r="167" spans="1:17" s="82" customFormat="1" hidden="1" outlineLevel="1" x14ac:dyDescent="0.25">
      <c r="B167" s="2373"/>
      <c r="C167" s="2374"/>
      <c r="D167" s="2520"/>
      <c r="E167" s="597"/>
      <c r="F167" s="597"/>
      <c r="G167" s="597"/>
      <c r="H167" s="597"/>
      <c r="I167" s="597"/>
      <c r="J167" s="597"/>
      <c r="K167" s="597"/>
      <c r="L167" s="597"/>
      <c r="M167" s="597"/>
      <c r="N167" s="597"/>
      <c r="O167" s="597"/>
      <c r="Q167" s="3991"/>
    </row>
    <row r="168" spans="1:17" s="82" customFormat="1" hidden="1" outlineLevel="1" x14ac:dyDescent="0.25">
      <c r="C168" s="719"/>
      <c r="D168" s="153"/>
      <c r="F168" s="155"/>
      <c r="G168" s="155"/>
      <c r="H168" s="155"/>
      <c r="I168" s="155"/>
      <c r="J168" s="155"/>
      <c r="K168" s="155"/>
      <c r="L168" s="155"/>
      <c r="M168" s="155"/>
      <c r="N168" s="155"/>
      <c r="O168" s="155"/>
      <c r="Q168" s="3991"/>
    </row>
    <row r="169" spans="1:17" s="56" customFormat="1" hidden="1" outlineLevel="1" x14ac:dyDescent="0.25">
      <c r="A169"/>
      <c r="B169" s="1913"/>
      <c r="C169" s="1914" t="s">
        <v>962</v>
      </c>
      <c r="D169" s="2505"/>
      <c r="E169" s="1915"/>
      <c r="F169" s="1915"/>
      <c r="G169" s="1915"/>
      <c r="H169" s="1915"/>
      <c r="I169" s="1915"/>
      <c r="J169" s="1915"/>
      <c r="K169" s="1915"/>
      <c r="L169" s="1915"/>
      <c r="M169" s="1915"/>
      <c r="N169" s="1915"/>
      <c r="O169" s="1915"/>
      <c r="Q169" s="3990"/>
    </row>
    <row r="170" spans="1:17" ht="15" hidden="1" customHeight="1" outlineLevel="1" x14ac:dyDescent="0.25">
      <c r="B170" s="1287"/>
      <c r="C170" s="2232" t="s">
        <v>2820</v>
      </c>
      <c r="D170" s="2481"/>
      <c r="E170" s="2633"/>
      <c r="F170" s="2633"/>
      <c r="G170" s="2633"/>
      <c r="H170" s="2633"/>
      <c r="I170" s="2633"/>
      <c r="J170" s="2633"/>
      <c r="K170" s="2633"/>
      <c r="L170" s="2633"/>
      <c r="M170" s="2633"/>
      <c r="N170" s="2633"/>
      <c r="O170" s="2634"/>
    </row>
    <row r="171" spans="1:17" ht="15" hidden="1" customHeight="1" outlineLevel="1" x14ac:dyDescent="0.25">
      <c r="B171" s="1243"/>
      <c r="C171" s="2182" t="s">
        <v>2817</v>
      </c>
      <c r="D171" s="2488"/>
      <c r="E171" s="125">
        <f t="shared" ref="E171:O171" si="62">E120+E137+E163+E164</f>
        <v>39.81818181818182</v>
      </c>
      <c r="F171" s="125">
        <f t="shared" si="62"/>
        <v>42.545454545454547</v>
      </c>
      <c r="G171" s="125">
        <f t="shared" si="62"/>
        <v>45.272727272727273</v>
      </c>
      <c r="H171" s="125">
        <f t="shared" si="62"/>
        <v>48</v>
      </c>
      <c r="I171" s="125">
        <f t="shared" si="62"/>
        <v>48</v>
      </c>
      <c r="J171" s="125">
        <f t="shared" si="62"/>
        <v>48</v>
      </c>
      <c r="K171" s="125">
        <f t="shared" si="62"/>
        <v>48</v>
      </c>
      <c r="L171" s="125">
        <f t="shared" si="62"/>
        <v>48</v>
      </c>
      <c r="M171" s="125">
        <f t="shared" si="62"/>
        <v>48</v>
      </c>
      <c r="N171" s="125">
        <f t="shared" si="62"/>
        <v>48</v>
      </c>
      <c r="O171" s="2327">
        <f t="shared" si="62"/>
        <v>48</v>
      </c>
    </row>
    <row r="172" spans="1:17" s="170" customFormat="1" hidden="1" outlineLevel="1" x14ac:dyDescent="0.25">
      <c r="B172" s="1244"/>
      <c r="C172" s="77" t="s">
        <v>2818</v>
      </c>
      <c r="D172" s="2482"/>
      <c r="E172" s="2267">
        <f>E176+E180</f>
        <v>220</v>
      </c>
      <c r="F172" s="2267">
        <f t="shared" ref="F172:O172" si="63">F176+F180</f>
        <v>235</v>
      </c>
      <c r="G172" s="2267">
        <f t="shared" si="63"/>
        <v>250</v>
      </c>
      <c r="H172" s="2267">
        <f t="shared" si="63"/>
        <v>265</v>
      </c>
      <c r="I172" s="2267">
        <f t="shared" si="63"/>
        <v>265</v>
      </c>
      <c r="J172" s="2267">
        <f t="shared" si="63"/>
        <v>265</v>
      </c>
      <c r="K172" s="2267">
        <f t="shared" si="63"/>
        <v>265</v>
      </c>
      <c r="L172" s="2267">
        <f t="shared" si="63"/>
        <v>265</v>
      </c>
      <c r="M172" s="2267">
        <f t="shared" si="63"/>
        <v>265</v>
      </c>
      <c r="N172" s="2267">
        <f t="shared" si="63"/>
        <v>265</v>
      </c>
      <c r="O172" s="2468">
        <f t="shared" si="63"/>
        <v>265</v>
      </c>
      <c r="Q172" s="3987"/>
    </row>
    <row r="173" spans="1:17" s="170" customFormat="1" hidden="1" outlineLevel="1" x14ac:dyDescent="0.25">
      <c r="B173" s="1244"/>
      <c r="C173" s="77" t="s">
        <v>2434</v>
      </c>
      <c r="D173" s="2482"/>
      <c r="E173" s="2632">
        <f>E177+E181</f>
        <v>2236</v>
      </c>
      <c r="F173" s="2632">
        <f t="shared" ref="F173:O173" si="64">F177+F181</f>
        <v>2374</v>
      </c>
      <c r="G173" s="2632">
        <f t="shared" si="64"/>
        <v>2512</v>
      </c>
      <c r="H173" s="2632">
        <f t="shared" si="64"/>
        <v>2650</v>
      </c>
      <c r="I173" s="2632">
        <f t="shared" si="64"/>
        <v>2650</v>
      </c>
      <c r="J173" s="2632">
        <f t="shared" si="64"/>
        <v>2650</v>
      </c>
      <c r="K173" s="2632">
        <f t="shared" si="64"/>
        <v>2650</v>
      </c>
      <c r="L173" s="2632">
        <f t="shared" si="64"/>
        <v>2650</v>
      </c>
      <c r="M173" s="2632">
        <f t="shared" si="64"/>
        <v>2650</v>
      </c>
      <c r="N173" s="2632">
        <f t="shared" si="64"/>
        <v>2650</v>
      </c>
      <c r="O173" s="2635">
        <f t="shared" si="64"/>
        <v>2650</v>
      </c>
      <c r="Q173" s="3987"/>
    </row>
    <row r="174" spans="1:17" s="733" customFormat="1" hidden="1" outlineLevel="1" x14ac:dyDescent="0.25">
      <c r="B174" s="2636"/>
      <c r="C174" s="77" t="s">
        <v>2435</v>
      </c>
      <c r="D174" s="2580"/>
      <c r="E174" s="154">
        <f>E178+E182</f>
        <v>2236</v>
      </c>
      <c r="F174" s="154">
        <f t="shared" ref="F174:O174" si="65">F178+F182</f>
        <v>2374</v>
      </c>
      <c r="G174" s="154">
        <f t="shared" si="65"/>
        <v>2512</v>
      </c>
      <c r="H174" s="154">
        <f t="shared" si="65"/>
        <v>2650</v>
      </c>
      <c r="I174" s="154">
        <f t="shared" si="65"/>
        <v>2650</v>
      </c>
      <c r="J174" s="154">
        <f t="shared" si="65"/>
        <v>2650</v>
      </c>
      <c r="K174" s="154">
        <f t="shared" si="65"/>
        <v>2650</v>
      </c>
      <c r="L174" s="154">
        <f t="shared" si="65"/>
        <v>2650</v>
      </c>
      <c r="M174" s="154">
        <f t="shared" si="65"/>
        <v>2650</v>
      </c>
      <c r="N174" s="154">
        <f t="shared" si="65"/>
        <v>2650</v>
      </c>
      <c r="O174" s="2460">
        <f t="shared" si="65"/>
        <v>2650</v>
      </c>
      <c r="Q174" s="3993"/>
    </row>
    <row r="175" spans="1:17" s="82" customFormat="1" hidden="1" outlineLevel="1" x14ac:dyDescent="0.25">
      <c r="B175" s="3958"/>
      <c r="C175" s="4028" t="s">
        <v>2924</v>
      </c>
      <c r="D175" s="3959"/>
      <c r="E175" s="3960"/>
      <c r="F175" s="3961"/>
      <c r="G175" s="3961"/>
      <c r="H175" s="3961"/>
      <c r="I175" s="3961"/>
      <c r="J175" s="3961"/>
      <c r="K175" s="3961"/>
      <c r="L175" s="3961"/>
      <c r="M175" s="3961"/>
      <c r="N175" s="3961"/>
      <c r="O175" s="3962"/>
      <c r="Q175" s="3991"/>
    </row>
    <row r="176" spans="1:17" s="82" customFormat="1" hidden="1" outlineLevel="1" x14ac:dyDescent="0.25">
      <c r="B176" s="3957"/>
      <c r="C176" s="77" t="s">
        <v>2925</v>
      </c>
      <c r="D176" s="153"/>
      <c r="E176" s="154">
        <f t="shared" ref="E176:O176" si="66">E121+E161</f>
        <v>208</v>
      </c>
      <c r="F176" s="154">
        <f t="shared" si="66"/>
        <v>223</v>
      </c>
      <c r="G176" s="154">
        <f t="shared" si="66"/>
        <v>238</v>
      </c>
      <c r="H176" s="154">
        <f t="shared" si="66"/>
        <v>253</v>
      </c>
      <c r="I176" s="154">
        <f t="shared" si="66"/>
        <v>253</v>
      </c>
      <c r="J176" s="154">
        <f t="shared" si="66"/>
        <v>253</v>
      </c>
      <c r="K176" s="154">
        <f t="shared" si="66"/>
        <v>253</v>
      </c>
      <c r="L176" s="154">
        <f t="shared" si="66"/>
        <v>253</v>
      </c>
      <c r="M176" s="154">
        <f t="shared" si="66"/>
        <v>253</v>
      </c>
      <c r="N176" s="154">
        <f t="shared" si="66"/>
        <v>253</v>
      </c>
      <c r="O176" s="2460">
        <f t="shared" si="66"/>
        <v>253</v>
      </c>
      <c r="Q176" s="3991"/>
    </row>
    <row r="177" spans="1:17" s="82" customFormat="1" hidden="1" outlineLevel="1" x14ac:dyDescent="0.25">
      <c r="B177" s="3957"/>
      <c r="C177" s="77" t="s">
        <v>2926</v>
      </c>
      <c r="D177" s="153"/>
      <c r="E177" s="154">
        <f t="shared" ref="E177:O177" si="67">E125+E165</f>
        <v>2080</v>
      </c>
      <c r="F177" s="154">
        <f t="shared" si="67"/>
        <v>2230</v>
      </c>
      <c r="G177" s="154">
        <f t="shared" si="67"/>
        <v>2380</v>
      </c>
      <c r="H177" s="154">
        <f t="shared" si="67"/>
        <v>2530</v>
      </c>
      <c r="I177" s="154">
        <f t="shared" si="67"/>
        <v>2530</v>
      </c>
      <c r="J177" s="154">
        <f t="shared" si="67"/>
        <v>2530</v>
      </c>
      <c r="K177" s="154">
        <f t="shared" si="67"/>
        <v>2530</v>
      </c>
      <c r="L177" s="154">
        <f t="shared" si="67"/>
        <v>2530</v>
      </c>
      <c r="M177" s="154">
        <f t="shared" si="67"/>
        <v>2530</v>
      </c>
      <c r="N177" s="154">
        <f t="shared" si="67"/>
        <v>2530</v>
      </c>
      <c r="O177" s="2460">
        <f t="shared" si="67"/>
        <v>2530</v>
      </c>
      <c r="Q177" s="3991"/>
    </row>
    <row r="178" spans="1:17" s="82" customFormat="1" hidden="1" outlineLevel="1" x14ac:dyDescent="0.25">
      <c r="B178" s="3963"/>
      <c r="C178" s="4029" t="s">
        <v>2927</v>
      </c>
      <c r="D178" s="3964"/>
      <c r="E178" s="3965">
        <f>MAX(E177-SUM($E$109:E109),0)</f>
        <v>2080</v>
      </c>
      <c r="F178" s="3965">
        <f>MAX(F177-SUM($E$109:F109),0)</f>
        <v>2230</v>
      </c>
      <c r="G178" s="3965">
        <f>MAX(G177-SUM($E$109:G109),0)</f>
        <v>2380</v>
      </c>
      <c r="H178" s="3965">
        <f>MAX(H177-SUM($E$109:H109),0)</f>
        <v>2530</v>
      </c>
      <c r="I178" s="3965">
        <f>MAX(I177-SUM($E$109:I109),0)</f>
        <v>2530</v>
      </c>
      <c r="J178" s="3965">
        <f>MAX(J177-SUM($E$109:J109),0)</f>
        <v>2530</v>
      </c>
      <c r="K178" s="3965">
        <f>MAX(K177-SUM($E$109:K109),0)</f>
        <v>2530</v>
      </c>
      <c r="L178" s="3965">
        <f>MAX(L177-SUM($E$109:L109),0)</f>
        <v>2530</v>
      </c>
      <c r="M178" s="3965">
        <f>MAX(M177-SUM($E$109:M109),0)</f>
        <v>2530</v>
      </c>
      <c r="N178" s="3965">
        <f>MAX(N177-SUM($E$109:N109),0)</f>
        <v>2530</v>
      </c>
      <c r="O178" s="3966">
        <f>MAX(O177-SUM($E$109:O109),0)</f>
        <v>2530</v>
      </c>
      <c r="Q178" s="3991"/>
    </row>
    <row r="179" spans="1:17" s="733" customFormat="1" hidden="1" outlineLevel="1" x14ac:dyDescent="0.25">
      <c r="B179" s="2636"/>
      <c r="C179" s="80" t="s">
        <v>2821</v>
      </c>
      <c r="D179" s="2580"/>
      <c r="E179" s="154"/>
      <c r="F179" s="154"/>
      <c r="G179" s="154"/>
      <c r="H179" s="154"/>
      <c r="I179" s="154"/>
      <c r="J179" s="154"/>
      <c r="K179" s="154"/>
      <c r="L179" s="154"/>
      <c r="M179" s="154"/>
      <c r="N179" s="154"/>
      <c r="O179" s="2460"/>
      <c r="Q179" s="3993"/>
    </row>
    <row r="180" spans="1:17" s="170" customFormat="1" hidden="1" outlineLevel="1" x14ac:dyDescent="0.25">
      <c r="B180" s="1244"/>
      <c r="C180" s="77" t="s">
        <v>2819</v>
      </c>
      <c r="D180" s="2482"/>
      <c r="E180" s="2267">
        <f t="shared" ref="E180:O180" si="68">E138+E162</f>
        <v>12</v>
      </c>
      <c r="F180" s="2267">
        <f t="shared" si="68"/>
        <v>12</v>
      </c>
      <c r="G180" s="2267">
        <f t="shared" si="68"/>
        <v>12</v>
      </c>
      <c r="H180" s="2267">
        <f t="shared" si="68"/>
        <v>12</v>
      </c>
      <c r="I180" s="2267">
        <f t="shared" si="68"/>
        <v>12</v>
      </c>
      <c r="J180" s="2267">
        <f t="shared" si="68"/>
        <v>12</v>
      </c>
      <c r="K180" s="2267">
        <f t="shared" si="68"/>
        <v>12</v>
      </c>
      <c r="L180" s="2267">
        <f t="shared" si="68"/>
        <v>12</v>
      </c>
      <c r="M180" s="2267">
        <f t="shared" si="68"/>
        <v>12</v>
      </c>
      <c r="N180" s="2267">
        <f t="shared" si="68"/>
        <v>12</v>
      </c>
      <c r="O180" s="2468">
        <f t="shared" si="68"/>
        <v>12</v>
      </c>
      <c r="Q180" s="3987"/>
    </row>
    <row r="181" spans="1:17" s="170" customFormat="1" hidden="1" outlineLevel="1" x14ac:dyDescent="0.25">
      <c r="B181" s="1244"/>
      <c r="C181" s="77" t="s">
        <v>958</v>
      </c>
      <c r="D181" s="2482"/>
      <c r="E181" s="2632">
        <f t="shared" ref="E181:O181" si="69">E142+E166</f>
        <v>156</v>
      </c>
      <c r="F181" s="2632">
        <f t="shared" si="69"/>
        <v>144</v>
      </c>
      <c r="G181" s="2632">
        <f t="shared" si="69"/>
        <v>132</v>
      </c>
      <c r="H181" s="2632">
        <f t="shared" si="69"/>
        <v>120</v>
      </c>
      <c r="I181" s="2632">
        <f t="shared" si="69"/>
        <v>120</v>
      </c>
      <c r="J181" s="2632">
        <f t="shared" si="69"/>
        <v>120</v>
      </c>
      <c r="K181" s="2632">
        <f t="shared" si="69"/>
        <v>120</v>
      </c>
      <c r="L181" s="2632">
        <f t="shared" si="69"/>
        <v>120</v>
      </c>
      <c r="M181" s="2632">
        <f t="shared" si="69"/>
        <v>120</v>
      </c>
      <c r="N181" s="2632">
        <f t="shared" si="69"/>
        <v>120</v>
      </c>
      <c r="O181" s="2635">
        <f t="shared" si="69"/>
        <v>120</v>
      </c>
      <c r="Q181" s="3987"/>
    </row>
    <row r="182" spans="1:17" s="733" customFormat="1" hidden="1" outlineLevel="1" x14ac:dyDescent="0.25">
      <c r="B182" s="2637"/>
      <c r="C182" s="336" t="s">
        <v>2436</v>
      </c>
      <c r="D182" s="2638"/>
      <c r="E182" s="2639">
        <f>MAX(E181-SUM($E$110:E110),0)</f>
        <v>156</v>
      </c>
      <c r="F182" s="2639">
        <f>MAX(F181-SUM($E$110:F110),0)</f>
        <v>144</v>
      </c>
      <c r="G182" s="2639">
        <f>MAX(G181-SUM($E$110:G110),0)</f>
        <v>132</v>
      </c>
      <c r="H182" s="2639">
        <f>MAX(H181-SUM($E$110:H110),0)</f>
        <v>120</v>
      </c>
      <c r="I182" s="2639">
        <f>MAX(I181-SUM($E$110:I110),0)</f>
        <v>120</v>
      </c>
      <c r="J182" s="2639">
        <f>MAX(J181-SUM($E$110:J110),0)</f>
        <v>120</v>
      </c>
      <c r="K182" s="2639">
        <f>MAX(K181-SUM($E$110:K110),0)</f>
        <v>120</v>
      </c>
      <c r="L182" s="2639">
        <f>MAX(L181-SUM($E$110:L110),0)</f>
        <v>120</v>
      </c>
      <c r="M182" s="2639">
        <f>MAX(M181-SUM($E$110:M110),0)</f>
        <v>120</v>
      </c>
      <c r="N182" s="2639">
        <f>MAX(N181-SUM($E$110:N110),0)</f>
        <v>120</v>
      </c>
      <c r="O182" s="2640">
        <f>MAX(O181-SUM($E$110:O110),0)</f>
        <v>120</v>
      </c>
      <c r="Q182" s="3993"/>
    </row>
    <row r="183" spans="1:17" s="82" customFormat="1" hidden="1" outlineLevel="1" x14ac:dyDescent="0.25">
      <c r="C183" s="719"/>
      <c r="D183" s="153"/>
      <c r="F183" s="155"/>
      <c r="G183" s="155"/>
      <c r="H183" s="155"/>
      <c r="I183" s="155"/>
      <c r="J183" s="155"/>
      <c r="K183" s="155"/>
      <c r="L183" s="155"/>
      <c r="M183" s="155"/>
      <c r="N183" s="155"/>
      <c r="O183" s="155"/>
      <c r="Q183" s="3991"/>
    </row>
    <row r="184" spans="1:17" s="82" customFormat="1" hidden="1" outlineLevel="1" x14ac:dyDescent="0.25">
      <c r="C184" s="719"/>
      <c r="D184" s="153"/>
      <c r="F184" s="155"/>
      <c r="G184" s="155"/>
      <c r="H184" s="155"/>
      <c r="I184" s="155"/>
      <c r="J184" s="155"/>
      <c r="K184" s="155"/>
      <c r="L184" s="155"/>
      <c r="M184" s="155"/>
      <c r="N184" s="155"/>
      <c r="O184" s="155"/>
      <c r="Q184" s="3991"/>
    </row>
    <row r="185" spans="1:17" s="82" customFormat="1" hidden="1" outlineLevel="1" x14ac:dyDescent="0.25">
      <c r="C185" s="719"/>
      <c r="D185" s="153"/>
      <c r="F185" s="155"/>
      <c r="G185" s="155"/>
      <c r="H185" s="155"/>
      <c r="I185" s="155"/>
      <c r="J185" s="155"/>
      <c r="K185" s="155"/>
      <c r="L185" s="155"/>
      <c r="M185" s="155"/>
      <c r="N185" s="155"/>
      <c r="O185" s="155"/>
      <c r="Q185" s="3991"/>
    </row>
    <row r="186" spans="1:17" collapsed="1" x14ac:dyDescent="0.25">
      <c r="A186" s="11" t="s">
        <v>12</v>
      </c>
      <c r="B186" s="906" t="s">
        <v>960</v>
      </c>
      <c r="C186" s="2346"/>
      <c r="D186" s="3728">
        <f>$D$188-E193</f>
        <v>0</v>
      </c>
      <c r="E186" s="3729">
        <f>MIN(D186,E551)</f>
        <v>0</v>
      </c>
      <c r="F186" s="24"/>
      <c r="G186" s="24"/>
      <c r="H186" s="24"/>
      <c r="I186" s="24"/>
      <c r="J186" s="24"/>
      <c r="K186" s="24"/>
      <c r="L186" s="24"/>
      <c r="M186" s="24"/>
      <c r="N186" s="24"/>
    </row>
    <row r="187" spans="1:17" hidden="1" outlineLevel="1" x14ac:dyDescent="0.25">
      <c r="B187" s="13" t="s">
        <v>3</v>
      </c>
      <c r="C187" s="13" t="s">
        <v>4</v>
      </c>
      <c r="D187" s="3983" t="s">
        <v>33</v>
      </c>
      <c r="E187" s="13">
        <f>'WS calcu'!E$3</f>
        <v>2014</v>
      </c>
      <c r="F187" s="13">
        <f>'WS calcu'!F$3</f>
        <v>2015</v>
      </c>
      <c r="G187" s="13">
        <f>'WS calcu'!G$3</f>
        <v>2016</v>
      </c>
      <c r="H187" s="13">
        <f>'WS calcu'!H$3</f>
        <v>2017</v>
      </c>
      <c r="I187" s="13">
        <f>'WS calcu'!I$3</f>
        <v>2018</v>
      </c>
      <c r="J187" s="13">
        <f>'WS calcu'!J$3</f>
        <v>2019</v>
      </c>
      <c r="K187" s="13">
        <f>'WS calcu'!K$3</f>
        <v>2020</v>
      </c>
      <c r="L187" s="13">
        <f>'WS calcu'!L$3</f>
        <v>2021</v>
      </c>
      <c r="M187" s="13">
        <f>'WS calcu'!M$3</f>
        <v>2022</v>
      </c>
      <c r="N187" s="13">
        <f>'WS calcu'!N$3</f>
        <v>2023</v>
      </c>
      <c r="O187" s="13">
        <f>'WS calcu'!O$3</f>
        <v>2024</v>
      </c>
    </row>
    <row r="188" spans="1:17" s="56" customFormat="1" hidden="1" outlineLevel="1" x14ac:dyDescent="0.25">
      <c r="A188"/>
      <c r="B188" s="1913"/>
      <c r="C188" s="1914" t="s">
        <v>961</v>
      </c>
      <c r="D188" s="3168">
        <f>'WSS Profile'!F305</f>
        <v>4</v>
      </c>
      <c r="E188" s="1915"/>
      <c r="F188" s="1915"/>
      <c r="G188" s="1915"/>
      <c r="H188" s="1915"/>
      <c r="I188" s="1915"/>
      <c r="J188" s="1915"/>
      <c r="K188" s="1915"/>
      <c r="L188" s="1915"/>
      <c r="M188" s="1915"/>
      <c r="N188" s="1915"/>
      <c r="O188" s="1915"/>
      <c r="Q188" s="3990"/>
    </row>
    <row r="189" spans="1:17" hidden="1" outlineLevel="1" x14ac:dyDescent="0.25">
      <c r="A189" s="27"/>
      <c r="B189" s="556"/>
      <c r="C189" s="1304" t="s">
        <v>2772</v>
      </c>
      <c r="D189" s="2582"/>
      <c r="E189" s="2633">
        <f>'WSS Profile'!F307</f>
        <v>0</v>
      </c>
      <c r="F189" s="2633">
        <f>E189-(IF(AND(F100&gt;='WW Plan'!$G$80,F100&lt;'WW Plan'!$H$80+1),'WW Plan'!$H$82/('WW Plan'!$H$80+1-'WW Plan'!$G$80),0)*IF('WW Plan'!$E$79="Activate",1,0))</f>
        <v>0</v>
      </c>
      <c r="G189" s="2633">
        <f>F189-(IF(AND(G100&gt;='WW Plan'!$G$80,G100&lt;'WW Plan'!$H$80+1),'WW Plan'!$H$82/('WW Plan'!$H$80+1-'WW Plan'!$G$80),0)*IF('WW Plan'!$E$79="Activate",1,0))</f>
        <v>0</v>
      </c>
      <c r="H189" s="2633">
        <f>G189-(IF(AND(H100&gt;='WW Plan'!$G$80,H100&lt;'WW Plan'!$H$80+1),'WW Plan'!$H$82/('WW Plan'!$H$80+1-'WW Plan'!$G$80),0)*IF('WW Plan'!$E$79="Activate",1,0))</f>
        <v>0</v>
      </c>
      <c r="I189" s="2633">
        <f>H189-(IF(AND(I100&gt;='WW Plan'!$G$80,I100&lt;'WW Plan'!$H$80+1),'WW Plan'!$H$82/('WW Plan'!$H$80+1-'WW Plan'!$G$80),0)*IF('WW Plan'!$E$79="Activate",1,0))</f>
        <v>0</v>
      </c>
      <c r="J189" s="2633">
        <f>I189-(IF(AND(J100&gt;='WW Plan'!$G$80,J100&lt;'WW Plan'!$H$80+1),'WW Plan'!$H$82/('WW Plan'!$H$80+1-'WW Plan'!$G$80),0)*IF('WW Plan'!$E$79="Activate",1,0))</f>
        <v>0</v>
      </c>
      <c r="K189" s="2633">
        <f>J189-(IF(AND(K100&gt;='WW Plan'!$G$80,K100&lt;'WW Plan'!$H$80+1),'WW Plan'!$H$82/('WW Plan'!$H$80+1-'WW Plan'!$G$80),0)*IF('WW Plan'!$E$79="Activate",1,0))</f>
        <v>0</v>
      </c>
      <c r="L189" s="2633">
        <f>K189-(IF(AND(L100&gt;='WW Plan'!$G$80,L100&lt;'WW Plan'!$H$80+1),'WW Plan'!$H$82/('WW Plan'!$H$80+1-'WW Plan'!$G$80),0)*IF('WW Plan'!$E$79="Activate",1,0))</f>
        <v>0</v>
      </c>
      <c r="M189" s="2633">
        <f>L189-(IF(AND(M100&gt;='WW Plan'!$G$80,M100&lt;'WW Plan'!$H$80+1),'WW Plan'!$H$82/('WW Plan'!$H$80+1-'WW Plan'!$G$80),0)*IF('WW Plan'!$E$79="Activate",1,0))</f>
        <v>0</v>
      </c>
      <c r="N189" s="2633">
        <f>M189-(IF(AND(N100&gt;='WW Plan'!$G$80,N100&lt;'WW Plan'!$H$80+1),'WW Plan'!$H$82/('WW Plan'!$H$80+1-'WW Plan'!$G$80),0)*IF('WW Plan'!$E$79="Activate",1,0))</f>
        <v>0</v>
      </c>
      <c r="O189" s="2634">
        <f>N189-(IF(AND(O100&gt;='WW Plan'!$G$80,O100&lt;'WW Plan'!$H$80+1),'WW Plan'!$H$82/('WW Plan'!$H$80+1-'WW Plan'!$G$80),0)*IF('WW Plan'!$E$79="Activate",1,0))</f>
        <v>0</v>
      </c>
    </row>
    <row r="190" spans="1:17" hidden="1" outlineLevel="1" x14ac:dyDescent="0.25">
      <c r="A190" s="27"/>
      <c r="B190" s="615"/>
      <c r="C190" s="2182" t="s">
        <v>1298</v>
      </c>
      <c r="D190" s="2482"/>
      <c r="E190" s="125">
        <f>'WSS Profile'!F306-E189</f>
        <v>22</v>
      </c>
      <c r="F190" s="125">
        <f>(E189-F189)+E190</f>
        <v>22</v>
      </c>
      <c r="G190" s="125">
        <f t="shared" ref="G190:O190" si="70">(F189-G189)+F190</f>
        <v>22</v>
      </c>
      <c r="H190" s="125">
        <f t="shared" si="70"/>
        <v>22</v>
      </c>
      <c r="I190" s="125">
        <f t="shared" si="70"/>
        <v>22</v>
      </c>
      <c r="J190" s="125">
        <f t="shared" si="70"/>
        <v>22</v>
      </c>
      <c r="K190" s="125">
        <f t="shared" si="70"/>
        <v>22</v>
      </c>
      <c r="L190" s="125">
        <f t="shared" si="70"/>
        <v>22</v>
      </c>
      <c r="M190" s="125">
        <f t="shared" si="70"/>
        <v>22</v>
      </c>
      <c r="N190" s="125">
        <f t="shared" si="70"/>
        <v>22</v>
      </c>
      <c r="O190" s="2327">
        <f t="shared" si="70"/>
        <v>22</v>
      </c>
    </row>
    <row r="191" spans="1:17" hidden="1" outlineLevel="1" x14ac:dyDescent="0.25">
      <c r="A191" s="27"/>
      <c r="B191" s="615"/>
      <c r="C191" s="2182" t="s">
        <v>2798</v>
      </c>
      <c r="D191" s="3170">
        <f>E551-E186</f>
        <v>0</v>
      </c>
      <c r="E191" s="125">
        <f t="shared" ref="E191:O191" si="71">MAX($D$191-E552,0)</f>
        <v>0</v>
      </c>
      <c r="F191" s="125">
        <f t="shared" si="71"/>
        <v>0</v>
      </c>
      <c r="G191" s="125">
        <f t="shared" si="71"/>
        <v>0</v>
      </c>
      <c r="H191" s="125">
        <f t="shared" si="71"/>
        <v>0</v>
      </c>
      <c r="I191" s="125">
        <f t="shared" si="71"/>
        <v>0</v>
      </c>
      <c r="J191" s="125">
        <f t="shared" si="71"/>
        <v>0</v>
      </c>
      <c r="K191" s="125">
        <f t="shared" si="71"/>
        <v>0</v>
      </c>
      <c r="L191" s="125">
        <f t="shared" si="71"/>
        <v>0</v>
      </c>
      <c r="M191" s="125">
        <f t="shared" si="71"/>
        <v>0</v>
      </c>
      <c r="N191" s="125">
        <f t="shared" si="71"/>
        <v>0</v>
      </c>
      <c r="O191" s="2327">
        <f t="shared" si="71"/>
        <v>0</v>
      </c>
    </row>
    <row r="192" spans="1:17" hidden="1" outlineLevel="1" x14ac:dyDescent="0.25">
      <c r="A192" s="27"/>
      <c r="B192" s="615"/>
      <c r="C192" s="2182" t="s">
        <v>2797</v>
      </c>
      <c r="D192" s="3170">
        <f>E193-D191</f>
        <v>4</v>
      </c>
      <c r="E192" s="125">
        <f>E193-E191</f>
        <v>4</v>
      </c>
      <c r="F192" s="125">
        <f t="shared" ref="F192:O192" si="72">F193-F191</f>
        <v>4</v>
      </c>
      <c r="G192" s="125">
        <f t="shared" si="72"/>
        <v>4</v>
      </c>
      <c r="H192" s="125">
        <f t="shared" si="72"/>
        <v>4</v>
      </c>
      <c r="I192" s="125">
        <f t="shared" si="72"/>
        <v>4</v>
      </c>
      <c r="J192" s="125">
        <f t="shared" si="72"/>
        <v>4</v>
      </c>
      <c r="K192" s="125">
        <f t="shared" si="72"/>
        <v>4</v>
      </c>
      <c r="L192" s="125">
        <f t="shared" si="72"/>
        <v>4</v>
      </c>
      <c r="M192" s="125">
        <f t="shared" si="72"/>
        <v>4</v>
      </c>
      <c r="N192" s="125">
        <f t="shared" si="72"/>
        <v>4</v>
      </c>
      <c r="O192" s="2327">
        <f t="shared" si="72"/>
        <v>4</v>
      </c>
    </row>
    <row r="193" spans="1:17" hidden="1" outlineLevel="1" x14ac:dyDescent="0.25">
      <c r="A193" s="27"/>
      <c r="B193" s="2102"/>
      <c r="C193" s="1305" t="s">
        <v>2450</v>
      </c>
      <c r="D193" s="3727">
        <f>IFERROR('WSS Profile'!F306/'WSS Profile'!F305,0)</f>
        <v>5.5</v>
      </c>
      <c r="E193" s="2642">
        <f>IFERROR(E190/$D$193,0)</f>
        <v>4</v>
      </c>
      <c r="F193" s="2642">
        <f t="shared" ref="F193:O193" si="73">IFERROR(F190/$D$193,0)</f>
        <v>4</v>
      </c>
      <c r="G193" s="2642">
        <f t="shared" si="73"/>
        <v>4</v>
      </c>
      <c r="H193" s="2642">
        <f t="shared" si="73"/>
        <v>4</v>
      </c>
      <c r="I193" s="2642">
        <f t="shared" si="73"/>
        <v>4</v>
      </c>
      <c r="J193" s="2642">
        <f t="shared" si="73"/>
        <v>4</v>
      </c>
      <c r="K193" s="2642">
        <f t="shared" si="73"/>
        <v>4</v>
      </c>
      <c r="L193" s="2642">
        <f t="shared" si="73"/>
        <v>4</v>
      </c>
      <c r="M193" s="2642">
        <f t="shared" si="73"/>
        <v>4</v>
      </c>
      <c r="N193" s="2642">
        <f t="shared" si="73"/>
        <v>4</v>
      </c>
      <c r="O193" s="2643">
        <f t="shared" si="73"/>
        <v>4</v>
      </c>
    </row>
    <row r="194" spans="1:17" s="56" customFormat="1" hidden="1" outlineLevel="1" x14ac:dyDescent="0.25">
      <c r="A194"/>
      <c r="B194" s="1913"/>
      <c r="C194" s="1914" t="s">
        <v>959</v>
      </c>
      <c r="D194" s="2505"/>
      <c r="E194" s="1915"/>
      <c r="F194" s="1915"/>
      <c r="G194" s="1915"/>
      <c r="H194" s="1915"/>
      <c r="I194" s="1915"/>
      <c r="J194" s="1915"/>
      <c r="K194" s="1915"/>
      <c r="L194" s="1915"/>
      <c r="M194" s="1915"/>
      <c r="N194" s="1915"/>
      <c r="O194" s="1915"/>
      <c r="Q194" s="3990"/>
    </row>
    <row r="195" spans="1:17" hidden="1" outlineLevel="1" x14ac:dyDescent="0.25">
      <c r="A195" s="27"/>
      <c r="B195" s="556"/>
      <c r="C195" s="1304" t="s">
        <v>2447</v>
      </c>
      <c r="D195" s="2500">
        <f>'WW Plan'!H191</f>
        <v>1</v>
      </c>
      <c r="E195" s="2633">
        <v>0</v>
      </c>
      <c r="F195" s="2633">
        <f>IF('WW Plan'!$E$182="Activate",IF(AND('WW calcu'!F100&gt;='WW Plan'!$G$190,'WW calcu'!F100&lt;'WW Plan'!$H$190+1),('WW Plan'!$H$186/('WW Plan'!$H$190+1-'WW Plan'!$G$190)),0),0)*$D$195</f>
        <v>3.6666666666666665</v>
      </c>
      <c r="G195" s="2633">
        <f>IF('WW Plan'!$E$182="Activate",IF(AND('WW calcu'!G100&gt;='WW Plan'!$G$190,'WW calcu'!G100&lt;'WW Plan'!$H$190+1),('WW Plan'!$H$186/('WW Plan'!$H$190+1-'WW Plan'!$G$190)),0),0)*$D$195</f>
        <v>3.6666666666666665</v>
      </c>
      <c r="H195" s="2633">
        <f>IF('WW Plan'!$E$182="Activate",IF(AND('WW calcu'!H100&gt;='WW Plan'!$G$190,'WW calcu'!H100&lt;'WW Plan'!$H$190+1),('WW Plan'!$H$186/('WW Plan'!$H$190+1-'WW Plan'!$G$190)),0),0)*$D$195</f>
        <v>3.6666666666666665</v>
      </c>
      <c r="I195" s="2633">
        <f>IF('WW Plan'!$E$182="Activate",IF(AND('WW calcu'!I100&gt;='WW Plan'!$G$190,'WW calcu'!I100&lt;'WW Plan'!$H$190+1),('WW Plan'!$H$186/('WW Plan'!$H$190+1-'WW Plan'!$G$190)),0),0)*$D$195</f>
        <v>0</v>
      </c>
      <c r="J195" s="2633">
        <f>IF('WW Plan'!$E$182="Activate",IF(AND('WW calcu'!J100&gt;='WW Plan'!$G$190,'WW calcu'!J100&lt;'WW Plan'!$H$190+1),('WW Plan'!$H$186/('WW Plan'!$H$190+1-'WW Plan'!$G$190)),0),0)*$D$195</f>
        <v>0</v>
      </c>
      <c r="K195" s="2633">
        <f>IF('WW Plan'!$E$182="Activate",IF(AND('WW calcu'!K100&gt;='WW Plan'!$G$190,'WW calcu'!K100&lt;'WW Plan'!$H$190+1),('WW Plan'!$H$186/('WW Plan'!$H$190+1-'WW Plan'!$G$190)),0),0)*$D$195</f>
        <v>0</v>
      </c>
      <c r="L195" s="2633">
        <f>IF('WW Plan'!$E$182="Activate",IF(AND('WW calcu'!L100&gt;='WW Plan'!$G$190,'WW calcu'!L100&lt;'WW Plan'!$H$190+1),('WW Plan'!$H$186/('WW Plan'!$H$190+1-'WW Plan'!$G$190)),0),0)*$D$195</f>
        <v>0</v>
      </c>
      <c r="M195" s="2633">
        <f>IF('WW Plan'!$E$182="Activate",IF(AND('WW calcu'!M100&gt;='WW Plan'!$G$190,'WW calcu'!M100&lt;'WW Plan'!$H$190+1),('WW Plan'!$H$186/('WW Plan'!$H$190+1-'WW Plan'!$G$190)),0),0)*$D$195</f>
        <v>0</v>
      </c>
      <c r="N195" s="2633">
        <f>IF('WW Plan'!$E$182="Activate",IF(AND('WW calcu'!N100&gt;='WW Plan'!$G$190,'WW calcu'!N100&lt;'WW Plan'!$H$190+1),('WW Plan'!$H$186/('WW Plan'!$H$190+1-'WW Plan'!$G$190)),0),0)*$D$195</f>
        <v>0</v>
      </c>
      <c r="O195" s="2634">
        <f>IF('WW Plan'!$E$182="Activate",IF(AND('WW calcu'!O100&gt;='WW Plan'!$G$190,'WW calcu'!O100&lt;'WW Plan'!$H$190+1),('WW Plan'!$H$186/('WW Plan'!$H$190+1-'WW Plan'!$G$190)),0),0)*$D$195</f>
        <v>0</v>
      </c>
    </row>
    <row r="196" spans="1:17" hidden="1" outlineLevel="1" x14ac:dyDescent="0.25">
      <c r="A196" s="27"/>
      <c r="B196" s="615"/>
      <c r="C196" s="2182" t="s">
        <v>2448</v>
      </c>
      <c r="D196" s="2501">
        <f>'WW Plan'!H195</f>
        <v>0</v>
      </c>
      <c r="E196" s="125"/>
      <c r="F196" s="125">
        <f>IF('WW Plan'!$E$182="Activate",IF(AND('WW calcu'!F$100&gt;='WW Plan'!$G$194,'WW calcu'!F$100&lt;'WW Plan'!$H$194+1),('WW Plan'!$H$186/('WW Plan'!$H$194+1-'WW Plan'!$G$194)),0),0)*$D$196</f>
        <v>0</v>
      </c>
      <c r="G196" s="125">
        <f>IF('WW Plan'!$E$182="Activate",IF(AND('WW calcu'!G$100&gt;='WW Plan'!$G$194,'WW calcu'!G$100&lt;'WW Plan'!$H$194+1),('WW Plan'!$H$186/('WW Plan'!$H$194+1-'WW Plan'!$G$194)),0),0)*$D$196</f>
        <v>0</v>
      </c>
      <c r="H196" s="125">
        <f>IF('WW Plan'!$E$182="Activate",IF(AND('WW calcu'!H$100&gt;='WW Plan'!$G$194,'WW calcu'!H$100&lt;'WW Plan'!$H$194+1),('WW Plan'!$H$186/('WW Plan'!$H$194+1-'WW Plan'!$G$194)),0),0)*$D$196</f>
        <v>0</v>
      </c>
      <c r="I196" s="125">
        <f>IF('WW Plan'!$E$182="Activate",IF(AND('WW calcu'!I$100&gt;='WW Plan'!$G$194,'WW calcu'!I$100&lt;'WW Plan'!$H$194+1),('WW Plan'!$H$186/('WW Plan'!$H$194+1-'WW Plan'!$G$194)),0),0)*$D$196</f>
        <v>0</v>
      </c>
      <c r="J196" s="125">
        <f>IF('WW Plan'!$E$182="Activate",IF(AND('WW calcu'!J$100&gt;='WW Plan'!$G$194,'WW calcu'!J$100&lt;'WW Plan'!$H$194+1),('WW Plan'!$H$186/('WW Plan'!$H$194+1-'WW Plan'!$G$194)),0),0)*$D$196</f>
        <v>0</v>
      </c>
      <c r="K196" s="125">
        <f>IF('WW Plan'!$E$182="Activate",IF(AND('WW calcu'!K$100&gt;='WW Plan'!$G$194,'WW calcu'!K$100&lt;'WW Plan'!$H$194+1),('WW Plan'!$H$186/('WW Plan'!$H$194+1-'WW Plan'!$G$194)),0),0)*$D$196</f>
        <v>0</v>
      </c>
      <c r="L196" s="125">
        <f>IF('WW Plan'!$E$182="Activate",IF(AND('WW calcu'!L$100&gt;='WW Plan'!$G$194,'WW calcu'!L$100&lt;'WW Plan'!$H$194+1),('WW Plan'!$H$186/('WW Plan'!$H$194+1-'WW Plan'!$G$194)),0),0)*$D$196</f>
        <v>0</v>
      </c>
      <c r="M196" s="125">
        <f>IF('WW Plan'!$E$182="Activate",IF(AND('WW calcu'!M$100&gt;='WW Plan'!$G$194,'WW calcu'!M$100&lt;'WW Plan'!$H$194+1),('WW Plan'!$H$186/('WW Plan'!$H$194+1-'WW Plan'!$G$194)),0),0)*$D$196</f>
        <v>0</v>
      </c>
      <c r="N196" s="125">
        <f>IF('WW Plan'!$E$182="Activate",IF(AND('WW calcu'!N$100&gt;='WW Plan'!$G$194,'WW calcu'!N$100&lt;'WW Plan'!$H$194+1),('WW Plan'!$H$186/('WW Plan'!$H$194+1-'WW Plan'!$G$194)),0),0)*$D$196</f>
        <v>0</v>
      </c>
      <c r="O196" s="2327">
        <f>IF('WW Plan'!$E$182="Activate",IF(AND('WW calcu'!O$100&gt;='WW Plan'!$G$194,'WW calcu'!O$100&lt;'WW Plan'!$H$194+1),('WW Plan'!$H$186/('WW Plan'!$H$194+1-'WW Plan'!$G$194)),0),0)*$D$196</f>
        <v>0</v>
      </c>
    </row>
    <row r="197" spans="1:17" hidden="1" outlineLevel="1" x14ac:dyDescent="0.25">
      <c r="A197" s="27"/>
      <c r="B197" s="615"/>
      <c r="C197" s="2182" t="s">
        <v>2449</v>
      </c>
      <c r="D197" s="2501">
        <f>'WW Plan'!H199</f>
        <v>0</v>
      </c>
      <c r="E197" s="125"/>
      <c r="F197" s="125">
        <f>IF('WW Plan'!$E$182="Activate",IF(AND('WW calcu'!F$100&gt;='WW Plan'!$G$198,'WW calcu'!F$100&lt;'WW Plan'!$H$198+1),('WW Plan'!$H$186/('WW Plan'!$H$198+1-'WW Plan'!$G$198)),0),0)*$D$197</f>
        <v>0</v>
      </c>
      <c r="G197" s="125">
        <f>IF('WW Plan'!$E$182="Activate",IF(AND('WW calcu'!G$100&gt;='WW Plan'!$G$198,'WW calcu'!G$100&lt;'WW Plan'!$H$198+1),('WW Plan'!$H$186/('WW Plan'!$H$198+1-'WW Plan'!$G$198)),0),0)*$D$197</f>
        <v>0</v>
      </c>
      <c r="H197" s="125">
        <f>IF('WW Plan'!$E$182="Activate",IF(AND('WW calcu'!H$100&gt;='WW Plan'!$G$198,'WW calcu'!H$100&lt;'WW Plan'!$H$198+1),('WW Plan'!$H$186/('WW Plan'!$H$198+1-'WW Plan'!$G$198)),0),0)*$D$197</f>
        <v>0</v>
      </c>
      <c r="I197" s="125">
        <f>IF('WW Plan'!$E$182="Activate",IF(AND('WW calcu'!I$100&gt;='WW Plan'!$G$198,'WW calcu'!I$100&lt;'WW Plan'!$H$198+1),('WW Plan'!$H$186/('WW Plan'!$H$198+1-'WW Plan'!$G$198)),0),0)*$D$197</f>
        <v>0</v>
      </c>
      <c r="J197" s="125">
        <f>IF('WW Plan'!$E$182="Activate",IF(AND('WW calcu'!J$100&gt;='WW Plan'!$G$198,'WW calcu'!J$100&lt;'WW Plan'!$H$198+1),('WW Plan'!$H$186/('WW Plan'!$H$198+1-'WW Plan'!$G$198)),0),0)*$D$197</f>
        <v>0</v>
      </c>
      <c r="K197" s="125">
        <f>IF('WW Plan'!$E$182="Activate",IF(AND('WW calcu'!K$100&gt;='WW Plan'!$G$198,'WW calcu'!K$100&lt;'WW Plan'!$H$198+1),('WW Plan'!$H$186/('WW Plan'!$H$198+1-'WW Plan'!$G$198)),0),0)*$D$197</f>
        <v>0</v>
      </c>
      <c r="L197" s="125">
        <f>IF('WW Plan'!$E$182="Activate",IF(AND('WW calcu'!L$100&gt;='WW Plan'!$G$198,'WW calcu'!L$100&lt;'WW Plan'!$H$198+1),('WW Plan'!$H$186/('WW Plan'!$H$198+1-'WW Plan'!$G$198)),0),0)*$D$197</f>
        <v>0</v>
      </c>
      <c r="M197" s="125">
        <f>IF('WW Plan'!$E$182="Activate",IF(AND('WW calcu'!M$100&gt;='WW Plan'!$G$198,'WW calcu'!M$100&lt;'WW Plan'!$H$198+1),('WW Plan'!$H$186/('WW Plan'!$H$198+1-'WW Plan'!$G$198)),0),0)*$D$197</f>
        <v>0</v>
      </c>
      <c r="N197" s="125">
        <f>IF('WW Plan'!$E$182="Activate",IF(AND('WW calcu'!N$100&gt;='WW Plan'!$G$198,'WW calcu'!N$100&lt;'WW Plan'!$H$198+1),('WW Plan'!$H$186/('WW Plan'!$H$198+1-'WW Plan'!$G$198)),0),0)*$D$197</f>
        <v>0</v>
      </c>
      <c r="O197" s="2327">
        <f>IF('WW Plan'!$E$182="Activate",IF(AND('WW calcu'!O$100&gt;='WW Plan'!$G$198,'WW calcu'!O$100&lt;'WW Plan'!$H$198+1),('WW Plan'!$H$186/('WW Plan'!$H$198+1-'WW Plan'!$G$198)),0),0)*$D$197</f>
        <v>0</v>
      </c>
    </row>
    <row r="198" spans="1:17" s="49" customFormat="1" hidden="1" outlineLevel="1" x14ac:dyDescent="0.25">
      <c r="B198" s="2644"/>
      <c r="C198" s="2645" t="s">
        <v>2451</v>
      </c>
      <c r="D198" s="2641"/>
      <c r="E198" s="2646">
        <f>SUM(E195:E197)</f>
        <v>0</v>
      </c>
      <c r="F198" s="2646">
        <f>SUM($E$195:F197)</f>
        <v>3.6666666666666665</v>
      </c>
      <c r="G198" s="2646">
        <f>SUM($E$195:G197)</f>
        <v>7.333333333333333</v>
      </c>
      <c r="H198" s="2646">
        <f>SUM($E$195:H197)</f>
        <v>11</v>
      </c>
      <c r="I198" s="2646">
        <f>SUM($E$195:I197)</f>
        <v>11</v>
      </c>
      <c r="J198" s="2646">
        <f>SUM($E$195:J197)</f>
        <v>11</v>
      </c>
      <c r="K198" s="2646">
        <f>SUM($E$195:K197)</f>
        <v>11</v>
      </c>
      <c r="L198" s="2646">
        <f>SUM($E$195:L197)</f>
        <v>11</v>
      </c>
      <c r="M198" s="2646">
        <f>SUM($E$195:M197)</f>
        <v>11</v>
      </c>
      <c r="N198" s="2646">
        <f>SUM($E$195:N197)</f>
        <v>11</v>
      </c>
      <c r="O198" s="2647">
        <f>SUM($E$195:O197)</f>
        <v>11</v>
      </c>
      <c r="Q198" s="3993"/>
    </row>
    <row r="199" spans="1:17" hidden="1" outlineLevel="1" x14ac:dyDescent="0.25">
      <c r="A199" s="27"/>
      <c r="B199" s="2102"/>
      <c r="C199" s="1305" t="s">
        <v>2452</v>
      </c>
      <c r="D199" s="2546">
        <f>IFERROR('WW Plan'!H186/'WW Plan'!H185,0)</f>
        <v>3.6666666666666665</v>
      </c>
      <c r="E199" s="2642"/>
      <c r="F199" s="2642">
        <f>IFERROR(F198/$D$199,0)</f>
        <v>1</v>
      </c>
      <c r="G199" s="2642">
        <f>IFERROR(G198/$D$199,0)</f>
        <v>2</v>
      </c>
      <c r="H199" s="2642">
        <f t="shared" ref="H199:O199" si="74">IFERROR(H198/$D$199,0)</f>
        <v>3</v>
      </c>
      <c r="I199" s="2642">
        <f t="shared" si="74"/>
        <v>3</v>
      </c>
      <c r="J199" s="2642">
        <f t="shared" si="74"/>
        <v>3</v>
      </c>
      <c r="K199" s="2642">
        <f t="shared" si="74"/>
        <v>3</v>
      </c>
      <c r="L199" s="2642">
        <f t="shared" si="74"/>
        <v>3</v>
      </c>
      <c r="M199" s="2642">
        <f t="shared" si="74"/>
        <v>3</v>
      </c>
      <c r="N199" s="2642">
        <f t="shared" si="74"/>
        <v>3</v>
      </c>
      <c r="O199" s="2643">
        <f t="shared" si="74"/>
        <v>3</v>
      </c>
    </row>
    <row r="200" spans="1:17" s="56" customFormat="1" hidden="1" outlineLevel="1" x14ac:dyDescent="0.25">
      <c r="A200"/>
      <c r="B200" s="1913"/>
      <c r="C200" s="1914" t="s">
        <v>465</v>
      </c>
      <c r="D200" s="2505"/>
      <c r="E200" s="1915"/>
      <c r="F200" s="1915"/>
      <c r="G200" s="1915"/>
      <c r="H200" s="1915"/>
      <c r="I200" s="1915"/>
      <c r="J200" s="1915"/>
      <c r="K200" s="1915"/>
      <c r="L200" s="1915"/>
      <c r="M200" s="1915"/>
      <c r="N200" s="1915"/>
      <c r="O200" s="1915"/>
      <c r="Q200" s="3990"/>
    </row>
    <row r="201" spans="1:17" ht="30" hidden="1" outlineLevel="1" x14ac:dyDescent="0.25">
      <c r="A201" s="27"/>
      <c r="B201" s="556"/>
      <c r="C201" s="2648" t="s">
        <v>1146</v>
      </c>
      <c r="D201" s="2582"/>
      <c r="E201" s="2633">
        <f>E190+E198</f>
        <v>22</v>
      </c>
      <c r="F201" s="2633">
        <f t="shared" ref="F201:O201" si="75">F190+F198</f>
        <v>25.666666666666668</v>
      </c>
      <c r="G201" s="2633">
        <f t="shared" si="75"/>
        <v>29.333333333333332</v>
      </c>
      <c r="H201" s="2633">
        <f t="shared" si="75"/>
        <v>33</v>
      </c>
      <c r="I201" s="2633">
        <f t="shared" si="75"/>
        <v>33</v>
      </c>
      <c r="J201" s="2633">
        <f t="shared" si="75"/>
        <v>33</v>
      </c>
      <c r="K201" s="2633">
        <f t="shared" si="75"/>
        <v>33</v>
      </c>
      <c r="L201" s="2633">
        <f t="shared" si="75"/>
        <v>33</v>
      </c>
      <c r="M201" s="2633">
        <f t="shared" si="75"/>
        <v>33</v>
      </c>
      <c r="N201" s="2633">
        <f t="shared" si="75"/>
        <v>33</v>
      </c>
      <c r="O201" s="2634">
        <f t="shared" si="75"/>
        <v>33</v>
      </c>
    </row>
    <row r="202" spans="1:17" ht="30" hidden="1" outlineLevel="1" x14ac:dyDescent="0.25">
      <c r="A202" s="27"/>
      <c r="B202" s="2102"/>
      <c r="C202" s="2649" t="s">
        <v>1145</v>
      </c>
      <c r="D202" s="2546"/>
      <c r="E202" s="2642">
        <f>E199+E193</f>
        <v>4</v>
      </c>
      <c r="F202" s="2642">
        <f t="shared" ref="F202:O202" si="76">F199+F193</f>
        <v>5</v>
      </c>
      <c r="G202" s="2642">
        <f t="shared" si="76"/>
        <v>6</v>
      </c>
      <c r="H202" s="2642">
        <f t="shared" si="76"/>
        <v>7</v>
      </c>
      <c r="I202" s="2642">
        <f t="shared" si="76"/>
        <v>7</v>
      </c>
      <c r="J202" s="2642">
        <f t="shared" si="76"/>
        <v>7</v>
      </c>
      <c r="K202" s="2642">
        <f t="shared" si="76"/>
        <v>7</v>
      </c>
      <c r="L202" s="2642">
        <f t="shared" si="76"/>
        <v>7</v>
      </c>
      <c r="M202" s="2642">
        <f t="shared" si="76"/>
        <v>7</v>
      </c>
      <c r="N202" s="2642">
        <f t="shared" si="76"/>
        <v>7</v>
      </c>
      <c r="O202" s="2643">
        <f t="shared" si="76"/>
        <v>7</v>
      </c>
    </row>
    <row r="203" spans="1:17" s="56" customFormat="1" hidden="1" outlineLevel="1" x14ac:dyDescent="0.25">
      <c r="D203" s="2521"/>
      <c r="Q203" s="3990"/>
    </row>
    <row r="204" spans="1:17" s="82" customFormat="1" hidden="1" outlineLevel="1" x14ac:dyDescent="0.25">
      <c r="B204" s="2377"/>
      <c r="C204" s="2378" t="s">
        <v>2759</v>
      </c>
      <c r="D204" s="5766">
        <f>'WW Plan'!H83</f>
        <v>0</v>
      </c>
      <c r="E204" s="2379"/>
      <c r="F204" s="2380">
        <f>(F190-E190)*$D$204/CurrencyMultiplier</f>
        <v>0</v>
      </c>
      <c r="G204" s="2380">
        <f>(G190-F190)*$D$204/'General info'!$G$44</f>
        <v>0</v>
      </c>
      <c r="H204" s="2380">
        <f>(H190-G190)*$D$204/'General info'!$G$44</f>
        <v>0</v>
      </c>
      <c r="I204" s="2380">
        <f>(I190-H190)*$D$204/'General info'!$G$44</f>
        <v>0</v>
      </c>
      <c r="J204" s="2380">
        <f>(J190-I190)*$D$204/'General info'!$G$44</f>
        <v>0</v>
      </c>
      <c r="K204" s="2380">
        <f>(K190-J190)*$D$204/'General info'!$G$44</f>
        <v>0</v>
      </c>
      <c r="L204" s="2380">
        <f>(L190-K190)*$D$204/'General info'!$G$44</f>
        <v>0</v>
      </c>
      <c r="M204" s="2380">
        <f>(M190-L190)*$D$204/'General info'!$G$44</f>
        <v>0</v>
      </c>
      <c r="N204" s="2380">
        <f>(N190-M190)*$D$204/'General info'!$G$44</f>
        <v>0</v>
      </c>
      <c r="O204" s="2381">
        <f>(O190-N190)*$D$204/'General info'!$G$44</f>
        <v>0</v>
      </c>
      <c r="Q204" s="3991"/>
    </row>
    <row r="205" spans="1:17" s="82" customFormat="1" hidden="1" outlineLevel="1" x14ac:dyDescent="0.25">
      <c r="B205" s="894"/>
      <c r="C205" s="2056" t="s">
        <v>2767</v>
      </c>
      <c r="D205" s="5773"/>
      <c r="E205" s="893"/>
      <c r="F205" s="2382">
        <f>((F195*'WW Plan'!$H$193)+('WW Plan'!$H$197*'WW calcu'!F196)+('WW calcu'!F197*'WW Plan'!$H$201))/CurrencyMultiplier</f>
        <v>3.6666666666666661</v>
      </c>
      <c r="G205" s="2382">
        <f>((G195*'WW Plan'!$H$193)+('WW Plan'!$H$197*'WW calcu'!G196)+('WW calcu'!G197*'WW Plan'!$H$201))/'General info'!$G$44</f>
        <v>3.6666666666666661</v>
      </c>
      <c r="H205" s="2382">
        <f>((H195*'WW Plan'!$H$193)+('WW Plan'!$H$197*'WW calcu'!H196)+('WW calcu'!H197*'WW Plan'!$H$201))/'General info'!$G$44</f>
        <v>3.6666666666666661</v>
      </c>
      <c r="I205" s="2382">
        <f>((I195*'WW Plan'!$H$193)+('WW Plan'!$H$197*'WW calcu'!I196)+('WW calcu'!I197*'WW Plan'!$H$201))/'General info'!$G$44</f>
        <v>0</v>
      </c>
      <c r="J205" s="2382">
        <f>((J195*'WW Plan'!$H$193)+('WW Plan'!$H$197*'WW calcu'!J196)+('WW calcu'!J197*'WW Plan'!$H$201))/'General info'!$G$44</f>
        <v>0</v>
      </c>
      <c r="K205" s="2382">
        <f>((K195*'WW Plan'!$H$193)+('WW Plan'!$H$197*'WW calcu'!K196)+('WW calcu'!K197*'WW Plan'!$H$201))/'General info'!$G$44</f>
        <v>0</v>
      </c>
      <c r="L205" s="2382">
        <f>((L195*'WW Plan'!$H$193)+('WW Plan'!$H$197*'WW calcu'!L196)+('WW calcu'!L197*'WW Plan'!$H$201))/'General info'!$G$44</f>
        <v>0</v>
      </c>
      <c r="M205" s="2382">
        <f>((M195*'WW Plan'!$H$193)+('WW Plan'!$H$197*'WW calcu'!M196)+('WW calcu'!M197*'WW Plan'!$H$201))/'General info'!$G$44</f>
        <v>0</v>
      </c>
      <c r="N205" s="2382">
        <f>((N195*'WW Plan'!$H$193)+('WW Plan'!$H$197*'WW calcu'!N196)+('WW calcu'!N197*'WW Plan'!$H$201))/'General info'!$G$44</f>
        <v>0</v>
      </c>
      <c r="O205" s="2383">
        <f>((O195*'WW Plan'!$H$193)+('WW Plan'!$H$197*'WW calcu'!O196)+('WW calcu'!O197*'WW Plan'!$H$201))/'General info'!$G$44</f>
        <v>0</v>
      </c>
      <c r="Q205" s="3991"/>
    </row>
    <row r="206" spans="1:17" s="82" customFormat="1" hidden="1" outlineLevel="1" x14ac:dyDescent="0.25">
      <c r="B206" s="2369"/>
      <c r="C206" s="2370" t="s">
        <v>2773</v>
      </c>
      <c r="D206" s="5767">
        <f>'WW Plan'!H85*12</f>
        <v>0</v>
      </c>
      <c r="E206" s="2313"/>
      <c r="F206" s="2371">
        <f>(F190-$E$190)*$D$206/CurrencyMultiplier</f>
        <v>0</v>
      </c>
      <c r="G206" s="2371">
        <f>(G190-$E$190)*$D$206/'General info'!$G$44</f>
        <v>0</v>
      </c>
      <c r="H206" s="2371">
        <f>(H190-$E$190)*$D$206/'General info'!$G$44</f>
        <v>0</v>
      </c>
      <c r="I206" s="2371">
        <f>(I190-$E$190)*$D$206/'General info'!$G$44</f>
        <v>0</v>
      </c>
      <c r="J206" s="2371">
        <f>(J190-$E$190)*$D$206/'General info'!$G$44</f>
        <v>0</v>
      </c>
      <c r="K206" s="2371">
        <f>(K190-$E$190)*$D$206/'General info'!$G$44</f>
        <v>0</v>
      </c>
      <c r="L206" s="2371">
        <f>(L190-$E$190)*$D$206/'General info'!$G$44</f>
        <v>0</v>
      </c>
      <c r="M206" s="2371">
        <f>(M190-$E$190)*$D$206/'General info'!$G$44</f>
        <v>0</v>
      </c>
      <c r="N206" s="2371">
        <f>(N190-$E$190)*$D$206/'General info'!$G$44</f>
        <v>0</v>
      </c>
      <c r="O206" s="2372">
        <f>(O190-$E$190)*$D$206/'General info'!$G$44</f>
        <v>0</v>
      </c>
      <c r="Q206" s="3991"/>
    </row>
    <row r="207" spans="1:17" customFormat="1" hidden="1" outlineLevel="1" x14ac:dyDescent="0.25">
      <c r="D207" s="102"/>
      <c r="E207" s="4018"/>
      <c r="F207" s="4018"/>
      <c r="G207" s="4018"/>
      <c r="H207" s="4018"/>
      <c r="I207" s="4018"/>
      <c r="J207" s="4018"/>
      <c r="K207" s="4018"/>
      <c r="L207" s="4018"/>
      <c r="M207" s="4018"/>
      <c r="N207" s="4018"/>
      <c r="O207" s="4018"/>
      <c r="Q207" s="3994"/>
    </row>
    <row r="208" spans="1:17" collapsed="1" x14ac:dyDescent="0.25">
      <c r="A208" s="11" t="s">
        <v>13</v>
      </c>
      <c r="B208" s="11" t="s">
        <v>336</v>
      </c>
      <c r="C208" s="12"/>
      <c r="E208" s="2264"/>
      <c r="F208" s="2264"/>
      <c r="G208" s="2264"/>
      <c r="H208" s="2264"/>
      <c r="I208" s="2264"/>
      <c r="J208" s="2264"/>
      <c r="K208" s="2264"/>
      <c r="L208" s="2264"/>
      <c r="M208" s="2264"/>
      <c r="N208" s="2264"/>
      <c r="O208" s="2264"/>
    </row>
    <row r="209" spans="1:17" hidden="1" outlineLevel="1" x14ac:dyDescent="0.25">
      <c r="B209" s="13" t="s">
        <v>3</v>
      </c>
      <c r="C209" s="13" t="s">
        <v>4</v>
      </c>
      <c r="D209" s="2480" t="s">
        <v>33</v>
      </c>
      <c r="E209" s="13">
        <f>'WS calcu'!E$3</f>
        <v>2014</v>
      </c>
      <c r="F209" s="13">
        <f>'WS calcu'!F$3</f>
        <v>2015</v>
      </c>
      <c r="G209" s="13">
        <f>'WS calcu'!G$3</f>
        <v>2016</v>
      </c>
      <c r="H209" s="13">
        <f>'WS calcu'!H$3</f>
        <v>2017</v>
      </c>
      <c r="I209" s="13">
        <f>'WS calcu'!I$3</f>
        <v>2018</v>
      </c>
      <c r="J209" s="13">
        <f>'WS calcu'!J$3</f>
        <v>2019</v>
      </c>
      <c r="K209" s="13">
        <f>'WS calcu'!K$3</f>
        <v>2020</v>
      </c>
      <c r="L209" s="13">
        <f>'WS calcu'!L$3</f>
        <v>2021</v>
      </c>
      <c r="M209" s="13">
        <f>'WS calcu'!M$3</f>
        <v>2022</v>
      </c>
      <c r="N209" s="13">
        <f>'WS calcu'!N$3</f>
        <v>2023</v>
      </c>
      <c r="O209" s="13">
        <f>'WS calcu'!O$3</f>
        <v>2024</v>
      </c>
    </row>
    <row r="210" spans="1:17" s="304" customFormat="1" hidden="1" outlineLevel="1" x14ac:dyDescent="0.25">
      <c r="A210" s="34"/>
      <c r="B210" s="34"/>
      <c r="C210" s="34" t="s">
        <v>339</v>
      </c>
      <c r="D210" s="2522"/>
      <c r="E210" s="34"/>
      <c r="F210" s="34"/>
      <c r="G210" s="34"/>
      <c r="H210" s="34"/>
      <c r="I210" s="34"/>
      <c r="J210" s="34"/>
      <c r="K210" s="34"/>
      <c r="L210" s="34"/>
      <c r="M210" s="34"/>
      <c r="N210" s="34"/>
      <c r="O210" s="34"/>
      <c r="Q210" s="3996"/>
    </row>
    <row r="211" spans="1:17" s="189" customFormat="1" hidden="1" outlineLevel="1" x14ac:dyDescent="0.25">
      <c r="B211" s="905"/>
      <c r="C211" s="79" t="s">
        <v>335</v>
      </c>
      <c r="D211" s="100"/>
      <c r="E211" s="1144">
        <f t="shared" ref="E211:O211" si="77">E67+E250+E251</f>
        <v>4642</v>
      </c>
      <c r="F211" s="1144">
        <f t="shared" si="77"/>
        <v>5301</v>
      </c>
      <c r="G211" s="1144">
        <f t="shared" si="77"/>
        <v>5960</v>
      </c>
      <c r="H211" s="1144">
        <f t="shared" si="77"/>
        <v>6619</v>
      </c>
      <c r="I211" s="1144">
        <f t="shared" si="77"/>
        <v>7278</v>
      </c>
      <c r="J211" s="1144">
        <f t="shared" si="77"/>
        <v>7937</v>
      </c>
      <c r="K211" s="1144">
        <f t="shared" si="77"/>
        <v>7937</v>
      </c>
      <c r="L211" s="1144">
        <f t="shared" si="77"/>
        <v>7937</v>
      </c>
      <c r="M211" s="1144">
        <f t="shared" si="77"/>
        <v>7937</v>
      </c>
      <c r="N211" s="1144">
        <f t="shared" si="77"/>
        <v>7937</v>
      </c>
      <c r="O211" s="1144">
        <f t="shared" si="77"/>
        <v>7937</v>
      </c>
      <c r="P211" s="4020"/>
      <c r="Q211" s="4019"/>
    </row>
    <row r="212" spans="1:17" s="189" customFormat="1" hidden="1" outlineLevel="1" x14ac:dyDescent="0.25">
      <c r="B212" s="905"/>
      <c r="C212" s="79" t="s">
        <v>262</v>
      </c>
      <c r="D212" s="100"/>
      <c r="E212" s="1144">
        <f t="shared" ref="E212:O212" si="78">E66+E251</f>
        <v>191</v>
      </c>
      <c r="F212" s="1144">
        <f t="shared" si="78"/>
        <v>224</v>
      </c>
      <c r="G212" s="1144">
        <f t="shared" si="78"/>
        <v>257</v>
      </c>
      <c r="H212" s="1144">
        <f t="shared" si="78"/>
        <v>290</v>
      </c>
      <c r="I212" s="1144">
        <f t="shared" si="78"/>
        <v>323</v>
      </c>
      <c r="J212" s="1144">
        <f t="shared" si="78"/>
        <v>356</v>
      </c>
      <c r="K212" s="1144">
        <f t="shared" si="78"/>
        <v>356</v>
      </c>
      <c r="L212" s="1144">
        <f t="shared" si="78"/>
        <v>356</v>
      </c>
      <c r="M212" s="1144">
        <f t="shared" si="78"/>
        <v>356</v>
      </c>
      <c r="N212" s="1144">
        <f t="shared" si="78"/>
        <v>356</v>
      </c>
      <c r="O212" s="1144">
        <f t="shared" si="78"/>
        <v>356</v>
      </c>
      <c r="Q212" s="3997"/>
    </row>
    <row r="213" spans="1:17" s="93" customFormat="1" hidden="1" outlineLevel="1" x14ac:dyDescent="0.25">
      <c r="A213" s="770"/>
      <c r="B213" s="742"/>
      <c r="C213" s="763" t="s">
        <v>2131</v>
      </c>
      <c r="D213" s="771"/>
      <c r="E213" s="780">
        <f>IFERROR(E211/Population!E$31,0)</f>
        <v>0</v>
      </c>
      <c r="F213" s="780">
        <f>IFERROR(F211/Population!F$31,0)</f>
        <v>0</v>
      </c>
      <c r="G213" s="780">
        <f>IFERROR(G211/Population!G$31,0)</f>
        <v>0</v>
      </c>
      <c r="H213" s="780">
        <f>IFERROR(H211/Population!H$31,0)</f>
        <v>0</v>
      </c>
      <c r="I213" s="780">
        <f>IFERROR(I211/Population!I$31,0)</f>
        <v>0</v>
      </c>
      <c r="J213" s="780">
        <f>IFERROR(J211/Population!J$31,0)</f>
        <v>0</v>
      </c>
      <c r="K213" s="780">
        <f>IFERROR(K211/Population!K$31,0)</f>
        <v>0</v>
      </c>
      <c r="L213" s="780">
        <f>IFERROR(L211/Population!L$31,0)</f>
        <v>0</v>
      </c>
      <c r="M213" s="780">
        <f>IFERROR(M211/Population!M$31,0)</f>
        <v>0</v>
      </c>
      <c r="N213" s="780">
        <f>IFERROR(N211/Population!N$31,0)</f>
        <v>0</v>
      </c>
      <c r="O213" s="780">
        <f>IFERROR(O211/Population!O$31,0)</f>
        <v>0</v>
      </c>
      <c r="Q213" s="3997"/>
    </row>
    <row r="214" spans="1:17" s="93" customFormat="1" hidden="1" outlineLevel="1" x14ac:dyDescent="0.25">
      <c r="A214" s="770"/>
      <c r="B214" s="742"/>
      <c r="C214" s="763" t="s">
        <v>2132</v>
      </c>
      <c r="D214" s="771"/>
      <c r="E214" s="780">
        <f>IFERROR(E212/Population!E$30,0)</f>
        <v>0</v>
      </c>
      <c r="F214" s="780">
        <f>IFERROR(F212/Population!F$30,0)</f>
        <v>0</v>
      </c>
      <c r="G214" s="780">
        <f>IFERROR(G212/Population!G$30,0)</f>
        <v>0</v>
      </c>
      <c r="H214" s="780">
        <f>IFERROR(H212/Population!H$30,0)</f>
        <v>0</v>
      </c>
      <c r="I214" s="780">
        <f>IFERROR(I212/Population!I$30,0)</f>
        <v>0</v>
      </c>
      <c r="J214" s="780">
        <f>IFERROR(J212/Population!J$30,0)</f>
        <v>0</v>
      </c>
      <c r="K214" s="780">
        <f>IFERROR(K212/Population!K$30,0)</f>
        <v>0</v>
      </c>
      <c r="L214" s="780">
        <f>IFERROR(L212/Population!L$30,0)</f>
        <v>0</v>
      </c>
      <c r="M214" s="780">
        <f>IFERROR(M212/Population!M$30,0)</f>
        <v>0</v>
      </c>
      <c r="N214" s="780">
        <f>IFERROR(N212/Population!N$30,0)</f>
        <v>0</v>
      </c>
      <c r="O214" s="780">
        <f>IFERROR(O212/Population!O$30,0)</f>
        <v>0</v>
      </c>
      <c r="Q214" s="3997"/>
    </row>
    <row r="215" spans="1:17" s="3996" customFormat="1" hidden="1" outlineLevel="1" x14ac:dyDescent="0.25">
      <c r="A215" s="4000"/>
      <c r="B215" s="724"/>
      <c r="C215" s="724" t="s">
        <v>2965</v>
      </c>
      <c r="D215" s="5173"/>
      <c r="E215" s="724"/>
      <c r="F215" s="724"/>
      <c r="G215" s="724"/>
      <c r="H215" s="724"/>
      <c r="I215" s="724"/>
      <c r="J215" s="724"/>
      <c r="K215" s="724"/>
      <c r="L215" s="724"/>
      <c r="M215" s="724"/>
      <c r="N215" s="724"/>
      <c r="O215" s="724"/>
    </row>
    <row r="216" spans="1:17" s="3997" customFormat="1" hidden="1" outlineLevel="1" x14ac:dyDescent="0.25">
      <c r="B216" s="159"/>
      <c r="C216" s="79" t="s">
        <v>335</v>
      </c>
      <c r="D216" s="5174"/>
      <c r="E216" s="1144">
        <f>E211+E93+E94</f>
        <v>4642</v>
      </c>
      <c r="F216" s="1144">
        <f t="shared" ref="F216:O216" si="79">F211+F93+F94</f>
        <v>5301</v>
      </c>
      <c r="G216" s="1144">
        <f t="shared" si="79"/>
        <v>5960</v>
      </c>
      <c r="H216" s="1144">
        <f t="shared" si="79"/>
        <v>6619</v>
      </c>
      <c r="I216" s="1144">
        <f t="shared" si="79"/>
        <v>7278</v>
      </c>
      <c r="J216" s="1144">
        <f t="shared" si="79"/>
        <v>7937</v>
      </c>
      <c r="K216" s="1144">
        <f t="shared" si="79"/>
        <v>7937</v>
      </c>
      <c r="L216" s="1144">
        <f t="shared" si="79"/>
        <v>7937</v>
      </c>
      <c r="M216" s="1144">
        <f t="shared" si="79"/>
        <v>7937</v>
      </c>
      <c r="N216" s="1144">
        <f t="shared" si="79"/>
        <v>7937</v>
      </c>
      <c r="O216" s="1144">
        <f t="shared" si="79"/>
        <v>7937</v>
      </c>
      <c r="P216" s="4019"/>
      <c r="Q216" s="4019"/>
    </row>
    <row r="217" spans="1:17" s="3997" customFormat="1" hidden="1" outlineLevel="1" x14ac:dyDescent="0.25">
      <c r="B217" s="159"/>
      <c r="C217" s="79" t="s">
        <v>262</v>
      </c>
      <c r="D217" s="5174"/>
      <c r="E217" s="1144">
        <f>E212+E94</f>
        <v>191</v>
      </c>
      <c r="F217" s="1144">
        <f t="shared" ref="F217:O217" si="80">F212+F94</f>
        <v>224</v>
      </c>
      <c r="G217" s="1144">
        <f t="shared" si="80"/>
        <v>257</v>
      </c>
      <c r="H217" s="1144">
        <f t="shared" si="80"/>
        <v>290</v>
      </c>
      <c r="I217" s="1144">
        <f t="shared" si="80"/>
        <v>323</v>
      </c>
      <c r="J217" s="1144">
        <f t="shared" si="80"/>
        <v>356</v>
      </c>
      <c r="K217" s="1144">
        <f t="shared" si="80"/>
        <v>356</v>
      </c>
      <c r="L217" s="1144">
        <f t="shared" si="80"/>
        <v>356</v>
      </c>
      <c r="M217" s="1144">
        <f t="shared" si="80"/>
        <v>356</v>
      </c>
      <c r="N217" s="1144">
        <f t="shared" si="80"/>
        <v>356</v>
      </c>
      <c r="O217" s="1144">
        <f t="shared" si="80"/>
        <v>356</v>
      </c>
    </row>
    <row r="218" spans="1:17" s="93" customFormat="1" hidden="1" outlineLevel="1" x14ac:dyDescent="0.25">
      <c r="A218" s="770"/>
      <c r="B218" s="742"/>
      <c r="C218" s="763" t="s">
        <v>2131</v>
      </c>
      <c r="D218" s="771"/>
      <c r="E218" s="780">
        <f>MIN(IFERROR(E216/Population!E$31,0),100%)</f>
        <v>0</v>
      </c>
      <c r="F218" s="780">
        <f>MIN(IFERROR(F216/Population!F$31,0),100%)</f>
        <v>0</v>
      </c>
      <c r="G218" s="780">
        <f>MIN(IFERROR(G216/Population!G$31,0),100%)</f>
        <v>0</v>
      </c>
      <c r="H218" s="780">
        <f>MIN(IFERROR(H216/Population!H$31,0),100%)</f>
        <v>0</v>
      </c>
      <c r="I218" s="780">
        <f>MIN(IFERROR(I216/Population!I$31,0),100%)</f>
        <v>0</v>
      </c>
      <c r="J218" s="780">
        <f>MIN(IFERROR(J216/Population!J$31,0),100%)</f>
        <v>0</v>
      </c>
      <c r="K218" s="780">
        <f>MIN(IFERROR(K216/Population!K$31,0),100%)</f>
        <v>0</v>
      </c>
      <c r="L218" s="780">
        <f>MIN(IFERROR(L216/Population!L$31,0),100%)</f>
        <v>0</v>
      </c>
      <c r="M218" s="780">
        <f>MIN(IFERROR(M216/Population!M$31,0),100%)</f>
        <v>0</v>
      </c>
      <c r="N218" s="780">
        <f>MIN(IFERROR(N216/Population!N$31,0),100%)</f>
        <v>0</v>
      </c>
      <c r="O218" s="780">
        <f>MIN(IFERROR(O216/Population!O$31,0),100%)</f>
        <v>0</v>
      </c>
      <c r="Q218" s="3997"/>
    </row>
    <row r="219" spans="1:17" s="93" customFormat="1" hidden="1" outlineLevel="1" x14ac:dyDescent="0.25">
      <c r="A219" s="770"/>
      <c r="B219" s="742"/>
      <c r="C219" s="763" t="s">
        <v>2132</v>
      </c>
      <c r="D219" s="771"/>
      <c r="E219" s="780">
        <f>MIN(IFERROR(E217/Population!E$30,0),100%)</f>
        <v>0</v>
      </c>
      <c r="F219" s="780">
        <f>MIN(IFERROR(F217/Population!F$30,0),100%)</f>
        <v>0</v>
      </c>
      <c r="G219" s="780">
        <f>MIN(IFERROR(G217/Population!G$30,0),100%)</f>
        <v>0</v>
      </c>
      <c r="H219" s="780">
        <f>MIN(IFERROR(H217/Population!H$30,0),100%)</f>
        <v>0</v>
      </c>
      <c r="I219" s="780">
        <f>MIN(IFERROR(I217/Population!I$30,0),100%)</f>
        <v>0</v>
      </c>
      <c r="J219" s="780">
        <f>MIN(IFERROR(J217/Population!J$30,0),100%)</f>
        <v>0</v>
      </c>
      <c r="K219" s="780">
        <f>MIN(IFERROR(K217/Population!K$30,0),100%)</f>
        <v>0</v>
      </c>
      <c r="L219" s="780">
        <f>MIN(IFERROR(L217/Population!L$30,0),100%)</f>
        <v>0</v>
      </c>
      <c r="M219" s="780">
        <f>MIN(IFERROR(M217/Population!M$30,0),100%)</f>
        <v>0</v>
      </c>
      <c r="N219" s="780">
        <f>MIN(IFERROR(N217/Population!N$30,0),100%)</f>
        <v>0</v>
      </c>
      <c r="O219" s="780">
        <f>MIN(IFERROR(O217/Population!O$30,0),100%)</f>
        <v>0</v>
      </c>
      <c r="Q219" s="3997"/>
    </row>
    <row r="220" spans="1:17" s="304" customFormat="1" hidden="1" outlineLevel="1" x14ac:dyDescent="0.25">
      <c r="A220" s="80"/>
      <c r="B220" s="34"/>
      <c r="C220" s="34" t="s">
        <v>2964</v>
      </c>
      <c r="D220" s="2522"/>
      <c r="E220" s="1205"/>
      <c r="F220" s="1205"/>
      <c r="G220" s="1205"/>
      <c r="H220" s="1205"/>
      <c r="I220" s="1205"/>
      <c r="J220" s="1205"/>
      <c r="K220" s="1205"/>
      <c r="L220" s="1205"/>
      <c r="M220" s="1205"/>
      <c r="N220" s="1205"/>
      <c r="O220" s="1205"/>
      <c r="Q220" s="3996"/>
    </row>
    <row r="221" spans="1:17" s="189" customFormat="1" hidden="1" outlineLevel="1" x14ac:dyDescent="0.25">
      <c r="B221" s="905"/>
      <c r="C221" s="79" t="s">
        <v>335</v>
      </c>
      <c r="D221" s="100"/>
      <c r="E221" s="1144">
        <f t="shared" ref="E221:O221" si="81">E211+E174+E93+E94</f>
        <v>6878</v>
      </c>
      <c r="F221" s="1144">
        <f t="shared" si="81"/>
        <v>7675</v>
      </c>
      <c r="G221" s="1144">
        <f t="shared" si="81"/>
        <v>8472</v>
      </c>
      <c r="H221" s="1144">
        <f t="shared" si="81"/>
        <v>9269</v>
      </c>
      <c r="I221" s="1144">
        <f t="shared" si="81"/>
        <v>9928</v>
      </c>
      <c r="J221" s="1144">
        <f t="shared" si="81"/>
        <v>10587</v>
      </c>
      <c r="K221" s="1144">
        <f t="shared" si="81"/>
        <v>10587</v>
      </c>
      <c r="L221" s="1144">
        <f t="shared" si="81"/>
        <v>10587</v>
      </c>
      <c r="M221" s="1144">
        <f t="shared" si="81"/>
        <v>10587</v>
      </c>
      <c r="N221" s="1144">
        <f t="shared" si="81"/>
        <v>10587</v>
      </c>
      <c r="O221" s="1144">
        <f t="shared" si="81"/>
        <v>10587</v>
      </c>
      <c r="Q221" s="3997"/>
    </row>
    <row r="222" spans="1:17" s="189" customFormat="1" hidden="1" outlineLevel="1" x14ac:dyDescent="0.25">
      <c r="B222" s="905"/>
      <c r="C222" s="79" t="s">
        <v>262</v>
      </c>
      <c r="D222" s="100"/>
      <c r="E222" s="1144">
        <f t="shared" ref="E222:O222" si="82">E212+E182+E94</f>
        <v>347</v>
      </c>
      <c r="F222" s="1144">
        <f t="shared" si="82"/>
        <v>368</v>
      </c>
      <c r="G222" s="1144">
        <f t="shared" si="82"/>
        <v>389</v>
      </c>
      <c r="H222" s="1144">
        <f t="shared" si="82"/>
        <v>410</v>
      </c>
      <c r="I222" s="1144">
        <f t="shared" si="82"/>
        <v>443</v>
      </c>
      <c r="J222" s="1144">
        <f t="shared" si="82"/>
        <v>476</v>
      </c>
      <c r="K222" s="1144">
        <f t="shared" si="82"/>
        <v>476</v>
      </c>
      <c r="L222" s="1144">
        <f t="shared" si="82"/>
        <v>476</v>
      </c>
      <c r="M222" s="1144">
        <f t="shared" si="82"/>
        <v>476</v>
      </c>
      <c r="N222" s="1144">
        <f t="shared" si="82"/>
        <v>476</v>
      </c>
      <c r="O222" s="1144">
        <f t="shared" si="82"/>
        <v>476</v>
      </c>
      <c r="Q222" s="3997"/>
    </row>
    <row r="223" spans="1:17" s="93" customFormat="1" hidden="1" outlineLevel="1" x14ac:dyDescent="0.25">
      <c r="A223" s="770"/>
      <c r="B223" s="742"/>
      <c r="C223" s="763" t="s">
        <v>337</v>
      </c>
      <c r="D223" s="771"/>
      <c r="E223" s="780">
        <f>MIN(IFERROR(E221/Population!E$31,0),100%)</f>
        <v>0</v>
      </c>
      <c r="F223" s="780">
        <f>MIN(IFERROR(F221/Population!F$31,0),100%)</f>
        <v>0</v>
      </c>
      <c r="G223" s="780">
        <f>MIN(IFERROR(G221/Population!G$31,0),100%)</f>
        <v>0</v>
      </c>
      <c r="H223" s="780">
        <f>MIN(IFERROR(H221/Population!H$31,0),100%)</f>
        <v>0</v>
      </c>
      <c r="I223" s="780">
        <f>MIN(IFERROR(I221/Population!I$31,0),100%)</f>
        <v>0</v>
      </c>
      <c r="J223" s="780">
        <f>MIN(IFERROR(J221/Population!J$31,0),100%)</f>
        <v>0</v>
      </c>
      <c r="K223" s="780">
        <f>MIN(IFERROR(K221/Population!K$31,0),100%)</f>
        <v>0</v>
      </c>
      <c r="L223" s="780">
        <f>MIN(IFERROR(L221/Population!L$31,0),100%)</f>
        <v>0</v>
      </c>
      <c r="M223" s="780">
        <f>MIN(IFERROR(M221/Population!M$31,0),100%)</f>
        <v>0</v>
      </c>
      <c r="N223" s="780">
        <f>MIN(IFERROR(N221/Population!N$31,0),100%)</f>
        <v>0</v>
      </c>
      <c r="O223" s="780">
        <f>MIN(IFERROR(O221/Population!O$31,0),100%)</f>
        <v>0</v>
      </c>
      <c r="Q223" s="3997"/>
    </row>
    <row r="224" spans="1:17" s="93" customFormat="1" hidden="1" outlineLevel="1" x14ac:dyDescent="0.25">
      <c r="A224" s="770"/>
      <c r="B224" s="742"/>
      <c r="C224" s="763" t="s">
        <v>338</v>
      </c>
      <c r="D224" s="771"/>
      <c r="E224" s="780">
        <f>MIN(IFERROR(E222/Population!E$30,0),100%)</f>
        <v>0</v>
      </c>
      <c r="F224" s="780">
        <f>MIN(IFERROR(F222/Population!F$30,0),100%)</f>
        <v>0</v>
      </c>
      <c r="G224" s="780">
        <f>MIN(IFERROR(G222/Population!G$30,0),100%)</f>
        <v>0</v>
      </c>
      <c r="H224" s="780">
        <f>MIN(IFERROR(H222/Population!H$30,0),100%)</f>
        <v>0</v>
      </c>
      <c r="I224" s="780">
        <f>MIN(IFERROR(I222/Population!I$30,0),100%)</f>
        <v>0</v>
      </c>
      <c r="J224" s="780">
        <f>MIN(IFERROR(J222/Population!J$30,0),100%)</f>
        <v>0</v>
      </c>
      <c r="K224" s="780">
        <f>MIN(IFERROR(K222/Population!K$30,0),100%)</f>
        <v>0</v>
      </c>
      <c r="L224" s="780">
        <f>MIN(IFERROR(L222/Population!L$30,0),100%)</f>
        <v>0</v>
      </c>
      <c r="M224" s="780">
        <f>MIN(IFERROR(M222/Population!M$30,0),100%)</f>
        <v>0</v>
      </c>
      <c r="N224" s="780">
        <f>MIN(IFERROR(N222/Population!N$30,0),100%)</f>
        <v>0</v>
      </c>
      <c r="O224" s="780">
        <f>MIN(IFERROR(O222/Population!O$30,0),100%)</f>
        <v>0</v>
      </c>
      <c r="Q224" s="3997"/>
    </row>
    <row r="225" spans="1:17" s="93" customFormat="1" ht="16.5" hidden="1" customHeight="1" outlineLevel="1" x14ac:dyDescent="0.25">
      <c r="A225" s="770"/>
      <c r="B225" s="742"/>
      <c r="C225" s="763" t="s">
        <v>1207</v>
      </c>
      <c r="D225" s="771"/>
      <c r="E225" s="780">
        <f>MAX(1-E223,0)</f>
        <v>1</v>
      </c>
      <c r="F225" s="780">
        <f t="shared" ref="F225:O225" si="83">MAX(1-F223,0)</f>
        <v>1</v>
      </c>
      <c r="G225" s="780">
        <f t="shared" si="83"/>
        <v>1</v>
      </c>
      <c r="H225" s="780">
        <f t="shared" si="83"/>
        <v>1</v>
      </c>
      <c r="I225" s="780">
        <f t="shared" si="83"/>
        <v>1</v>
      </c>
      <c r="J225" s="780">
        <f t="shared" si="83"/>
        <v>1</v>
      </c>
      <c r="K225" s="780">
        <f t="shared" si="83"/>
        <v>1</v>
      </c>
      <c r="L225" s="780">
        <f t="shared" si="83"/>
        <v>1</v>
      </c>
      <c r="M225" s="780">
        <f t="shared" si="83"/>
        <v>1</v>
      </c>
      <c r="N225" s="780">
        <f t="shared" si="83"/>
        <v>1</v>
      </c>
      <c r="O225" s="780">
        <f t="shared" si="83"/>
        <v>1</v>
      </c>
      <c r="Q225" s="3997"/>
    </row>
    <row r="226" spans="1:17" s="93" customFormat="1" ht="16.5" hidden="1" customHeight="1" outlineLevel="1" x14ac:dyDescent="0.25">
      <c r="A226" s="770"/>
      <c r="B226" s="742"/>
      <c r="C226" s="763" t="s">
        <v>915</v>
      </c>
      <c r="D226" s="771"/>
      <c r="E226" s="780">
        <f>MAX(1-E224,0)</f>
        <v>1</v>
      </c>
      <c r="F226" s="780">
        <f t="shared" ref="F226:O226" si="84">MAX(1-F224,0)</f>
        <v>1</v>
      </c>
      <c r="G226" s="780">
        <f t="shared" si="84"/>
        <v>1</v>
      </c>
      <c r="H226" s="780">
        <f t="shared" si="84"/>
        <v>1</v>
      </c>
      <c r="I226" s="780">
        <f t="shared" si="84"/>
        <v>1</v>
      </c>
      <c r="J226" s="780">
        <f t="shared" si="84"/>
        <v>1</v>
      </c>
      <c r="K226" s="780">
        <f t="shared" si="84"/>
        <v>1</v>
      </c>
      <c r="L226" s="780">
        <f t="shared" si="84"/>
        <v>1</v>
      </c>
      <c r="M226" s="780">
        <f t="shared" si="84"/>
        <v>1</v>
      </c>
      <c r="N226" s="780">
        <f t="shared" si="84"/>
        <v>1</v>
      </c>
      <c r="O226" s="780">
        <f t="shared" si="84"/>
        <v>1</v>
      </c>
      <c r="Q226" s="3997"/>
    </row>
    <row r="227" spans="1:17" hidden="1" outlineLevel="1" x14ac:dyDescent="0.25">
      <c r="A227" s="80"/>
      <c r="C227" s="134" t="s">
        <v>1208</v>
      </c>
    </row>
    <row r="228" spans="1:17" hidden="1" outlineLevel="1" x14ac:dyDescent="0.25">
      <c r="A228" s="770"/>
      <c r="B228" s="742"/>
      <c r="C228" s="763" t="s">
        <v>1209</v>
      </c>
      <c r="D228" s="771"/>
      <c r="E228" s="780">
        <f t="shared" ref="E228:O228" si="85">E223-E218</f>
        <v>0</v>
      </c>
      <c r="F228" s="780">
        <f t="shared" si="85"/>
        <v>0</v>
      </c>
      <c r="G228" s="780">
        <f t="shared" si="85"/>
        <v>0</v>
      </c>
      <c r="H228" s="780">
        <f t="shared" si="85"/>
        <v>0</v>
      </c>
      <c r="I228" s="780">
        <f t="shared" si="85"/>
        <v>0</v>
      </c>
      <c r="J228" s="780">
        <f t="shared" si="85"/>
        <v>0</v>
      </c>
      <c r="K228" s="780">
        <f t="shared" si="85"/>
        <v>0</v>
      </c>
      <c r="L228" s="780">
        <f t="shared" si="85"/>
        <v>0</v>
      </c>
      <c r="M228" s="780">
        <f t="shared" si="85"/>
        <v>0</v>
      </c>
      <c r="N228" s="780">
        <f t="shared" si="85"/>
        <v>0</v>
      </c>
      <c r="O228" s="780">
        <f t="shared" si="85"/>
        <v>0</v>
      </c>
    </row>
    <row r="229" spans="1:17" hidden="1" outlineLevel="1" x14ac:dyDescent="0.25">
      <c r="A229" s="770"/>
      <c r="B229" s="742"/>
      <c r="C229" s="763" t="s">
        <v>1210</v>
      </c>
      <c r="D229" s="771"/>
      <c r="E229" s="780">
        <f t="shared" ref="E229:O229" si="86">E224-E219</f>
        <v>0</v>
      </c>
      <c r="F229" s="780">
        <f t="shared" si="86"/>
        <v>0</v>
      </c>
      <c r="G229" s="780">
        <f t="shared" si="86"/>
        <v>0</v>
      </c>
      <c r="H229" s="780">
        <f t="shared" si="86"/>
        <v>0</v>
      </c>
      <c r="I229" s="780">
        <f t="shared" si="86"/>
        <v>0</v>
      </c>
      <c r="J229" s="780">
        <f t="shared" si="86"/>
        <v>0</v>
      </c>
      <c r="K229" s="780">
        <f t="shared" si="86"/>
        <v>0</v>
      </c>
      <c r="L229" s="780">
        <f t="shared" si="86"/>
        <v>0</v>
      </c>
      <c r="M229" s="780">
        <f t="shared" si="86"/>
        <v>0</v>
      </c>
      <c r="N229" s="780">
        <f t="shared" si="86"/>
        <v>0</v>
      </c>
      <c r="O229" s="780">
        <f t="shared" si="86"/>
        <v>0</v>
      </c>
    </row>
    <row r="230" spans="1:17" hidden="1" outlineLevel="1" x14ac:dyDescent="0.25">
      <c r="A230" s="80"/>
      <c r="C230" s="134" t="s">
        <v>1389</v>
      </c>
      <c r="E230" s="1204">
        <f>IFERROR(Population!E41/Population!E31,0)</f>
        <v>0</v>
      </c>
      <c r="F230" s="1204">
        <f>IFERROR(Population!F41/Population!F31,0)</f>
        <v>0</v>
      </c>
      <c r="G230" s="1204">
        <f>IFERROR(Population!G41/Population!G31,0)</f>
        <v>0</v>
      </c>
      <c r="H230" s="1204">
        <f>IFERROR(Population!H41/Population!H31,0)</f>
        <v>0</v>
      </c>
      <c r="I230" s="1204">
        <f>IFERROR(Population!I41/Population!I31,0)</f>
        <v>0</v>
      </c>
      <c r="J230" s="1204">
        <f>IFERROR(Population!J41/Population!J31,0)</f>
        <v>0</v>
      </c>
      <c r="K230" s="1204">
        <f>IFERROR(Population!K41/Population!K31,0)</f>
        <v>0</v>
      </c>
      <c r="L230" s="1204">
        <f>IFERROR(Population!L41/Population!L31,0)</f>
        <v>0</v>
      </c>
      <c r="M230" s="1204">
        <f>IFERROR(Population!M41/Population!M31,0)</f>
        <v>0</v>
      </c>
      <c r="N230" s="1204">
        <f>IFERROR(Population!N41/Population!N31,0)</f>
        <v>0</v>
      </c>
      <c r="O230" s="1204">
        <f>IFERROR(Population!O41/Population!O31,0)</f>
        <v>0</v>
      </c>
    </row>
    <row r="231" spans="1:17" s="189" customFormat="1" hidden="1" outlineLevel="1" x14ac:dyDescent="0.25">
      <c r="B231" s="905"/>
      <c r="C231" s="79" t="s">
        <v>1383</v>
      </c>
      <c r="D231" s="100"/>
      <c r="E231" s="1144">
        <f t="shared" ref="E231:O231" si="87">E230*E211</f>
        <v>0</v>
      </c>
      <c r="F231" s="1144">
        <f t="shared" si="87"/>
        <v>0</v>
      </c>
      <c r="G231" s="1144">
        <f t="shared" si="87"/>
        <v>0</v>
      </c>
      <c r="H231" s="1144">
        <f t="shared" si="87"/>
        <v>0</v>
      </c>
      <c r="I231" s="1144">
        <f t="shared" si="87"/>
        <v>0</v>
      </c>
      <c r="J231" s="1144">
        <f t="shared" si="87"/>
        <v>0</v>
      </c>
      <c r="K231" s="1144">
        <f t="shared" si="87"/>
        <v>0</v>
      </c>
      <c r="L231" s="1144">
        <f t="shared" si="87"/>
        <v>0</v>
      </c>
      <c r="M231" s="1144">
        <f t="shared" si="87"/>
        <v>0</v>
      </c>
      <c r="N231" s="1144">
        <f t="shared" si="87"/>
        <v>0</v>
      </c>
      <c r="O231" s="1144">
        <f t="shared" si="87"/>
        <v>0</v>
      </c>
      <c r="Q231" s="3997"/>
    </row>
    <row r="232" spans="1:17" s="93" customFormat="1" ht="16.5" hidden="1" customHeight="1" outlineLevel="1" x14ac:dyDescent="0.25">
      <c r="A232" s="770"/>
      <c r="B232" s="742"/>
      <c r="C232" s="763" t="s">
        <v>1382</v>
      </c>
      <c r="D232" s="771"/>
      <c r="E232" s="780">
        <f>MIN(IFERROR((E174+E231)/Population!E41,0),1)</f>
        <v>0</v>
      </c>
      <c r="F232" s="780">
        <f>MIN(IFERROR((F174+F231)/Population!F41,0),1)</f>
        <v>0</v>
      </c>
      <c r="G232" s="780">
        <f>MIN(IFERROR((G174+G231)/Population!G41,0),1)</f>
        <v>0</v>
      </c>
      <c r="H232" s="780">
        <f>MIN(IFERROR((H174+H231)/Population!H41,0),1)</f>
        <v>0</v>
      </c>
      <c r="I232" s="780">
        <f>MIN(IFERROR((I174+I231)/Population!I41,0),1)</f>
        <v>0</v>
      </c>
      <c r="J232" s="780">
        <f>MIN(IFERROR((J174+J231)/Population!J41,0),1)</f>
        <v>0</v>
      </c>
      <c r="K232" s="780">
        <f>MIN(IFERROR((K174+K231)/Population!K41,0),1)</f>
        <v>0</v>
      </c>
      <c r="L232" s="780">
        <f>MIN(IFERROR((L174+L231)/Population!L41,0),1)</f>
        <v>0</v>
      </c>
      <c r="M232" s="780">
        <f>MIN(IFERROR((M174+M231)/Population!M41,0),1)</f>
        <v>0</v>
      </c>
      <c r="N232" s="780">
        <f>MIN(IFERROR((N174+N231)/Population!N41,0),1)</f>
        <v>0</v>
      </c>
      <c r="O232" s="780">
        <f>MIN(IFERROR((O174+O231)/Population!O41,0),1)</f>
        <v>0</v>
      </c>
      <c r="Q232" s="3997"/>
    </row>
    <row r="233" spans="1:17" hidden="1" outlineLevel="1" x14ac:dyDescent="0.25">
      <c r="C233" s="27"/>
      <c r="E233" s="24"/>
      <c r="F233" s="24"/>
      <c r="G233" s="24"/>
      <c r="H233" s="24"/>
      <c r="I233" s="24"/>
      <c r="J233" s="24"/>
      <c r="K233" s="24"/>
      <c r="L233" s="24"/>
      <c r="M233" s="24"/>
      <c r="N233" s="24"/>
      <c r="O233" s="24"/>
    </row>
    <row r="234" spans="1:17" collapsed="1" x14ac:dyDescent="0.25">
      <c r="A234" s="11" t="s">
        <v>13</v>
      </c>
      <c r="B234" s="11" t="s">
        <v>2460</v>
      </c>
      <c r="C234" s="12"/>
    </row>
    <row r="235" spans="1:17" hidden="1" outlineLevel="1" x14ac:dyDescent="0.25">
      <c r="B235" s="13" t="s">
        <v>3</v>
      </c>
      <c r="C235" s="13" t="s">
        <v>4</v>
      </c>
      <c r="D235" s="2480" t="s">
        <v>33</v>
      </c>
      <c r="E235" s="13">
        <f>'WS calcu'!E$3</f>
        <v>2014</v>
      </c>
      <c r="F235" s="13">
        <f>'WS calcu'!F$3</f>
        <v>2015</v>
      </c>
      <c r="G235" s="13">
        <f>'WS calcu'!G$3</f>
        <v>2016</v>
      </c>
      <c r="H235" s="13">
        <f>'WS calcu'!H$3</f>
        <v>2017</v>
      </c>
      <c r="I235" s="13">
        <f>'WS calcu'!I$3</f>
        <v>2018</v>
      </c>
      <c r="J235" s="13">
        <f>'WS calcu'!J$3</f>
        <v>2019</v>
      </c>
      <c r="K235" s="13">
        <f>'WS calcu'!K$3</f>
        <v>2020</v>
      </c>
      <c r="L235" s="13">
        <f>'WS calcu'!L$3</f>
        <v>2021</v>
      </c>
      <c r="M235" s="13">
        <f>'WS calcu'!M$3</f>
        <v>2022</v>
      </c>
      <c r="N235" s="13">
        <f>'WS calcu'!N$3</f>
        <v>2023</v>
      </c>
      <c r="O235" s="13">
        <f>'WS calcu'!O$3</f>
        <v>2024</v>
      </c>
    </row>
    <row r="236" spans="1:17" s="56" customFormat="1" hidden="1" outlineLevel="1" x14ac:dyDescent="0.25">
      <c r="A236" s="1913"/>
      <c r="B236" s="1913"/>
      <c r="C236" s="1914" t="s">
        <v>2752</v>
      </c>
      <c r="D236" s="2523"/>
      <c r="E236" s="1915"/>
      <c r="F236" s="1915"/>
      <c r="G236" s="1915"/>
      <c r="H236" s="1915"/>
      <c r="I236" s="1915"/>
      <c r="J236" s="1915"/>
      <c r="K236" s="1915"/>
      <c r="L236" s="1915"/>
      <c r="M236" s="1915"/>
      <c r="N236" s="1915"/>
      <c r="O236" s="1915"/>
      <c r="Q236" s="3990"/>
    </row>
    <row r="237" spans="1:17" hidden="1" outlineLevel="1" x14ac:dyDescent="0.25">
      <c r="B237" s="1162"/>
      <c r="C237" s="2650" t="s">
        <v>2472</v>
      </c>
      <c r="D237" s="7303" t="s">
        <v>2422</v>
      </c>
      <c r="E237" s="7304"/>
      <c r="F237" s="7305"/>
      <c r="G237" s="7303" t="s">
        <v>646</v>
      </c>
      <c r="H237" s="7304"/>
      <c r="I237" s="7305"/>
      <c r="J237" s="1162"/>
      <c r="K237" s="1162"/>
      <c r="L237" s="1162"/>
      <c r="M237" s="1162"/>
      <c r="N237" s="1162"/>
      <c r="O237" s="27"/>
    </row>
    <row r="238" spans="1:17" hidden="1" outlineLevel="1" x14ac:dyDescent="0.25">
      <c r="C238" s="551" t="s">
        <v>2466</v>
      </c>
      <c r="D238" s="7306">
        <f>'WW Plan'!G44</f>
        <v>3816</v>
      </c>
      <c r="E238" s="7307"/>
      <c r="F238" s="7308"/>
      <c r="G238" s="7306">
        <f>'WW Plan'!H44</f>
        <v>189</v>
      </c>
      <c r="H238" s="7307"/>
      <c r="I238" s="7308"/>
      <c r="O238" s="27"/>
    </row>
    <row r="239" spans="1:17" hidden="1" outlineLevel="1" x14ac:dyDescent="0.25">
      <c r="C239" s="2071" t="s">
        <v>2471</v>
      </c>
      <c r="D239" s="2524" t="s">
        <v>1257</v>
      </c>
      <c r="E239" s="1162" t="s">
        <v>2464</v>
      </c>
      <c r="F239" s="553" t="s">
        <v>2465</v>
      </c>
      <c r="G239" s="2071" t="s">
        <v>1257</v>
      </c>
      <c r="H239" s="1162" t="s">
        <v>2464</v>
      </c>
      <c r="I239" s="553" t="s">
        <v>2465</v>
      </c>
      <c r="O239" s="27"/>
    </row>
    <row r="240" spans="1:17" ht="15" hidden="1" customHeight="1" outlineLevel="1" x14ac:dyDescent="0.25">
      <c r="C240" s="2072" t="s">
        <v>2467</v>
      </c>
      <c r="D240" s="2525">
        <f>'WW Plan'!G49</f>
        <v>1</v>
      </c>
      <c r="E240" s="2075">
        <f>'WW Plan'!G50</f>
        <v>0</v>
      </c>
      <c r="F240" s="2076">
        <f>'WW Plan'!G51+'WW Plan'!G52</f>
        <v>0</v>
      </c>
      <c r="G240" s="2080">
        <f>'WW Plan'!H49</f>
        <v>1</v>
      </c>
      <c r="H240" s="2081">
        <f>'WW Plan'!H50</f>
        <v>0</v>
      </c>
      <c r="I240" s="2082">
        <f>'WW Plan'!H51+'WW Plan'!H52</f>
        <v>0</v>
      </c>
      <c r="O240" s="27"/>
    </row>
    <row r="241" spans="1:17" hidden="1" outlineLevel="1" x14ac:dyDescent="0.25">
      <c r="C241" s="2072" t="s">
        <v>2468</v>
      </c>
      <c r="D241" s="5180">
        <f>SUM($E$248:$O$248)*D240</f>
        <v>4027</v>
      </c>
      <c r="E241" s="628">
        <f>E240*SUM($E$248:$O$248)</f>
        <v>0</v>
      </c>
      <c r="F241" s="2122">
        <f>F240*SUM($E$248:$O$248)</f>
        <v>0</v>
      </c>
      <c r="G241" s="5181">
        <f>SUM($E$249:$O$249)*G240</f>
        <v>191</v>
      </c>
      <c r="H241" s="628">
        <f>H240*SUM($E$249:$O$249)</f>
        <v>0</v>
      </c>
      <c r="I241" s="2122">
        <f>I240*SUM($E$249:$O$249)</f>
        <v>0</v>
      </c>
      <c r="O241" s="27"/>
    </row>
    <row r="242" spans="1:17" hidden="1" outlineLevel="1" x14ac:dyDescent="0.25">
      <c r="C242" s="2073" t="s">
        <v>2469</v>
      </c>
      <c r="D242" s="5180">
        <f>MIN(D241,D238)</f>
        <v>3816</v>
      </c>
      <c r="E242" s="628">
        <f>MIN(MAX(D238-D242,0),E241)</f>
        <v>0</v>
      </c>
      <c r="F242" s="2122"/>
      <c r="G242" s="5181">
        <f>MIN(G241,G238)</f>
        <v>189</v>
      </c>
      <c r="H242" s="628">
        <f>MIN(MAX(G238-G242,0),H241)</f>
        <v>0</v>
      </c>
      <c r="I242" s="2122"/>
      <c r="O242" s="27"/>
    </row>
    <row r="243" spans="1:17" hidden="1" outlineLevel="1" x14ac:dyDescent="0.25">
      <c r="C243" s="2074" t="s">
        <v>2470</v>
      </c>
      <c r="D243" s="5182">
        <f>D241-D242</f>
        <v>211</v>
      </c>
      <c r="E243" s="5183">
        <f>E241-E242</f>
        <v>0</v>
      </c>
      <c r="F243" s="5184"/>
      <c r="G243" s="5185">
        <f>G241-G242</f>
        <v>2</v>
      </c>
      <c r="H243" s="5183">
        <f>H241-H242</f>
        <v>0</v>
      </c>
      <c r="I243" s="5186"/>
      <c r="O243" s="27"/>
    </row>
    <row r="244" spans="1:17" hidden="1" outlineLevel="1" x14ac:dyDescent="0.25">
      <c r="D244" s="2526"/>
      <c r="E244" s="24"/>
      <c r="F244" s="24"/>
      <c r="G244" s="24"/>
      <c r="H244" s="24"/>
      <c r="I244" s="24"/>
      <c r="J244" s="24"/>
      <c r="K244" s="24"/>
      <c r="L244" s="24"/>
      <c r="M244" s="24"/>
      <c r="N244" s="24"/>
      <c r="O244" s="24"/>
    </row>
    <row r="245" spans="1:17" hidden="1" outlineLevel="1" x14ac:dyDescent="0.25">
      <c r="C245" s="676" t="s">
        <v>2822</v>
      </c>
      <c r="D245" s="2526"/>
      <c r="E245" s="24"/>
      <c r="F245" s="2169"/>
      <c r="G245" s="2169"/>
      <c r="H245" s="2169"/>
      <c r="I245" s="2169"/>
      <c r="J245" s="2169"/>
      <c r="K245" s="2169"/>
      <c r="L245" s="2169"/>
      <c r="M245" s="2169"/>
      <c r="N245" s="2169"/>
      <c r="O245" s="2169"/>
      <c r="P245" s="127"/>
    </row>
    <row r="246" spans="1:17" hidden="1" outlineLevel="1" x14ac:dyDescent="0.25">
      <c r="A246" s="27"/>
      <c r="B246" s="556"/>
      <c r="C246" s="4030" t="s">
        <v>2595</v>
      </c>
      <c r="D246" s="2492" t="s">
        <v>2422</v>
      </c>
      <c r="E246" s="2188">
        <f>'WW Plan'!G46</f>
        <v>4027</v>
      </c>
      <c r="F246" s="2188">
        <f t="shared" ref="F246:O246" si="88">($E$246-F250)+F45+F63</f>
        <v>3221.6</v>
      </c>
      <c r="G246" s="2188">
        <f t="shared" si="88"/>
        <v>2416.1999999999998</v>
      </c>
      <c r="H246" s="2188">
        <f t="shared" si="88"/>
        <v>1610.8000000000002</v>
      </c>
      <c r="I246" s="2188">
        <f t="shared" si="88"/>
        <v>805.40000000000009</v>
      </c>
      <c r="J246" s="2188">
        <f t="shared" si="88"/>
        <v>0</v>
      </c>
      <c r="K246" s="2188">
        <f t="shared" si="88"/>
        <v>0</v>
      </c>
      <c r="L246" s="2188">
        <f t="shared" si="88"/>
        <v>0</v>
      </c>
      <c r="M246" s="2188">
        <f t="shared" si="88"/>
        <v>0</v>
      </c>
      <c r="N246" s="2188">
        <f t="shared" si="88"/>
        <v>0</v>
      </c>
      <c r="O246" s="5175">
        <f t="shared" si="88"/>
        <v>0</v>
      </c>
      <c r="Q246" s="27"/>
    </row>
    <row r="247" spans="1:17" hidden="1" outlineLevel="1" x14ac:dyDescent="0.25">
      <c r="A247" s="27"/>
      <c r="B247" s="2102"/>
      <c r="C247" s="2187"/>
      <c r="D247" s="2527" t="s">
        <v>646</v>
      </c>
      <c r="E247" s="2104">
        <f>'WW Plan'!H46</f>
        <v>191</v>
      </c>
      <c r="F247" s="2104">
        <f t="shared" ref="F247:O247" si="89">($E$247-F251)+F46+F64</f>
        <v>152.80000000000001</v>
      </c>
      <c r="G247" s="2104">
        <f t="shared" si="89"/>
        <v>114.6</v>
      </c>
      <c r="H247" s="2104">
        <f t="shared" si="89"/>
        <v>76.399999999999991</v>
      </c>
      <c r="I247" s="2104">
        <f t="shared" si="89"/>
        <v>38.199999999999989</v>
      </c>
      <c r="J247" s="2104">
        <f t="shared" si="89"/>
        <v>0</v>
      </c>
      <c r="K247" s="2104">
        <f t="shared" si="89"/>
        <v>0</v>
      </c>
      <c r="L247" s="2104">
        <f t="shared" si="89"/>
        <v>0</v>
      </c>
      <c r="M247" s="2104">
        <f t="shared" si="89"/>
        <v>0</v>
      </c>
      <c r="N247" s="2104">
        <f t="shared" si="89"/>
        <v>0</v>
      </c>
      <c r="O247" s="2105">
        <f t="shared" si="89"/>
        <v>0</v>
      </c>
    </row>
    <row r="248" spans="1:17" hidden="1" outlineLevel="1" x14ac:dyDescent="0.25">
      <c r="B248" s="547"/>
      <c r="C248" s="2086" t="s">
        <v>2463</v>
      </c>
      <c r="D248" s="2528" t="s">
        <v>2422</v>
      </c>
      <c r="E248" s="2150"/>
      <c r="F248" s="2150">
        <f>IF('WW Plan'!$E$42="Activate",IF(AND(F$235&gt;='WW Plan'!$G$42,F$235&lt;'WW Plan'!$H$42+1),('WW Plan'!$G$47/('WW Plan'!$H$42+1-'WW Plan'!$G$42)),0),0)</f>
        <v>805.4</v>
      </c>
      <c r="G248" s="2150">
        <f>IF('WW Plan'!$E$42="Activate",IF(AND(G$235&gt;='WW Plan'!$G$42,G$235&lt;'WW Plan'!$H$42+1),('WW Plan'!$G$47/('WW Plan'!$H$42+1-'WW Plan'!$G$42)),0),0)</f>
        <v>805.4</v>
      </c>
      <c r="H248" s="2150">
        <f>IF('WW Plan'!$E$42="Activate",IF(AND(H$235&gt;='WW Plan'!$G$42,H$235&lt;'WW Plan'!$H$42+1),('WW Plan'!$G$47/('WW Plan'!$H$42+1-'WW Plan'!$G$42)),0),0)</f>
        <v>805.4</v>
      </c>
      <c r="I248" s="2150">
        <f>IF('WW Plan'!$E$42="Activate",IF(AND(I$235&gt;='WW Plan'!$G$42,I$235&lt;'WW Plan'!$H$42+1),('WW Plan'!$G$47/('WW Plan'!$H$42+1-'WW Plan'!$G$42)),0),0)</f>
        <v>805.4</v>
      </c>
      <c r="J248" s="2150">
        <f>IF('WW Plan'!$E$42="Activate",IF(AND(J$235&gt;='WW Plan'!$G$42,J$235&lt;'WW Plan'!$H$42+1),('WW Plan'!$G$47/('WW Plan'!$H$42+1-'WW Plan'!$G$42)),0),0)</f>
        <v>805.4</v>
      </c>
      <c r="K248" s="2150">
        <f>IF('WW Plan'!$E$42="Activate",IF(AND(K$235&gt;='WW Plan'!$G$42,K$235&lt;'WW Plan'!$H$42+1),('WW Plan'!$G$47/('WW Plan'!$H$42+1-'WW Plan'!$G$42)),0),0)</f>
        <v>0</v>
      </c>
      <c r="L248" s="2150">
        <f>IF('WW Plan'!$E$42="Activate",IF(AND(L$235&gt;='WW Plan'!$G$42,L$235&lt;'WW Plan'!$H$42+1),('WW Plan'!$G$47/('WW Plan'!$H$42+1-'WW Plan'!$G$42)),0),0)</f>
        <v>0</v>
      </c>
      <c r="M248" s="2150">
        <f>IF('WW Plan'!$E$42="Activate",IF(AND(M$235&gt;='WW Plan'!$G$42,M$235&lt;'WW Plan'!$H$42+1),('WW Plan'!$G$47/('WW Plan'!$H$42+1-'WW Plan'!$G$42)),0),0)</f>
        <v>0</v>
      </c>
      <c r="N248" s="2150">
        <f>IF('WW Plan'!$E$42="Activate",IF(AND(N$235&gt;='WW Plan'!$G$42,N$235&lt;'WW Plan'!$H$42+1),('WW Plan'!$G$47/('WW Plan'!$H$42+1-'WW Plan'!$G$42)),0),0)</f>
        <v>0</v>
      </c>
      <c r="O248" s="2151">
        <f>IF('WW Plan'!$E$42="Activate",IF(AND(O$235&gt;='WW Plan'!$G$42,O$235&lt;'WW Plan'!$H$42+1),('WW Plan'!$G$47/('WW Plan'!$H$42+1-'WW Plan'!$G$42)),0),0)</f>
        <v>0</v>
      </c>
    </row>
    <row r="249" spans="1:17" hidden="1" outlineLevel="1" x14ac:dyDescent="0.25">
      <c r="B249" s="2071"/>
      <c r="C249" s="167"/>
      <c r="D249" s="2486" t="s">
        <v>646</v>
      </c>
      <c r="E249" s="628"/>
      <c r="F249" s="628">
        <f>IF('WW Plan'!$E$42="Activate",IF(AND(F$235&gt;='WW Plan'!$G$42,F$235&lt;'WW Plan'!$H$42+1),('WW Plan'!$H$47/('WW Plan'!$H$42+1-'WW Plan'!$G$42)),0),0)</f>
        <v>38.200000000000003</v>
      </c>
      <c r="G249" s="628">
        <f>IF('WW Plan'!$E$42="Activate",IF(AND(G$235&gt;='WW Plan'!$G$42,G$235&lt;'WW Plan'!$H$42+1),('WW Plan'!$H$47/('WW Plan'!$H$42+1-'WW Plan'!$G$42)),0),0)</f>
        <v>38.200000000000003</v>
      </c>
      <c r="H249" s="628">
        <f>IF('WW Plan'!$E$42="Activate",IF(AND(H$235&gt;='WW Plan'!$G$42,H$235&lt;'WW Plan'!$H$42+1),('WW Plan'!$H$47/('WW Plan'!$H$42+1-'WW Plan'!$G$42)),0),0)</f>
        <v>38.200000000000003</v>
      </c>
      <c r="I249" s="628">
        <f>IF('WW Plan'!$E$42="Activate",IF(AND(I$235&gt;='WW Plan'!$G$42,I$235&lt;'WW Plan'!$H$42+1),('WW Plan'!$H$47/('WW Plan'!$H$42+1-'WW Plan'!$G$42)),0),0)</f>
        <v>38.200000000000003</v>
      </c>
      <c r="J249" s="628">
        <f>IF('WW Plan'!$E$42="Activate",IF(AND(J$235&gt;='WW Plan'!$G$42,J$235&lt;'WW Plan'!$H$42+1),('WW Plan'!$H$47/('WW Plan'!$H$42+1-'WW Plan'!$G$42)),0),0)</f>
        <v>38.200000000000003</v>
      </c>
      <c r="K249" s="628">
        <f>IF('WW Plan'!$E$42="Activate",IF(AND(K$235&gt;='WW Plan'!$G$42,K$235&lt;'WW Plan'!$H$42+1),('WW Plan'!$H$47/('WW Plan'!$H$42+1-'WW Plan'!$G$42)),0),0)</f>
        <v>0</v>
      </c>
      <c r="L249" s="628">
        <f>IF('WW Plan'!$E$42="Activate",IF(AND(L$235&gt;='WW Plan'!$G$42,L$235&lt;'WW Plan'!$H$42+1),('WW Plan'!$H$47/('WW Plan'!$H$42+1-'WW Plan'!$G$42)),0),0)</f>
        <v>0</v>
      </c>
      <c r="M249" s="628">
        <f>IF('WW Plan'!$E$42="Activate",IF(AND(M$235&gt;='WW Plan'!$G$42,M$235&lt;'WW Plan'!$H$42+1),('WW Plan'!$H$47/('WW Plan'!$H$42+1-'WW Plan'!$G$42)),0),0)</f>
        <v>0</v>
      </c>
      <c r="N249" s="628">
        <f>IF('WW Plan'!$E$42="Activate",IF(AND(N$235&gt;='WW Plan'!$G$42,N$235&lt;'WW Plan'!$H$42+1),('WW Plan'!$H$47/('WW Plan'!$H$42+1-'WW Plan'!$G$42)),0),0)</f>
        <v>0</v>
      </c>
      <c r="O249" s="2122">
        <f>IF('WW Plan'!$E$42="Activate",IF(AND(O$235&gt;='WW Plan'!$G$42,O$235&lt;'WW Plan'!$H$42+1),('WW Plan'!$H$47/('WW Plan'!$H$42+1-'WW Plan'!$G$42)),0),0)</f>
        <v>0</v>
      </c>
    </row>
    <row r="250" spans="1:17" s="49" customFormat="1" hidden="1" outlineLevel="1" x14ac:dyDescent="0.25">
      <c r="B250" s="5176"/>
      <c r="C250" s="7280" t="s">
        <v>2594</v>
      </c>
      <c r="D250" s="5177" t="s">
        <v>2422</v>
      </c>
      <c r="E250" s="5178">
        <f t="shared" ref="E250:O250" si="90">E304+E344+E401+E455</f>
        <v>0</v>
      </c>
      <c r="F250" s="5178">
        <f t="shared" si="90"/>
        <v>805.4</v>
      </c>
      <c r="G250" s="5178">
        <f t="shared" si="90"/>
        <v>1610.8</v>
      </c>
      <c r="H250" s="5178">
        <f t="shared" si="90"/>
        <v>2416.1999999999998</v>
      </c>
      <c r="I250" s="5178">
        <f t="shared" si="90"/>
        <v>3221.6</v>
      </c>
      <c r="J250" s="5178">
        <f t="shared" si="90"/>
        <v>4027</v>
      </c>
      <c r="K250" s="5178">
        <f t="shared" si="90"/>
        <v>4027</v>
      </c>
      <c r="L250" s="5178">
        <f t="shared" si="90"/>
        <v>4027</v>
      </c>
      <c r="M250" s="5178">
        <f t="shared" si="90"/>
        <v>4027</v>
      </c>
      <c r="N250" s="5178">
        <f t="shared" si="90"/>
        <v>4027</v>
      </c>
      <c r="O250" s="5179">
        <f t="shared" si="90"/>
        <v>4027</v>
      </c>
      <c r="Q250" s="3993"/>
    </row>
    <row r="251" spans="1:17" s="49" customFormat="1" hidden="1" outlineLevel="1" x14ac:dyDescent="0.25">
      <c r="B251" s="2170"/>
      <c r="C251" s="7281"/>
      <c r="D251" s="2569" t="s">
        <v>646</v>
      </c>
      <c r="E251" s="2208">
        <f t="shared" ref="E251:O251" si="91">E305+E345+E402+E456</f>
        <v>0</v>
      </c>
      <c r="F251" s="2208">
        <f t="shared" si="91"/>
        <v>38.200000000000003</v>
      </c>
      <c r="G251" s="2208">
        <f t="shared" si="91"/>
        <v>76.400000000000006</v>
      </c>
      <c r="H251" s="2208">
        <f t="shared" si="91"/>
        <v>114.60000000000001</v>
      </c>
      <c r="I251" s="2208">
        <f t="shared" si="91"/>
        <v>152.80000000000001</v>
      </c>
      <c r="J251" s="2208">
        <f t="shared" si="91"/>
        <v>191</v>
      </c>
      <c r="K251" s="2208">
        <f t="shared" si="91"/>
        <v>191</v>
      </c>
      <c r="L251" s="2208">
        <f t="shared" si="91"/>
        <v>191</v>
      </c>
      <c r="M251" s="2208">
        <f t="shared" si="91"/>
        <v>191</v>
      </c>
      <c r="N251" s="2208">
        <f t="shared" si="91"/>
        <v>191</v>
      </c>
      <c r="O251" s="2209">
        <f t="shared" si="91"/>
        <v>191</v>
      </c>
      <c r="Q251" s="3993"/>
    </row>
    <row r="252" spans="1:17" hidden="1" outlineLevel="1" x14ac:dyDescent="0.25">
      <c r="A252" s="27"/>
      <c r="B252" s="2314"/>
      <c r="C252" s="3175" t="s">
        <v>2900</v>
      </c>
      <c r="D252" s="2657" t="s">
        <v>2422</v>
      </c>
      <c r="E252" s="2405"/>
      <c r="F252" s="2405">
        <f t="shared" ref="F252:O252" si="92">(F304-E304)+(F344-E344)</f>
        <v>805.4</v>
      </c>
      <c r="G252" s="2405">
        <f t="shared" si="92"/>
        <v>805.4</v>
      </c>
      <c r="H252" s="2405">
        <f t="shared" si="92"/>
        <v>805.39999999999986</v>
      </c>
      <c r="I252" s="2405">
        <f t="shared" si="92"/>
        <v>805.40000000000009</v>
      </c>
      <c r="J252" s="2405">
        <f t="shared" si="92"/>
        <v>805.40000000000009</v>
      </c>
      <c r="K252" s="2405">
        <f t="shared" si="92"/>
        <v>0</v>
      </c>
      <c r="L252" s="2405">
        <f t="shared" si="92"/>
        <v>0</v>
      </c>
      <c r="M252" s="2405">
        <f t="shared" si="92"/>
        <v>0</v>
      </c>
      <c r="N252" s="2405">
        <f t="shared" si="92"/>
        <v>0</v>
      </c>
      <c r="O252" s="2406">
        <f t="shared" si="92"/>
        <v>0</v>
      </c>
    </row>
    <row r="253" spans="1:17" hidden="1" outlineLevel="1" x14ac:dyDescent="0.25">
      <c r="A253" s="27"/>
      <c r="B253" s="615"/>
      <c r="C253" s="3176"/>
      <c r="D253" s="2486" t="s">
        <v>646</v>
      </c>
      <c r="E253" s="2100"/>
      <c r="F253" s="2100">
        <f t="shared" ref="F253:O253" si="93">(F305-E305)+(F345-E345)</f>
        <v>38.200000000000003</v>
      </c>
      <c r="G253" s="2100">
        <f t="shared" si="93"/>
        <v>38.200000000000003</v>
      </c>
      <c r="H253" s="2100">
        <f t="shared" si="93"/>
        <v>38.200000000000003</v>
      </c>
      <c r="I253" s="2100">
        <f t="shared" si="93"/>
        <v>38.200000000000003</v>
      </c>
      <c r="J253" s="2100">
        <f t="shared" si="93"/>
        <v>38.199999999999989</v>
      </c>
      <c r="K253" s="2100">
        <f t="shared" si="93"/>
        <v>0</v>
      </c>
      <c r="L253" s="2100">
        <f t="shared" si="93"/>
        <v>0</v>
      </c>
      <c r="M253" s="2100">
        <f t="shared" si="93"/>
        <v>0</v>
      </c>
      <c r="N253" s="2100">
        <f t="shared" si="93"/>
        <v>0</v>
      </c>
      <c r="O253" s="2101">
        <f t="shared" si="93"/>
        <v>0</v>
      </c>
    </row>
    <row r="254" spans="1:17" hidden="1" outlineLevel="1" x14ac:dyDescent="0.25">
      <c r="A254" s="27"/>
      <c r="B254" s="2314"/>
      <c r="C254" s="3175" t="s">
        <v>2901</v>
      </c>
      <c r="D254" s="2529" t="s">
        <v>2422</v>
      </c>
      <c r="E254" s="2405"/>
      <c r="F254" s="2405">
        <f t="shared" ref="F254:O254" si="94">(F401-E401)+(F455-E455)</f>
        <v>0</v>
      </c>
      <c r="G254" s="2405">
        <f t="shared" si="94"/>
        <v>0</v>
      </c>
      <c r="H254" s="2405">
        <f t="shared" si="94"/>
        <v>0</v>
      </c>
      <c r="I254" s="2405">
        <f t="shared" si="94"/>
        <v>0</v>
      </c>
      <c r="J254" s="2405">
        <f t="shared" si="94"/>
        <v>0</v>
      </c>
      <c r="K254" s="2405">
        <f t="shared" si="94"/>
        <v>0</v>
      </c>
      <c r="L254" s="2405">
        <f t="shared" si="94"/>
        <v>0</v>
      </c>
      <c r="M254" s="2405">
        <f t="shared" si="94"/>
        <v>0</v>
      </c>
      <c r="N254" s="2405">
        <f t="shared" si="94"/>
        <v>0</v>
      </c>
      <c r="O254" s="2406">
        <f t="shared" si="94"/>
        <v>0</v>
      </c>
    </row>
    <row r="255" spans="1:17" hidden="1" outlineLevel="1" x14ac:dyDescent="0.25">
      <c r="A255" s="27"/>
      <c r="B255" s="615"/>
      <c r="C255" s="3177"/>
      <c r="D255" s="2527" t="s">
        <v>646</v>
      </c>
      <c r="E255" s="2100"/>
      <c r="F255" s="2100">
        <f t="shared" ref="F255:O255" si="95">(F402-E402)+(F456-E456)</f>
        <v>0</v>
      </c>
      <c r="G255" s="2100">
        <f t="shared" si="95"/>
        <v>0</v>
      </c>
      <c r="H255" s="2100">
        <f t="shared" si="95"/>
        <v>0</v>
      </c>
      <c r="I255" s="2100">
        <f t="shared" si="95"/>
        <v>0</v>
      </c>
      <c r="J255" s="2100">
        <f t="shared" si="95"/>
        <v>0</v>
      </c>
      <c r="K255" s="2100">
        <f t="shared" si="95"/>
        <v>0</v>
      </c>
      <c r="L255" s="2100">
        <f t="shared" si="95"/>
        <v>0</v>
      </c>
      <c r="M255" s="2100">
        <f t="shared" si="95"/>
        <v>0</v>
      </c>
      <c r="N255" s="2100">
        <f t="shared" si="95"/>
        <v>0</v>
      </c>
      <c r="O255" s="2105">
        <f t="shared" si="95"/>
        <v>0</v>
      </c>
    </row>
    <row r="256" spans="1:17" hidden="1" outlineLevel="1" x14ac:dyDescent="0.25">
      <c r="B256" s="547"/>
      <c r="C256" s="548" t="s">
        <v>2592</v>
      </c>
      <c r="D256" s="2528" t="s">
        <v>2422</v>
      </c>
      <c r="E256" s="548">
        <f>'WSS Profile'!F257</f>
        <v>3816</v>
      </c>
      <c r="F256" s="2093">
        <f t="shared" ref="F256:O256" si="96">MAX($E$256-F250,0)</f>
        <v>3010.6</v>
      </c>
      <c r="G256" s="2093">
        <f t="shared" si="96"/>
        <v>2205.1999999999998</v>
      </c>
      <c r="H256" s="2093">
        <f t="shared" si="96"/>
        <v>1399.8000000000002</v>
      </c>
      <c r="I256" s="2093">
        <f t="shared" si="96"/>
        <v>594.40000000000009</v>
      </c>
      <c r="J256" s="2093">
        <f t="shared" si="96"/>
        <v>0</v>
      </c>
      <c r="K256" s="2093">
        <f t="shared" si="96"/>
        <v>0</v>
      </c>
      <c r="L256" s="2093">
        <f t="shared" si="96"/>
        <v>0</v>
      </c>
      <c r="M256" s="2093">
        <f t="shared" si="96"/>
        <v>0</v>
      </c>
      <c r="N256" s="2093">
        <f t="shared" si="96"/>
        <v>0</v>
      </c>
      <c r="O256" s="1057">
        <f t="shared" si="96"/>
        <v>0</v>
      </c>
    </row>
    <row r="257" spans="1:17" hidden="1" outlineLevel="1" x14ac:dyDescent="0.25">
      <c r="B257" s="2071"/>
      <c r="C257" s="1162"/>
      <c r="D257" s="2486" t="s">
        <v>646</v>
      </c>
      <c r="E257" s="1162">
        <f>'WSS Profile'!G257</f>
        <v>189</v>
      </c>
      <c r="F257" s="550">
        <f t="shared" ref="F257:O257" si="97">MAX($E$257-F251,0)</f>
        <v>150.80000000000001</v>
      </c>
      <c r="G257" s="550">
        <f t="shared" si="97"/>
        <v>112.6</v>
      </c>
      <c r="H257" s="550">
        <f t="shared" si="97"/>
        <v>74.399999999999991</v>
      </c>
      <c r="I257" s="550">
        <f t="shared" si="97"/>
        <v>36.199999999999989</v>
      </c>
      <c r="J257" s="550">
        <f t="shared" si="97"/>
        <v>0</v>
      </c>
      <c r="K257" s="550">
        <f t="shared" si="97"/>
        <v>0</v>
      </c>
      <c r="L257" s="550">
        <f t="shared" si="97"/>
        <v>0</v>
      </c>
      <c r="M257" s="550">
        <f t="shared" si="97"/>
        <v>0</v>
      </c>
      <c r="N257" s="550">
        <f t="shared" si="97"/>
        <v>0</v>
      </c>
      <c r="O257" s="1033">
        <f t="shared" si="97"/>
        <v>0</v>
      </c>
    </row>
    <row r="258" spans="1:17" hidden="1" outlineLevel="1" x14ac:dyDescent="0.25">
      <c r="B258" s="2655"/>
      <c r="C258" s="2656" t="s">
        <v>2593</v>
      </c>
      <c r="D258" s="2657" t="s">
        <v>2422</v>
      </c>
      <c r="E258" s="2656">
        <f>'WSS Profile'!F258</f>
        <v>211</v>
      </c>
      <c r="F258" s="2658">
        <f t="shared" ref="F258:O258" si="98">$E$258-MAX(F250-$E$256,0)</f>
        <v>211</v>
      </c>
      <c r="G258" s="2658">
        <f t="shared" si="98"/>
        <v>211</v>
      </c>
      <c r="H258" s="2658">
        <f t="shared" si="98"/>
        <v>211</v>
      </c>
      <c r="I258" s="2658">
        <f t="shared" si="98"/>
        <v>211</v>
      </c>
      <c r="J258" s="2658">
        <f t="shared" si="98"/>
        <v>0</v>
      </c>
      <c r="K258" s="2658">
        <f t="shared" si="98"/>
        <v>0</v>
      </c>
      <c r="L258" s="2658">
        <f t="shared" si="98"/>
        <v>0</v>
      </c>
      <c r="M258" s="2658">
        <f t="shared" si="98"/>
        <v>0</v>
      </c>
      <c r="N258" s="2658">
        <f t="shared" si="98"/>
        <v>0</v>
      </c>
      <c r="O258" s="2659">
        <f t="shared" si="98"/>
        <v>0</v>
      </c>
    </row>
    <row r="259" spans="1:17" hidden="1" outlineLevel="1" x14ac:dyDescent="0.25">
      <c r="B259" s="551"/>
      <c r="C259" s="570"/>
      <c r="D259" s="2487" t="s">
        <v>646</v>
      </c>
      <c r="E259" s="570">
        <f>'WSS Profile'!G258</f>
        <v>2</v>
      </c>
      <c r="F259" s="552">
        <f t="shared" ref="F259:O259" si="99">$E$259-MAX(F251-$E$257,0)</f>
        <v>2</v>
      </c>
      <c r="G259" s="552">
        <f t="shared" si="99"/>
        <v>2</v>
      </c>
      <c r="H259" s="552">
        <f t="shared" si="99"/>
        <v>2</v>
      </c>
      <c r="I259" s="552">
        <f t="shared" si="99"/>
        <v>2</v>
      </c>
      <c r="J259" s="552">
        <f t="shared" si="99"/>
        <v>0</v>
      </c>
      <c r="K259" s="552">
        <f t="shared" si="99"/>
        <v>0</v>
      </c>
      <c r="L259" s="552">
        <f t="shared" si="99"/>
        <v>0</v>
      </c>
      <c r="M259" s="552">
        <f t="shared" si="99"/>
        <v>0</v>
      </c>
      <c r="N259" s="552">
        <f t="shared" si="99"/>
        <v>0</v>
      </c>
      <c r="O259" s="1058">
        <f t="shared" si="99"/>
        <v>0</v>
      </c>
    </row>
    <row r="260" spans="1:17" hidden="1" outlineLevel="1" x14ac:dyDescent="0.25">
      <c r="D260" s="9"/>
      <c r="P260" s="9"/>
      <c r="Q260" s="3998"/>
    </row>
    <row r="261" spans="1:17" hidden="1" outlineLevel="1" x14ac:dyDescent="0.25">
      <c r="B261" s="547"/>
      <c r="C261" s="2424" t="s">
        <v>2823</v>
      </c>
      <c r="D261" s="2481"/>
      <c r="E261" s="548"/>
      <c r="F261" s="2093"/>
      <c r="G261" s="2093"/>
      <c r="H261" s="2093"/>
      <c r="I261" s="2093"/>
      <c r="J261" s="2093"/>
      <c r="K261" s="2093"/>
      <c r="L261" s="2093"/>
      <c r="M261" s="2093"/>
      <c r="N261" s="2093"/>
      <c r="O261" s="1057"/>
    </row>
    <row r="262" spans="1:17" hidden="1" outlineLevel="1" x14ac:dyDescent="0.25">
      <c r="A262" s="27"/>
      <c r="B262" s="615"/>
      <c r="C262" s="48" t="s">
        <v>2824</v>
      </c>
      <c r="D262" s="2251" t="str">
        <f>CONCATENATE('General info'!E43," ",'General info'!G43)</f>
        <v>INR Lakhs</v>
      </c>
      <c r="E262" s="2099">
        <f t="shared" ref="E262:O262" si="100">E265+E274+E269+E277</f>
        <v>0</v>
      </c>
      <c r="F262" s="2099">
        <f t="shared" si="100"/>
        <v>63.9</v>
      </c>
      <c r="G262" s="2099">
        <f t="shared" si="100"/>
        <v>0</v>
      </c>
      <c r="H262" s="2099">
        <f t="shared" si="100"/>
        <v>0</v>
      </c>
      <c r="I262" s="2099">
        <f t="shared" si="100"/>
        <v>0</v>
      </c>
      <c r="J262" s="2099">
        <f t="shared" si="100"/>
        <v>0</v>
      </c>
      <c r="K262" s="2099">
        <f t="shared" si="100"/>
        <v>0</v>
      </c>
      <c r="L262" s="2099">
        <f t="shared" si="100"/>
        <v>0</v>
      </c>
      <c r="M262" s="2099">
        <f t="shared" si="100"/>
        <v>0</v>
      </c>
      <c r="N262" s="2099">
        <f t="shared" si="100"/>
        <v>0</v>
      </c>
      <c r="O262" s="2388">
        <f t="shared" si="100"/>
        <v>0</v>
      </c>
      <c r="P262" s="3725">
        <f>SUM(E262:O262)</f>
        <v>63.9</v>
      </c>
    </row>
    <row r="263" spans="1:17" hidden="1" outlineLevel="1" x14ac:dyDescent="0.25">
      <c r="A263" s="27"/>
      <c r="B263" s="2102"/>
      <c r="C263" s="2243" t="s">
        <v>2481</v>
      </c>
      <c r="D263" s="2527"/>
      <c r="E263" s="2103">
        <f t="shared" ref="E263:O263" si="101">E266+E275+E270+E278</f>
        <v>0</v>
      </c>
      <c r="F263" s="2103">
        <f t="shared" si="101"/>
        <v>38.340000000000003</v>
      </c>
      <c r="G263" s="2103">
        <f t="shared" si="101"/>
        <v>0</v>
      </c>
      <c r="H263" s="2103">
        <f t="shared" si="101"/>
        <v>0</v>
      </c>
      <c r="I263" s="2103">
        <f t="shared" si="101"/>
        <v>0</v>
      </c>
      <c r="J263" s="2103">
        <f t="shared" si="101"/>
        <v>0</v>
      </c>
      <c r="K263" s="2103">
        <f t="shared" si="101"/>
        <v>0</v>
      </c>
      <c r="L263" s="2103">
        <f t="shared" si="101"/>
        <v>0</v>
      </c>
      <c r="M263" s="2103">
        <f t="shared" si="101"/>
        <v>0</v>
      </c>
      <c r="N263" s="2103">
        <f t="shared" si="101"/>
        <v>0</v>
      </c>
      <c r="O263" s="2103">
        <f t="shared" si="101"/>
        <v>0</v>
      </c>
      <c r="P263" s="3726">
        <f>SUM(E263:O263)</f>
        <v>38.340000000000003</v>
      </c>
    </row>
    <row r="264" spans="1:17" hidden="1" outlineLevel="1" x14ac:dyDescent="0.25">
      <c r="B264" s="547"/>
      <c r="C264" s="2424" t="s">
        <v>2753</v>
      </c>
      <c r="D264" s="2481"/>
      <c r="E264" s="548"/>
      <c r="F264" s="2093"/>
      <c r="G264" s="2093"/>
      <c r="H264" s="2093"/>
      <c r="I264" s="2093"/>
      <c r="J264" s="2093"/>
      <c r="K264" s="2093"/>
      <c r="L264" s="2093"/>
      <c r="M264" s="2093"/>
      <c r="N264" s="2093"/>
      <c r="O264" s="1057"/>
    </row>
    <row r="265" spans="1:17" hidden="1" outlineLevel="1" x14ac:dyDescent="0.25">
      <c r="A265" s="27"/>
      <c r="B265" s="615"/>
      <c r="C265" s="48" t="s">
        <v>2757</v>
      </c>
      <c r="D265" s="5764" t="s">
        <v>16</v>
      </c>
      <c r="E265" s="260"/>
      <c r="F265" s="2099">
        <f>(((F267-E267)*'WW Plan'!$G$53)+((F268-E268)*'WW Plan'!$G$53))/'General info'!$G$44</f>
        <v>63.9</v>
      </c>
      <c r="G265" s="2099">
        <f>(((G267-F267)*'WW Plan'!$G$53)+((G268-F268)*'WW Plan'!$G$53))/'General info'!$G$44</f>
        <v>0</v>
      </c>
      <c r="H265" s="2099">
        <f>(((H267-G267)*'WW Plan'!$G$53)+((H268-G268)*'WW Plan'!$G$53))/'General info'!$G$44</f>
        <v>0</v>
      </c>
      <c r="I265" s="2099">
        <f>(((I267-H267)*'WW Plan'!$G$53)+((I268-H268)*'WW Plan'!$G$53))/'General info'!$G$44</f>
        <v>0</v>
      </c>
      <c r="J265" s="2099">
        <f>(((J267-I267)*'WW Plan'!$G$53)+((J268-I268)*'WW Plan'!$G$53))/'General info'!$G$44</f>
        <v>0</v>
      </c>
      <c r="K265" s="2099">
        <f>(((K267-J267)*'WW Plan'!$G$53)+((K268-J268)*'WW Plan'!$G$53))/'General info'!$G$44</f>
        <v>0</v>
      </c>
      <c r="L265" s="2099">
        <f>(((L267-K267)*'WW Plan'!$G$53)+((L268-K268)*'WW Plan'!$G$53))/'General info'!$G$44</f>
        <v>0</v>
      </c>
      <c r="M265" s="2099">
        <f>(((M267-L267)*'WW Plan'!$G$53)+((M268-L268)*'WW Plan'!$G$53))/'General info'!$G$44</f>
        <v>0</v>
      </c>
      <c r="N265" s="2099">
        <f>(((N267-M267)*'WW Plan'!$G$53)+((N268-M268)*'WW Plan'!$G$53))/'General info'!$G$44</f>
        <v>0</v>
      </c>
      <c r="O265" s="2388">
        <f>(((O267-N267)*'WW Plan'!$G$53)+((O268-N268)*'WW Plan'!$G$53))/'General info'!$G$44</f>
        <v>0</v>
      </c>
    </row>
    <row r="266" spans="1:17" hidden="1" outlineLevel="1" x14ac:dyDescent="0.25">
      <c r="A266" s="27"/>
      <c r="B266" s="615"/>
      <c r="C266" s="48"/>
      <c r="D266" s="5764" t="s">
        <v>1277</v>
      </c>
      <c r="E266" s="260"/>
      <c r="F266" s="2099">
        <f>(((F267-E267)*'WW Plan'!$G$53*'WW Plan'!$G$56)+((F268-E268)*'WW Plan'!$G$53*'WW Plan'!$H$56))/'General info'!$G$44</f>
        <v>38.340000000000003</v>
      </c>
      <c r="G266" s="2099">
        <f>(((G267-F267)*'WW Plan'!$G$53*'WW Plan'!$G$56)+((G268-F268)*'WW Plan'!$G$53*'WW Plan'!$H$56))/'General info'!$G$44</f>
        <v>0</v>
      </c>
      <c r="H266" s="2099">
        <f>(((H267-G267)*'WW Plan'!$G$53*'WW Plan'!$G$56)+((H268-G268)*'WW Plan'!$G$53*'WW Plan'!$H$56))/'General info'!$G$44</f>
        <v>0</v>
      </c>
      <c r="I266" s="2099">
        <f>(((I267-H267)*'WW Plan'!$G$53*'WW Plan'!$G$56)+((I268-H268)*'WW Plan'!$G$53*'WW Plan'!$H$56))/'General info'!$G$44</f>
        <v>0</v>
      </c>
      <c r="J266" s="2099">
        <f>(((J267-I267)*'WW Plan'!$G$53*'WW Plan'!$G$56)+((J268-I268)*'WW Plan'!$G$53*'WW Plan'!$H$56))/'General info'!$G$44</f>
        <v>0</v>
      </c>
      <c r="K266" s="2099">
        <f>(((K267-J267)*'WW Plan'!$G$53*'WW Plan'!$G$56)+((K268-J268)*'WW Plan'!$G$53*'WW Plan'!$H$56))/'General info'!$G$44</f>
        <v>0</v>
      </c>
      <c r="L266" s="2099">
        <f>(((L267-K267)*'WW Plan'!$G$53*'WW Plan'!$G$56)+((L268-K268)*'WW Plan'!$G$53*'WW Plan'!$H$56))/'General info'!$G$44</f>
        <v>0</v>
      </c>
      <c r="M266" s="2099">
        <f>(((M267-L267)*'WW Plan'!$G$53*'WW Plan'!$G$56)+((M268-L268)*'WW Plan'!$G$53*'WW Plan'!$H$56))/'General info'!$G$44</f>
        <v>0</v>
      </c>
      <c r="N266" s="2099">
        <f>(((N267-M267)*'WW Plan'!$G$53*'WW Plan'!$G$56)+((N268-M268)*'WW Plan'!$G$53*'WW Plan'!$H$56))/'General info'!$G$44</f>
        <v>0</v>
      </c>
      <c r="O266" s="2388">
        <f>(((O267-N267)*'WW Plan'!$G$53*'WW Plan'!$G$56)+((O268-N268)*'WW Plan'!$G$53*'WW Plan'!$H$56))/'General info'!$G$44</f>
        <v>0</v>
      </c>
    </row>
    <row r="267" spans="1:17" hidden="1" outlineLevel="1" x14ac:dyDescent="0.25">
      <c r="B267" s="2071"/>
      <c r="C267" s="2087" t="s">
        <v>2473</v>
      </c>
      <c r="D267" s="5360">
        <f>D243</f>
        <v>211</v>
      </c>
      <c r="E267" s="2087"/>
      <c r="F267" s="2090">
        <f t="shared" ref="F267:O267" si="102">MIN(F304,$D$267)</f>
        <v>211</v>
      </c>
      <c r="G267" s="2090">
        <f t="shared" si="102"/>
        <v>211</v>
      </c>
      <c r="H267" s="2090">
        <f t="shared" si="102"/>
        <v>211</v>
      </c>
      <c r="I267" s="2090">
        <f t="shared" si="102"/>
        <v>211</v>
      </c>
      <c r="J267" s="2090">
        <f t="shared" si="102"/>
        <v>211</v>
      </c>
      <c r="K267" s="2090">
        <f t="shared" si="102"/>
        <v>211</v>
      </c>
      <c r="L267" s="2090">
        <f t="shared" si="102"/>
        <v>211</v>
      </c>
      <c r="M267" s="2090">
        <f t="shared" si="102"/>
        <v>211</v>
      </c>
      <c r="N267" s="2090">
        <f t="shared" si="102"/>
        <v>211</v>
      </c>
      <c r="O267" s="2091">
        <f t="shared" si="102"/>
        <v>211</v>
      </c>
    </row>
    <row r="268" spans="1:17" hidden="1" outlineLevel="1" x14ac:dyDescent="0.25">
      <c r="B268" s="2071"/>
      <c r="C268" s="2087" t="s">
        <v>2474</v>
      </c>
      <c r="D268" s="5360">
        <f>G243</f>
        <v>2</v>
      </c>
      <c r="E268" s="2087"/>
      <c r="F268" s="2090">
        <f t="shared" ref="F268:O268" si="103">MIN(F305,$D$268)</f>
        <v>2</v>
      </c>
      <c r="G268" s="2090">
        <f t="shared" si="103"/>
        <v>2</v>
      </c>
      <c r="H268" s="2090">
        <f t="shared" si="103"/>
        <v>2</v>
      </c>
      <c r="I268" s="2090">
        <f t="shared" si="103"/>
        <v>2</v>
      </c>
      <c r="J268" s="2090">
        <f t="shared" si="103"/>
        <v>2</v>
      </c>
      <c r="K268" s="2090">
        <f t="shared" si="103"/>
        <v>2</v>
      </c>
      <c r="L268" s="2090">
        <f t="shared" si="103"/>
        <v>2</v>
      </c>
      <c r="M268" s="2090">
        <f t="shared" si="103"/>
        <v>2</v>
      </c>
      <c r="N268" s="2090">
        <f t="shared" si="103"/>
        <v>2</v>
      </c>
      <c r="O268" s="2091">
        <f t="shared" si="103"/>
        <v>2</v>
      </c>
    </row>
    <row r="269" spans="1:17" hidden="1" outlineLevel="1" x14ac:dyDescent="0.25">
      <c r="A269" s="27"/>
      <c r="B269" s="2314"/>
      <c r="C269" s="2389" t="s">
        <v>2758</v>
      </c>
      <c r="D269" s="5765" t="s">
        <v>16</v>
      </c>
      <c r="E269" s="2363"/>
      <c r="F269" s="5362">
        <f>(((F271)*'WW Plan'!$G$53)+((F272)*'WW Plan'!$G$53))/'General info'!$G$44</f>
        <v>0</v>
      </c>
      <c r="G269" s="5362">
        <f>(((G271)*'WW Plan'!$G$53)+((G272)*'WW Plan'!$G$53))/'General info'!$G$44</f>
        <v>0</v>
      </c>
      <c r="H269" s="5362">
        <f>(((H271)*'WW Plan'!$G$53)+((H272)*'WW Plan'!$G$53))/'General info'!$G$44</f>
        <v>0</v>
      </c>
      <c r="I269" s="5362">
        <f>(((I271)*'WW Plan'!$G$53)+((I272)*'WW Plan'!$G$53))/'General info'!$G$44</f>
        <v>0</v>
      </c>
      <c r="J269" s="5362">
        <f>(((J271)*'WW Plan'!$G$53)+((J272)*'WW Plan'!$G$53))/'General info'!$G$44</f>
        <v>0</v>
      </c>
      <c r="K269" s="5362">
        <f>(((K271)*'WW Plan'!$G$53)+((K272)*'WW Plan'!$G$53))/'General info'!$G$44</f>
        <v>0</v>
      </c>
      <c r="L269" s="5362">
        <f>(((L271)*'WW Plan'!$G$53)+((L272)*'WW Plan'!$G$53))/'General info'!$G$44</f>
        <v>0</v>
      </c>
      <c r="M269" s="5362">
        <f>(((M271)*'WW Plan'!$G$53)+((M272)*'WW Plan'!$G$53))/'General info'!$G$44</f>
        <v>0</v>
      </c>
      <c r="N269" s="5362">
        <f>(((N271)*'WW Plan'!$G$53)+((N272)*'WW Plan'!$G$53))/'General info'!$G$44</f>
        <v>0</v>
      </c>
      <c r="O269" s="5363">
        <f>(((O271)*'WW Plan'!$G$53)+((O272)*'WW Plan'!$G$53))/'General info'!$G$44</f>
        <v>0</v>
      </c>
    </row>
    <row r="270" spans="1:17" hidden="1" outlineLevel="1" x14ac:dyDescent="0.25">
      <c r="A270" s="27"/>
      <c r="B270" s="615"/>
      <c r="C270" s="48"/>
      <c r="D270" s="5764" t="s">
        <v>1277</v>
      </c>
      <c r="E270" s="260"/>
      <c r="F270" s="2099">
        <f>(((F271)*'WW Plan'!$G$53*'WW Plan'!$G$56)+((F272)*'WW Plan'!$G$53*'WW Plan'!$H$56))/'General info'!$G$44</f>
        <v>0</v>
      </c>
      <c r="G270" s="2099">
        <f>(((G271)*'WW Plan'!$G$53*'WW Plan'!$G$56)+((G272)*'WW Plan'!$G$53*'WW Plan'!$H$56))/'General info'!$G$44</f>
        <v>0</v>
      </c>
      <c r="H270" s="2099">
        <f>(((H271)*'WW Plan'!$G$53*'WW Plan'!$G$56)+((H272)*'WW Plan'!$G$53*'WW Plan'!$H$56))/'General info'!$G$44</f>
        <v>0</v>
      </c>
      <c r="I270" s="2099">
        <f>(((I271)*'WW Plan'!$G$53*'WW Plan'!$G$56)+((I272)*'WW Plan'!$G$53*'WW Plan'!$H$56))/'General info'!$G$44</f>
        <v>0</v>
      </c>
      <c r="J270" s="2099">
        <f>(((J271)*'WW Plan'!$G$53*'WW Plan'!$G$56)+((J272)*'WW Plan'!$G$53*'WW Plan'!$H$56))/'General info'!$G$44</f>
        <v>0</v>
      </c>
      <c r="K270" s="2099">
        <f>(((K271)*'WW Plan'!$G$53*'WW Plan'!$G$56)+((K272)*'WW Plan'!$G$53*'WW Plan'!$H$56))/'General info'!$G$44</f>
        <v>0</v>
      </c>
      <c r="L270" s="2099">
        <f>(((L271)*'WW Plan'!$G$53*'WW Plan'!$G$56)+((L272)*'WW Plan'!$G$53*'WW Plan'!$H$56))/'General info'!$G$44</f>
        <v>0</v>
      </c>
      <c r="M270" s="2099">
        <f>(((M271)*'WW Plan'!$G$53*'WW Plan'!$G$56)+((M272)*'WW Plan'!$G$53*'WW Plan'!$H$56))/'General info'!$G$44</f>
        <v>0</v>
      </c>
      <c r="N270" s="2099">
        <f>(((N271)*'WW Plan'!$G$53*'WW Plan'!$G$56)+((N272)*'WW Plan'!$G$53*'WW Plan'!$H$56))/'General info'!$G$44</f>
        <v>0</v>
      </c>
      <c r="O270" s="2388">
        <f>(((O271)*'WW Plan'!$G$53*'WW Plan'!$G$56)+((O272)*'WW Plan'!$G$53*'WW Plan'!$H$56))/'General info'!$G$44</f>
        <v>0</v>
      </c>
    </row>
    <row r="271" spans="1:17" hidden="1" outlineLevel="1" x14ac:dyDescent="0.25">
      <c r="B271" s="615"/>
      <c r="C271" s="2087" t="s">
        <v>2473</v>
      </c>
      <c r="D271" s="5360">
        <f>E243</f>
        <v>0</v>
      </c>
      <c r="E271" s="2087"/>
      <c r="F271" s="5364">
        <f>IF('WW Plan'!$E$42="Activate",IF(AND(F$235&gt;='WW Plan'!$G$42,F$235&lt;'WW Plan'!$H$42+1),($D$271/('WW Plan'!$H$42+1-'WW Plan'!$G$42)),0),0)</f>
        <v>0</v>
      </c>
      <c r="G271" s="5364">
        <f>IF('WW Plan'!$E$42="Activate",IF(AND(G$235&gt;='WW Plan'!$G$42,G$235&lt;'WW Plan'!$H$42+1),($D$271/('WW Plan'!$H$42+1-'WW Plan'!$G$42)),0),0)</f>
        <v>0</v>
      </c>
      <c r="H271" s="5364">
        <f>IF('WW Plan'!$E$42="Activate",IF(AND(H$235&gt;='WW Plan'!$G$42,H$235&lt;'WW Plan'!$H$42+1),($D$271/('WW Plan'!$H$42+1-'WW Plan'!$G$42)),0),0)</f>
        <v>0</v>
      </c>
      <c r="I271" s="5364">
        <f>IF('WW Plan'!$E$42="Activate",IF(AND(I$235&gt;='WW Plan'!$G$42,I$235&lt;'WW Plan'!$H$42+1),($D$271/('WW Plan'!$H$42+1-'WW Plan'!$G$42)),0),0)</f>
        <v>0</v>
      </c>
      <c r="J271" s="5364">
        <f>IF('WW Plan'!$E$42="Activate",IF(AND(J$235&gt;='WW Plan'!$G$42,J$235&lt;'WW Plan'!$H$42+1),($D$271/('WW Plan'!$H$42+1-'WW Plan'!$G$42)),0),0)</f>
        <v>0</v>
      </c>
      <c r="K271" s="5364">
        <f>IF('WW Plan'!$E$42="Activate",IF(AND(K$235&gt;='WW Plan'!$G$42,K$235&lt;'WW Plan'!$H$42+1),($D$271/('WW Plan'!$H$42+1-'WW Plan'!$G$42)),0),0)</f>
        <v>0</v>
      </c>
      <c r="L271" s="5364">
        <f>IF('WW Plan'!$E$42="Activate",IF(AND(L$235&gt;='WW Plan'!$G$42,L$235&lt;'WW Plan'!$H$42+1),($D$271/('WW Plan'!$H$42+1-'WW Plan'!$G$42)),0),0)</f>
        <v>0</v>
      </c>
      <c r="M271" s="5364">
        <f>IF('WW Plan'!$E$42="Activate",IF(AND(M$235&gt;='WW Plan'!$G$42,M$235&lt;'WW Plan'!$H$42+1),($D$271/('WW Plan'!$H$42+1-'WW Plan'!$G$42)),0),0)</f>
        <v>0</v>
      </c>
      <c r="N271" s="5364">
        <f>IF('WW Plan'!$E$42="Activate",IF(AND(N$235&gt;='WW Plan'!$G$42,N$235&lt;'WW Plan'!$H$42+1),($D$271/('WW Plan'!$H$42+1-'WW Plan'!$G$42)),0),0)</f>
        <v>0</v>
      </c>
      <c r="O271" s="5365">
        <f>IF('WW Plan'!$E$42="Activate",IF(AND(O$235&gt;='WW Plan'!$G$42,O$235&lt;'WW Plan'!$H$42+1),($D$271/('WW Plan'!$H$42+1-'WW Plan'!$G$42)),0),0)</f>
        <v>0</v>
      </c>
    </row>
    <row r="272" spans="1:17" hidden="1" outlineLevel="1" x14ac:dyDescent="0.25">
      <c r="B272" s="2102"/>
      <c r="C272" s="2110" t="s">
        <v>2474</v>
      </c>
      <c r="D272" s="5361">
        <f>H243</f>
        <v>0</v>
      </c>
      <c r="E272" s="2110"/>
      <c r="F272" s="5366">
        <f>IF('WW Plan'!$E$42="Activate",IF(AND(F$235&gt;='WW Plan'!$G$42,F$235&lt;'WW Plan'!$H$42+1),($D$272/('WW Plan'!$H$42+1-'WW Plan'!$G$42)),0),0)</f>
        <v>0</v>
      </c>
      <c r="G272" s="5366">
        <f>IF('WW Plan'!$E$42="Activate",IF(AND(G$235&gt;='WW Plan'!$G$42,G$235&lt;'WW Plan'!$H$42+1),($D$272/('WW Plan'!$H$42+1-'WW Plan'!$G$42)),0),0)</f>
        <v>0</v>
      </c>
      <c r="H272" s="5366">
        <f>IF('WW Plan'!$E$42="Activate",IF(AND(H$235&gt;='WW Plan'!$G$42,H$235&lt;'WW Plan'!$H$42+1),($D$272/('WW Plan'!$H$42+1-'WW Plan'!$G$42)),0),0)</f>
        <v>0</v>
      </c>
      <c r="I272" s="5366">
        <f>IF('WW Plan'!$E$42="Activate",IF(AND(I$235&gt;='WW Plan'!$G$42,I$235&lt;'WW Plan'!$H$42+1),($D$272/('WW Plan'!$H$42+1-'WW Plan'!$G$42)),0),0)</f>
        <v>0</v>
      </c>
      <c r="J272" s="5366">
        <f>IF('WW Plan'!$E$42="Activate",IF(AND(J$235&gt;='WW Plan'!$G$42,J$235&lt;'WW Plan'!$H$42+1),($D$272/('WW Plan'!$H$42+1-'WW Plan'!$G$42)),0),0)</f>
        <v>0</v>
      </c>
      <c r="K272" s="5366">
        <f>IF('WW Plan'!$E$42="Activate",IF(AND(K$235&gt;='WW Plan'!$G$42,K$235&lt;'WW Plan'!$H$42+1),($D$272/('WW Plan'!$H$42+1-'WW Plan'!$G$42)),0),0)</f>
        <v>0</v>
      </c>
      <c r="L272" s="5366">
        <f>IF('WW Plan'!$E$42="Activate",IF(AND(L$235&gt;='WW Plan'!$G$42,L$235&lt;'WW Plan'!$H$42+1),($D$272/('WW Plan'!$H$42+1-'WW Plan'!$G$42)),0),0)</f>
        <v>0</v>
      </c>
      <c r="M272" s="5366">
        <f>IF('WW Plan'!$E$42="Activate",IF(AND(M$235&gt;='WW Plan'!$G$42,M$235&lt;'WW Plan'!$H$42+1),($D$272/('WW Plan'!$H$42+1-'WW Plan'!$G$42)),0),0)</f>
        <v>0</v>
      </c>
      <c r="N272" s="5366">
        <f>IF('WW Plan'!$E$42="Activate",IF(AND(N$235&gt;='WW Plan'!$G$42,N$235&lt;'WW Plan'!$H$42+1),($D$272/('WW Plan'!$H$42+1-'WW Plan'!$G$42)),0),0)</f>
        <v>0</v>
      </c>
      <c r="O272" s="5367">
        <f>IF('WW Plan'!$E$42="Activate",IF(AND(O$235&gt;='WW Plan'!$G$42,O$235&lt;'WW Plan'!$H$42+1),($D$272/('WW Plan'!$H$42+1-'WW Plan'!$G$42)),0),0)</f>
        <v>0</v>
      </c>
    </row>
    <row r="273" spans="1:17" hidden="1" outlineLevel="1" x14ac:dyDescent="0.25">
      <c r="B273" s="547"/>
      <c r="C273" s="2424" t="s">
        <v>2754</v>
      </c>
      <c r="D273" s="2481"/>
      <c r="E273" s="548"/>
      <c r="F273" s="2093"/>
      <c r="G273" s="2093"/>
      <c r="H273" s="2093"/>
      <c r="I273" s="2093"/>
      <c r="J273" s="2093"/>
      <c r="K273" s="2093"/>
      <c r="L273" s="2093"/>
      <c r="M273" s="2093"/>
      <c r="N273" s="2093"/>
      <c r="O273" s="1057"/>
    </row>
    <row r="274" spans="1:17" s="52" customFormat="1" hidden="1" outlineLevel="1" x14ac:dyDescent="0.25">
      <c r="B274" s="615"/>
      <c r="C274" s="2390" t="s">
        <v>2475</v>
      </c>
      <c r="D274" s="5764" t="s">
        <v>16</v>
      </c>
      <c r="E274" s="260"/>
      <c r="F274" s="2099">
        <f>(((F304-E304)*'WW Plan'!$G$54)+((F305-E305)*'WW Plan'!$G$54))/'General info'!$G$44</f>
        <v>0</v>
      </c>
      <c r="G274" s="2099">
        <f>(((G304-F304)*'WW Plan'!$G$54)+((G305-F305)*'WW Plan'!$G$54))/'General info'!$G$44</f>
        <v>0</v>
      </c>
      <c r="H274" s="2099">
        <f>(((H304-G304)*'WW Plan'!$G$54)+((H305-G305)*'WW Plan'!$G$54))/'General info'!$G$44</f>
        <v>0</v>
      </c>
      <c r="I274" s="2099">
        <f>(((I304-H304)*'WW Plan'!$G$54)+((I305-H305)*'WW Plan'!$G$54))/'General info'!$G$44</f>
        <v>0</v>
      </c>
      <c r="J274" s="2099">
        <f>(((J304-I304)*'WW Plan'!$G$54)+((J305-I305)*'WW Plan'!$G$54))/'General info'!$G$44</f>
        <v>0</v>
      </c>
      <c r="K274" s="2099">
        <f>(((K304-J304)*'WW Plan'!$G$54)+((K305-J305)*'WW Plan'!$G$54))/'General info'!$G$44</f>
        <v>0</v>
      </c>
      <c r="L274" s="2099">
        <f>(((L304-K304)*'WW Plan'!$G$54)+((L305-K305)*'WW Plan'!$G$54))/'General info'!$G$44</f>
        <v>0</v>
      </c>
      <c r="M274" s="2099">
        <f>(((M304-L304)*'WW Plan'!$G$54)+((M305-L305)*'WW Plan'!$G$54))/'General info'!$G$44</f>
        <v>0</v>
      </c>
      <c r="N274" s="2099">
        <f>(((N304-M304)*'WW Plan'!$G$54)+((N305-M305)*'WW Plan'!$G$54))/'General info'!$G$44</f>
        <v>0</v>
      </c>
      <c r="O274" s="2388">
        <f>(((O304-N304)*'WW Plan'!$G$54)+((O305-N305)*'WW Plan'!$G$54))/'General info'!$G$44</f>
        <v>0</v>
      </c>
      <c r="Q274" s="3987"/>
    </row>
    <row r="275" spans="1:17" s="52" customFormat="1" hidden="1" outlineLevel="1" x14ac:dyDescent="0.25">
      <c r="B275" s="615"/>
      <c r="C275" s="2390"/>
      <c r="D275" s="5764" t="s">
        <v>1277</v>
      </c>
      <c r="E275" s="260"/>
      <c r="F275" s="2099">
        <f>(((F304-E304)*'WW Plan'!$G$54*'WW Plan'!$G$56)+((F305-E305)*'WW Plan'!$G$54*'WW Plan'!$H$56))/'General info'!$G$44</f>
        <v>0</v>
      </c>
      <c r="G275" s="2099">
        <f>(((G304-F304)*'WW Plan'!$G$54*'WW Plan'!$G$56)+((G305-F305)*'WW Plan'!$G$54*'WW Plan'!$H$56))/'General info'!$G$44</f>
        <v>0</v>
      </c>
      <c r="H275" s="2099">
        <f>(((H304-G304)*'WW Plan'!$G$54*'WW Plan'!$G$56)+((H305-G305)*'WW Plan'!$G$54*'WW Plan'!$H$56))/'General info'!$G$44</f>
        <v>0</v>
      </c>
      <c r="I275" s="2099">
        <f>(((I304-H304)*'WW Plan'!$G$54*'WW Plan'!$G$56)+((I305-H305)*'WW Plan'!$G$54*'WW Plan'!$H$56))/'General info'!$G$44</f>
        <v>0</v>
      </c>
      <c r="J275" s="2099">
        <f>(((J304-I304)*'WW Plan'!$G$54*'WW Plan'!$G$56)+((J305-I305)*'WW Plan'!$G$54*'WW Plan'!$H$56))/'General info'!$G$44</f>
        <v>0</v>
      </c>
      <c r="K275" s="2099">
        <f>(((K304-J304)*'WW Plan'!$G$54*'WW Plan'!$G$56)+((K305-J305)*'WW Plan'!$G$54*'WW Plan'!$H$56))/'General info'!$G$44</f>
        <v>0</v>
      </c>
      <c r="L275" s="2099">
        <f>(((L304-K304)*'WW Plan'!$G$54*'WW Plan'!$G$56)+((L305-K305)*'WW Plan'!$G$54*'WW Plan'!$H$56))/'General info'!$G$44</f>
        <v>0</v>
      </c>
      <c r="M275" s="2099">
        <f>(((M304-L304)*'WW Plan'!$G$54*'WW Plan'!$G$56)+((M305-L305)*'WW Plan'!$G$54*'WW Plan'!$H$56))/'General info'!$G$44</f>
        <v>0</v>
      </c>
      <c r="N275" s="2099">
        <f>(((N304-M304)*'WW Plan'!$G$54*'WW Plan'!$G$56)+((N305-M305)*'WW Plan'!$G$54*'WW Plan'!$H$56))/'General info'!$G$44</f>
        <v>0</v>
      </c>
      <c r="O275" s="2388">
        <f>(((O304-N304)*'WW Plan'!$G$54*'WW Plan'!$G$56)+((O305-N305)*'WW Plan'!$G$54*'WW Plan'!$H$56))/'General info'!$G$44</f>
        <v>0</v>
      </c>
      <c r="Q275" s="3987"/>
    </row>
    <row r="276" spans="1:17" ht="15" hidden="1" customHeight="1" outlineLevel="1" x14ac:dyDescent="0.25">
      <c r="B276" s="547"/>
      <c r="C276" s="2424" t="s">
        <v>2755</v>
      </c>
      <c r="D276" s="2531"/>
      <c r="E276" s="548"/>
      <c r="F276" s="548"/>
      <c r="G276" s="548"/>
      <c r="H276" s="548"/>
      <c r="I276" s="548"/>
      <c r="J276" s="548"/>
      <c r="K276" s="548"/>
      <c r="L276" s="548"/>
      <c r="M276" s="548"/>
      <c r="N276" s="548"/>
      <c r="O276" s="549"/>
    </row>
    <row r="277" spans="1:17" hidden="1" outlineLevel="1" x14ac:dyDescent="0.25">
      <c r="A277" s="27"/>
      <c r="B277" s="615"/>
      <c r="C277" s="307" t="s">
        <v>2756</v>
      </c>
      <c r="D277" s="5764" t="s">
        <v>16</v>
      </c>
      <c r="E277" s="48"/>
      <c r="F277" s="2099">
        <f>((F279*'WW Plan'!$G$55)+(F280*'WW Plan'!$G$55))/'General info'!$G$44</f>
        <v>0</v>
      </c>
      <c r="G277" s="2099">
        <f>((G279*'WW Plan'!$G$55)+(G280*'WW Plan'!$G$55))/'General info'!$G$44</f>
        <v>0</v>
      </c>
      <c r="H277" s="2099">
        <f>((H279*'WW Plan'!$G$55)+(H280*'WW Plan'!$G$55))/'General info'!$G$44</f>
        <v>0</v>
      </c>
      <c r="I277" s="2099">
        <f>((I279*'WW Plan'!$G$55)+(I280*'WW Plan'!$G$55))/'General info'!$G$44</f>
        <v>0</v>
      </c>
      <c r="J277" s="2099">
        <f>((J279*'WW Plan'!$G$55)+(J280*'WW Plan'!$G$55))/'General info'!$G$44</f>
        <v>0</v>
      </c>
      <c r="K277" s="2099">
        <f>((K279*'WW Plan'!$G$55)+(K280*'WW Plan'!$G$55))/'General info'!$G$44</f>
        <v>0</v>
      </c>
      <c r="L277" s="2099">
        <f>((L279*'WW Plan'!$G$55)+(L280*'WW Plan'!$G$55))/'General info'!$G$44</f>
        <v>0</v>
      </c>
      <c r="M277" s="2099">
        <f>((M279*'WW Plan'!$G$55)+(M280*'WW Plan'!$G$55))/'General info'!$G$44</f>
        <v>0</v>
      </c>
      <c r="N277" s="2099">
        <f>((N279*'WW Plan'!$G$55)+(N280*'WW Plan'!$G$55))/'General info'!$G$44</f>
        <v>0</v>
      </c>
      <c r="O277" s="2388">
        <f>((O279*'WW Plan'!$G$55)+(O280*'WW Plan'!$G$55))/'General info'!$G$44</f>
        <v>0</v>
      </c>
    </row>
    <row r="278" spans="1:17" hidden="1" outlineLevel="1" x14ac:dyDescent="0.25">
      <c r="A278" s="27"/>
      <c r="B278" s="615"/>
      <c r="C278" s="48"/>
      <c r="D278" s="5764" t="s">
        <v>1277</v>
      </c>
      <c r="E278" s="48"/>
      <c r="F278" s="2099">
        <f>((F279*'WW Plan'!$G$55*'WW Plan'!$G$56)+(F280*'WW Plan'!$G$55*'WW Plan'!$H$56))/'General info'!$G$44</f>
        <v>0</v>
      </c>
      <c r="G278" s="2099">
        <f>((G279*'WW Plan'!$G$55*'WW Plan'!$G$56)+(G280*'WW Plan'!$G$55*'WW Plan'!$H$56))/'General info'!$G$44</f>
        <v>0</v>
      </c>
      <c r="H278" s="2099">
        <f>((H279*'WW Plan'!$G$55*'WW Plan'!$G$56)+(H280*'WW Plan'!$G$55*'WW Plan'!$H$56))/'General info'!$G$44</f>
        <v>0</v>
      </c>
      <c r="I278" s="2099">
        <f>((I279*'WW Plan'!$G$55*'WW Plan'!$G$56)+(I280*'WW Plan'!$G$55*'WW Plan'!$H$56))/'General info'!$G$44</f>
        <v>0</v>
      </c>
      <c r="J278" s="2099">
        <f>((J279*'WW Plan'!$G$55*'WW Plan'!$G$56)+(J280*'WW Plan'!$G$55*'WW Plan'!$H$56))/'General info'!$G$44</f>
        <v>0</v>
      </c>
      <c r="K278" s="2099">
        <f>((K279*'WW Plan'!$G$55*'WW Plan'!$G$56)+(K280*'WW Plan'!$G$55*'WW Plan'!$H$56))/'General info'!$G$44</f>
        <v>0</v>
      </c>
      <c r="L278" s="2099">
        <f>((L279*'WW Plan'!$G$55*'WW Plan'!$G$56)+(L280*'WW Plan'!$G$55*'WW Plan'!$H$56))/'General info'!$G$44</f>
        <v>0</v>
      </c>
      <c r="M278" s="2099">
        <f>((M279*'WW Plan'!$G$55*'WW Plan'!$G$56)+(M280*'WW Plan'!$G$55*'WW Plan'!$H$56))/'General info'!$G$44</f>
        <v>0</v>
      </c>
      <c r="N278" s="2099">
        <f>((N279*'WW Plan'!$G$55*'WW Plan'!$G$56)+(N280*'WW Plan'!$G$55*'WW Plan'!$H$56))/'General info'!$G$44</f>
        <v>0</v>
      </c>
      <c r="O278" s="2388">
        <f>((O279*'WW Plan'!$G$55*'WW Plan'!$G$56)+(O280*'WW Plan'!$G$55*'WW Plan'!$H$56))/'General info'!$G$44</f>
        <v>0</v>
      </c>
    </row>
    <row r="279" spans="1:17" hidden="1" outlineLevel="1" x14ac:dyDescent="0.25">
      <c r="B279" s="2071"/>
      <c r="C279" s="2087" t="s">
        <v>2473</v>
      </c>
      <c r="D279" s="2532"/>
      <c r="E279" s="1162"/>
      <c r="F279" s="2090">
        <f t="shared" ref="F279:O279" si="104">(F455-E455)+(F401-E401)+(F344-E344)</f>
        <v>0</v>
      </c>
      <c r="G279" s="2090">
        <f t="shared" si="104"/>
        <v>0</v>
      </c>
      <c r="H279" s="2090">
        <f t="shared" si="104"/>
        <v>0</v>
      </c>
      <c r="I279" s="2090">
        <f t="shared" si="104"/>
        <v>0</v>
      </c>
      <c r="J279" s="2090">
        <f t="shared" si="104"/>
        <v>0</v>
      </c>
      <c r="K279" s="2090">
        <f t="shared" si="104"/>
        <v>0</v>
      </c>
      <c r="L279" s="2090">
        <f t="shared" si="104"/>
        <v>0</v>
      </c>
      <c r="M279" s="2090">
        <f t="shared" si="104"/>
        <v>0</v>
      </c>
      <c r="N279" s="2090">
        <f t="shared" si="104"/>
        <v>0</v>
      </c>
      <c r="O279" s="2091">
        <f t="shared" si="104"/>
        <v>0</v>
      </c>
    </row>
    <row r="280" spans="1:17" hidden="1" outlineLevel="1" x14ac:dyDescent="0.25">
      <c r="B280" s="551"/>
      <c r="C280" s="2110" t="s">
        <v>2474</v>
      </c>
      <c r="D280" s="2533"/>
      <c r="E280" s="570"/>
      <c r="F280" s="2111">
        <f t="shared" ref="F280:O280" si="105">(F456-E456)+(F402-E402)+(F345-E345)</f>
        <v>0</v>
      </c>
      <c r="G280" s="2111">
        <f t="shared" si="105"/>
        <v>0</v>
      </c>
      <c r="H280" s="2111">
        <f t="shared" si="105"/>
        <v>0</v>
      </c>
      <c r="I280" s="2111">
        <f t="shared" si="105"/>
        <v>0</v>
      </c>
      <c r="J280" s="2111">
        <f t="shared" si="105"/>
        <v>0</v>
      </c>
      <c r="K280" s="2111">
        <f t="shared" si="105"/>
        <v>0</v>
      </c>
      <c r="L280" s="2111">
        <f t="shared" si="105"/>
        <v>0</v>
      </c>
      <c r="M280" s="2111">
        <f t="shared" si="105"/>
        <v>0</v>
      </c>
      <c r="N280" s="2111">
        <f t="shared" si="105"/>
        <v>0</v>
      </c>
      <c r="O280" s="2112">
        <f t="shared" si="105"/>
        <v>0</v>
      </c>
    </row>
    <row r="281" spans="1:17" hidden="1" outlineLevel="1" x14ac:dyDescent="0.25">
      <c r="D281" s="2526"/>
      <c r="F281" s="10"/>
      <c r="G281" s="10"/>
      <c r="H281" s="10"/>
      <c r="I281" s="10"/>
      <c r="J281" s="10"/>
      <c r="K281" s="10"/>
      <c r="L281" s="10"/>
      <c r="M281" s="10"/>
      <c r="N281" s="10"/>
      <c r="O281" s="10"/>
    </row>
    <row r="282" spans="1:17" s="82" customFormat="1" hidden="1" outlineLevel="1" x14ac:dyDescent="0.25">
      <c r="C282" s="2477" t="s">
        <v>2545</v>
      </c>
      <c r="D282" s="2534"/>
      <c r="E282" s="155"/>
      <c r="F282" s="155"/>
      <c r="G282" s="155"/>
      <c r="H282" s="155"/>
      <c r="I282" s="155"/>
      <c r="J282" s="155"/>
      <c r="K282" s="155"/>
      <c r="L282" s="155"/>
      <c r="M282" s="155"/>
      <c r="N282" s="155"/>
      <c r="O282" s="155"/>
      <c r="Q282" s="3991"/>
    </row>
    <row r="283" spans="1:17" hidden="1" outlineLevel="1" x14ac:dyDescent="0.25">
      <c r="A283" s="27"/>
      <c r="B283" s="556"/>
      <c r="C283" s="335" t="s">
        <v>2546</v>
      </c>
      <c r="D283" s="2652">
        <f>'WW Plan'!G104*(1-'WW Plan'!G105)</f>
        <v>0</v>
      </c>
      <c r="E283" s="2269">
        <v>0</v>
      </c>
      <c r="F283" s="2269">
        <f>(IF('WW Plan'!$E$97="Activate",IF(AND('WW calcu'!F235&gt;='WW Plan'!$G$97,'WW calcu'!F235&lt;'WW Plan'!$H$97+1),('WW Plan'!$G$102/('WW Plan'!$H$97+1-'WW Plan'!$G$97)),0),0))</f>
        <v>0</v>
      </c>
      <c r="G283" s="2269">
        <f>(IF('WW Plan'!$E$97="Activate",IF(AND('WW calcu'!G235&gt;='WW Plan'!$G$97,'WW calcu'!G235&lt;'WW Plan'!$H$97+1),('WW Plan'!$G$102/('WW Plan'!$H$97+1-'WW Plan'!$G$97)),0),0))</f>
        <v>0</v>
      </c>
      <c r="H283" s="2269">
        <f>(IF('WW Plan'!$E$97="Activate",IF(AND('WW calcu'!H235&gt;='WW Plan'!$G$97,'WW calcu'!H235&lt;'WW Plan'!$H$97+1),('WW Plan'!$G$102/('WW Plan'!$H$97+1-'WW Plan'!$G$97)),0),0))</f>
        <v>0</v>
      </c>
      <c r="I283" s="2269">
        <f>(IF('WW Plan'!$E$97="Activate",IF(AND('WW calcu'!I235&gt;='WW Plan'!$G$97,'WW calcu'!I235&lt;'WW Plan'!$H$97+1),('WW Plan'!$G$102/('WW Plan'!$H$97+1-'WW Plan'!$G$97)),0),0))</f>
        <v>0</v>
      </c>
      <c r="J283" s="2269">
        <f>(IF('WW Plan'!$E$97="Activate",IF(AND('WW calcu'!J235&gt;='WW Plan'!$G$97,'WW calcu'!J235&lt;'WW Plan'!$H$97+1),('WW Plan'!$G$102/('WW Plan'!$H$97+1-'WW Plan'!$G$97)),0),0))</f>
        <v>0</v>
      </c>
      <c r="K283" s="2269">
        <f>(IF('WW Plan'!$E$97="Activate",IF(AND('WW calcu'!K235&gt;='WW Plan'!$G$97,'WW calcu'!K235&lt;'WW Plan'!$H$97+1),('WW Plan'!$G$102/('WW Plan'!$H$97+1-'WW Plan'!$G$97)),0),0))</f>
        <v>0</v>
      </c>
      <c r="L283" s="2269">
        <f>(IF('WW Plan'!$E$97="Activate",IF(AND('WW calcu'!L235&gt;='WW Plan'!$G$97,'WW calcu'!L235&lt;'WW Plan'!$H$97+1),('WW Plan'!$G$102/('WW Plan'!$H$97+1-'WW Plan'!$G$97)),0),0))</f>
        <v>0</v>
      </c>
      <c r="M283" s="2269">
        <f>(IF('WW Plan'!$E$97="Activate",IF(AND('WW calcu'!M235&gt;='WW Plan'!$G$97,'WW calcu'!M235&lt;'WW Plan'!$H$97+1),('WW Plan'!$G$102/('WW Plan'!$H$97+1-'WW Plan'!$G$97)),0),0))</f>
        <v>0</v>
      </c>
      <c r="N283" s="2269">
        <f>(IF('WW Plan'!$E$97="Activate",IF(AND('WW calcu'!N235&gt;='WW Plan'!$G$97,'WW calcu'!N235&lt;'WW Plan'!$H$97+1),('WW Plan'!$G$102/('WW Plan'!$H$97+1-'WW Plan'!$G$97)),0),0))</f>
        <v>0</v>
      </c>
      <c r="O283" s="2274">
        <f>(IF('WW Plan'!$E$97="Activate",IF(AND('WW calcu'!O235&gt;='WW Plan'!$G$97,'WW calcu'!O235&lt;'WW Plan'!$H$97+1),('WW Plan'!$G$102/('WW Plan'!$H$97+1-'WW Plan'!$G$97)),0),0))</f>
        <v>0</v>
      </c>
    </row>
    <row r="284" spans="1:17" hidden="1" outlineLevel="1" x14ac:dyDescent="0.25">
      <c r="A284" s="27"/>
      <c r="B284" s="615"/>
      <c r="C284" s="77" t="s">
        <v>2547</v>
      </c>
      <c r="D284" s="2651">
        <f>'WW Plan'!G104*(1-'WW Plan'!H105)</f>
        <v>0</v>
      </c>
      <c r="E284" s="2267">
        <v>0</v>
      </c>
      <c r="F284" s="2267">
        <f>(IF('WW Plan'!$E$97="Activate",IF(AND('WW calcu'!F235&gt;='WW Plan'!$G$97,'WW calcu'!F235&lt;'WW Plan'!$H$97+1),('WW Plan'!$H$102/('WW Plan'!$H$97+1-'WW Plan'!$G$97)),0),0))</f>
        <v>0</v>
      </c>
      <c r="G284" s="2267">
        <f>(IF('WW Plan'!$E$97="Activate",IF(AND('WW calcu'!G235&gt;='WW Plan'!$G$97,'WW calcu'!G235&lt;'WW Plan'!$H$97+1),('WW Plan'!$H$102/('WW Plan'!$H$97+1-'WW Plan'!$G$97)),0),0))</f>
        <v>0</v>
      </c>
      <c r="H284" s="2267">
        <f>(IF('WW Plan'!$E$97="Activate",IF(AND('WW calcu'!H235&gt;='WW Plan'!$G$97,'WW calcu'!H235&lt;'WW Plan'!$H$97+1),('WW Plan'!$H$102/('WW Plan'!$H$97+1-'WW Plan'!$G$97)),0),0))</f>
        <v>0</v>
      </c>
      <c r="I284" s="2267">
        <f>(IF('WW Plan'!$E$97="Activate",IF(AND('WW calcu'!I235&gt;='WW Plan'!$G$97,'WW calcu'!I235&lt;'WW Plan'!$H$97+1),('WW Plan'!$H$102/('WW Plan'!$H$97+1-'WW Plan'!$G$97)),0),0))</f>
        <v>0</v>
      </c>
      <c r="J284" s="2267">
        <f>(IF('WW Plan'!$E$97="Activate",IF(AND('WW calcu'!J235&gt;='WW Plan'!$G$97,'WW calcu'!J235&lt;'WW Plan'!$H$97+1),('WW Plan'!$H$102/('WW Plan'!$H$97+1-'WW Plan'!$G$97)),0),0))</f>
        <v>0</v>
      </c>
      <c r="K284" s="2267">
        <f>(IF('WW Plan'!$E$97="Activate",IF(AND('WW calcu'!K235&gt;='WW Plan'!$G$97,'WW calcu'!K235&lt;'WW Plan'!$H$97+1),('WW Plan'!$H$102/('WW Plan'!$H$97+1-'WW Plan'!$G$97)),0),0))</f>
        <v>0</v>
      </c>
      <c r="L284" s="2267">
        <f>(IF('WW Plan'!$E$97="Activate",IF(AND('WW calcu'!L235&gt;='WW Plan'!$G$97,'WW calcu'!L235&lt;'WW Plan'!$H$97+1),('WW Plan'!$H$102/('WW Plan'!$H$97+1-'WW Plan'!$G$97)),0),0))</f>
        <v>0</v>
      </c>
      <c r="M284" s="2267">
        <f>(IF('WW Plan'!$E$97="Activate",IF(AND('WW calcu'!M235&gt;='WW Plan'!$G$97,'WW calcu'!M235&lt;'WW Plan'!$H$97+1),('WW Plan'!$H$102/('WW Plan'!$H$97+1-'WW Plan'!$G$97)),0),0))</f>
        <v>0</v>
      </c>
      <c r="N284" s="2267">
        <f>(IF('WW Plan'!$E$97="Activate",IF(AND('WW calcu'!N235&gt;='WW Plan'!$G$97,'WW calcu'!N235&lt;'WW Plan'!$H$97+1),('WW Plan'!$H$102/('WW Plan'!$H$97+1-'WW Plan'!$G$97)),0),0))</f>
        <v>0</v>
      </c>
      <c r="O284" s="2468">
        <f>(IF('WW Plan'!$E$97="Activate",IF(AND('WW calcu'!O235&gt;='WW Plan'!$G$97,'WW calcu'!O235&lt;'WW Plan'!$H$97+1),('WW Plan'!$H$102/('WW Plan'!$H$97+1-'WW Plan'!$G$97)),0),0))</f>
        <v>0</v>
      </c>
    </row>
    <row r="285" spans="1:17" hidden="1" outlineLevel="1" x14ac:dyDescent="0.25">
      <c r="A285" s="27"/>
      <c r="B285" s="615"/>
      <c r="C285" s="77" t="s">
        <v>1144</v>
      </c>
      <c r="D285" s="2651">
        <f>'WW Plan'!G103</f>
        <v>0</v>
      </c>
      <c r="E285" s="2267">
        <v>0</v>
      </c>
      <c r="F285" s="174">
        <f>(IF('WW Plan'!$E$97="Activate",IF(AND('WW calcu'!F235&gt;='WW Plan'!$G$97,'WW calcu'!F235&lt;'WW Plan'!$H$97+1),('WW Plan'!$G$101/('WW Plan'!$H$97+1-'WW Plan'!$G$97)),0),0))</f>
        <v>0</v>
      </c>
      <c r="G285" s="174">
        <f>(IF('WW Plan'!$E$97="Activate",IF(AND('WW calcu'!G235&gt;='WW Plan'!$G$97,'WW calcu'!G235&lt;'WW Plan'!$H$97+1),('WW Plan'!$G$101/('WW Plan'!$H$97+1-'WW Plan'!$G$97)),0),0))</f>
        <v>0</v>
      </c>
      <c r="H285" s="174">
        <f>(IF('WW Plan'!$E$97="Activate",IF(AND('WW calcu'!H235&gt;='WW Plan'!$G$97,'WW calcu'!H235&lt;'WW Plan'!$H$97+1),('WW Plan'!$G$101/('WW Plan'!$H$97+1-'WW Plan'!$G$97)),0),0))</f>
        <v>0</v>
      </c>
      <c r="I285" s="2267">
        <f>(IF('WW Plan'!$E$97="Activate",IF(AND('WW calcu'!I235&gt;='WW Plan'!$G$97,'WW calcu'!I235&lt;'WW Plan'!$H$97+1),('WW Plan'!$G$101/('WW Plan'!$H$97+1-'WW Plan'!$G$97)),0),0))</f>
        <v>0</v>
      </c>
      <c r="J285" s="2267">
        <f>(IF('WW Plan'!$E$97="Activate",IF(AND('WW calcu'!J235&gt;='WW Plan'!$G$97,'WW calcu'!J235&lt;'WW Plan'!$H$97+1),('WW Plan'!$G$101/('WW Plan'!$H$97+1-'WW Plan'!$G$97)),0),0))</f>
        <v>0</v>
      </c>
      <c r="K285" s="2267">
        <f>(IF('WW Plan'!$E$97="Activate",IF(AND('WW calcu'!K235&gt;='WW Plan'!$G$97,'WW calcu'!K235&lt;'WW Plan'!$H$97+1),('WW Plan'!$G$101/('WW Plan'!$H$97+1-'WW Plan'!$G$97)),0),0))</f>
        <v>0</v>
      </c>
      <c r="L285" s="2267">
        <f>(IF('WW Plan'!$E$97="Activate",IF(AND('WW calcu'!L235&gt;='WW Plan'!$G$97,'WW calcu'!L235&lt;'WW Plan'!$H$97+1),('WW Plan'!$G$101/('WW Plan'!$H$97+1-'WW Plan'!$G$97)),0),0))</f>
        <v>0</v>
      </c>
      <c r="M285" s="2267">
        <f>(IF('WW Plan'!$E$97="Activate",IF(AND('WW calcu'!M235&gt;='WW Plan'!$G$97,'WW calcu'!M235&lt;'WW Plan'!$H$97+1),('WW Plan'!$G$101/('WW Plan'!$H$97+1-'WW Plan'!$G$97)),0),0))</f>
        <v>0</v>
      </c>
      <c r="N285" s="2267">
        <f>(IF('WW Plan'!$E$97="Activate",IF(AND('WW calcu'!N235&gt;='WW Plan'!$G$97,'WW calcu'!N235&lt;'WW Plan'!$H$97+1),('WW Plan'!$G$101/('WW Plan'!$H$97+1-'WW Plan'!$G$97)),0),0))</f>
        <v>0</v>
      </c>
      <c r="O285" s="2468">
        <f>(IF('WW Plan'!$E$97="Activate",IF(AND('WW calcu'!O235&gt;='WW Plan'!$G$97,'WW calcu'!O235&lt;'WW Plan'!$H$97+1),('WW Plan'!$G$101/('WW Plan'!$H$97+1-'WW Plan'!$G$97)),0),0))</f>
        <v>0</v>
      </c>
    </row>
    <row r="286" spans="1:17" hidden="1" outlineLevel="1" x14ac:dyDescent="0.25">
      <c r="A286" s="27"/>
      <c r="B286" s="615"/>
      <c r="C286" s="2182" t="s">
        <v>1506</v>
      </c>
      <c r="D286" s="2557"/>
      <c r="E286" s="2268">
        <v>0</v>
      </c>
      <c r="F286" s="2268">
        <f>SUMPRODUCT($D$283:$D$285,F283:F285)/'General info'!$G$44</f>
        <v>0</v>
      </c>
      <c r="G286" s="2268">
        <f>SUMPRODUCT($D$283:$D$285,G283:G285)/'General info'!$G$44</f>
        <v>0</v>
      </c>
      <c r="H286" s="2268">
        <f>SUMPRODUCT($D$283:$D$285,H283:H285)/'General info'!$G$44</f>
        <v>0</v>
      </c>
      <c r="I286" s="2268">
        <f>SUMPRODUCT($D$283:$D$285,I283:I285)/'General info'!$G$44</f>
        <v>0</v>
      </c>
      <c r="J286" s="2268">
        <f>SUMPRODUCT($D$283:$D$285,J283:J285)/'General info'!$G$44</f>
        <v>0</v>
      </c>
      <c r="K286" s="2268">
        <f>SUMPRODUCT($D$283:$D$285,K283:K285)/'General info'!$G$44</f>
        <v>0</v>
      </c>
      <c r="L286" s="2268">
        <f>SUMPRODUCT($D$283:$D$285,L283:L285)/'General info'!$G$44</f>
        <v>0</v>
      </c>
      <c r="M286" s="2268">
        <f>SUMPRODUCT($D$283:$D$285,M283:M285)/'General info'!$G$44</f>
        <v>0</v>
      </c>
      <c r="N286" s="2268">
        <f>SUMPRODUCT($D$283:$D$285,N283:N285)/'General info'!$G$44</f>
        <v>0</v>
      </c>
      <c r="O286" s="2268">
        <f>SUMPRODUCT($D$283:$D$285,O283:O285)/'General info'!$G$44</f>
        <v>0</v>
      </c>
      <c r="P286" s="3725">
        <f>SUM(E286:O286)</f>
        <v>0</v>
      </c>
    </row>
    <row r="287" spans="1:17" s="76" customFormat="1" hidden="1" outlineLevel="1" x14ac:dyDescent="0.25">
      <c r="B287" s="2653"/>
      <c r="C287" s="1305" t="s">
        <v>1507</v>
      </c>
      <c r="D287" s="2654">
        <f>'WW Plan'!G104</f>
        <v>0</v>
      </c>
      <c r="E287" s="2325">
        <v>0</v>
      </c>
      <c r="F287" s="2386">
        <f>((($D$285*F285)+($D$287*(F283+F284)))/'General info'!$G$44)-F286</f>
        <v>0</v>
      </c>
      <c r="G287" s="2386">
        <f>((($D$285*G285)+($D$287*(G283+G284)))/'General info'!$G$44)-G286</f>
        <v>0</v>
      </c>
      <c r="H287" s="2386">
        <f>((($D$285*H285)+($D$287*(H283+H284)))/'General info'!$G$44)-H286</f>
        <v>0</v>
      </c>
      <c r="I287" s="2386">
        <f>((($D$285*I285)+($D$287*(I283+I284)))/'General info'!$G$44)-I286</f>
        <v>0</v>
      </c>
      <c r="J287" s="2386">
        <f>((($D$285*J285)+($D$287*(J283+J284)))/'General info'!$G$44)-J286</f>
        <v>0</v>
      </c>
      <c r="K287" s="2386">
        <f>((($D$285*K285)+($D$287*(K283+K284)))/'General info'!$G$44)-K286</f>
        <v>0</v>
      </c>
      <c r="L287" s="2386">
        <f>((($D$285*L285)+($D$287*(L283+L284)))/'General info'!$G$44)-L286</f>
        <v>0</v>
      </c>
      <c r="M287" s="2386">
        <f>((($D$285*M285)+($D$287*(M283+M284)))/'General info'!$G$44)-M286</f>
        <v>0</v>
      </c>
      <c r="N287" s="2386">
        <f>((($D$285*N285)+($D$287*(N283+N284)))/'General info'!$G$44)-N286</f>
        <v>0</v>
      </c>
      <c r="O287" s="2386">
        <f>((($D$285*O285)+($D$287*(O283+O284)))/'General info'!$G$44)-O286</f>
        <v>0</v>
      </c>
      <c r="P287" s="3726">
        <f>SUM(E287:O287)</f>
        <v>0</v>
      </c>
      <c r="Q287" s="3999"/>
    </row>
    <row r="288" spans="1:17" hidden="1" outlineLevel="1" x14ac:dyDescent="0.25">
      <c r="D288" s="2526"/>
    </row>
    <row r="289" spans="1:17" hidden="1" outlineLevel="1" x14ac:dyDescent="0.25">
      <c r="D289" s="2526"/>
      <c r="P289" s="2113"/>
    </row>
    <row r="290" spans="1:17" s="56" customFormat="1" hidden="1" outlineLevel="1" x14ac:dyDescent="0.25">
      <c r="A290" s="1913"/>
      <c r="B290" s="1913"/>
      <c r="C290" s="1914" t="s">
        <v>2461</v>
      </c>
      <c r="D290" s="2523"/>
      <c r="E290" s="1915"/>
      <c r="F290" s="1915"/>
      <c r="G290" s="1915"/>
      <c r="H290" s="1915"/>
      <c r="I290" s="1915"/>
      <c r="J290" s="1915"/>
      <c r="K290" s="1915"/>
      <c r="L290" s="1915"/>
      <c r="M290" s="1915"/>
      <c r="N290" s="1915"/>
      <c r="O290" s="1915"/>
      <c r="Q290" s="3990"/>
    </row>
    <row r="291" spans="1:17" hidden="1" outlineLevel="1" x14ac:dyDescent="0.25">
      <c r="B291" s="547">
        <v>1</v>
      </c>
      <c r="C291" s="7293" t="s">
        <v>2518</v>
      </c>
      <c r="D291" s="2535"/>
      <c r="E291" s="548"/>
      <c r="F291" s="548"/>
      <c r="G291" s="548"/>
      <c r="H291" s="548"/>
      <c r="I291" s="548"/>
      <c r="J291" s="548"/>
      <c r="K291" s="548"/>
      <c r="L291" s="548"/>
      <c r="M291" s="548"/>
      <c r="N291" s="548"/>
      <c r="O291" s="549"/>
    </row>
    <row r="292" spans="1:17" hidden="1" outlineLevel="1" x14ac:dyDescent="0.25">
      <c r="B292" s="2071"/>
      <c r="C292" s="7294"/>
      <c r="D292" s="2251" t="s">
        <v>2422</v>
      </c>
      <c r="E292" s="550">
        <f t="shared" ref="E292:O292" si="106">E395+E437</f>
        <v>0</v>
      </c>
      <c r="F292" s="550">
        <f t="shared" si="106"/>
        <v>0</v>
      </c>
      <c r="G292" s="550">
        <f t="shared" si="106"/>
        <v>0</v>
      </c>
      <c r="H292" s="550">
        <f t="shared" si="106"/>
        <v>0</v>
      </c>
      <c r="I292" s="550">
        <f>I395+I437</f>
        <v>0</v>
      </c>
      <c r="J292" s="550">
        <f t="shared" si="106"/>
        <v>0</v>
      </c>
      <c r="K292" s="550">
        <f t="shared" si="106"/>
        <v>0</v>
      </c>
      <c r="L292" s="550">
        <f t="shared" si="106"/>
        <v>0</v>
      </c>
      <c r="M292" s="550">
        <f t="shared" si="106"/>
        <v>0</v>
      </c>
      <c r="N292" s="550">
        <f t="shared" si="106"/>
        <v>0</v>
      </c>
      <c r="O292" s="1033">
        <f t="shared" si="106"/>
        <v>0</v>
      </c>
    </row>
    <row r="293" spans="1:17" hidden="1" outlineLevel="1" x14ac:dyDescent="0.25">
      <c r="B293" s="2071"/>
      <c r="C293" s="1162"/>
      <c r="D293" s="2251" t="s">
        <v>27</v>
      </c>
      <c r="E293" s="550">
        <f t="shared" ref="E293:O293" si="107">E396+E438</f>
        <v>0</v>
      </c>
      <c r="F293" s="550">
        <f t="shared" si="107"/>
        <v>0</v>
      </c>
      <c r="G293" s="550">
        <f t="shared" si="107"/>
        <v>0</v>
      </c>
      <c r="H293" s="550">
        <f t="shared" si="107"/>
        <v>0</v>
      </c>
      <c r="I293" s="550">
        <f t="shared" si="107"/>
        <v>0</v>
      </c>
      <c r="J293" s="550">
        <f t="shared" si="107"/>
        <v>0</v>
      </c>
      <c r="K293" s="550">
        <f t="shared" si="107"/>
        <v>0</v>
      </c>
      <c r="L293" s="550">
        <f t="shared" si="107"/>
        <v>0</v>
      </c>
      <c r="M293" s="550">
        <f t="shared" si="107"/>
        <v>0</v>
      </c>
      <c r="N293" s="550">
        <f t="shared" si="107"/>
        <v>0</v>
      </c>
      <c r="O293" s="1033">
        <f t="shared" si="107"/>
        <v>0</v>
      </c>
    </row>
    <row r="294" spans="1:17" s="305" customFormat="1" hidden="1" outlineLevel="1" x14ac:dyDescent="0.25">
      <c r="A294" s="162"/>
      <c r="B294" s="2153"/>
      <c r="C294" s="7289" t="s">
        <v>2511</v>
      </c>
      <c r="D294" s="2529" t="s">
        <v>2422</v>
      </c>
      <c r="E294" s="2158">
        <f>E301</f>
        <v>424</v>
      </c>
      <c r="F294" s="2158">
        <f t="shared" ref="F294:O294" si="108">F31+E294</f>
        <v>424</v>
      </c>
      <c r="G294" s="2158">
        <f t="shared" si="108"/>
        <v>424</v>
      </c>
      <c r="H294" s="2158">
        <f t="shared" si="108"/>
        <v>424</v>
      </c>
      <c r="I294" s="2158">
        <f t="shared" si="108"/>
        <v>424</v>
      </c>
      <c r="J294" s="2158">
        <f t="shared" si="108"/>
        <v>424</v>
      </c>
      <c r="K294" s="2158">
        <f t="shared" si="108"/>
        <v>424</v>
      </c>
      <c r="L294" s="2158">
        <f t="shared" si="108"/>
        <v>424</v>
      </c>
      <c r="M294" s="2158">
        <f t="shared" si="108"/>
        <v>424</v>
      </c>
      <c r="N294" s="2158">
        <f t="shared" si="108"/>
        <v>424</v>
      </c>
      <c r="O294" s="2159">
        <f t="shared" si="108"/>
        <v>424</v>
      </c>
      <c r="P294" s="305" t="s">
        <v>3487</v>
      </c>
      <c r="Q294" s="3987"/>
    </row>
    <row r="295" spans="1:17" s="305" customFormat="1" hidden="1" outlineLevel="1" x14ac:dyDescent="0.25">
      <c r="A295" s="162"/>
      <c r="B295" s="2160"/>
      <c r="C295" s="7290"/>
      <c r="D295" s="2536" t="s">
        <v>27</v>
      </c>
      <c r="E295" s="2161">
        <f>E302</f>
        <v>0</v>
      </c>
      <c r="F295" s="2161">
        <f t="shared" ref="F295:O295" si="109">F32+E295</f>
        <v>0</v>
      </c>
      <c r="G295" s="2161">
        <f t="shared" si="109"/>
        <v>0</v>
      </c>
      <c r="H295" s="2161">
        <f t="shared" si="109"/>
        <v>0</v>
      </c>
      <c r="I295" s="2161">
        <f t="shared" si="109"/>
        <v>0</v>
      </c>
      <c r="J295" s="2161">
        <f t="shared" si="109"/>
        <v>0</v>
      </c>
      <c r="K295" s="2161">
        <f t="shared" si="109"/>
        <v>0</v>
      </c>
      <c r="L295" s="2161">
        <f t="shared" si="109"/>
        <v>0</v>
      </c>
      <c r="M295" s="2161">
        <f t="shared" si="109"/>
        <v>0</v>
      </c>
      <c r="N295" s="2161">
        <f t="shared" si="109"/>
        <v>0</v>
      </c>
      <c r="O295" s="2162">
        <f t="shared" si="109"/>
        <v>0</v>
      </c>
      <c r="Q295" s="3987"/>
    </row>
    <row r="296" spans="1:17" hidden="1" outlineLevel="1" x14ac:dyDescent="0.25">
      <c r="B296" s="2071"/>
      <c r="C296" s="7291" t="s">
        <v>2512</v>
      </c>
      <c r="D296" s="2537" t="s">
        <v>2422</v>
      </c>
      <c r="E296" s="550">
        <f>MAX(E294-E292,0)</f>
        <v>424</v>
      </c>
      <c r="F296" s="550">
        <f>MAX(F294-F292,0)</f>
        <v>424</v>
      </c>
      <c r="G296" s="550">
        <f t="shared" ref="G296:O296" si="110">MAX(G294-G292,0)</f>
        <v>424</v>
      </c>
      <c r="H296" s="550">
        <f t="shared" si="110"/>
        <v>424</v>
      </c>
      <c r="I296" s="550">
        <f t="shared" si="110"/>
        <v>424</v>
      </c>
      <c r="J296" s="550">
        <f t="shared" si="110"/>
        <v>424</v>
      </c>
      <c r="K296" s="550">
        <f t="shared" si="110"/>
        <v>424</v>
      </c>
      <c r="L296" s="550">
        <f t="shared" si="110"/>
        <v>424</v>
      </c>
      <c r="M296" s="550">
        <f t="shared" si="110"/>
        <v>424</v>
      </c>
      <c r="N296" s="550">
        <f t="shared" si="110"/>
        <v>424</v>
      </c>
      <c r="O296" s="1033">
        <f t="shared" si="110"/>
        <v>424</v>
      </c>
    </row>
    <row r="297" spans="1:17" hidden="1" outlineLevel="1" x14ac:dyDescent="0.25">
      <c r="B297" s="2071"/>
      <c r="C297" s="7292"/>
      <c r="D297" s="2537" t="s">
        <v>27</v>
      </c>
      <c r="E297" s="550">
        <f>MAX(E295-E293,0)</f>
        <v>0</v>
      </c>
      <c r="F297" s="550">
        <f t="shared" ref="F297:O297" si="111">MAX(F295-F293,0)</f>
        <v>0</v>
      </c>
      <c r="G297" s="550">
        <f t="shared" si="111"/>
        <v>0</v>
      </c>
      <c r="H297" s="550">
        <f t="shared" si="111"/>
        <v>0</v>
      </c>
      <c r="I297" s="550">
        <f t="shared" si="111"/>
        <v>0</v>
      </c>
      <c r="J297" s="550">
        <f t="shared" si="111"/>
        <v>0</v>
      </c>
      <c r="K297" s="550">
        <f t="shared" si="111"/>
        <v>0</v>
      </c>
      <c r="L297" s="550">
        <f t="shared" si="111"/>
        <v>0</v>
      </c>
      <c r="M297" s="550">
        <f t="shared" si="111"/>
        <v>0</v>
      </c>
      <c r="N297" s="550">
        <f t="shared" si="111"/>
        <v>0</v>
      </c>
      <c r="O297" s="1033">
        <f t="shared" si="111"/>
        <v>0</v>
      </c>
    </row>
    <row r="298" spans="1:17" s="305" customFormat="1" hidden="1" outlineLevel="1" x14ac:dyDescent="0.25">
      <c r="A298" s="162"/>
      <c r="B298" s="2153"/>
      <c r="C298" s="7289" t="s">
        <v>2516</v>
      </c>
      <c r="D298" s="2529" t="s">
        <v>2422</v>
      </c>
      <c r="E298" s="2154">
        <f>-MIN(E294-E292,0)</f>
        <v>0</v>
      </c>
      <c r="F298" s="2154">
        <f t="shared" ref="F298:O299" si="112">-MIN(F294-F292,0)</f>
        <v>0</v>
      </c>
      <c r="G298" s="2154">
        <f t="shared" si="112"/>
        <v>0</v>
      </c>
      <c r="H298" s="2154">
        <f t="shared" si="112"/>
        <v>0</v>
      </c>
      <c r="I298" s="2154">
        <f t="shared" si="112"/>
        <v>0</v>
      </c>
      <c r="J298" s="2154">
        <f>-MIN(J294-J292,0)</f>
        <v>0</v>
      </c>
      <c r="K298" s="2154">
        <f t="shared" si="112"/>
        <v>0</v>
      </c>
      <c r="L298" s="2154">
        <f t="shared" si="112"/>
        <v>0</v>
      </c>
      <c r="M298" s="2154">
        <f t="shared" si="112"/>
        <v>0</v>
      </c>
      <c r="N298" s="2154">
        <f t="shared" si="112"/>
        <v>0</v>
      </c>
      <c r="O298" s="2155">
        <f t="shared" si="112"/>
        <v>0</v>
      </c>
      <c r="Q298" s="3987"/>
    </row>
    <row r="299" spans="1:17" s="305" customFormat="1" hidden="1" outlineLevel="1" x14ac:dyDescent="0.25">
      <c r="A299" s="162"/>
      <c r="B299" s="2078"/>
      <c r="C299" s="7290"/>
      <c r="D299" s="2527" t="s">
        <v>27</v>
      </c>
      <c r="E299" s="2156">
        <f>-MIN(E295-E293,0)</f>
        <v>0</v>
      </c>
      <c r="F299" s="2156">
        <f t="shared" si="112"/>
        <v>0</v>
      </c>
      <c r="G299" s="2156">
        <f t="shared" si="112"/>
        <v>0</v>
      </c>
      <c r="H299" s="2156">
        <f t="shared" si="112"/>
        <v>0</v>
      </c>
      <c r="I299" s="2156">
        <f t="shared" si="112"/>
        <v>0</v>
      </c>
      <c r="J299" s="2156">
        <f t="shared" si="112"/>
        <v>0</v>
      </c>
      <c r="K299" s="2156">
        <f t="shared" si="112"/>
        <v>0</v>
      </c>
      <c r="L299" s="2156">
        <f t="shared" si="112"/>
        <v>0</v>
      </c>
      <c r="M299" s="2156">
        <f t="shared" si="112"/>
        <v>0</v>
      </c>
      <c r="N299" s="2156">
        <f t="shared" si="112"/>
        <v>0</v>
      </c>
      <c r="O299" s="2157">
        <f t="shared" si="112"/>
        <v>0</v>
      </c>
      <c r="Q299" s="3987"/>
    </row>
    <row r="300" spans="1:17" s="34" customFormat="1" hidden="1" outlineLevel="1" x14ac:dyDescent="0.25">
      <c r="B300" s="2083">
        <v>2</v>
      </c>
      <c r="C300" s="2661" t="s">
        <v>2517</v>
      </c>
      <c r="D300" s="2538"/>
      <c r="E300" s="2084"/>
      <c r="F300" s="2084"/>
      <c r="G300" s="2084"/>
      <c r="H300" s="2084"/>
      <c r="I300" s="2084"/>
      <c r="J300" s="2084"/>
      <c r="K300" s="2084"/>
      <c r="L300" s="2084"/>
      <c r="M300" s="2084"/>
      <c r="N300" s="2084"/>
      <c r="O300" s="2085"/>
      <c r="Q300" s="4000"/>
    </row>
    <row r="301" spans="1:17" hidden="1" outlineLevel="1" x14ac:dyDescent="0.25">
      <c r="B301" s="2071"/>
      <c r="C301" s="48" t="s">
        <v>2422</v>
      </c>
      <c r="D301" s="2486"/>
      <c r="E301" s="597">
        <f>'WSS Profile'!F256</f>
        <v>424</v>
      </c>
      <c r="F301" s="597">
        <f>F296+SUM($E$29:F29)</f>
        <v>1050</v>
      </c>
      <c r="G301" s="597">
        <f>G296+SUM($E$29:G29)</f>
        <v>1676</v>
      </c>
      <c r="H301" s="2100">
        <f>H296+SUM($E$29:H29)</f>
        <v>2302</v>
      </c>
      <c r="I301" s="597">
        <f>I296+SUM($E$29:I29)</f>
        <v>2928</v>
      </c>
      <c r="J301" s="597">
        <f>J296+SUM($E$29:J29)</f>
        <v>3554</v>
      </c>
      <c r="K301" s="597">
        <f>K296+SUM($E$29:K29)</f>
        <v>3554</v>
      </c>
      <c r="L301" s="597">
        <f>L296+SUM($E$29:L29)</f>
        <v>3554</v>
      </c>
      <c r="M301" s="597">
        <f>M296+SUM($E$29:M29)</f>
        <v>3554</v>
      </c>
      <c r="N301" s="597">
        <f>N296+SUM($E$29:N29)</f>
        <v>3554</v>
      </c>
      <c r="O301" s="608">
        <f>O296+SUM($E$29:O29)</f>
        <v>3554</v>
      </c>
    </row>
    <row r="302" spans="1:17" hidden="1" outlineLevel="1" x14ac:dyDescent="0.25">
      <c r="B302" s="551"/>
      <c r="C302" s="2187" t="s">
        <v>646</v>
      </c>
      <c r="D302" s="2487"/>
      <c r="E302" s="609">
        <f>'WSS Profile'!G256</f>
        <v>0</v>
      </c>
      <c r="F302" s="609">
        <f>F297+SUM($E$30:F30)</f>
        <v>33</v>
      </c>
      <c r="G302" s="609">
        <f>G297+SUM($E$30:G30)</f>
        <v>66</v>
      </c>
      <c r="H302" s="2104">
        <f>H297+SUM($E$30:H30)</f>
        <v>99</v>
      </c>
      <c r="I302" s="609">
        <f>I297+SUM($E$30:I30)</f>
        <v>132</v>
      </c>
      <c r="J302" s="609">
        <f>J297+SUM($E$30:J30)</f>
        <v>165</v>
      </c>
      <c r="K302" s="609">
        <f>K297+SUM($E$30:K30)</f>
        <v>165</v>
      </c>
      <c r="L302" s="609">
        <f>L297+SUM($E$30:L30)</f>
        <v>165</v>
      </c>
      <c r="M302" s="609">
        <f>M297+SUM($E$30:M30)</f>
        <v>165</v>
      </c>
      <c r="N302" s="609">
        <f>N297+SUM($E$30:N30)</f>
        <v>165</v>
      </c>
      <c r="O302" s="610">
        <f>O297+SUM($E$30:O30)</f>
        <v>165</v>
      </c>
    </row>
    <row r="303" spans="1:17" s="34" customFormat="1" hidden="1" outlineLevel="1" x14ac:dyDescent="0.25">
      <c r="B303" s="2083">
        <v>3</v>
      </c>
      <c r="C303" s="2661" t="s">
        <v>2476</v>
      </c>
      <c r="D303" s="2538"/>
      <c r="E303" s="2106"/>
      <c r="F303" s="2106"/>
      <c r="G303" s="2106"/>
      <c r="H303" s="4559"/>
      <c r="I303" s="2106"/>
      <c r="J303" s="2106"/>
      <c r="K303" s="2106"/>
      <c r="L303" s="2106"/>
      <c r="M303" s="2106"/>
      <c r="N303" s="2106"/>
      <c r="O303" s="2107"/>
      <c r="Q303" s="4000"/>
    </row>
    <row r="304" spans="1:17" hidden="1" outlineLevel="1" x14ac:dyDescent="0.25">
      <c r="B304" s="2071"/>
      <c r="C304" s="48" t="s">
        <v>2422</v>
      </c>
      <c r="D304" s="2539">
        <f>'WW Plan'!G49</f>
        <v>1</v>
      </c>
      <c r="E304" s="597">
        <f>$D$304*E248</f>
        <v>0</v>
      </c>
      <c r="F304" s="2100">
        <f t="shared" ref="F304:O304" si="113">($D$304*F248)+E304</f>
        <v>805.4</v>
      </c>
      <c r="G304" s="597">
        <f t="shared" si="113"/>
        <v>1610.8</v>
      </c>
      <c r="H304" s="2100">
        <f t="shared" si="113"/>
        <v>2416.1999999999998</v>
      </c>
      <c r="I304" s="597">
        <f t="shared" si="113"/>
        <v>3221.6</v>
      </c>
      <c r="J304" s="597">
        <f t="shared" si="113"/>
        <v>4027</v>
      </c>
      <c r="K304" s="597">
        <f t="shared" si="113"/>
        <v>4027</v>
      </c>
      <c r="L304" s="597">
        <f t="shared" si="113"/>
        <v>4027</v>
      </c>
      <c r="M304" s="597">
        <f t="shared" si="113"/>
        <v>4027</v>
      </c>
      <c r="N304" s="597">
        <f t="shared" si="113"/>
        <v>4027</v>
      </c>
      <c r="O304" s="608">
        <f t="shared" si="113"/>
        <v>4027</v>
      </c>
    </row>
    <row r="305" spans="1:17" hidden="1" outlineLevel="1" x14ac:dyDescent="0.25">
      <c r="B305" s="551"/>
      <c r="C305" s="2187" t="s">
        <v>646</v>
      </c>
      <c r="D305" s="2540">
        <f>'WW Plan'!H49</f>
        <v>1</v>
      </c>
      <c r="E305" s="609">
        <f>$D$305*E249</f>
        <v>0</v>
      </c>
      <c r="F305" s="2104">
        <f t="shared" ref="F305:O305" si="114">($D$305*F249)+E305</f>
        <v>38.200000000000003</v>
      </c>
      <c r="G305" s="609">
        <f t="shared" si="114"/>
        <v>76.400000000000006</v>
      </c>
      <c r="H305" s="2104">
        <f t="shared" si="114"/>
        <v>114.60000000000001</v>
      </c>
      <c r="I305" s="609">
        <f t="shared" si="114"/>
        <v>152.80000000000001</v>
      </c>
      <c r="J305" s="609">
        <f t="shared" si="114"/>
        <v>191</v>
      </c>
      <c r="K305" s="609">
        <f t="shared" si="114"/>
        <v>191</v>
      </c>
      <c r="L305" s="609">
        <f t="shared" si="114"/>
        <v>191</v>
      </c>
      <c r="M305" s="609">
        <f t="shared" si="114"/>
        <v>191</v>
      </c>
      <c r="N305" s="609">
        <f t="shared" si="114"/>
        <v>191</v>
      </c>
      <c r="O305" s="610">
        <f t="shared" si="114"/>
        <v>191</v>
      </c>
    </row>
    <row r="306" spans="1:17" hidden="1" outlineLevel="1" x14ac:dyDescent="0.25">
      <c r="B306" s="2083">
        <v>4</v>
      </c>
      <c r="C306" s="2661" t="s">
        <v>2477</v>
      </c>
      <c r="D306" s="2539"/>
      <c r="E306" s="2084"/>
      <c r="F306" s="557"/>
      <c r="G306" s="2084"/>
      <c r="H306" s="2347"/>
      <c r="I306" s="2084"/>
      <c r="J306" s="2084"/>
      <c r="K306" s="2084"/>
      <c r="L306" s="2084"/>
      <c r="M306" s="2084"/>
      <c r="N306" s="2084"/>
      <c r="O306" s="2085"/>
    </row>
    <row r="307" spans="1:17" hidden="1" outlineLevel="1" x14ac:dyDescent="0.25">
      <c r="B307" s="2071"/>
      <c r="C307" s="1162" t="s">
        <v>2422</v>
      </c>
      <c r="D307" s="2539">
        <f>'WW Plan'!G281</f>
        <v>0</v>
      </c>
      <c r="E307" s="1162"/>
      <c r="F307" s="2089">
        <f>E307+(IF('WW Plan'!$E$275="Activate",IF(AND(F$235&gt;='WW Plan'!$G$275,F$235&lt;'WW Plan'!$H$275+1),('WW Plan'!$G$279/('WW Plan'!$H$275+1-'WW Plan'!$G$275)),0),0))</f>
        <v>0</v>
      </c>
      <c r="G307" s="2089">
        <f>F307+(IF('WW Plan'!$E$275="Activate",IF(AND(G$235&gt;='WW Plan'!$G$275,G$235&lt;'WW Plan'!$H$275+1),('WW Plan'!$G$279/('WW Plan'!$H$275+1-'WW Plan'!$G$275)),0),0))</f>
        <v>0</v>
      </c>
      <c r="H307" s="2350">
        <f>G307+(IF('WW Plan'!$E$275="Activate",IF(AND(H$235&gt;='WW Plan'!$G$275,H$235&lt;'WW Plan'!$H$275+1),('WW Plan'!$G$279/('WW Plan'!$H$275+1-'WW Plan'!$G$275)),0),0))</f>
        <v>0</v>
      </c>
      <c r="I307" s="2089">
        <f>H307+(IF('WW Plan'!$E$275="Activate",IF(AND(I$235&gt;='WW Plan'!$G$275,I$235&lt;'WW Plan'!$H$275+1),('WW Plan'!$G$279/('WW Plan'!$H$275+1-'WW Plan'!$G$275)),0),0))</f>
        <v>0</v>
      </c>
      <c r="J307" s="2089">
        <f>I307+(IF('WW Plan'!$E$275="Activate",IF(AND(J$235&gt;='WW Plan'!$G$275,J$235&lt;'WW Plan'!$H$275+1),('WW Plan'!$G$279/('WW Plan'!$H$275+1-'WW Plan'!$G$275)),0),0))</f>
        <v>0</v>
      </c>
      <c r="K307" s="2089">
        <f>J307+(IF('WW Plan'!$E$275="Activate",IF(AND(K$235&gt;='WW Plan'!$G$275,K$235&lt;'WW Plan'!$H$275+1),('WW Plan'!$G$279/('WW Plan'!$H$275+1-'WW Plan'!$G$275)),0),0))</f>
        <v>0</v>
      </c>
      <c r="L307" s="2089">
        <f>K307+(IF('WW Plan'!$E$275="Activate",IF(AND(L$235&gt;='WW Plan'!$G$275,L$235&lt;'WW Plan'!$H$275+1),('WW Plan'!$G$279/('WW Plan'!$H$275+1-'WW Plan'!$G$275)),0),0))</f>
        <v>0</v>
      </c>
      <c r="M307" s="2089">
        <f>L307+(IF('WW Plan'!$E$275="Activate",IF(AND(M$235&gt;='WW Plan'!$G$275,M$235&lt;'WW Plan'!$H$275+1),('WW Plan'!$G$279/('WW Plan'!$H$275+1-'WW Plan'!$G$275)),0),0))</f>
        <v>0</v>
      </c>
      <c r="N307" s="2089">
        <f>M307+(IF('WW Plan'!$E$275="Activate",IF(AND(N$235&gt;='WW Plan'!$G$275,N$235&lt;'WW Plan'!$H$275+1),('WW Plan'!$G$279/('WW Plan'!$H$275+1-'WW Plan'!$G$275)),0),0))</f>
        <v>0</v>
      </c>
      <c r="O307" s="2092">
        <f>N307+(IF('WW Plan'!$E$275="Activate",IF(AND(O$235&gt;='WW Plan'!$G$275,O$235&lt;'WW Plan'!$H$275+1),('WW Plan'!$G$279/('WW Plan'!$H$275+1-'WW Plan'!$G$275)),0),0))</f>
        <v>0</v>
      </c>
    </row>
    <row r="308" spans="1:17" hidden="1" outlineLevel="1" x14ac:dyDescent="0.25">
      <c r="B308" s="551"/>
      <c r="C308" s="570" t="s">
        <v>646</v>
      </c>
      <c r="D308" s="2540">
        <f>'WW Plan'!H281</f>
        <v>0</v>
      </c>
      <c r="E308" s="570"/>
      <c r="F308" s="609">
        <f>E308+(IF('WW Plan'!$E$275="Activate",IF(AND(F$235&gt;='WW Plan'!$G$275,F$235&lt;'WW Plan'!$H$275+1),('WW Plan'!$H$279/('WW Plan'!$H$275+1-'WW Plan'!$G$275)),0),0))</f>
        <v>0</v>
      </c>
      <c r="G308" s="609">
        <f>F308+(IF('WW Plan'!$E$275="Activate",IF(AND(G$235&gt;='WW Plan'!$G$275,G$235&lt;'WW Plan'!$H$275+1),('WW Plan'!$H$279/('WW Plan'!$H$275+1-'WW Plan'!$G$275)),0),0))</f>
        <v>0</v>
      </c>
      <c r="H308" s="2104">
        <f>G308+(IF('WW Plan'!$E$275="Activate",IF(AND(H$235&gt;='WW Plan'!$G$275,H$235&lt;'WW Plan'!$H$275+1),('WW Plan'!$H$279/('WW Plan'!$H$275+1-'WW Plan'!$G$275)),0),0))</f>
        <v>0</v>
      </c>
      <c r="I308" s="609">
        <f>H308+(IF('WW Plan'!$E$275="Activate",IF(AND(I$235&gt;='WW Plan'!$G$275,I$235&lt;'WW Plan'!$H$275+1),('WW Plan'!$H$279/('WW Plan'!$H$275+1-'WW Plan'!$G$275)),0),0))</f>
        <v>0</v>
      </c>
      <c r="J308" s="609">
        <f>I308+(IF('WW Plan'!$E$275="Activate",IF(AND(J$235&gt;='WW Plan'!$G$275,J$235&lt;'WW Plan'!$H$275+1),('WW Plan'!$H$279/('WW Plan'!$H$275+1-'WW Plan'!$G$275)),0),0))</f>
        <v>0</v>
      </c>
      <c r="K308" s="609">
        <f>J308+(IF('WW Plan'!$E$275="Activate",IF(AND(K$235&gt;='WW Plan'!$G$275,K$235&lt;'WW Plan'!$H$275+1),('WW Plan'!$H$279/('WW Plan'!$H$275+1-'WW Plan'!$G$275)),0),0))</f>
        <v>0</v>
      </c>
      <c r="L308" s="609">
        <f>K308+(IF('WW Plan'!$E$275="Activate",IF(AND(L$235&gt;='WW Plan'!$G$275,L$235&lt;'WW Plan'!$H$275+1),('WW Plan'!$H$279/('WW Plan'!$H$275+1-'WW Plan'!$G$275)),0),0))</f>
        <v>0</v>
      </c>
      <c r="M308" s="609">
        <f>L308+(IF('WW Plan'!$E$275="Activate",IF(AND(M$235&gt;='WW Plan'!$G$275,M$235&lt;'WW Plan'!$H$275+1),('WW Plan'!$H$279/('WW Plan'!$H$275+1-'WW Plan'!$G$275)),0),0))</f>
        <v>0</v>
      </c>
      <c r="N308" s="609">
        <f>M308+(IF('WW Plan'!$E$275="Activate",IF(AND(N$235&gt;='WW Plan'!$G$275,N$235&lt;'WW Plan'!$H$275+1),('WW Plan'!$H$279/('WW Plan'!$H$275+1-'WW Plan'!$G$275)),0),0))</f>
        <v>0</v>
      </c>
      <c r="O308" s="610">
        <f>N308+(IF('WW Plan'!$E$275="Activate",IF(AND(O$235&gt;='WW Plan'!$G$275,O$235&lt;'WW Plan'!$H$275+1),('WW Plan'!$H$279/('WW Plan'!$H$275+1-'WW Plan'!$G$275)),0),0))</f>
        <v>0</v>
      </c>
    </row>
    <row r="309" spans="1:17" hidden="1" outlineLevel="1" x14ac:dyDescent="0.25">
      <c r="B309" s="2071"/>
      <c r="C309" s="47" t="s">
        <v>2586</v>
      </c>
      <c r="D309" s="2486"/>
      <c r="E309" s="1162"/>
      <c r="F309" s="597"/>
      <c r="G309" s="597"/>
      <c r="H309" s="597"/>
      <c r="I309" s="597"/>
      <c r="J309" s="597"/>
      <c r="K309" s="597"/>
      <c r="L309" s="597"/>
      <c r="M309" s="597"/>
      <c r="N309" s="597"/>
      <c r="O309" s="608"/>
    </row>
    <row r="310" spans="1:17" s="49" customFormat="1" hidden="1" outlineLevel="1" x14ac:dyDescent="0.25">
      <c r="A310" s="63"/>
      <c r="B310" s="2096"/>
      <c r="C310" s="7298" t="s">
        <v>2588</v>
      </c>
      <c r="D310" s="2251" t="s">
        <v>2422</v>
      </c>
      <c r="E310" s="2185">
        <f t="shared" ref="E310:O310" si="115">E312-E307</f>
        <v>424</v>
      </c>
      <c r="F310" s="2185">
        <f t="shared" si="115"/>
        <v>1855.4</v>
      </c>
      <c r="G310" s="2185">
        <f t="shared" si="115"/>
        <v>3286.8</v>
      </c>
      <c r="H310" s="2185">
        <f t="shared" si="115"/>
        <v>4718.2</v>
      </c>
      <c r="I310" s="2185">
        <f t="shared" si="115"/>
        <v>6149.6</v>
      </c>
      <c r="J310" s="2185">
        <f t="shared" si="115"/>
        <v>7581</v>
      </c>
      <c r="K310" s="2185">
        <f t="shared" si="115"/>
        <v>7581</v>
      </c>
      <c r="L310" s="2185">
        <f t="shared" si="115"/>
        <v>7581</v>
      </c>
      <c r="M310" s="2185">
        <f t="shared" si="115"/>
        <v>7581</v>
      </c>
      <c r="N310" s="2185">
        <f t="shared" si="115"/>
        <v>7581</v>
      </c>
      <c r="O310" s="2186">
        <f t="shared" si="115"/>
        <v>7581</v>
      </c>
      <c r="Q310" s="3993"/>
    </row>
    <row r="311" spans="1:17" s="49" customFormat="1" hidden="1" outlineLevel="1" x14ac:dyDescent="0.25">
      <c r="A311" s="63"/>
      <c r="B311" s="4052"/>
      <c r="C311" s="7299"/>
      <c r="D311" s="4566" t="s">
        <v>27</v>
      </c>
      <c r="E311" s="4567">
        <f t="shared" ref="E311:O311" si="116">E313-E308</f>
        <v>0</v>
      </c>
      <c r="F311" s="4567">
        <f t="shared" si="116"/>
        <v>71.2</v>
      </c>
      <c r="G311" s="4567">
        <f t="shared" si="116"/>
        <v>142.4</v>
      </c>
      <c r="H311" s="4567">
        <f t="shared" si="116"/>
        <v>213.60000000000002</v>
      </c>
      <c r="I311" s="4567">
        <f t="shared" si="116"/>
        <v>284.8</v>
      </c>
      <c r="J311" s="4567">
        <f t="shared" si="116"/>
        <v>356</v>
      </c>
      <c r="K311" s="4567">
        <f t="shared" si="116"/>
        <v>356</v>
      </c>
      <c r="L311" s="4567">
        <f t="shared" si="116"/>
        <v>356</v>
      </c>
      <c r="M311" s="4567">
        <f t="shared" si="116"/>
        <v>356</v>
      </c>
      <c r="N311" s="4567">
        <f t="shared" si="116"/>
        <v>356</v>
      </c>
      <c r="O311" s="4568">
        <f t="shared" si="116"/>
        <v>356</v>
      </c>
      <c r="Q311" s="3993"/>
    </row>
    <row r="312" spans="1:17" s="49" customFormat="1" hidden="1" outlineLevel="1" x14ac:dyDescent="0.25">
      <c r="A312" s="63"/>
      <c r="B312" s="2096"/>
      <c r="C312" s="7295" t="s">
        <v>2587</v>
      </c>
      <c r="D312" s="2251" t="s">
        <v>2422</v>
      </c>
      <c r="E312" s="2185">
        <f t="shared" ref="E312:O312" si="117">E301+E304+E307</f>
        <v>424</v>
      </c>
      <c r="F312" s="2185">
        <f t="shared" si="117"/>
        <v>1855.4</v>
      </c>
      <c r="G312" s="2185">
        <f t="shared" si="117"/>
        <v>3286.8</v>
      </c>
      <c r="H312" s="2185">
        <f t="shared" si="117"/>
        <v>4718.2</v>
      </c>
      <c r="I312" s="2185">
        <f t="shared" si="117"/>
        <v>6149.6</v>
      </c>
      <c r="J312" s="2185">
        <f t="shared" si="117"/>
        <v>7581</v>
      </c>
      <c r="K312" s="2185">
        <f t="shared" si="117"/>
        <v>7581</v>
      </c>
      <c r="L312" s="2185">
        <f t="shared" si="117"/>
        <v>7581</v>
      </c>
      <c r="M312" s="2185">
        <f t="shared" si="117"/>
        <v>7581</v>
      </c>
      <c r="N312" s="2185">
        <f t="shared" si="117"/>
        <v>7581</v>
      </c>
      <c r="O312" s="2186">
        <f t="shared" si="117"/>
        <v>7581</v>
      </c>
      <c r="Q312" s="3993"/>
    </row>
    <row r="313" spans="1:17" s="49" customFormat="1" hidden="1" outlineLevel="1" x14ac:dyDescent="0.25">
      <c r="A313" s="63"/>
      <c r="B313" s="2070"/>
      <c r="C313" s="7296"/>
      <c r="D313" s="2527" t="s">
        <v>27</v>
      </c>
      <c r="E313" s="2108">
        <f t="shared" ref="E313:O313" si="118">E302+E305+E308</f>
        <v>0</v>
      </c>
      <c r="F313" s="2108">
        <f t="shared" si="118"/>
        <v>71.2</v>
      </c>
      <c r="G313" s="2108">
        <f t="shared" si="118"/>
        <v>142.4</v>
      </c>
      <c r="H313" s="2108">
        <f t="shared" si="118"/>
        <v>213.60000000000002</v>
      </c>
      <c r="I313" s="2108">
        <f t="shared" si="118"/>
        <v>284.8</v>
      </c>
      <c r="J313" s="2108">
        <f t="shared" si="118"/>
        <v>356</v>
      </c>
      <c r="K313" s="2108">
        <f t="shared" si="118"/>
        <v>356</v>
      </c>
      <c r="L313" s="2108">
        <f t="shared" si="118"/>
        <v>356</v>
      </c>
      <c r="M313" s="2108">
        <f t="shared" si="118"/>
        <v>356</v>
      </c>
      <c r="N313" s="2108">
        <f t="shared" si="118"/>
        <v>356</v>
      </c>
      <c r="O313" s="2109">
        <f t="shared" si="118"/>
        <v>356</v>
      </c>
      <c r="Q313" s="3993"/>
    </row>
    <row r="314" spans="1:17" s="49" customFormat="1" hidden="1" outlineLevel="1" x14ac:dyDescent="0.25">
      <c r="D314" s="2541"/>
      <c r="Q314" s="3993"/>
    </row>
    <row r="315" spans="1:17" s="49" customFormat="1" hidden="1" outlineLevel="1" x14ac:dyDescent="0.25">
      <c r="B315" s="2095"/>
      <c r="C315" s="2424" t="s">
        <v>2966</v>
      </c>
      <c r="D315" s="4560"/>
      <c r="E315" s="2660"/>
      <c r="F315" s="2660"/>
      <c r="G315" s="2660"/>
      <c r="H315" s="2660"/>
      <c r="I315" s="2660"/>
      <c r="J315" s="2660"/>
      <c r="K315" s="2660"/>
      <c r="L315" s="2660"/>
      <c r="M315" s="2660"/>
      <c r="N315" s="2660"/>
      <c r="O315" s="4561"/>
      <c r="Q315" s="3993"/>
    </row>
    <row r="316" spans="1:17" s="3993" customFormat="1" hidden="1" outlineLevel="1" x14ac:dyDescent="0.25">
      <c r="B316" s="4563"/>
      <c r="C316" s="53" t="s">
        <v>2588</v>
      </c>
      <c r="D316" s="2251" t="s">
        <v>2422</v>
      </c>
      <c r="E316" s="5191">
        <f>E310</f>
        <v>424</v>
      </c>
      <c r="F316" s="5191">
        <f>F310+SUM($E$75:F75)</f>
        <v>1855.4</v>
      </c>
      <c r="G316" s="5191">
        <f>G310+SUM($E$75:G75)</f>
        <v>3286.8</v>
      </c>
      <c r="H316" s="5191">
        <f>H310+SUM($E$75:H75)</f>
        <v>4718.2</v>
      </c>
      <c r="I316" s="5191">
        <f>I310+SUM($E$75:I75)</f>
        <v>6149.6</v>
      </c>
      <c r="J316" s="5191">
        <f>J310+SUM($E$75:J75)</f>
        <v>7581</v>
      </c>
      <c r="K316" s="5191">
        <f>K310+SUM($E$75:K75)</f>
        <v>7581</v>
      </c>
      <c r="L316" s="5191">
        <f>L310+SUM($E$75:L75)</f>
        <v>7581</v>
      </c>
      <c r="M316" s="5191">
        <f>M310+SUM($E$75:M75)</f>
        <v>7581</v>
      </c>
      <c r="N316" s="5191">
        <f>N310+SUM($E$75:N75)</f>
        <v>7581</v>
      </c>
      <c r="O316" s="5192">
        <f>O310+SUM($E$75:O75)</f>
        <v>7581</v>
      </c>
    </row>
    <row r="317" spans="1:17" s="3993" customFormat="1" hidden="1" outlineLevel="1" x14ac:dyDescent="0.25">
      <c r="B317" s="4563"/>
      <c r="C317" s="2530" t="s">
        <v>2967</v>
      </c>
      <c r="D317" s="2251" t="s">
        <v>27</v>
      </c>
      <c r="E317" s="5191">
        <f>E311</f>
        <v>0</v>
      </c>
      <c r="F317" s="5191">
        <f>F311+SUM($E$76:F76)</f>
        <v>71.2</v>
      </c>
      <c r="G317" s="5191">
        <f>G311+SUM($E$76:G76)</f>
        <v>142.4</v>
      </c>
      <c r="H317" s="5191">
        <f>H311+SUM($E$76:H76)</f>
        <v>213.60000000000002</v>
      </c>
      <c r="I317" s="5191">
        <f>I311+SUM($E$76:I76)</f>
        <v>284.8</v>
      </c>
      <c r="J317" s="5191">
        <f>J311+SUM($E$76:J76)</f>
        <v>356</v>
      </c>
      <c r="K317" s="5191">
        <f>K311+SUM($E$76:K76)</f>
        <v>356</v>
      </c>
      <c r="L317" s="5191">
        <f>L311+SUM($E$76:L76)</f>
        <v>356</v>
      </c>
      <c r="M317" s="5191">
        <f>M311+SUM($E$76:M76)</f>
        <v>356</v>
      </c>
      <c r="N317" s="5191">
        <f>N311+SUM($E$76:N76)</f>
        <v>356</v>
      </c>
      <c r="O317" s="5192">
        <f>O311+SUM($E$76:O76)</f>
        <v>356</v>
      </c>
    </row>
    <row r="318" spans="1:17" s="49" customFormat="1" hidden="1" outlineLevel="1" x14ac:dyDescent="0.25">
      <c r="B318" s="4564"/>
      <c r="C318" s="7300" t="s">
        <v>2587</v>
      </c>
      <c r="D318" s="4565" t="s">
        <v>2422</v>
      </c>
      <c r="E318" s="5193">
        <f>E312</f>
        <v>424</v>
      </c>
      <c r="F318" s="5193">
        <f>F312+SUM($E$75:F75)</f>
        <v>1855.4</v>
      </c>
      <c r="G318" s="5193">
        <f>G312+SUM($E$75:G75)</f>
        <v>3286.8</v>
      </c>
      <c r="H318" s="5193">
        <f>H312+SUM($E$75:H75)</f>
        <v>4718.2</v>
      </c>
      <c r="I318" s="5193">
        <f>I312+SUM($E$75:I75)</f>
        <v>6149.6</v>
      </c>
      <c r="J318" s="5193">
        <f>J312+SUM($E$75:J75)</f>
        <v>7581</v>
      </c>
      <c r="K318" s="5193">
        <f>K312+SUM($E$75:K75)</f>
        <v>7581</v>
      </c>
      <c r="L318" s="5193">
        <f>L312+SUM($E$75:L75)</f>
        <v>7581</v>
      </c>
      <c r="M318" s="5193">
        <f>M312+SUM($E$75:M75)</f>
        <v>7581</v>
      </c>
      <c r="N318" s="5193">
        <f>N312+SUM($E$75:N75)</f>
        <v>7581</v>
      </c>
      <c r="O318" s="5194">
        <f>O312+SUM($E$75:O75)</f>
        <v>7581</v>
      </c>
      <c r="P318" s="305" t="s">
        <v>3488</v>
      </c>
      <c r="Q318" s="3993"/>
    </row>
    <row r="319" spans="1:17" s="49" customFormat="1" hidden="1" outlineLevel="1" x14ac:dyDescent="0.25">
      <c r="B319" s="4562"/>
      <c r="C319" s="7296"/>
      <c r="D319" s="2527" t="s">
        <v>27</v>
      </c>
      <c r="E319" s="5195">
        <f>E313</f>
        <v>0</v>
      </c>
      <c r="F319" s="5195">
        <f>F313+SUM($E$76:F76)</f>
        <v>71.2</v>
      </c>
      <c r="G319" s="5195">
        <f>G313+SUM($E$76:G76)</f>
        <v>142.4</v>
      </c>
      <c r="H319" s="5195">
        <f>H313+SUM($E$76:H76)</f>
        <v>213.60000000000002</v>
      </c>
      <c r="I319" s="5195">
        <f>I313+SUM($E$76:I76)</f>
        <v>284.8</v>
      </c>
      <c r="J319" s="5195">
        <f>J313+SUM($E$76:J76)</f>
        <v>356</v>
      </c>
      <c r="K319" s="5195">
        <f>K313+SUM($E$76:K76)</f>
        <v>356</v>
      </c>
      <c r="L319" s="5195">
        <f>L313+SUM($E$76:L76)</f>
        <v>356</v>
      </c>
      <c r="M319" s="5195">
        <f>M313+SUM($E$76:M76)</f>
        <v>356</v>
      </c>
      <c r="N319" s="5195">
        <f>N313+SUM($E$76:N76)</f>
        <v>356</v>
      </c>
      <c r="O319" s="5196">
        <f>O313+SUM($E$76:O76)</f>
        <v>356</v>
      </c>
      <c r="Q319" s="3993"/>
    </row>
    <row r="320" spans="1:17" s="49" customFormat="1" hidden="1" outlineLevel="1" x14ac:dyDescent="0.25">
      <c r="D320" s="2541"/>
      <c r="Q320" s="3993"/>
    </row>
    <row r="321" spans="1:17" ht="30" hidden="1" outlineLevel="1" x14ac:dyDescent="0.25">
      <c r="A321" s="27"/>
      <c r="B321" s="556"/>
      <c r="C321" s="1304" t="s">
        <v>2663</v>
      </c>
      <c r="D321" s="2542">
        <f>'WW Plan'!G280</f>
        <v>0</v>
      </c>
      <c r="E321" s="2269"/>
      <c r="F321" s="2270">
        <f>$D$321*(SUM(F307:F308)-SUM(E307:E308))/CurrencyMultiplier</f>
        <v>0</v>
      </c>
      <c r="G321" s="2270">
        <f>$D$321*(SUM(G307:G308)-SUM(F307:F308))/CurrencyMultiplier</f>
        <v>0</v>
      </c>
      <c r="H321" s="2270">
        <f>$D$321*(SUM(H307:H308)-SUM(G307:G308))/CurrencyMultiplier</f>
        <v>0</v>
      </c>
      <c r="I321" s="2270">
        <f>$D$321*(SUM(I307:I308)-SUM(H307:H308))/CurrencyMultiplier</f>
        <v>0</v>
      </c>
      <c r="J321" s="2270">
        <f>$D$321*(SUM(J307:J308)-SUM(I307:I308))/CurrencyMultiplier</f>
        <v>0</v>
      </c>
      <c r="K321" s="2270">
        <f>$D$321*(SUM(K307:K308)-SUM(J307:J308))/CurrencyMultiplier</f>
        <v>0</v>
      </c>
      <c r="L321" s="2270">
        <f>$D$321*(SUM(L307:L308)-SUM(K307:K308))/CurrencyMultiplier</f>
        <v>0</v>
      </c>
      <c r="M321" s="2270">
        <f>$D$321*(SUM(M307:M308)-SUM(L307:L308))/CurrencyMultiplier</f>
        <v>0</v>
      </c>
      <c r="N321" s="2270">
        <f>$D$321*(SUM(N307:N308)-SUM(M307:M308))/CurrencyMultiplier</f>
        <v>0</v>
      </c>
      <c r="O321" s="2270">
        <f>$D$321*(SUM(O307:O308)-SUM(N307:N308))/CurrencyMultiplier</f>
        <v>0</v>
      </c>
      <c r="P321" s="2266">
        <f>SUM(F321:O321)</f>
        <v>0</v>
      </c>
    </row>
    <row r="322" spans="1:17" hidden="1" outlineLevel="1" x14ac:dyDescent="0.25">
      <c r="A322" s="27"/>
      <c r="B322" s="615"/>
      <c r="C322" s="77" t="s">
        <v>1508</v>
      </c>
      <c r="D322" s="2543"/>
      <c r="E322" s="2267"/>
      <c r="F322" s="2268">
        <f>F321-F323</f>
        <v>0</v>
      </c>
      <c r="G322" s="2268">
        <f t="shared" ref="G322:O322" si="119">G321-G323</f>
        <v>0</v>
      </c>
      <c r="H322" s="2268">
        <f t="shared" si="119"/>
        <v>0</v>
      </c>
      <c r="I322" s="2268">
        <f t="shared" si="119"/>
        <v>0</v>
      </c>
      <c r="J322" s="2268">
        <f t="shared" si="119"/>
        <v>0</v>
      </c>
      <c r="K322" s="2268">
        <f t="shared" si="119"/>
        <v>0</v>
      </c>
      <c r="L322" s="2268">
        <f t="shared" si="119"/>
        <v>0</v>
      </c>
      <c r="M322" s="2268">
        <f t="shared" si="119"/>
        <v>0</v>
      </c>
      <c r="N322" s="2268">
        <f t="shared" si="119"/>
        <v>0</v>
      </c>
      <c r="O322" s="2271">
        <f t="shared" si="119"/>
        <v>0</v>
      </c>
      <c r="P322" s="2266">
        <f>SUM(F322:O322)</f>
        <v>0</v>
      </c>
    </row>
    <row r="323" spans="1:17" hidden="1" outlineLevel="1" x14ac:dyDescent="0.25">
      <c r="A323" s="27"/>
      <c r="B323" s="2102"/>
      <c r="C323" s="336" t="s">
        <v>1509</v>
      </c>
      <c r="D323" s="2544"/>
      <c r="E323" s="2277"/>
      <c r="F323" s="1298">
        <f>(((F307-E307)*$D$321*$D$307)+((F308-E308)*$D$321*$D$308))/CurrencyMultiplier</f>
        <v>0</v>
      </c>
      <c r="G323" s="1298">
        <f>(((G307-F307)*$D$321*$D$307)+((G308-F308)*$D$321*$D$308))/CurrencyMultiplier</f>
        <v>0</v>
      </c>
      <c r="H323" s="1298">
        <f>(((H307-G307)*$D$321*$D$307)+((H308-G308)*$D$321*$D$308))/CurrencyMultiplier</f>
        <v>0</v>
      </c>
      <c r="I323" s="1298">
        <f>(((I307-H307)*$D$321*$D$307)+((I308-H308)*$D$321*$D$308))/CurrencyMultiplier</f>
        <v>0</v>
      </c>
      <c r="J323" s="1298">
        <f>(((J307-I307)*$D$321*$D$307)+((J308-I308)*$D$321*$D$308))/CurrencyMultiplier</f>
        <v>0</v>
      </c>
      <c r="K323" s="1298">
        <f>(((K307-J307)*$D$321*$D$307)+((K308-J308)*$D$321*$D$308))/CurrencyMultiplier</f>
        <v>0</v>
      </c>
      <c r="L323" s="1298">
        <f>(((L307-K307)*$D$321*$D$307)+((L308-K308)*$D$321*$D$308))/CurrencyMultiplier</f>
        <v>0</v>
      </c>
      <c r="M323" s="1298">
        <f>(((M307-L307)*$D$321*$D$307)+((M308-L308)*$D$321*$D$308))/CurrencyMultiplier</f>
        <v>0</v>
      </c>
      <c r="N323" s="1298">
        <f>(((N307-M307)*$D$321*$D$307)+((N308-M308)*$D$321*$D$308))/CurrencyMultiplier</f>
        <v>0</v>
      </c>
      <c r="O323" s="1298">
        <f>(((O307-N307)*$D$321*$D$307)+((O308-N308)*$D$321*$D$308))/CurrencyMultiplier</f>
        <v>0</v>
      </c>
      <c r="P323" s="2266">
        <f>SUM(F323:O323)</f>
        <v>0</v>
      </c>
    </row>
    <row r="324" spans="1:17" hidden="1" outlineLevel="1" x14ac:dyDescent="0.25">
      <c r="A324" s="27"/>
      <c r="B324" s="27"/>
      <c r="C324" s="27"/>
      <c r="D324" s="2479"/>
      <c r="E324" s="27"/>
      <c r="F324" s="27"/>
      <c r="G324" s="27"/>
      <c r="H324" s="27"/>
      <c r="I324" s="27"/>
      <c r="J324" s="27"/>
      <c r="K324" s="27"/>
      <c r="L324" s="27"/>
      <c r="M324" s="27"/>
      <c r="N324" s="27"/>
      <c r="O324" s="27"/>
    </row>
    <row r="325" spans="1:17" hidden="1" outlineLevel="1" x14ac:dyDescent="0.25">
      <c r="A325" s="773"/>
      <c r="B325" s="742"/>
      <c r="C325" s="763" t="str">
        <f>'Summary of PIP'!C104</f>
        <v>Households with full on-site sanitation system</v>
      </c>
      <c r="D325" s="771"/>
      <c r="E325" s="5197">
        <f>IFERROR((E318+E319)/Population!E31,0)</f>
        <v>0</v>
      </c>
      <c r="F325" s="5197">
        <f>MIN(IFERROR((F318+F319)/Population!F31,0),100%)</f>
        <v>0</v>
      </c>
      <c r="G325" s="5197">
        <f>MIN(IFERROR((G318+G319)/Population!G31,0),100%)</f>
        <v>0</v>
      </c>
      <c r="H325" s="5197">
        <f>MIN(IFERROR((H318+H319)/Population!H31,0),100%)</f>
        <v>0</v>
      </c>
      <c r="I325" s="5197">
        <f>MIN(IFERROR((I318+I319)/Population!I31,0),100%)</f>
        <v>0</v>
      </c>
      <c r="J325" s="5197">
        <f>MIN(IFERROR((J318+J319)/Population!J31,0),100%)</f>
        <v>0</v>
      </c>
      <c r="K325" s="5197">
        <f>MIN(IFERROR((K318+K319)/Population!K31,0),100%)</f>
        <v>0</v>
      </c>
      <c r="L325" s="5197">
        <f>MIN(IFERROR((L318+L319)/Population!L31,0),100%)</f>
        <v>0</v>
      </c>
      <c r="M325" s="5197">
        <f>MIN(IFERROR((M318+M319)/Population!M31,0),100%)</f>
        <v>0</v>
      </c>
      <c r="N325" s="5197">
        <f>MIN(IFERROR((N318+N319)/Population!N31,0),100%)</f>
        <v>0</v>
      </c>
      <c r="O325" s="5197">
        <f>MIN(IFERROR((O318+O319)/Population!O31,0),100%)</f>
        <v>0</v>
      </c>
      <c r="P325" s="82"/>
    </row>
    <row r="326" spans="1:17" s="49" customFormat="1" hidden="1" outlineLevel="1" x14ac:dyDescent="0.25">
      <c r="A326" s="63"/>
      <c r="B326" s="546"/>
      <c r="C326" s="2184"/>
      <c r="D326" s="2545"/>
      <c r="E326" s="2185"/>
      <c r="F326" s="2185"/>
      <c r="G326" s="2185"/>
      <c r="H326" s="2185"/>
      <c r="I326" s="2185"/>
      <c r="J326" s="2185"/>
      <c r="K326" s="2185"/>
      <c r="L326" s="2185"/>
      <c r="M326" s="2185"/>
      <c r="N326" s="2185"/>
      <c r="O326" s="2185"/>
      <c r="Q326" s="3993"/>
    </row>
    <row r="327" spans="1:17" hidden="1" outlineLevel="1" x14ac:dyDescent="0.25"/>
    <row r="328" spans="1:17" s="56" customFormat="1" hidden="1" outlineLevel="1" x14ac:dyDescent="0.25">
      <c r="A328" s="1913"/>
      <c r="B328" s="1913"/>
      <c r="C328" s="1914" t="s">
        <v>2478</v>
      </c>
      <c r="D328" s="2523"/>
      <c r="E328" s="1915"/>
      <c r="F328" s="1915"/>
      <c r="G328" s="1915"/>
      <c r="H328" s="1915"/>
      <c r="I328" s="1915"/>
      <c r="J328" s="1915"/>
      <c r="K328" s="1915"/>
      <c r="L328" s="1915"/>
      <c r="M328" s="1915"/>
      <c r="N328" s="1915"/>
      <c r="O328" s="1915"/>
      <c r="Q328" s="3990"/>
    </row>
    <row r="329" spans="1:17" hidden="1" outlineLevel="1" x14ac:dyDescent="0.25">
      <c r="B329" s="547"/>
      <c r="C329" s="335" t="s">
        <v>1285</v>
      </c>
      <c r="D329" s="2481" t="s">
        <v>169</v>
      </c>
      <c r="E329" s="613"/>
      <c r="F329" s="2320">
        <f>E329+(IF('WW Plan'!$E$282="Activate",IF(AND('WW calcu'!F$235&gt;='WW Plan'!$G$282,'WW calcu'!F$235&lt;'WW Plan'!$H$282+1),('WW Plan'!$G$284/('WW Plan'!$H$282+1-'WW Plan'!$G$282)),0),0))</f>
        <v>0</v>
      </c>
      <c r="G329" s="2320">
        <f>F329+(IF('WW Plan'!$E$282="Activate",IF(AND('WW calcu'!G$235&gt;='WW Plan'!$G$282,'WW calcu'!G$235&lt;'WW Plan'!$H$282+1),('WW Plan'!$G$284/('WW Plan'!$H$282+1-'WW Plan'!$G$282)),0),0))</f>
        <v>0</v>
      </c>
      <c r="H329" s="2320">
        <f>G329+(IF('WW Plan'!$E$282="Activate",IF(AND('WW calcu'!H$235&gt;='WW Plan'!$G$282,'WW calcu'!H$235&lt;'WW Plan'!$H$282+1),('WW Plan'!$G$284/('WW Plan'!$H$282+1-'WW Plan'!$G$282)),0),0))</f>
        <v>0</v>
      </c>
      <c r="I329" s="2320">
        <f>H329+(IF('WW Plan'!$E$282="Activate",IF(AND('WW calcu'!I$235&gt;='WW Plan'!$G$282,'WW calcu'!I$235&lt;'WW Plan'!$H$282+1),('WW Plan'!$G$284/('WW Plan'!$H$282+1-'WW Plan'!$G$282)),0),0))</f>
        <v>0</v>
      </c>
      <c r="J329" s="2320">
        <f>I329+(IF('WW Plan'!$E$282="Activate",IF(AND('WW calcu'!J$235&gt;='WW Plan'!$G$282,'WW calcu'!J$235&lt;'WW Plan'!$H$282+1),('WW Plan'!$G$284/('WW Plan'!$H$282+1-'WW Plan'!$G$282)),0),0))</f>
        <v>0</v>
      </c>
      <c r="K329" s="2320">
        <f>J329+(IF('WW Plan'!$E$282="Activate",IF(AND('WW calcu'!K$235&gt;='WW Plan'!$G$282,'WW calcu'!K$235&lt;'WW Plan'!$H$282+1),('WW Plan'!$G$284/('WW Plan'!$H$282+1-'WW Plan'!$G$282)),0),0))</f>
        <v>0</v>
      </c>
      <c r="L329" s="2320">
        <f>K329+(IF('WW Plan'!$E$282="Activate",IF(AND('WW calcu'!L$235&gt;='WW Plan'!$G$282,'WW calcu'!L$235&lt;'WW Plan'!$H$282+1),('WW Plan'!$G$284/('WW Plan'!$H$282+1-'WW Plan'!$G$282)),0),0))</f>
        <v>0</v>
      </c>
      <c r="M329" s="2320">
        <f>L329+(IF('WW Plan'!$E$282="Activate",IF(AND('WW calcu'!M$235&gt;='WW Plan'!$G$282,'WW calcu'!M$235&lt;'WW Plan'!$H$282+1),('WW Plan'!$G$284/('WW Plan'!$H$282+1-'WW Plan'!$G$282)),0),0))</f>
        <v>0</v>
      </c>
      <c r="N329" s="2320">
        <f>M329+(IF('WW Plan'!$E$282="Activate",IF(AND('WW calcu'!N$235&gt;='WW Plan'!$G$282,'WW calcu'!N$235&lt;'WW Plan'!$H$282+1),('WW Plan'!$G$284/('WW Plan'!$H$282+1-'WW Plan'!$G$282)),0),0))</f>
        <v>0</v>
      </c>
      <c r="O329" s="2321">
        <f>N329+(IF('WW Plan'!$E$282="Activate",IF(AND('WW calcu'!O$235&gt;='WW Plan'!$G$282,'WW calcu'!O$235&lt;'WW Plan'!$H$282+1),('WW Plan'!$G$284/('WW Plan'!$H$282+1-'WW Plan'!$G$282)),0),0))</f>
        <v>0</v>
      </c>
    </row>
    <row r="330" spans="1:17" hidden="1" outlineLevel="1" x14ac:dyDescent="0.25">
      <c r="B330" s="2071"/>
      <c r="C330" s="77" t="s">
        <v>1286</v>
      </c>
      <c r="D330" s="2488" t="s">
        <v>2482</v>
      </c>
      <c r="E330" s="425"/>
      <c r="F330" s="361">
        <f>E330+(IF('WW Plan'!$E$282="Activate",IF(AND('WW calcu'!F$235&gt;='WW Plan'!$G$282,'WW calcu'!F$235&lt;'WW Plan'!$H$282+1),('WW Plan'!$G$285/('WW Plan'!$H$282+1-'WW Plan'!$G$282)),0),0))</f>
        <v>0</v>
      </c>
      <c r="G330" s="361">
        <f>F330+(IF('WW Plan'!$E$282="Activate",IF(AND('WW calcu'!G$235&gt;='WW Plan'!$G$282,'WW calcu'!G$235&lt;'WW Plan'!$H$282+1),('WW Plan'!$G$285/('WW Plan'!$H$282+1-'WW Plan'!$G$282)),0),0))</f>
        <v>0</v>
      </c>
      <c r="H330" s="361">
        <f>G330+(IF('WW Plan'!$E$282="Activate",IF(AND('WW calcu'!H$235&gt;='WW Plan'!$G$282,'WW calcu'!H$235&lt;'WW Plan'!$H$282+1),('WW Plan'!$G$285/('WW Plan'!$H$282+1-'WW Plan'!$G$282)),0),0))</f>
        <v>0</v>
      </c>
      <c r="I330" s="361">
        <f>H330+(IF('WW Plan'!$E$282="Activate",IF(AND('WW calcu'!I$235&gt;='WW Plan'!$G$282,'WW calcu'!I$235&lt;'WW Plan'!$H$282+1),('WW Plan'!$G$285/('WW Plan'!$H$282+1-'WW Plan'!$G$282)),0),0))</f>
        <v>0</v>
      </c>
      <c r="J330" s="361">
        <f>I330+(IF('WW Plan'!$E$282="Activate",IF(AND('WW calcu'!J$235&gt;='WW Plan'!$G$282,'WW calcu'!J$235&lt;'WW Plan'!$H$282+1),('WW Plan'!$G$285/('WW Plan'!$H$282+1-'WW Plan'!$G$282)),0),0))</f>
        <v>0</v>
      </c>
      <c r="K330" s="361">
        <f>J330+(IF('WW Plan'!$E$282="Activate",IF(AND('WW calcu'!K$235&gt;='WW Plan'!$G$282,'WW calcu'!K$235&lt;'WW Plan'!$H$282+1),('WW Plan'!$G$285/('WW Plan'!$H$282+1-'WW Plan'!$G$282)),0),0))</f>
        <v>0</v>
      </c>
      <c r="L330" s="361">
        <f>K330+(IF('WW Plan'!$E$282="Activate",IF(AND('WW calcu'!L$235&gt;='WW Plan'!$G$282,'WW calcu'!L$235&lt;'WW Plan'!$H$282+1),('WW Plan'!$G$285/('WW Plan'!$H$282+1-'WW Plan'!$G$282)),0),0))</f>
        <v>0</v>
      </c>
      <c r="M330" s="361">
        <f>L330+(IF('WW Plan'!$E$282="Activate",IF(AND('WW calcu'!M$235&gt;='WW Plan'!$G$282,'WW calcu'!M$235&lt;'WW Plan'!$H$282+1),('WW Plan'!$G$285/('WW Plan'!$H$282+1-'WW Plan'!$G$282)),0),0))</f>
        <v>0</v>
      </c>
      <c r="N330" s="361">
        <f>M330+(IF('WW Plan'!$E$282="Activate",IF(AND('WW calcu'!N$235&gt;='WW Plan'!$G$282,'WW calcu'!N$235&lt;'WW Plan'!$H$282+1),('WW Plan'!$G$285/('WW Plan'!$H$282+1-'WW Plan'!$G$282)),0),0))</f>
        <v>0</v>
      </c>
      <c r="O330" s="2275">
        <f>N330+(IF('WW Plan'!$E$282="Activate",IF(AND('WW calcu'!O$235&gt;='WW Plan'!$G$282,'WW calcu'!O$235&lt;'WW Plan'!$H$282+1),('WW Plan'!$G$285/('WW Plan'!$H$282+1-'WW Plan'!$G$282)),0),0))</f>
        <v>0</v>
      </c>
    </row>
    <row r="331" spans="1:17" s="92" customFormat="1" hidden="1" outlineLevel="1" x14ac:dyDescent="0.25">
      <c r="B331" s="2636"/>
      <c r="C331" s="80" t="s">
        <v>2483</v>
      </c>
      <c r="D331" s="5199"/>
      <c r="E331" s="5191"/>
      <c r="F331" s="5191">
        <f>E331+ROUND((IF('WW Plan'!$E$282="Activate",IF(AND('WW calcu'!F$235&gt;='WW Plan'!$G$282,'WW calcu'!F$235&lt;'WW Plan'!$H$282+1),(('WW Plan'!$G$286+'WW Plan'!$G$287)/('WW Plan'!$H$282+1-'WW Plan'!$G$282)),0),0)),0)+IF('WW Plan'!$E$282="Activate",IF('WW calcu'!F$235&gt;'WW Plan'!$G$282,F41,IF('WW calcu'!F$235='WW Plan'!$G$282,SUM($E$41:F41),0)))</f>
        <v>0</v>
      </c>
      <c r="G331" s="5191">
        <f>F331+ROUND((IF('WW Plan'!$E$282="Activate",IF(AND('WW calcu'!G$235&gt;='WW Plan'!$G$282,'WW calcu'!G$235&lt;'WW Plan'!$H$282+1),(('WW Plan'!$G$286+'WW Plan'!$G$287)/('WW Plan'!$H$282+1-'WW Plan'!$G$282)),0),0)),0)+IF('WW Plan'!$E$282="Activate",IF('WW calcu'!G$235&gt;'WW Plan'!$G$282,G41,IF('WW calcu'!G$235='WW Plan'!$G$282,SUM($E$41:G41),0)))</f>
        <v>0</v>
      </c>
      <c r="H331" s="5191">
        <f>G331+ROUND((IF('WW Plan'!$E$282="Activate",IF(AND('WW calcu'!H$235&gt;='WW Plan'!$G$282,'WW calcu'!H$235&lt;'WW Plan'!$H$282+1),(('WW Plan'!$G$286+'WW Plan'!$G$287)/('WW Plan'!$H$282+1-'WW Plan'!$G$282)),0),0)),0)+IF('WW Plan'!$E$282="Activate",IF('WW calcu'!H$235&gt;'WW Plan'!$G$282,H41,IF('WW calcu'!H$235='WW Plan'!$G$282,SUM($E$41:H41),0)))</f>
        <v>0</v>
      </c>
      <c r="I331" s="5191">
        <f>H331+ROUND((IF('WW Plan'!$E$282="Activate",IF(AND('WW calcu'!I$235&gt;='WW Plan'!$G$282,'WW calcu'!I$235&lt;'WW Plan'!$H$282+1),(('WW Plan'!$G$286+'WW Plan'!$G$287)/('WW Plan'!$H$282+1-'WW Plan'!$G$282)),0),0)),0)+IF('WW Plan'!$E$282="Activate",IF('WW calcu'!I$235&gt;'WW Plan'!$G$282,I41,IF('WW calcu'!I$235='WW Plan'!$G$282,SUM($E$41:I41),0)))</f>
        <v>0</v>
      </c>
      <c r="J331" s="5191">
        <f>I331+ROUND((IF('WW Plan'!$E$282="Activate",IF(AND('WW calcu'!J$235&gt;='WW Plan'!$G$282,'WW calcu'!J$235&lt;'WW Plan'!$H$282+1),(('WW Plan'!$G$286+'WW Plan'!$G$287)/('WW Plan'!$H$282+1-'WW Plan'!$G$282)),0),0)),0)+IF('WW Plan'!$E$282="Activate",IF('WW calcu'!J$235&gt;'WW Plan'!$G$282,J41,IF('WW calcu'!J$235='WW Plan'!$G$282,SUM($E$41:J41),0)))</f>
        <v>0</v>
      </c>
      <c r="K331" s="5191">
        <f>J331+ROUND((IF('WW Plan'!$E$282="Activate",IF(AND('WW calcu'!K$235&gt;='WW Plan'!$G$282,'WW calcu'!K$235&lt;'WW Plan'!$H$282+1),(('WW Plan'!$G$286+'WW Plan'!$G$287)/('WW Plan'!$H$282+1-'WW Plan'!$G$282)),0),0)),0)+IF('WW Plan'!$E$282="Activate",IF('WW calcu'!K$235&gt;'WW Plan'!$G$282,K41,IF('WW calcu'!K$235='WW Plan'!$G$282,SUM($E$41:K41),0)))</f>
        <v>0</v>
      </c>
      <c r="L331" s="5191">
        <f>K331+ROUND((IF('WW Plan'!$E$282="Activate",IF(AND('WW calcu'!L$235&gt;='WW Plan'!$G$282,'WW calcu'!L$235&lt;'WW Plan'!$H$282+1),(('WW Plan'!$G$286+'WW Plan'!$G$287)/('WW Plan'!$H$282+1-'WW Plan'!$G$282)),0),0)),0)+IF('WW Plan'!$E$282="Activate",IF('WW calcu'!L$235&gt;'WW Plan'!$G$282,L41,IF('WW calcu'!L$235='WW Plan'!$G$282,SUM($E$41:L41),0)))</f>
        <v>0</v>
      </c>
      <c r="M331" s="5191">
        <f>L331+ROUND((IF('WW Plan'!$E$282="Activate",IF(AND('WW calcu'!M$235&gt;='WW Plan'!$G$282,'WW calcu'!M$235&lt;'WW Plan'!$H$282+1),(('WW Plan'!$G$286+'WW Plan'!$G$287)/('WW Plan'!$H$282+1-'WW Plan'!$G$282)),0),0)),0)+IF('WW Plan'!$E$282="Activate",IF('WW calcu'!M$235&gt;'WW Plan'!$G$282,M41,IF('WW calcu'!M$235='WW Plan'!$G$282,SUM($E$41:M41),0)))</f>
        <v>0</v>
      </c>
      <c r="N331" s="5191">
        <f>M331+ROUND((IF('WW Plan'!$E$282="Activate",IF(AND('WW calcu'!N$235&gt;='WW Plan'!$G$282,'WW calcu'!N$235&lt;'WW Plan'!$H$282+1),(('WW Plan'!$G$286+'WW Plan'!$G$287)/('WW Plan'!$H$282+1-'WW Plan'!$G$282)),0),0)),0)+IF('WW Plan'!$E$282="Activate",IF('WW calcu'!N$235&gt;'WW Plan'!$G$282,N41,IF('WW calcu'!N$235='WW Plan'!$G$282,SUM($E$41:N41),0)))</f>
        <v>0</v>
      </c>
      <c r="O331" s="5192">
        <f>N331+ROUND((IF('WW Plan'!$E$282="Activate",IF(AND('WW calcu'!O$235&gt;='WW Plan'!$G$282,'WW calcu'!O$235&lt;'WW Plan'!$H$282+1),(('WW Plan'!$G$286+'WW Plan'!$G$287)/('WW Plan'!$H$282+1-'WW Plan'!$G$282)),0),0)),0)+IF('WW Plan'!$E$282="Activate",IF('WW calcu'!O$235&gt;'WW Plan'!$G$282,O41,IF('WW calcu'!O$235='WW Plan'!$G$282,SUM($E$41:O41),0)))</f>
        <v>0</v>
      </c>
      <c r="Q331" s="5200"/>
    </row>
    <row r="332" spans="1:17" s="92" customFormat="1" hidden="1" outlineLevel="1" x14ac:dyDescent="0.25">
      <c r="B332" s="2637"/>
      <c r="C332" s="2306" t="s">
        <v>2484</v>
      </c>
      <c r="D332" s="5201"/>
      <c r="E332" s="5195"/>
      <c r="F332" s="5195">
        <f>E332+ROUND((IF('WW Plan'!$E$282="Activate",IF(AND('WW calcu'!F$235&gt;='WW Plan'!$G$282,'WW calcu'!F$235&lt;'WW Plan'!$H$282+1),F42+(('WW Plan'!$H$286+'WW Plan'!$H$287)/('WW Plan'!$H$282+1-'WW Plan'!$G$282)),0),0)),0)+IF('WW Plan'!$E$282="Activate",IF('WW calcu'!F$235&gt;'WW Plan'!$G$282,F42,IF('WW calcu'!F$235='WW Plan'!$G$282,SUM($E$42:F42),0)))</f>
        <v>0</v>
      </c>
      <c r="G332" s="5195">
        <f>F332+ROUND((IF('WW Plan'!$E$282="Activate",IF(AND('WW calcu'!G$235&gt;='WW Plan'!$G$282,'WW calcu'!G$235&lt;'WW Plan'!$H$282+1),G42+(('WW Plan'!$H$286+'WW Plan'!$H$287)/('WW Plan'!$H$282+1-'WW Plan'!$G$282)),0),0)),0)+IF('WW Plan'!$E$282="Activate",IF('WW calcu'!G$235&gt;'WW Plan'!$G$282,G42,IF('WW calcu'!G$235='WW Plan'!$G$282,SUM($E$42:G42),0)))</f>
        <v>0</v>
      </c>
      <c r="H332" s="5195">
        <f>G332+ROUND((IF('WW Plan'!$E$282="Activate",IF(AND('WW calcu'!H$235&gt;='WW Plan'!$G$282,'WW calcu'!H$235&lt;'WW Plan'!$H$282+1),H42+(('WW Plan'!$H$286+'WW Plan'!$H$287)/('WW Plan'!$H$282+1-'WW Plan'!$G$282)),0),0)),0)+IF('WW Plan'!$E$282="Activate",IF('WW calcu'!H$235&gt;'WW Plan'!$G$282,H42,IF('WW calcu'!H$235='WW Plan'!$G$282,SUM($E$42:H42),0)))</f>
        <v>0</v>
      </c>
      <c r="I332" s="5195">
        <f>H332+ROUND((IF('WW Plan'!$E$282="Activate",IF(AND('WW calcu'!I$235&gt;='WW Plan'!$G$282,'WW calcu'!I$235&lt;'WW Plan'!$H$282+1),I42+(('WW Plan'!$H$286+'WW Plan'!$H$287)/('WW Plan'!$H$282+1-'WW Plan'!$G$282)),0),0)),0)+IF('WW Plan'!$E$282="Activate",IF('WW calcu'!I$235&gt;'WW Plan'!$G$282,I42,IF('WW calcu'!I$235='WW Plan'!$G$282,SUM($E$42:I42),0)))</f>
        <v>0</v>
      </c>
      <c r="J332" s="5195">
        <f>I332+ROUND((IF('WW Plan'!$E$282="Activate",IF(AND('WW calcu'!J$235&gt;='WW Plan'!$G$282,'WW calcu'!J$235&lt;'WW Plan'!$H$282+1),J42+(('WW Plan'!$H$286+'WW Plan'!$H$287)/('WW Plan'!$H$282+1-'WW Plan'!$G$282)),0),0)),0)+IF('WW Plan'!$E$282="Activate",IF('WW calcu'!J$235&gt;'WW Plan'!$G$282,J42,IF('WW calcu'!J$235='WW Plan'!$G$282,SUM($E$42:J42),0)))</f>
        <v>0</v>
      </c>
      <c r="K332" s="5195">
        <f>J332+ROUND((IF('WW Plan'!$E$282="Activate",IF(AND('WW calcu'!K$235&gt;='WW Plan'!$G$282,'WW calcu'!K$235&lt;'WW Plan'!$H$282+1),K42+(('WW Plan'!$H$286+'WW Plan'!$H$287)/('WW Plan'!$H$282+1-'WW Plan'!$G$282)),0),0)),0)+IF('WW Plan'!$E$282="Activate",IF('WW calcu'!K$235&gt;'WW Plan'!$G$282,K42,IF('WW calcu'!K$235='WW Plan'!$G$282,SUM($E$42:K42),0)))</f>
        <v>0</v>
      </c>
      <c r="L332" s="5195">
        <f>K332+ROUND((IF('WW Plan'!$E$282="Activate",IF(AND('WW calcu'!L$235&gt;='WW Plan'!$G$282,'WW calcu'!L$235&lt;'WW Plan'!$H$282+1),L42+(('WW Plan'!$H$286+'WW Plan'!$H$287)/('WW Plan'!$H$282+1-'WW Plan'!$G$282)),0),0)),0)+IF('WW Plan'!$E$282="Activate",IF('WW calcu'!L$235&gt;'WW Plan'!$G$282,L42,IF('WW calcu'!L$235='WW Plan'!$G$282,SUM($E$42:L42),0)))</f>
        <v>0</v>
      </c>
      <c r="M332" s="5195">
        <f>L332+ROUND((IF('WW Plan'!$E$282="Activate",IF(AND('WW calcu'!M$235&gt;='WW Plan'!$G$282,'WW calcu'!M$235&lt;'WW Plan'!$H$282+1),M42+(('WW Plan'!$H$286+'WW Plan'!$H$287)/('WW Plan'!$H$282+1-'WW Plan'!$G$282)),0),0)),0)+IF('WW Plan'!$E$282="Activate",IF('WW calcu'!M$235&gt;'WW Plan'!$G$282,M42,IF('WW calcu'!M$235='WW Plan'!$G$282,SUM($E$42:M42),0)))</f>
        <v>0</v>
      </c>
      <c r="N332" s="5195">
        <f>M332+ROUND((IF('WW Plan'!$E$282="Activate",IF(AND('WW calcu'!N$235&gt;='WW Plan'!$G$282,'WW calcu'!N$235&lt;'WW Plan'!$H$282+1),N42+(('WW Plan'!$H$286+'WW Plan'!$H$287)/('WW Plan'!$H$282+1-'WW Plan'!$G$282)),0),0)),0)+IF('WW Plan'!$E$282="Activate",IF('WW calcu'!N$235&gt;'WW Plan'!$G$282,N42,IF('WW calcu'!N$235='WW Plan'!$G$282,SUM($E$42:N42),0)))</f>
        <v>0</v>
      </c>
      <c r="O332" s="5196">
        <f>N332+ROUND((IF('WW Plan'!$E$282="Activate",IF(AND('WW calcu'!O$235&gt;='WW Plan'!$G$282,'WW calcu'!O$235&lt;'WW Plan'!$H$282+1),O42+(('WW Plan'!$H$286+'WW Plan'!$H$287)/('WW Plan'!$H$282+1-'WW Plan'!$G$282)),0),0)),0)+IF('WW Plan'!$E$282="Activate",IF('WW calcu'!O$235&gt;'WW Plan'!$G$282,O42,IF('WW calcu'!O$235='WW Plan'!$G$282,SUM($E$42:O42),0)))</f>
        <v>0</v>
      </c>
    </row>
    <row r="333" spans="1:17" hidden="1" outlineLevel="1" x14ac:dyDescent="0.25"/>
    <row r="334" spans="1:17" hidden="1" outlineLevel="1" x14ac:dyDescent="0.25">
      <c r="B334" s="547">
        <v>1</v>
      </c>
      <c r="C334" s="2661" t="s">
        <v>2477</v>
      </c>
      <c r="D334" s="2481"/>
      <c r="E334" s="548"/>
      <c r="F334" s="548"/>
      <c r="G334" s="548"/>
      <c r="H334" s="548"/>
      <c r="I334" s="548"/>
      <c r="J334" s="548"/>
      <c r="K334" s="548"/>
      <c r="L334" s="548"/>
      <c r="M334" s="548"/>
      <c r="N334" s="548"/>
      <c r="O334" s="549"/>
    </row>
    <row r="335" spans="1:17" hidden="1" outlineLevel="1" x14ac:dyDescent="0.25">
      <c r="A335" s="27"/>
      <c r="B335" s="615"/>
      <c r="C335" s="48" t="s">
        <v>2422</v>
      </c>
      <c r="D335" s="2482"/>
      <c r="E335" s="2099">
        <v>0</v>
      </c>
      <c r="F335" s="2100">
        <f>E335+(IF('WW Plan'!$E$282="Activate",IF(AND('WW calcu'!F$235&gt;='WW Plan'!$G$282,'WW calcu'!F$235&lt;'WW Plan'!$H$282+1),(('WW Plan'!$G$287)/('WW Plan'!$H$282+1-'WW Plan'!$G$282)),0),0))</f>
        <v>0</v>
      </c>
      <c r="G335" s="2100">
        <f>F335+(IF('WW Plan'!$E$282="Activate",IF(AND('WW calcu'!G$235&gt;='WW Plan'!$G$282,'WW calcu'!G$235&lt;'WW Plan'!$H$282+1),(('WW Plan'!$G$287)/('WW Plan'!$H$282+1-'WW Plan'!$G$282)),0),0))</f>
        <v>0</v>
      </c>
      <c r="H335" s="2100">
        <f>G335+(IF('WW Plan'!$E$282="Activate",IF(AND('WW calcu'!H$235&gt;='WW Plan'!$G$282,'WW calcu'!H$235&lt;'WW Plan'!$H$282+1),(('WW Plan'!$G$287)/('WW Plan'!$H$282+1-'WW Plan'!$G$282)),0),0))</f>
        <v>0</v>
      </c>
      <c r="I335" s="2100">
        <f>H335+(IF('WW Plan'!$E$282="Activate",IF(AND('WW calcu'!I$235&gt;='WW Plan'!$G$282,'WW calcu'!I$235&lt;'WW Plan'!$H$282+1),(('WW Plan'!$G$287)/('WW Plan'!$H$282+1-'WW Plan'!$G$282)),0),0))</f>
        <v>0</v>
      </c>
      <c r="J335" s="2100">
        <f>I335+(IF('WW Plan'!$E$282="Activate",IF(AND('WW calcu'!J$235&gt;='WW Plan'!$G$282,'WW calcu'!J$235&lt;'WW Plan'!$H$282+1),(('WW Plan'!$G$287)/('WW Plan'!$H$282+1-'WW Plan'!$G$282)),0),0))</f>
        <v>0</v>
      </c>
      <c r="K335" s="2100">
        <f>J335+(IF('WW Plan'!$E$282="Activate",IF(AND('WW calcu'!K$235&gt;='WW Plan'!$G$282,'WW calcu'!K$235&lt;'WW Plan'!$H$282+1),(('WW Plan'!$G$287)/('WW Plan'!$H$282+1-'WW Plan'!$G$282)),0),0))</f>
        <v>0</v>
      </c>
      <c r="L335" s="2100">
        <f>K335+(IF('WW Plan'!$E$282="Activate",IF(AND('WW calcu'!L$235&gt;='WW Plan'!$G$282,'WW calcu'!L$235&lt;'WW Plan'!$H$282+1),(('WW Plan'!$G$287)/('WW Plan'!$H$282+1-'WW Plan'!$G$282)),0),0))</f>
        <v>0</v>
      </c>
      <c r="M335" s="2100">
        <f>L335+(IF('WW Plan'!$E$282="Activate",IF(AND('WW calcu'!M$235&gt;='WW Plan'!$G$282,'WW calcu'!M$235&lt;'WW Plan'!$H$282+1),(('WW Plan'!$G$287)/('WW Plan'!$H$282+1-'WW Plan'!$G$282)),0),0))</f>
        <v>0</v>
      </c>
      <c r="N335" s="2100">
        <f>M335+(IF('WW Plan'!$E$282="Activate",IF(AND('WW calcu'!N$235&gt;='WW Plan'!$G$282,'WW calcu'!N$235&lt;'WW Plan'!$H$282+1),(('WW Plan'!$G$287)/('WW Plan'!$H$282+1-'WW Plan'!$G$282)),0),0))</f>
        <v>0</v>
      </c>
      <c r="O335" s="2101">
        <f>N335+(IF('WW Plan'!$E$282="Activate",IF(AND('WW calcu'!O$235&gt;='WW Plan'!$G$282,'WW calcu'!O$235&lt;'WW Plan'!$H$282+1),(('WW Plan'!$G$287)/('WW Plan'!$H$282+1-'WW Plan'!$G$282)),0),0))</f>
        <v>0</v>
      </c>
    </row>
    <row r="336" spans="1:17" hidden="1" outlineLevel="1" x14ac:dyDescent="0.25">
      <c r="A336" s="27"/>
      <c r="B336" s="615"/>
      <c r="C336" s="48" t="s">
        <v>646</v>
      </c>
      <c r="D336" s="2482"/>
      <c r="E336" s="2099">
        <v>0</v>
      </c>
      <c r="F336" s="2100">
        <f>E336+(IF('WW Plan'!$E$282="Activate",IF(AND('WW calcu'!F$235&gt;='WW Plan'!$G$282,'WW calcu'!F$235&lt;'WW Plan'!$H$282+1),(('WW Plan'!$H$287)/('WW Plan'!$H$282+1-'WW Plan'!$G$282)),0),0))</f>
        <v>0</v>
      </c>
      <c r="G336" s="2100">
        <f>F336+(IF('WW Plan'!$E$282="Activate",IF(AND('WW calcu'!G$235&gt;='WW Plan'!$G$282,'WW calcu'!G$235&lt;'WW Plan'!$H$282+1),(('WW Plan'!$H$287)/('WW Plan'!$H$282+1-'WW Plan'!$G$282)),0),0))</f>
        <v>0</v>
      </c>
      <c r="H336" s="2100">
        <f>G336+(IF('WW Plan'!$E$282="Activate",IF(AND('WW calcu'!H$235&gt;='WW Plan'!$G$282,'WW calcu'!H$235&lt;'WW Plan'!$H$282+1),(('WW Plan'!$H$287)/('WW Plan'!$H$282+1-'WW Plan'!$G$282)),0),0))</f>
        <v>0</v>
      </c>
      <c r="I336" s="2100">
        <f>H336+(IF('WW Plan'!$E$282="Activate",IF(AND('WW calcu'!I$235&gt;='WW Plan'!$G$282,'WW calcu'!I$235&lt;'WW Plan'!$H$282+1),(('WW Plan'!$H$287)/('WW Plan'!$H$282+1-'WW Plan'!$G$282)),0),0))</f>
        <v>0</v>
      </c>
      <c r="J336" s="2100">
        <f>I336+(IF('WW Plan'!$E$282="Activate",IF(AND('WW calcu'!J$235&gt;='WW Plan'!$G$282,'WW calcu'!J$235&lt;'WW Plan'!$H$282+1),(('WW Plan'!$H$287)/('WW Plan'!$H$282+1-'WW Plan'!$G$282)),0),0))</f>
        <v>0</v>
      </c>
      <c r="K336" s="2100">
        <f>J336+(IF('WW Plan'!$E$282="Activate",IF(AND('WW calcu'!K$235&gt;='WW Plan'!$G$282,'WW calcu'!K$235&lt;'WW Plan'!$H$282+1),(('WW Plan'!$H$287)/('WW Plan'!$H$282+1-'WW Plan'!$G$282)),0),0))</f>
        <v>0</v>
      </c>
      <c r="L336" s="2100">
        <f>K336+(IF('WW Plan'!$E$282="Activate",IF(AND('WW calcu'!L$235&gt;='WW Plan'!$G$282,'WW calcu'!L$235&lt;'WW Plan'!$H$282+1),(('WW Plan'!$H$287)/('WW Plan'!$H$282+1-'WW Plan'!$G$282)),0),0))</f>
        <v>0</v>
      </c>
      <c r="M336" s="2100">
        <f>L336+(IF('WW Plan'!$E$282="Activate",IF(AND('WW calcu'!M$235&gt;='WW Plan'!$G$282,'WW calcu'!M$235&lt;'WW Plan'!$H$282+1),(('WW Plan'!$H$287)/('WW Plan'!$H$282+1-'WW Plan'!$G$282)),0),0))</f>
        <v>0</v>
      </c>
      <c r="N336" s="2100">
        <f>M336+(IF('WW Plan'!$E$282="Activate",IF(AND('WW calcu'!N$235&gt;='WW Plan'!$G$282,'WW calcu'!N$235&lt;'WW Plan'!$H$282+1),(('WW Plan'!$H$287)/('WW Plan'!$H$282+1-'WW Plan'!$G$282)),0),0))</f>
        <v>0</v>
      </c>
      <c r="O336" s="2101">
        <f>N336+(IF('WW Plan'!$E$282="Activate",IF(AND('WW calcu'!O$235&gt;='WW Plan'!$G$282,'WW calcu'!O$235&lt;'WW Plan'!$H$282+1),(('WW Plan'!$H$287)/('WW Plan'!$H$282+1-'WW Plan'!$G$282)),0),0))</f>
        <v>0</v>
      </c>
    </row>
    <row r="337" spans="1:17" hidden="1" outlineLevel="1" x14ac:dyDescent="0.25">
      <c r="B337" s="2429"/>
      <c r="C337" s="2663" t="s">
        <v>2487</v>
      </c>
      <c r="D337" s="2664" t="s">
        <v>2422</v>
      </c>
      <c r="E337" s="2665">
        <f t="shared" ref="E337:O337" si="120">E331-E335</f>
        <v>0</v>
      </c>
      <c r="F337" s="2665">
        <f t="shared" si="120"/>
        <v>0</v>
      </c>
      <c r="G337" s="2665">
        <f t="shared" si="120"/>
        <v>0</v>
      </c>
      <c r="H337" s="2665">
        <f t="shared" si="120"/>
        <v>0</v>
      </c>
      <c r="I337" s="2665">
        <f t="shared" si="120"/>
        <v>0</v>
      </c>
      <c r="J337" s="2665">
        <f t="shared" si="120"/>
        <v>0</v>
      </c>
      <c r="K337" s="2665">
        <f t="shared" si="120"/>
        <v>0</v>
      </c>
      <c r="L337" s="2665">
        <f t="shared" si="120"/>
        <v>0</v>
      </c>
      <c r="M337" s="2665">
        <f t="shared" si="120"/>
        <v>0</v>
      </c>
      <c r="N337" s="2665">
        <f t="shared" si="120"/>
        <v>0</v>
      </c>
      <c r="O337" s="2666">
        <f t="shared" si="120"/>
        <v>0</v>
      </c>
      <c r="Q337" s="3987" t="s">
        <v>1087</v>
      </c>
    </row>
    <row r="338" spans="1:17" hidden="1" outlineLevel="1" x14ac:dyDescent="0.25">
      <c r="B338" s="551"/>
      <c r="C338" s="896"/>
      <c r="D338" s="2547" t="s">
        <v>27</v>
      </c>
      <c r="E338" s="552">
        <f t="shared" ref="E338:O338" si="121">E332-E336</f>
        <v>0</v>
      </c>
      <c r="F338" s="552">
        <f t="shared" si="121"/>
        <v>0</v>
      </c>
      <c r="G338" s="552">
        <f t="shared" si="121"/>
        <v>0</v>
      </c>
      <c r="H338" s="552">
        <f t="shared" si="121"/>
        <v>0</v>
      </c>
      <c r="I338" s="552">
        <f t="shared" si="121"/>
        <v>0</v>
      </c>
      <c r="J338" s="552">
        <f t="shared" si="121"/>
        <v>0</v>
      </c>
      <c r="K338" s="552">
        <f t="shared" si="121"/>
        <v>0</v>
      </c>
      <c r="L338" s="552">
        <f t="shared" si="121"/>
        <v>0</v>
      </c>
      <c r="M338" s="552">
        <f t="shared" si="121"/>
        <v>0</v>
      </c>
      <c r="N338" s="552">
        <f t="shared" si="121"/>
        <v>0</v>
      </c>
      <c r="O338" s="1058">
        <f t="shared" si="121"/>
        <v>0</v>
      </c>
    </row>
    <row r="339" spans="1:17" hidden="1" outlineLevel="1" x14ac:dyDescent="0.25">
      <c r="C339" s="897"/>
      <c r="E339" s="24"/>
      <c r="F339" s="24"/>
      <c r="G339" s="24"/>
      <c r="H339" s="24"/>
      <c r="I339" s="24"/>
      <c r="J339" s="24"/>
      <c r="K339" s="24"/>
      <c r="L339" s="24"/>
      <c r="M339" s="24"/>
      <c r="N339" s="24"/>
      <c r="O339" s="24"/>
    </row>
    <row r="340" spans="1:17" hidden="1" outlineLevel="1" x14ac:dyDescent="0.25">
      <c r="B340" s="547">
        <v>2</v>
      </c>
      <c r="C340" s="2661" t="s">
        <v>2476</v>
      </c>
      <c r="D340" s="2673"/>
      <c r="E340" s="548"/>
      <c r="F340" s="548"/>
      <c r="G340" s="548"/>
      <c r="H340" s="548"/>
      <c r="I340" s="548"/>
      <c r="J340" s="548"/>
      <c r="K340" s="548"/>
      <c r="L340" s="548"/>
      <c r="M340" s="548"/>
      <c r="N340" s="548"/>
      <c r="O340" s="549"/>
    </row>
    <row r="341" spans="1:17" hidden="1" outlineLevel="1" x14ac:dyDescent="0.25">
      <c r="B341" s="2071"/>
      <c r="C341" s="1162" t="s">
        <v>2422</v>
      </c>
      <c r="D341" s="2503">
        <f>'WW Plan'!G50</f>
        <v>0</v>
      </c>
      <c r="E341" s="597">
        <f>$D$341*E248</f>
        <v>0</v>
      </c>
      <c r="F341" s="597">
        <f t="shared" ref="F341:O341" si="122">($D$341*F248)+E341</f>
        <v>0</v>
      </c>
      <c r="G341" s="597">
        <f t="shared" si="122"/>
        <v>0</v>
      </c>
      <c r="H341" s="597">
        <f t="shared" si="122"/>
        <v>0</v>
      </c>
      <c r="I341" s="597">
        <f t="shared" si="122"/>
        <v>0</v>
      </c>
      <c r="J341" s="597">
        <f t="shared" si="122"/>
        <v>0</v>
      </c>
      <c r="K341" s="597">
        <f t="shared" si="122"/>
        <v>0</v>
      </c>
      <c r="L341" s="597">
        <f t="shared" si="122"/>
        <v>0</v>
      </c>
      <c r="M341" s="597">
        <f t="shared" si="122"/>
        <v>0</v>
      </c>
      <c r="N341" s="597">
        <f t="shared" si="122"/>
        <v>0</v>
      </c>
      <c r="O341" s="608">
        <f t="shared" si="122"/>
        <v>0</v>
      </c>
    </row>
    <row r="342" spans="1:17" hidden="1" outlineLevel="1" x14ac:dyDescent="0.25">
      <c r="B342" s="2071"/>
      <c r="C342" s="1162" t="s">
        <v>646</v>
      </c>
      <c r="D342" s="2503">
        <f>'WW Plan'!H50</f>
        <v>0</v>
      </c>
      <c r="E342" s="597">
        <f>$D$342*E249</f>
        <v>0</v>
      </c>
      <c r="F342" s="597">
        <f t="shared" ref="F342:O342" si="123">($D$342*F249)+E342</f>
        <v>0</v>
      </c>
      <c r="G342" s="597">
        <f t="shared" si="123"/>
        <v>0</v>
      </c>
      <c r="H342" s="597">
        <f t="shared" si="123"/>
        <v>0</v>
      </c>
      <c r="I342" s="597">
        <f t="shared" si="123"/>
        <v>0</v>
      </c>
      <c r="J342" s="597">
        <f t="shared" si="123"/>
        <v>0</v>
      </c>
      <c r="K342" s="597">
        <f t="shared" si="123"/>
        <v>0</v>
      </c>
      <c r="L342" s="597">
        <f t="shared" si="123"/>
        <v>0</v>
      </c>
      <c r="M342" s="597">
        <f t="shared" si="123"/>
        <v>0</v>
      </c>
      <c r="N342" s="597">
        <f t="shared" si="123"/>
        <v>0</v>
      </c>
      <c r="O342" s="608">
        <f t="shared" si="123"/>
        <v>0</v>
      </c>
    </row>
    <row r="343" spans="1:17" hidden="1" outlineLevel="1" x14ac:dyDescent="0.25">
      <c r="B343" s="2429"/>
      <c r="C343" s="2430" t="s">
        <v>2486</v>
      </c>
      <c r="D343" s="2667"/>
      <c r="E343" s="2668"/>
      <c r="F343" s="2668"/>
      <c r="G343" s="2668"/>
      <c r="H343" s="2668"/>
      <c r="I343" s="2668"/>
      <c r="J343" s="2668"/>
      <c r="K343" s="2668"/>
      <c r="L343" s="2668"/>
      <c r="M343" s="2668"/>
      <c r="N343" s="2668"/>
      <c r="O343" s="2669"/>
    </row>
    <row r="344" spans="1:17" hidden="1" outlineLevel="1" x14ac:dyDescent="0.25">
      <c r="A344" s="27"/>
      <c r="B344" s="615"/>
      <c r="C344" s="48" t="s">
        <v>2422</v>
      </c>
      <c r="D344" s="2501"/>
      <c r="E344" s="2100">
        <f t="shared" ref="E344:N344" si="124">MIN(E341,E337)</f>
        <v>0</v>
      </c>
      <c r="F344" s="2100">
        <f t="shared" si="124"/>
        <v>0</v>
      </c>
      <c r="G344" s="2100">
        <f t="shared" si="124"/>
        <v>0</v>
      </c>
      <c r="H344" s="2100">
        <f t="shared" si="124"/>
        <v>0</v>
      </c>
      <c r="I344" s="2100">
        <f t="shared" si="124"/>
        <v>0</v>
      </c>
      <c r="J344" s="2100">
        <f t="shared" si="124"/>
        <v>0</v>
      </c>
      <c r="K344" s="2100">
        <f t="shared" si="124"/>
        <v>0</v>
      </c>
      <c r="L344" s="2100">
        <f t="shared" si="124"/>
        <v>0</v>
      </c>
      <c r="M344" s="2100">
        <f>MIN(M341,M337)</f>
        <v>0</v>
      </c>
      <c r="N344" s="2100">
        <f t="shared" si="124"/>
        <v>0</v>
      </c>
      <c r="O344" s="2101">
        <f>MIN(O341,O337)</f>
        <v>0</v>
      </c>
    </row>
    <row r="345" spans="1:17" hidden="1" outlineLevel="1" x14ac:dyDescent="0.25">
      <c r="A345" s="27"/>
      <c r="B345" s="5187"/>
      <c r="C345" s="5188" t="s">
        <v>646</v>
      </c>
      <c r="D345" s="5189"/>
      <c r="E345" s="3178">
        <f t="shared" ref="E345:O345" si="125">MIN(E342,E338)</f>
        <v>0</v>
      </c>
      <c r="F345" s="3178">
        <f t="shared" si="125"/>
        <v>0</v>
      </c>
      <c r="G345" s="3178">
        <f t="shared" si="125"/>
        <v>0</v>
      </c>
      <c r="H345" s="3178">
        <f t="shared" si="125"/>
        <v>0</v>
      </c>
      <c r="I345" s="3178">
        <f t="shared" si="125"/>
        <v>0</v>
      </c>
      <c r="J345" s="3178">
        <f t="shared" si="125"/>
        <v>0</v>
      </c>
      <c r="K345" s="3178">
        <f t="shared" si="125"/>
        <v>0</v>
      </c>
      <c r="L345" s="3178">
        <f t="shared" si="125"/>
        <v>0</v>
      </c>
      <c r="M345" s="3178">
        <f t="shared" si="125"/>
        <v>0</v>
      </c>
      <c r="N345" s="3178">
        <f t="shared" si="125"/>
        <v>0</v>
      </c>
      <c r="O345" s="5190">
        <f t="shared" si="125"/>
        <v>0</v>
      </c>
    </row>
    <row r="346" spans="1:17" hidden="1" outlineLevel="1" x14ac:dyDescent="0.25">
      <c r="B346" s="2071"/>
      <c r="C346" s="1162" t="s">
        <v>2487</v>
      </c>
      <c r="D346" s="2503" t="s">
        <v>2422</v>
      </c>
      <c r="E346" s="597">
        <f>E337-E344</f>
        <v>0</v>
      </c>
      <c r="F346" s="597">
        <f>F337-F344</f>
        <v>0</v>
      </c>
      <c r="G346" s="597">
        <f t="shared" ref="G346:M346" si="126">G337-G344</f>
        <v>0</v>
      </c>
      <c r="H346" s="597">
        <f>H337-H344</f>
        <v>0</v>
      </c>
      <c r="I346" s="597">
        <f>I337-I344</f>
        <v>0</v>
      </c>
      <c r="J346" s="597">
        <f t="shared" si="126"/>
        <v>0</v>
      </c>
      <c r="K346" s="597">
        <f t="shared" si="126"/>
        <v>0</v>
      </c>
      <c r="L346" s="597">
        <f t="shared" si="126"/>
        <v>0</v>
      </c>
      <c r="M346" s="597">
        <f t="shared" si="126"/>
        <v>0</v>
      </c>
      <c r="N346" s="597">
        <f>N337-N344</f>
        <v>0</v>
      </c>
      <c r="O346" s="608">
        <f>O337-O344</f>
        <v>0</v>
      </c>
    </row>
    <row r="347" spans="1:17" hidden="1" outlineLevel="1" x14ac:dyDescent="0.25">
      <c r="B347" s="551"/>
      <c r="C347" s="570"/>
      <c r="D347" s="2548" t="s">
        <v>27</v>
      </c>
      <c r="E347" s="609">
        <f>E338-E345</f>
        <v>0</v>
      </c>
      <c r="F347" s="609">
        <f t="shared" ref="F347:N347" si="127">F338-F345</f>
        <v>0</v>
      </c>
      <c r="G347" s="609">
        <f t="shared" si="127"/>
        <v>0</v>
      </c>
      <c r="H347" s="609">
        <f t="shared" si="127"/>
        <v>0</v>
      </c>
      <c r="I347" s="609">
        <f t="shared" si="127"/>
        <v>0</v>
      </c>
      <c r="J347" s="609">
        <f t="shared" si="127"/>
        <v>0</v>
      </c>
      <c r="K347" s="609">
        <f t="shared" si="127"/>
        <v>0</v>
      </c>
      <c r="L347" s="609">
        <f t="shared" si="127"/>
        <v>0</v>
      </c>
      <c r="M347" s="609">
        <f t="shared" si="127"/>
        <v>0</v>
      </c>
      <c r="N347" s="609">
        <f t="shared" si="127"/>
        <v>0</v>
      </c>
      <c r="O347" s="610">
        <f>O338-O345</f>
        <v>0</v>
      </c>
    </row>
    <row r="348" spans="1:17" hidden="1" outlineLevel="1" x14ac:dyDescent="0.25">
      <c r="C348" s="1162"/>
      <c r="D348" s="2549"/>
      <c r="E348" s="1470"/>
      <c r="F348" s="1470"/>
      <c r="G348" s="1470"/>
      <c r="H348" s="1470"/>
      <c r="I348" s="1470"/>
      <c r="J348" s="1470"/>
      <c r="K348" s="1470"/>
      <c r="L348" s="1470"/>
      <c r="M348" s="1470"/>
      <c r="N348" s="1470"/>
      <c r="O348" s="1470"/>
    </row>
    <row r="349" spans="1:17" hidden="1" outlineLevel="1" x14ac:dyDescent="0.25">
      <c r="B349" s="547">
        <v>3</v>
      </c>
      <c r="C349" s="2661" t="s">
        <v>2932</v>
      </c>
      <c r="D349" s="2481"/>
      <c r="E349" s="548"/>
      <c r="F349" s="548"/>
      <c r="G349" s="548"/>
      <c r="H349" s="548"/>
      <c r="I349" s="548"/>
      <c r="J349" s="548"/>
      <c r="K349" s="548"/>
      <c r="L349" s="548"/>
      <c r="M349" s="548"/>
      <c r="N349" s="548"/>
      <c r="O349" s="549"/>
    </row>
    <row r="350" spans="1:17" hidden="1" outlineLevel="1" x14ac:dyDescent="0.25">
      <c r="B350" s="2071"/>
      <c r="C350" s="1162" t="s">
        <v>2422</v>
      </c>
      <c r="D350" s="2488"/>
      <c r="E350" s="597">
        <f>SUM($E$39)</f>
        <v>0</v>
      </c>
      <c r="F350" s="348">
        <f>SUM($E$41:F41)+SUM($E$39:F39)</f>
        <v>0</v>
      </c>
      <c r="G350" s="348">
        <f>SUM($E$41:G41)+SUM($E$39:G39)</f>
        <v>0</v>
      </c>
      <c r="H350" s="348">
        <f>SUM($E$41:H41)+SUM($E$39:H39)</f>
        <v>0</v>
      </c>
      <c r="I350" s="348">
        <f>SUM($E$41:I41)+SUM($E$39:I39)</f>
        <v>0</v>
      </c>
      <c r="J350" s="348">
        <f>SUM($E$41:J41)+SUM($E$39:J39)</f>
        <v>0</v>
      </c>
      <c r="K350" s="348">
        <f>SUM($E$41:K41)+SUM($E$39:K39)</f>
        <v>0</v>
      </c>
      <c r="L350" s="348">
        <f>SUM($E$41:L41)+SUM($E$39:L39)</f>
        <v>0</v>
      </c>
      <c r="M350" s="348">
        <f>SUM($E$41:M41)+SUM($E$39:M39)</f>
        <v>0</v>
      </c>
      <c r="N350" s="348">
        <f>SUM($E$41:N41)+SUM($E$39:N39)</f>
        <v>0</v>
      </c>
      <c r="O350" s="1301">
        <f>SUM($E$41:O41)+SUM($E$39:O39)</f>
        <v>0</v>
      </c>
    </row>
    <row r="351" spans="1:17" hidden="1" outlineLevel="1" x14ac:dyDescent="0.25">
      <c r="B351" s="2071"/>
      <c r="C351" s="1162" t="s">
        <v>646</v>
      </c>
      <c r="D351" s="2488"/>
      <c r="E351" s="597">
        <f>SUM($E$40)</f>
        <v>0</v>
      </c>
      <c r="F351" s="348">
        <f>SUM($E$42:F42)+SUM($E$40:F40)</f>
        <v>0</v>
      </c>
      <c r="G351" s="348">
        <f>SUM($E$42:G42)+SUM($E$40:G40)</f>
        <v>0</v>
      </c>
      <c r="H351" s="348">
        <f>SUM($E$42:H42)+SUM($E$40:H40)</f>
        <v>0</v>
      </c>
      <c r="I351" s="348">
        <f>SUM($E$42:I42)+SUM($E$40:I40)</f>
        <v>0</v>
      </c>
      <c r="J351" s="348">
        <f>SUM($E$42:J42)+SUM($E$40:J40)</f>
        <v>0</v>
      </c>
      <c r="K351" s="348">
        <f>SUM($E$42:K42)+SUM($E$40:K40)</f>
        <v>0</v>
      </c>
      <c r="L351" s="348">
        <f>SUM($E$42:L42)+SUM($E$40:L40)</f>
        <v>0</v>
      </c>
      <c r="M351" s="348">
        <f>SUM($E$42:M42)+SUM($E$40:M40)</f>
        <v>0</v>
      </c>
      <c r="N351" s="348">
        <f>SUM($E$42:N42)+SUM($E$40:N40)</f>
        <v>0</v>
      </c>
      <c r="O351" s="1301">
        <f>SUM($E$42:O42)+SUM($E$40:O40)</f>
        <v>0</v>
      </c>
    </row>
    <row r="352" spans="1:17" hidden="1" outlineLevel="1" x14ac:dyDescent="0.25">
      <c r="B352" s="2429"/>
      <c r="C352" s="2453" t="s">
        <v>2488</v>
      </c>
      <c r="D352" s="2664"/>
      <c r="E352" s="2671"/>
      <c r="F352" s="2671"/>
      <c r="G352" s="2671"/>
      <c r="H352" s="2671"/>
      <c r="I352" s="2671"/>
      <c r="J352" s="2671"/>
      <c r="K352" s="2671"/>
      <c r="L352" s="2671"/>
      <c r="M352" s="2671"/>
      <c r="N352" s="2671"/>
      <c r="O352" s="2672"/>
    </row>
    <row r="353" spans="1:15" hidden="1" outlineLevel="1" x14ac:dyDescent="0.25">
      <c r="B353" s="2071"/>
      <c r="C353" s="1162" t="s">
        <v>2422</v>
      </c>
      <c r="D353" s="2488"/>
      <c r="E353" s="550">
        <f>MIN(E350,E346)</f>
        <v>0</v>
      </c>
      <c r="F353" s="550">
        <f t="shared" ref="F353:M353" si="128">MIN(F350,F346)</f>
        <v>0</v>
      </c>
      <c r="G353" s="550">
        <f>MIN(G350,G346)</f>
        <v>0</v>
      </c>
      <c r="H353" s="550">
        <f>MIN(H350,H346)</f>
        <v>0</v>
      </c>
      <c r="I353" s="550">
        <f>MIN(I350,I346)</f>
        <v>0</v>
      </c>
      <c r="J353" s="550">
        <f>MIN(J350,J346)</f>
        <v>0</v>
      </c>
      <c r="K353" s="550">
        <f t="shared" si="128"/>
        <v>0</v>
      </c>
      <c r="L353" s="550">
        <f t="shared" si="128"/>
        <v>0</v>
      </c>
      <c r="M353" s="550">
        <f t="shared" si="128"/>
        <v>0</v>
      </c>
      <c r="N353" s="550">
        <f>MIN(N350,N346)</f>
        <v>0</v>
      </c>
      <c r="O353" s="1033">
        <f>MIN(O350,O346)</f>
        <v>0</v>
      </c>
    </row>
    <row r="354" spans="1:15" hidden="1" outlineLevel="1" x14ac:dyDescent="0.25">
      <c r="B354" s="2071"/>
      <c r="C354" s="1162" t="s">
        <v>646</v>
      </c>
      <c r="D354" s="5189"/>
      <c r="E354" s="550">
        <f>MIN(E351,E347)</f>
        <v>0</v>
      </c>
      <c r="F354" s="550">
        <f t="shared" ref="F354:N354" si="129">MIN(F351,F347)</f>
        <v>0</v>
      </c>
      <c r="G354" s="550">
        <f t="shared" si="129"/>
        <v>0</v>
      </c>
      <c r="H354" s="550">
        <f t="shared" si="129"/>
        <v>0</v>
      </c>
      <c r="I354" s="550">
        <f>MIN(I351,I347)</f>
        <v>0</v>
      </c>
      <c r="J354" s="550">
        <f t="shared" si="129"/>
        <v>0</v>
      </c>
      <c r="K354" s="550">
        <f t="shared" si="129"/>
        <v>0</v>
      </c>
      <c r="L354" s="550">
        <f t="shared" si="129"/>
        <v>0</v>
      </c>
      <c r="M354" s="550">
        <f t="shared" si="129"/>
        <v>0</v>
      </c>
      <c r="N354" s="550">
        <f t="shared" si="129"/>
        <v>0</v>
      </c>
      <c r="O354" s="1033">
        <f>MIN(O351,O347)</f>
        <v>0</v>
      </c>
    </row>
    <row r="355" spans="1:15" hidden="1" outlineLevel="1" x14ac:dyDescent="0.25">
      <c r="B355" s="4046"/>
      <c r="C355" s="5202" t="s">
        <v>2487</v>
      </c>
      <c r="D355" s="2503" t="s">
        <v>2422</v>
      </c>
      <c r="E355" s="5203"/>
      <c r="F355" s="5203">
        <f>F346-F353</f>
        <v>0</v>
      </c>
      <c r="G355" s="5203">
        <f t="shared" ref="G355:O355" si="130">G346-G353</f>
        <v>0</v>
      </c>
      <c r="H355" s="5203">
        <f t="shared" si="130"/>
        <v>0</v>
      </c>
      <c r="I355" s="5203">
        <f>I346-I353</f>
        <v>0</v>
      </c>
      <c r="J355" s="5203">
        <f t="shared" si="130"/>
        <v>0</v>
      </c>
      <c r="K355" s="5203">
        <f t="shared" si="130"/>
        <v>0</v>
      </c>
      <c r="L355" s="5203">
        <f t="shared" si="130"/>
        <v>0</v>
      </c>
      <c r="M355" s="5203">
        <f t="shared" si="130"/>
        <v>0</v>
      </c>
      <c r="N355" s="5203">
        <f t="shared" si="130"/>
        <v>0</v>
      </c>
      <c r="O355" s="5204">
        <f t="shared" si="130"/>
        <v>0</v>
      </c>
    </row>
    <row r="356" spans="1:15" hidden="1" outlineLevel="1" x14ac:dyDescent="0.25">
      <c r="B356" s="4049"/>
      <c r="C356" s="2753"/>
      <c r="D356" s="2548" t="s">
        <v>27</v>
      </c>
      <c r="E356" s="1215"/>
      <c r="F356" s="1215">
        <f>F347-F354</f>
        <v>0</v>
      </c>
      <c r="G356" s="1215">
        <f t="shared" ref="G356:O356" si="131">G347-G354</f>
        <v>0</v>
      </c>
      <c r="H356" s="1215">
        <f t="shared" si="131"/>
        <v>0</v>
      </c>
      <c r="I356" s="1215">
        <f t="shared" si="131"/>
        <v>0</v>
      </c>
      <c r="J356" s="1215">
        <f t="shared" si="131"/>
        <v>0</v>
      </c>
      <c r="K356" s="1215">
        <f t="shared" si="131"/>
        <v>0</v>
      </c>
      <c r="L356" s="1215">
        <f t="shared" si="131"/>
        <v>0</v>
      </c>
      <c r="M356" s="1215">
        <f t="shared" si="131"/>
        <v>0</v>
      </c>
      <c r="N356" s="1215">
        <f t="shared" si="131"/>
        <v>0</v>
      </c>
      <c r="O356" s="1302">
        <f t="shared" si="131"/>
        <v>0</v>
      </c>
    </row>
    <row r="357" spans="1:15" hidden="1" outlineLevel="1" x14ac:dyDescent="0.25"/>
    <row r="358" spans="1:15" hidden="1" outlineLevel="1" x14ac:dyDescent="0.25">
      <c r="B358" s="547">
        <v>4</v>
      </c>
      <c r="C358" s="2424" t="s">
        <v>2586</v>
      </c>
      <c r="D358" s="2550"/>
      <c r="E358" s="2068"/>
      <c r="F358" s="2068"/>
      <c r="G358" s="3978"/>
      <c r="H358" s="3978"/>
      <c r="I358" s="3978"/>
      <c r="J358" s="3978"/>
      <c r="K358" s="3978"/>
      <c r="L358" s="3978"/>
      <c r="M358" s="3978"/>
      <c r="N358" s="3978"/>
      <c r="O358" s="2069"/>
    </row>
    <row r="359" spans="1:15" ht="15" hidden="1" customHeight="1" outlineLevel="1" x14ac:dyDescent="0.25">
      <c r="A359" s="27"/>
      <c r="B359" s="4556"/>
      <c r="C359" s="7297" t="s">
        <v>2591</v>
      </c>
      <c r="D359" s="2641" t="s">
        <v>2422</v>
      </c>
      <c r="E359" s="4557">
        <f t="shared" ref="E359:O359" si="132">E361-E335</f>
        <v>0</v>
      </c>
      <c r="F359" s="4557">
        <f t="shared" si="132"/>
        <v>0</v>
      </c>
      <c r="G359" s="4557">
        <f t="shared" si="132"/>
        <v>0</v>
      </c>
      <c r="H359" s="4557">
        <f t="shared" si="132"/>
        <v>0</v>
      </c>
      <c r="I359" s="4557">
        <f t="shared" si="132"/>
        <v>0</v>
      </c>
      <c r="J359" s="4557">
        <f t="shared" si="132"/>
        <v>0</v>
      </c>
      <c r="K359" s="4557">
        <f t="shared" si="132"/>
        <v>0</v>
      </c>
      <c r="L359" s="4557">
        <f t="shared" si="132"/>
        <v>0</v>
      </c>
      <c r="M359" s="4557">
        <f t="shared" si="132"/>
        <v>0</v>
      </c>
      <c r="N359" s="4557">
        <f t="shared" si="132"/>
        <v>0</v>
      </c>
      <c r="O359" s="4558">
        <f t="shared" si="132"/>
        <v>0</v>
      </c>
    </row>
    <row r="360" spans="1:15" hidden="1" outlineLevel="1" x14ac:dyDescent="0.25">
      <c r="B360" s="2071"/>
      <c r="C360" s="7298"/>
      <c r="D360" s="2484" t="s">
        <v>646</v>
      </c>
      <c r="E360" s="1232">
        <f t="shared" ref="E360:O360" si="133">E362-E336</f>
        <v>0</v>
      </c>
      <c r="F360" s="1232">
        <f t="shared" si="133"/>
        <v>0</v>
      </c>
      <c r="G360" s="1232">
        <f t="shared" si="133"/>
        <v>0</v>
      </c>
      <c r="H360" s="1232">
        <f t="shared" si="133"/>
        <v>0</v>
      </c>
      <c r="I360" s="1232">
        <f t="shared" si="133"/>
        <v>0</v>
      </c>
      <c r="J360" s="1232">
        <f t="shared" si="133"/>
        <v>0</v>
      </c>
      <c r="K360" s="1232">
        <f t="shared" si="133"/>
        <v>0</v>
      </c>
      <c r="L360" s="1232">
        <f t="shared" si="133"/>
        <v>0</v>
      </c>
      <c r="M360" s="1232">
        <f t="shared" si="133"/>
        <v>0</v>
      </c>
      <c r="N360" s="1232">
        <f t="shared" si="133"/>
        <v>0</v>
      </c>
      <c r="O360" s="4571">
        <f t="shared" si="133"/>
        <v>0</v>
      </c>
    </row>
    <row r="361" spans="1:15" hidden="1" outlineLevel="1" x14ac:dyDescent="0.25">
      <c r="A361" s="27"/>
      <c r="B361" s="4572"/>
      <c r="C361" s="4573" t="s">
        <v>2590</v>
      </c>
      <c r="D361" s="4574" t="s">
        <v>2422</v>
      </c>
      <c r="E361" s="4575">
        <f t="shared" ref="E361:O361" si="134">E335+E344+E353</f>
        <v>0</v>
      </c>
      <c r="F361" s="4575">
        <f t="shared" si="134"/>
        <v>0</v>
      </c>
      <c r="G361" s="4575">
        <f t="shared" si="134"/>
        <v>0</v>
      </c>
      <c r="H361" s="4575">
        <f t="shared" si="134"/>
        <v>0</v>
      </c>
      <c r="I361" s="4575">
        <f t="shared" si="134"/>
        <v>0</v>
      </c>
      <c r="J361" s="4575">
        <f t="shared" si="134"/>
        <v>0</v>
      </c>
      <c r="K361" s="4575">
        <f t="shared" si="134"/>
        <v>0</v>
      </c>
      <c r="L361" s="4575">
        <f t="shared" si="134"/>
        <v>0</v>
      </c>
      <c r="M361" s="4575">
        <f t="shared" si="134"/>
        <v>0</v>
      </c>
      <c r="N361" s="4575">
        <f t="shared" si="134"/>
        <v>0</v>
      </c>
      <c r="O361" s="4576">
        <f t="shared" si="134"/>
        <v>0</v>
      </c>
    </row>
    <row r="362" spans="1:15" hidden="1" outlineLevel="1" x14ac:dyDescent="0.25">
      <c r="A362" s="27"/>
      <c r="B362" s="615"/>
      <c r="C362" s="307"/>
      <c r="D362" s="2580" t="s">
        <v>646</v>
      </c>
      <c r="E362" s="2407">
        <f t="shared" ref="E362:O362" si="135">E336+E345+E354</f>
        <v>0</v>
      </c>
      <c r="F362" s="2407">
        <f t="shared" si="135"/>
        <v>0</v>
      </c>
      <c r="G362" s="2407">
        <f t="shared" si="135"/>
        <v>0</v>
      </c>
      <c r="H362" s="2407">
        <f t="shared" si="135"/>
        <v>0</v>
      </c>
      <c r="I362" s="2407">
        <f t="shared" si="135"/>
        <v>0</v>
      </c>
      <c r="J362" s="2407">
        <f t="shared" si="135"/>
        <v>0</v>
      </c>
      <c r="K362" s="2407">
        <f t="shared" si="135"/>
        <v>0</v>
      </c>
      <c r="L362" s="2407">
        <f t="shared" si="135"/>
        <v>0</v>
      </c>
      <c r="M362" s="2407">
        <f t="shared" si="135"/>
        <v>0</v>
      </c>
      <c r="N362" s="2407">
        <f t="shared" si="135"/>
        <v>0</v>
      </c>
      <c r="O362" s="2408">
        <f t="shared" si="135"/>
        <v>0</v>
      </c>
    </row>
    <row r="363" spans="1:15" hidden="1" outlineLevel="1" x14ac:dyDescent="0.25">
      <c r="A363" s="27"/>
      <c r="B363" s="2102"/>
      <c r="C363" s="4577"/>
      <c r="D363" s="2638" t="s">
        <v>2589</v>
      </c>
      <c r="E363" s="4578">
        <f>(IF('WW Plan'!$E$282="Activate",IF(AND('WW calcu'!E$235&gt;='WW Plan'!$G$282,'WW calcu'!E$235&lt;'WW Plan'!$H$282+1),(('WW Plan'!$G$288)/('WW Plan'!$H$282+1-'WW Plan'!$G$282)),0),0))</f>
        <v>0</v>
      </c>
      <c r="F363" s="4578">
        <f>(E363+(IF('WW Plan'!$E$282="Activate",IF(AND('WW calcu'!F$235&gt;='WW Plan'!$G$282,'WW calcu'!F$235&lt;'WW Plan'!$H$282+1),(('WW Plan'!$G$288)/('WW Plan'!$H$282+1-'WW Plan'!$G$282)),0),0)))*(1+F4)</f>
        <v>0</v>
      </c>
      <c r="G363" s="4578">
        <f>(F363+(IF('WW Plan'!$E$282="Activate",IF(AND('WW calcu'!G$235&gt;='WW Plan'!$G$282,'WW calcu'!G$235&lt;'WW Plan'!$H$282+1),(('WW Plan'!$G$288)/('WW Plan'!$H$282+1-'WW Plan'!$G$282)),0),0)))*(1+G4)</f>
        <v>0</v>
      </c>
      <c r="H363" s="4578">
        <f>(G363+(IF('WW Plan'!$E$282="Activate",IF(AND('WW calcu'!H$235&gt;='WW Plan'!$G$282,'WW calcu'!H$235&lt;'WW Plan'!$H$282+1),(('WW Plan'!$G$288)/('WW Plan'!$H$282+1-'WW Plan'!$G$282)),0),0)))*(1+H4)</f>
        <v>0</v>
      </c>
      <c r="I363" s="4578">
        <f>(H363+(IF('WW Plan'!$E$282="Activate",IF(AND('WW calcu'!I$235&gt;='WW Plan'!$G$282,'WW calcu'!I$235&lt;'WW Plan'!$H$282+1),(('WW Plan'!$G$288)/('WW Plan'!$H$282+1-'WW Plan'!$G$282)),0),0)))*(1+I4)</f>
        <v>0</v>
      </c>
      <c r="J363" s="4578">
        <f>(I363+(IF('WW Plan'!$E$282="Activate",IF(AND('WW calcu'!J$235&gt;='WW Plan'!$G$282,'WW calcu'!J$235&lt;'WW Plan'!$H$282+1),(('WW Plan'!$G$288)/('WW Plan'!$H$282+1-'WW Plan'!$G$282)),0),0)))*(1+J4)</f>
        <v>0</v>
      </c>
      <c r="K363" s="4578">
        <f>(J363+(IF('WW Plan'!$E$282="Activate",IF(AND('WW calcu'!K$235&gt;='WW Plan'!$G$282,'WW calcu'!K$235&lt;'WW Plan'!$H$282+1),(('WW Plan'!$G$288)/('WW Plan'!$H$282+1-'WW Plan'!$G$282)),0),0)))*(1+K4)</f>
        <v>0</v>
      </c>
      <c r="L363" s="4578">
        <f>(K363+(IF('WW Plan'!$E$282="Activate",IF(AND('WW calcu'!L$235&gt;='WW Plan'!$G$282,'WW calcu'!L$235&lt;'WW Plan'!$H$282+1),(('WW Plan'!$G$288)/('WW Plan'!$H$282+1-'WW Plan'!$G$282)),0),0)))*(1+L4)</f>
        <v>0</v>
      </c>
      <c r="M363" s="4578">
        <f>(L363+(IF('WW Plan'!$E$282="Activate",IF(AND('WW calcu'!M$235&gt;='WW Plan'!$G$282,'WW calcu'!M$235&lt;'WW Plan'!$H$282+1),(('WW Plan'!$G$288)/('WW Plan'!$H$282+1-'WW Plan'!$G$282)),0),0)))*(1+M4)</f>
        <v>0</v>
      </c>
      <c r="N363" s="4578">
        <f>(M363+(IF('WW Plan'!$E$282="Activate",IF(AND('WW calcu'!N$235&gt;='WW Plan'!$G$282,'WW calcu'!N$235&lt;'WW Plan'!$H$282+1),(('WW Plan'!$G$288)/('WW Plan'!$H$282+1-'WW Plan'!$G$282)),0),0)))*(1+N4)</f>
        <v>0</v>
      </c>
      <c r="O363" s="4579">
        <f>(N363+(IF('WW Plan'!$E$282="Activate",IF(AND('WW calcu'!O$235&gt;='WW Plan'!$G$282,'WW calcu'!O$235&lt;'WW Plan'!$H$282+1),(('WW Plan'!$G$288)/('WW Plan'!$H$282+1-'WW Plan'!$G$282)),0),0)))*(1+O4)</f>
        <v>0</v>
      </c>
    </row>
    <row r="364" spans="1:15" hidden="1" outlineLevel="1" x14ac:dyDescent="0.25">
      <c r="F364" s="1470"/>
      <c r="G364" s="1470"/>
      <c r="H364" s="1470"/>
      <c r="I364" s="1470"/>
      <c r="J364" s="1470"/>
      <c r="K364" s="1470"/>
      <c r="L364" s="1470"/>
      <c r="M364" s="1470"/>
      <c r="N364" s="1470"/>
      <c r="O364" s="1470"/>
    </row>
    <row r="365" spans="1:15" hidden="1" outlineLevel="1" x14ac:dyDescent="0.25">
      <c r="B365" s="2147"/>
      <c r="C365" s="2933" t="s">
        <v>2966</v>
      </c>
      <c r="D365" s="2734"/>
      <c r="E365" s="2232"/>
      <c r="F365" s="2232"/>
      <c r="G365" s="2232"/>
      <c r="H365" s="2232"/>
      <c r="I365" s="2232"/>
      <c r="J365" s="2232"/>
      <c r="K365" s="2232"/>
      <c r="L365" s="2232"/>
      <c r="M365" s="2232"/>
      <c r="N365" s="2232"/>
      <c r="O365" s="5205"/>
    </row>
    <row r="366" spans="1:15" hidden="1" outlineLevel="1" x14ac:dyDescent="0.25">
      <c r="B366" s="1244"/>
      <c r="C366" s="77" t="s">
        <v>2969</v>
      </c>
      <c r="D366" s="2251" t="s">
        <v>2422</v>
      </c>
      <c r="E366" s="2267">
        <f>MIN(SUM($E$83:E83),E355)</f>
        <v>0</v>
      </c>
      <c r="F366" s="2267">
        <f>MIN(SUM($E$83:F83),F355)</f>
        <v>0</v>
      </c>
      <c r="G366" s="2267">
        <f>MIN(SUM($E$83:G83),G355)</f>
        <v>0</v>
      </c>
      <c r="H366" s="2267">
        <f>MIN(SUM($E$83:H83),H355)</f>
        <v>0</v>
      </c>
      <c r="I366" s="2267">
        <f>MIN(SUM($E$83:I83),I355)</f>
        <v>0</v>
      </c>
      <c r="J366" s="2267">
        <f>MIN(SUM($E$83:J83),J355)</f>
        <v>0</v>
      </c>
      <c r="K366" s="2267">
        <f>MIN(SUM($E$83:K83),K355)</f>
        <v>0</v>
      </c>
      <c r="L366" s="2267">
        <f>MIN(SUM($E$83:L83),L355)</f>
        <v>0</v>
      </c>
      <c r="M366" s="2267">
        <f>MIN(SUM($E$83:M83),M355)</f>
        <v>0</v>
      </c>
      <c r="N366" s="2267">
        <f>MIN(SUM($E$83:N83),N355)</f>
        <v>0</v>
      </c>
      <c r="O366" s="2468">
        <f>MIN(SUM($E$83:O83),O355)</f>
        <v>0</v>
      </c>
    </row>
    <row r="367" spans="1:15" hidden="1" outlineLevel="1" x14ac:dyDescent="0.25">
      <c r="B367" s="1244"/>
      <c r="C367" s="77"/>
      <c r="D367" s="2251" t="s">
        <v>27</v>
      </c>
      <c r="E367" s="2267">
        <f>MIN(SUM($E$84:E84),E356)</f>
        <v>0</v>
      </c>
      <c r="F367" s="2267">
        <f>MIN(SUM($E$84:F84),F356)</f>
        <v>0</v>
      </c>
      <c r="G367" s="2267">
        <f>MIN(SUM($E$84:G84),G356)</f>
        <v>0</v>
      </c>
      <c r="H367" s="2267">
        <f>MIN(SUM($E$84:H84),H356)</f>
        <v>0</v>
      </c>
      <c r="I367" s="2267">
        <f>MIN(SUM($E$84:I84),I356)</f>
        <v>0</v>
      </c>
      <c r="J367" s="2267">
        <f>MIN(SUM($E$84:J84),J356)</f>
        <v>0</v>
      </c>
      <c r="K367" s="2267">
        <f>MIN(SUM($E$84:K84),K356)</f>
        <v>0</v>
      </c>
      <c r="L367" s="2267">
        <f>MIN(SUM($E$84:L84),L356)</f>
        <v>0</v>
      </c>
      <c r="M367" s="2267">
        <f>MIN(SUM($E$84:M84),M356)</f>
        <v>0</v>
      </c>
      <c r="N367" s="2267">
        <f>MIN(SUM($E$84:N84),N356)</f>
        <v>0</v>
      </c>
      <c r="O367" s="2468">
        <f>MIN(SUM($E$84:O84),O356)</f>
        <v>0</v>
      </c>
    </row>
    <row r="368" spans="1:15" hidden="1" outlineLevel="1" x14ac:dyDescent="0.25">
      <c r="B368" s="5207"/>
      <c r="C368" s="5209" t="s">
        <v>2970</v>
      </c>
      <c r="D368" s="4565" t="s">
        <v>2422</v>
      </c>
      <c r="E368" s="5210">
        <f>E359+E366</f>
        <v>0</v>
      </c>
      <c r="F368" s="5210">
        <f>F359+F366</f>
        <v>0</v>
      </c>
      <c r="G368" s="5210">
        <f t="shared" ref="G368:O368" si="136">G359+G366</f>
        <v>0</v>
      </c>
      <c r="H368" s="5210">
        <f t="shared" si="136"/>
        <v>0</v>
      </c>
      <c r="I368" s="5210">
        <f t="shared" si="136"/>
        <v>0</v>
      </c>
      <c r="J368" s="5210">
        <f t="shared" si="136"/>
        <v>0</v>
      </c>
      <c r="K368" s="5210">
        <f t="shared" si="136"/>
        <v>0</v>
      </c>
      <c r="L368" s="5210">
        <f t="shared" si="136"/>
        <v>0</v>
      </c>
      <c r="M368" s="5210">
        <f t="shared" si="136"/>
        <v>0</v>
      </c>
      <c r="N368" s="5210">
        <f t="shared" si="136"/>
        <v>0</v>
      </c>
      <c r="O368" s="5211">
        <f t="shared" si="136"/>
        <v>0</v>
      </c>
    </row>
    <row r="369" spans="1:17" hidden="1" outlineLevel="1" x14ac:dyDescent="0.25">
      <c r="B369" s="5212"/>
      <c r="C369" s="5217" t="s">
        <v>2967</v>
      </c>
      <c r="D369" s="4566" t="s">
        <v>27</v>
      </c>
      <c r="E369" s="5213">
        <f>E360+E367</f>
        <v>0</v>
      </c>
      <c r="F369" s="5213">
        <f>F360+F367</f>
        <v>0</v>
      </c>
      <c r="G369" s="5213">
        <f t="shared" ref="G369:O369" si="137">G360+G367</f>
        <v>0</v>
      </c>
      <c r="H369" s="5213">
        <f t="shared" si="137"/>
        <v>0</v>
      </c>
      <c r="I369" s="5213">
        <f t="shared" si="137"/>
        <v>0</v>
      </c>
      <c r="J369" s="5213">
        <f t="shared" si="137"/>
        <v>0</v>
      </c>
      <c r="K369" s="5213">
        <f t="shared" si="137"/>
        <v>0</v>
      </c>
      <c r="L369" s="5213">
        <f t="shared" si="137"/>
        <v>0</v>
      </c>
      <c r="M369" s="5213">
        <f t="shared" si="137"/>
        <v>0</v>
      </c>
      <c r="N369" s="5213">
        <f t="shared" si="137"/>
        <v>0</v>
      </c>
      <c r="O369" s="5214">
        <f t="shared" si="137"/>
        <v>0</v>
      </c>
    </row>
    <row r="370" spans="1:17" s="49" customFormat="1" hidden="1" outlineLevel="1" x14ac:dyDescent="0.25">
      <c r="A370" s="63"/>
      <c r="B370" s="5206"/>
      <c r="C370" s="5208" t="s">
        <v>2968</v>
      </c>
      <c r="D370" s="5218" t="s">
        <v>2422</v>
      </c>
      <c r="E370" s="5193">
        <f>E361+E366</f>
        <v>0</v>
      </c>
      <c r="F370" s="5193">
        <f>F361+F366</f>
        <v>0</v>
      </c>
      <c r="G370" s="5193">
        <f t="shared" ref="G370:O370" si="138">G361+G366</f>
        <v>0</v>
      </c>
      <c r="H370" s="5193">
        <f t="shared" si="138"/>
        <v>0</v>
      </c>
      <c r="I370" s="5193">
        <f t="shared" si="138"/>
        <v>0</v>
      </c>
      <c r="J370" s="5193">
        <f t="shared" si="138"/>
        <v>0</v>
      </c>
      <c r="K370" s="5193">
        <f t="shared" si="138"/>
        <v>0</v>
      </c>
      <c r="L370" s="5193">
        <f t="shared" si="138"/>
        <v>0</v>
      </c>
      <c r="M370" s="5193">
        <f t="shared" si="138"/>
        <v>0</v>
      </c>
      <c r="N370" s="5193">
        <f t="shared" si="138"/>
        <v>0</v>
      </c>
      <c r="O370" s="5194">
        <f t="shared" si="138"/>
        <v>0</v>
      </c>
      <c r="Q370" s="3993"/>
    </row>
    <row r="371" spans="1:17" s="49" customFormat="1" hidden="1" outlineLevel="1" x14ac:dyDescent="0.25">
      <c r="A371" s="63"/>
      <c r="B371" s="2636"/>
      <c r="C371" s="5215"/>
      <c r="D371" s="2569" t="s">
        <v>27</v>
      </c>
      <c r="E371" s="5191">
        <f>E362+E367</f>
        <v>0</v>
      </c>
      <c r="F371" s="5191">
        <f>F362+F367</f>
        <v>0</v>
      </c>
      <c r="G371" s="5191">
        <f t="shared" ref="G371:O371" si="139">G362+G367</f>
        <v>0</v>
      </c>
      <c r="H371" s="5191">
        <f t="shared" si="139"/>
        <v>0</v>
      </c>
      <c r="I371" s="5191">
        <f t="shared" si="139"/>
        <v>0</v>
      </c>
      <c r="J371" s="5191">
        <f t="shared" si="139"/>
        <v>0</v>
      </c>
      <c r="K371" s="5191">
        <f t="shared" si="139"/>
        <v>0</v>
      </c>
      <c r="L371" s="5191">
        <f t="shared" si="139"/>
        <v>0</v>
      </c>
      <c r="M371" s="5191">
        <f t="shared" si="139"/>
        <v>0</v>
      </c>
      <c r="N371" s="5191">
        <f t="shared" si="139"/>
        <v>0</v>
      </c>
      <c r="O371" s="5192">
        <f t="shared" si="139"/>
        <v>0</v>
      </c>
      <c r="Q371" s="3993"/>
    </row>
    <row r="372" spans="1:17" s="49" customFormat="1" hidden="1" outlineLevel="1" x14ac:dyDescent="0.25">
      <c r="A372" s="63"/>
      <c r="B372" s="2637"/>
      <c r="C372" s="5216"/>
      <c r="D372" s="2570" t="s">
        <v>2589</v>
      </c>
      <c r="E372" s="5195">
        <f>E363</f>
        <v>0</v>
      </c>
      <c r="F372" s="5195">
        <f>F363</f>
        <v>0</v>
      </c>
      <c r="G372" s="5195">
        <f t="shared" ref="G372:O372" si="140">G363</f>
        <v>0</v>
      </c>
      <c r="H372" s="5195">
        <f t="shared" si="140"/>
        <v>0</v>
      </c>
      <c r="I372" s="5195">
        <f t="shared" si="140"/>
        <v>0</v>
      </c>
      <c r="J372" s="5195">
        <f t="shared" si="140"/>
        <v>0</v>
      </c>
      <c r="K372" s="5195">
        <f t="shared" si="140"/>
        <v>0</v>
      </c>
      <c r="L372" s="5195">
        <f t="shared" si="140"/>
        <v>0</v>
      </c>
      <c r="M372" s="5195">
        <f t="shared" si="140"/>
        <v>0</v>
      </c>
      <c r="N372" s="5195">
        <f t="shared" si="140"/>
        <v>0</v>
      </c>
      <c r="O372" s="5196">
        <f t="shared" si="140"/>
        <v>0</v>
      </c>
      <c r="Q372" s="3993"/>
    </row>
    <row r="373" spans="1:17" hidden="1" outlineLevel="1" x14ac:dyDescent="0.25">
      <c r="F373" s="1470"/>
      <c r="G373" s="1470"/>
      <c r="H373" s="1470"/>
      <c r="I373" s="1470"/>
      <c r="J373" s="1470"/>
      <c r="K373" s="1470"/>
      <c r="L373" s="1470"/>
      <c r="M373" s="1470"/>
      <c r="N373" s="1470"/>
      <c r="O373" s="1470"/>
    </row>
    <row r="374" spans="1:17" hidden="1" outlineLevel="1" x14ac:dyDescent="0.25">
      <c r="B374" s="547"/>
      <c r="C374" s="335" t="s">
        <v>493</v>
      </c>
      <c r="D374" s="2542">
        <f>'WW Plan'!G289</f>
        <v>0</v>
      </c>
      <c r="E374" s="2269"/>
      <c r="F374" s="5776">
        <f>(F329-E329)*$D$374/CurrencyMultiplier</f>
        <v>0</v>
      </c>
      <c r="G374" s="5776">
        <f>(G329-F329)*$D$374/CurrencyMultiplier</f>
        <v>0</v>
      </c>
      <c r="H374" s="5776">
        <f>(H329-G329)*$D$374/CurrencyMultiplier</f>
        <v>0</v>
      </c>
      <c r="I374" s="5776">
        <f>(I329-H329)*$D$374/CurrencyMultiplier</f>
        <v>0</v>
      </c>
      <c r="J374" s="5776">
        <f>(J329-I329)*$D$374/CurrencyMultiplier</f>
        <v>0</v>
      </c>
      <c r="K374" s="5776">
        <f>(K329-J329)*$D$374/CurrencyMultiplier</f>
        <v>0</v>
      </c>
      <c r="L374" s="5776">
        <f>(L329-K329)*$D$374/CurrencyMultiplier</f>
        <v>0</v>
      </c>
      <c r="M374" s="5776">
        <f>(M329-L329)*$D$374/CurrencyMultiplier</f>
        <v>0</v>
      </c>
      <c r="N374" s="5776">
        <f>(N329-M329)*$D$374/CurrencyMultiplier</f>
        <v>0</v>
      </c>
      <c r="O374" s="5777">
        <f>(O329-N329)*$D$374/CurrencyMultiplier</f>
        <v>0</v>
      </c>
    </row>
    <row r="375" spans="1:17" hidden="1" outlineLevel="1" x14ac:dyDescent="0.25">
      <c r="B375" s="2071"/>
      <c r="C375" s="77" t="s">
        <v>494</v>
      </c>
      <c r="D375" s="2552">
        <f>'WW Plan'!G290</f>
        <v>0</v>
      </c>
      <c r="E375" s="2267"/>
      <c r="F375" s="361">
        <f>IF(F431&lt;'WW Plan'!$G$282+1,0,SUM($E$374:F374)*$D$375)</f>
        <v>0</v>
      </c>
      <c r="G375" s="361">
        <f>IF(G431&lt;'WW Plan'!$G$282+1,0,SUM($E$374:G374)*$D$375)</f>
        <v>0</v>
      </c>
      <c r="H375" s="361">
        <f>IF(H431&lt;'WW Plan'!$G$282+1,0,SUM($E$374:H374)*$D$375)</f>
        <v>0</v>
      </c>
      <c r="I375" s="361">
        <f>IF(I431&lt;'WW Plan'!$G$282+1,0,SUM($E$374:I374)*$D$375)</f>
        <v>0</v>
      </c>
      <c r="J375" s="361">
        <f>IF(J431&lt;'WW Plan'!$G$282+1,0,SUM($E$374:J374)*$D$375)</f>
        <v>0</v>
      </c>
      <c r="K375" s="361">
        <f>IF(K431&lt;'WW Plan'!$G$282+1,0,SUM($E$374:K374)*$D$375)</f>
        <v>0</v>
      </c>
      <c r="L375" s="361">
        <f>IF(L431&lt;'WW Plan'!$G$282+1,0,SUM($E$374:L374)*$D$375)</f>
        <v>0</v>
      </c>
      <c r="M375" s="361">
        <f>IF(M431&lt;'WW Plan'!$G$282+1,0,SUM($E$374:M374)*$D$375)</f>
        <v>0</v>
      </c>
      <c r="N375" s="361">
        <f>IF(N431&lt;'WW Plan'!$G$282+1,0,SUM($E$374:N374)*$D$375)</f>
        <v>0</v>
      </c>
      <c r="O375" s="2275">
        <f>IF(O431&lt;'WW Plan'!$G$282+1,0,SUM($E$374:O374)*$D$375)</f>
        <v>0</v>
      </c>
    </row>
    <row r="376" spans="1:17" hidden="1" outlineLevel="1" x14ac:dyDescent="0.25">
      <c r="B376" s="1244"/>
      <c r="C376" s="77" t="s">
        <v>1327</v>
      </c>
      <c r="D376" s="2543"/>
      <c r="E376" s="2267"/>
      <c r="F376" s="457">
        <f>(((F370-E370)*'WW Plan'!$G$291)+((F371-E371)*'WW Plan'!$H$291)+((F372-E372)*'WW Plan'!$G$292))/CurrencyMultiplier</f>
        <v>0</v>
      </c>
      <c r="G376" s="457">
        <f>(((G370-F370)*'WW Plan'!$G$291)+((G371-F371)*'WW Plan'!$H$291)+((G372-F372)*'WW Plan'!$G$292))/CurrencyMultiplier</f>
        <v>0</v>
      </c>
      <c r="H376" s="457">
        <f>(((H370-G370)*'WW Plan'!$G$291)+((H371-G371)*'WW Plan'!$H$291)+((H372-G372)*'WW Plan'!$G$292))/CurrencyMultiplier</f>
        <v>0</v>
      </c>
      <c r="I376" s="457">
        <f>(((I370-H370)*'WW Plan'!$G$291)+((I371-H371)*'WW Plan'!$H$291)+((I372-H372)*'WW Plan'!$G$292))/CurrencyMultiplier</f>
        <v>0</v>
      </c>
      <c r="J376" s="457">
        <f>(((J370-I370)*'WW Plan'!$G$291)+((J371-I371)*'WW Plan'!$H$291)+((J372-I372)*'WW Plan'!$G$292))/CurrencyMultiplier</f>
        <v>0</v>
      </c>
      <c r="K376" s="457">
        <f>(((K370-J370)*'WW Plan'!$G$291)+((K371-J371)*'WW Plan'!$H$291)+((K372-J372)*'WW Plan'!$G$292))/CurrencyMultiplier</f>
        <v>0</v>
      </c>
      <c r="L376" s="457">
        <f>(((L370-K370)*'WW Plan'!$G$291)+((L371-K371)*'WW Plan'!$H$291)+((L372-K372)*'WW Plan'!$G$292))/CurrencyMultiplier</f>
        <v>0</v>
      </c>
      <c r="M376" s="457">
        <f>(((M370-L370)*'WW Plan'!$G$291)+((M371-L371)*'WW Plan'!$H$291)+((M372-L372)*'WW Plan'!$G$292))/CurrencyMultiplier</f>
        <v>0</v>
      </c>
      <c r="N376" s="457">
        <f>(((N370-M370)*'WW Plan'!$G$291)+((N371-M371)*'WW Plan'!$H$291)+((N372-M372)*'WW Plan'!$G$292))/CurrencyMultiplier</f>
        <v>0</v>
      </c>
      <c r="O376" s="5219">
        <f>(((O370-N370)*'WW Plan'!$G$291)+((O371-N371)*'WW Plan'!$H$291)+((O372-N372)*'WW Plan'!$G$292))/CurrencyMultiplier</f>
        <v>0</v>
      </c>
    </row>
    <row r="377" spans="1:17" hidden="1" outlineLevel="1" x14ac:dyDescent="0.25">
      <c r="B377" s="1289"/>
      <c r="C377" s="336" t="s">
        <v>1328</v>
      </c>
      <c r="D377" s="2544"/>
      <c r="E377" s="2277"/>
      <c r="F377" s="2325">
        <f>(((F370-E370)*F955)+((F371-E371)*F957)+((F372-E372)*F959))/CurrencyMultiplier</f>
        <v>0</v>
      </c>
      <c r="G377" s="2325">
        <f>(((G370-F370)*G955)+((G371-F371)*G957)+((G372-F372)*G959))/CurrencyMultiplier</f>
        <v>0</v>
      </c>
      <c r="H377" s="2325">
        <f>(((H370-G370)*H955)+((H371-G371)*H957)+((H372-G372)*H959))/CurrencyMultiplier</f>
        <v>0</v>
      </c>
      <c r="I377" s="2325">
        <f>(((I370-H370)*I955)+((I371-H371)*I957)+((I372-H372)*I959))/CurrencyMultiplier</f>
        <v>0</v>
      </c>
      <c r="J377" s="2325">
        <f>(((J370-I370)*J955)+((J371-I371)*J957)+((J372-I372)*J959))/CurrencyMultiplier</f>
        <v>0</v>
      </c>
      <c r="K377" s="2325">
        <f>(((K370-J370)*K955)+((K371-J371)*K957)+((K372-J372)*K959))/CurrencyMultiplier</f>
        <v>0</v>
      </c>
      <c r="L377" s="2325">
        <f>(((L370-K370)*L955)+((L371-K371)*L957)+((L372-K372)*L959))/CurrencyMultiplier</f>
        <v>0</v>
      </c>
      <c r="M377" s="2325">
        <f>(((M370-L370)*M955)+((M371-L371)*M957)+((M372-L372)*M959))/CurrencyMultiplier</f>
        <v>0</v>
      </c>
      <c r="N377" s="2325">
        <f>(((N370-M370)*N955)+((N371-M371)*N957)+((N372-M372)*N959))/CurrencyMultiplier</f>
        <v>0</v>
      </c>
      <c r="O377" s="2326">
        <f>(((O370-N370)*O955)+((O371-N371)*O957)+((O372-N372)*O959))/CurrencyMultiplier</f>
        <v>0</v>
      </c>
    </row>
    <row r="378" spans="1:17" ht="30" hidden="1" outlineLevel="1" x14ac:dyDescent="0.25">
      <c r="A378" s="770"/>
      <c r="B378" s="2272"/>
      <c r="C378" s="2279" t="str">
        <f>'Summary of PIP'!C106</f>
        <v>Households with on-site sanitation and settled sewer</v>
      </c>
      <c r="D378" s="2273"/>
      <c r="E378" s="5220">
        <f>MIN(IFERROR((E370+E371)/Population!E31,0),100%)</f>
        <v>0</v>
      </c>
      <c r="F378" s="5220">
        <f>MIN(IFERROR((F370+F371)/Population!F31,0),100%)</f>
        <v>0</v>
      </c>
      <c r="G378" s="5220">
        <f>MIN(IFERROR((G370+G371)/Population!G31,0),100%)</f>
        <v>0</v>
      </c>
      <c r="H378" s="5220">
        <f>MIN(IFERROR((H370+H371)/Population!H31,0),100%)</f>
        <v>0</v>
      </c>
      <c r="I378" s="5220">
        <f>MIN(IFERROR((I370+I371)/Population!I31,0),100%)</f>
        <v>0</v>
      </c>
      <c r="J378" s="5220">
        <f>MIN(IFERROR((J370+J371)/Population!J31,0),100%)</f>
        <v>0</v>
      </c>
      <c r="K378" s="5220">
        <f>MIN(IFERROR((K370+K371)/Population!K31,0),100%)</f>
        <v>0</v>
      </c>
      <c r="L378" s="5220">
        <f>MIN(IFERROR((L370+L371)/Population!L31,0),100%)</f>
        <v>0</v>
      </c>
      <c r="M378" s="5220">
        <f>MIN(IFERROR((M370+M371)/Population!M31,0),100%)</f>
        <v>0</v>
      </c>
      <c r="N378" s="5220">
        <f>MIN(IFERROR((N370+N371)/Population!N31,0),100%)</f>
        <v>0</v>
      </c>
      <c r="O378" s="5220">
        <f>MIN(IFERROR((O370+O371)/Population!O31,0),100%)</f>
        <v>0</v>
      </c>
    </row>
    <row r="379" spans="1:17" hidden="1" outlineLevel="1" x14ac:dyDescent="0.25">
      <c r="F379" s="10"/>
      <c r="G379" s="10"/>
      <c r="H379" s="10"/>
      <c r="I379" s="10"/>
      <c r="J379" s="10"/>
      <c r="K379" s="10"/>
      <c r="L379" s="10"/>
      <c r="M379" s="10"/>
      <c r="N379" s="10"/>
      <c r="O379" s="10"/>
    </row>
    <row r="380" spans="1:17" hidden="1" outlineLevel="1" x14ac:dyDescent="0.25">
      <c r="F380" s="24"/>
      <c r="G380" s="24"/>
      <c r="H380" s="24"/>
      <c r="I380" s="24"/>
      <c r="J380" s="24"/>
      <c r="K380" s="24"/>
      <c r="L380" s="24"/>
      <c r="M380" s="24"/>
      <c r="N380" s="24"/>
      <c r="O380" s="24"/>
    </row>
    <row r="381" spans="1:17" s="56" customFormat="1" hidden="1" outlineLevel="1" x14ac:dyDescent="0.25">
      <c r="A381" s="1913"/>
      <c r="B381" s="1913"/>
      <c r="C381" s="1914" t="s">
        <v>2501</v>
      </c>
      <c r="D381" s="2505"/>
      <c r="E381" s="2114"/>
      <c r="F381" s="2114"/>
      <c r="G381" s="2114"/>
      <c r="H381" s="2114"/>
      <c r="I381" s="2114"/>
      <c r="J381" s="2114"/>
      <c r="K381" s="2114"/>
      <c r="L381" s="2114"/>
      <c r="M381" s="2114"/>
      <c r="N381" s="2114"/>
      <c r="O381" s="2114"/>
      <c r="Q381" s="3990"/>
    </row>
    <row r="382" spans="1:17" hidden="1" outlineLevel="1" x14ac:dyDescent="0.25">
      <c r="C382" s="2674" t="s">
        <v>2496</v>
      </c>
      <c r="D382" s="2553"/>
      <c r="E382" s="2116"/>
      <c r="F382" s="2117"/>
      <c r="G382" s="2117"/>
      <c r="H382" s="2117"/>
      <c r="I382" s="2117"/>
      <c r="J382" s="2117"/>
      <c r="K382" s="2117"/>
      <c r="L382" s="2117"/>
      <c r="M382" s="2117"/>
      <c r="N382" s="2117"/>
      <c r="O382" s="2118"/>
    </row>
    <row r="383" spans="1:17" hidden="1" outlineLevel="1" x14ac:dyDescent="0.25">
      <c r="C383" s="2073" t="s">
        <v>2422</v>
      </c>
      <c r="D383" s="7285" t="s">
        <v>2506</v>
      </c>
      <c r="E383" s="908"/>
      <c r="F383" s="2123">
        <f t="shared" ref="F383:O383" si="141">(F385-E385)-($P$53*F5)</f>
        <v>0</v>
      </c>
      <c r="G383" s="2123">
        <f t="shared" si="141"/>
        <v>0</v>
      </c>
      <c r="H383" s="2123">
        <f t="shared" si="141"/>
        <v>0</v>
      </c>
      <c r="I383" s="2123">
        <f t="shared" si="141"/>
        <v>0</v>
      </c>
      <c r="J383" s="2123">
        <f t="shared" si="141"/>
        <v>0</v>
      </c>
      <c r="K383" s="2123">
        <f t="shared" si="141"/>
        <v>0</v>
      </c>
      <c r="L383" s="2123">
        <f t="shared" si="141"/>
        <v>0</v>
      </c>
      <c r="M383" s="2123">
        <f t="shared" si="141"/>
        <v>0</v>
      </c>
      <c r="N383" s="2123">
        <f t="shared" si="141"/>
        <v>0</v>
      </c>
      <c r="O383" s="2124">
        <f t="shared" si="141"/>
        <v>0</v>
      </c>
      <c r="P383" s="127"/>
    </row>
    <row r="384" spans="1:17" hidden="1" outlineLevel="1" x14ac:dyDescent="0.25">
      <c r="C384" s="2073" t="s">
        <v>27</v>
      </c>
      <c r="D384" s="7285"/>
      <c r="E384" s="908"/>
      <c r="F384" s="2123">
        <f t="shared" ref="F384:O384" si="142">(F386-E386)-($P$54*F6)</f>
        <v>0</v>
      </c>
      <c r="G384" s="2123">
        <f t="shared" si="142"/>
        <v>0</v>
      </c>
      <c r="H384" s="2123">
        <f t="shared" si="142"/>
        <v>0</v>
      </c>
      <c r="I384" s="2123">
        <f t="shared" si="142"/>
        <v>0</v>
      </c>
      <c r="J384" s="2123">
        <f t="shared" si="142"/>
        <v>0</v>
      </c>
      <c r="K384" s="2123">
        <f t="shared" si="142"/>
        <v>0</v>
      </c>
      <c r="L384" s="2123">
        <f t="shared" si="142"/>
        <v>0</v>
      </c>
      <c r="M384" s="2123">
        <f t="shared" si="142"/>
        <v>0</v>
      </c>
      <c r="N384" s="2123">
        <f t="shared" si="142"/>
        <v>0</v>
      </c>
      <c r="O384" s="2124">
        <f t="shared" si="142"/>
        <v>0</v>
      </c>
      <c r="P384" s="127"/>
    </row>
    <row r="385" spans="1:20" s="170" customFormat="1" hidden="1" outlineLevel="1" x14ac:dyDescent="0.25">
      <c r="A385" s="43"/>
      <c r="B385" s="43"/>
      <c r="C385" s="2125" t="s">
        <v>2422</v>
      </c>
      <c r="D385" s="2529"/>
      <c r="E385" s="2126">
        <f>'WSS Profile'!F234</f>
        <v>0</v>
      </c>
      <c r="F385" s="2126">
        <f>E385*(1+F$4)</f>
        <v>0</v>
      </c>
      <c r="G385" s="2126">
        <f t="shared" ref="G385:O385" si="143">F385*(1+G$4)</f>
        <v>0</v>
      </c>
      <c r="H385" s="2126">
        <f t="shared" si="143"/>
        <v>0</v>
      </c>
      <c r="I385" s="2126">
        <f t="shared" si="143"/>
        <v>0</v>
      </c>
      <c r="J385" s="2126">
        <f t="shared" si="143"/>
        <v>0</v>
      </c>
      <c r="K385" s="2126">
        <f t="shared" si="143"/>
        <v>0</v>
      </c>
      <c r="L385" s="2126">
        <f t="shared" si="143"/>
        <v>0</v>
      </c>
      <c r="M385" s="2126">
        <f t="shared" si="143"/>
        <v>0</v>
      </c>
      <c r="N385" s="2126">
        <f t="shared" si="143"/>
        <v>0</v>
      </c>
      <c r="O385" s="2127">
        <f t="shared" si="143"/>
        <v>0</v>
      </c>
      <c r="P385" s="2134"/>
      <c r="Q385" s="3987"/>
    </row>
    <row r="386" spans="1:20" s="170" customFormat="1" hidden="1" outlineLevel="1" x14ac:dyDescent="0.25">
      <c r="A386" s="43"/>
      <c r="B386" s="43"/>
      <c r="C386" s="2074" t="s">
        <v>27</v>
      </c>
      <c r="D386" s="2487"/>
      <c r="E386" s="2128">
        <f>'WSS Profile'!F235</f>
        <v>0</v>
      </c>
      <c r="F386" s="2128">
        <f>E386*(1+F$4)</f>
        <v>0</v>
      </c>
      <c r="G386" s="2128">
        <f t="shared" ref="G386:O386" si="144">F386*(1+G$4)</f>
        <v>0</v>
      </c>
      <c r="H386" s="2128">
        <f t="shared" si="144"/>
        <v>0</v>
      </c>
      <c r="I386" s="2128">
        <f t="shared" si="144"/>
        <v>0</v>
      </c>
      <c r="J386" s="2128">
        <f t="shared" si="144"/>
        <v>0</v>
      </c>
      <c r="K386" s="2128">
        <f t="shared" si="144"/>
        <v>0</v>
      </c>
      <c r="L386" s="2128">
        <f t="shared" si="144"/>
        <v>0</v>
      </c>
      <c r="M386" s="2128">
        <f t="shared" si="144"/>
        <v>0</v>
      </c>
      <c r="N386" s="2128">
        <f t="shared" si="144"/>
        <v>0</v>
      </c>
      <c r="O386" s="2129">
        <f t="shared" si="144"/>
        <v>0</v>
      </c>
      <c r="Q386" s="3987"/>
    </row>
    <row r="387" spans="1:20" hidden="1" outlineLevel="1" x14ac:dyDescent="0.25">
      <c r="D387" s="2526"/>
      <c r="P387" s="9"/>
      <c r="Q387" s="3998"/>
      <c r="R387" s="9"/>
      <c r="S387" s="9"/>
      <c r="T387" s="9"/>
    </row>
    <row r="388" spans="1:20" hidden="1" outlineLevel="1" x14ac:dyDescent="0.25">
      <c r="B388" s="9">
        <v>1</v>
      </c>
      <c r="C388" s="2675" t="s">
        <v>2504</v>
      </c>
      <c r="D388" s="2676"/>
      <c r="E388" s="2677"/>
      <c r="F388" s="2677"/>
      <c r="G388" s="1290"/>
      <c r="H388" s="1290"/>
      <c r="I388" s="1290"/>
      <c r="J388" s="1290"/>
      <c r="K388" s="1290"/>
      <c r="L388" s="1290"/>
      <c r="M388" s="1290"/>
      <c r="N388" s="1290"/>
      <c r="O388" s="1291"/>
    </row>
    <row r="389" spans="1:20" hidden="1" outlineLevel="1" x14ac:dyDescent="0.25">
      <c r="C389" s="2130" t="s">
        <v>2422</v>
      </c>
      <c r="D389" s="2482"/>
      <c r="E389" s="2131">
        <v>0</v>
      </c>
      <c r="F389" s="2132">
        <f>E389+(IF('WW Plan'!$E$217="Activate",IF(AND('WW calcu'!F$431&gt;='WW Plan'!$G$217,'WW calcu'!F$431&lt;'WW Plan'!$H$217+1),(('WW Plan'!$G$224)/('WW Plan'!$H$217+1-'WW Plan'!$G$217)),0),0))+F383</f>
        <v>0</v>
      </c>
      <c r="G389" s="2132">
        <f>F389+(IF('WW Plan'!$E$217="Activate",IF(AND('WW calcu'!G$431&gt;='WW Plan'!$G$217,'WW calcu'!G$431&lt;'WW Plan'!$H$217+1),(('WW Plan'!$G$224)/('WW Plan'!$H$217+1-'WW Plan'!$G$217)),0),0))+G383</f>
        <v>0</v>
      </c>
      <c r="H389" s="2132">
        <f>G389+(IF('WW Plan'!$E$217="Activate",IF(AND('WW calcu'!H$431&gt;='WW Plan'!$G$217,'WW calcu'!H$431&lt;'WW Plan'!$H$217+1),(('WW Plan'!$G$224)/('WW Plan'!$H$217+1-'WW Plan'!$G$217)),0),0))+H383</f>
        <v>0</v>
      </c>
      <c r="I389" s="2132">
        <f>H389+(IF('WW Plan'!$E$217="Activate",IF(AND('WW calcu'!I$431&gt;='WW Plan'!$G$217,'WW calcu'!I$431&lt;'WW Plan'!$H$217+1),(('WW Plan'!$G$224)/('WW Plan'!$H$217+1-'WW Plan'!$G$217)),0),0))+I383</f>
        <v>0</v>
      </c>
      <c r="J389" s="2132">
        <f>I389+(IF('WW Plan'!$E$217="Activate",IF(AND('WW calcu'!J$431&gt;='WW Plan'!$G$217,'WW calcu'!J$431&lt;'WW Plan'!$H$217+1),(('WW Plan'!$G$224)/('WW Plan'!$H$217+1-'WW Plan'!$G$217)),0),0))+J383</f>
        <v>0</v>
      </c>
      <c r="K389" s="2132">
        <f>J389+(IF('WW Plan'!$E$217="Activate",IF(AND('WW calcu'!K$431&gt;='WW Plan'!$G$217,'WW calcu'!K$431&lt;'WW Plan'!$H$217+1),(('WW Plan'!$G$224)/('WW Plan'!$H$217+1-'WW Plan'!$G$217)),0),0))+K383</f>
        <v>0</v>
      </c>
      <c r="L389" s="2132">
        <f>K389+(IF('WW Plan'!$E$217="Activate",IF(AND('WW calcu'!L$431&gt;='WW Plan'!$G$217,'WW calcu'!L$431&lt;'WW Plan'!$H$217+1),(('WW Plan'!$G$224)/('WW Plan'!$H$217+1-'WW Plan'!$G$217)),0),0))+L383</f>
        <v>0</v>
      </c>
      <c r="M389" s="2132">
        <f>L389+(IF('WW Plan'!$E$217="Activate",IF(AND('WW calcu'!M$431&gt;='WW Plan'!$G$217,'WW calcu'!M$431&lt;'WW Plan'!$H$217+1),(('WW Plan'!$G$224)/('WW Plan'!$H$217+1-'WW Plan'!$G$217)),0),0))+M383</f>
        <v>0</v>
      </c>
      <c r="N389" s="2132">
        <f>M389+(IF('WW Plan'!$E$217="Activate",IF(AND('WW calcu'!N$431&gt;='WW Plan'!$G$217,'WW calcu'!N$431&lt;'WW Plan'!$H$217+1),(('WW Plan'!$G$224)/('WW Plan'!$H$217+1-'WW Plan'!$G$217)),0),0))+N383</f>
        <v>0</v>
      </c>
      <c r="O389" s="2133">
        <f>N389+(IF('WW Plan'!$E$217="Activate",IF(AND('WW calcu'!O$431&gt;='WW Plan'!$G$217,'WW calcu'!O$431&lt;'WW Plan'!$H$217+1),(('WW Plan'!$G$224)/('WW Plan'!$H$217+1-'WW Plan'!$G$217)),0),0))+O383</f>
        <v>0</v>
      </c>
      <c r="P389" s="127"/>
    </row>
    <row r="390" spans="1:20" hidden="1" outlineLevel="1" x14ac:dyDescent="0.25">
      <c r="C390" s="2130" t="s">
        <v>646</v>
      </c>
      <c r="D390" s="2482"/>
      <c r="E390" s="2131">
        <v>0</v>
      </c>
      <c r="F390" s="2132">
        <f>E390+(IF('WW Plan'!$E$217="Activate",IF(AND('WW calcu'!F$431&gt;='WW Plan'!$G$217,'WW calcu'!F$431&lt;'WW Plan'!$H$217+1),(('WW Plan'!$H$224)/('WW Plan'!$H$217+1-'WW Plan'!$G$217)),0),0))+F384</f>
        <v>0</v>
      </c>
      <c r="G390" s="2132">
        <f>F390+(IF('WW Plan'!$E$217="Activate",IF(AND('WW calcu'!G$431&gt;='WW Plan'!$G$217,'WW calcu'!G$431&lt;'WW Plan'!$H$217+1),(('WW Plan'!$H$224)/('WW Plan'!$H$217+1-'WW Plan'!$G$217)),0),0))+G384</f>
        <v>0</v>
      </c>
      <c r="H390" s="2132">
        <f>G390+(IF('WW Plan'!$E$217="Activate",IF(AND('WW calcu'!H$431&gt;='WW Plan'!$G$217,'WW calcu'!H$431&lt;'WW Plan'!$H$217+1),(('WW Plan'!$H$224)/('WW Plan'!$H$217+1-'WW Plan'!$G$217)),0),0))+H384</f>
        <v>0</v>
      </c>
      <c r="I390" s="2132">
        <f>H390+(IF('WW Plan'!$E$217="Activate",IF(AND('WW calcu'!I$431&gt;='WW Plan'!$G$217,'WW calcu'!I$431&lt;'WW Plan'!$H$217+1),(('WW Plan'!$H$224)/('WW Plan'!$H$217+1-'WW Plan'!$G$217)),0),0))+I384</f>
        <v>0</v>
      </c>
      <c r="J390" s="2132">
        <f>I390+(IF('WW Plan'!$E$217="Activate",IF(AND('WW calcu'!J$431&gt;='WW Plan'!$G$217,'WW calcu'!J$431&lt;'WW Plan'!$H$217+1),(('WW Plan'!$H$224)/('WW Plan'!$H$217+1-'WW Plan'!$G$217)),0),0))+J384</f>
        <v>0</v>
      </c>
      <c r="K390" s="2132">
        <f>J390+(IF('WW Plan'!$E$217="Activate",IF(AND('WW calcu'!K$431&gt;='WW Plan'!$G$217,'WW calcu'!K$431&lt;'WW Plan'!$H$217+1),(('WW Plan'!$H$224)/('WW Plan'!$H$217+1-'WW Plan'!$G$217)),0),0))+K384</f>
        <v>0</v>
      </c>
      <c r="L390" s="2132">
        <f>K390+(IF('WW Plan'!$E$217="Activate",IF(AND('WW calcu'!L$431&gt;='WW Plan'!$G$217,'WW calcu'!L$431&lt;'WW Plan'!$H$217+1),(('WW Plan'!$H$224)/('WW Plan'!$H$217+1-'WW Plan'!$G$217)),0),0))+L384</f>
        <v>0</v>
      </c>
      <c r="M390" s="2132">
        <f>L390+(IF('WW Plan'!$E$217="Activate",IF(AND('WW calcu'!M$431&gt;='WW Plan'!$G$217,'WW calcu'!M$431&lt;'WW Plan'!$H$217+1),(('WW Plan'!$H$224)/('WW Plan'!$H$217+1-'WW Plan'!$G$217)),0),0))+M384</f>
        <v>0</v>
      </c>
      <c r="N390" s="2132">
        <f>M390+(IF('WW Plan'!$E$217="Activate",IF(AND('WW calcu'!N$431&gt;='WW Plan'!$G$217,'WW calcu'!N$431&lt;'WW Plan'!$H$217+1),(('WW Plan'!$H$224)/('WW Plan'!$H$217+1-'WW Plan'!$G$217)),0),0))+N384</f>
        <v>0</v>
      </c>
      <c r="O390" s="2133">
        <f>N390+(IF('WW Plan'!$E$217="Activate",IF(AND('WW calcu'!O$431&gt;='WW Plan'!$G$217,'WW calcu'!O$431&lt;'WW Plan'!$H$217+1),(('WW Plan'!$H$224)/('WW Plan'!$H$217+1-'WW Plan'!$G$217)),0),0))+O384</f>
        <v>0</v>
      </c>
      <c r="P390" s="127"/>
    </row>
    <row r="391" spans="1:20" hidden="1" outlineLevel="1" x14ac:dyDescent="0.25">
      <c r="C391" s="2119" t="s">
        <v>2422</v>
      </c>
      <c r="D391" s="2555"/>
      <c r="E391" s="2120">
        <f>'WSS Profile'!F234</f>
        <v>0</v>
      </c>
      <c r="F391" s="2120">
        <f>$E$391+F389</f>
        <v>0</v>
      </c>
      <c r="G391" s="2120">
        <f t="shared" ref="G391:O391" si="145">$E$391+G389</f>
        <v>0</v>
      </c>
      <c r="H391" s="2120">
        <f t="shared" si="145"/>
        <v>0</v>
      </c>
      <c r="I391" s="2120">
        <f t="shared" si="145"/>
        <v>0</v>
      </c>
      <c r="J391" s="2120">
        <f t="shared" si="145"/>
        <v>0</v>
      </c>
      <c r="K391" s="2120">
        <f t="shared" si="145"/>
        <v>0</v>
      </c>
      <c r="L391" s="2120">
        <f t="shared" si="145"/>
        <v>0</v>
      </c>
      <c r="M391" s="2120">
        <f t="shared" si="145"/>
        <v>0</v>
      </c>
      <c r="N391" s="2120">
        <f t="shared" si="145"/>
        <v>0</v>
      </c>
      <c r="O391" s="2121">
        <f t="shared" si="145"/>
        <v>0</v>
      </c>
    </row>
    <row r="392" spans="1:20" hidden="1" outlineLevel="1" x14ac:dyDescent="0.25">
      <c r="C392" s="625" t="s">
        <v>27</v>
      </c>
      <c r="D392" s="2556"/>
      <c r="E392" s="609">
        <f>'WSS Profile'!F235</f>
        <v>0</v>
      </c>
      <c r="F392" s="609">
        <f>$E$392+F390</f>
        <v>0</v>
      </c>
      <c r="G392" s="609">
        <f t="shared" ref="G392:O392" si="146">$E$392+G390</f>
        <v>0</v>
      </c>
      <c r="H392" s="609">
        <f t="shared" si="146"/>
        <v>0</v>
      </c>
      <c r="I392" s="609">
        <f t="shared" si="146"/>
        <v>0</v>
      </c>
      <c r="J392" s="609">
        <f t="shared" si="146"/>
        <v>0</v>
      </c>
      <c r="K392" s="609">
        <f t="shared" si="146"/>
        <v>0</v>
      </c>
      <c r="L392" s="609">
        <f t="shared" si="146"/>
        <v>0</v>
      </c>
      <c r="M392" s="609">
        <f t="shared" si="146"/>
        <v>0</v>
      </c>
      <c r="N392" s="609">
        <f t="shared" si="146"/>
        <v>0</v>
      </c>
      <c r="O392" s="610">
        <f t="shared" si="146"/>
        <v>0</v>
      </c>
    </row>
    <row r="393" spans="1:20" hidden="1" outlineLevel="1" x14ac:dyDescent="0.25">
      <c r="C393" s="1162"/>
      <c r="D393" s="2488"/>
      <c r="E393" s="597"/>
      <c r="F393" s="597"/>
      <c r="G393" s="597"/>
      <c r="H393" s="597"/>
      <c r="I393" s="597"/>
      <c r="J393" s="597"/>
      <c r="K393" s="597"/>
      <c r="L393" s="597"/>
      <c r="M393" s="597"/>
      <c r="N393" s="597"/>
      <c r="O393" s="597"/>
    </row>
    <row r="394" spans="1:20" hidden="1" outlineLevel="1" x14ac:dyDescent="0.25">
      <c r="B394" s="9">
        <v>2</v>
      </c>
      <c r="C394" s="2675" t="s">
        <v>2505</v>
      </c>
      <c r="D394" s="2554"/>
      <c r="E394" s="1290"/>
      <c r="F394" s="1290"/>
      <c r="G394" s="1290"/>
      <c r="H394" s="1290"/>
      <c r="I394" s="1290"/>
      <c r="J394" s="1290"/>
      <c r="K394" s="1290"/>
      <c r="L394" s="1290"/>
      <c r="M394" s="1290"/>
      <c r="N394" s="1290"/>
      <c r="O394" s="1291"/>
    </row>
    <row r="395" spans="1:20" hidden="1" outlineLevel="1" x14ac:dyDescent="0.25">
      <c r="C395" s="2130" t="s">
        <v>2422</v>
      </c>
      <c r="D395" s="2482"/>
      <c r="E395" s="2131">
        <f>D395+ROUND(IF('WW Plan'!$E$217="Activate",IF(AND(E$431&gt;='WW Plan'!$G$217,E$431&lt;'WW Plan'!$H$217+1),('WW Plan'!$G$223)/('WW Plan'!$H$217+1-'WW Plan'!$G$217),0),0),0)</f>
        <v>0</v>
      </c>
      <c r="F395" s="2132">
        <f>E395+ROUND(IF('WW Plan'!$E$217="Activate",IF(AND(F$431&gt;='WW Plan'!$G$217,F$431&lt;'WW Plan'!$H$217+1),('WW Plan'!$G$223)/('WW Plan'!$H$217+1-'WW Plan'!$G$217),0),0),0)</f>
        <v>0</v>
      </c>
      <c r="G395" s="2132">
        <f>F395+ROUND(IF('WW Plan'!$E$217="Activate",IF(AND(G$431&gt;='WW Plan'!$G$217,G$431&lt;'WW Plan'!$H$217+1),('WW Plan'!$G$223)/('WW Plan'!$H$217+1-'WW Plan'!$G$217),0),0),0)</f>
        <v>0</v>
      </c>
      <c r="H395" s="2132">
        <f>G395+ROUND(IF('WW Plan'!$E$217="Activate",IF(AND(H$431&gt;='WW Plan'!$G$217,H$431&lt;'WW Plan'!$H$217+1),('WW Plan'!$G$223)/('WW Plan'!$H$217+1-'WW Plan'!$G$217),0),0),0)</f>
        <v>0</v>
      </c>
      <c r="I395" s="2132">
        <f>H395+ROUND(IF('WW Plan'!$E$217="Activate",IF(AND(I$431&gt;='WW Plan'!$G$217,I$431&lt;'WW Plan'!$H$217+1),('WW Plan'!$G$223)/('WW Plan'!$H$217+1-'WW Plan'!$G$217),0),0),0)</f>
        <v>0</v>
      </c>
      <c r="J395" s="2132">
        <f>I395+ROUND(IF('WW Plan'!$E$217="Activate",IF(AND(J$431&gt;='WW Plan'!$G$217,J$431&lt;'WW Plan'!$H$217+1),('WW Plan'!$G$223)/('WW Plan'!$H$217+1-'WW Plan'!$G$217),0),0),0)</f>
        <v>0</v>
      </c>
      <c r="K395" s="2132">
        <f>J395+ROUND(IF('WW Plan'!$E$217="Activate",IF(AND(K$431&gt;='WW Plan'!$G$217,K$431&lt;'WW Plan'!$H$217+1),('WW Plan'!$G$223)/('WW Plan'!$H$217+1-'WW Plan'!$G$217),0),0),0)</f>
        <v>0</v>
      </c>
      <c r="L395" s="2132">
        <f>K395+ROUND(IF('WW Plan'!$E$217="Activate",IF(AND(L$431&gt;='WW Plan'!$G$217,L$431&lt;'WW Plan'!$H$217+1),('WW Plan'!$G$223)/('WW Plan'!$H$217+1-'WW Plan'!$G$217),0),0),0)</f>
        <v>0</v>
      </c>
      <c r="M395" s="2132">
        <f>L395+ROUND(IF('WW Plan'!$E$217="Activate",IF(AND(M$431&gt;='WW Plan'!$G$217,M$431&lt;'WW Plan'!$H$217+1),('WW Plan'!$G$223)/('WW Plan'!$H$217+1-'WW Plan'!$G$217),0),0),0)</f>
        <v>0</v>
      </c>
      <c r="N395" s="2132">
        <f>M395+ROUND(IF('WW Plan'!$E$217="Activate",IF(AND(N$431&gt;='WW Plan'!$G$217,N$431&lt;'WW Plan'!$H$217+1),('WW Plan'!$G$223)/('WW Plan'!$H$217+1-'WW Plan'!$G$217),0),0),0)</f>
        <v>0</v>
      </c>
      <c r="O395" s="2133">
        <f>N395+ROUND(IF('WW Plan'!$E$217="Activate",IF(AND(O$431&gt;='WW Plan'!$G$217,O$431&lt;'WW Plan'!$H$217+1),('WW Plan'!$G$223)/('WW Plan'!$H$217+1-'WW Plan'!$G$217),0),0),0)</f>
        <v>0</v>
      </c>
    </row>
    <row r="396" spans="1:20" hidden="1" outlineLevel="1" x14ac:dyDescent="0.25">
      <c r="C396" s="2077" t="s">
        <v>27</v>
      </c>
      <c r="D396" s="2488"/>
      <c r="E396" s="628">
        <f>D396+ROUND(IF('WW Plan'!$E$217="Activate",IF(AND(E$431&gt;='WW Plan'!$G$217,E$431&lt;'WW Plan'!$H$217+1),('WW Plan'!$H$223)/('WW Plan'!$H$217+1-'WW Plan'!$G$217),0),0),0)</f>
        <v>0</v>
      </c>
      <c r="F396" s="628">
        <f>E396+ROUND(IF('WW Plan'!$E$217="Activate",IF(AND(F$431&gt;='WW Plan'!$G$217,F$431&lt;'WW Plan'!$H$217+1),('WW Plan'!$H$223)/('WW Plan'!$H$217+1-'WW Plan'!$G$217),0),0),0)</f>
        <v>0</v>
      </c>
      <c r="G396" s="628">
        <f>F396+ROUND(IF('WW Plan'!$E$217="Activate",IF(AND(G$431&gt;='WW Plan'!$G$217,G$431&lt;'WW Plan'!$H$217+1),('WW Plan'!$H$223)/('WW Plan'!$H$217+1-'WW Plan'!$G$217),0),0),0)</f>
        <v>0</v>
      </c>
      <c r="H396" s="628">
        <f>G396+ROUND(IF('WW Plan'!$E$217="Activate",IF(AND(H$431&gt;='WW Plan'!$G$217,H$431&lt;'WW Plan'!$H$217+1),('WW Plan'!$H$223)/('WW Plan'!$H$217+1-'WW Plan'!$G$217),0),0),0)</f>
        <v>0</v>
      </c>
      <c r="I396" s="628">
        <f>H396+ROUND(IF('WW Plan'!$E$217="Activate",IF(AND(I$431&gt;='WW Plan'!$G$217,I$431&lt;'WW Plan'!$H$217+1),('WW Plan'!$H$223)/('WW Plan'!$H$217+1-'WW Plan'!$G$217),0),0),0)</f>
        <v>0</v>
      </c>
      <c r="J396" s="628">
        <f>I396+ROUND(IF('WW Plan'!$E$217="Activate",IF(AND(J$431&gt;='WW Plan'!$G$217,J$431&lt;'WW Plan'!$H$217+1),('WW Plan'!$H$223)/('WW Plan'!$H$217+1-'WW Plan'!$G$217),0),0),0)</f>
        <v>0</v>
      </c>
      <c r="K396" s="628">
        <f>J396+ROUND(IF('WW Plan'!$E$217="Activate",IF(AND(K$431&gt;='WW Plan'!$G$217,K$431&lt;'WW Plan'!$H$217+1),('WW Plan'!$H$223)/('WW Plan'!$H$217+1-'WW Plan'!$G$217),0),0),0)</f>
        <v>0</v>
      </c>
      <c r="L396" s="628">
        <f>K396+ROUND(IF('WW Plan'!$E$217="Activate",IF(AND(L$431&gt;='WW Plan'!$G$217,L$431&lt;'WW Plan'!$H$217+1),('WW Plan'!$H$223)/('WW Plan'!$H$217+1-'WW Plan'!$G$217),0),0),0)</f>
        <v>0</v>
      </c>
      <c r="M396" s="628">
        <f>L396+ROUND(IF('WW Plan'!$E$217="Activate",IF(AND(M$431&gt;='WW Plan'!$G$217,M$431&lt;'WW Plan'!$H$217+1),('WW Plan'!$H$223)/('WW Plan'!$H$217+1-'WW Plan'!$G$217),0),0),0)</f>
        <v>0</v>
      </c>
      <c r="N396" s="628">
        <f>M396+ROUND(IF('WW Plan'!$E$217="Activate",IF(AND(N$431&gt;='WW Plan'!$G$217,N$431&lt;'WW Plan'!$H$217+1),('WW Plan'!$H$223)/('WW Plan'!$H$217+1-'WW Plan'!$G$217),0),0),0)</f>
        <v>0</v>
      </c>
      <c r="O396" s="2122">
        <f>N396+ROUND(IF('WW Plan'!$E$217="Activate",IF(AND(O$431&gt;='WW Plan'!$G$217,O$431&lt;'WW Plan'!$H$217+1),('WW Plan'!$H$223)/('WW Plan'!$H$217+1-'WW Plan'!$G$217),0),0),0)</f>
        <v>0</v>
      </c>
    </row>
    <row r="397" spans="1:20" hidden="1" outlineLevel="1" x14ac:dyDescent="0.25">
      <c r="C397" s="2119" t="s">
        <v>2422</v>
      </c>
      <c r="D397" s="2555"/>
      <c r="E397" s="2120">
        <f t="shared" ref="E397:O397" si="147">E391+E395</f>
        <v>0</v>
      </c>
      <c r="F397" s="2120">
        <f t="shared" si="147"/>
        <v>0</v>
      </c>
      <c r="G397" s="2120">
        <f t="shared" si="147"/>
        <v>0</v>
      </c>
      <c r="H397" s="2120">
        <f t="shared" si="147"/>
        <v>0</v>
      </c>
      <c r="I397" s="2120">
        <f t="shared" si="147"/>
        <v>0</v>
      </c>
      <c r="J397" s="2120">
        <f t="shared" si="147"/>
        <v>0</v>
      </c>
      <c r="K397" s="2120">
        <f t="shared" si="147"/>
        <v>0</v>
      </c>
      <c r="L397" s="2120">
        <f t="shared" si="147"/>
        <v>0</v>
      </c>
      <c r="M397" s="2120">
        <f t="shared" si="147"/>
        <v>0</v>
      </c>
      <c r="N397" s="2120">
        <f t="shared" si="147"/>
        <v>0</v>
      </c>
      <c r="O397" s="2121">
        <f t="shared" si="147"/>
        <v>0</v>
      </c>
    </row>
    <row r="398" spans="1:20" hidden="1" outlineLevel="1" x14ac:dyDescent="0.25">
      <c r="C398" s="625" t="s">
        <v>27</v>
      </c>
      <c r="D398" s="2556"/>
      <c r="E398" s="609">
        <f t="shared" ref="E398:O398" si="148">E392+E396</f>
        <v>0</v>
      </c>
      <c r="F398" s="609">
        <f t="shared" si="148"/>
        <v>0</v>
      </c>
      <c r="G398" s="609">
        <f t="shared" si="148"/>
        <v>0</v>
      </c>
      <c r="H398" s="609">
        <f t="shared" si="148"/>
        <v>0</v>
      </c>
      <c r="I398" s="609">
        <f t="shared" si="148"/>
        <v>0</v>
      </c>
      <c r="J398" s="609">
        <f t="shared" si="148"/>
        <v>0</v>
      </c>
      <c r="K398" s="609">
        <f t="shared" si="148"/>
        <v>0</v>
      </c>
      <c r="L398" s="609">
        <f t="shared" si="148"/>
        <v>0</v>
      </c>
      <c r="M398" s="609">
        <f t="shared" si="148"/>
        <v>0</v>
      </c>
      <c r="N398" s="609">
        <f t="shared" si="148"/>
        <v>0</v>
      </c>
      <c r="O398" s="610">
        <f t="shared" si="148"/>
        <v>0</v>
      </c>
    </row>
    <row r="399" spans="1:20" hidden="1" outlineLevel="1" x14ac:dyDescent="0.25">
      <c r="B399" s="27"/>
      <c r="C399" s="27"/>
      <c r="D399" s="2479"/>
      <c r="E399" s="27"/>
      <c r="F399" s="27"/>
      <c r="G399" s="27"/>
      <c r="H399" s="27"/>
      <c r="I399" s="27"/>
      <c r="J399" s="27"/>
      <c r="K399" s="27"/>
      <c r="L399" s="27"/>
      <c r="M399" s="27"/>
      <c r="N399" s="27"/>
      <c r="O399" s="27"/>
    </row>
    <row r="400" spans="1:20" hidden="1" outlineLevel="1" x14ac:dyDescent="0.25">
      <c r="B400" s="9">
        <v>3</v>
      </c>
      <c r="C400" s="2662" t="s">
        <v>2502</v>
      </c>
      <c r="D400" s="2481"/>
      <c r="E400" s="548"/>
      <c r="F400" s="548"/>
      <c r="G400" s="548"/>
      <c r="H400" s="548"/>
      <c r="I400" s="548"/>
      <c r="J400" s="548"/>
      <c r="K400" s="548"/>
      <c r="L400" s="548"/>
      <c r="M400" s="548"/>
      <c r="N400" s="548"/>
      <c r="O400" s="549"/>
    </row>
    <row r="401" spans="1:17" s="305" customFormat="1" hidden="1" outlineLevel="1" x14ac:dyDescent="0.25">
      <c r="A401" s="162"/>
      <c r="B401" s="162"/>
      <c r="C401" s="2130" t="s">
        <v>2422</v>
      </c>
      <c r="D401" s="2482"/>
      <c r="E401" s="2131">
        <v>0</v>
      </c>
      <c r="F401" s="2132">
        <f>E401+IF('WW Plan'!$E$42="Activate",IF(AND(F$235&gt;='WW Plan'!$G$42,F$235&lt;'WW Plan'!$H$42+1),(('WW Plan'!$G$47*'WW Plan'!$G$51)/('WW Plan'!$H$42+1-'WW Plan'!$G$42)),0),0)</f>
        <v>0</v>
      </c>
      <c r="G401" s="2132">
        <f>F401+IF('WW Plan'!$E$42="Activate",IF(AND(G$235&gt;='WW Plan'!$G$42,G$235&lt;'WW Plan'!$H$42+1),(('WW Plan'!$G$47*'WW Plan'!$G$51)/('WW Plan'!$H$42+1-'WW Plan'!$G$42)),0),0)</f>
        <v>0</v>
      </c>
      <c r="H401" s="2132">
        <f>G401+IF('WW Plan'!$E$42="Activate",IF(AND(H$235&gt;='WW Plan'!$G$42,H$235&lt;'WW Plan'!$H$42+1),(('WW Plan'!$G$47*'WW Plan'!$G$51)/('WW Plan'!$H$42+1-'WW Plan'!$G$42)),0),0)</f>
        <v>0</v>
      </c>
      <c r="I401" s="2132">
        <f>H401+IF('WW Plan'!$E$42="Activate",IF(AND(I$235&gt;='WW Plan'!$G$42,I$235&lt;'WW Plan'!$H$42+1),(('WW Plan'!$G$47*'WW Plan'!$G$51)/('WW Plan'!$H$42+1-'WW Plan'!$G$42)),0),0)</f>
        <v>0</v>
      </c>
      <c r="J401" s="2132">
        <f>I401+IF('WW Plan'!$E$42="Activate",IF(AND(J$235&gt;='WW Plan'!$G$42,J$235&lt;'WW Plan'!$H$42+1),(('WW Plan'!$G$47*'WW Plan'!$G$51)/('WW Plan'!$H$42+1-'WW Plan'!$G$42)),0),0)</f>
        <v>0</v>
      </c>
      <c r="K401" s="2132">
        <f>J401+IF('WW Plan'!$E$42="Activate",IF(AND(K$235&gt;='WW Plan'!$G$42,K$235&lt;'WW Plan'!$H$42+1),(('WW Plan'!$G$47*'WW Plan'!$G$51)/('WW Plan'!$H$42+1-'WW Plan'!$G$42)),0),0)</f>
        <v>0</v>
      </c>
      <c r="L401" s="2132">
        <f>K401+IF('WW Plan'!$E$42="Activate",IF(AND(L$235&gt;='WW Plan'!$G$42,L$235&lt;'WW Plan'!$H$42+1),(('WW Plan'!$G$47*'WW Plan'!$G$51)/('WW Plan'!$H$42+1-'WW Plan'!$G$42)),0),0)</f>
        <v>0</v>
      </c>
      <c r="M401" s="2132">
        <f>L401+IF('WW Plan'!$E$42="Activate",IF(AND(M$235&gt;='WW Plan'!$G$42,M$235&lt;'WW Plan'!$H$42+1),(('WW Plan'!$G$47*'WW Plan'!$G$51)/('WW Plan'!$H$42+1-'WW Plan'!$G$42)),0),0)</f>
        <v>0</v>
      </c>
      <c r="N401" s="2132">
        <f>M401+IF('WW Plan'!$E$42="Activate",IF(AND(N$235&gt;='WW Plan'!$G$42,N$235&lt;'WW Plan'!$H$42+1),(('WW Plan'!$G$47*'WW Plan'!$G$51)/('WW Plan'!$H$42+1-'WW Plan'!$G$42)),0),0)</f>
        <v>0</v>
      </c>
      <c r="O401" s="2133">
        <f>N401+IF('WW Plan'!$E$42="Activate",IF(AND(O$235&gt;='WW Plan'!$G$42,O$235&lt;'WW Plan'!$H$42+1),(('WW Plan'!$G$47*'WW Plan'!$G$51)/('WW Plan'!$H$42+1-'WW Plan'!$G$42)),0),0)</f>
        <v>0</v>
      </c>
      <c r="Q401" s="3987"/>
    </row>
    <row r="402" spans="1:17" s="305" customFormat="1" ht="15.75" hidden="1" customHeight="1" outlineLevel="1" x14ac:dyDescent="0.25">
      <c r="A402" s="162"/>
      <c r="B402" s="162"/>
      <c r="C402" s="2130" t="s">
        <v>27</v>
      </c>
      <c r="D402" s="2482"/>
      <c r="E402" s="2131">
        <v>0</v>
      </c>
      <c r="F402" s="2132">
        <f>E402+IF('WW Plan'!$E$42="Activate",IF(AND(F$235&gt;='WW Plan'!$G$42,F$235&lt;'WW Plan'!$H$42+1),(('WW Plan'!$H$47*'WW Plan'!$H$51)/('WW Plan'!$H$42+1-'WW Plan'!$G$42)),0),0)</f>
        <v>0</v>
      </c>
      <c r="G402" s="2132">
        <f>F402+IF('WW Plan'!$E$42="Activate",IF(AND(G$235&gt;='WW Plan'!$G$42,G$235&lt;'WW Plan'!$H$42+1),(('WW Plan'!$H$47*'WW Plan'!$H$51)/('WW Plan'!$H$42+1-'WW Plan'!$G$42)),0),0)</f>
        <v>0</v>
      </c>
      <c r="H402" s="2132">
        <f>G402+IF('WW Plan'!$E$42="Activate",IF(AND(H$235&gt;='WW Plan'!$G$42,H$235&lt;'WW Plan'!$H$42+1),(('WW Plan'!$H$47*'WW Plan'!$H$51)/('WW Plan'!$H$42+1-'WW Plan'!$G$42)),0),0)</f>
        <v>0</v>
      </c>
      <c r="I402" s="2132">
        <f>H402+IF('WW Plan'!$E$42="Activate",IF(AND(I$235&gt;='WW Plan'!$G$42,I$235&lt;'WW Plan'!$H$42+1),(('WW Plan'!$H$47*'WW Plan'!$H$51)/('WW Plan'!$H$42+1-'WW Plan'!$G$42)),0),0)</f>
        <v>0</v>
      </c>
      <c r="J402" s="2132">
        <f>I402+IF('WW Plan'!$E$42="Activate",IF(AND(J$235&gt;='WW Plan'!$G$42,J$235&lt;'WW Plan'!$H$42+1),(('WW Plan'!$H$47*'WW Plan'!$H$51)/('WW Plan'!$H$42+1-'WW Plan'!$G$42)),0),0)</f>
        <v>0</v>
      </c>
      <c r="K402" s="2132">
        <f>J402+IF('WW Plan'!$E$42="Activate",IF(AND(K$235&gt;='WW Plan'!$G$42,K$235&lt;'WW Plan'!$H$42+1),(('WW Plan'!$H$47*'WW Plan'!$H$51)/('WW Plan'!$H$42+1-'WW Plan'!$G$42)),0),0)</f>
        <v>0</v>
      </c>
      <c r="L402" s="2132">
        <f>K402+IF('WW Plan'!$E$42="Activate",IF(AND(L$235&gt;='WW Plan'!$G$42,L$235&lt;'WW Plan'!$H$42+1),(('WW Plan'!$H$47*'WW Plan'!$H$51)/('WW Plan'!$H$42+1-'WW Plan'!$G$42)),0),0)</f>
        <v>0</v>
      </c>
      <c r="M402" s="2132">
        <f>L402+IF('WW Plan'!$E$42="Activate",IF(AND(M$235&gt;='WW Plan'!$G$42,M$235&lt;'WW Plan'!$H$42+1),(('WW Plan'!$H$47*'WW Plan'!$H$51)/('WW Plan'!$H$42+1-'WW Plan'!$G$42)),0),0)</f>
        <v>0</v>
      </c>
      <c r="N402" s="2132">
        <f>M402+IF('WW Plan'!$E$42="Activate",IF(AND(N$235&gt;='WW Plan'!$G$42,N$235&lt;'WW Plan'!$H$42+1),(('WW Plan'!$H$47*'WW Plan'!$H$51)/('WW Plan'!$H$42+1-'WW Plan'!$G$42)),0),0)</f>
        <v>0</v>
      </c>
      <c r="O402" s="2133">
        <f>N402+IF('WW Plan'!$E$42="Activate",IF(AND(O$235&gt;='WW Plan'!$G$42,O$235&lt;'WW Plan'!$H$42+1),(('WW Plan'!$H$47*'WW Plan'!$H$51)/('WW Plan'!$H$42+1-'WW Plan'!$G$42)),0),0)</f>
        <v>0</v>
      </c>
      <c r="Q402" s="3987"/>
    </row>
    <row r="403" spans="1:17" hidden="1" outlineLevel="1" x14ac:dyDescent="0.25">
      <c r="C403" s="2119" t="s">
        <v>2422</v>
      </c>
      <c r="D403" s="2555"/>
      <c r="E403" s="2120">
        <f t="shared" ref="E403:O403" si="149">E397+E401</f>
        <v>0</v>
      </c>
      <c r="F403" s="2405">
        <f t="shared" si="149"/>
        <v>0</v>
      </c>
      <c r="G403" s="2120">
        <f t="shared" si="149"/>
        <v>0</v>
      </c>
      <c r="H403" s="2120">
        <f t="shared" si="149"/>
        <v>0</v>
      </c>
      <c r="I403" s="2120">
        <f t="shared" si="149"/>
        <v>0</v>
      </c>
      <c r="J403" s="2120">
        <f t="shared" si="149"/>
        <v>0</v>
      </c>
      <c r="K403" s="2120">
        <f t="shared" si="149"/>
        <v>0</v>
      </c>
      <c r="L403" s="2120">
        <f t="shared" si="149"/>
        <v>0</v>
      </c>
      <c r="M403" s="2120">
        <f t="shared" si="149"/>
        <v>0</v>
      </c>
      <c r="N403" s="2120">
        <f t="shared" si="149"/>
        <v>0</v>
      </c>
      <c r="O403" s="2121">
        <f t="shared" si="149"/>
        <v>0</v>
      </c>
    </row>
    <row r="404" spans="1:17" hidden="1" outlineLevel="1" x14ac:dyDescent="0.25">
      <c r="C404" s="625" t="s">
        <v>27</v>
      </c>
      <c r="D404" s="2556"/>
      <c r="E404" s="609">
        <f t="shared" ref="E404:O404" si="150">E398+E402</f>
        <v>0</v>
      </c>
      <c r="F404" s="609">
        <f t="shared" si="150"/>
        <v>0</v>
      </c>
      <c r="G404" s="609">
        <f t="shared" si="150"/>
        <v>0</v>
      </c>
      <c r="H404" s="609">
        <f t="shared" si="150"/>
        <v>0</v>
      </c>
      <c r="I404" s="609">
        <f t="shared" si="150"/>
        <v>0</v>
      </c>
      <c r="J404" s="609">
        <f t="shared" si="150"/>
        <v>0</v>
      </c>
      <c r="K404" s="609">
        <f t="shared" si="150"/>
        <v>0</v>
      </c>
      <c r="L404" s="609">
        <f t="shared" si="150"/>
        <v>0</v>
      </c>
      <c r="M404" s="609">
        <f t="shared" si="150"/>
        <v>0</v>
      </c>
      <c r="N404" s="609">
        <f t="shared" si="150"/>
        <v>0</v>
      </c>
      <c r="O404" s="610">
        <f t="shared" si="150"/>
        <v>0</v>
      </c>
    </row>
    <row r="405" spans="1:17" hidden="1" outlineLevel="1" x14ac:dyDescent="0.25">
      <c r="F405" s="24"/>
      <c r="G405" s="24"/>
      <c r="H405" s="24"/>
      <c r="I405" s="24"/>
      <c r="J405" s="24"/>
      <c r="K405" s="24"/>
      <c r="L405" s="24"/>
      <c r="M405" s="24"/>
      <c r="N405" s="24"/>
      <c r="O405" s="24"/>
    </row>
    <row r="406" spans="1:17" hidden="1" outlineLevel="1" x14ac:dyDescent="0.25">
      <c r="B406" s="9">
        <v>4</v>
      </c>
      <c r="C406" s="2662" t="s">
        <v>2503</v>
      </c>
      <c r="D406" s="2481"/>
      <c r="E406" s="2145"/>
      <c r="F406" s="2145"/>
      <c r="G406" s="2145"/>
      <c r="H406" s="2145"/>
      <c r="I406" s="2145"/>
      <c r="J406" s="2145"/>
      <c r="K406" s="2145"/>
      <c r="L406" s="2145"/>
      <c r="M406" s="2145"/>
      <c r="N406" s="2145"/>
      <c r="O406" s="2146"/>
    </row>
    <row r="407" spans="1:17" s="305" customFormat="1" hidden="1" outlineLevel="1" x14ac:dyDescent="0.25">
      <c r="C407" s="2130" t="s">
        <v>2422</v>
      </c>
      <c r="D407" s="2501">
        <f>'WW Plan'!G133</f>
        <v>0</v>
      </c>
      <c r="E407" s="2132">
        <f>(SUM($E$53:E53)*$D$407)+(SUM($E$55:E55))</f>
        <v>0</v>
      </c>
      <c r="F407" s="2132">
        <f>(SUM($E$53:F53)*$D$407)+(SUM($E$55:F55))</f>
        <v>0</v>
      </c>
      <c r="G407" s="2132">
        <f>(SUM($E$53:G53)*$D$407)+(SUM($E$55:G55))</f>
        <v>0</v>
      </c>
      <c r="H407" s="2132">
        <f>(SUM($E$53:H53)*$D$407)+(SUM($E$55:H55))</f>
        <v>0</v>
      </c>
      <c r="I407" s="2132">
        <f>(SUM($E$53:I53)*$D$407)+(SUM($E$55:I55))</f>
        <v>0</v>
      </c>
      <c r="J407" s="2132">
        <f>(SUM($E$53:J53)*$D$407)+(SUM($E$55:J55))</f>
        <v>0</v>
      </c>
      <c r="K407" s="2132">
        <f>(SUM($E$53:K53)*$D$407)+(SUM($E$55:K55))</f>
        <v>0</v>
      </c>
      <c r="L407" s="2132">
        <f>(SUM($E$53:L53)*$D$407)+(SUM($E$55:L55))</f>
        <v>0</v>
      </c>
      <c r="M407" s="2132">
        <f>(SUM($E$53:M53)*$D$407)+(SUM($E$55:M55))</f>
        <v>0</v>
      </c>
      <c r="N407" s="2132">
        <f>(SUM($E$53:N53)*$D$407)+(SUM($E$55:N55))</f>
        <v>0</v>
      </c>
      <c r="O407" s="2133">
        <f>(SUM($E$53:O53)*$D$407)+(SUM($E$55:O55))</f>
        <v>0</v>
      </c>
      <c r="P407" s="3986"/>
      <c r="Q407" s="3987"/>
    </row>
    <row r="408" spans="1:17" s="305" customFormat="1" hidden="1" outlineLevel="1" x14ac:dyDescent="0.25">
      <c r="C408" s="2130" t="s">
        <v>27</v>
      </c>
      <c r="D408" s="2501">
        <f>'WW Plan'!H133</f>
        <v>0</v>
      </c>
      <c r="E408" s="2132">
        <f>(SUM($E$54:E54)*$D$408)+(SUM($E$56:E56))</f>
        <v>0</v>
      </c>
      <c r="F408" s="2132">
        <f>(SUM($E$54:F54)*$D$408)+(SUM($E$56:F56))</f>
        <v>0</v>
      </c>
      <c r="G408" s="2132">
        <f>(SUM($E$54:G54)*$D$408)+(SUM($E$56:G56))</f>
        <v>0</v>
      </c>
      <c r="H408" s="2132">
        <f>(SUM($E$54:H54)*$D$408)+(SUM($E$56:H56))</f>
        <v>0</v>
      </c>
      <c r="I408" s="2132">
        <f>(SUM($E$54:I54)*$D$408)+(SUM($E$56:I56))</f>
        <v>0</v>
      </c>
      <c r="J408" s="2132">
        <f>(SUM($E$54:J54)*$D$408)+(SUM($E$56:J56))</f>
        <v>0</v>
      </c>
      <c r="K408" s="2132">
        <f>(SUM($E$54:K54)*$D$408)+(SUM($E$56:K56))</f>
        <v>0</v>
      </c>
      <c r="L408" s="2132">
        <f>(SUM($E$54:L54)*$D$408)+(SUM($E$56:L56))</f>
        <v>0</v>
      </c>
      <c r="M408" s="2132">
        <f>(SUM($E$54:M54)*$D$408)+(SUM($E$56:M56))</f>
        <v>0</v>
      </c>
      <c r="N408" s="2132">
        <f>(SUM($E$54:N54)*$D$408)+(SUM($E$56:N56))</f>
        <v>0</v>
      </c>
      <c r="O408" s="2133">
        <f>(SUM($E$54:O54)*$D$408)+(SUM($E$56:O56))</f>
        <v>0</v>
      </c>
      <c r="P408" s="3986"/>
      <c r="Q408" s="3987"/>
    </row>
    <row r="409" spans="1:17" hidden="1" outlineLevel="1" x14ac:dyDescent="0.25">
      <c r="C409" s="2119" t="s">
        <v>2422</v>
      </c>
      <c r="D409" s="2555"/>
      <c r="E409" s="2120">
        <f t="shared" ref="E409:O409" si="151">E403+E407</f>
        <v>0</v>
      </c>
      <c r="F409" s="2120">
        <f t="shared" si="151"/>
        <v>0</v>
      </c>
      <c r="G409" s="2120">
        <f t="shared" si="151"/>
        <v>0</v>
      </c>
      <c r="H409" s="2120">
        <f t="shared" si="151"/>
        <v>0</v>
      </c>
      <c r="I409" s="2120">
        <f t="shared" si="151"/>
        <v>0</v>
      </c>
      <c r="J409" s="2120">
        <f t="shared" si="151"/>
        <v>0</v>
      </c>
      <c r="K409" s="2120">
        <f t="shared" si="151"/>
        <v>0</v>
      </c>
      <c r="L409" s="2120">
        <f t="shared" si="151"/>
        <v>0</v>
      </c>
      <c r="M409" s="2120">
        <f t="shared" si="151"/>
        <v>0</v>
      </c>
      <c r="N409" s="2120">
        <f t="shared" si="151"/>
        <v>0</v>
      </c>
      <c r="O409" s="2121">
        <f t="shared" si="151"/>
        <v>0</v>
      </c>
    </row>
    <row r="410" spans="1:17" hidden="1" outlineLevel="1" x14ac:dyDescent="0.25">
      <c r="C410" s="625" t="s">
        <v>27</v>
      </c>
      <c r="D410" s="2556"/>
      <c r="E410" s="609">
        <f t="shared" ref="E410:O410" si="152">E404+E408</f>
        <v>0</v>
      </c>
      <c r="F410" s="609">
        <f t="shared" si="152"/>
        <v>0</v>
      </c>
      <c r="G410" s="609">
        <f t="shared" si="152"/>
        <v>0</v>
      </c>
      <c r="H410" s="609">
        <f t="shared" si="152"/>
        <v>0</v>
      </c>
      <c r="I410" s="609">
        <f t="shared" si="152"/>
        <v>0</v>
      </c>
      <c r="J410" s="609">
        <f t="shared" si="152"/>
        <v>0</v>
      </c>
      <c r="K410" s="609">
        <f t="shared" si="152"/>
        <v>0</v>
      </c>
      <c r="L410" s="609">
        <f t="shared" si="152"/>
        <v>0</v>
      </c>
      <c r="M410" s="609">
        <f t="shared" si="152"/>
        <v>0</v>
      </c>
      <c r="N410" s="609">
        <f t="shared" si="152"/>
        <v>0</v>
      </c>
      <c r="O410" s="610">
        <f t="shared" si="152"/>
        <v>0</v>
      </c>
    </row>
    <row r="411" spans="1:17" hidden="1" outlineLevel="1" x14ac:dyDescent="0.25"/>
    <row r="412" spans="1:17" hidden="1" outlineLevel="1" x14ac:dyDescent="0.25">
      <c r="B412" s="9">
        <v>5</v>
      </c>
      <c r="C412" s="2674" t="s">
        <v>2497</v>
      </c>
      <c r="D412" s="2481"/>
      <c r="E412" s="2094"/>
      <c r="F412" s="2094"/>
      <c r="G412" s="2094"/>
      <c r="H412" s="2094"/>
      <c r="I412" s="2094"/>
      <c r="J412" s="2094"/>
      <c r="K412" s="2094"/>
      <c r="L412" s="2094"/>
      <c r="M412" s="2094"/>
      <c r="N412" s="2094"/>
      <c r="O412" s="600"/>
    </row>
    <row r="413" spans="1:17" hidden="1" outlineLevel="1" x14ac:dyDescent="0.25">
      <c r="C413" s="615" t="s">
        <v>2498</v>
      </c>
      <c r="D413" s="2557"/>
      <c r="E413" s="123">
        <f>'WSS Profile'!$E$238</f>
        <v>0</v>
      </c>
      <c r="F413" s="123">
        <f>E413-IF('WW Plan'!$E$213="Activate",IF(AND(F$431&gt;='WW Plan'!$G$213,F$431&lt;'WW Plan'!$H$213+1),('WW Plan'!$H$215)/('WW Plan'!$H$213+1-'WW Plan'!$G$213),0),0)</f>
        <v>0</v>
      </c>
      <c r="G413" s="123">
        <f>F413-IF('WW Plan'!$E$213="Activate",IF(AND(G$431&gt;='WW Plan'!$G$213,G$431&lt;'WW Plan'!$H$213+1),('WW Plan'!$H$215)/('WW Plan'!$H$213+1-'WW Plan'!$G$213),0),0)</f>
        <v>0</v>
      </c>
      <c r="H413" s="123">
        <f>G413-IF('WW Plan'!$E$213="Activate",IF(AND(H$431&gt;='WW Plan'!$G$213,H$431&lt;'WW Plan'!$H$213+1),('WW Plan'!$H$215)/('WW Plan'!$H$213+1-'WW Plan'!$G$213),0),0)</f>
        <v>0</v>
      </c>
      <c r="I413" s="123">
        <f>H413-IF('WW Plan'!$E$213="Activate",IF(AND(I$431&gt;='WW Plan'!$G$213,I$431&lt;'WW Plan'!$H$213+1),('WW Plan'!$H$215)/('WW Plan'!$H$213+1-'WW Plan'!$G$213),0),0)</f>
        <v>0</v>
      </c>
      <c r="J413" s="123">
        <f>I413-IF('WW Plan'!$E$213="Activate",IF(AND(J$431&gt;='WW Plan'!$G$213,J$431&lt;'WW Plan'!$H$213+1),('WW Plan'!$H$215)/('WW Plan'!$H$213+1-'WW Plan'!$G$213),0),0)</f>
        <v>0</v>
      </c>
      <c r="K413" s="123">
        <f>J413-IF('WW Plan'!$E$213="Activate",IF(AND(K$431&gt;='WW Plan'!$G$213,K$431&lt;'WW Plan'!$H$213+1),('WW Plan'!$H$215)/('WW Plan'!$H$213+1-'WW Plan'!$G$213),0),0)</f>
        <v>0</v>
      </c>
      <c r="L413" s="123">
        <f>K413-IF('WW Plan'!$E$213="Activate",IF(AND(L$431&gt;='WW Plan'!$G$213,L$431&lt;'WW Plan'!$H$213+1),('WW Plan'!$H$215)/('WW Plan'!$H$213+1-'WW Plan'!$G$213),0),0)</f>
        <v>0</v>
      </c>
      <c r="M413" s="123">
        <f>L413-IF('WW Plan'!$E$213="Activate",IF(AND(M$431&gt;='WW Plan'!$G$213,M$431&lt;'WW Plan'!$H$213+1),('WW Plan'!$H$215)/('WW Plan'!$H$213+1-'WW Plan'!$G$213),0),0)</f>
        <v>0</v>
      </c>
      <c r="N413" s="123">
        <f>M413-IF('WW Plan'!$E$213="Activate",IF(AND(N$431&gt;='WW Plan'!$G$213,N$431&lt;'WW Plan'!$H$213+1),('WW Plan'!$H$215)/('WW Plan'!$H$213+1-'WW Plan'!$G$213),0),0)</f>
        <v>0</v>
      </c>
      <c r="O413" s="2115">
        <f>N413-IF('WW Plan'!$E$213="Activate",IF(AND(O$431&gt;='WW Plan'!$G$213,O$431&lt;'WW Plan'!$H$213+1),('WW Plan'!$H$215)/('WW Plan'!$H$213+1-'WW Plan'!$G$213),0),0)</f>
        <v>0</v>
      </c>
    </row>
    <row r="414" spans="1:17" hidden="1" outlineLevel="1" x14ac:dyDescent="0.25">
      <c r="C414" s="2077" t="s">
        <v>2422</v>
      </c>
      <c r="D414" s="2486">
        <f>E385</f>
        <v>0</v>
      </c>
      <c r="E414" s="2132">
        <f t="shared" ref="E414:O414" si="153">(D$413-E$413)*E403</f>
        <v>0</v>
      </c>
      <c r="F414" s="2132">
        <f t="shared" si="153"/>
        <v>0</v>
      </c>
      <c r="G414" s="2132">
        <f t="shared" si="153"/>
        <v>0</v>
      </c>
      <c r="H414" s="2132">
        <f t="shared" si="153"/>
        <v>0</v>
      </c>
      <c r="I414" s="2132">
        <f t="shared" si="153"/>
        <v>0</v>
      </c>
      <c r="J414" s="2132">
        <f t="shared" si="153"/>
        <v>0</v>
      </c>
      <c r="K414" s="2132">
        <f t="shared" si="153"/>
        <v>0</v>
      </c>
      <c r="L414" s="2132">
        <f t="shared" si="153"/>
        <v>0</v>
      </c>
      <c r="M414" s="2132">
        <f t="shared" si="153"/>
        <v>0</v>
      </c>
      <c r="N414" s="2132">
        <f t="shared" si="153"/>
        <v>0</v>
      </c>
      <c r="O414" s="2133">
        <f t="shared" si="153"/>
        <v>0</v>
      </c>
    </row>
    <row r="415" spans="1:17" hidden="1" outlineLevel="1" x14ac:dyDescent="0.25">
      <c r="C415" s="2077" t="s">
        <v>27</v>
      </c>
      <c r="D415" s="2486">
        <f>E386</f>
        <v>0</v>
      </c>
      <c r="E415" s="2132">
        <f t="shared" ref="E415:O415" si="154">(D$413-E$413)*E404</f>
        <v>0</v>
      </c>
      <c r="F415" s="2132">
        <f t="shared" si="154"/>
        <v>0</v>
      </c>
      <c r="G415" s="2132">
        <f t="shared" si="154"/>
        <v>0</v>
      </c>
      <c r="H415" s="2132">
        <f t="shared" si="154"/>
        <v>0</v>
      </c>
      <c r="I415" s="2132">
        <f t="shared" si="154"/>
        <v>0</v>
      </c>
      <c r="J415" s="2132">
        <f t="shared" si="154"/>
        <v>0</v>
      </c>
      <c r="K415" s="2132">
        <f t="shared" si="154"/>
        <v>0</v>
      </c>
      <c r="L415" s="2132">
        <f t="shared" si="154"/>
        <v>0</v>
      </c>
      <c r="M415" s="2132">
        <f t="shared" si="154"/>
        <v>0</v>
      </c>
      <c r="N415" s="2132">
        <f t="shared" si="154"/>
        <v>0</v>
      </c>
      <c r="O415" s="2133">
        <f t="shared" si="154"/>
        <v>0</v>
      </c>
    </row>
    <row r="416" spans="1:17" hidden="1" outlineLevel="1" x14ac:dyDescent="0.25">
      <c r="C416" s="2874" t="s">
        <v>294</v>
      </c>
      <c r="D416" s="2555"/>
      <c r="E416" s="2120">
        <f>E409+SUM($E$414:E414)</f>
        <v>0</v>
      </c>
      <c r="F416" s="2120">
        <f>F409+SUM($E$414:F414)</f>
        <v>0</v>
      </c>
      <c r="G416" s="2120">
        <f>G409+SUM($E$414:G414)</f>
        <v>0</v>
      </c>
      <c r="H416" s="2120">
        <f>H409+SUM($E$414:H414)</f>
        <v>0</v>
      </c>
      <c r="I416" s="2120">
        <f>I409+SUM($E$414:I414)</f>
        <v>0</v>
      </c>
      <c r="J416" s="2120">
        <f>J409+SUM($E$414:J414)</f>
        <v>0</v>
      </c>
      <c r="K416" s="2120">
        <f>K409+SUM($E$414:K414)</f>
        <v>0</v>
      </c>
      <c r="L416" s="2120">
        <f>L409+SUM($E$414:L414)</f>
        <v>0</v>
      </c>
      <c r="M416" s="2120">
        <f>M409+SUM($E$414:M414)</f>
        <v>0</v>
      </c>
      <c r="N416" s="2120">
        <f>N409+SUM($E$414:N414)</f>
        <v>0</v>
      </c>
      <c r="O416" s="2121">
        <f>O409+SUM($E$414:O414)</f>
        <v>0</v>
      </c>
    </row>
    <row r="417" spans="1:17" hidden="1" outlineLevel="1" x14ac:dyDescent="0.25">
      <c r="C417" s="2070" t="s">
        <v>295</v>
      </c>
      <c r="D417" s="2556"/>
      <c r="E417" s="609">
        <f>E410+SUM($E$415:E415)</f>
        <v>0</v>
      </c>
      <c r="F417" s="609">
        <f>F410+SUM($E$415:F415)</f>
        <v>0</v>
      </c>
      <c r="G417" s="609">
        <f>G410+SUM($E$415:G415)</f>
        <v>0</v>
      </c>
      <c r="H417" s="609">
        <f>H410+SUM($E$415:H415)</f>
        <v>0</v>
      </c>
      <c r="I417" s="609">
        <f>I410+SUM($E$415:I415)</f>
        <v>0</v>
      </c>
      <c r="J417" s="609">
        <f>J410+SUM($E$415:J415)</f>
        <v>0</v>
      </c>
      <c r="K417" s="609">
        <f>K410+SUM($E$415:K415)</f>
        <v>0</v>
      </c>
      <c r="L417" s="609">
        <f>L410+SUM($E$415:L415)</f>
        <v>0</v>
      </c>
      <c r="M417" s="609">
        <f>M410+SUM($E$415:M415)</f>
        <v>0</v>
      </c>
      <c r="N417" s="609">
        <f>N410+SUM($E$415:N415)</f>
        <v>0</v>
      </c>
      <c r="O417" s="610">
        <f>O410+SUM($E$415:O415)</f>
        <v>0</v>
      </c>
    </row>
    <row r="418" spans="1:17" hidden="1" outlineLevel="1" x14ac:dyDescent="0.25">
      <c r="C418" s="2530"/>
      <c r="D418" s="2479"/>
      <c r="E418" s="2167"/>
      <c r="F418" s="27"/>
      <c r="G418" s="27"/>
      <c r="H418" s="27"/>
      <c r="I418" s="27"/>
      <c r="J418" s="27"/>
      <c r="K418" s="27"/>
      <c r="L418" s="27"/>
      <c r="M418" s="27"/>
      <c r="N418" s="27"/>
      <c r="O418" s="27"/>
    </row>
    <row r="419" spans="1:17" hidden="1" outlineLevel="1" x14ac:dyDescent="0.25">
      <c r="C419" s="2674" t="s">
        <v>2966</v>
      </c>
      <c r="D419" s="5226" t="s">
        <v>2967</v>
      </c>
      <c r="E419" s="5221"/>
      <c r="F419" s="4030"/>
      <c r="G419" s="4030"/>
      <c r="H419" s="4030"/>
      <c r="I419" s="4030"/>
      <c r="J419" s="4030"/>
      <c r="K419" s="4030"/>
      <c r="L419" s="4030"/>
      <c r="M419" s="4030"/>
      <c r="N419" s="4030"/>
      <c r="O419" s="5222"/>
    </row>
    <row r="420" spans="1:17" hidden="1" outlineLevel="1" x14ac:dyDescent="0.25">
      <c r="C420" s="622" t="s">
        <v>2200</v>
      </c>
      <c r="D420" s="2501">
        <f>'WW Plan'!G157</f>
        <v>0</v>
      </c>
      <c r="E420" s="2241">
        <f>SUM($E$91:E91)*$D$420</f>
        <v>0</v>
      </c>
      <c r="F420" s="2241">
        <f>SUM($E$91:F91)*$D$420</f>
        <v>0</v>
      </c>
      <c r="G420" s="2241">
        <f>SUM($E$91:G91)*$D$420</f>
        <v>0</v>
      </c>
      <c r="H420" s="2241">
        <f>SUM($E$91:H91)*$D$420</f>
        <v>0</v>
      </c>
      <c r="I420" s="2241">
        <f>SUM($E$91:I91)*$D$420</f>
        <v>0</v>
      </c>
      <c r="J420" s="2241">
        <f>SUM($E$91:J91)*$D$420</f>
        <v>0</v>
      </c>
      <c r="K420" s="2241">
        <f>SUM($E$91:K91)*$D$420</f>
        <v>0</v>
      </c>
      <c r="L420" s="2241">
        <f>SUM($E$91:L91)*$D$420</f>
        <v>0</v>
      </c>
      <c r="M420" s="2241">
        <f>SUM($E$91:M91)*$D$420</f>
        <v>0</v>
      </c>
      <c r="N420" s="2241">
        <f>SUM($E$91:N91)*$D$420</f>
        <v>0</v>
      </c>
      <c r="O420" s="2242">
        <f>SUM($E$91:O91)*$D$420</f>
        <v>0</v>
      </c>
    </row>
    <row r="421" spans="1:17" hidden="1" outlineLevel="1" x14ac:dyDescent="0.25">
      <c r="C421" s="622" t="s">
        <v>2201</v>
      </c>
      <c r="D421" s="2501">
        <f>'WW Plan'!H157</f>
        <v>0</v>
      </c>
      <c r="E421" s="2241">
        <f>SUM($E$92:E92)*$D$421</f>
        <v>0</v>
      </c>
      <c r="F421" s="2241">
        <f>SUM($E$92:F92)*$D$421</f>
        <v>0</v>
      </c>
      <c r="G421" s="2241">
        <f>SUM($E$92:G92)*$D$421</f>
        <v>0</v>
      </c>
      <c r="H421" s="2241">
        <f>SUM($E$92:H92)*$D$421</f>
        <v>0</v>
      </c>
      <c r="I421" s="2241">
        <f>SUM($E$92:I92)*$D$421</f>
        <v>0</v>
      </c>
      <c r="J421" s="2241">
        <f>SUM($E$92:J92)*$D$421</f>
        <v>0</v>
      </c>
      <c r="K421" s="2241">
        <f>SUM($E$92:K92)*$D$421</f>
        <v>0</v>
      </c>
      <c r="L421" s="2241">
        <f>SUM($E$92:L92)*$D$421</f>
        <v>0</v>
      </c>
      <c r="M421" s="2241">
        <f>SUM($E$92:M92)*$D$421</f>
        <v>0</v>
      </c>
      <c r="N421" s="2241">
        <f>SUM($E$92:N92)*$D$421</f>
        <v>0</v>
      </c>
      <c r="O421" s="2242">
        <f>SUM($E$92:O92)*$D$421</f>
        <v>0</v>
      </c>
    </row>
    <row r="422" spans="1:17" hidden="1" outlineLevel="1" x14ac:dyDescent="0.25">
      <c r="C422" s="4050" t="s">
        <v>294</v>
      </c>
      <c r="D422" s="5223"/>
      <c r="E422" s="5224">
        <f>E420+E416</f>
        <v>0</v>
      </c>
      <c r="F422" s="5224">
        <f>F420+F416</f>
        <v>0</v>
      </c>
      <c r="G422" s="5224">
        <f t="shared" ref="G422:O422" si="155">G420+G416</f>
        <v>0</v>
      </c>
      <c r="H422" s="5224">
        <f t="shared" si="155"/>
        <v>0</v>
      </c>
      <c r="I422" s="5224">
        <f t="shared" si="155"/>
        <v>0</v>
      </c>
      <c r="J422" s="5224">
        <f t="shared" si="155"/>
        <v>0</v>
      </c>
      <c r="K422" s="5224">
        <f t="shared" si="155"/>
        <v>0</v>
      </c>
      <c r="L422" s="5224">
        <f t="shared" si="155"/>
        <v>0</v>
      </c>
      <c r="M422" s="5224">
        <f t="shared" si="155"/>
        <v>0</v>
      </c>
      <c r="N422" s="5224">
        <f t="shared" si="155"/>
        <v>0</v>
      </c>
      <c r="O422" s="5225">
        <f t="shared" si="155"/>
        <v>0</v>
      </c>
    </row>
    <row r="423" spans="1:17" hidden="1" outlineLevel="1" x14ac:dyDescent="0.25">
      <c r="C423" s="2070" t="s">
        <v>295</v>
      </c>
      <c r="D423" s="2589"/>
      <c r="E423" s="2244">
        <f>E421+E417</f>
        <v>0</v>
      </c>
      <c r="F423" s="2244">
        <f>F421+F417</f>
        <v>0</v>
      </c>
      <c r="G423" s="2244">
        <f t="shared" ref="G423:O423" si="156">G421+G417</f>
        <v>0</v>
      </c>
      <c r="H423" s="2244">
        <f t="shared" si="156"/>
        <v>0</v>
      </c>
      <c r="I423" s="2244">
        <f t="shared" si="156"/>
        <v>0</v>
      </c>
      <c r="J423" s="2244">
        <f t="shared" si="156"/>
        <v>0</v>
      </c>
      <c r="K423" s="2244">
        <f t="shared" si="156"/>
        <v>0</v>
      </c>
      <c r="L423" s="2244">
        <f t="shared" si="156"/>
        <v>0</v>
      </c>
      <c r="M423" s="2244">
        <f t="shared" si="156"/>
        <v>0</v>
      </c>
      <c r="N423" s="2244">
        <f t="shared" si="156"/>
        <v>0</v>
      </c>
      <c r="O423" s="2245">
        <f t="shared" si="156"/>
        <v>0</v>
      </c>
    </row>
    <row r="424" spans="1:17" hidden="1" outlineLevel="1" x14ac:dyDescent="0.25">
      <c r="C424" s="27"/>
      <c r="D424" s="2479"/>
      <c r="E424" s="2167"/>
      <c r="F424" s="27"/>
      <c r="G424" s="27"/>
      <c r="H424" s="27"/>
      <c r="I424" s="27"/>
      <c r="J424" s="27"/>
      <c r="K424" s="27"/>
      <c r="L424" s="27"/>
      <c r="M424" s="27"/>
      <c r="N424" s="27"/>
      <c r="O424" s="27"/>
    </row>
    <row r="425" spans="1:17" hidden="1" outlineLevel="1" x14ac:dyDescent="0.25">
      <c r="C425" s="2674" t="s">
        <v>2825</v>
      </c>
      <c r="D425" s="2531"/>
      <c r="E425" s="557"/>
      <c r="F425" s="557"/>
      <c r="G425" s="557"/>
      <c r="H425" s="557"/>
      <c r="I425" s="557"/>
      <c r="J425" s="557"/>
      <c r="K425" s="557"/>
      <c r="L425" s="557"/>
      <c r="M425" s="557"/>
      <c r="N425" s="557"/>
      <c r="O425" s="626"/>
    </row>
    <row r="426" spans="1:17" hidden="1" outlineLevel="1" x14ac:dyDescent="0.25">
      <c r="A426" s="27"/>
      <c r="B426" s="27"/>
      <c r="C426" s="615" t="s">
        <v>2422</v>
      </c>
      <c r="D426" s="4031">
        <f>IFERROR('WSS Profile'!E234/'WSS Profile'!F234,1)</f>
        <v>1</v>
      </c>
      <c r="E426" s="2100">
        <f>E422*$D$426</f>
        <v>0</v>
      </c>
      <c r="F426" s="2100">
        <f t="shared" ref="F426:O426" si="157">F422*$D$426</f>
        <v>0</v>
      </c>
      <c r="G426" s="2100">
        <f t="shared" si="157"/>
        <v>0</v>
      </c>
      <c r="H426" s="2100">
        <f t="shared" si="157"/>
        <v>0</v>
      </c>
      <c r="I426" s="2100">
        <f t="shared" si="157"/>
        <v>0</v>
      </c>
      <c r="J426" s="2100">
        <f t="shared" si="157"/>
        <v>0</v>
      </c>
      <c r="K426" s="2100">
        <f t="shared" si="157"/>
        <v>0</v>
      </c>
      <c r="L426" s="2100">
        <f t="shared" si="157"/>
        <v>0</v>
      </c>
      <c r="M426" s="2100">
        <f t="shared" si="157"/>
        <v>0</v>
      </c>
      <c r="N426" s="2100">
        <f t="shared" si="157"/>
        <v>0</v>
      </c>
      <c r="O426" s="2101">
        <f t="shared" si="157"/>
        <v>0</v>
      </c>
    </row>
    <row r="427" spans="1:17" hidden="1" outlineLevel="1" x14ac:dyDescent="0.25">
      <c r="A427" s="27"/>
      <c r="B427" s="27"/>
      <c r="C427" s="615" t="s">
        <v>27</v>
      </c>
      <c r="D427" s="4031">
        <f>IFERROR('WSS Profile'!E235/'WSS Profile'!F235,1)</f>
        <v>1</v>
      </c>
      <c r="E427" s="2100">
        <f>E423*$D$427</f>
        <v>0</v>
      </c>
      <c r="F427" s="2100">
        <f t="shared" ref="F427:O427" si="158">F423*$D$427</f>
        <v>0</v>
      </c>
      <c r="G427" s="2100">
        <f t="shared" si="158"/>
        <v>0</v>
      </c>
      <c r="H427" s="2100">
        <f t="shared" si="158"/>
        <v>0</v>
      </c>
      <c r="I427" s="2100">
        <f t="shared" si="158"/>
        <v>0</v>
      </c>
      <c r="J427" s="2100">
        <f t="shared" si="158"/>
        <v>0</v>
      </c>
      <c r="K427" s="2100">
        <f t="shared" si="158"/>
        <v>0</v>
      </c>
      <c r="L427" s="2100">
        <f t="shared" si="158"/>
        <v>0</v>
      </c>
      <c r="M427" s="2100">
        <f t="shared" si="158"/>
        <v>0</v>
      </c>
      <c r="N427" s="2100">
        <f t="shared" si="158"/>
        <v>0</v>
      </c>
      <c r="O427" s="2101">
        <f t="shared" si="158"/>
        <v>0</v>
      </c>
    </row>
    <row r="428" spans="1:17" s="170" customFormat="1" hidden="1" outlineLevel="1" x14ac:dyDescent="0.25">
      <c r="C428" s="5227" t="s">
        <v>215</v>
      </c>
      <c r="D428" s="5228">
        <f>IFERROR(E428/(E426+E427),0)</f>
        <v>0</v>
      </c>
      <c r="E428" s="5229">
        <f>'WSS Profile'!E236</f>
        <v>0</v>
      </c>
      <c r="F428" s="5230">
        <f t="shared" ref="F428:O428" si="159">ROUND($D$428*(F426+F427),0)</f>
        <v>0</v>
      </c>
      <c r="G428" s="5230">
        <f t="shared" si="159"/>
        <v>0</v>
      </c>
      <c r="H428" s="5230">
        <f t="shared" si="159"/>
        <v>0</v>
      </c>
      <c r="I428" s="5230">
        <f t="shared" si="159"/>
        <v>0</v>
      </c>
      <c r="J428" s="5230">
        <f t="shared" si="159"/>
        <v>0</v>
      </c>
      <c r="K428" s="5230">
        <f t="shared" si="159"/>
        <v>0</v>
      </c>
      <c r="L428" s="5230">
        <f t="shared" si="159"/>
        <v>0</v>
      </c>
      <c r="M428" s="5230">
        <f t="shared" si="159"/>
        <v>0</v>
      </c>
      <c r="N428" s="5230">
        <f t="shared" si="159"/>
        <v>0</v>
      </c>
      <c r="O428" s="5231">
        <f t="shared" si="159"/>
        <v>0</v>
      </c>
      <c r="Q428" s="3987"/>
    </row>
    <row r="429" spans="1:17" hidden="1" outlineLevel="1" x14ac:dyDescent="0.25">
      <c r="C429" s="27"/>
      <c r="D429" s="2479"/>
      <c r="E429" s="27"/>
      <c r="F429" s="27"/>
      <c r="G429" s="27"/>
      <c r="H429" s="27"/>
      <c r="I429" s="27"/>
      <c r="J429" s="27"/>
      <c r="K429" s="27"/>
      <c r="L429" s="27"/>
      <c r="M429" s="27"/>
      <c r="N429" s="27"/>
      <c r="O429" s="27"/>
    </row>
    <row r="430" spans="1:17" hidden="1" outlineLevel="1" x14ac:dyDescent="0.25">
      <c r="C430" s="27"/>
      <c r="D430" s="2479"/>
      <c r="E430" s="27"/>
      <c r="F430" s="27"/>
      <c r="G430" s="27"/>
      <c r="H430" s="27"/>
      <c r="I430" s="27"/>
      <c r="J430" s="27"/>
      <c r="K430" s="27"/>
      <c r="L430" s="27"/>
      <c r="M430" s="27"/>
      <c r="N430" s="27"/>
      <c r="O430" s="27"/>
    </row>
    <row r="431" spans="1:17" s="56" customFormat="1" hidden="1" outlineLevel="1" x14ac:dyDescent="0.25">
      <c r="A431" s="1913"/>
      <c r="B431" s="1913"/>
      <c r="C431" s="1914" t="s">
        <v>2770</v>
      </c>
      <c r="D431" s="2505"/>
      <c r="E431" s="2114">
        <f>'WS calcu'!E$3</f>
        <v>2014</v>
      </c>
      <c r="F431" s="2114">
        <f>'WS calcu'!F$3</f>
        <v>2015</v>
      </c>
      <c r="G431" s="2114">
        <f>'WS calcu'!G$3</f>
        <v>2016</v>
      </c>
      <c r="H431" s="2114">
        <f>'WS calcu'!H$3</f>
        <v>2017</v>
      </c>
      <c r="I431" s="2114">
        <f>'WS calcu'!I$3</f>
        <v>2018</v>
      </c>
      <c r="J431" s="2114">
        <f>'WS calcu'!J$3</f>
        <v>2019</v>
      </c>
      <c r="K431" s="2114">
        <f>'WS calcu'!K$3</f>
        <v>2020</v>
      </c>
      <c r="L431" s="2114">
        <f>'WS calcu'!L$3</f>
        <v>2021</v>
      </c>
      <c r="M431" s="2114">
        <f>'WS calcu'!M$3</f>
        <v>2022</v>
      </c>
      <c r="N431" s="2114">
        <f>'WS calcu'!N$3</f>
        <v>2023</v>
      </c>
      <c r="O431" s="2114">
        <f>'WS calcu'!O$3</f>
        <v>2024</v>
      </c>
      <c r="Q431" s="3990"/>
    </row>
    <row r="432" spans="1:17" ht="30" hidden="1" outlineLevel="1" x14ac:dyDescent="0.25">
      <c r="B432" s="547"/>
      <c r="C432" s="1304" t="s">
        <v>2771</v>
      </c>
      <c r="D432" s="2481" t="s">
        <v>169</v>
      </c>
      <c r="E432" s="613">
        <f>'WSS Profile'!$G$227</f>
        <v>0</v>
      </c>
      <c r="F432" s="2320">
        <f>IF('WW Plan'!$E$293="Activate",IF(AND('WW calcu'!F431&gt;='WW Plan'!$G$293,'WW calcu'!F431&lt;'WW Plan'!$H$293+1),'WW calcu'!E432+('WW Plan'!$G$298/('WW Plan'!$H$293+1-'WW Plan'!$G$293)),'WW calcu'!E432),'WW calcu'!E432)</f>
        <v>0</v>
      </c>
      <c r="G432" s="2320">
        <f>IF('WW Plan'!$E$293="Activate",IF(AND('WW calcu'!G431&gt;='WW Plan'!$G$293,'WW calcu'!G431&lt;'WW Plan'!$H$293+1),'WW calcu'!F432+('WW Plan'!$G$298/('WW Plan'!$H$293+1-'WW Plan'!$G$293)),'WW calcu'!F432),'WW calcu'!F432)</f>
        <v>0</v>
      </c>
      <c r="H432" s="2320">
        <f>IF('WW Plan'!$E$293="Activate",IF(AND('WW calcu'!H431&gt;='WW Plan'!$G$293,'WW calcu'!H431&lt;'WW Plan'!$H$293+1),'WW calcu'!G432+('WW Plan'!$G$298/('WW Plan'!$H$293+1-'WW Plan'!$G$293)),'WW calcu'!G432),'WW calcu'!G432)</f>
        <v>0</v>
      </c>
      <c r="I432" s="2320">
        <f>IF('WW Plan'!$E$293="Activate",IF(AND('WW calcu'!I431&gt;='WW Plan'!$G$293,'WW calcu'!I431&lt;'WW Plan'!$H$293+1),'WW calcu'!H432+('WW Plan'!$G$298/('WW Plan'!$H$293+1-'WW Plan'!$G$293)),'WW calcu'!H432),'WW calcu'!H432)</f>
        <v>0</v>
      </c>
      <c r="J432" s="2320">
        <f>IF('WW Plan'!$E$293="Activate",IF(AND('WW calcu'!J431&gt;='WW Plan'!$G$293,'WW calcu'!J431&lt;'WW Plan'!$H$293+1),'WW calcu'!I432+('WW Plan'!$G$298/('WW Plan'!$H$293+1-'WW Plan'!$G$293)),'WW calcu'!I432),'WW calcu'!I432)</f>
        <v>0</v>
      </c>
      <c r="K432" s="2320">
        <f>IF('WW Plan'!$E$293="Activate",IF(AND('WW calcu'!K431&gt;='WW Plan'!$G$293,'WW calcu'!K431&lt;'WW Plan'!$H$293+1),'WW calcu'!J432+('WW Plan'!$G$298/('WW Plan'!$H$293+1-'WW Plan'!$G$293)),'WW calcu'!J432),'WW calcu'!J432)</f>
        <v>0</v>
      </c>
      <c r="L432" s="2320">
        <f>IF('WW Plan'!$E$293="Activate",IF(AND('WW calcu'!L431&gt;='WW Plan'!$G$293,'WW calcu'!L431&lt;'WW Plan'!$H$293+1),'WW calcu'!K432+('WW Plan'!$G$298/('WW Plan'!$H$293+1-'WW Plan'!$G$293)),'WW calcu'!K432),'WW calcu'!K432)</f>
        <v>0</v>
      </c>
      <c r="M432" s="2320">
        <f>IF('WW Plan'!$E$293="Activate",IF(AND('WW calcu'!M431&gt;='WW Plan'!$G$293,'WW calcu'!M431&lt;'WW Plan'!$H$293+1),'WW calcu'!L432+('WW Plan'!$G$298/('WW Plan'!$H$293+1-'WW Plan'!$G$293)),'WW calcu'!L432),'WW calcu'!L432)</f>
        <v>0</v>
      </c>
      <c r="N432" s="2320">
        <f>IF('WW Plan'!$E$293="Activate",IF(AND('WW calcu'!N431&gt;='WW Plan'!$G$293,'WW calcu'!N431&lt;'WW Plan'!$H$293+1),'WW calcu'!M432+('WW Plan'!$G$298/('WW Plan'!$H$293+1-'WW Plan'!$G$293)),'WW calcu'!M432),'WW calcu'!M432)</f>
        <v>0</v>
      </c>
      <c r="O432" s="2321">
        <f>IF('WW Plan'!$E$293="Activate",IF(AND('WW calcu'!O431&gt;='WW Plan'!$G$293,'WW calcu'!O431&lt;'WW Plan'!$H$293+1),'WW calcu'!N432+('WW Plan'!$G$298/('WW Plan'!$H$293+1-'WW Plan'!$G$293)),'WW calcu'!N432),'WW calcu'!N432)</f>
        <v>0</v>
      </c>
    </row>
    <row r="433" spans="2:15" hidden="1" outlineLevel="1" x14ac:dyDescent="0.25">
      <c r="B433" s="2071"/>
      <c r="C433" s="77" t="s">
        <v>1286</v>
      </c>
      <c r="D433" s="2488" t="s">
        <v>2482</v>
      </c>
      <c r="E433" s="425">
        <f>'WSS Profile'!$G$228</f>
        <v>0</v>
      </c>
      <c r="F433" s="361">
        <f>IF('WW Plan'!$E$293="Activate",IF(AND('WW calcu'!F431&gt;='WW Plan'!$G$293,'WW calcu'!F431&lt;'WW Plan'!$H$293+1),'WW calcu'!E433+('WW Plan'!$G$299/('WW Plan'!$H$293+1-'WW Plan'!$G$293)),'WW calcu'!E433),'WW calcu'!E433)</f>
        <v>0</v>
      </c>
      <c r="G433" s="361">
        <f>IF('WW Plan'!$E$293="Activate",IF(AND('WW calcu'!G431&gt;='WW Plan'!$G$293,'WW calcu'!G431&lt;'WW Plan'!$H$293+1),'WW calcu'!F433+('WW Plan'!$G$299/('WW Plan'!$H$293+1-'WW Plan'!$G$293)),'WW calcu'!F433),'WW calcu'!F433)</f>
        <v>0</v>
      </c>
      <c r="H433" s="361">
        <f>IF('WW Plan'!$E$293="Activate",IF(AND('WW calcu'!H431&gt;='WW Plan'!$G$293,'WW calcu'!H431&lt;'WW Plan'!$H$293+1),'WW calcu'!G433+('WW Plan'!$G$299/('WW Plan'!$H$293+1-'WW Plan'!$G$293)),'WW calcu'!G433),'WW calcu'!G433)</f>
        <v>0</v>
      </c>
      <c r="I433" s="361">
        <f>IF('WW Plan'!$E$293="Activate",IF(AND('WW calcu'!I431&gt;='WW Plan'!$G$293,'WW calcu'!I431&lt;'WW Plan'!$H$293+1),'WW calcu'!H433+('WW Plan'!$G$299/('WW Plan'!$H$293+1-'WW Plan'!$G$293)),'WW calcu'!H433),'WW calcu'!H433)</f>
        <v>0</v>
      </c>
      <c r="J433" s="361">
        <f>IF('WW Plan'!$E$293="Activate",IF(AND('WW calcu'!J431&gt;='WW Plan'!$G$293,'WW calcu'!J431&lt;'WW Plan'!$H$293+1),'WW calcu'!I433+('WW Plan'!$G$299/('WW Plan'!$H$293+1-'WW Plan'!$G$293)),'WW calcu'!I433),'WW calcu'!I433)</f>
        <v>0</v>
      </c>
      <c r="K433" s="361">
        <f>IF('WW Plan'!$E$293="Activate",IF(AND('WW calcu'!K431&gt;='WW Plan'!$G$293,'WW calcu'!K431&lt;'WW Plan'!$H$293+1),'WW calcu'!J433+('WW Plan'!$G$299/('WW Plan'!$H$293+1-'WW Plan'!$G$293)),'WW calcu'!J433),'WW calcu'!J433)</f>
        <v>0</v>
      </c>
      <c r="L433" s="361">
        <f>IF('WW Plan'!$E$293="Activate",IF(AND('WW calcu'!L431&gt;='WW Plan'!$G$293,'WW calcu'!L431&lt;'WW Plan'!$H$293+1),'WW calcu'!K433+('WW Plan'!$G$299/('WW Plan'!$H$293+1-'WW Plan'!$G$293)),'WW calcu'!K433),'WW calcu'!K433)</f>
        <v>0</v>
      </c>
      <c r="M433" s="361">
        <f>IF('WW Plan'!$E$293="Activate",IF(AND('WW calcu'!M431&gt;='WW Plan'!$G$293,'WW calcu'!M431&lt;'WW Plan'!$H$293+1),'WW calcu'!L433+('WW Plan'!$G$299/('WW Plan'!$H$293+1-'WW Plan'!$G$293)),'WW calcu'!L433),'WW calcu'!L433)</f>
        <v>0</v>
      </c>
      <c r="N433" s="361">
        <f>IF('WW Plan'!$E$293="Activate",IF(AND('WW calcu'!N431&gt;='WW Plan'!$G$293,'WW calcu'!N431&lt;'WW Plan'!$H$293+1),'WW calcu'!M433+('WW Plan'!$G$299/('WW Plan'!$H$293+1-'WW Plan'!$G$293)),'WW calcu'!M433),'WW calcu'!M433)</f>
        <v>0</v>
      </c>
      <c r="O433" s="2275">
        <f>IF('WW Plan'!$E$293="Activate",IF(AND('WW calcu'!O431&gt;='WW Plan'!$G$293,'WW calcu'!O431&lt;'WW Plan'!$H$293+1),'WW calcu'!N433+('WW Plan'!$G$299/('WW Plan'!$H$293+1-'WW Plan'!$G$293)),'WW calcu'!N433),'WW calcu'!N433)</f>
        <v>0</v>
      </c>
    </row>
    <row r="434" spans="2:15" hidden="1" outlineLevel="1" x14ac:dyDescent="0.25">
      <c r="B434" s="2429"/>
      <c r="C434" s="2671" t="s">
        <v>2422</v>
      </c>
      <c r="D434" s="2664"/>
      <c r="E434" s="5232">
        <f>D434+IF('WW Plan'!$E$293="Activate",IF(AND(E$431&gt;='WW Plan'!$G$293,E$431&lt;'WW Plan'!$H$293+1),('WW Plan'!$G$300+'WW Plan'!$G$301+'WW Plan'!$G$302)/('WW Plan'!$H$293+1-'WW Plan'!$G$293),0),0)+IF('WW Plan'!$E$293="Activate",IF('WW calcu'!E$431&gt;'WW Plan'!$G$293,E57,IF('WW calcu'!E$431='WW Plan'!$G$293,SUM($E$57:E57),0)))</f>
        <v>0</v>
      </c>
      <c r="F434" s="5232">
        <f>E434+IF('WW Plan'!$E$293="Activate",IF(AND(F$431&gt;='WW Plan'!$G$293,F$431&lt;'WW Plan'!$H$293+1),('WW Plan'!$G$300+'WW Plan'!$G$301+'WW Plan'!$G$302)/('WW Plan'!$H$293+1-'WW Plan'!$G$293),0),0)+IF('WW Plan'!$E$293="Activate",IF('WW calcu'!F$431&gt;'WW Plan'!$G$293,F57,IF('WW calcu'!F$431='WW Plan'!$G$293,SUM($E$57:F57),0)))</f>
        <v>0</v>
      </c>
      <c r="G434" s="5232">
        <f>F434+IF('WW Plan'!$E$293="Activate",IF(AND(G$431&gt;='WW Plan'!$G$293,G$431&lt;'WW Plan'!$H$293+1),('WW Plan'!$G$300+'WW Plan'!$G$301+'WW Plan'!$G$302)/('WW Plan'!$H$293+1-'WW Plan'!$G$293),0),0)+IF('WW Plan'!$E$293="Activate",IF('WW calcu'!G$431&gt;'WW Plan'!$G$293,G57,IF('WW calcu'!G$431='WW Plan'!$G$293,SUM($E$57:G57),0)))</f>
        <v>0</v>
      </c>
      <c r="H434" s="5232">
        <f>G434+IF('WW Plan'!$E$293="Activate",IF(AND(H$431&gt;='WW Plan'!$G$293,H$431&lt;'WW Plan'!$H$293+1),('WW Plan'!$G$300+'WW Plan'!$G$301+'WW Plan'!$G$302)/('WW Plan'!$H$293+1-'WW Plan'!$G$293),0),0)+IF('WW Plan'!$E$293="Activate",IF('WW calcu'!H$431&gt;'WW Plan'!$G$293,H57,IF('WW calcu'!H$431='WW Plan'!$G$293,SUM($E$57:H57),0)))</f>
        <v>0</v>
      </c>
      <c r="I434" s="5232">
        <f>H434+IF('WW Plan'!$E$293="Activate",IF(AND(I$431&gt;='WW Plan'!$G$293,I$431&lt;'WW Plan'!$H$293+1),('WW Plan'!$G$300+'WW Plan'!$G$301+'WW Plan'!$G$302)/('WW Plan'!$H$293+1-'WW Plan'!$G$293),0),0)+IF('WW Plan'!$E$293="Activate",IF('WW calcu'!I$431&gt;'WW Plan'!$G$293,I57,IF('WW calcu'!I$431='WW Plan'!$G$293,SUM($E$57:I57),0)))</f>
        <v>0</v>
      </c>
      <c r="J434" s="5232">
        <f>I434+IF('WW Plan'!$E$293="Activate",IF(AND(J$431&gt;='WW Plan'!$G$293,J$431&lt;'WW Plan'!$H$293+1),('WW Plan'!$G$300+'WW Plan'!$G$301+'WW Plan'!$G$302)/('WW Plan'!$H$293+1-'WW Plan'!$G$293),0),0)+IF('WW Plan'!$E$293="Activate",IF('WW calcu'!J$431&gt;'WW Plan'!$G$293,J57,IF('WW calcu'!J$431='WW Plan'!$G$293,SUM($E$57:J57),0)))</f>
        <v>0</v>
      </c>
      <c r="K434" s="5232">
        <f>J434+IF('WW Plan'!$E$293="Activate",IF(AND(K$431&gt;='WW Plan'!$G$293,K$431&lt;'WW Plan'!$H$293+1),('WW Plan'!$G$300+'WW Plan'!$G$301+'WW Plan'!$G$302)/('WW Plan'!$H$293+1-'WW Plan'!$G$293),0),0)+IF('WW Plan'!$E$293="Activate",IF('WW calcu'!K$431&gt;'WW Plan'!$G$293,K57,IF('WW calcu'!K$431='WW Plan'!$G$293,SUM($E$57:K57),0)))</f>
        <v>0</v>
      </c>
      <c r="L434" s="5232">
        <f>K434+IF('WW Plan'!$E$293="Activate",IF(AND(L$431&gt;='WW Plan'!$G$293,L$431&lt;'WW Plan'!$H$293+1),('WW Plan'!$G$300+'WW Plan'!$G$301+'WW Plan'!$G$302)/('WW Plan'!$H$293+1-'WW Plan'!$G$293),0),0)+IF('WW Plan'!$E$293="Activate",IF('WW calcu'!L$431&gt;'WW Plan'!$G$293,L57,IF('WW calcu'!L$431='WW Plan'!$G$293,SUM($E$57:L57),0)))</f>
        <v>0</v>
      </c>
      <c r="M434" s="5232">
        <f>L434+IF('WW Plan'!$E$293="Activate",IF(AND(M$431&gt;='WW Plan'!$G$293,M$431&lt;'WW Plan'!$H$293+1),('WW Plan'!$G$300+'WW Plan'!$G$301+'WW Plan'!$G$302)/('WW Plan'!$H$293+1-'WW Plan'!$G$293),0),0)+IF('WW Plan'!$E$293="Activate",IF('WW calcu'!M$431&gt;'WW Plan'!$G$293,M57,IF('WW calcu'!M$431='WW Plan'!$G$293,SUM($E$57:M57),0)))</f>
        <v>0</v>
      </c>
      <c r="N434" s="5232">
        <f>M434+IF('WW Plan'!$E$293="Activate",IF(AND(N$431&gt;='WW Plan'!$G$293,N$431&lt;'WW Plan'!$H$293+1),('WW Plan'!$G$300+'WW Plan'!$G$301+'WW Plan'!$G$302)/('WW Plan'!$H$293+1-'WW Plan'!$G$293),0),0)+IF('WW Plan'!$E$293="Activate",IF('WW calcu'!N$431&gt;'WW Plan'!$G$293,N57,IF('WW calcu'!N$431='WW Plan'!$G$293,SUM($E$57:N57),0)))</f>
        <v>0</v>
      </c>
      <c r="O434" s="5233">
        <f>N434+IF('WW Plan'!$E$293="Activate",IF(AND(O$431&gt;='WW Plan'!$G$293,O$431&lt;'WW Plan'!$H$293+1),('WW Plan'!$G$300+'WW Plan'!$G$301+'WW Plan'!$G$302)/('WW Plan'!$H$293+1-'WW Plan'!$G$293),0),0)+IF('WW Plan'!$E$293="Activate",IF('WW calcu'!O$431&gt;'WW Plan'!$G$293,O57,IF('WW calcu'!O$431='WW Plan'!$G$293,SUM($E$57:O57),0)))</f>
        <v>0</v>
      </c>
    </row>
    <row r="435" spans="2:15" hidden="1" outlineLevel="1" x14ac:dyDescent="0.25">
      <c r="B435" s="551"/>
      <c r="C435" s="570" t="s">
        <v>27</v>
      </c>
      <c r="D435" s="2547"/>
      <c r="E435" s="2104">
        <f>D435+IF('WW Plan'!$E$293="Activate",IF(AND(E$431&gt;='WW Plan'!$G$293,E$431&lt;'WW Plan'!$H$293+1),('WW Plan'!$H$300+'WW Plan'!$H$301+'WW Plan'!$H$302)/('WW Plan'!$H$293+1-'WW Plan'!$G$293),0),0)+IF('WW Plan'!$E$293="Activate",IF('WW calcu'!E$431&gt;'WW Plan'!$G$293,E58,IF('WW calcu'!E$431='WW Plan'!$G$293,SUM($E$58:E58),0)))</f>
        <v>0</v>
      </c>
      <c r="F435" s="2104">
        <f>E435+IF('WW Plan'!$E$293="Activate",IF(AND(F$431&gt;='WW Plan'!$G$293,F$431&lt;'WW Plan'!$H$293+1),('WW Plan'!$H$300+'WW Plan'!$H$301+'WW Plan'!$H$302)/('WW Plan'!$H$293+1-'WW Plan'!$G$293),0),0)+IF('WW Plan'!$E$293="Activate",IF('WW calcu'!F$431&gt;'WW Plan'!$G$293,F58,IF('WW calcu'!F$431='WW Plan'!$G$293,SUM($E$58:F58),0)))</f>
        <v>0</v>
      </c>
      <c r="G435" s="2104">
        <f>F435+IF('WW Plan'!$E$293="Activate",IF(AND(G$431&gt;='WW Plan'!$G$293,G$431&lt;'WW Plan'!$H$293+1),('WW Plan'!$H$300+'WW Plan'!$H$301+'WW Plan'!$H$302)/('WW Plan'!$H$293+1-'WW Plan'!$G$293),0),0)+IF('WW Plan'!$E$293="Activate",IF('WW calcu'!G$431&gt;'WW Plan'!$G$293,G58,IF('WW calcu'!G$431='WW Plan'!$G$293,SUM($E$58:G58),0)))</f>
        <v>0</v>
      </c>
      <c r="H435" s="2104">
        <f>G435+IF('WW Plan'!$E$293="Activate",IF(AND(H$431&gt;='WW Plan'!$G$293,H$431&lt;'WW Plan'!$H$293+1),('WW Plan'!$H$300+'WW Plan'!$H$301+'WW Plan'!$H$302)/('WW Plan'!$H$293+1-'WW Plan'!$G$293),0),0)+IF('WW Plan'!$E$293="Activate",IF('WW calcu'!H$431&gt;'WW Plan'!$G$293,H58,IF('WW calcu'!H$431='WW Plan'!$G$293,SUM($E$58:H58),0)))</f>
        <v>0</v>
      </c>
      <c r="I435" s="2104">
        <f>H435+IF('WW Plan'!$E$293="Activate",IF(AND(I$431&gt;='WW Plan'!$G$293,I$431&lt;'WW Plan'!$H$293+1),('WW Plan'!$H$300+'WW Plan'!$H$301+'WW Plan'!$H$302)/('WW Plan'!$H$293+1-'WW Plan'!$G$293),0),0)+IF('WW Plan'!$E$293="Activate",IF('WW calcu'!I$431&gt;'WW Plan'!$G$293,I58,IF('WW calcu'!I$431='WW Plan'!$G$293,SUM($E$58:I58),0)))</f>
        <v>0</v>
      </c>
      <c r="J435" s="2104">
        <f>I435+IF('WW Plan'!$E$293="Activate",IF(AND(J$431&gt;='WW Plan'!$G$293,J$431&lt;'WW Plan'!$H$293+1),('WW Plan'!$H$300+'WW Plan'!$H$301+'WW Plan'!$H$302)/('WW Plan'!$H$293+1-'WW Plan'!$G$293),0),0)+IF('WW Plan'!$E$293="Activate",IF('WW calcu'!J$431&gt;'WW Plan'!$G$293,J58,IF('WW calcu'!J$431='WW Plan'!$G$293,SUM($E$58:J58),0)))</f>
        <v>0</v>
      </c>
      <c r="K435" s="2104">
        <f>J435+IF('WW Plan'!$E$293="Activate",IF(AND(K$431&gt;='WW Plan'!$G$293,K$431&lt;'WW Plan'!$H$293+1),('WW Plan'!$H$300+'WW Plan'!$H$301+'WW Plan'!$H$302)/('WW Plan'!$H$293+1-'WW Plan'!$G$293),0),0)+IF('WW Plan'!$E$293="Activate",IF('WW calcu'!K$431&gt;'WW Plan'!$G$293,K58,IF('WW calcu'!K$431='WW Plan'!$G$293,SUM($E$58:K58),0)))</f>
        <v>0</v>
      </c>
      <c r="L435" s="2104">
        <f>K435+IF('WW Plan'!$E$293="Activate",IF(AND(L$431&gt;='WW Plan'!$G$293,L$431&lt;'WW Plan'!$H$293+1),('WW Plan'!$H$300+'WW Plan'!$H$301+'WW Plan'!$H$302)/('WW Plan'!$H$293+1-'WW Plan'!$G$293),0),0)+IF('WW Plan'!$E$293="Activate",IF('WW calcu'!L$431&gt;'WW Plan'!$G$293,L58,IF('WW calcu'!L$431='WW Plan'!$G$293,SUM($E$58:L58),0)))</f>
        <v>0</v>
      </c>
      <c r="M435" s="2104">
        <f>L435+IF('WW Plan'!$E$293="Activate",IF(AND(M$431&gt;='WW Plan'!$G$293,M$431&lt;'WW Plan'!$H$293+1),('WW Plan'!$H$300+'WW Plan'!$H$301+'WW Plan'!$H$302)/('WW Plan'!$H$293+1-'WW Plan'!$G$293),0),0)+IF('WW Plan'!$E$293="Activate",IF('WW calcu'!M$431&gt;'WW Plan'!$G$293,M58,IF('WW calcu'!M$431='WW Plan'!$G$293,SUM($E$58:M58),0)))</f>
        <v>0</v>
      </c>
      <c r="N435" s="2104">
        <f>M435+IF('WW Plan'!$E$293="Activate",IF(AND(N$431&gt;='WW Plan'!$G$293,N$431&lt;'WW Plan'!$H$293+1),('WW Plan'!$H$300+'WW Plan'!$H$301+'WW Plan'!$H$302)/('WW Plan'!$H$293+1-'WW Plan'!$G$293),0),0)+IF('WW Plan'!$E$293="Activate",IF('WW calcu'!N$431&gt;'WW Plan'!$G$293,N58,IF('WW calcu'!N$431='WW Plan'!$G$293,SUM($E$58:N58),0)))</f>
        <v>0</v>
      </c>
      <c r="O435" s="2105">
        <f>N435+IF('WW Plan'!$E$293="Activate",IF(AND(O$431&gt;='WW Plan'!$G$293,O$431&lt;'WW Plan'!$H$293+1),('WW Plan'!$H$300+'WW Plan'!$H$301+'WW Plan'!$H$302)/('WW Plan'!$H$293+1-'WW Plan'!$G$293),0),0)+IF('WW Plan'!$E$293="Activate",IF('WW calcu'!O$431&gt;'WW Plan'!$G$293,O58,IF('WW calcu'!O$431='WW Plan'!$G$293,SUM($E$58:O58),0)))</f>
        <v>0</v>
      </c>
    </row>
    <row r="436" spans="2:15" hidden="1" outlineLevel="1" x14ac:dyDescent="0.25"/>
    <row r="437" spans="2:15" hidden="1" outlineLevel="1" x14ac:dyDescent="0.25">
      <c r="B437" s="2163">
        <v>1</v>
      </c>
      <c r="C437" s="2675" t="s">
        <v>2505</v>
      </c>
      <c r="D437" s="2481" t="s">
        <v>2422</v>
      </c>
      <c r="E437" s="2094">
        <f>IF('WW Plan'!$E$293="Activate",IF(AND(E$431&gt;='WW Plan'!$G$293,E$431&lt;'WW Plan'!$H$293+1),('WW Plan'!$G$301)/('WW Plan'!$H$293+1-'WW Plan'!$G$293),0),0)</f>
        <v>0</v>
      </c>
      <c r="F437" s="2094">
        <f>E437+IF('WW Plan'!$E$293="Activate",IF(AND(F$431&gt;='WW Plan'!$G$293,F$431&lt;'WW Plan'!$H$293+1),('WW Plan'!$G$301)/('WW Plan'!$H$293+1-'WW Plan'!$G$293),0),0)</f>
        <v>0</v>
      </c>
      <c r="G437" s="2094">
        <f>F437+IF('WW Plan'!$E$293="Activate",IF(AND(G$431&gt;='WW Plan'!$G$293,G$431&lt;'WW Plan'!$H$293+1),('WW Plan'!$G$301)/('WW Plan'!$H$293+1-'WW Plan'!$G$293),0),0)</f>
        <v>0</v>
      </c>
      <c r="H437" s="2094">
        <f>G437+IF('WW Plan'!$E$293="Activate",IF(AND(H$431&gt;='WW Plan'!$G$293,H$431&lt;'WW Plan'!$H$293+1),('WW Plan'!$G$301)/('WW Plan'!$H$293+1-'WW Plan'!$G$293),0),0)</f>
        <v>0</v>
      </c>
      <c r="I437" s="2094">
        <f>H437+IF('WW Plan'!$E$293="Activate",IF(AND(I$431&gt;='WW Plan'!$G$293,I$431&lt;'WW Plan'!$H$293+1),('WW Plan'!$G$301)/('WW Plan'!$H$293+1-'WW Plan'!$G$293),0),0)</f>
        <v>0</v>
      </c>
      <c r="J437" s="2094">
        <f>I437+IF('WW Plan'!$E$293="Activate",IF(AND(J$431&gt;='WW Plan'!$G$293,J$431&lt;'WW Plan'!$H$293+1),('WW Plan'!$G$301)/('WW Plan'!$H$293+1-'WW Plan'!$G$293),0),0)</f>
        <v>0</v>
      </c>
      <c r="K437" s="2094">
        <f>J437+IF('WW Plan'!$E$293="Activate",IF(AND(K$431&gt;='WW Plan'!$G$293,K$431&lt;'WW Plan'!$H$293+1),('WW Plan'!$G$301)/('WW Plan'!$H$293+1-'WW Plan'!$G$293),0),0)</f>
        <v>0</v>
      </c>
      <c r="L437" s="2094">
        <f>K437+IF('WW Plan'!$E$293="Activate",IF(AND(L$431&gt;='WW Plan'!$G$293,L$431&lt;'WW Plan'!$H$293+1),('WW Plan'!$G$301)/('WW Plan'!$H$293+1-'WW Plan'!$G$293),0),0)</f>
        <v>0</v>
      </c>
      <c r="M437" s="2094">
        <f>L437+IF('WW Plan'!$E$293="Activate",IF(AND(M$431&gt;='WW Plan'!$G$293,M$431&lt;'WW Plan'!$H$293+1),('WW Plan'!$G$301)/('WW Plan'!$H$293+1-'WW Plan'!$G$293),0),0)</f>
        <v>0</v>
      </c>
      <c r="N437" s="2094">
        <f>M437+IF('WW Plan'!$E$293="Activate",IF(AND(N$431&gt;='WW Plan'!$G$293,N$431&lt;'WW Plan'!$H$293+1),('WW Plan'!$G$301)/('WW Plan'!$H$293+1-'WW Plan'!$G$293),0),0)</f>
        <v>0</v>
      </c>
      <c r="O437" s="600">
        <f>N437+IF('WW Plan'!$E$293="Activate",IF(AND(O$431&gt;='WW Plan'!$G$293,O$431&lt;'WW Plan'!$H$293+1),('WW Plan'!$G$301)/('WW Plan'!$H$293+1-'WW Plan'!$G$293),0),0)</f>
        <v>0</v>
      </c>
    </row>
    <row r="438" spans="2:15" hidden="1" outlineLevel="1" x14ac:dyDescent="0.25">
      <c r="B438" s="2164"/>
      <c r="C438" s="2071"/>
      <c r="D438" s="2488" t="s">
        <v>27</v>
      </c>
      <c r="E438" s="597">
        <f>IF('WW Plan'!$E$293="Activate",IF(AND(E$431&gt;='WW Plan'!$G$293,E$431&lt;'WW Plan'!$H$293+1),('WW Plan'!$H$301)/('WW Plan'!$H$293+1-'WW Plan'!$G$293),0),0)</f>
        <v>0</v>
      </c>
      <c r="F438" s="597">
        <f>E438+IF('WW Plan'!$E$293="Activate",IF(AND(F$431&gt;='WW Plan'!$G$293,F$431&lt;'WW Plan'!$H$293+1),('WW Plan'!$H$301)/('WW Plan'!$H$293+1-'WW Plan'!$G$293),0),0)</f>
        <v>0</v>
      </c>
      <c r="G438" s="597">
        <f>F438+IF('WW Plan'!$E$293="Activate",IF(AND(G$431&gt;='WW Plan'!$G$293,G$431&lt;'WW Plan'!$H$293+1),('WW Plan'!$H$301)/('WW Plan'!$H$293+1-'WW Plan'!$G$293),0),0)</f>
        <v>0</v>
      </c>
      <c r="H438" s="597">
        <f>G438+IF('WW Plan'!$E$293="Activate",IF(AND(H$431&gt;='WW Plan'!$G$293,H$431&lt;'WW Plan'!$H$293+1),('WW Plan'!$H$301)/('WW Plan'!$H$293+1-'WW Plan'!$G$293),0),0)</f>
        <v>0</v>
      </c>
      <c r="I438" s="597">
        <f>H438+IF('WW Plan'!$E$293="Activate",IF(AND(I$431&gt;='WW Plan'!$G$293,I$431&lt;'WW Plan'!$H$293+1),('WW Plan'!$H$301)/('WW Plan'!$H$293+1-'WW Plan'!$G$293),0),0)</f>
        <v>0</v>
      </c>
      <c r="J438" s="597">
        <f>I438+IF('WW Plan'!$E$293="Activate",IF(AND(J$431&gt;='WW Plan'!$G$293,J$431&lt;'WW Plan'!$H$293+1),('WW Plan'!$H$301)/('WW Plan'!$H$293+1-'WW Plan'!$G$293),0),0)</f>
        <v>0</v>
      </c>
      <c r="K438" s="597">
        <f>J438+IF('WW Plan'!$E$293="Activate",IF(AND(K$431&gt;='WW Plan'!$G$293,K$431&lt;'WW Plan'!$H$293+1),('WW Plan'!$H$301)/('WW Plan'!$H$293+1-'WW Plan'!$G$293),0),0)</f>
        <v>0</v>
      </c>
      <c r="L438" s="597">
        <f>K438+IF('WW Plan'!$E$293="Activate",IF(AND(L$431&gt;='WW Plan'!$G$293,L$431&lt;'WW Plan'!$H$293+1),('WW Plan'!$H$301)/('WW Plan'!$H$293+1-'WW Plan'!$G$293),0),0)</f>
        <v>0</v>
      </c>
      <c r="M438" s="597">
        <f>L438+IF('WW Plan'!$E$293="Activate",IF(AND(M$431&gt;='WW Plan'!$G$293,M$431&lt;'WW Plan'!$H$293+1),('WW Plan'!$H$301)/('WW Plan'!$H$293+1-'WW Plan'!$G$293),0),0)</f>
        <v>0</v>
      </c>
      <c r="N438" s="597">
        <f>M438+IF('WW Plan'!$E$293="Activate",IF(AND(N$431&gt;='WW Plan'!$G$293,N$431&lt;'WW Plan'!$H$293+1),('WW Plan'!$H$301)/('WW Plan'!$H$293+1-'WW Plan'!$G$293),0),0)</f>
        <v>0</v>
      </c>
      <c r="O438" s="608">
        <f>N438+IF('WW Plan'!$E$293="Activate",IF(AND(O$431&gt;='WW Plan'!$G$293,O$431&lt;'WW Plan'!$H$293+1),('WW Plan'!$H$301)/('WW Plan'!$H$293+1-'WW Plan'!$G$293),0),0)</f>
        <v>0</v>
      </c>
    </row>
    <row r="439" spans="2:15" hidden="1" outlineLevel="1" x14ac:dyDescent="0.25">
      <c r="B439" s="2164"/>
      <c r="C439" s="2137" t="s">
        <v>2487</v>
      </c>
      <c r="D439" s="2558" t="s">
        <v>2422</v>
      </c>
      <c r="E439" s="2138">
        <f t="shared" ref="E439:O439" si="160">E434-E437</f>
        <v>0</v>
      </c>
      <c r="F439" s="2138">
        <f t="shared" si="160"/>
        <v>0</v>
      </c>
      <c r="G439" s="2138">
        <f t="shared" si="160"/>
        <v>0</v>
      </c>
      <c r="H439" s="2138">
        <f t="shared" si="160"/>
        <v>0</v>
      </c>
      <c r="I439" s="2138">
        <f t="shared" si="160"/>
        <v>0</v>
      </c>
      <c r="J439" s="2138">
        <f t="shared" si="160"/>
        <v>0</v>
      </c>
      <c r="K439" s="2138">
        <f t="shared" si="160"/>
        <v>0</v>
      </c>
      <c r="L439" s="2138">
        <f t="shared" si="160"/>
        <v>0</v>
      </c>
      <c r="M439" s="2138">
        <f t="shared" si="160"/>
        <v>0</v>
      </c>
      <c r="N439" s="2138">
        <f t="shared" si="160"/>
        <v>0</v>
      </c>
      <c r="O439" s="2139">
        <f t="shared" si="160"/>
        <v>0</v>
      </c>
    </row>
    <row r="440" spans="2:15" hidden="1" outlineLevel="1" x14ac:dyDescent="0.25">
      <c r="B440" s="2164"/>
      <c r="C440" s="2140"/>
      <c r="D440" s="2559" t="s">
        <v>27</v>
      </c>
      <c r="E440" s="2141">
        <f t="shared" ref="E440:O440" si="161">E435-E438</f>
        <v>0</v>
      </c>
      <c r="F440" s="2141">
        <f t="shared" si="161"/>
        <v>0</v>
      </c>
      <c r="G440" s="2141">
        <f t="shared" si="161"/>
        <v>0</v>
      </c>
      <c r="H440" s="2141">
        <f t="shared" si="161"/>
        <v>0</v>
      </c>
      <c r="I440" s="2141">
        <f t="shared" si="161"/>
        <v>0</v>
      </c>
      <c r="J440" s="2141">
        <f t="shared" si="161"/>
        <v>0</v>
      </c>
      <c r="K440" s="2141">
        <f t="shared" si="161"/>
        <v>0</v>
      </c>
      <c r="L440" s="2141">
        <f t="shared" si="161"/>
        <v>0</v>
      </c>
      <c r="M440" s="2141">
        <f t="shared" si="161"/>
        <v>0</v>
      </c>
      <c r="N440" s="2141">
        <f t="shared" si="161"/>
        <v>0</v>
      </c>
      <c r="O440" s="2142">
        <f t="shared" si="161"/>
        <v>0</v>
      </c>
    </row>
    <row r="441" spans="2:15" hidden="1" outlineLevel="1" x14ac:dyDescent="0.25">
      <c r="B441" s="2164"/>
      <c r="C441" s="2071" t="s">
        <v>2508</v>
      </c>
      <c r="D441" s="2488"/>
      <c r="E441" s="550">
        <f>E422+E437</f>
        <v>0</v>
      </c>
      <c r="F441" s="122">
        <f>F422+F437</f>
        <v>0</v>
      </c>
      <c r="G441" s="122">
        <f t="shared" ref="G441:O441" si="162">G422+G437</f>
        <v>0</v>
      </c>
      <c r="H441" s="122">
        <f t="shared" si="162"/>
        <v>0</v>
      </c>
      <c r="I441" s="122">
        <f t="shared" si="162"/>
        <v>0</v>
      </c>
      <c r="J441" s="122">
        <f t="shared" si="162"/>
        <v>0</v>
      </c>
      <c r="K441" s="122">
        <f t="shared" si="162"/>
        <v>0</v>
      </c>
      <c r="L441" s="122">
        <f t="shared" si="162"/>
        <v>0</v>
      </c>
      <c r="M441" s="122">
        <f t="shared" si="162"/>
        <v>0</v>
      </c>
      <c r="N441" s="122">
        <f t="shared" si="162"/>
        <v>0</v>
      </c>
      <c r="O441" s="2214">
        <f t="shared" si="162"/>
        <v>0</v>
      </c>
    </row>
    <row r="442" spans="2:15" hidden="1" outlineLevel="1" x14ac:dyDescent="0.25">
      <c r="B442" s="2165"/>
      <c r="C442" s="551" t="s">
        <v>2509</v>
      </c>
      <c r="D442" s="2547"/>
      <c r="E442" s="552">
        <f>E423+E438</f>
        <v>0</v>
      </c>
      <c r="F442" s="5368">
        <f>F423+F438</f>
        <v>0</v>
      </c>
      <c r="G442" s="5368">
        <f t="shared" ref="G442:N442" si="163">G423+G438</f>
        <v>0</v>
      </c>
      <c r="H442" s="5368">
        <f t="shared" si="163"/>
        <v>0</v>
      </c>
      <c r="I442" s="5368">
        <f t="shared" si="163"/>
        <v>0</v>
      </c>
      <c r="J442" s="5368">
        <f t="shared" si="163"/>
        <v>0</v>
      </c>
      <c r="K442" s="5368">
        <f t="shared" si="163"/>
        <v>0</v>
      </c>
      <c r="L442" s="5368">
        <f t="shared" si="163"/>
        <v>0</v>
      </c>
      <c r="M442" s="5368">
        <f t="shared" si="163"/>
        <v>0</v>
      </c>
      <c r="N442" s="5368">
        <f t="shared" si="163"/>
        <v>0</v>
      </c>
      <c r="O442" s="5369">
        <f>O423+O438</f>
        <v>0</v>
      </c>
    </row>
    <row r="443" spans="2:15" hidden="1" outlineLevel="1" x14ac:dyDescent="0.25"/>
    <row r="444" spans="2:15" hidden="1" outlineLevel="1" x14ac:dyDescent="0.25">
      <c r="B444" s="2163">
        <v>2</v>
      </c>
      <c r="C444" s="2662" t="s">
        <v>2507</v>
      </c>
      <c r="D444" s="2481" t="s">
        <v>2422</v>
      </c>
      <c r="E444" s="2094">
        <f>ROUND(IF('WW Plan'!$E$293="Activate",IF(AND(E$431&gt;='WW Plan'!$G$293,E$431&lt;'WW Plan'!$H$293+1),('WW Plan'!$G$302)/('WW Plan'!$H$293+1-'WW Plan'!$G$293),0),0),0)</f>
        <v>0</v>
      </c>
      <c r="F444" s="2094">
        <f>E444+IF('WW Plan'!$E$293="Activate",IF(AND(F$431&gt;='WW Plan'!$G$293,F$431&lt;'WW Plan'!$H$293+1),('WW Plan'!$G$302)/('WW Plan'!$H$293+1-'WW Plan'!$G$293),0),0)</f>
        <v>0</v>
      </c>
      <c r="G444" s="2094">
        <f>F444+IF('WW Plan'!$E$293="Activate",IF(AND(G$431&gt;='WW Plan'!$G$293,G$431&lt;'WW Plan'!$H$293+1),('WW Plan'!$G$302)/('WW Plan'!$H$293+1-'WW Plan'!$G$293),0),0)</f>
        <v>0</v>
      </c>
      <c r="H444" s="2094">
        <f>G444+IF('WW Plan'!$E$293="Activate",IF(AND(H$431&gt;='WW Plan'!$G$293,H$431&lt;'WW Plan'!$H$293+1),('WW Plan'!$G$302)/('WW Plan'!$H$293+1-'WW Plan'!$G$293),0),0)</f>
        <v>0</v>
      </c>
      <c r="I444" s="2094">
        <f>H444+IF('WW Plan'!$E$293="Activate",IF(AND(I$431&gt;='WW Plan'!$G$293,I$431&lt;'WW Plan'!$H$293+1),('WW Plan'!$G$302)/('WW Plan'!$H$293+1-'WW Plan'!$G$293),0),0)</f>
        <v>0</v>
      </c>
      <c r="J444" s="2094">
        <f>I444+IF('WW Plan'!$E$293="Activate",IF(AND(J$431&gt;='WW Plan'!$G$293,J$431&lt;'WW Plan'!$H$293+1),('WW Plan'!$G$302)/('WW Plan'!$H$293+1-'WW Plan'!$G$293),0),0)</f>
        <v>0</v>
      </c>
      <c r="K444" s="2094">
        <f>J444+IF('WW Plan'!$E$293="Activate",IF(AND(K$431&gt;='WW Plan'!$G$293,K$431&lt;'WW Plan'!$H$293+1),('WW Plan'!$G$302)/('WW Plan'!$H$293+1-'WW Plan'!$G$293),0),0)</f>
        <v>0</v>
      </c>
      <c r="L444" s="2094">
        <f>K444+IF('WW Plan'!$E$293="Activate",IF(AND(L$431&gt;='WW Plan'!$G$293,L$431&lt;'WW Plan'!$H$293+1),('WW Plan'!$G$302)/('WW Plan'!$H$293+1-'WW Plan'!$G$293),0),0)</f>
        <v>0</v>
      </c>
      <c r="M444" s="2094">
        <f>L444+IF('WW Plan'!$E$293="Activate",IF(AND(M$431&gt;='WW Plan'!$G$293,M$431&lt;'WW Plan'!$H$293+1),('WW Plan'!$G$302)/('WW Plan'!$H$293+1-'WW Plan'!$G$293),0),0)</f>
        <v>0</v>
      </c>
      <c r="N444" s="2094">
        <f>M444+IF('WW Plan'!$E$293="Activate",IF(AND(N$431&gt;='WW Plan'!$G$293,N$431&lt;'WW Plan'!$H$293+1),('WW Plan'!$G$302)/('WW Plan'!$H$293+1-'WW Plan'!$G$293),0),0)</f>
        <v>0</v>
      </c>
      <c r="O444" s="600">
        <f>N444+IF('WW Plan'!$E$293="Activate",IF(AND(O$431&gt;='WW Plan'!$G$293,O$431&lt;'WW Plan'!$H$293+1),('WW Plan'!$G$302)/('WW Plan'!$H$293+1-'WW Plan'!$G$293),0),0)</f>
        <v>0</v>
      </c>
    </row>
    <row r="445" spans="2:15" hidden="1" outlineLevel="1" x14ac:dyDescent="0.25">
      <c r="B445" s="2164"/>
      <c r="C445" s="2071"/>
      <c r="D445" s="2488" t="s">
        <v>27</v>
      </c>
      <c r="E445" s="597">
        <f>ROUND(IF('WW Plan'!$E$293="Activate",IF(AND(E$431&gt;='WW Plan'!$G$293,E$431&lt;'WW Plan'!$H$293+1),('WW Plan'!$H$302)/('WW Plan'!$H$293+1-'WW Plan'!$G$293),0),0),0)</f>
        <v>0</v>
      </c>
      <c r="F445" s="597">
        <f>E445+IF('WW Plan'!$E$293="Activate",IF(AND(F$431&gt;='WW Plan'!$G$293,F$431&lt;'WW Plan'!$H$293+1),('WW Plan'!$H$302)/('WW Plan'!$H$293+1-'WW Plan'!$G$293),0),0)</f>
        <v>0</v>
      </c>
      <c r="G445" s="597">
        <f>F445+IF('WW Plan'!$E$293="Activate",IF(AND(G$431&gt;='WW Plan'!$G$293,G$431&lt;'WW Plan'!$H$293+1),('WW Plan'!$H$302)/('WW Plan'!$H$293+1-'WW Plan'!$G$293),0),0)</f>
        <v>0</v>
      </c>
      <c r="H445" s="597">
        <f>G445+IF('WW Plan'!$E$293="Activate",IF(AND(H$431&gt;='WW Plan'!$G$293,H$431&lt;'WW Plan'!$H$293+1),('WW Plan'!$H$302)/('WW Plan'!$H$293+1-'WW Plan'!$G$293),0),0)</f>
        <v>0</v>
      </c>
      <c r="I445" s="597">
        <f>H445+IF('WW Plan'!$E$293="Activate",IF(AND(I$431&gt;='WW Plan'!$G$293,I$431&lt;'WW Plan'!$H$293+1),('WW Plan'!$H$302)/('WW Plan'!$H$293+1-'WW Plan'!$G$293),0),0)</f>
        <v>0</v>
      </c>
      <c r="J445" s="597">
        <f>I445+IF('WW Plan'!$E$293="Activate",IF(AND(J$431&gt;='WW Plan'!$G$293,J$431&lt;'WW Plan'!$H$293+1),('WW Plan'!$H$302)/('WW Plan'!$H$293+1-'WW Plan'!$G$293),0),0)</f>
        <v>0</v>
      </c>
      <c r="K445" s="597">
        <f>J445+IF('WW Plan'!$E$293="Activate",IF(AND(K$431&gt;='WW Plan'!$G$293,K$431&lt;'WW Plan'!$H$293+1),('WW Plan'!$H$302)/('WW Plan'!$H$293+1-'WW Plan'!$G$293),0),0)</f>
        <v>0</v>
      </c>
      <c r="L445" s="597">
        <f>K445+IF('WW Plan'!$E$293="Activate",IF(AND(L$431&gt;='WW Plan'!$G$293,L$431&lt;'WW Plan'!$H$293+1),('WW Plan'!$H$302)/('WW Plan'!$H$293+1-'WW Plan'!$G$293),0),0)</f>
        <v>0</v>
      </c>
      <c r="M445" s="597">
        <f>L445+IF('WW Plan'!$E$293="Activate",IF(AND(M$431&gt;='WW Plan'!$G$293,M$431&lt;'WW Plan'!$H$293+1),('WW Plan'!$H$302)/('WW Plan'!$H$293+1-'WW Plan'!$G$293),0),0)</f>
        <v>0</v>
      </c>
      <c r="N445" s="597">
        <f>M445+IF('WW Plan'!$E$293="Activate",IF(AND(N$431&gt;='WW Plan'!$G$293,N$431&lt;'WW Plan'!$H$293+1),('WW Plan'!$H$302)/('WW Plan'!$H$293+1-'WW Plan'!$G$293),0),0)</f>
        <v>0</v>
      </c>
      <c r="O445" s="608">
        <f>N445+IF('WW Plan'!$E$293="Activate",IF(AND(O$431&gt;='WW Plan'!$G$293,O$431&lt;'WW Plan'!$H$293+1),('WW Plan'!$H$302)/('WW Plan'!$H$293+1-'WW Plan'!$G$293),0),0)</f>
        <v>0</v>
      </c>
    </row>
    <row r="446" spans="2:15" hidden="1" outlineLevel="1" x14ac:dyDescent="0.25">
      <c r="B446" s="2164"/>
      <c r="C446" s="2137" t="s">
        <v>2487</v>
      </c>
      <c r="D446" s="2558" t="s">
        <v>2422</v>
      </c>
      <c r="E446" s="2138">
        <f>E439-E444</f>
        <v>0</v>
      </c>
      <c r="F446" s="2138">
        <f t="shared" ref="F446:O446" si="164">F439-F444</f>
        <v>0</v>
      </c>
      <c r="G446" s="2138">
        <f t="shared" si="164"/>
        <v>0</v>
      </c>
      <c r="H446" s="2138">
        <f t="shared" si="164"/>
        <v>0</v>
      </c>
      <c r="I446" s="2138">
        <f t="shared" si="164"/>
        <v>0</v>
      </c>
      <c r="J446" s="2138">
        <f t="shared" si="164"/>
        <v>0</v>
      </c>
      <c r="K446" s="2138">
        <f t="shared" si="164"/>
        <v>0</v>
      </c>
      <c r="L446" s="2138">
        <f t="shared" si="164"/>
        <v>0</v>
      </c>
      <c r="M446" s="2138">
        <f t="shared" si="164"/>
        <v>0</v>
      </c>
      <c r="N446" s="2138">
        <f t="shared" si="164"/>
        <v>0</v>
      </c>
      <c r="O446" s="2139">
        <f t="shared" si="164"/>
        <v>0</v>
      </c>
    </row>
    <row r="447" spans="2:15" hidden="1" outlineLevel="1" x14ac:dyDescent="0.25">
      <c r="B447" s="2164"/>
      <c r="C447" s="2140"/>
      <c r="D447" s="2559" t="s">
        <v>27</v>
      </c>
      <c r="E447" s="2141">
        <f>E440-E445</f>
        <v>0</v>
      </c>
      <c r="F447" s="2141">
        <f t="shared" ref="F447:O447" si="165">F440-F445</f>
        <v>0</v>
      </c>
      <c r="G447" s="2141">
        <f t="shared" si="165"/>
        <v>0</v>
      </c>
      <c r="H447" s="2141">
        <f t="shared" si="165"/>
        <v>0</v>
      </c>
      <c r="I447" s="2141">
        <f t="shared" si="165"/>
        <v>0</v>
      </c>
      <c r="J447" s="2141">
        <f t="shared" si="165"/>
        <v>0</v>
      </c>
      <c r="K447" s="2141">
        <f t="shared" si="165"/>
        <v>0</v>
      </c>
      <c r="L447" s="2141">
        <f t="shared" si="165"/>
        <v>0</v>
      </c>
      <c r="M447" s="2141">
        <f t="shared" si="165"/>
        <v>0</v>
      </c>
      <c r="N447" s="2141">
        <f t="shared" si="165"/>
        <v>0</v>
      </c>
      <c r="O447" s="2142">
        <f t="shared" si="165"/>
        <v>0</v>
      </c>
    </row>
    <row r="448" spans="2:15" hidden="1" outlineLevel="1" x14ac:dyDescent="0.25">
      <c r="B448" s="2164"/>
      <c r="C448" s="2071" t="s">
        <v>2508</v>
      </c>
      <c r="D448" s="2488"/>
      <c r="E448" s="550">
        <f>E441</f>
        <v>0</v>
      </c>
      <c r="F448" s="550">
        <f>F441+F444</f>
        <v>0</v>
      </c>
      <c r="G448" s="550">
        <f t="shared" ref="G448:N449" si="166">G441+G444</f>
        <v>0</v>
      </c>
      <c r="H448" s="550">
        <f t="shared" si="166"/>
        <v>0</v>
      </c>
      <c r="I448" s="550">
        <f t="shared" si="166"/>
        <v>0</v>
      </c>
      <c r="J448" s="550">
        <f t="shared" si="166"/>
        <v>0</v>
      </c>
      <c r="K448" s="550">
        <f t="shared" si="166"/>
        <v>0</v>
      </c>
      <c r="L448" s="550">
        <f t="shared" si="166"/>
        <v>0</v>
      </c>
      <c r="M448" s="550">
        <f t="shared" si="166"/>
        <v>0</v>
      </c>
      <c r="N448" s="550">
        <f t="shared" si="166"/>
        <v>0</v>
      </c>
      <c r="O448" s="1033">
        <f>O441+O444</f>
        <v>0</v>
      </c>
    </row>
    <row r="449" spans="1:15" hidden="1" outlineLevel="1" x14ac:dyDescent="0.25">
      <c r="B449" s="2165"/>
      <c r="C449" s="551" t="s">
        <v>2509</v>
      </c>
      <c r="D449" s="2547"/>
      <c r="E449" s="570">
        <f>E442</f>
        <v>0</v>
      </c>
      <c r="F449" s="552">
        <f>F442+F445</f>
        <v>0</v>
      </c>
      <c r="G449" s="552">
        <f t="shared" si="166"/>
        <v>0</v>
      </c>
      <c r="H449" s="552">
        <f t="shared" si="166"/>
        <v>0</v>
      </c>
      <c r="I449" s="552">
        <f t="shared" si="166"/>
        <v>0</v>
      </c>
      <c r="J449" s="552">
        <f t="shared" si="166"/>
        <v>0</v>
      </c>
      <c r="K449" s="552">
        <f t="shared" si="166"/>
        <v>0</v>
      </c>
      <c r="L449" s="552">
        <f t="shared" si="166"/>
        <v>0</v>
      </c>
      <c r="M449" s="552">
        <f t="shared" si="166"/>
        <v>0</v>
      </c>
      <c r="N449" s="552">
        <f t="shared" si="166"/>
        <v>0</v>
      </c>
      <c r="O449" s="1058">
        <f>O442+O445</f>
        <v>0</v>
      </c>
    </row>
    <row r="450" spans="1:15" hidden="1" outlineLevel="1" x14ac:dyDescent="0.25"/>
    <row r="451" spans="1:15" hidden="1" outlineLevel="1" x14ac:dyDescent="0.25">
      <c r="B451" s="2163">
        <v>3</v>
      </c>
      <c r="C451" s="2662" t="s">
        <v>2485</v>
      </c>
      <c r="D451" s="2673"/>
      <c r="E451" s="2094"/>
      <c r="F451" s="2094"/>
      <c r="G451" s="2094"/>
      <c r="H451" s="2094"/>
      <c r="I451" s="2094"/>
      <c r="J451" s="2094"/>
      <c r="K451" s="2094"/>
      <c r="L451" s="2094"/>
      <c r="M451" s="2094"/>
      <c r="N451" s="2094"/>
      <c r="O451" s="600"/>
    </row>
    <row r="452" spans="1:15" hidden="1" outlineLevel="1" x14ac:dyDescent="0.25">
      <c r="B452" s="2164"/>
      <c r="C452" s="2143" t="s">
        <v>2422</v>
      </c>
      <c r="D452" s="2503">
        <f>'WW Plan'!G52</f>
        <v>0</v>
      </c>
      <c r="E452" s="597">
        <f>$D$452*E248</f>
        <v>0</v>
      </c>
      <c r="F452" s="597">
        <f t="shared" ref="F452:O452" si="167">($D$452*F248)+E452</f>
        <v>0</v>
      </c>
      <c r="G452" s="597">
        <f t="shared" si="167"/>
        <v>0</v>
      </c>
      <c r="H452" s="597">
        <f t="shared" si="167"/>
        <v>0</v>
      </c>
      <c r="I452" s="597">
        <f t="shared" si="167"/>
        <v>0</v>
      </c>
      <c r="J452" s="597">
        <f t="shared" si="167"/>
        <v>0</v>
      </c>
      <c r="K452" s="597">
        <f t="shared" si="167"/>
        <v>0</v>
      </c>
      <c r="L452" s="597">
        <f t="shared" si="167"/>
        <v>0</v>
      </c>
      <c r="M452" s="597">
        <f t="shared" si="167"/>
        <v>0</v>
      </c>
      <c r="N452" s="597">
        <f t="shared" si="167"/>
        <v>0</v>
      </c>
      <c r="O452" s="608">
        <f t="shared" si="167"/>
        <v>0</v>
      </c>
    </row>
    <row r="453" spans="1:15" hidden="1" outlineLevel="1" x14ac:dyDescent="0.25">
      <c r="B453" s="2164"/>
      <c r="C453" s="2144" t="s">
        <v>646</v>
      </c>
      <c r="D453" s="2560">
        <f>'WW Plan'!H52</f>
        <v>0</v>
      </c>
      <c r="E453" s="2135">
        <f>$D$453*E249</f>
        <v>0</v>
      </c>
      <c r="F453" s="2135">
        <f t="shared" ref="F453:O453" si="168">($D$453*F249)+E453</f>
        <v>0</v>
      </c>
      <c r="G453" s="2135">
        <f t="shared" si="168"/>
        <v>0</v>
      </c>
      <c r="H453" s="2135">
        <f t="shared" si="168"/>
        <v>0</v>
      </c>
      <c r="I453" s="2135">
        <f t="shared" si="168"/>
        <v>0</v>
      </c>
      <c r="J453" s="2135">
        <f t="shared" si="168"/>
        <v>0</v>
      </c>
      <c r="K453" s="2135">
        <f t="shared" si="168"/>
        <v>0</v>
      </c>
      <c r="L453" s="2135">
        <f t="shared" si="168"/>
        <v>0</v>
      </c>
      <c r="M453" s="2135">
        <f t="shared" si="168"/>
        <v>0</v>
      </c>
      <c r="N453" s="2135">
        <f t="shared" si="168"/>
        <v>0</v>
      </c>
      <c r="O453" s="2136">
        <f t="shared" si="168"/>
        <v>0</v>
      </c>
    </row>
    <row r="454" spans="1:15" hidden="1" outlineLevel="1" x14ac:dyDescent="0.25">
      <c r="B454" s="2164"/>
      <c r="C454" s="2096" t="s">
        <v>2486</v>
      </c>
      <c r="D454" s="2503"/>
      <c r="E454" s="597"/>
      <c r="F454" s="597"/>
      <c r="G454" s="597"/>
      <c r="H454" s="597"/>
      <c r="I454" s="597"/>
      <c r="J454" s="597"/>
      <c r="K454" s="597"/>
      <c r="L454" s="597"/>
      <c r="M454" s="597"/>
      <c r="N454" s="597"/>
      <c r="O454" s="608"/>
    </row>
    <row r="455" spans="1:15" hidden="1" outlineLevel="1" x14ac:dyDescent="0.25">
      <c r="B455" s="2164"/>
      <c r="C455" s="2071" t="s">
        <v>2422</v>
      </c>
      <c r="D455" s="2503"/>
      <c r="E455" s="597">
        <f>MIN(E452,E446)</f>
        <v>0</v>
      </c>
      <c r="F455" s="2100">
        <f t="shared" ref="F455:O455" si="169">MIN(F452,F446)</f>
        <v>0</v>
      </c>
      <c r="G455" s="597">
        <f t="shared" si="169"/>
        <v>0</v>
      </c>
      <c r="H455" s="597">
        <f t="shared" si="169"/>
        <v>0</v>
      </c>
      <c r="I455" s="597">
        <f t="shared" si="169"/>
        <v>0</v>
      </c>
      <c r="J455" s="597">
        <f t="shared" si="169"/>
        <v>0</v>
      </c>
      <c r="K455" s="597">
        <f t="shared" si="169"/>
        <v>0</v>
      </c>
      <c r="L455" s="597">
        <f t="shared" si="169"/>
        <v>0</v>
      </c>
      <c r="M455" s="597">
        <f t="shared" si="169"/>
        <v>0</v>
      </c>
      <c r="N455" s="597">
        <f t="shared" si="169"/>
        <v>0</v>
      </c>
      <c r="O455" s="608">
        <f t="shared" si="169"/>
        <v>0</v>
      </c>
    </row>
    <row r="456" spans="1:15" hidden="1" outlineLevel="1" x14ac:dyDescent="0.25">
      <c r="B456" s="2164"/>
      <c r="C456" s="2071" t="s">
        <v>646</v>
      </c>
      <c r="D456" s="2503"/>
      <c r="E456" s="597">
        <f>MIN(E453,E447)</f>
        <v>0</v>
      </c>
      <c r="F456" s="2100">
        <f t="shared" ref="F456:O456" si="170">MIN(F453,F447)</f>
        <v>0</v>
      </c>
      <c r="G456" s="597">
        <f t="shared" si="170"/>
        <v>0</v>
      </c>
      <c r="H456" s="597">
        <f t="shared" si="170"/>
        <v>0</v>
      </c>
      <c r="I456" s="597">
        <f t="shared" si="170"/>
        <v>0</v>
      </c>
      <c r="J456" s="597">
        <f t="shared" si="170"/>
        <v>0</v>
      </c>
      <c r="K456" s="597">
        <f t="shared" si="170"/>
        <v>0</v>
      </c>
      <c r="L456" s="597">
        <f t="shared" si="170"/>
        <v>0</v>
      </c>
      <c r="M456" s="597">
        <f t="shared" si="170"/>
        <v>0</v>
      </c>
      <c r="N456" s="597">
        <f t="shared" si="170"/>
        <v>0</v>
      </c>
      <c r="O456" s="608">
        <f t="shared" si="170"/>
        <v>0</v>
      </c>
    </row>
    <row r="457" spans="1:15" hidden="1" outlineLevel="1" x14ac:dyDescent="0.25">
      <c r="B457" s="2164"/>
      <c r="C457" s="2137" t="s">
        <v>2487</v>
      </c>
      <c r="D457" s="2558" t="s">
        <v>2422</v>
      </c>
      <c r="E457" s="2138">
        <f>E446-E455</f>
        <v>0</v>
      </c>
      <c r="F457" s="2138">
        <f t="shared" ref="F457:N457" si="171">F446-F455</f>
        <v>0</v>
      </c>
      <c r="G457" s="2138">
        <f t="shared" si="171"/>
        <v>0</v>
      </c>
      <c r="H457" s="2138">
        <f t="shared" si="171"/>
        <v>0</v>
      </c>
      <c r="I457" s="2138">
        <f t="shared" si="171"/>
        <v>0</v>
      </c>
      <c r="J457" s="2138">
        <f t="shared" si="171"/>
        <v>0</v>
      </c>
      <c r="K457" s="2138">
        <f t="shared" si="171"/>
        <v>0</v>
      </c>
      <c r="L457" s="2138">
        <f t="shared" si="171"/>
        <v>0</v>
      </c>
      <c r="M457" s="2138">
        <f t="shared" si="171"/>
        <v>0</v>
      </c>
      <c r="N457" s="2138">
        <f t="shared" si="171"/>
        <v>0</v>
      </c>
      <c r="O457" s="2139">
        <f>O446-O455</f>
        <v>0</v>
      </c>
    </row>
    <row r="458" spans="1:15" hidden="1" outlineLevel="1" x14ac:dyDescent="0.25">
      <c r="B458" s="2164"/>
      <c r="C458" s="2140"/>
      <c r="D458" s="2559" t="s">
        <v>27</v>
      </c>
      <c r="E458" s="2141">
        <f>E447-E456</f>
        <v>0</v>
      </c>
      <c r="F458" s="2141">
        <f t="shared" ref="F458:O458" si="172">F447-F456</f>
        <v>0</v>
      </c>
      <c r="G458" s="2141">
        <f t="shared" si="172"/>
        <v>0</v>
      </c>
      <c r="H458" s="2141">
        <f t="shared" si="172"/>
        <v>0</v>
      </c>
      <c r="I458" s="2141">
        <f t="shared" si="172"/>
        <v>0</v>
      </c>
      <c r="J458" s="2141">
        <f t="shared" si="172"/>
        <v>0</v>
      </c>
      <c r="K458" s="2141">
        <f t="shared" si="172"/>
        <v>0</v>
      </c>
      <c r="L458" s="2141">
        <f t="shared" si="172"/>
        <v>0</v>
      </c>
      <c r="M458" s="2141">
        <f t="shared" si="172"/>
        <v>0</v>
      </c>
      <c r="N458" s="2141">
        <f t="shared" si="172"/>
        <v>0</v>
      </c>
      <c r="O458" s="2142">
        <f t="shared" si="172"/>
        <v>0</v>
      </c>
    </row>
    <row r="459" spans="1:15" hidden="1" outlineLevel="1" x14ac:dyDescent="0.25">
      <c r="B459" s="2164"/>
      <c r="C459" s="2071" t="s">
        <v>2508</v>
      </c>
      <c r="D459" s="2488"/>
      <c r="E459" s="550">
        <f>E448</f>
        <v>0</v>
      </c>
      <c r="F459" s="550">
        <f>F448+F455</f>
        <v>0</v>
      </c>
      <c r="G459" s="550">
        <f t="shared" ref="G459:N459" si="173">G448+G455</f>
        <v>0</v>
      </c>
      <c r="H459" s="550">
        <f t="shared" si="173"/>
        <v>0</v>
      </c>
      <c r="I459" s="550">
        <f t="shared" si="173"/>
        <v>0</v>
      </c>
      <c r="J459" s="550">
        <f t="shared" si="173"/>
        <v>0</v>
      </c>
      <c r="K459" s="550">
        <f t="shared" si="173"/>
        <v>0</v>
      </c>
      <c r="L459" s="550">
        <f t="shared" si="173"/>
        <v>0</v>
      </c>
      <c r="M459" s="550">
        <f t="shared" si="173"/>
        <v>0</v>
      </c>
      <c r="N459" s="550">
        <f t="shared" si="173"/>
        <v>0</v>
      </c>
      <c r="O459" s="1033">
        <f>O448+O455</f>
        <v>0</v>
      </c>
    </row>
    <row r="460" spans="1:15" hidden="1" outlineLevel="1" x14ac:dyDescent="0.25">
      <c r="B460" s="2165"/>
      <c r="C460" s="551" t="s">
        <v>2509</v>
      </c>
      <c r="D460" s="2547"/>
      <c r="E460" s="570">
        <f>E449</f>
        <v>0</v>
      </c>
      <c r="F460" s="552">
        <f>F449+F456</f>
        <v>0</v>
      </c>
      <c r="G460" s="552">
        <f t="shared" ref="G460:O460" si="174">G449+G456</f>
        <v>0</v>
      </c>
      <c r="H460" s="552">
        <f t="shared" si="174"/>
        <v>0</v>
      </c>
      <c r="I460" s="552">
        <f t="shared" si="174"/>
        <v>0</v>
      </c>
      <c r="J460" s="552">
        <f t="shared" si="174"/>
        <v>0</v>
      </c>
      <c r="K460" s="552">
        <f t="shared" si="174"/>
        <v>0</v>
      </c>
      <c r="L460" s="552">
        <f t="shared" si="174"/>
        <v>0</v>
      </c>
      <c r="M460" s="552">
        <f t="shared" si="174"/>
        <v>0</v>
      </c>
      <c r="N460" s="552">
        <f t="shared" si="174"/>
        <v>0</v>
      </c>
      <c r="O460" s="1058">
        <f t="shared" si="174"/>
        <v>0</v>
      </c>
    </row>
    <row r="461" spans="1:15" hidden="1" outlineLevel="1" x14ac:dyDescent="0.25">
      <c r="F461" s="24"/>
      <c r="G461" s="24"/>
      <c r="H461" s="24"/>
      <c r="I461" s="24"/>
      <c r="J461" s="24"/>
      <c r="K461" s="24"/>
      <c r="L461" s="24"/>
      <c r="M461" s="24"/>
      <c r="N461" s="24"/>
      <c r="O461" s="24"/>
    </row>
    <row r="462" spans="1:15" hidden="1" outlineLevel="1" x14ac:dyDescent="0.25">
      <c r="B462" s="2163">
        <v>3</v>
      </c>
      <c r="C462" s="2662" t="s">
        <v>2954</v>
      </c>
      <c r="D462" s="2481"/>
      <c r="E462" s="2094"/>
      <c r="F462" s="2094"/>
      <c r="G462" s="2094"/>
      <c r="H462" s="2094"/>
      <c r="I462" s="2094"/>
      <c r="J462" s="2094"/>
      <c r="K462" s="2094"/>
      <c r="L462" s="2094"/>
      <c r="M462" s="2094"/>
      <c r="N462" s="2094"/>
      <c r="O462" s="600"/>
    </row>
    <row r="463" spans="1:15" hidden="1" outlineLevel="1" x14ac:dyDescent="0.25">
      <c r="A463" s="27"/>
      <c r="B463" s="4032"/>
      <c r="C463" s="4033" t="s">
        <v>2422</v>
      </c>
      <c r="D463" s="2501">
        <f>'WW Plan'!G134</f>
        <v>0</v>
      </c>
      <c r="E463" s="71">
        <f>($D$463*E53)</f>
        <v>0</v>
      </c>
      <c r="F463" s="2100">
        <f>($D$463*SUM($E$53:F53))+SUM($E$57:F57)</f>
        <v>0</v>
      </c>
      <c r="G463" s="2100">
        <f>($D$463*SUM($E$53:G53))+SUM($E$57:G57)</f>
        <v>0</v>
      </c>
      <c r="H463" s="2100">
        <f>($D$463*SUM($E$53:H53))+SUM($E$57:H57)</f>
        <v>0</v>
      </c>
      <c r="I463" s="2100">
        <f>($D$463*SUM($E$53:I53))+SUM($E$57:I57)</f>
        <v>0</v>
      </c>
      <c r="J463" s="2100">
        <f>($D$463*SUM($E$53:J53))+SUM($E$57:J57)</f>
        <v>0</v>
      </c>
      <c r="K463" s="2100">
        <f>($D$463*SUM($E$53:K53))+SUM($E$57:K57)</f>
        <v>0</v>
      </c>
      <c r="L463" s="2100">
        <f>($D$463*SUM($E$53:L53))+SUM($E$57:L57)</f>
        <v>0</v>
      </c>
      <c r="M463" s="2100">
        <f>($D$463*SUM($E$53:M53))+SUM($E$57:M57)</f>
        <v>0</v>
      </c>
      <c r="N463" s="2100">
        <f>($D$463*SUM($E$53:N53))+SUM($E$57:N57)</f>
        <v>0</v>
      </c>
      <c r="O463" s="2101">
        <f>($D$463*SUM($E$53:O53))+SUM($E$57:O57)</f>
        <v>0</v>
      </c>
    </row>
    <row r="464" spans="1:15" hidden="1" outlineLevel="1" x14ac:dyDescent="0.25">
      <c r="A464" s="27"/>
      <c r="B464" s="4032"/>
      <c r="C464" s="4034" t="s">
        <v>646</v>
      </c>
      <c r="D464" s="4035">
        <f>'WW Plan'!H134</f>
        <v>0</v>
      </c>
      <c r="E464" s="4036">
        <f>($D$464*E54)</f>
        <v>0</v>
      </c>
      <c r="F464" s="4036">
        <f>($D$464*SUM($E$54:F54))+SUM($E$58:F58)</f>
        <v>0</v>
      </c>
      <c r="G464" s="4036">
        <f>($D$464*SUM($E$54:G54))+SUM($E$58:G58)</f>
        <v>0</v>
      </c>
      <c r="H464" s="4036">
        <f>($D$464*SUM($E$54:H54))+SUM($E$58:H58)</f>
        <v>0</v>
      </c>
      <c r="I464" s="4036">
        <f>($D$464*SUM($E$54:I54))+SUM($E$58:I58)</f>
        <v>0</v>
      </c>
      <c r="J464" s="4036">
        <f>($D$464*SUM($E$54:J54))+SUM($E$58:J58)</f>
        <v>0</v>
      </c>
      <c r="K464" s="4036">
        <f>($D$464*SUM($E$54:K54))+SUM($E$58:K58)</f>
        <v>0</v>
      </c>
      <c r="L464" s="4036">
        <f>($D$464*SUM($E$54:L54))+SUM($E$58:L58)</f>
        <v>0</v>
      </c>
      <c r="M464" s="4036">
        <f>($D$464*SUM($E$54:M54))+SUM($E$58:M58)</f>
        <v>0</v>
      </c>
      <c r="N464" s="4036">
        <f>($D$464*SUM($E$54:N54))+SUM($E$58:N58)</f>
        <v>0</v>
      </c>
      <c r="O464" s="4037">
        <f>($D$464*SUM($E$54:O54))+SUM($E$58:O58)</f>
        <v>0</v>
      </c>
    </row>
    <row r="465" spans="1:15" hidden="1" outlineLevel="1" x14ac:dyDescent="0.25">
      <c r="B465" s="2164"/>
      <c r="C465" s="2096" t="s">
        <v>2510</v>
      </c>
      <c r="D465" s="2503"/>
      <c r="E465" s="597"/>
      <c r="F465" s="597"/>
      <c r="G465" s="597"/>
      <c r="H465" s="597"/>
      <c r="I465" s="597"/>
      <c r="J465" s="597"/>
      <c r="K465" s="597"/>
      <c r="L465" s="597"/>
      <c r="M465" s="597"/>
      <c r="N465" s="597"/>
      <c r="O465" s="608"/>
    </row>
    <row r="466" spans="1:15" hidden="1" outlineLevel="1" x14ac:dyDescent="0.25">
      <c r="B466" s="2164"/>
      <c r="C466" s="2071" t="s">
        <v>2422</v>
      </c>
      <c r="D466" s="2503"/>
      <c r="E466" s="597">
        <f>MIN(E463,E457)</f>
        <v>0</v>
      </c>
      <c r="F466" s="597">
        <f>MIN(F463,F457)</f>
        <v>0</v>
      </c>
      <c r="G466" s="597">
        <f t="shared" ref="G466:N466" si="175">MIN(G463,G457)</f>
        <v>0</v>
      </c>
      <c r="H466" s="597">
        <f t="shared" si="175"/>
        <v>0</v>
      </c>
      <c r="I466" s="597">
        <f t="shared" si="175"/>
        <v>0</v>
      </c>
      <c r="J466" s="597">
        <f t="shared" si="175"/>
        <v>0</v>
      </c>
      <c r="K466" s="597">
        <f t="shared" si="175"/>
        <v>0</v>
      </c>
      <c r="L466" s="597">
        <f t="shared" si="175"/>
        <v>0</v>
      </c>
      <c r="M466" s="597">
        <f t="shared" si="175"/>
        <v>0</v>
      </c>
      <c r="N466" s="597">
        <f t="shared" si="175"/>
        <v>0</v>
      </c>
      <c r="O466" s="608">
        <f>MIN(O463,O457)</f>
        <v>0</v>
      </c>
    </row>
    <row r="467" spans="1:15" hidden="1" outlineLevel="1" x14ac:dyDescent="0.25">
      <c r="B467" s="2164"/>
      <c r="C467" s="2071" t="s">
        <v>646</v>
      </c>
      <c r="D467" s="2503"/>
      <c r="E467" s="597">
        <f>MIN(E464,E458)</f>
        <v>0</v>
      </c>
      <c r="F467" s="597">
        <f t="shared" ref="F467:O467" si="176">MIN(F464,F458)</f>
        <v>0</v>
      </c>
      <c r="G467" s="597">
        <f t="shared" si="176"/>
        <v>0</v>
      </c>
      <c r="H467" s="597">
        <f t="shared" si="176"/>
        <v>0</v>
      </c>
      <c r="I467" s="597">
        <f t="shared" si="176"/>
        <v>0</v>
      </c>
      <c r="J467" s="597">
        <f t="shared" si="176"/>
        <v>0</v>
      </c>
      <c r="K467" s="597">
        <f t="shared" si="176"/>
        <v>0</v>
      </c>
      <c r="L467" s="597">
        <f t="shared" si="176"/>
        <v>0</v>
      </c>
      <c r="M467" s="597">
        <f t="shared" si="176"/>
        <v>0</v>
      </c>
      <c r="N467" s="597">
        <f t="shared" si="176"/>
        <v>0</v>
      </c>
      <c r="O467" s="608">
        <f t="shared" si="176"/>
        <v>0</v>
      </c>
    </row>
    <row r="468" spans="1:15" hidden="1" outlineLevel="1" x14ac:dyDescent="0.25">
      <c r="B468" s="2164"/>
      <c r="C468" s="2137" t="s">
        <v>2487</v>
      </c>
      <c r="D468" s="2558" t="s">
        <v>2422</v>
      </c>
      <c r="E468" s="2138">
        <f>E457-E466</f>
        <v>0</v>
      </c>
      <c r="F468" s="2138">
        <f t="shared" ref="F468:O468" si="177">F457-F466</f>
        <v>0</v>
      </c>
      <c r="G468" s="2138">
        <f t="shared" si="177"/>
        <v>0</v>
      </c>
      <c r="H468" s="2138">
        <f t="shared" si="177"/>
        <v>0</v>
      </c>
      <c r="I468" s="2138">
        <f t="shared" si="177"/>
        <v>0</v>
      </c>
      <c r="J468" s="2138">
        <f t="shared" si="177"/>
        <v>0</v>
      </c>
      <c r="K468" s="2138">
        <f t="shared" si="177"/>
        <v>0</v>
      </c>
      <c r="L468" s="2138">
        <f t="shared" si="177"/>
        <v>0</v>
      </c>
      <c r="M468" s="2138">
        <f t="shared" si="177"/>
        <v>0</v>
      </c>
      <c r="N468" s="2138">
        <f t="shared" si="177"/>
        <v>0</v>
      </c>
      <c r="O468" s="2139">
        <f t="shared" si="177"/>
        <v>0</v>
      </c>
    </row>
    <row r="469" spans="1:15" hidden="1" outlineLevel="1" x14ac:dyDescent="0.25">
      <c r="B469" s="2164"/>
      <c r="C469" s="2140"/>
      <c r="D469" s="2559" t="s">
        <v>27</v>
      </c>
      <c r="E469" s="2141">
        <f>E458-E467</f>
        <v>0</v>
      </c>
      <c r="F469" s="2141">
        <f t="shared" ref="F469:O469" si="178">F458-F467</f>
        <v>0</v>
      </c>
      <c r="G469" s="2141">
        <f t="shared" si="178"/>
        <v>0</v>
      </c>
      <c r="H469" s="2141">
        <f t="shared" si="178"/>
        <v>0</v>
      </c>
      <c r="I469" s="2141">
        <f t="shared" si="178"/>
        <v>0</v>
      </c>
      <c r="J469" s="2141">
        <f t="shared" si="178"/>
        <v>0</v>
      </c>
      <c r="K469" s="2141">
        <f t="shared" si="178"/>
        <v>0</v>
      </c>
      <c r="L469" s="2141">
        <f t="shared" si="178"/>
        <v>0</v>
      </c>
      <c r="M469" s="2141">
        <f t="shared" si="178"/>
        <v>0</v>
      </c>
      <c r="N469" s="2141">
        <f t="shared" si="178"/>
        <v>0</v>
      </c>
      <c r="O469" s="2142">
        <f t="shared" si="178"/>
        <v>0</v>
      </c>
    </row>
    <row r="470" spans="1:15" hidden="1" outlineLevel="1" x14ac:dyDescent="0.25">
      <c r="B470" s="2164"/>
      <c r="C470" s="2096" t="s">
        <v>2835</v>
      </c>
      <c r="D470" s="2488" t="s">
        <v>2422</v>
      </c>
      <c r="E470" s="550">
        <f>E459</f>
        <v>0</v>
      </c>
      <c r="F470" s="550">
        <f>F459+F466</f>
        <v>0</v>
      </c>
      <c r="G470" s="550">
        <f>G459+G466</f>
        <v>0</v>
      </c>
      <c r="H470" s="550">
        <f t="shared" ref="H470:N470" si="179">H459+H466</f>
        <v>0</v>
      </c>
      <c r="I470" s="550">
        <f t="shared" si="179"/>
        <v>0</v>
      </c>
      <c r="J470" s="550">
        <f t="shared" si="179"/>
        <v>0</v>
      </c>
      <c r="K470" s="550">
        <f t="shared" si="179"/>
        <v>0</v>
      </c>
      <c r="L470" s="550">
        <f t="shared" si="179"/>
        <v>0</v>
      </c>
      <c r="M470" s="550">
        <f t="shared" si="179"/>
        <v>0</v>
      </c>
      <c r="N470" s="550">
        <f t="shared" si="179"/>
        <v>0</v>
      </c>
      <c r="O470" s="1033">
        <f>O459+O466</f>
        <v>0</v>
      </c>
    </row>
    <row r="471" spans="1:15" hidden="1" outlineLevel="1" x14ac:dyDescent="0.25">
      <c r="B471" s="2165"/>
      <c r="C471" s="2070" t="s">
        <v>2836</v>
      </c>
      <c r="D471" s="2547" t="s">
        <v>27</v>
      </c>
      <c r="E471" s="570">
        <f>E460</f>
        <v>0</v>
      </c>
      <c r="F471" s="552">
        <f>F460+F467</f>
        <v>0</v>
      </c>
      <c r="G471" s="552">
        <f t="shared" ref="G471:O471" si="180">G460+G467</f>
        <v>0</v>
      </c>
      <c r="H471" s="552">
        <f t="shared" si="180"/>
        <v>0</v>
      </c>
      <c r="I471" s="552">
        <f t="shared" si="180"/>
        <v>0</v>
      </c>
      <c r="J471" s="552">
        <f t="shared" si="180"/>
        <v>0</v>
      </c>
      <c r="K471" s="552">
        <f t="shared" si="180"/>
        <v>0</v>
      </c>
      <c r="L471" s="552">
        <f t="shared" si="180"/>
        <v>0</v>
      </c>
      <c r="M471" s="552">
        <f t="shared" si="180"/>
        <v>0</v>
      </c>
      <c r="N471" s="552">
        <f t="shared" si="180"/>
        <v>0</v>
      </c>
      <c r="O471" s="1058">
        <f t="shared" si="180"/>
        <v>0</v>
      </c>
    </row>
    <row r="472" spans="1:15" hidden="1" outlineLevel="1" x14ac:dyDescent="0.25">
      <c r="E472" s="24"/>
      <c r="F472" s="24"/>
      <c r="G472" s="24"/>
      <c r="H472" s="24"/>
      <c r="I472" s="24"/>
      <c r="J472" s="24"/>
      <c r="K472" s="24"/>
      <c r="L472" s="24"/>
      <c r="M472" s="24"/>
    </row>
    <row r="473" spans="1:15" s="3987" customFormat="1" hidden="1" outlineLevel="1" x14ac:dyDescent="0.25">
      <c r="A473" s="3998"/>
      <c r="B473" s="4048"/>
      <c r="C473" s="2662" t="s">
        <v>2966</v>
      </c>
      <c r="D473" s="5226" t="s">
        <v>2967</v>
      </c>
      <c r="E473" s="2117"/>
      <c r="F473" s="2117"/>
      <c r="G473" s="2117"/>
      <c r="H473" s="2117"/>
      <c r="I473" s="2117"/>
      <c r="J473" s="2117"/>
      <c r="K473" s="2117"/>
      <c r="L473" s="2117"/>
      <c r="M473" s="2117"/>
      <c r="N473" s="2116"/>
      <c r="O473" s="5234"/>
    </row>
    <row r="474" spans="1:15" s="3987" customFormat="1" hidden="1" outlineLevel="1" x14ac:dyDescent="0.25">
      <c r="A474" s="3998"/>
      <c r="B474" s="4044"/>
      <c r="C474" s="4033" t="s">
        <v>2422</v>
      </c>
      <c r="D474" s="2503">
        <f>'WW Plan'!G158</f>
        <v>0</v>
      </c>
      <c r="E474" s="2413">
        <f>SUM($E$91:E91)*$D$474</f>
        <v>0</v>
      </c>
      <c r="F474" s="2413">
        <f>SUM($E$91:F91)*$D$474</f>
        <v>0</v>
      </c>
      <c r="G474" s="2413">
        <f>SUM($E$91:G91)*$D$474</f>
        <v>0</v>
      </c>
      <c r="H474" s="2413">
        <f>SUM($E$91:H91)*$D$474</f>
        <v>0</v>
      </c>
      <c r="I474" s="2413">
        <f>SUM($E$91:I91)*$D$474</f>
        <v>0</v>
      </c>
      <c r="J474" s="2413">
        <f>SUM($E$91:J91)*$D$474</f>
        <v>0</v>
      </c>
      <c r="K474" s="2413">
        <f>SUM($E$91:K91)*$D$474</f>
        <v>0</v>
      </c>
      <c r="L474" s="2413">
        <f>SUM($E$91:L91)*$D$474</f>
        <v>0</v>
      </c>
      <c r="M474" s="2413">
        <f>SUM($E$91:M91)*$D$474</f>
        <v>0</v>
      </c>
      <c r="N474" s="2413">
        <f>SUM($E$91:N91)*$D$474</f>
        <v>0</v>
      </c>
      <c r="O474" s="2414">
        <f>SUM($E$91:O91)*$D$474</f>
        <v>0</v>
      </c>
    </row>
    <row r="475" spans="1:15" s="3987" customFormat="1" hidden="1" outlineLevel="1" x14ac:dyDescent="0.25">
      <c r="A475" s="3998"/>
      <c r="B475" s="4044"/>
      <c r="C475" s="622" t="s">
        <v>646</v>
      </c>
      <c r="D475" s="2503">
        <f>'WW Plan'!H158</f>
        <v>0</v>
      </c>
      <c r="E475" s="2413">
        <f>SUM($E$92:E92)*$D$475</f>
        <v>0</v>
      </c>
      <c r="F475" s="2413">
        <f>SUM($E$92:F92)*$D$475</f>
        <v>0</v>
      </c>
      <c r="G475" s="2413">
        <f>SUM($E$92:G92)*$D$475</f>
        <v>0</v>
      </c>
      <c r="H475" s="2413">
        <f>SUM($E$92:H92)*$D$475</f>
        <v>0</v>
      </c>
      <c r="I475" s="2413">
        <f>SUM($E$92:I92)*$D$475</f>
        <v>0</v>
      </c>
      <c r="J475" s="2413">
        <f>SUM($E$92:J92)*$D$475</f>
        <v>0</v>
      </c>
      <c r="K475" s="2413">
        <f>SUM($E$92:K92)*$D$475</f>
        <v>0</v>
      </c>
      <c r="L475" s="2413">
        <f>SUM($E$92:L92)*$D$475</f>
        <v>0</v>
      </c>
      <c r="M475" s="2413">
        <f>SUM($E$92:M92)*$D$475</f>
        <v>0</v>
      </c>
      <c r="N475" s="2413">
        <f>SUM($E$92:N92)*$D$475</f>
        <v>0</v>
      </c>
      <c r="O475" s="2414">
        <f>SUM($E$92:O92)*$D$475</f>
        <v>0</v>
      </c>
    </row>
    <row r="476" spans="1:15" s="3987" customFormat="1" hidden="1" outlineLevel="1" x14ac:dyDescent="0.25">
      <c r="A476" s="3998"/>
      <c r="B476" s="4046"/>
      <c r="C476" s="4050" t="s">
        <v>2510</v>
      </c>
      <c r="D476" s="5240" t="s">
        <v>2422</v>
      </c>
      <c r="E476" s="5235">
        <f t="shared" ref="E476:O476" si="181">MIN(E474,E468)</f>
        <v>0</v>
      </c>
      <c r="F476" s="5235">
        <f t="shared" si="181"/>
        <v>0</v>
      </c>
      <c r="G476" s="5235">
        <f t="shared" si="181"/>
        <v>0</v>
      </c>
      <c r="H476" s="5235">
        <f t="shared" si="181"/>
        <v>0</v>
      </c>
      <c r="I476" s="5235">
        <f t="shared" si="181"/>
        <v>0</v>
      </c>
      <c r="J476" s="5235">
        <f t="shared" si="181"/>
        <v>0</v>
      </c>
      <c r="K476" s="5235">
        <f t="shared" si="181"/>
        <v>0</v>
      </c>
      <c r="L476" s="5235">
        <f t="shared" si="181"/>
        <v>0</v>
      </c>
      <c r="M476" s="5235">
        <f t="shared" si="181"/>
        <v>0</v>
      </c>
      <c r="N476" s="5235">
        <f t="shared" si="181"/>
        <v>0</v>
      </c>
      <c r="O476" s="5236">
        <f t="shared" si="181"/>
        <v>0</v>
      </c>
    </row>
    <row r="477" spans="1:15" s="3987" customFormat="1" hidden="1" outlineLevel="1" x14ac:dyDescent="0.25">
      <c r="A477" s="3998"/>
      <c r="B477" s="4047"/>
      <c r="C477" s="5237"/>
      <c r="D477" s="5241" t="s">
        <v>646</v>
      </c>
      <c r="E477" s="5238">
        <f t="shared" ref="E477:O477" si="182">MIN(E475,E469)</f>
        <v>0</v>
      </c>
      <c r="F477" s="5238">
        <f t="shared" si="182"/>
        <v>0</v>
      </c>
      <c r="G477" s="5238">
        <f t="shared" si="182"/>
        <v>0</v>
      </c>
      <c r="H477" s="5238">
        <f t="shared" si="182"/>
        <v>0</v>
      </c>
      <c r="I477" s="5238">
        <f t="shared" si="182"/>
        <v>0</v>
      </c>
      <c r="J477" s="5238">
        <f t="shared" si="182"/>
        <v>0</v>
      </c>
      <c r="K477" s="5238">
        <f t="shared" si="182"/>
        <v>0</v>
      </c>
      <c r="L477" s="5238">
        <f t="shared" si="182"/>
        <v>0</v>
      </c>
      <c r="M477" s="5238">
        <f t="shared" si="182"/>
        <v>0</v>
      </c>
      <c r="N477" s="5238">
        <f t="shared" si="182"/>
        <v>0</v>
      </c>
      <c r="O477" s="5239">
        <f t="shared" si="182"/>
        <v>0</v>
      </c>
    </row>
    <row r="478" spans="1:15" s="3987" customFormat="1" hidden="1" outlineLevel="1" x14ac:dyDescent="0.25">
      <c r="A478" s="3998"/>
      <c r="B478" s="4044"/>
      <c r="C478" s="2096" t="s">
        <v>2835</v>
      </c>
      <c r="D478" s="167" t="s">
        <v>2422</v>
      </c>
      <c r="E478" s="2100">
        <f>E470+E476</f>
        <v>0</v>
      </c>
      <c r="F478" s="2100">
        <f t="shared" ref="F478:O478" si="183">F470+F476</f>
        <v>0</v>
      </c>
      <c r="G478" s="2100">
        <f t="shared" si="183"/>
        <v>0</v>
      </c>
      <c r="H478" s="2100">
        <f t="shared" si="183"/>
        <v>0</v>
      </c>
      <c r="I478" s="2100">
        <f t="shared" si="183"/>
        <v>0</v>
      </c>
      <c r="J478" s="2100">
        <f>J470+J476</f>
        <v>0</v>
      </c>
      <c r="K478" s="2100">
        <f>K470+K476</f>
        <v>0</v>
      </c>
      <c r="L478" s="2100">
        <f t="shared" si="183"/>
        <v>0</v>
      </c>
      <c r="M478" s="2100">
        <f t="shared" si="183"/>
        <v>0</v>
      </c>
      <c r="N478" s="2100">
        <f t="shared" si="183"/>
        <v>0</v>
      </c>
      <c r="O478" s="2101">
        <f t="shared" si="183"/>
        <v>0</v>
      </c>
    </row>
    <row r="479" spans="1:15" s="3987" customFormat="1" hidden="1" outlineLevel="1" x14ac:dyDescent="0.25">
      <c r="A479" s="3998"/>
      <c r="B479" s="4049"/>
      <c r="C479" s="2070" t="s">
        <v>2836</v>
      </c>
      <c r="D479" s="2079" t="s">
        <v>646</v>
      </c>
      <c r="E479" s="609">
        <f>E471+E477</f>
        <v>0</v>
      </c>
      <c r="F479" s="609">
        <f t="shared" ref="F479:O479" si="184">F471+F477</f>
        <v>0</v>
      </c>
      <c r="G479" s="609">
        <f t="shared" si="184"/>
        <v>0</v>
      </c>
      <c r="H479" s="609">
        <f t="shared" si="184"/>
        <v>0</v>
      </c>
      <c r="I479" s="609">
        <f t="shared" si="184"/>
        <v>0</v>
      </c>
      <c r="J479" s="609">
        <f t="shared" si="184"/>
        <v>0</v>
      </c>
      <c r="K479" s="609">
        <f t="shared" si="184"/>
        <v>0</v>
      </c>
      <c r="L479" s="609">
        <f t="shared" si="184"/>
        <v>0</v>
      </c>
      <c r="M479" s="609">
        <f t="shared" si="184"/>
        <v>0</v>
      </c>
      <c r="N479" s="609">
        <f t="shared" si="184"/>
        <v>0</v>
      </c>
      <c r="O479" s="610">
        <f t="shared" si="184"/>
        <v>0</v>
      </c>
    </row>
    <row r="480" spans="1:15" hidden="1" outlineLevel="1" x14ac:dyDescent="0.25">
      <c r="E480" s="24"/>
      <c r="F480" s="24"/>
      <c r="G480" s="24"/>
      <c r="H480" s="24"/>
      <c r="I480" s="24"/>
      <c r="J480" s="24"/>
      <c r="K480" s="24"/>
      <c r="L480" s="24"/>
      <c r="M480" s="24"/>
    </row>
    <row r="481" spans="1:17" s="56" customFormat="1" hidden="1" outlineLevel="1" x14ac:dyDescent="0.25">
      <c r="A481" s="9"/>
      <c r="B481" s="2352">
        <v>5</v>
      </c>
      <c r="C481" s="2678" t="s">
        <v>1324</v>
      </c>
      <c r="D481" s="2561"/>
      <c r="E481" s="2353"/>
      <c r="F481" s="2353"/>
      <c r="G481" s="2353"/>
      <c r="H481" s="2353"/>
      <c r="I481" s="2353"/>
      <c r="J481" s="2353"/>
      <c r="K481" s="2353"/>
      <c r="L481" s="2353"/>
      <c r="M481" s="2353"/>
      <c r="N481" s="2353"/>
      <c r="O481" s="2354"/>
      <c r="P481" s="27"/>
      <c r="Q481" s="3990"/>
    </row>
    <row r="482" spans="1:17" s="56" customFormat="1" hidden="1" outlineLevel="1" x14ac:dyDescent="0.25">
      <c r="A482" s="9"/>
      <c r="B482" s="2355"/>
      <c r="C482" s="54" t="s">
        <v>1322</v>
      </c>
      <c r="D482" s="2562"/>
      <c r="E482" s="2350">
        <f>E487</f>
        <v>0</v>
      </c>
      <c r="F482" s="2350">
        <f t="shared" ref="F482:O482" si="185">ROUND(E482*(1+F4),0)</f>
        <v>0</v>
      </c>
      <c r="G482" s="2350">
        <f t="shared" si="185"/>
        <v>0</v>
      </c>
      <c r="H482" s="2350">
        <f t="shared" si="185"/>
        <v>0</v>
      </c>
      <c r="I482" s="2350">
        <f t="shared" si="185"/>
        <v>0</v>
      </c>
      <c r="J482" s="2350">
        <f t="shared" si="185"/>
        <v>0</v>
      </c>
      <c r="K482" s="2350">
        <f t="shared" si="185"/>
        <v>0</v>
      </c>
      <c r="L482" s="2350">
        <f t="shared" si="185"/>
        <v>0</v>
      </c>
      <c r="M482" s="2350">
        <f t="shared" si="185"/>
        <v>0</v>
      </c>
      <c r="N482" s="2350">
        <f t="shared" si="185"/>
        <v>0</v>
      </c>
      <c r="O482" s="1495">
        <f t="shared" si="185"/>
        <v>0</v>
      </c>
      <c r="P482" s="27"/>
      <c r="Q482" s="3990"/>
    </row>
    <row r="483" spans="1:17" s="56" customFormat="1" hidden="1" outlineLevel="1" x14ac:dyDescent="0.25">
      <c r="A483" s="9"/>
      <c r="B483" s="2355"/>
      <c r="C483" s="54" t="s">
        <v>1323</v>
      </c>
      <c r="D483" s="2562"/>
      <c r="E483" s="2350">
        <f>E488</f>
        <v>0</v>
      </c>
      <c r="F483" s="2350">
        <f t="shared" ref="F483:O483" si="186">ROUND(E483*(1+F4),0)</f>
        <v>0</v>
      </c>
      <c r="G483" s="2350">
        <f t="shared" si="186"/>
        <v>0</v>
      </c>
      <c r="H483" s="2350">
        <f t="shared" si="186"/>
        <v>0</v>
      </c>
      <c r="I483" s="2350">
        <f t="shared" si="186"/>
        <v>0</v>
      </c>
      <c r="J483" s="2350">
        <f t="shared" si="186"/>
        <v>0</v>
      </c>
      <c r="K483" s="2350">
        <f t="shared" si="186"/>
        <v>0</v>
      </c>
      <c r="L483" s="2350">
        <f t="shared" si="186"/>
        <v>0</v>
      </c>
      <c r="M483" s="2350">
        <f t="shared" si="186"/>
        <v>0</v>
      </c>
      <c r="N483" s="2350">
        <f t="shared" si="186"/>
        <v>0</v>
      </c>
      <c r="O483" s="1495">
        <f t="shared" si="186"/>
        <v>0</v>
      </c>
      <c r="P483" s="27"/>
      <c r="Q483" s="3990"/>
    </row>
    <row r="484" spans="1:17" s="1152" customFormat="1" hidden="1" outlineLevel="1" x14ac:dyDescent="0.25">
      <c r="A484" s="124"/>
      <c r="B484" s="894"/>
      <c r="C484" s="893" t="s">
        <v>1321</v>
      </c>
      <c r="D484" s="4038">
        <f>D428</f>
        <v>0</v>
      </c>
      <c r="E484" s="2058">
        <f>E489</f>
        <v>0</v>
      </c>
      <c r="F484" s="2058">
        <f t="shared" ref="F484:O484" si="187">ROUND($D$484*(F482+F483),0)</f>
        <v>0</v>
      </c>
      <c r="G484" s="2058">
        <f t="shared" si="187"/>
        <v>0</v>
      </c>
      <c r="H484" s="2058">
        <f t="shared" si="187"/>
        <v>0</v>
      </c>
      <c r="I484" s="2058">
        <f t="shared" si="187"/>
        <v>0</v>
      </c>
      <c r="J484" s="2058">
        <f t="shared" si="187"/>
        <v>0</v>
      </c>
      <c r="K484" s="2058">
        <f t="shared" si="187"/>
        <v>0</v>
      </c>
      <c r="L484" s="2058">
        <f t="shared" si="187"/>
        <v>0</v>
      </c>
      <c r="M484" s="2058">
        <f t="shared" si="187"/>
        <v>0</v>
      </c>
      <c r="N484" s="2058">
        <f t="shared" si="187"/>
        <v>0</v>
      </c>
      <c r="O484" s="4068">
        <f t="shared" si="187"/>
        <v>0</v>
      </c>
      <c r="P484" s="124"/>
    </row>
    <row r="485" spans="1:17" s="2349" customFormat="1" hidden="1" outlineLevel="1" x14ac:dyDescent="0.25">
      <c r="A485" s="2348"/>
      <c r="B485" s="2356"/>
      <c r="C485" s="2351" t="s">
        <v>16</v>
      </c>
      <c r="D485" s="2563"/>
      <c r="E485" s="4580">
        <f>SUM(E482:E484)</f>
        <v>0</v>
      </c>
      <c r="F485" s="4580">
        <f t="shared" ref="F485:O485" si="188">SUM(F482:F484)</f>
        <v>0</v>
      </c>
      <c r="G485" s="4580">
        <f t="shared" si="188"/>
        <v>0</v>
      </c>
      <c r="H485" s="4580">
        <f t="shared" si="188"/>
        <v>0</v>
      </c>
      <c r="I485" s="4580">
        <f t="shared" si="188"/>
        <v>0</v>
      </c>
      <c r="J485" s="4580">
        <f t="shared" si="188"/>
        <v>0</v>
      </c>
      <c r="K485" s="4580">
        <f t="shared" si="188"/>
        <v>0</v>
      </c>
      <c r="L485" s="4580">
        <f t="shared" si="188"/>
        <v>0</v>
      </c>
      <c r="M485" s="4580">
        <f t="shared" si="188"/>
        <v>0</v>
      </c>
      <c r="N485" s="4580">
        <f t="shared" si="188"/>
        <v>0</v>
      </c>
      <c r="O485" s="4581">
        <f t="shared" si="188"/>
        <v>0</v>
      </c>
      <c r="P485" s="27"/>
      <c r="Q485" s="4001"/>
    </row>
    <row r="486" spans="1:17" s="56" customFormat="1" hidden="1" outlineLevel="1" x14ac:dyDescent="0.25">
      <c r="A486"/>
      <c r="B486" s="2359"/>
      <c r="C486" s="2679" t="s">
        <v>1325</v>
      </c>
      <c r="D486" s="2564"/>
      <c r="E486" s="2360"/>
      <c r="F486" s="2360"/>
      <c r="G486" s="2360"/>
      <c r="H486" s="2360"/>
      <c r="I486" s="2360"/>
      <c r="J486" s="2360"/>
      <c r="K486" s="2360"/>
      <c r="L486" s="2360"/>
      <c r="M486" s="2360"/>
      <c r="N486" s="2360"/>
      <c r="O486" s="2361"/>
      <c r="Q486" s="3990"/>
    </row>
    <row r="487" spans="1:17" s="56" customFormat="1" hidden="1" outlineLevel="1" x14ac:dyDescent="0.25">
      <c r="A487"/>
      <c r="B487" s="2355"/>
      <c r="C487" s="54" t="s">
        <v>1322</v>
      </c>
      <c r="D487" s="2562">
        <f>D426</f>
        <v>1</v>
      </c>
      <c r="E487" s="2350">
        <f>E426</f>
        <v>0</v>
      </c>
      <c r="F487" s="2350">
        <f>ROUND($D$487*F478,0)</f>
        <v>0</v>
      </c>
      <c r="G487" s="2350">
        <f t="shared" ref="G487:N487" si="189">ROUND($D$487*G478,0)</f>
        <v>0</v>
      </c>
      <c r="H487" s="2350">
        <f t="shared" si="189"/>
        <v>0</v>
      </c>
      <c r="I487" s="2350">
        <f t="shared" si="189"/>
        <v>0</v>
      </c>
      <c r="J487" s="2350">
        <f t="shared" si="189"/>
        <v>0</v>
      </c>
      <c r="K487" s="2350">
        <f t="shared" si="189"/>
        <v>0</v>
      </c>
      <c r="L487" s="2350">
        <f t="shared" si="189"/>
        <v>0</v>
      </c>
      <c r="M487" s="2350">
        <f t="shared" si="189"/>
        <v>0</v>
      </c>
      <c r="N487" s="2350">
        <f t="shared" si="189"/>
        <v>0</v>
      </c>
      <c r="O487" s="1495">
        <f>ROUND($D$487*O478,0)</f>
        <v>0</v>
      </c>
      <c r="Q487" s="3990"/>
    </row>
    <row r="488" spans="1:17" s="56" customFormat="1" hidden="1" outlineLevel="1" x14ac:dyDescent="0.25">
      <c r="A488"/>
      <c r="B488" s="2355"/>
      <c r="C488" s="54" t="s">
        <v>1323</v>
      </c>
      <c r="D488" s="2562">
        <f>D427</f>
        <v>1</v>
      </c>
      <c r="E488" s="2350">
        <f>E427</f>
        <v>0</v>
      </c>
      <c r="F488" s="2350">
        <f>ROUND($D$488*F479,0)</f>
        <v>0</v>
      </c>
      <c r="G488" s="2350">
        <f t="shared" ref="G488:O488" si="190">ROUND($D$488*G479,0)</f>
        <v>0</v>
      </c>
      <c r="H488" s="2350">
        <f t="shared" si="190"/>
        <v>0</v>
      </c>
      <c r="I488" s="2350">
        <f t="shared" si="190"/>
        <v>0</v>
      </c>
      <c r="J488" s="2350">
        <f t="shared" si="190"/>
        <v>0</v>
      </c>
      <c r="K488" s="2350">
        <f t="shared" si="190"/>
        <v>0</v>
      </c>
      <c r="L488" s="2350">
        <f t="shared" si="190"/>
        <v>0</v>
      </c>
      <c r="M488" s="2350">
        <f t="shared" si="190"/>
        <v>0</v>
      </c>
      <c r="N488" s="2350">
        <f t="shared" si="190"/>
        <v>0</v>
      </c>
      <c r="O488" s="1495">
        <f t="shared" si="190"/>
        <v>0</v>
      </c>
      <c r="Q488" s="3990"/>
    </row>
    <row r="489" spans="1:17" s="1152" customFormat="1" hidden="1" outlineLevel="1" x14ac:dyDescent="0.25">
      <c r="A489" s="124"/>
      <c r="B489" s="894"/>
      <c r="C489" s="893" t="s">
        <v>1321</v>
      </c>
      <c r="D489" s="4038"/>
      <c r="E489" s="2058">
        <f>E428</f>
        <v>0</v>
      </c>
      <c r="F489" s="2058">
        <f>ROUND(((E489+IF('WW Plan'!$E$293="Activate",IF(AND(F$431&gt;='WW Plan'!$G$293,F$431&lt;'WW Plan'!$H$293+1),('WW Plan'!$G$303)/('WW Plan'!$H$293+1-'WW Plan'!$G$293),0),0))*(1+F4)),0)</f>
        <v>0</v>
      </c>
      <c r="G489" s="2058">
        <f>ROUND(((F489+IF('WW Plan'!$E$293="Activate",IF(AND(G$431&gt;='WW Plan'!$G$293,G$431&lt;'WW Plan'!$H$293+1),('WW Plan'!$G$303)/('WW Plan'!$H$293+1-'WW Plan'!$G$293),0),0))*(1+G4)),0)</f>
        <v>0</v>
      </c>
      <c r="H489" s="2058">
        <f>ROUND(((G489+IF('WW Plan'!$E$293="Activate",IF(AND(H$431&gt;='WW Plan'!$G$293,H$431&lt;'WW Plan'!$H$293+1),('WW Plan'!$G$303)/('WW Plan'!$H$293+1-'WW Plan'!$G$293),0),0))*(1+H4)),0)</f>
        <v>0</v>
      </c>
      <c r="I489" s="2058">
        <f>ROUND(((H489+IF('WW Plan'!$E$293="Activate",IF(AND(I$431&gt;='WW Plan'!$G$293,I$431&lt;'WW Plan'!$H$293+1),('WW Plan'!$G$303)/('WW Plan'!$H$293+1-'WW Plan'!$G$293),0),0))*(1+I4)),0)</f>
        <v>0</v>
      </c>
      <c r="J489" s="2058">
        <f>ROUND(((I489+IF('WW Plan'!$E$293="Activate",IF(AND(J$431&gt;='WW Plan'!$G$293,J$431&lt;'WW Plan'!$H$293+1),('WW Plan'!$G$303)/('WW Plan'!$H$293+1-'WW Plan'!$G$293),0),0))*(1+J4)),0)</f>
        <v>0</v>
      </c>
      <c r="K489" s="2058">
        <f>ROUND(((J489+IF('WW Plan'!$E$293="Activate",IF(AND(K$431&gt;='WW Plan'!$G$293,K$431&lt;'WW Plan'!$H$293+1),('WW Plan'!$G$303)/('WW Plan'!$H$293+1-'WW Plan'!$G$293),0),0))*(1+K4)),0)</f>
        <v>0</v>
      </c>
      <c r="L489" s="2058">
        <f>ROUND(((K489+IF('WW Plan'!$E$293="Activate",IF(AND(L$431&gt;='WW Plan'!$G$293,L$431&lt;'WW Plan'!$H$293+1),('WW Plan'!$G$303)/('WW Plan'!$H$293+1-'WW Plan'!$G$293),0),0))*(1+L4)),0)</f>
        <v>0</v>
      </c>
      <c r="M489" s="2058">
        <f>ROUND(((L489+IF('WW Plan'!$E$293="Activate",IF(AND(M$431&gt;='WW Plan'!$G$293,M$431&lt;'WW Plan'!$H$293+1),('WW Plan'!$G$303)/('WW Plan'!$H$293+1-'WW Plan'!$G$293),0),0))*(1+M4)),0)</f>
        <v>0</v>
      </c>
      <c r="N489" s="2058">
        <f>ROUND(((M489+IF('WW Plan'!$E$293="Activate",IF(AND(N$431&gt;='WW Plan'!$G$293,N$431&lt;'WW Plan'!$H$293+1),('WW Plan'!$G$303)/('WW Plan'!$H$293+1-'WW Plan'!$G$293),0),0))*(1+N4)),0)</f>
        <v>0</v>
      </c>
      <c r="O489" s="4068">
        <f>ROUND(((N489+IF('WW Plan'!$E$293="Activate",IF(AND(O$431&gt;='WW Plan'!$G$293,O$431&lt;'WW Plan'!$H$293+1),('WW Plan'!$G$303)/('WW Plan'!$H$293+1-'WW Plan'!$G$293),0),0))*(1+O4)),0)</f>
        <v>0</v>
      </c>
      <c r="P489" s="124"/>
    </row>
    <row r="490" spans="1:17" s="2349" customFormat="1" hidden="1" outlineLevel="1" x14ac:dyDescent="0.25">
      <c r="A490" s="2348"/>
      <c r="B490" s="2357"/>
      <c r="C490" s="2358" t="s">
        <v>16</v>
      </c>
      <c r="D490" s="2565"/>
      <c r="E490" s="3980">
        <f t="shared" ref="E490:O490" si="191">SUM(E487:E489)</f>
        <v>0</v>
      </c>
      <c r="F490" s="3980">
        <f t="shared" si="191"/>
        <v>0</v>
      </c>
      <c r="G490" s="3980">
        <f t="shared" si="191"/>
        <v>0</v>
      </c>
      <c r="H490" s="3980">
        <f t="shared" si="191"/>
        <v>0</v>
      </c>
      <c r="I490" s="3980">
        <f t="shared" si="191"/>
        <v>0</v>
      </c>
      <c r="J490" s="3980">
        <f t="shared" si="191"/>
        <v>0</v>
      </c>
      <c r="K490" s="3980">
        <f t="shared" si="191"/>
        <v>0</v>
      </c>
      <c r="L490" s="3980">
        <f t="shared" si="191"/>
        <v>0</v>
      </c>
      <c r="M490" s="3980">
        <f t="shared" si="191"/>
        <v>0</v>
      </c>
      <c r="N490" s="3980">
        <f t="shared" si="191"/>
        <v>0</v>
      </c>
      <c r="O490" s="3981">
        <f t="shared" si="191"/>
        <v>0</v>
      </c>
      <c r="Q490" s="4001"/>
    </row>
    <row r="491" spans="1:17" hidden="1" outlineLevel="1" x14ac:dyDescent="0.25"/>
    <row r="492" spans="1:17" s="80" customFormat="1" ht="16.5" hidden="1" customHeight="1" outlineLevel="1" x14ac:dyDescent="0.25">
      <c r="A492" s="770"/>
      <c r="B492" s="742"/>
      <c r="C492" s="763" t="str">
        <f>'Summary of PIP'!C223</f>
        <v>Coverage of sewerage network services</v>
      </c>
      <c r="D492" s="2942" t="s">
        <v>1470</v>
      </c>
      <c r="E492" s="780">
        <f>MIN(IFERROR((E488+E489+E487)/Population!E41,0),100%)</f>
        <v>0</v>
      </c>
      <c r="F492" s="780">
        <f>MIN(IFERROR((F488+F489+F487)/Population!F41,0),100%)</f>
        <v>0</v>
      </c>
      <c r="G492" s="780">
        <f>MIN(IFERROR((G488+G489+G487)/Population!G41,0),100%)</f>
        <v>0</v>
      </c>
      <c r="H492" s="780">
        <f>MIN(IFERROR((H488+H489+H487)/Population!H41,0),100%)</f>
        <v>0</v>
      </c>
      <c r="I492" s="780">
        <f>MIN(IFERROR((I488+I489+I487)/Population!I41,0),100%)</f>
        <v>0</v>
      </c>
      <c r="J492" s="780">
        <f>MIN(IFERROR((J488+J489+J487)/Population!J41,0),100%)</f>
        <v>0</v>
      </c>
      <c r="K492" s="780">
        <f>MIN(IFERROR((K488+K489+K487)/Population!K41,0),100%)</f>
        <v>0</v>
      </c>
      <c r="L492" s="780">
        <f>MIN(IFERROR((L488+L489+L487)/Population!L41,0),100%)</f>
        <v>0</v>
      </c>
      <c r="M492" s="780">
        <f>MIN(IFERROR((M488+M489+M487)/Population!M41,0),100%)</f>
        <v>0</v>
      </c>
      <c r="N492" s="780">
        <f>MIN(IFERROR((N488+N489+N487)/Population!N41,0),100%)</f>
        <v>0</v>
      </c>
      <c r="O492" s="780">
        <f>MIN(IFERROR((O488+O489+O487)/Population!O41,0),100%)</f>
        <v>0</v>
      </c>
      <c r="Q492" s="3997"/>
    </row>
    <row r="493" spans="1:17" s="80" customFormat="1" ht="16.5" hidden="1" customHeight="1" outlineLevel="1" x14ac:dyDescent="0.25">
      <c r="A493" s="770"/>
      <c r="B493" s="742"/>
      <c r="C493" s="763" t="str">
        <f>'Summary of PIP'!C108</f>
        <v>Households with sewerage network services</v>
      </c>
      <c r="D493" s="2942" t="s">
        <v>2877</v>
      </c>
      <c r="E493" s="780">
        <f>MIN(IFERROR((E478+E479)/Population!E31,0),100%)</f>
        <v>0</v>
      </c>
      <c r="F493" s="780">
        <f>MIN(IFERROR((F478+F479)/Population!F31,0),100%)</f>
        <v>0</v>
      </c>
      <c r="G493" s="780">
        <f>MIN(IFERROR((G478+G479)/Population!G31,0),100%)</f>
        <v>0</v>
      </c>
      <c r="H493" s="780">
        <f>MIN(IFERROR((H478+H479)/Population!H31,0),100%)</f>
        <v>0</v>
      </c>
      <c r="I493" s="780">
        <f>MIN(IFERROR((I478+I479)/Population!I31,0),100%)</f>
        <v>0</v>
      </c>
      <c r="J493" s="780">
        <f>MIN(IFERROR((J478+J479)/Population!J31,0),100%)</f>
        <v>0</v>
      </c>
      <c r="K493" s="780">
        <f>MIN(IFERROR((K478+K479)/Population!K31,0),100%)</f>
        <v>0</v>
      </c>
      <c r="L493" s="780">
        <f>MIN(IFERROR((L478+L479)/Population!L31,0),100%)</f>
        <v>0</v>
      </c>
      <c r="M493" s="780">
        <f>MIN(IFERROR((M478+M479)/Population!M31,0),100%)</f>
        <v>0</v>
      </c>
      <c r="N493" s="780">
        <f>MIN(IFERROR((N478+N479)/Population!N31,0),100%)</f>
        <v>0</v>
      </c>
      <c r="O493" s="780">
        <f>MIN(IFERROR((O478+O479)/Population!O31,0),100%)</f>
        <v>0</v>
      </c>
      <c r="Q493" s="3997"/>
    </row>
    <row r="494" spans="1:17" s="80" customFormat="1" ht="30" hidden="1" outlineLevel="1" x14ac:dyDescent="0.25">
      <c r="A494" s="770"/>
      <c r="B494" s="742"/>
      <c r="C494" s="763" t="s">
        <v>1381</v>
      </c>
      <c r="D494" s="764"/>
      <c r="E494" s="780">
        <f t="shared" ref="E494:O494" si="192">MIN(E493+E378+E325,100%)</f>
        <v>0</v>
      </c>
      <c r="F494" s="780">
        <f t="shared" si="192"/>
        <v>0</v>
      </c>
      <c r="G494" s="780">
        <f t="shared" si="192"/>
        <v>0</v>
      </c>
      <c r="H494" s="780">
        <f t="shared" si="192"/>
        <v>0</v>
      </c>
      <c r="I494" s="780">
        <f t="shared" si="192"/>
        <v>0</v>
      </c>
      <c r="J494" s="780">
        <f t="shared" si="192"/>
        <v>0</v>
      </c>
      <c r="K494" s="780">
        <f t="shared" si="192"/>
        <v>0</v>
      </c>
      <c r="L494" s="780">
        <f t="shared" si="192"/>
        <v>0</v>
      </c>
      <c r="M494" s="780">
        <f t="shared" si="192"/>
        <v>0</v>
      </c>
      <c r="N494" s="780">
        <f t="shared" si="192"/>
        <v>0</v>
      </c>
      <c r="O494" s="780">
        <f t="shared" si="192"/>
        <v>0</v>
      </c>
      <c r="Q494" s="3997"/>
    </row>
    <row r="495" spans="1:17" hidden="1" outlineLevel="1" x14ac:dyDescent="0.25">
      <c r="E495" s="365"/>
      <c r="F495" s="365"/>
      <c r="G495" s="365"/>
      <c r="H495" s="365"/>
      <c r="I495" s="365"/>
      <c r="J495" s="365"/>
      <c r="K495" s="365"/>
      <c r="L495" s="365"/>
      <c r="M495" s="365"/>
      <c r="N495" s="365"/>
      <c r="O495" s="365"/>
    </row>
    <row r="496" spans="1:17" hidden="1" outlineLevel="1" x14ac:dyDescent="0.25">
      <c r="B496" s="547"/>
      <c r="C496" s="2424" t="s">
        <v>2826</v>
      </c>
      <c r="D496" s="2481"/>
      <c r="E496" s="548"/>
      <c r="F496" s="548"/>
      <c r="G496" s="548"/>
      <c r="H496" s="548"/>
      <c r="I496" s="548"/>
      <c r="J496" s="548"/>
      <c r="K496" s="548"/>
      <c r="L496" s="548"/>
      <c r="M496" s="548"/>
      <c r="N496" s="548"/>
      <c r="O496" s="549"/>
    </row>
    <row r="497" spans="1:16" hidden="1" outlineLevel="1" x14ac:dyDescent="0.25">
      <c r="B497" s="2071"/>
      <c r="C497" s="77" t="s">
        <v>493</v>
      </c>
      <c r="D497" s="5779">
        <f>'WW Plan'!G304</f>
        <v>0</v>
      </c>
      <c r="E497" s="2267"/>
      <c r="F497" s="174">
        <f>(F432-E432)*$D$497/CurrencyMultiplier</f>
        <v>0</v>
      </c>
      <c r="G497" s="174">
        <f>(G432-F432)*$D$497/CurrencyMultiplier</f>
        <v>0</v>
      </c>
      <c r="H497" s="174">
        <f>(H432-G432)*$D$497/CurrencyMultiplier</f>
        <v>0</v>
      </c>
      <c r="I497" s="174">
        <f>(I432-H432)*$D$497/CurrencyMultiplier</f>
        <v>0</v>
      </c>
      <c r="J497" s="174">
        <f>(J432-I432)*$D$497/CurrencyMultiplier</f>
        <v>0</v>
      </c>
      <c r="K497" s="174">
        <f>(K432-J432)*$D$497/CurrencyMultiplier</f>
        <v>0</v>
      </c>
      <c r="L497" s="174">
        <f>(L432-K432)*$D$497/CurrencyMultiplier</f>
        <v>0</v>
      </c>
      <c r="M497" s="174">
        <f>(M432-L432)*$D$497/CurrencyMultiplier</f>
        <v>0</v>
      </c>
      <c r="N497" s="174">
        <f>(N432-M432)*$D$497/CurrencyMultiplier</f>
        <v>0</v>
      </c>
      <c r="O497" s="5778">
        <f>(O432-N432)*$D$497/CurrencyMultiplier</f>
        <v>0</v>
      </c>
    </row>
    <row r="498" spans="1:16" hidden="1" outlineLevel="1" x14ac:dyDescent="0.25">
      <c r="B498" s="2071"/>
      <c r="C498" s="77" t="s">
        <v>494</v>
      </c>
      <c r="D498" s="5780">
        <f>'WW Plan'!G305</f>
        <v>0</v>
      </c>
      <c r="E498" s="2267"/>
      <c r="F498" s="361">
        <f>IF(F431&lt;'WW Plan'!$G$293+1,0,SUM($E$497:F497)*$D$498)</f>
        <v>0</v>
      </c>
      <c r="G498" s="361">
        <f>IF(G431&lt;'WW Plan'!$G$293+1,0,SUM($E$497:G497)*$D$498)</f>
        <v>0</v>
      </c>
      <c r="H498" s="361">
        <f>IF(H431&lt;'WW Plan'!$G$293+1,0,SUM($E$497:H497)*$D$498)</f>
        <v>0</v>
      </c>
      <c r="I498" s="361">
        <f>IF(I431&lt;'WW Plan'!$G$293+1,0,SUM($E$497:I497)*$D$498)</f>
        <v>0</v>
      </c>
      <c r="J498" s="361">
        <f>IF(J431&lt;'WW Plan'!$G$293+1,0,SUM($E$497:J497)*$D$498)</f>
        <v>0</v>
      </c>
      <c r="K498" s="361">
        <f>IF(K431&lt;'WW Plan'!$G$293+1,0,SUM($E$497:K497)*$D$498)</f>
        <v>0</v>
      </c>
      <c r="L498" s="361">
        <f>IF(L431&lt;'WW Plan'!$G$293+1,0,SUM($E$497:L497)*$D$498)</f>
        <v>0</v>
      </c>
      <c r="M498" s="361">
        <f>IF(M431&lt;'WW Plan'!$G$293+1,0,SUM($E$497:M497)*$D$498)</f>
        <v>0</v>
      </c>
      <c r="N498" s="361">
        <f>IF(N431&lt;'WW Plan'!$G$293+1,0,SUM($E$497:N497)*$D$498)</f>
        <v>0</v>
      </c>
      <c r="O498" s="2275">
        <f>IF(O431&lt;'WW Plan'!$G$293+1,0,SUM($E$497:O497)*$D$498)</f>
        <v>0</v>
      </c>
    </row>
    <row r="499" spans="1:16" hidden="1" outlineLevel="1" x14ac:dyDescent="0.25">
      <c r="B499" s="1244"/>
      <c r="C499" s="77" t="s">
        <v>1327</v>
      </c>
      <c r="D499" s="5779"/>
      <c r="E499" s="2267"/>
      <c r="F499" s="2384">
        <f>(((F487-E487)*'WW Plan'!$G$306)+((F488-E488)*'WW Plan'!$H$306)+((F489-E489)*'WW Plan'!$G$307))/CurrencyMultiplier</f>
        <v>0</v>
      </c>
      <c r="G499" s="2384">
        <f>(((G487-F487)*'WW Plan'!$G$306)+((G488-F488)*'WW Plan'!$H$306)+((G489-F489)*'WW Plan'!$G$307))/CurrencyMultiplier</f>
        <v>0</v>
      </c>
      <c r="H499" s="2384">
        <f>(((H487-G487)*'WW Plan'!$G$306)+((H488-G488)*'WW Plan'!$H$306)+((H489-G489)*'WW Plan'!$G$307))/CurrencyMultiplier</f>
        <v>0</v>
      </c>
      <c r="I499" s="2384">
        <f>(((I487-H487)*'WW Plan'!$G$306)+((I488-H488)*'WW Plan'!$H$306)+((I489-H489)*'WW Plan'!$G$307))/CurrencyMultiplier</f>
        <v>0</v>
      </c>
      <c r="J499" s="2384">
        <f>(((J487-I487)*'WW Plan'!$G$306)+((J488-I488)*'WW Plan'!$H$306)+((J489-I489)*'WW Plan'!$G$307))/CurrencyMultiplier</f>
        <v>0</v>
      </c>
      <c r="K499" s="2384">
        <f>(((K487-J487)*'WW Plan'!$G$306)+((K488-J488)*'WW Plan'!$H$306)+((K489-J489)*'WW Plan'!$G$307))/CurrencyMultiplier</f>
        <v>0</v>
      </c>
      <c r="L499" s="2384">
        <f>(((L487-K487)*'WW Plan'!$G$306)+((L488-K488)*'WW Plan'!$H$306)+((L489-K489)*'WW Plan'!$G$307))/CurrencyMultiplier</f>
        <v>0</v>
      </c>
      <c r="M499" s="2384">
        <f>(((M487-L487)*'WW Plan'!$G$306)+((M488-L488)*'WW Plan'!$H$306)+((M489-L489)*'WW Plan'!$G$307))/CurrencyMultiplier</f>
        <v>0</v>
      </c>
      <c r="N499" s="2384">
        <f>(((N487-M487)*'WW Plan'!$G$306)+((N488-M488)*'WW Plan'!$H$306)+((N489-M489)*'WW Plan'!$G$307))/CurrencyMultiplier</f>
        <v>0</v>
      </c>
      <c r="O499" s="2385">
        <f>(((O487-N487)*'WW Plan'!$G$306)+((O488-N488)*'WW Plan'!$H$306)+((O489-N489)*'WW Plan'!$G$307))/CurrencyMultiplier</f>
        <v>0</v>
      </c>
    </row>
    <row r="500" spans="1:16" hidden="1" outlineLevel="1" x14ac:dyDescent="0.25">
      <c r="B500" s="1289"/>
      <c r="C500" s="336" t="s">
        <v>1328</v>
      </c>
      <c r="D500" s="5781"/>
      <c r="E500" s="2277"/>
      <c r="F500" s="2386">
        <f>(((F487-E487)*F948)+((F488-E488)*F950)+((F489-E489)*F952))/CurrencyMultiplier</f>
        <v>0</v>
      </c>
      <c r="G500" s="2386">
        <f>(((G487-F487)*G948)+((G488-F488)*G950)+((G489-F489)*G952))/CurrencyMultiplier</f>
        <v>0</v>
      </c>
      <c r="H500" s="2386">
        <f>(((H487-G487)*H948)+((H488-G488)*H950)+((H489-G489)*H952))/CurrencyMultiplier</f>
        <v>0</v>
      </c>
      <c r="I500" s="2386">
        <f>(((I487-H487)*I948)+((I488-H488)*I950)+((I489-H489)*I952))/CurrencyMultiplier</f>
        <v>0</v>
      </c>
      <c r="J500" s="2386">
        <f>(((J487-I487)*J948)+((J488-I488)*J950)+((J489-I489)*J952))/CurrencyMultiplier</f>
        <v>0</v>
      </c>
      <c r="K500" s="2386">
        <f>(((K487-J487)*K948)+((K488-J488)*K950)+((K489-J489)*K952))/CurrencyMultiplier</f>
        <v>0</v>
      </c>
      <c r="L500" s="2386">
        <f>(((L487-K487)*L948)+((L488-K488)*L950)+((L489-K489)*L952))/CurrencyMultiplier</f>
        <v>0</v>
      </c>
      <c r="M500" s="2386">
        <f>(((M487-L487)*M948)+((M488-L488)*M950)+((M489-L489)*M952))/CurrencyMultiplier</f>
        <v>0</v>
      </c>
      <c r="N500" s="2386">
        <f>(((N487-M487)*N948)+((N488-M488)*N950)+((N489-M489)*N952))/CurrencyMultiplier</f>
        <v>0</v>
      </c>
      <c r="O500" s="2387">
        <f>(((O487-N487)*O948)+((O488-N488)*O950)+((O489-N489)*O952))/CurrencyMultiplier</f>
        <v>0</v>
      </c>
    </row>
    <row r="501" spans="1:16" hidden="1" outlineLevel="1" x14ac:dyDescent="0.25"/>
    <row r="502" spans="1:16" hidden="1" outlineLevel="1" x14ac:dyDescent="0.25"/>
    <row r="503" spans="1:16" collapsed="1" x14ac:dyDescent="0.25">
      <c r="A503" s="11" t="s">
        <v>13</v>
      </c>
      <c r="B503" s="11" t="s">
        <v>2519</v>
      </c>
      <c r="C503" s="12"/>
    </row>
    <row r="504" spans="1:16" hidden="1" outlineLevel="1" x14ac:dyDescent="0.25">
      <c r="B504" s="13" t="s">
        <v>3</v>
      </c>
      <c r="C504" s="13" t="s">
        <v>4</v>
      </c>
      <c r="D504" s="2480" t="s">
        <v>33</v>
      </c>
      <c r="E504" s="13">
        <f>'WS calcu'!E$3</f>
        <v>2014</v>
      </c>
      <c r="F504" s="13">
        <f>'WS calcu'!F$3</f>
        <v>2015</v>
      </c>
      <c r="G504" s="13">
        <f>'WS calcu'!G$3</f>
        <v>2016</v>
      </c>
      <c r="H504" s="13">
        <f>'WS calcu'!H$3</f>
        <v>2017</v>
      </c>
      <c r="I504" s="13">
        <f>'WS calcu'!I$3</f>
        <v>2018</v>
      </c>
      <c r="J504" s="13">
        <f>'WS calcu'!J$3</f>
        <v>2019</v>
      </c>
      <c r="K504" s="13">
        <f>'WS calcu'!K$3</f>
        <v>2020</v>
      </c>
      <c r="L504" s="13">
        <f>'WS calcu'!L$3</f>
        <v>2021</v>
      </c>
      <c r="M504" s="13">
        <f>'WS calcu'!M$3</f>
        <v>2022</v>
      </c>
      <c r="N504" s="13">
        <f>'WS calcu'!N$3</f>
        <v>2023</v>
      </c>
      <c r="O504" s="13">
        <f>'WS calcu'!O$3</f>
        <v>2024</v>
      </c>
    </row>
    <row r="505" spans="1:16" hidden="1" outlineLevel="1" x14ac:dyDescent="0.25">
      <c r="B505" s="195"/>
      <c r="C505" s="2168" t="s">
        <v>334</v>
      </c>
      <c r="D505" s="2566"/>
      <c r="E505" s="195"/>
      <c r="F505" s="195"/>
      <c r="G505" s="195"/>
      <c r="H505" s="195"/>
      <c r="I505" s="195"/>
      <c r="J505" s="195"/>
      <c r="K505" s="195"/>
      <c r="L505" s="195"/>
      <c r="M505" s="195"/>
      <c r="N505" s="195"/>
      <c r="O505" s="195"/>
    </row>
    <row r="506" spans="1:16" hidden="1" outlineLevel="1" x14ac:dyDescent="0.25">
      <c r="C506" s="547" t="s">
        <v>2522</v>
      </c>
      <c r="D506" s="2481" t="s">
        <v>2422</v>
      </c>
      <c r="E506" s="548">
        <f>'WSS Profile'!F301</f>
        <v>0</v>
      </c>
      <c r="F506" s="548">
        <f>E506-IF('WW Plan'!$E$57="Activate",IF(AND('WW calcu'!F$504&gt;='WW Plan'!$G$67,'WW calcu'!F$504&lt;'WW Plan'!$H$67+1),('WW Plan'!$G$70/('WW Plan'!$H$67+1-'WW Plan'!$G$67)),0),0)</f>
        <v>-15.333333333333334</v>
      </c>
      <c r="G506" s="548">
        <f>F506-IF('WW Plan'!$E$57="Activate",IF(AND('WW calcu'!G$504&gt;='WW Plan'!$G$67,'WW calcu'!G$504&lt;'WW Plan'!$H$67+1),('WW Plan'!$G$70/('WW Plan'!$H$67+1-'WW Plan'!$G$67)),0),0)</f>
        <v>-30.666666666666668</v>
      </c>
      <c r="H506" s="548">
        <f>G506-IF('WW Plan'!$E$57="Activate",IF(AND('WW calcu'!H$504&gt;='WW Plan'!$G$67,'WW calcu'!H$504&lt;'WW Plan'!$H$67+1),('WW Plan'!$G$70/('WW Plan'!$H$67+1-'WW Plan'!$G$67)),0),0)</f>
        <v>-46</v>
      </c>
      <c r="I506" s="548">
        <f>H506-IF('WW Plan'!$E$57="Activate",IF(AND('WW calcu'!I$504&gt;='WW Plan'!$G$67,'WW calcu'!I$504&lt;'WW Plan'!$H$67+1),('WW Plan'!$G$70/('WW Plan'!$H$67+1-'WW Plan'!$G$67)),0),0)</f>
        <v>-46</v>
      </c>
      <c r="J506" s="548">
        <f>I506-IF('WW Plan'!$E$57="Activate",IF(AND('WW calcu'!J$504&gt;='WW Plan'!$G$67,'WW calcu'!J$504&lt;'WW Plan'!$H$67+1),('WW Plan'!$G$70/('WW Plan'!$H$67+1-'WW Plan'!$G$67)),0),0)</f>
        <v>-46</v>
      </c>
      <c r="K506" s="548">
        <f>J506-IF('WW Plan'!$E$57="Activate",IF(AND('WW calcu'!K$504&gt;='WW Plan'!$G$67,'WW calcu'!K$504&lt;'WW Plan'!$H$67+1),('WW Plan'!$G$70/('WW Plan'!$H$67+1-'WW Plan'!$G$67)),0),0)</f>
        <v>-46</v>
      </c>
      <c r="L506" s="548">
        <f>K506-IF('WW Plan'!$E$57="Activate",IF(AND('WW calcu'!L$504&gt;='WW Plan'!$G$67,'WW calcu'!L$504&lt;'WW Plan'!$H$67+1),('WW Plan'!$G$70/('WW Plan'!$H$67+1-'WW Plan'!$G$67)),0),0)</f>
        <v>-46</v>
      </c>
      <c r="M506" s="548">
        <f>L506-IF('WW Plan'!$E$57="Activate",IF(AND('WW calcu'!M$504&gt;='WW Plan'!$G$67,'WW calcu'!M$504&lt;'WW Plan'!$H$67+1),('WW Plan'!$G$70/('WW Plan'!$H$67+1-'WW Plan'!$G$67)),0),0)</f>
        <v>-46</v>
      </c>
      <c r="N506" s="548">
        <f>M506-IF('WW Plan'!$E$57="Activate",IF(AND('WW calcu'!N$504&gt;='WW Plan'!$G$67,'WW calcu'!N$504&lt;'WW Plan'!$H$67+1),('WW Plan'!$G$70/('WW Plan'!$H$67+1-'WW Plan'!$G$67)),0),0)</f>
        <v>-46</v>
      </c>
      <c r="O506" s="549">
        <f>N506-IF('WW Plan'!$E$57="Activate",IF(AND('WW calcu'!O$504&gt;='WW Plan'!$G$67,'WW calcu'!O$504&lt;'WW Plan'!$H$67+1),('WW Plan'!$G$70/('WW Plan'!$H$67+1-'WW Plan'!$G$67)),0),0)</f>
        <v>-46</v>
      </c>
    </row>
    <row r="507" spans="1:16" hidden="1" outlineLevel="1" x14ac:dyDescent="0.25">
      <c r="C507" s="2071"/>
      <c r="D507" s="2488" t="s">
        <v>27</v>
      </c>
      <c r="E507" s="597">
        <f>'WSS Profile'!G301</f>
        <v>0</v>
      </c>
      <c r="F507" s="597">
        <f>E507-IF('WW Plan'!$E$57="Activate",IF(AND('WW calcu'!F$504&gt;='WW Plan'!$G$67,'WW calcu'!F$504&lt;'WW Plan'!$H$67+1),('WW Plan'!$H$70/('WW Plan'!$H$67+1-'WW Plan'!$G$67)),0),0)</f>
        <v>-0.66666666666666663</v>
      </c>
      <c r="G507" s="597">
        <f>F507-IF('WW Plan'!$E$57="Activate",IF(AND('WW calcu'!G$504&gt;='WW Plan'!$G$67,'WW calcu'!G$504&lt;'WW Plan'!$H$67+1),('WW Plan'!$H$70/('WW Plan'!$H$67+1-'WW Plan'!$G$67)),0),0)</f>
        <v>-1.3333333333333333</v>
      </c>
      <c r="H507" s="597">
        <f>G507-IF('WW Plan'!$E$57="Activate",IF(AND('WW calcu'!H$504&gt;='WW Plan'!$G$67,'WW calcu'!H$504&lt;'WW Plan'!$H$67+1),('WW Plan'!$H$70/('WW Plan'!$H$67+1-'WW Plan'!$G$67)),0),0)</f>
        <v>-2</v>
      </c>
      <c r="I507" s="597">
        <f>H507-IF('WW Plan'!$E$57="Activate",IF(AND('WW calcu'!I$504&gt;='WW Plan'!$G$67,'WW calcu'!I$504&lt;'WW Plan'!$H$67+1),('WW Plan'!$H$70/('WW Plan'!$H$67+1-'WW Plan'!$G$67)),0),0)</f>
        <v>-2</v>
      </c>
      <c r="J507" s="597">
        <f>I507-IF('WW Plan'!$E$57="Activate",IF(AND('WW calcu'!J$504&gt;='WW Plan'!$G$67,'WW calcu'!J$504&lt;'WW Plan'!$H$67+1),('WW Plan'!$H$70/('WW Plan'!$H$67+1-'WW Plan'!$G$67)),0),0)</f>
        <v>-2</v>
      </c>
      <c r="K507" s="597">
        <f>J507-IF('WW Plan'!$E$57="Activate",IF(AND('WW calcu'!K$504&gt;='WW Plan'!$G$67,'WW calcu'!K$504&lt;'WW Plan'!$H$67+1),('WW Plan'!$H$70/('WW Plan'!$H$67+1-'WW Plan'!$G$67)),0),0)</f>
        <v>-2</v>
      </c>
      <c r="L507" s="597">
        <f>K507-IF('WW Plan'!$E$57="Activate",IF(AND('WW calcu'!L$504&gt;='WW Plan'!$G$67,'WW calcu'!L$504&lt;'WW Plan'!$H$67+1),('WW Plan'!$H$70/('WW Plan'!$H$67+1-'WW Plan'!$G$67)),0),0)</f>
        <v>-2</v>
      </c>
      <c r="M507" s="597">
        <f>L507-IF('WW Plan'!$E$57="Activate",IF(AND('WW calcu'!M$504&gt;='WW Plan'!$G$67,'WW calcu'!M$504&lt;'WW Plan'!$H$67+1),('WW Plan'!$H$70/('WW Plan'!$H$67+1-'WW Plan'!$G$67)),0),0)</f>
        <v>-2</v>
      </c>
      <c r="N507" s="597">
        <f>M507-IF('WW Plan'!$E$57="Activate",IF(AND('WW calcu'!N$504&gt;='WW Plan'!$G$67,'WW calcu'!N$504&lt;'WW Plan'!$H$67+1),('WW Plan'!$H$70/('WW Plan'!$H$67+1-'WW Plan'!$G$67)),0),0)</f>
        <v>-2</v>
      </c>
      <c r="O507" s="608">
        <f>ROUND(N507-IF('WW Plan'!$E$57="Activate",IF(AND('WW calcu'!O$504&gt;='WW Plan'!$G$67,'WW calcu'!O$504&lt;'WW Plan'!$H$67+1),('WW Plan'!$H$70/('WW Plan'!$H$67+1-'WW Plan'!$G$67)),0),0),0)</f>
        <v>-2</v>
      </c>
    </row>
    <row r="508" spans="1:16" hidden="1" outlineLevel="1" x14ac:dyDescent="0.25">
      <c r="C508" s="2429" t="s">
        <v>2530</v>
      </c>
      <c r="D508" s="2680">
        <f>IFERROR('WSS Profile'!F295/'WSS Profile'!F294,0)</f>
        <v>5.5</v>
      </c>
      <c r="E508" s="2665">
        <f>('WSS Profile'!F299+'WSS Profile'!F300)*$D$508</f>
        <v>253</v>
      </c>
      <c r="F508" s="2665">
        <f t="shared" ref="F508:O508" si="193">E508+($D$508*(E506-F506))</f>
        <v>337.33333333333337</v>
      </c>
      <c r="G508" s="2665">
        <f t="shared" si="193"/>
        <v>421.66666666666674</v>
      </c>
      <c r="H508" s="2665">
        <f t="shared" si="193"/>
        <v>506.00000000000006</v>
      </c>
      <c r="I508" s="2665">
        <f t="shared" si="193"/>
        <v>506.00000000000006</v>
      </c>
      <c r="J508" s="2665">
        <f t="shared" si="193"/>
        <v>506.00000000000006</v>
      </c>
      <c r="K508" s="2665">
        <f t="shared" si="193"/>
        <v>506.00000000000006</v>
      </c>
      <c r="L508" s="2665">
        <f t="shared" si="193"/>
        <v>506.00000000000006</v>
      </c>
      <c r="M508" s="2665">
        <f t="shared" si="193"/>
        <v>506.00000000000006</v>
      </c>
      <c r="N508" s="2665">
        <f t="shared" si="193"/>
        <v>506.00000000000006</v>
      </c>
      <c r="O508" s="2666">
        <f t="shared" si="193"/>
        <v>506.00000000000006</v>
      </c>
      <c r="P508" s="127"/>
    </row>
    <row r="509" spans="1:16" hidden="1" outlineLevel="1" x14ac:dyDescent="0.25">
      <c r="C509" s="551" t="s">
        <v>27</v>
      </c>
      <c r="D509" s="2567">
        <f>IFERROR('WSS Profile'!G295/'WSS Profile'!G294,0)</f>
        <v>6</v>
      </c>
      <c r="E509" s="552">
        <f>('WSS Profile'!G299+'WSS Profile'!G300)*$D$509</f>
        <v>12</v>
      </c>
      <c r="F509" s="552">
        <f>E509+($D$509*(E507-F507))</f>
        <v>16</v>
      </c>
      <c r="G509" s="552">
        <f t="shared" ref="G509:O509" si="194">F509+($D$509*(F507-G507))</f>
        <v>20</v>
      </c>
      <c r="H509" s="552">
        <f t="shared" si="194"/>
        <v>24</v>
      </c>
      <c r="I509" s="552">
        <f t="shared" si="194"/>
        <v>24</v>
      </c>
      <c r="J509" s="552">
        <f t="shared" si="194"/>
        <v>24</v>
      </c>
      <c r="K509" s="552">
        <f t="shared" si="194"/>
        <v>24</v>
      </c>
      <c r="L509" s="552">
        <f t="shared" si="194"/>
        <v>24</v>
      </c>
      <c r="M509" s="552">
        <f t="shared" si="194"/>
        <v>24</v>
      </c>
      <c r="N509" s="552">
        <f t="shared" si="194"/>
        <v>24</v>
      </c>
      <c r="O509" s="1058">
        <f t="shared" si="194"/>
        <v>24</v>
      </c>
    </row>
    <row r="510" spans="1:16" hidden="1" outlineLevel="1" x14ac:dyDescent="0.25"/>
    <row r="511" spans="1:16" hidden="1" outlineLevel="1" x14ac:dyDescent="0.25">
      <c r="C511" s="2674" t="s">
        <v>2597</v>
      </c>
      <c r="D511" s="2502">
        <f>'WW Plan'!G72</f>
        <v>1</v>
      </c>
      <c r="E511" s="2093"/>
      <c r="F511" s="2093">
        <f t="shared" ref="F511:O511" si="195">MAX(F508-$E$508,E511)*$D$511</f>
        <v>84.333333333333371</v>
      </c>
      <c r="G511" s="2093">
        <f t="shared" si="195"/>
        <v>168.66666666666674</v>
      </c>
      <c r="H511" s="2093">
        <f t="shared" si="195"/>
        <v>253.00000000000006</v>
      </c>
      <c r="I511" s="2093">
        <f t="shared" si="195"/>
        <v>253.00000000000006</v>
      </c>
      <c r="J511" s="2093">
        <f t="shared" si="195"/>
        <v>253.00000000000006</v>
      </c>
      <c r="K511" s="2093">
        <f t="shared" si="195"/>
        <v>253.00000000000006</v>
      </c>
      <c r="L511" s="2093">
        <f t="shared" si="195"/>
        <v>253.00000000000006</v>
      </c>
      <c r="M511" s="2093">
        <f t="shared" si="195"/>
        <v>253.00000000000006</v>
      </c>
      <c r="N511" s="2093">
        <f t="shared" si="195"/>
        <v>253.00000000000006</v>
      </c>
      <c r="O511" s="1057">
        <f t="shared" si="195"/>
        <v>253.00000000000006</v>
      </c>
    </row>
    <row r="512" spans="1:16" hidden="1" outlineLevel="1" x14ac:dyDescent="0.25">
      <c r="C512" s="2071"/>
      <c r="D512" s="2503">
        <f>'WW Plan'!H72</f>
        <v>1</v>
      </c>
      <c r="E512" s="550"/>
      <c r="F512" s="550">
        <f t="shared" ref="F512:O512" si="196">MAX(F509-$E$509,E512)*$D$512</f>
        <v>4</v>
      </c>
      <c r="G512" s="550">
        <f t="shared" si="196"/>
        <v>8</v>
      </c>
      <c r="H512" s="550">
        <f t="shared" si="196"/>
        <v>12</v>
      </c>
      <c r="I512" s="550">
        <f t="shared" si="196"/>
        <v>12</v>
      </c>
      <c r="J512" s="550">
        <f>MAX(J509-$E$509,I512)*$D$512</f>
        <v>12</v>
      </c>
      <c r="K512" s="550">
        <f t="shared" si="196"/>
        <v>12</v>
      </c>
      <c r="L512" s="550">
        <f t="shared" si="196"/>
        <v>12</v>
      </c>
      <c r="M512" s="550">
        <f t="shared" si="196"/>
        <v>12</v>
      </c>
      <c r="N512" s="550">
        <f t="shared" si="196"/>
        <v>12</v>
      </c>
      <c r="O512" s="1033">
        <f t="shared" si="196"/>
        <v>12</v>
      </c>
    </row>
    <row r="513" spans="1:17" hidden="1" outlineLevel="1" x14ac:dyDescent="0.25">
      <c r="C513" s="2687" t="s">
        <v>2523</v>
      </c>
      <c r="D513" s="2667">
        <f>'WW Plan'!G73</f>
        <v>0</v>
      </c>
      <c r="E513" s="2665">
        <v>0</v>
      </c>
      <c r="F513" s="2665">
        <f>IF(SUM($E$515:F515)&gt;0,MAX(F508-$E$508,0)*$D$513,0)</f>
        <v>0</v>
      </c>
      <c r="G513" s="2665">
        <f>IF(SUM($E$515:G515)&gt;0,MAX(G508-$E$508,0)*$D$513,0)</f>
        <v>0</v>
      </c>
      <c r="H513" s="2665">
        <f>IF(SUM($E$515:H515)&gt;0,MAX(H508-$E$508,0)*$D$513,0)</f>
        <v>0</v>
      </c>
      <c r="I513" s="2665">
        <f>IF(SUM($E$515:I515)&gt;0,MAX(I508-$E$508,0)*$D$513,0)</f>
        <v>0</v>
      </c>
      <c r="J513" s="2665">
        <f>IF(SUM($E$515:J515)&gt;0,MAX(J508-$E$508,0)*$D$513,0)</f>
        <v>0</v>
      </c>
      <c r="K513" s="2665">
        <f>IF(SUM($E$515:K515)&gt;0,MAX(K508-$E$508,0)*$D$513,0)</f>
        <v>0</v>
      </c>
      <c r="L513" s="2665">
        <f>IF(SUM($E$515:L515)&gt;0,MAX(L508-$E$508,0)*$D$513,0)</f>
        <v>0</v>
      </c>
      <c r="M513" s="2665">
        <f>IF(SUM($E$515:M515)&gt;0,MAX(M508-$E$508,0)*$D$513,0)</f>
        <v>0</v>
      </c>
      <c r="N513" s="2665">
        <f>IF(SUM($E$515:N515)&gt;0,MAX(N508-$E$508,0)*$D$513,0)</f>
        <v>0</v>
      </c>
      <c r="O513" s="2666">
        <f>IF(SUM($E$515:O515)&gt;0,MAX(O508-$E$508,0)*$D$513,0)</f>
        <v>0</v>
      </c>
    </row>
    <row r="514" spans="1:17" hidden="1" outlineLevel="1" x14ac:dyDescent="0.25">
      <c r="C514" s="2071"/>
      <c r="D514" s="2503">
        <f>'WW Plan'!H73</f>
        <v>0</v>
      </c>
      <c r="E514" s="550">
        <v>0</v>
      </c>
      <c r="F514" s="550">
        <f>IF(SUM($E$515:F515)&gt;0,MAX(F509-$E$509,0)*$D$514,0)</f>
        <v>0</v>
      </c>
      <c r="G514" s="550">
        <f>IF(SUM($E$515:G515)&gt;0,MAX(G509-$E$509,0)*$D$514,0)</f>
        <v>0</v>
      </c>
      <c r="H514" s="550">
        <f>IF(SUM($E$515:H515)&gt;0,MAX(H509-$E$509,0)*$D$514,0)</f>
        <v>0</v>
      </c>
      <c r="I514" s="550">
        <f>IF(SUM($E$515:I515)&gt;0,MAX(I509-$E$509,0)*$D$514,0)</f>
        <v>0</v>
      </c>
      <c r="J514" s="550">
        <f>IF(SUM($E$515:J515)&gt;0,MAX(J509-$E$509,0)*$D$514,0)</f>
        <v>0</v>
      </c>
      <c r="K514" s="550">
        <f>IF(SUM($E$515:K515)&gt;0,MAX(K509-$E$509,0)*$D$514,0)</f>
        <v>0</v>
      </c>
      <c r="L514" s="550">
        <f>IF(SUM($E$515:L515)&gt;0,MAX(L509-$E$509,0)*$D$514,0)</f>
        <v>0</v>
      </c>
      <c r="M514" s="550">
        <f>IF(SUM($E$515:M515)&gt;0,MAX(M509-$E$509,0)*$D$514,0)</f>
        <v>0</v>
      </c>
      <c r="N514" s="550">
        <f>IF(SUM($E$515:N515)&gt;0,MAX(N509-$E$509,0)*$D$514,0)</f>
        <v>0</v>
      </c>
      <c r="O514" s="1033">
        <f>IF(SUM($E$515:O515)&gt;0,MAX(O509-$E$509,0)*$D$514,0)</f>
        <v>0</v>
      </c>
    </row>
    <row r="515" spans="1:17" s="2171" customFormat="1" ht="12.75" hidden="1" outlineLevel="1" x14ac:dyDescent="0.25">
      <c r="A515" s="663"/>
      <c r="B515" s="663"/>
      <c r="C515" s="2681" t="s">
        <v>2524</v>
      </c>
      <c r="D515" s="2495"/>
      <c r="E515" s="2682"/>
      <c r="F515" s="2683">
        <f>F329-$E$329</f>
        <v>0</v>
      </c>
      <c r="G515" s="2683">
        <f t="shared" ref="G515:O515" si="197">G329-F329</f>
        <v>0</v>
      </c>
      <c r="H515" s="2683">
        <f t="shared" si="197"/>
        <v>0</v>
      </c>
      <c r="I515" s="2683">
        <f t="shared" si="197"/>
        <v>0</v>
      </c>
      <c r="J515" s="2683">
        <f t="shared" si="197"/>
        <v>0</v>
      </c>
      <c r="K515" s="2683">
        <f t="shared" si="197"/>
        <v>0</v>
      </c>
      <c r="L515" s="2683">
        <f t="shared" si="197"/>
        <v>0</v>
      </c>
      <c r="M515" s="2683">
        <f t="shared" si="197"/>
        <v>0</v>
      </c>
      <c r="N515" s="2683">
        <f t="shared" si="197"/>
        <v>0</v>
      </c>
      <c r="O515" s="2684">
        <f t="shared" si="197"/>
        <v>0</v>
      </c>
      <c r="Q515" s="4002"/>
    </row>
    <row r="516" spans="1:17" hidden="1" outlineLevel="1" x14ac:dyDescent="0.25">
      <c r="C516" s="2687" t="s">
        <v>2596</v>
      </c>
      <c r="D516" s="2667">
        <f>'WW Plan'!G74</f>
        <v>0</v>
      </c>
      <c r="E516" s="2665">
        <v>0</v>
      </c>
      <c r="F516" s="2665">
        <f t="shared" ref="F516:O516" si="198">MAX(F508-$E$508,E516)*$D$516</f>
        <v>0</v>
      </c>
      <c r="G516" s="2665">
        <f t="shared" si="198"/>
        <v>0</v>
      </c>
      <c r="H516" s="2665">
        <f t="shared" si="198"/>
        <v>0</v>
      </c>
      <c r="I516" s="2665">
        <f t="shared" si="198"/>
        <v>0</v>
      </c>
      <c r="J516" s="2665">
        <f t="shared" si="198"/>
        <v>0</v>
      </c>
      <c r="K516" s="2665">
        <f t="shared" si="198"/>
        <v>0</v>
      </c>
      <c r="L516" s="2665">
        <f t="shared" si="198"/>
        <v>0</v>
      </c>
      <c r="M516" s="2665">
        <f t="shared" si="198"/>
        <v>0</v>
      </c>
      <c r="N516" s="2665">
        <f t="shared" si="198"/>
        <v>0</v>
      </c>
      <c r="O516" s="2666">
        <f t="shared" si="198"/>
        <v>0</v>
      </c>
    </row>
    <row r="517" spans="1:17" hidden="1" outlineLevel="1" x14ac:dyDescent="0.25">
      <c r="C517" s="2433"/>
      <c r="D517" s="2670">
        <f>'WW Plan'!H74</f>
        <v>0</v>
      </c>
      <c r="E517" s="2685">
        <v>0</v>
      </c>
      <c r="F517" s="2685">
        <f t="shared" ref="F517:O517" si="199">MAX(F509-$E$509,E517)*$D$517</f>
        <v>0</v>
      </c>
      <c r="G517" s="2685">
        <f t="shared" si="199"/>
        <v>0</v>
      </c>
      <c r="H517" s="2685">
        <f t="shared" si="199"/>
        <v>0</v>
      </c>
      <c r="I517" s="2685">
        <f t="shared" si="199"/>
        <v>0</v>
      </c>
      <c r="J517" s="2685">
        <f t="shared" si="199"/>
        <v>0</v>
      </c>
      <c r="K517" s="2685">
        <f t="shared" si="199"/>
        <v>0</v>
      </c>
      <c r="L517" s="2685">
        <f t="shared" si="199"/>
        <v>0</v>
      </c>
      <c r="M517" s="2685">
        <f t="shared" si="199"/>
        <v>0</v>
      </c>
      <c r="N517" s="2685">
        <f t="shared" si="199"/>
        <v>0</v>
      </c>
      <c r="O517" s="2686">
        <f t="shared" si="199"/>
        <v>0</v>
      </c>
    </row>
    <row r="518" spans="1:17" hidden="1" outlineLevel="1" x14ac:dyDescent="0.25">
      <c r="C518" s="2688" t="s">
        <v>2526</v>
      </c>
      <c r="D518" s="2503">
        <f>'WW Plan'!G75</f>
        <v>0</v>
      </c>
      <c r="E518" s="550">
        <v>0</v>
      </c>
      <c r="F518" s="550">
        <f>IF(SUM($E$520:F520)&gt;0,MAX(F508-$E$508,0)*$D$518,0)</f>
        <v>0</v>
      </c>
      <c r="G518" s="550">
        <f>IF(SUM($E$520:G520)&gt;0,MAX(G508-$E$508,0)*$D$518,0)</f>
        <v>0</v>
      </c>
      <c r="H518" s="550">
        <f>IF(SUM($E$520:H520)&gt;0,MAX(H508-$E$508,0)*$D$518,0)</f>
        <v>0</v>
      </c>
      <c r="I518" s="550">
        <f>IF(SUM($E$520:I520)&gt;0,MAX(I508-$E$508,0)*$D$518,0)</f>
        <v>0</v>
      </c>
      <c r="J518" s="550">
        <f>IF(SUM($E$520:J520)&gt;0,MAX(J508-$E$508,0)*$D$518,0)</f>
        <v>0</v>
      </c>
      <c r="K518" s="550">
        <f>IF(SUM($E$520:K520)&gt;0,MAX(K508-$E$508,0)*$D$518,0)</f>
        <v>0</v>
      </c>
      <c r="L518" s="550">
        <f>IF(SUM($E$520:L520)&gt;0,MAX(L508-$E$508,0)*$D$518,0)</f>
        <v>0</v>
      </c>
      <c r="M518" s="550">
        <f>IF(SUM($E$520:M520)&gt;0,MAX(M508-$E$508,0)*$D$518,0)</f>
        <v>0</v>
      </c>
      <c r="N518" s="550">
        <f>IF(SUM($E$520:N520)&gt;0,MAX(N508-$E$508,0)*$D$518,0)</f>
        <v>0</v>
      </c>
      <c r="O518" s="1033">
        <f>IF(SUM($E$520:O520)&gt;0,MAX(O508-$E$508,0)*$D$518,0)</f>
        <v>0</v>
      </c>
    </row>
    <row r="519" spans="1:17" hidden="1" outlineLevel="1" x14ac:dyDescent="0.25">
      <c r="C519" s="2071"/>
      <c r="D519" s="2503">
        <f>'WW Plan'!H75</f>
        <v>0</v>
      </c>
      <c r="E519" s="550">
        <v>0</v>
      </c>
      <c r="F519" s="550">
        <f>IF(SUM($E$520:F520)&gt;0,MAX(F509-$E$509,0)*$D$519,0)</f>
        <v>0</v>
      </c>
      <c r="G519" s="550">
        <f>IF(SUM($E$520:G520)&gt;0,MAX(G509-$E$509,0)*$D$519,0)</f>
        <v>0</v>
      </c>
      <c r="H519" s="550">
        <f>IF(SUM($E$520:H520)&gt;0,MAX(H509-$E$509,0)*$D$519,0)</f>
        <v>0</v>
      </c>
      <c r="I519" s="550">
        <f>IF(SUM($E$520:I520)&gt;0,MAX(I509-$E$509,0)*$D$519,0)</f>
        <v>0</v>
      </c>
      <c r="J519" s="550">
        <f>IF(SUM($E$520:J520)&gt;0,MAX(J509-$E$509,0)*$D$519,0)</f>
        <v>0</v>
      </c>
      <c r="K519" s="550">
        <f>IF(SUM($E$520:K520)&gt;0,MAX(K509-$E$509,0)*$D$519,0)</f>
        <v>0</v>
      </c>
      <c r="L519" s="550">
        <f>IF(SUM($E$520:L520)&gt;0,MAX(L509-$E$509,0)*$D$519,0)</f>
        <v>0</v>
      </c>
      <c r="M519" s="550">
        <f>IF(SUM($E$520:M520)&gt;0,MAX(M509-$E$509,0)*$D$519,0)</f>
        <v>0</v>
      </c>
      <c r="N519" s="550">
        <f>IF(SUM($E$520:N520)&gt;0,MAX(N509-$E$509,0)*$D$519,0)</f>
        <v>0</v>
      </c>
      <c r="O519" s="1033">
        <f>IF(SUM($E$520:O520)&gt;0,MAX(O509-$E$509,0)*$D$519,0)</f>
        <v>0</v>
      </c>
    </row>
    <row r="520" spans="1:17" s="2171" customFormat="1" ht="12.75" hidden="1" outlineLevel="1" x14ac:dyDescent="0.25">
      <c r="A520" s="663"/>
      <c r="B520" s="663"/>
      <c r="C520" s="2074" t="s">
        <v>2525</v>
      </c>
      <c r="D520" s="2487"/>
      <c r="E520" s="2066"/>
      <c r="F520" s="2172">
        <f t="shared" ref="F520:O520" si="200">F432-E432</f>
        <v>0</v>
      </c>
      <c r="G520" s="2172">
        <f t="shared" si="200"/>
        <v>0</v>
      </c>
      <c r="H520" s="2172">
        <f t="shared" si="200"/>
        <v>0</v>
      </c>
      <c r="I520" s="2172">
        <f t="shared" si="200"/>
        <v>0</v>
      </c>
      <c r="J520" s="2172">
        <f t="shared" si="200"/>
        <v>0</v>
      </c>
      <c r="K520" s="2172">
        <f t="shared" si="200"/>
        <v>0</v>
      </c>
      <c r="L520" s="2172">
        <f t="shared" si="200"/>
        <v>0</v>
      </c>
      <c r="M520" s="2172">
        <f t="shared" si="200"/>
        <v>0</v>
      </c>
      <c r="N520" s="2172">
        <f t="shared" si="200"/>
        <v>0</v>
      </c>
      <c r="O520" s="2173">
        <f t="shared" si="200"/>
        <v>0</v>
      </c>
      <c r="Q520" s="4002"/>
    </row>
    <row r="521" spans="1:17" hidden="1" outlineLevel="1" x14ac:dyDescent="0.25"/>
    <row r="522" spans="1:17" hidden="1" outlineLevel="1" x14ac:dyDescent="0.25">
      <c r="A522" s="27"/>
      <c r="B522" s="27"/>
      <c r="C522" s="2674" t="s">
        <v>2527</v>
      </c>
      <c r="D522" s="2568" t="s">
        <v>2422</v>
      </c>
      <c r="E522" s="2696">
        <f>IFERROR(E524/$D$508,0)</f>
        <v>46</v>
      </c>
      <c r="F522" s="2696">
        <f>IFERROR(F524/$D$508,0)</f>
        <v>61.333333333333343</v>
      </c>
      <c r="G522" s="2696">
        <f>IFERROR(G524/$D$508,0)</f>
        <v>76.666666666666686</v>
      </c>
      <c r="H522" s="2696">
        <f t="shared" ref="H522:O522" si="201">IFERROR(H524/$D$508,0)</f>
        <v>92.000000000000014</v>
      </c>
      <c r="I522" s="2696">
        <f t="shared" si="201"/>
        <v>92.000000000000014</v>
      </c>
      <c r="J522" s="2696">
        <f t="shared" si="201"/>
        <v>92.000000000000014</v>
      </c>
      <c r="K522" s="2696">
        <f t="shared" si="201"/>
        <v>92.000000000000014</v>
      </c>
      <c r="L522" s="2696">
        <f t="shared" si="201"/>
        <v>92.000000000000014</v>
      </c>
      <c r="M522" s="2696">
        <f t="shared" si="201"/>
        <v>92.000000000000014</v>
      </c>
      <c r="N522" s="2696">
        <f t="shared" si="201"/>
        <v>92.000000000000014</v>
      </c>
      <c r="O522" s="2697">
        <f t="shared" si="201"/>
        <v>92.000000000000014</v>
      </c>
    </row>
    <row r="523" spans="1:17" hidden="1" outlineLevel="1" x14ac:dyDescent="0.25">
      <c r="A523" s="27"/>
      <c r="B523" s="27"/>
      <c r="C523" s="2698"/>
      <c r="D523" s="2699" t="s">
        <v>27</v>
      </c>
      <c r="E523" s="2700">
        <f>IFERROR(E525/$D$509,0)</f>
        <v>2</v>
      </c>
      <c r="F523" s="2700">
        <f t="shared" ref="F523:O523" si="202">IFERROR(F525/$D$509,0)</f>
        <v>2.6666666666666665</v>
      </c>
      <c r="G523" s="2700">
        <f t="shared" si="202"/>
        <v>3.3333333333333335</v>
      </c>
      <c r="H523" s="2700">
        <f t="shared" si="202"/>
        <v>4</v>
      </c>
      <c r="I523" s="2700">
        <f t="shared" si="202"/>
        <v>4</v>
      </c>
      <c r="J523" s="2700">
        <f t="shared" si="202"/>
        <v>4</v>
      </c>
      <c r="K523" s="2700">
        <f t="shared" si="202"/>
        <v>4</v>
      </c>
      <c r="L523" s="2700">
        <f t="shared" si="202"/>
        <v>4</v>
      </c>
      <c r="M523" s="2700">
        <f t="shared" si="202"/>
        <v>4</v>
      </c>
      <c r="N523" s="2700">
        <f t="shared" si="202"/>
        <v>4</v>
      </c>
      <c r="O523" s="2701">
        <f t="shared" si="202"/>
        <v>4</v>
      </c>
    </row>
    <row r="524" spans="1:17" hidden="1" outlineLevel="1" x14ac:dyDescent="0.25">
      <c r="A524" s="27"/>
      <c r="B524" s="27"/>
      <c r="C524" s="622" t="s">
        <v>2531</v>
      </c>
      <c r="D524" s="2569" t="s">
        <v>2422</v>
      </c>
      <c r="E524" s="2407">
        <f>E508</f>
        <v>253</v>
      </c>
      <c r="F524" s="2407">
        <f t="shared" ref="F524:O524" si="203">$E$524+F516+F513+F518+F511</f>
        <v>337.33333333333337</v>
      </c>
      <c r="G524" s="2407">
        <f t="shared" si="203"/>
        <v>421.66666666666674</v>
      </c>
      <c r="H524" s="2407">
        <f t="shared" si="203"/>
        <v>506.00000000000006</v>
      </c>
      <c r="I524" s="2407">
        <f t="shared" si="203"/>
        <v>506.00000000000006</v>
      </c>
      <c r="J524" s="2407">
        <f t="shared" si="203"/>
        <v>506.00000000000006</v>
      </c>
      <c r="K524" s="2407">
        <f t="shared" si="203"/>
        <v>506.00000000000006</v>
      </c>
      <c r="L524" s="2407">
        <f t="shared" si="203"/>
        <v>506.00000000000006</v>
      </c>
      <c r="M524" s="2407">
        <f t="shared" si="203"/>
        <v>506.00000000000006</v>
      </c>
      <c r="N524" s="2407">
        <f t="shared" si="203"/>
        <v>506.00000000000006</v>
      </c>
      <c r="O524" s="2408">
        <f t="shared" si="203"/>
        <v>506.00000000000006</v>
      </c>
    </row>
    <row r="525" spans="1:17" hidden="1" outlineLevel="1" x14ac:dyDescent="0.25">
      <c r="A525" s="27"/>
      <c r="B525" s="27"/>
      <c r="C525" s="2170"/>
      <c r="D525" s="2569" t="s">
        <v>27</v>
      </c>
      <c r="E525" s="2407">
        <f>E509</f>
        <v>12</v>
      </c>
      <c r="F525" s="2407">
        <f t="shared" ref="F525:O525" si="204">$E$525+F517+F514+F519+F512</f>
        <v>16</v>
      </c>
      <c r="G525" s="2407">
        <f t="shared" si="204"/>
        <v>20</v>
      </c>
      <c r="H525" s="2407">
        <f t="shared" si="204"/>
        <v>24</v>
      </c>
      <c r="I525" s="2407">
        <f t="shared" si="204"/>
        <v>24</v>
      </c>
      <c r="J525" s="2407">
        <f t="shared" si="204"/>
        <v>24</v>
      </c>
      <c r="K525" s="2407">
        <f t="shared" si="204"/>
        <v>24</v>
      </c>
      <c r="L525" s="2407">
        <f t="shared" si="204"/>
        <v>24</v>
      </c>
      <c r="M525" s="2407">
        <f t="shared" si="204"/>
        <v>24</v>
      </c>
      <c r="N525" s="2407">
        <f t="shared" si="204"/>
        <v>24</v>
      </c>
      <c r="O525" s="2408">
        <f t="shared" si="204"/>
        <v>24</v>
      </c>
    </row>
    <row r="526" spans="1:17" ht="15.75" hidden="1" customHeight="1" outlineLevel="1" x14ac:dyDescent="0.25">
      <c r="C526" s="2674" t="s">
        <v>2796</v>
      </c>
      <c r="D526" s="2568" t="s">
        <v>2422</v>
      </c>
      <c r="E526" s="2117">
        <f t="shared" ref="E526:O526" si="205">$D$527-E522</f>
        <v>0</v>
      </c>
      <c r="F526" s="2117">
        <f t="shared" si="205"/>
        <v>-15.333333333333343</v>
      </c>
      <c r="G526" s="2117">
        <f t="shared" si="205"/>
        <v>-30.666666666666686</v>
      </c>
      <c r="H526" s="2117">
        <f t="shared" si="205"/>
        <v>-46.000000000000014</v>
      </c>
      <c r="I526" s="2117">
        <f t="shared" si="205"/>
        <v>-46.000000000000014</v>
      </c>
      <c r="J526" s="2117">
        <f t="shared" si="205"/>
        <v>-46.000000000000014</v>
      </c>
      <c r="K526" s="2117">
        <f t="shared" si="205"/>
        <v>-46.000000000000014</v>
      </c>
      <c r="L526" s="2117">
        <f t="shared" si="205"/>
        <v>-46.000000000000014</v>
      </c>
      <c r="M526" s="2117">
        <f t="shared" si="205"/>
        <v>-46.000000000000014</v>
      </c>
      <c r="N526" s="2117">
        <f t="shared" si="205"/>
        <v>-46.000000000000014</v>
      </c>
      <c r="O526" s="2118">
        <f t="shared" si="205"/>
        <v>-46.000000000000014</v>
      </c>
    </row>
    <row r="527" spans="1:17" ht="15.75" hidden="1" customHeight="1" outlineLevel="1" x14ac:dyDescent="0.25">
      <c r="C527" s="624"/>
      <c r="D527" s="2488">
        <f>'WSS Profile'!F294</f>
        <v>46</v>
      </c>
      <c r="E527" s="167"/>
      <c r="F527" s="2415">
        <f t="shared" ref="F527:O527" si="206">$E$526-F526</f>
        <v>15.333333333333343</v>
      </c>
      <c r="G527" s="2415">
        <f t="shared" si="206"/>
        <v>30.666666666666686</v>
      </c>
      <c r="H527" s="2415">
        <f t="shared" si="206"/>
        <v>46.000000000000014</v>
      </c>
      <c r="I527" s="2415">
        <f t="shared" si="206"/>
        <v>46.000000000000014</v>
      </c>
      <c r="J527" s="2415">
        <f t="shared" si="206"/>
        <v>46.000000000000014</v>
      </c>
      <c r="K527" s="2415">
        <f t="shared" si="206"/>
        <v>46.000000000000014</v>
      </c>
      <c r="L527" s="2415">
        <f t="shared" si="206"/>
        <v>46.000000000000014</v>
      </c>
      <c r="M527" s="2415">
        <f t="shared" si="206"/>
        <v>46.000000000000014</v>
      </c>
      <c r="N527" s="2415">
        <f t="shared" si="206"/>
        <v>46.000000000000014</v>
      </c>
      <c r="O527" s="2416">
        <f t="shared" si="206"/>
        <v>46.000000000000014</v>
      </c>
    </row>
    <row r="528" spans="1:17" ht="15.75" hidden="1" customHeight="1" outlineLevel="1" x14ac:dyDescent="0.25">
      <c r="C528" s="624"/>
      <c r="D528" s="2569" t="s">
        <v>27</v>
      </c>
      <c r="E528" s="2413">
        <f t="shared" ref="E528:O528" si="207">$D$529-E523</f>
        <v>0</v>
      </c>
      <c r="F528" s="2413">
        <f t="shared" si="207"/>
        <v>-0.66666666666666652</v>
      </c>
      <c r="G528" s="2413">
        <f t="shared" si="207"/>
        <v>-1.3333333333333335</v>
      </c>
      <c r="H528" s="2413">
        <f t="shared" si="207"/>
        <v>-2</v>
      </c>
      <c r="I528" s="2413">
        <f t="shared" si="207"/>
        <v>-2</v>
      </c>
      <c r="J528" s="2413">
        <f t="shared" si="207"/>
        <v>-2</v>
      </c>
      <c r="K528" s="2413">
        <f t="shared" si="207"/>
        <v>-2</v>
      </c>
      <c r="L528" s="2413">
        <f t="shared" si="207"/>
        <v>-2</v>
      </c>
      <c r="M528" s="2413">
        <f t="shared" si="207"/>
        <v>-2</v>
      </c>
      <c r="N528" s="2413">
        <f t="shared" si="207"/>
        <v>-2</v>
      </c>
      <c r="O528" s="2414">
        <f t="shared" si="207"/>
        <v>-2</v>
      </c>
    </row>
    <row r="529" spans="1:17" ht="15.75" hidden="1" customHeight="1" outlineLevel="1" x14ac:dyDescent="0.25">
      <c r="C529" s="2698"/>
      <c r="D529" s="2488">
        <f>'WSS Profile'!G294</f>
        <v>2</v>
      </c>
      <c r="E529" s="167"/>
      <c r="F529" s="2415">
        <f>$E$528-F528</f>
        <v>0.66666666666666652</v>
      </c>
      <c r="G529" s="2415">
        <f t="shared" ref="G529:O529" si="208">$E$528-G528</f>
        <v>1.3333333333333335</v>
      </c>
      <c r="H529" s="2415">
        <f t="shared" si="208"/>
        <v>2</v>
      </c>
      <c r="I529" s="2415">
        <f t="shared" si="208"/>
        <v>2</v>
      </c>
      <c r="J529" s="2415">
        <f t="shared" si="208"/>
        <v>2</v>
      </c>
      <c r="K529" s="2415">
        <f t="shared" si="208"/>
        <v>2</v>
      </c>
      <c r="L529" s="2415">
        <f t="shared" si="208"/>
        <v>2</v>
      </c>
      <c r="M529" s="2415">
        <f t="shared" si="208"/>
        <v>2</v>
      </c>
      <c r="N529" s="2415">
        <f t="shared" si="208"/>
        <v>2</v>
      </c>
      <c r="O529" s="2416">
        <f t="shared" si="208"/>
        <v>2</v>
      </c>
    </row>
    <row r="530" spans="1:17" s="356" customFormat="1" hidden="1" outlineLevel="1" x14ac:dyDescent="0.25">
      <c r="C530" s="622" t="s">
        <v>2790</v>
      </c>
      <c r="D530" s="2689">
        <f>'WSS Profile'!F295</f>
        <v>253</v>
      </c>
      <c r="E530" s="2690">
        <f t="shared" ref="E530:O530" si="209">$D$530-E524</f>
        <v>0</v>
      </c>
      <c r="F530" s="2690">
        <f t="shared" si="209"/>
        <v>-84.333333333333371</v>
      </c>
      <c r="G530" s="2690">
        <f t="shared" si="209"/>
        <v>-168.66666666666674</v>
      </c>
      <c r="H530" s="2690">
        <f t="shared" si="209"/>
        <v>-253.00000000000006</v>
      </c>
      <c r="I530" s="2690">
        <f t="shared" si="209"/>
        <v>-253.00000000000006</v>
      </c>
      <c r="J530" s="2690">
        <f t="shared" si="209"/>
        <v>-253.00000000000006</v>
      </c>
      <c r="K530" s="2690">
        <f t="shared" si="209"/>
        <v>-253.00000000000006</v>
      </c>
      <c r="L530" s="2690">
        <f t="shared" si="209"/>
        <v>-253.00000000000006</v>
      </c>
      <c r="M530" s="2690">
        <f t="shared" si="209"/>
        <v>-253.00000000000006</v>
      </c>
      <c r="N530" s="2690">
        <f t="shared" si="209"/>
        <v>-253.00000000000006</v>
      </c>
      <c r="O530" s="2691">
        <f t="shared" si="209"/>
        <v>-253.00000000000006</v>
      </c>
      <c r="Q530" s="4003"/>
    </row>
    <row r="531" spans="1:17" s="356" customFormat="1" hidden="1" outlineLevel="1" x14ac:dyDescent="0.25">
      <c r="C531" s="2692"/>
      <c r="D531" s="2693">
        <f>'WSS Profile'!G295</f>
        <v>12</v>
      </c>
      <c r="E531" s="2694">
        <f t="shared" ref="E531:O531" si="210">$D$531-E525</f>
        <v>0</v>
      </c>
      <c r="F531" s="2694">
        <f t="shared" si="210"/>
        <v>-4</v>
      </c>
      <c r="G531" s="2694">
        <f t="shared" si="210"/>
        <v>-8</v>
      </c>
      <c r="H531" s="2694">
        <f t="shared" si="210"/>
        <v>-12</v>
      </c>
      <c r="I531" s="2694">
        <f t="shared" si="210"/>
        <v>-12</v>
      </c>
      <c r="J531" s="2694">
        <f t="shared" si="210"/>
        <v>-12</v>
      </c>
      <c r="K531" s="2694">
        <f t="shared" si="210"/>
        <v>-12</v>
      </c>
      <c r="L531" s="2694">
        <f t="shared" si="210"/>
        <v>-12</v>
      </c>
      <c r="M531" s="2694">
        <f t="shared" si="210"/>
        <v>-12</v>
      </c>
      <c r="N531" s="2694">
        <f t="shared" si="210"/>
        <v>-12</v>
      </c>
      <c r="O531" s="2695">
        <f t="shared" si="210"/>
        <v>-12</v>
      </c>
      <c r="Q531" s="4003"/>
    </row>
    <row r="532" spans="1:17" ht="15.75" hidden="1" customHeight="1" outlineLevel="1" x14ac:dyDescent="0.25">
      <c r="A532" s="27"/>
      <c r="B532" s="27"/>
      <c r="C532" s="27"/>
      <c r="D532" s="2479"/>
      <c r="E532" s="27"/>
      <c r="F532" s="27"/>
      <c r="G532" s="27"/>
      <c r="H532" s="170"/>
      <c r="I532" s="170"/>
      <c r="J532" s="170"/>
      <c r="K532" s="170"/>
      <c r="L532" s="170"/>
      <c r="M532" s="170"/>
      <c r="N532" s="170"/>
      <c r="O532" s="170"/>
    </row>
    <row r="533" spans="1:17" hidden="1" outlineLevel="1" x14ac:dyDescent="0.25">
      <c r="C533" s="2674" t="s">
        <v>2789</v>
      </c>
      <c r="D533" s="2481"/>
      <c r="E533" s="548"/>
      <c r="F533" s="2093"/>
      <c r="G533" s="2093"/>
      <c r="H533" s="2093"/>
      <c r="I533" s="2093"/>
      <c r="J533" s="2093"/>
      <c r="K533" s="2093"/>
      <c r="L533" s="2093"/>
      <c r="M533" s="2093"/>
      <c r="N533" s="2093"/>
      <c r="O533" s="1057"/>
    </row>
    <row r="534" spans="1:17" hidden="1" outlineLevel="1" x14ac:dyDescent="0.25">
      <c r="C534" s="2071" t="s">
        <v>2760</v>
      </c>
      <c r="D534" s="5768">
        <f>'WW Plan'!H76</f>
        <v>50000</v>
      </c>
      <c r="E534" s="440"/>
      <c r="F534" s="440">
        <f>ROUND(IFERROR((F511-E511)/$D$508,0)+IFERROR((F512-E512)/$D$509,0),0)*$D$534/'General info'!$G$44</f>
        <v>8</v>
      </c>
      <c r="G534" s="440">
        <f>ROUND(IFERROR((G511-F511)/$D$508,0)+IFERROR((G512-F512)/$D$509,0),0)*$D$534/'General info'!$G$44</f>
        <v>8</v>
      </c>
      <c r="H534" s="440">
        <f>ROUND(IFERROR((H511-G511)/$D$508,0)+IFERROR((H512-G512)/$D$509,0),0)*$D$534/'General info'!$G$44</f>
        <v>8</v>
      </c>
      <c r="I534" s="440">
        <f>ROUND(IFERROR((I511-H511)/$D$508,0)+IFERROR((I512-H512)/$D$509,0),0)*$D$534/'General info'!$G$44</f>
        <v>0</v>
      </c>
      <c r="J534" s="440">
        <f>ROUND(IFERROR((J511-I511)/$D$508,0)+IFERROR((J512-I512)/$D$509,0),0)*$D$534/'General info'!$G$44</f>
        <v>0</v>
      </c>
      <c r="K534" s="440">
        <f>ROUND(IFERROR((K511-J511)/$D$508,0)+IFERROR((K512-J512)/$D$509,0),0)*$D$534/'General info'!$G$44</f>
        <v>0</v>
      </c>
      <c r="L534" s="440">
        <f>ROUND(IFERROR((L511-K511)/$D$508,0)+IFERROR((L512-K512)/$D$509,0),0)*$D$534/'General info'!$G$44</f>
        <v>0</v>
      </c>
      <c r="M534" s="440">
        <f>ROUND(IFERROR((M511-L511)/$D$508,0)+IFERROR((M512-L512)/$D$509,0),0)*$D$534/'General info'!$G$44</f>
        <v>0</v>
      </c>
      <c r="N534" s="440">
        <f>ROUND(IFERROR((N511-M511)/$D$508,0)+IFERROR((N512-M512)/$D$509,0),0)*$D$534/'General info'!$G$44</f>
        <v>0</v>
      </c>
      <c r="O534" s="554">
        <f>ROUND(IFERROR((O511-N511)/$D$508,0)+IFERROR((O512-N512)/$D$509,0),0)*$D$534/'General info'!$G$44</f>
        <v>0</v>
      </c>
    </row>
    <row r="535" spans="1:17" hidden="1" outlineLevel="1" x14ac:dyDescent="0.25">
      <c r="C535" s="2071" t="s">
        <v>2761</v>
      </c>
      <c r="D535" s="5768">
        <f>'WW Plan'!H77</f>
        <v>0</v>
      </c>
      <c r="E535" s="1162"/>
      <c r="F535" s="440">
        <f>ROUND(IFERROR((F513-E513)/$D$508,0)+IFERROR((F514-E514)/$D$509,0),0)*$D$535/'General info'!$G$44</f>
        <v>0</v>
      </c>
      <c r="G535" s="440">
        <f>ROUND(IFERROR((G513-F513)/$D$508,0)+IFERROR((G514-F514)/$D$509,0),0)*$D$535/'General info'!$G$44</f>
        <v>0</v>
      </c>
      <c r="H535" s="440">
        <f>ROUND(IFERROR((H513-G513)/$D$508,0)+IFERROR((H514-G514)/$D$509,0),0)*$D$535/'General info'!$G$44</f>
        <v>0</v>
      </c>
      <c r="I535" s="440">
        <f>ROUND(IFERROR((I513-H513)/$D$508,0)+IFERROR((I514-H514)/$D$509,0),0)*$D$535/'General info'!$G$44</f>
        <v>0</v>
      </c>
      <c r="J535" s="440">
        <f>ROUND(IFERROR((J513-I513)/$D$508,0)+IFERROR((J514-I514)/$D$509,0),0)*$D$535/'General info'!$G$44</f>
        <v>0</v>
      </c>
      <c r="K535" s="440">
        <f>ROUND(IFERROR((K513-J513)/$D$508,0)+IFERROR((K514-J514)/$D$509,0),0)*$D$535/'General info'!$G$44</f>
        <v>0</v>
      </c>
      <c r="L535" s="440">
        <f>ROUND(IFERROR((L513-K513)/$D$508,0)+IFERROR((L514-K514)/$D$509,0),0)*$D$535/'General info'!$G$44</f>
        <v>0</v>
      </c>
      <c r="M535" s="440">
        <f>ROUND(IFERROR((M513-L513)/$D$508,0)+IFERROR((M514-L514)/$D$509,0),0)*$D$535/'General info'!$G$44</f>
        <v>0</v>
      </c>
      <c r="N535" s="440">
        <f>ROUND(IFERROR((N513-M513)/$D$508,0)+IFERROR((N514-M514)/$D$509,0),0)*$D$535/'General info'!$G$44</f>
        <v>0</v>
      </c>
      <c r="O535" s="554">
        <f>ROUND(IFERROR((O513-N513)/$D$508,0)+IFERROR((O514-N514)/$D$509,0),0)*$D$535/'General info'!$G$44</f>
        <v>0</v>
      </c>
    </row>
    <row r="536" spans="1:17" hidden="1" outlineLevel="1" x14ac:dyDescent="0.25">
      <c r="C536" s="2071" t="s">
        <v>148</v>
      </c>
      <c r="D536" s="5768">
        <f>'WW Plan'!H78</f>
        <v>0</v>
      </c>
      <c r="E536" s="1162"/>
      <c r="F536" s="440">
        <f>ROUND(IFERROR((F516+F518-E516-E518)/$D$508,0)+IFERROR((F517+F519-E517-E519)/$D$509,0),0)*$D$536/'General info'!$G$44</f>
        <v>0</v>
      </c>
      <c r="G536" s="440">
        <f>ROUND(IFERROR((G516+G518-F516-F518)/$D$508,0)+IFERROR((G517+G519-F517-F519)/$D$509,0),0)*$D$536/'General info'!$G$44</f>
        <v>0</v>
      </c>
      <c r="H536" s="440">
        <f>ROUND(IFERROR((H516+H518-G516-G518)/$D$508,0)+IFERROR((H517+H519-G517-G519)/$D$509,0),0)*$D$536/'General info'!$G$44</f>
        <v>0</v>
      </c>
      <c r="I536" s="440">
        <f>ROUND(IFERROR((I516+I518-H516-H518)/$D$508,0)+IFERROR((I517+I519-H517-H519)/$D$509,0),0)*$D$536/'General info'!$G$44</f>
        <v>0</v>
      </c>
      <c r="J536" s="440">
        <f>ROUND(IFERROR((J516+J518-I516-I518)/$D$508,0)+IFERROR((J517+J519-I517-I519)/$D$509,0),0)*$D$536/'General info'!$G$44</f>
        <v>0</v>
      </c>
      <c r="K536" s="440">
        <f>ROUND(IFERROR((K516+K518-J516-J518)/$D$508,0)+IFERROR((K517+K519-J517-J519)/$D$509,0),0)*$D$536/'General info'!$G$44</f>
        <v>0</v>
      </c>
      <c r="L536" s="440">
        <f>ROUND(IFERROR((L516+L518-K516-K518)/$D$508,0)+IFERROR((L517+L519-K517-K519)/$D$509,0),0)*$D$536/'General info'!$G$44</f>
        <v>0</v>
      </c>
      <c r="M536" s="440">
        <f>ROUND(IFERROR((M516+M518-L516-L518)/$D$508,0)+IFERROR((M517+M519-L517-L519)/$D$509,0),0)*$D$536/'General info'!$G$44</f>
        <v>0</v>
      </c>
      <c r="N536" s="440">
        <f>ROUND(IFERROR((N516+N518-M516-M518)/$D$508,0)+IFERROR((N517+N519-M517-M519)/$D$509,0),0)*$D$536/'General info'!$G$44</f>
        <v>0</v>
      </c>
      <c r="O536" s="554">
        <f>ROUND(IFERROR((O516+O518-N516-N518)/$D$508,0)+IFERROR((O517+O519-N517-N519)/$D$509,0),0)*$D$536/'General info'!$G$44</f>
        <v>0</v>
      </c>
    </row>
    <row r="537" spans="1:17" s="49" customFormat="1" hidden="1" outlineLevel="1" x14ac:dyDescent="0.25">
      <c r="A537" s="63"/>
      <c r="B537" s="63"/>
      <c r="C537" s="2070" t="s">
        <v>16</v>
      </c>
      <c r="D537" s="2551"/>
      <c r="E537" s="2364"/>
      <c r="F537" s="2365">
        <f>SUM(F534:F536)</f>
        <v>8</v>
      </c>
      <c r="G537" s="2365">
        <f t="shared" ref="G537:O537" si="211">SUM(G534:G536)</f>
        <v>8</v>
      </c>
      <c r="H537" s="2365">
        <f t="shared" si="211"/>
        <v>8</v>
      </c>
      <c r="I537" s="2365">
        <f t="shared" si="211"/>
        <v>0</v>
      </c>
      <c r="J537" s="2365">
        <f t="shared" si="211"/>
        <v>0</v>
      </c>
      <c r="K537" s="2365">
        <f t="shared" si="211"/>
        <v>0</v>
      </c>
      <c r="L537" s="2365">
        <f t="shared" si="211"/>
        <v>0</v>
      </c>
      <c r="M537" s="2365">
        <f t="shared" si="211"/>
        <v>0</v>
      </c>
      <c r="N537" s="2365">
        <f t="shared" si="211"/>
        <v>0</v>
      </c>
      <c r="O537" s="2366">
        <f t="shared" si="211"/>
        <v>0</v>
      </c>
      <c r="Q537" s="3993"/>
    </row>
    <row r="538" spans="1:17" hidden="1" outlineLevel="1" x14ac:dyDescent="0.25">
      <c r="C538" s="63"/>
      <c r="G538" s="10"/>
      <c r="H538" s="10"/>
      <c r="I538" s="10"/>
      <c r="J538" s="10"/>
      <c r="K538" s="24"/>
      <c r="L538" s="24"/>
      <c r="M538" s="24"/>
      <c r="N538" s="24"/>
      <c r="O538" s="24"/>
    </row>
    <row r="539" spans="1:17" hidden="1" outlineLevel="1" x14ac:dyDescent="0.25">
      <c r="B539" s="195"/>
      <c r="C539" s="2168" t="s">
        <v>954</v>
      </c>
      <c r="D539" s="2566"/>
      <c r="E539" s="195"/>
      <c r="F539" s="195"/>
      <c r="G539" s="195"/>
      <c r="H539" s="195"/>
      <c r="I539" s="195"/>
      <c r="J539" s="195"/>
      <c r="K539" s="195"/>
      <c r="L539" s="195"/>
      <c r="M539" s="195"/>
      <c r="N539" s="195"/>
      <c r="O539" s="195"/>
    </row>
    <row r="540" spans="1:17" hidden="1" outlineLevel="1" x14ac:dyDescent="0.25">
      <c r="C540" s="547" t="s">
        <v>2528</v>
      </c>
      <c r="D540" s="2481"/>
      <c r="E540" s="2702">
        <f>'WSS Profile'!F312</f>
        <v>0</v>
      </c>
      <c r="F540" s="2094">
        <f>E540-IF('WW Plan'!$E$79="Activate",IF(AND('WW calcu'!F$504&gt;='WW Plan'!$G$86,'WW calcu'!F$504&lt;'WW Plan'!$H$86+1),('WW Plan'!$H$88/('WW Plan'!$H$86+1-'WW Plan'!$G$86)),0),0)</f>
        <v>0</v>
      </c>
      <c r="G540" s="2094">
        <f>F540-IF('WW Plan'!$E$79="Activate",IF(AND('WW calcu'!G$504&gt;='WW Plan'!$G$86,'WW calcu'!G$504&lt;'WW Plan'!$H$86+1),('WW Plan'!$H$88/('WW Plan'!$H$86+1-'WW Plan'!$G$86)),0),0)</f>
        <v>0</v>
      </c>
      <c r="H540" s="2094">
        <f>G540-IF('WW Plan'!$E$79="Activate",IF(AND('WW calcu'!H$504&gt;='WW Plan'!$G$86,'WW calcu'!H$504&lt;'WW Plan'!$H$86+1),('WW Plan'!$H$88/('WW Plan'!$H$86+1-'WW Plan'!$G$86)),0),0)</f>
        <v>0</v>
      </c>
      <c r="I540" s="2094">
        <f>H540-IF('WW Plan'!$E$79="Activate",IF(AND('WW calcu'!I$504&gt;='WW Plan'!$G$86,'WW calcu'!I$504&lt;'WW Plan'!$H$86+1),('WW Plan'!$H$88/('WW Plan'!$H$86+1-'WW Plan'!$G$86)),0),0)</f>
        <v>0</v>
      </c>
      <c r="J540" s="2094">
        <f>I540-IF('WW Plan'!$E$79="Activate",IF(AND('WW calcu'!J$504&gt;='WW Plan'!$G$86,'WW calcu'!J$504&lt;'WW Plan'!$H$86+1),('WW Plan'!$H$88/('WW Plan'!$H$86+1-'WW Plan'!$G$86)),0),0)</f>
        <v>0</v>
      </c>
      <c r="K540" s="2094">
        <f>J540-IF('WW Plan'!$E$79="Activate",IF(AND('WW calcu'!K$504&gt;='WW Plan'!$G$86,'WW calcu'!K$504&lt;'WW Plan'!$H$86+1),('WW Plan'!$H$88/('WW Plan'!$H$86+1-'WW Plan'!$G$86)),0),0)</f>
        <v>0</v>
      </c>
      <c r="L540" s="2094">
        <f>K540-IF('WW Plan'!$E$79="Activate",IF(AND('WW calcu'!L$504&gt;='WW Plan'!$G$86,'WW calcu'!L$504&lt;'WW Plan'!$H$86+1),('WW Plan'!$H$88/('WW Plan'!$H$86+1-'WW Plan'!$G$86)),0),0)</f>
        <v>0</v>
      </c>
      <c r="M540" s="2094">
        <f>L540-IF('WW Plan'!$E$79="Activate",IF(AND('WW calcu'!M$504&gt;='WW Plan'!$G$86,'WW calcu'!M$504&lt;'WW Plan'!$H$86+1),('WW Plan'!$H$88/('WW Plan'!$H$86+1-'WW Plan'!$G$86)),0),0)</f>
        <v>0</v>
      </c>
      <c r="N540" s="2094">
        <f>M540-IF('WW Plan'!$E$79="Activate",IF(AND('WW calcu'!N$504&gt;='WW Plan'!$G$86,'WW calcu'!N$504&lt;'WW Plan'!$H$86+1),('WW Plan'!$H$88/('WW Plan'!$H$86+1-'WW Plan'!$G$86)),0),0)</f>
        <v>0</v>
      </c>
      <c r="O540" s="600">
        <f>N540-IF('WW Plan'!$E$79="Activate",IF(AND('WW calcu'!O$504&gt;='WW Plan'!$G$86,'WW calcu'!O$504&lt;'WW Plan'!$H$86+1),('WW Plan'!$H$88/('WW Plan'!$H$86+1-'WW Plan'!$G$86)),0),0)</f>
        <v>0</v>
      </c>
    </row>
    <row r="541" spans="1:17" hidden="1" outlineLevel="1" x14ac:dyDescent="0.25">
      <c r="C541" s="551" t="s">
        <v>2529</v>
      </c>
      <c r="D541" s="3730">
        <f>IFERROR('WSS Profile'!F306/'WSS Profile'!F305,0)</f>
        <v>5.5</v>
      </c>
      <c r="E541" s="609">
        <f>('WSS Profile'!F310+'WSS Profile'!F311)*$D$541</f>
        <v>22</v>
      </c>
      <c r="F541" s="609">
        <f>E541+($D$541*(E540-F540))</f>
        <v>22</v>
      </c>
      <c r="G541" s="609">
        <f t="shared" ref="G541:O541" si="212">F541+($D$541*(F540-G540))</f>
        <v>22</v>
      </c>
      <c r="H541" s="609">
        <f t="shared" si="212"/>
        <v>22</v>
      </c>
      <c r="I541" s="609">
        <f t="shared" si="212"/>
        <v>22</v>
      </c>
      <c r="J541" s="609">
        <f t="shared" si="212"/>
        <v>22</v>
      </c>
      <c r="K541" s="609">
        <f t="shared" si="212"/>
        <v>22</v>
      </c>
      <c r="L541" s="609">
        <f t="shared" si="212"/>
        <v>22</v>
      </c>
      <c r="M541" s="609">
        <f t="shared" si="212"/>
        <v>22</v>
      </c>
      <c r="N541" s="609">
        <f t="shared" si="212"/>
        <v>22</v>
      </c>
      <c r="O541" s="610">
        <f t="shared" si="212"/>
        <v>22</v>
      </c>
    </row>
    <row r="542" spans="1:17" hidden="1" outlineLevel="1" x14ac:dyDescent="0.25"/>
    <row r="543" spans="1:17" hidden="1" outlineLevel="1" x14ac:dyDescent="0.25">
      <c r="C543" s="2674" t="s">
        <v>2827</v>
      </c>
      <c r="D543" s="2481"/>
      <c r="E543" s="548"/>
      <c r="F543" s="548"/>
      <c r="G543" s="548"/>
      <c r="H543" s="548"/>
      <c r="I543" s="548"/>
      <c r="J543" s="548"/>
      <c r="K543" s="548"/>
      <c r="L543" s="548"/>
      <c r="M543" s="548"/>
      <c r="N543" s="548"/>
      <c r="O543" s="549"/>
    </row>
    <row r="544" spans="1:17" hidden="1" outlineLevel="1" x14ac:dyDescent="0.25">
      <c r="C544" s="624" t="s">
        <v>2597</v>
      </c>
      <c r="D544" s="2503">
        <f>'WW Plan'!H90</f>
        <v>0</v>
      </c>
      <c r="E544" s="1162"/>
      <c r="F544" s="550">
        <f>MAX(F541-$E$541,E544)*$D$544</f>
        <v>0</v>
      </c>
      <c r="G544" s="550">
        <f t="shared" ref="G544:N544" si="213">MAX(G541-$E$541,F544)*$D$544</f>
        <v>0</v>
      </c>
      <c r="H544" s="550">
        <f t="shared" si="213"/>
        <v>0</v>
      </c>
      <c r="I544" s="550">
        <f t="shared" si="213"/>
        <v>0</v>
      </c>
      <c r="J544" s="550">
        <f t="shared" si="213"/>
        <v>0</v>
      </c>
      <c r="K544" s="550">
        <f t="shared" si="213"/>
        <v>0</v>
      </c>
      <c r="L544" s="550">
        <f t="shared" si="213"/>
        <v>0</v>
      </c>
      <c r="M544" s="550">
        <f t="shared" si="213"/>
        <v>0</v>
      </c>
      <c r="N544" s="550">
        <f t="shared" si="213"/>
        <v>0</v>
      </c>
      <c r="O544" s="1033">
        <f>MAX(O541-$E$541,N544)*$D$544</f>
        <v>0</v>
      </c>
    </row>
    <row r="545" spans="1:17" hidden="1" outlineLevel="1" x14ac:dyDescent="0.25">
      <c r="C545" s="624" t="s">
        <v>2523</v>
      </c>
      <c r="D545" s="2503">
        <f>'WW Plan'!H91</f>
        <v>0</v>
      </c>
      <c r="E545" s="1162"/>
      <c r="F545" s="597">
        <f>IF(SUM($E$515:F515)&gt;0,MAX(F541-$E$541,0)*$D$545,0)</f>
        <v>0</v>
      </c>
      <c r="G545" s="597">
        <f>IF(SUM($E$515:G515)&gt;0,MAX(G541-$E$541,0)*$D$545,0)</f>
        <v>0</v>
      </c>
      <c r="H545" s="597">
        <f>IF(SUM($E$515:H515)&gt;0,MAX(H541-$E$541,0)*$D$545,0)</f>
        <v>0</v>
      </c>
      <c r="I545" s="597">
        <f>IF(SUM($E$515:I515)&gt;0,MAX(I541-$E$541,0)*$D$545,0)</f>
        <v>0</v>
      </c>
      <c r="J545" s="597">
        <f>IF(SUM($E$515:J515)&gt;0,MAX(J541-$E$541,0)*$D$545,0)</f>
        <v>0</v>
      </c>
      <c r="K545" s="597">
        <f>IF(SUM($E$515:K515)&gt;0,MAX(K541-$E$541,0)*$D$545,0)</f>
        <v>0</v>
      </c>
      <c r="L545" s="597">
        <f>IF(SUM($E$515:L515)&gt;0,MAX(L541-$E$541,0)*$D$545,0)</f>
        <v>0</v>
      </c>
      <c r="M545" s="597">
        <f>IF(SUM($E$515:M515)&gt;0,MAX(M541-$E$541,0)*$D$545,0)</f>
        <v>0</v>
      </c>
      <c r="N545" s="597">
        <f>IF(SUM($E$515:N515)&gt;0,MAX(N541-$E$541,0)*$D$545,0)</f>
        <v>0</v>
      </c>
      <c r="O545" s="608">
        <f>IF(SUM($E$515:O515)&gt;0,MAX(O541-$E$541,0)*$D$545,0)</f>
        <v>0</v>
      </c>
    </row>
    <row r="546" spans="1:17" hidden="1" outlineLevel="1" x14ac:dyDescent="0.25">
      <c r="C546" s="624" t="s">
        <v>2596</v>
      </c>
      <c r="D546" s="2503">
        <f>+'WW Plan'!H92</f>
        <v>0</v>
      </c>
      <c r="E546" s="1162"/>
      <c r="F546" s="550">
        <f t="shared" ref="F546:O546" si="214">MAX(F541-$E$541,E546)*$D$546</f>
        <v>0</v>
      </c>
      <c r="G546" s="550">
        <f t="shared" si="214"/>
        <v>0</v>
      </c>
      <c r="H546" s="550">
        <f t="shared" si="214"/>
        <v>0</v>
      </c>
      <c r="I546" s="550">
        <f t="shared" si="214"/>
        <v>0</v>
      </c>
      <c r="J546" s="550">
        <f t="shared" si="214"/>
        <v>0</v>
      </c>
      <c r="K546" s="550">
        <f t="shared" si="214"/>
        <v>0</v>
      </c>
      <c r="L546" s="550">
        <f t="shared" si="214"/>
        <v>0</v>
      </c>
      <c r="M546" s="550">
        <f t="shared" si="214"/>
        <v>0</v>
      </c>
      <c r="N546" s="550">
        <f t="shared" si="214"/>
        <v>0</v>
      </c>
      <c r="O546" s="1033">
        <f t="shared" si="214"/>
        <v>0</v>
      </c>
    </row>
    <row r="547" spans="1:17" hidden="1" outlineLevel="1" x14ac:dyDescent="0.25">
      <c r="C547" s="625" t="s">
        <v>2598</v>
      </c>
      <c r="D547" s="2548">
        <f>'WW Plan'!H93</f>
        <v>1</v>
      </c>
      <c r="E547" s="570"/>
      <c r="F547" s="609">
        <f>IF(SUM($E$520:F520)&gt;0,MAX(F541-$E$541,0)*$D$547,0)</f>
        <v>0</v>
      </c>
      <c r="G547" s="609">
        <f>IF(SUM($E$520:G520)&gt;0,MAX(G541-$E$541,0)*$D$547,0)</f>
        <v>0</v>
      </c>
      <c r="H547" s="609">
        <f>IF(SUM($E$520:H520)&gt;0,MAX(H541-$E$541,0)*$D$547,0)</f>
        <v>0</v>
      </c>
      <c r="I547" s="609">
        <f>IF(SUM($E$520:I520)&gt;0,MAX(I541-$E$541,0)*$D$547,0)</f>
        <v>0</v>
      </c>
      <c r="J547" s="609">
        <f>IF(SUM($E$520:J520)&gt;0,MAX(J541-$E$541,0)*$D$547,0)</f>
        <v>0</v>
      </c>
      <c r="K547" s="609">
        <f>IF(SUM($E$520:K520)&gt;0,MAX(K541-$E$541,0)*$D$547,0)</f>
        <v>0</v>
      </c>
      <c r="L547" s="609">
        <f>IF(SUM($E$520:L520)&gt;0,MAX(L541-$E$541,0)*$D$547,0)</f>
        <v>0</v>
      </c>
      <c r="M547" s="609">
        <f>IF(SUM($E$520:M520)&gt;0,MAX(M541-$E$541,0)*$D$547,0)</f>
        <v>0</v>
      </c>
      <c r="N547" s="609">
        <f>IF(SUM($E$520:N520)&gt;0,MAX(N541-$E$541,0)*$D$547,0)</f>
        <v>0</v>
      </c>
      <c r="O547" s="610">
        <f>IF(SUM($E$520:O520)&gt;0,MAX(O541-$E$541,0)*$D$547,0)</f>
        <v>0</v>
      </c>
    </row>
    <row r="548" spans="1:17" hidden="1" outlineLevel="1" x14ac:dyDescent="0.25"/>
    <row r="549" spans="1:17" hidden="1" outlineLevel="1" x14ac:dyDescent="0.25">
      <c r="C549" s="2703" t="s">
        <v>2898</v>
      </c>
      <c r="D549" s="2573"/>
      <c r="E549" s="2174">
        <f>E541</f>
        <v>22</v>
      </c>
      <c r="F549" s="2174">
        <f>$E$549+F544+F545+F547+F546</f>
        <v>22</v>
      </c>
      <c r="G549" s="2174">
        <f t="shared" ref="G549:O549" si="215">$E$549+G544+G545+G547+G546</f>
        <v>22</v>
      </c>
      <c r="H549" s="2174">
        <f t="shared" si="215"/>
        <v>22</v>
      </c>
      <c r="I549" s="2174">
        <f t="shared" si="215"/>
        <v>22</v>
      </c>
      <c r="J549" s="2174">
        <f t="shared" si="215"/>
        <v>22</v>
      </c>
      <c r="K549" s="2174">
        <f t="shared" si="215"/>
        <v>22</v>
      </c>
      <c r="L549" s="2174">
        <f t="shared" si="215"/>
        <v>22</v>
      </c>
      <c r="M549" s="2174">
        <f t="shared" si="215"/>
        <v>22</v>
      </c>
      <c r="N549" s="2174">
        <f t="shared" si="215"/>
        <v>22</v>
      </c>
      <c r="O549" s="2175">
        <f t="shared" si="215"/>
        <v>22</v>
      </c>
    </row>
    <row r="550" spans="1:17" hidden="1" outlineLevel="1" x14ac:dyDescent="0.25">
      <c r="C550" s="2096" t="s">
        <v>2897</v>
      </c>
      <c r="D550" s="2488"/>
      <c r="E550" s="550">
        <f>IFERROR(E549/$D$541,0)</f>
        <v>4</v>
      </c>
      <c r="F550" s="550">
        <f>IFERROR(F549/$D$541,0)</f>
        <v>4</v>
      </c>
      <c r="G550" s="550">
        <f t="shared" ref="G550:O550" si="216">IFERROR(G549/$D$541,0)</f>
        <v>4</v>
      </c>
      <c r="H550" s="550">
        <f t="shared" si="216"/>
        <v>4</v>
      </c>
      <c r="I550" s="550">
        <f t="shared" si="216"/>
        <v>4</v>
      </c>
      <c r="J550" s="550">
        <f t="shared" si="216"/>
        <v>4</v>
      </c>
      <c r="K550" s="550">
        <f t="shared" si="216"/>
        <v>4</v>
      </c>
      <c r="L550" s="550">
        <f t="shared" si="216"/>
        <v>4</v>
      </c>
      <c r="M550" s="550">
        <f t="shared" si="216"/>
        <v>4</v>
      </c>
      <c r="N550" s="550">
        <f t="shared" si="216"/>
        <v>4</v>
      </c>
      <c r="O550" s="1033">
        <f t="shared" si="216"/>
        <v>4</v>
      </c>
    </row>
    <row r="551" spans="1:17" hidden="1" outlineLevel="1" x14ac:dyDescent="0.25">
      <c r="C551" s="2874" t="s">
        <v>2896</v>
      </c>
      <c r="D551" s="2558">
        <f>'WSS Profile'!F305</f>
        <v>4</v>
      </c>
      <c r="E551" s="2658">
        <f>$D$551-E550</f>
        <v>0</v>
      </c>
      <c r="F551" s="2658">
        <f t="shared" ref="F551:O551" si="217">$D$551-F550</f>
        <v>0</v>
      </c>
      <c r="G551" s="2658">
        <f t="shared" si="217"/>
        <v>0</v>
      </c>
      <c r="H551" s="2658">
        <f t="shared" si="217"/>
        <v>0</v>
      </c>
      <c r="I551" s="2658">
        <f t="shared" si="217"/>
        <v>0</v>
      </c>
      <c r="J551" s="2658">
        <f t="shared" si="217"/>
        <v>0</v>
      </c>
      <c r="K551" s="2658">
        <f t="shared" si="217"/>
        <v>0</v>
      </c>
      <c r="L551" s="2658">
        <f t="shared" si="217"/>
        <v>0</v>
      </c>
      <c r="M551" s="2658">
        <f t="shared" si="217"/>
        <v>0</v>
      </c>
      <c r="N551" s="2658">
        <f t="shared" si="217"/>
        <v>0</v>
      </c>
      <c r="O551" s="2659">
        <f t="shared" si="217"/>
        <v>0</v>
      </c>
    </row>
    <row r="552" spans="1:17" hidden="1" outlineLevel="1" x14ac:dyDescent="0.25">
      <c r="C552" s="3171"/>
      <c r="D552" s="3169"/>
      <c r="E552" s="3172"/>
      <c r="F552" s="3172">
        <f>$E$551-F551</f>
        <v>0</v>
      </c>
      <c r="G552" s="3172">
        <f t="shared" ref="G552:O552" si="218">$E$551-G551</f>
        <v>0</v>
      </c>
      <c r="H552" s="3172">
        <f t="shared" si="218"/>
        <v>0</v>
      </c>
      <c r="I552" s="3172">
        <f t="shared" si="218"/>
        <v>0</v>
      </c>
      <c r="J552" s="3172">
        <f t="shared" si="218"/>
        <v>0</v>
      </c>
      <c r="K552" s="3172">
        <f t="shared" si="218"/>
        <v>0</v>
      </c>
      <c r="L552" s="3172">
        <f t="shared" si="218"/>
        <v>0</v>
      </c>
      <c r="M552" s="3172">
        <f t="shared" si="218"/>
        <v>0</v>
      </c>
      <c r="N552" s="3172">
        <f t="shared" si="218"/>
        <v>0</v>
      </c>
      <c r="O552" s="3173">
        <f t="shared" si="218"/>
        <v>0</v>
      </c>
    </row>
    <row r="553" spans="1:17" hidden="1" outlineLevel="1" x14ac:dyDescent="0.25"/>
    <row r="554" spans="1:17" hidden="1" outlineLevel="1" x14ac:dyDescent="0.25">
      <c r="C554" s="2674" t="s">
        <v>2196</v>
      </c>
      <c r="D554" s="2481"/>
      <c r="E554" s="548"/>
      <c r="F554" s="2093"/>
      <c r="G554" s="2093"/>
      <c r="H554" s="2093"/>
      <c r="I554" s="2093"/>
      <c r="J554" s="2093"/>
      <c r="K554" s="2093"/>
      <c r="L554" s="2093"/>
      <c r="M554" s="2093"/>
      <c r="N554" s="2093"/>
      <c r="O554" s="1057"/>
    </row>
    <row r="555" spans="1:17" hidden="1" outlineLevel="1" x14ac:dyDescent="0.25">
      <c r="C555" s="2071" t="s">
        <v>2760</v>
      </c>
      <c r="D555" s="2571">
        <f>'WW Plan'!H94</f>
        <v>0</v>
      </c>
      <c r="E555" s="440"/>
      <c r="F555" s="440">
        <f>ROUND((F544-E544),0)*$D$555/'General info'!$G$44</f>
        <v>0</v>
      </c>
      <c r="G555" s="440">
        <f>ROUND((G544-F544),0)*$D$555/'General info'!$G$44</f>
        <v>0</v>
      </c>
      <c r="H555" s="440">
        <f>ROUND((H544-G544),0)*$D$555/'General info'!$G$44</f>
        <v>0</v>
      </c>
      <c r="I555" s="440">
        <f>ROUND((I544-H544),0)*$D$555/'General info'!$G$44</f>
        <v>0</v>
      </c>
      <c r="J555" s="440">
        <f>ROUND((J544-I544),0)*$D$555/'General info'!$G$44</f>
        <v>0</v>
      </c>
      <c r="K555" s="440">
        <f>ROUND((K544-J544),0)*$D$555/'General info'!$G$44</f>
        <v>0</v>
      </c>
      <c r="L555" s="440">
        <f>ROUND((L544-K544),0)*$D$555/'General info'!$G$44</f>
        <v>0</v>
      </c>
      <c r="M555" s="440">
        <f>ROUND((M544-L544),0)*$D$555/'General info'!$G$44</f>
        <v>0</v>
      </c>
      <c r="N555" s="440">
        <f>ROUND((N544-M544),0)*$D$555/'General info'!$G$44</f>
        <v>0</v>
      </c>
      <c r="O555" s="554">
        <f>ROUND((O544-N544),0)*$D$555/'General info'!$G$44</f>
        <v>0</v>
      </c>
    </row>
    <row r="556" spans="1:17" hidden="1" outlineLevel="1" x14ac:dyDescent="0.25">
      <c r="C556" s="2071" t="s">
        <v>2761</v>
      </c>
      <c r="D556" s="2571">
        <f>'WW Plan'!H95</f>
        <v>0</v>
      </c>
      <c r="E556" s="1162"/>
      <c r="F556" s="440">
        <f>ROUND((F545-E545),0)*$D$556/'General info'!$G$44</f>
        <v>0</v>
      </c>
      <c r="G556" s="440">
        <f>ROUND((G545-F545),0)*$D$556/'General info'!$G$44</f>
        <v>0</v>
      </c>
      <c r="H556" s="440">
        <f>ROUND((H545-G545),0)*$D$556/'General info'!$G$44</f>
        <v>0</v>
      </c>
      <c r="I556" s="440">
        <f>ROUND((I545-H545),0)*$D$556/'General info'!$G$44</f>
        <v>0</v>
      </c>
      <c r="J556" s="440">
        <f>ROUND((J545-I545),0)*$D$556/'General info'!$G$44</f>
        <v>0</v>
      </c>
      <c r="K556" s="440">
        <f>ROUND((K545-J545),0)*$D$556/'General info'!$G$44</f>
        <v>0</v>
      </c>
      <c r="L556" s="440">
        <f>ROUND((L545-K545),0)*$D$556/'General info'!$G$44</f>
        <v>0</v>
      </c>
      <c r="M556" s="440">
        <f>ROUND((M545-L545),0)*$D$556/'General info'!$G$44</f>
        <v>0</v>
      </c>
      <c r="N556" s="440">
        <f>ROUND((N545-M545),0)*$D$556/'General info'!$G$44</f>
        <v>0</v>
      </c>
      <c r="O556" s="554">
        <f>ROUND((O545-N545),0)*$D$556/'General info'!$G$44</f>
        <v>0</v>
      </c>
    </row>
    <row r="557" spans="1:17" hidden="1" outlineLevel="1" x14ac:dyDescent="0.25">
      <c r="C557" s="2071" t="s">
        <v>148</v>
      </c>
      <c r="D557" s="2571">
        <f>'WW Plan'!H96</f>
        <v>0</v>
      </c>
      <c r="E557" s="1162"/>
      <c r="F557" s="440">
        <f>ROUND((F546+F547-E546-E547),0)*$D$557/'General info'!$G$44</f>
        <v>0</v>
      </c>
      <c r="G557" s="440">
        <f>ROUND((G546+G547-F546-F547),0)*$D$557/'General info'!$G$44</f>
        <v>0</v>
      </c>
      <c r="H557" s="440">
        <f>ROUND((H546+H547-G546-G547),0)*$D$557/'General info'!$G$44</f>
        <v>0</v>
      </c>
      <c r="I557" s="440">
        <f>ROUND((I546+I547-H546-H547),0)*$D$557/'General info'!$G$44</f>
        <v>0</v>
      </c>
      <c r="J557" s="440">
        <f>ROUND((J546+J547-I546-I547),0)*$D$557/'General info'!$G$44</f>
        <v>0</v>
      </c>
      <c r="K557" s="440">
        <f>ROUND((K546+K547-J546-J547),0)*$D$557/'General info'!$G$44</f>
        <v>0</v>
      </c>
      <c r="L557" s="440">
        <f>ROUND((L546+L547-K546-K547),0)*$D$557/'General info'!$G$44</f>
        <v>0</v>
      </c>
      <c r="M557" s="440">
        <f>ROUND((M546+M547-L546-L547),0)*$D$557/'General info'!$G$44</f>
        <v>0</v>
      </c>
      <c r="N557" s="440">
        <f>ROUND((N546+N547-M546-M547),0)*$D$557/'General info'!$G$44</f>
        <v>0</v>
      </c>
      <c r="O557" s="554">
        <f>ROUND((O546+O547-N546-N547),0)*$D$557/'General info'!$G$44</f>
        <v>0</v>
      </c>
    </row>
    <row r="558" spans="1:17" s="49" customFormat="1" hidden="1" outlineLevel="1" x14ac:dyDescent="0.25">
      <c r="A558" s="63"/>
      <c r="B558" s="63"/>
      <c r="C558" s="2070" t="s">
        <v>16</v>
      </c>
      <c r="D558" s="2551"/>
      <c r="E558" s="2364"/>
      <c r="F558" s="2365">
        <f t="shared" ref="F558:O558" si="219">SUM(F555:F557)</f>
        <v>0</v>
      </c>
      <c r="G558" s="2365">
        <f t="shared" si="219"/>
        <v>0</v>
      </c>
      <c r="H558" s="2365">
        <f t="shared" si="219"/>
        <v>0</v>
      </c>
      <c r="I558" s="2365">
        <f t="shared" si="219"/>
        <v>0</v>
      </c>
      <c r="J558" s="2365">
        <f t="shared" si="219"/>
        <v>0</v>
      </c>
      <c r="K558" s="2365">
        <f t="shared" si="219"/>
        <v>0</v>
      </c>
      <c r="L558" s="2365">
        <f t="shared" si="219"/>
        <v>0</v>
      </c>
      <c r="M558" s="2365">
        <f t="shared" si="219"/>
        <v>0</v>
      </c>
      <c r="N558" s="2365">
        <f t="shared" si="219"/>
        <v>0</v>
      </c>
      <c r="O558" s="2366">
        <f t="shared" si="219"/>
        <v>0</v>
      </c>
      <c r="Q558" s="3993"/>
    </row>
    <row r="559" spans="1:17" hidden="1" outlineLevel="1" x14ac:dyDescent="0.25"/>
    <row r="560" spans="1:17" hidden="1" outlineLevel="1" x14ac:dyDescent="0.25"/>
    <row r="561" spans="1:17" collapsed="1" x14ac:dyDescent="0.25">
      <c r="A561" s="11"/>
      <c r="B561" s="11" t="s">
        <v>1320</v>
      </c>
      <c r="C561" s="12"/>
    </row>
    <row r="562" spans="1:17" hidden="1" outlineLevel="1" x14ac:dyDescent="0.25">
      <c r="B562" s="13" t="s">
        <v>3</v>
      </c>
      <c r="C562" s="13" t="s">
        <v>4</v>
      </c>
      <c r="D562" s="2480" t="s">
        <v>33</v>
      </c>
      <c r="E562" s="13">
        <f>'WS calcu'!E$3</f>
        <v>2014</v>
      </c>
      <c r="F562" s="13">
        <f>'WS calcu'!F$3</f>
        <v>2015</v>
      </c>
      <c r="G562" s="13">
        <f>'WS calcu'!G$3</f>
        <v>2016</v>
      </c>
      <c r="H562" s="13">
        <f>'WS calcu'!H$3</f>
        <v>2017</v>
      </c>
      <c r="I562" s="13">
        <f>'WS calcu'!I$3</f>
        <v>2018</v>
      </c>
      <c r="J562" s="13">
        <f>'WS calcu'!J$3</f>
        <v>2019</v>
      </c>
      <c r="K562" s="13">
        <f>'WS calcu'!K$3</f>
        <v>2020</v>
      </c>
      <c r="L562" s="13">
        <f>'WS calcu'!L$3</f>
        <v>2021</v>
      </c>
      <c r="M562" s="13">
        <f>'WS calcu'!M$3</f>
        <v>2022</v>
      </c>
      <c r="N562" s="13">
        <f>'WS calcu'!N$3</f>
        <v>2023</v>
      </c>
      <c r="O562" s="13">
        <f>'WS calcu'!O$3</f>
        <v>2024</v>
      </c>
    </row>
    <row r="563" spans="1:17" s="304" customFormat="1" hidden="1" outlineLevel="1" x14ac:dyDescent="0.25">
      <c r="A563" s="34"/>
      <c r="B563" s="2083"/>
      <c r="C563" s="2661" t="s">
        <v>340</v>
      </c>
      <c r="D563" s="2706"/>
      <c r="E563" s="2084"/>
      <c r="F563" s="2084"/>
      <c r="G563" s="2084"/>
      <c r="H563" s="2084"/>
      <c r="I563" s="2084"/>
      <c r="J563" s="2084"/>
      <c r="K563" s="2084"/>
      <c r="L563" s="2084"/>
      <c r="M563" s="2084"/>
      <c r="N563" s="2084"/>
      <c r="O563" s="2085"/>
      <c r="Q563" s="3996"/>
    </row>
    <row r="564" spans="1:17" hidden="1" outlineLevel="1" x14ac:dyDescent="0.25">
      <c r="B564" s="2071"/>
      <c r="C564" s="386" t="s">
        <v>136</v>
      </c>
      <c r="D564" s="2488" t="s">
        <v>80</v>
      </c>
      <c r="E564" s="2704">
        <f>'WW Plan'!$H$257</f>
        <v>70</v>
      </c>
      <c r="F564" s="2704">
        <f>IF('WW Plan'!$E$256="Activate",IF(AND('WW calcu'!F562&gt;='WW Plan'!$G$256,'WW calcu'!F562&lt;'WW Plan'!$H$256+1),'WW calcu'!E564-('WW Plan'!$H$261/('WW Plan'!$H$256+1-'WW Plan'!$G$256)),'WW calcu'!E564),'WW calcu'!E564)</f>
        <v>70</v>
      </c>
      <c r="G564" s="2704">
        <f>IF('WW Plan'!$E$256="Activate",IF(AND('WW calcu'!G562&gt;='WW Plan'!$G$256,'WW calcu'!G562&lt;'WW Plan'!$H$256+1),'WW calcu'!F564-('WW Plan'!$H$261/('WW Plan'!$H$256+1-'WW Plan'!$G$256)),'WW calcu'!F564),'WW calcu'!F564)</f>
        <v>70</v>
      </c>
      <c r="H564" s="2704">
        <f>IF('WW Plan'!$E$256="Activate",IF(AND('WW calcu'!H562&gt;='WW Plan'!$G$256,'WW calcu'!H562&lt;'WW Plan'!$H$256+1),'WW calcu'!G564-('WW Plan'!$H$261/('WW Plan'!$H$256+1-'WW Plan'!$G$256)),'WW calcu'!G564),'WW calcu'!G564)</f>
        <v>70</v>
      </c>
      <c r="I564" s="2704">
        <f>IF('WW Plan'!$E$256="Activate",IF(AND('WW calcu'!I562&gt;='WW Plan'!$G$256,'WW calcu'!I562&lt;'WW Plan'!$H$256+1),'WW calcu'!H564-('WW Plan'!$H$261/('WW Plan'!$H$256+1-'WW Plan'!$G$256)),'WW calcu'!H564),'WW calcu'!H564)</f>
        <v>70</v>
      </c>
      <c r="J564" s="2704">
        <f>IF('WW Plan'!$E$256="Activate",IF(AND('WW calcu'!J562&gt;='WW Plan'!$G$256,'WW calcu'!J562&lt;'WW Plan'!$H$256+1),'WW calcu'!I564-('WW Plan'!$H$261/('WW Plan'!$H$256+1-'WW Plan'!$G$256)),'WW calcu'!I564),'WW calcu'!I564)</f>
        <v>70</v>
      </c>
      <c r="K564" s="2704">
        <f>IF('WW Plan'!$E$256="Activate",IF(AND('WW calcu'!K562&gt;='WW Plan'!$G$256,'WW calcu'!K562&lt;'WW Plan'!$H$256+1),'WW calcu'!J564-('WW Plan'!$H$261/('WW Plan'!$H$256+1-'WW Plan'!$G$256)),'WW calcu'!J564),'WW calcu'!J564)</f>
        <v>70</v>
      </c>
      <c r="L564" s="2704">
        <f>IF('WW Plan'!$E$256="Activate",IF(AND('WW calcu'!L562&gt;='WW Plan'!$G$256,'WW calcu'!L562&lt;'WW Plan'!$H$256+1),'WW calcu'!K564-('WW Plan'!$H$261/('WW Plan'!$H$256+1-'WW Plan'!$G$256)),'WW calcu'!K564),'WW calcu'!K564)</f>
        <v>70</v>
      </c>
      <c r="M564" s="2704">
        <f>IF('WW Plan'!$E$256="Activate",IF(AND('WW calcu'!M562&gt;='WW Plan'!$G$256,'WW calcu'!M562&lt;'WW Plan'!$H$256+1),'WW calcu'!L564-('WW Plan'!$H$261/('WW Plan'!$H$256+1-'WW Plan'!$G$256)),'WW calcu'!L564),'WW calcu'!L564)</f>
        <v>70</v>
      </c>
      <c r="N564" s="2704">
        <f>IF('WW Plan'!$E$256="Activate",IF(AND('WW calcu'!N562&gt;='WW Plan'!$G$256,'WW calcu'!N562&lt;'WW Plan'!$H$256+1),'WW calcu'!M564-('WW Plan'!$H$261/('WW Plan'!$H$256+1-'WW Plan'!$G$256)),'WW calcu'!M564),'WW calcu'!M564)</f>
        <v>70</v>
      </c>
      <c r="O564" s="2707">
        <f>IF('WW Plan'!$E$256="Activate",IF(AND('WW calcu'!O562&gt;='WW Plan'!$G$256,'WW calcu'!O562&lt;'WW Plan'!$H$256+1),'WW calcu'!N564-('WW Plan'!$H$261/('WW Plan'!$H$256+1-'WW Plan'!$G$256)),'WW calcu'!N564),'WW calcu'!N564)</f>
        <v>70</v>
      </c>
    </row>
    <row r="565" spans="1:17" hidden="1" outlineLevel="1" x14ac:dyDescent="0.25">
      <c r="B565" s="615"/>
      <c r="C565" s="48" t="s">
        <v>137</v>
      </c>
      <c r="D565" s="2482" t="s">
        <v>81</v>
      </c>
      <c r="E565" s="2705">
        <f>'WSS Profile'!$G$335</f>
        <v>2.9</v>
      </c>
      <c r="F565" s="2705">
        <f>IF('WW Plan'!$E$256="Activate",IF(AND('WW calcu'!F562&gt;='WW Plan'!$G$256,'WW calcu'!F562&lt;'WW Plan'!$H$256+1),'WW calcu'!E565-('WW Plan'!$H$262/('WW Plan'!$H$256+1-'WW Plan'!$G$256)),E565),0)</f>
        <v>0</v>
      </c>
      <c r="G565" s="2705">
        <f>IF('WW Plan'!$E$256="Activate",IF(AND('WW calcu'!G562&gt;='WW Plan'!$G$256,'WW calcu'!G562&lt;'WW Plan'!$H$256+1),'WW calcu'!F565-('WW Plan'!$H$262/('WW Plan'!$H$256+1-'WW Plan'!$G$256)),F565),0)</f>
        <v>0</v>
      </c>
      <c r="H565" s="2705">
        <f>IF('WW Plan'!$E$256="Activate",IF(AND('WW calcu'!H562&gt;='WW Plan'!$G$256,'WW calcu'!H562&lt;'WW Plan'!$H$256+1),'WW calcu'!G565-('WW Plan'!$H$262/('WW Plan'!$H$256+1-'WW Plan'!$G$256)),G565),0)</f>
        <v>0</v>
      </c>
      <c r="I565" s="2705">
        <f>IF('WW Plan'!$E$256="Activate",IF(AND('WW calcu'!I562&gt;='WW Plan'!$G$256,'WW calcu'!I562&lt;'WW Plan'!$H$256+1),'WW calcu'!H565-('WW Plan'!$H$262/('WW Plan'!$H$256+1-'WW Plan'!$G$256)),H565),0)</f>
        <v>0</v>
      </c>
      <c r="J565" s="2705">
        <f>IF('WW Plan'!$E$256="Activate",IF(AND('WW calcu'!J562&gt;='WW Plan'!$G$256,'WW calcu'!J562&lt;'WW Plan'!$H$256+1),'WW calcu'!I565-('WW Plan'!$H$262/('WW Plan'!$H$256+1-'WW Plan'!$G$256)),I565),0)</f>
        <v>0</v>
      </c>
      <c r="K565" s="2705">
        <f>IF('WW Plan'!$E$256="Activate",IF(AND('WW calcu'!K562&gt;='WW Plan'!$G$256,'WW calcu'!K562&lt;'WW Plan'!$H$256+1),'WW calcu'!J565-('WW Plan'!$H$262/('WW Plan'!$H$256+1-'WW Plan'!$G$256)),J565),0)</f>
        <v>0</v>
      </c>
      <c r="L565" s="2705">
        <f>IF('WW Plan'!$E$256="Activate",IF(AND('WW calcu'!L562&gt;='WW Plan'!$G$256,'WW calcu'!L562&lt;'WW Plan'!$H$256+1),'WW calcu'!K565-('WW Plan'!$H$262/('WW Plan'!$H$256+1-'WW Plan'!$G$256)),K565),0)</f>
        <v>0</v>
      </c>
      <c r="M565" s="2705">
        <f>IF('WW Plan'!$E$256="Activate",IF(AND('WW calcu'!M562&gt;='WW Plan'!$G$256,'WW calcu'!M562&lt;'WW Plan'!$H$256+1),'WW calcu'!L565-('WW Plan'!$H$262/('WW Plan'!$H$256+1-'WW Plan'!$G$256)),L565),0)</f>
        <v>0</v>
      </c>
      <c r="N565" s="2705">
        <f>IF('WW Plan'!$E$256="Activate",IF(AND('WW calcu'!N562&gt;='WW Plan'!$G$256,'WW calcu'!N562&lt;'WW Plan'!$H$256+1),'WW calcu'!M565-('WW Plan'!$H$262/('WW Plan'!$H$256+1-'WW Plan'!$G$256)),M565),0)</f>
        <v>0</v>
      </c>
      <c r="O565" s="2710">
        <f>IF('WW Plan'!$E$256="Activate",IF(AND('WW calcu'!O562&gt;='WW Plan'!$G$256,'WW calcu'!O562&lt;'WW Plan'!$H$256+1),'WW calcu'!N565-('WW Plan'!$H$262/('WW Plan'!$H$256+1-'WW Plan'!$G$256)),N565),0)</f>
        <v>0</v>
      </c>
    </row>
    <row r="566" spans="1:17" s="304" customFormat="1" hidden="1" outlineLevel="1" x14ac:dyDescent="0.25">
      <c r="A566" s="34"/>
      <c r="B566" s="2148"/>
      <c r="C566" s="2661" t="s">
        <v>341</v>
      </c>
      <c r="D566" s="2711"/>
      <c r="E566" s="2347"/>
      <c r="F566" s="2347"/>
      <c r="G566" s="2347"/>
      <c r="H566" s="2347"/>
      <c r="I566" s="2347"/>
      <c r="J566" s="2347"/>
      <c r="K566" s="2347"/>
      <c r="L566" s="2347"/>
      <c r="M566" s="2347"/>
      <c r="N566" s="2347"/>
      <c r="O566" s="2712"/>
      <c r="Q566" s="3996"/>
    </row>
    <row r="567" spans="1:17" hidden="1" outlineLevel="1" x14ac:dyDescent="0.25">
      <c r="B567" s="615"/>
      <c r="C567" s="50" t="s">
        <v>138</v>
      </c>
      <c r="D567" s="2482" t="s">
        <v>80</v>
      </c>
      <c r="E567" s="1132">
        <f>'WSS Profile'!$G$338</f>
        <v>0</v>
      </c>
      <c r="F567" s="1132">
        <f>IF('WW Plan'!$E$353="Activate",IF(AND('WW calcu'!F562&gt;='WW Plan'!$G$353,'WW calcu'!F562&lt;'WW Plan'!$H$353+1),'WW calcu'!E567+('WW Plan'!$H$357/('WW Plan'!$H$353+1-'WW Plan'!$G$353)),'WW calcu'!E567),'WW calcu'!E567)+E564-F564</f>
        <v>0</v>
      </c>
      <c r="G567" s="1132">
        <f>IF('WW Plan'!$E$353="Activate",IF(AND('WW calcu'!G562&gt;='WW Plan'!$G$353,'WW calcu'!G562&lt;'WW Plan'!$H$353+1),'WW calcu'!F567+('WW Plan'!$H$357/('WW Plan'!$H$353+1-'WW Plan'!$G$353)),'WW calcu'!F567),'WW calcu'!F567)+F564-G564</f>
        <v>0</v>
      </c>
      <c r="H567" s="1132">
        <f>IF('WW Plan'!$E$353="Activate",IF(AND('WW calcu'!H562&gt;='WW Plan'!$G$353,'WW calcu'!H562&lt;'WW Plan'!$H$353+1),'WW calcu'!G567+('WW Plan'!$H$357/('WW Plan'!$H$353+1-'WW Plan'!$G$353)),'WW calcu'!G567),'WW calcu'!G567)+G564-H564</f>
        <v>0</v>
      </c>
      <c r="I567" s="1132">
        <f>IF('WW Plan'!$E$353="Activate",IF(AND('WW calcu'!I562&gt;='WW Plan'!$G$353,'WW calcu'!I562&lt;'WW Plan'!$H$353+1),'WW calcu'!H567+('WW Plan'!$H$357/('WW Plan'!$H$353+1-'WW Plan'!$G$353)),'WW calcu'!H567),'WW calcu'!H567)+H564-I564</f>
        <v>0</v>
      </c>
      <c r="J567" s="1132">
        <f>IF('WW Plan'!$E$353="Activate",IF(AND('WW calcu'!J562&gt;='WW Plan'!$G$353,'WW calcu'!J562&lt;'WW Plan'!$H$353+1),'WW calcu'!I567+('WW Plan'!$H$357/('WW Plan'!$H$353+1-'WW Plan'!$G$353)),'WW calcu'!I567),'WW calcu'!I567)+I564-J564</f>
        <v>0</v>
      </c>
      <c r="K567" s="1132">
        <f>IF('WW Plan'!$E$353="Activate",IF(AND('WW calcu'!K562&gt;='WW Plan'!$G$353,'WW calcu'!K562&lt;'WW Plan'!$H$353+1),'WW calcu'!J567+('WW Plan'!$H$357/('WW Plan'!$H$353+1-'WW Plan'!$G$353)),'WW calcu'!J567),'WW calcu'!J567)+J564-K564</f>
        <v>0</v>
      </c>
      <c r="L567" s="1132">
        <f>IF('WW Plan'!$E$353="Activate",IF(AND('WW calcu'!L562&gt;='WW Plan'!$G$353,'WW calcu'!L562&lt;'WW Plan'!$H$353+1),'WW calcu'!K567+('WW Plan'!$H$357/('WW Plan'!$H$353+1-'WW Plan'!$G$353)),'WW calcu'!K567),'WW calcu'!K567)+K564-L564</f>
        <v>0</v>
      </c>
      <c r="M567" s="1132">
        <f>IF('WW Plan'!$E$353="Activate",IF(AND('WW calcu'!M562&gt;='WW Plan'!$G$353,'WW calcu'!M562&lt;'WW Plan'!$H$353+1),'WW calcu'!L567+('WW Plan'!$H$357/('WW Plan'!$H$353+1-'WW Plan'!$G$353)),'WW calcu'!L567),'WW calcu'!L567)+L564-M564</f>
        <v>0</v>
      </c>
      <c r="N567" s="1132">
        <f>IF('WW Plan'!$E$353="Activate",IF(AND('WW calcu'!N562&gt;='WW Plan'!$G$353,'WW calcu'!N562&lt;'WW Plan'!$H$353+1),'WW calcu'!M567+('WW Plan'!$H$357/('WW Plan'!$H$353+1-'WW Plan'!$G$353)),'WW calcu'!M567),'WW calcu'!M567)+M564-N564</f>
        <v>0</v>
      </c>
      <c r="O567" s="2713">
        <f>IF('WW Plan'!$E$353="Activate",IF(AND('WW calcu'!O562&gt;='WW Plan'!$G$353,'WW calcu'!O562&lt;'WW Plan'!$H$353+1),'WW calcu'!N567+('WW Plan'!$H$357/('WW Plan'!$H$353+1-'WW Plan'!$G$353)),'WW calcu'!N567),'WW calcu'!N567)+N564-O564</f>
        <v>0</v>
      </c>
    </row>
    <row r="568" spans="1:17" hidden="1" outlineLevel="1" x14ac:dyDescent="0.25">
      <c r="B568" s="2102"/>
      <c r="C568" s="2187" t="s">
        <v>135</v>
      </c>
      <c r="D568" s="2546" t="s">
        <v>81</v>
      </c>
      <c r="E568" s="2714">
        <f>'WSS Profile'!$G$337</f>
        <v>0</v>
      </c>
      <c r="F568" s="2714">
        <f>IF('WW Plan'!$E$353="Activate",IF(AND('WW calcu'!F562&gt;='WW Plan'!$G$353,'WW calcu'!F562&lt;'WW Plan'!$H$353+1),'WW calcu'!E568+('WW Plan'!$H$356/('WW Plan'!$H$353+1-'WW Plan'!$G$353)),'WW calcu'!E568),'WW calcu'!E568)+(E565-F565)</f>
        <v>2.9</v>
      </c>
      <c r="G568" s="2714">
        <f>IF('WW Plan'!$E$353="Activate",IF(AND('WW calcu'!G562&gt;='WW Plan'!$G$353,'WW calcu'!G562&lt;'WW Plan'!$H$353+1),'WW calcu'!F568+('WW Plan'!$H$356/('WW Plan'!$H$353+1-'WW Plan'!$G$353)),'WW calcu'!F568),'WW calcu'!F568)+(F565-G565)</f>
        <v>2.9</v>
      </c>
      <c r="H568" s="2714">
        <f>IF('WW Plan'!$E$353="Activate",IF(AND('WW calcu'!H562&gt;='WW Plan'!$G$353,'WW calcu'!H562&lt;'WW Plan'!$H$353+1),'WW calcu'!G568+('WW Plan'!$H$356/('WW Plan'!$H$353+1-'WW Plan'!$G$353)),'WW calcu'!G568),'WW calcu'!G568)+(G565-H565)</f>
        <v>2.9</v>
      </c>
      <c r="I568" s="2714">
        <f>IF('WW Plan'!$E$353="Activate",IF(AND('WW calcu'!I562&gt;='WW Plan'!$G$353,'WW calcu'!I562&lt;'WW Plan'!$H$353+1),'WW calcu'!H568+('WW Plan'!$H$356/('WW Plan'!$H$353+1-'WW Plan'!$G$353)),'WW calcu'!H568),'WW calcu'!H568)+(H565-I565)</f>
        <v>2.9</v>
      </c>
      <c r="J568" s="2714">
        <f>IF('WW Plan'!$E$353="Activate",IF(AND('WW calcu'!J562&gt;='WW Plan'!$G$353,'WW calcu'!J562&lt;'WW Plan'!$H$353+1),'WW calcu'!I568+('WW Plan'!$H$356/('WW Plan'!$H$353+1-'WW Plan'!$G$353)),'WW calcu'!I568),'WW calcu'!I568)+(I565-J565)</f>
        <v>2.9</v>
      </c>
      <c r="K568" s="2714">
        <f>IF('WW Plan'!$E$353="Activate",IF(AND('WW calcu'!K562&gt;='WW Plan'!$G$353,'WW calcu'!K562&lt;'WW Plan'!$H$353+1),'WW calcu'!J568+('WW Plan'!$H$356/('WW Plan'!$H$353+1-'WW Plan'!$G$353)),'WW calcu'!J568),'WW calcu'!J568)+(J565-K565)</f>
        <v>2.9</v>
      </c>
      <c r="L568" s="2714">
        <f>IF('WW Plan'!$E$353="Activate",IF(AND('WW calcu'!L562&gt;='WW Plan'!$G$353,'WW calcu'!L562&lt;'WW Plan'!$H$353+1),'WW calcu'!K568+('WW Plan'!$H$356/('WW Plan'!$H$353+1-'WW Plan'!$G$353)),'WW calcu'!K568),'WW calcu'!K568)+(K565-L565)</f>
        <v>2.9</v>
      </c>
      <c r="M568" s="2714">
        <f>IF('WW Plan'!$E$353="Activate",IF(AND('WW calcu'!M562&gt;='WW Plan'!$G$353,'WW calcu'!M562&lt;'WW Plan'!$H$353+1),'WW calcu'!L568+('WW Plan'!$H$356/('WW Plan'!$H$353+1-'WW Plan'!$G$353)),'WW calcu'!L568),'WW calcu'!L568)+(L565-M565)</f>
        <v>2.9</v>
      </c>
      <c r="N568" s="2714">
        <f>IF('WW Plan'!$E$353="Activate",IF(AND('WW calcu'!N562&gt;='WW Plan'!$G$353,'WW calcu'!N562&lt;'WW Plan'!$H$353+1),'WW calcu'!M568+('WW Plan'!$H$356/('WW Plan'!$H$353+1-'WW Plan'!$G$353)),'WW calcu'!M568),'WW calcu'!M568)+(M565-N565)</f>
        <v>2.9</v>
      </c>
      <c r="O568" s="2715">
        <f>IF('WW Plan'!$E$353="Activate",IF(AND('WW calcu'!O562&gt;='WW Plan'!$G$353,'WW calcu'!O562&lt;'WW Plan'!$H$353+1),'WW calcu'!N568+('WW Plan'!$H$356/('WW Plan'!$H$353+1-'WW Plan'!$G$353)),'WW calcu'!N568),'WW calcu'!N568)+(N565-O565)</f>
        <v>2.9</v>
      </c>
    </row>
    <row r="569" spans="1:17" s="304" customFormat="1" hidden="1" outlineLevel="1" x14ac:dyDescent="0.25">
      <c r="A569" s="34"/>
      <c r="B569" s="2148"/>
      <c r="C569" s="2661" t="s">
        <v>148</v>
      </c>
      <c r="D569" s="2706"/>
      <c r="E569" s="2084"/>
      <c r="F569" s="2084"/>
      <c r="G569" s="2084"/>
      <c r="H569" s="2084"/>
      <c r="I569" s="2084"/>
      <c r="J569" s="2084"/>
      <c r="K569" s="2084"/>
      <c r="L569" s="2084"/>
      <c r="M569" s="2084"/>
      <c r="N569" s="2084"/>
      <c r="O569" s="2085"/>
      <c r="Q569" s="3996"/>
    </row>
    <row r="570" spans="1:17" hidden="1" outlineLevel="1" x14ac:dyDescent="0.25">
      <c r="B570" s="2071"/>
      <c r="C570" s="1162" t="s">
        <v>671</v>
      </c>
      <c r="D570" s="2488" t="s">
        <v>80</v>
      </c>
      <c r="E570" s="440">
        <f t="shared" ref="E570:O570" si="220">E432</f>
        <v>0</v>
      </c>
      <c r="F570" s="440">
        <f t="shared" si="220"/>
        <v>0</v>
      </c>
      <c r="G570" s="440">
        <f t="shared" si="220"/>
        <v>0</v>
      </c>
      <c r="H570" s="440">
        <f t="shared" si="220"/>
        <v>0</v>
      </c>
      <c r="I570" s="440">
        <f t="shared" si="220"/>
        <v>0</v>
      </c>
      <c r="J570" s="440">
        <f t="shared" si="220"/>
        <v>0</v>
      </c>
      <c r="K570" s="440">
        <f t="shared" si="220"/>
        <v>0</v>
      </c>
      <c r="L570" s="440">
        <f t="shared" si="220"/>
        <v>0</v>
      </c>
      <c r="M570" s="440">
        <f t="shared" si="220"/>
        <v>0</v>
      </c>
      <c r="N570" s="440">
        <f t="shared" si="220"/>
        <v>0</v>
      </c>
      <c r="O570" s="554">
        <f t="shared" si="220"/>
        <v>0</v>
      </c>
    </row>
    <row r="571" spans="1:17" hidden="1" outlineLevel="1" x14ac:dyDescent="0.25">
      <c r="B571" s="551"/>
      <c r="C571" s="570" t="s">
        <v>670</v>
      </c>
      <c r="D571" s="2547" t="s">
        <v>81</v>
      </c>
      <c r="E571" s="555">
        <f t="shared" ref="E571:O571" si="221">E433</f>
        <v>0</v>
      </c>
      <c r="F571" s="555">
        <f t="shared" si="221"/>
        <v>0</v>
      </c>
      <c r="G571" s="555">
        <f t="shared" si="221"/>
        <v>0</v>
      </c>
      <c r="H571" s="555">
        <f t="shared" si="221"/>
        <v>0</v>
      </c>
      <c r="I571" s="555">
        <f t="shared" si="221"/>
        <v>0</v>
      </c>
      <c r="J571" s="555">
        <f t="shared" si="221"/>
        <v>0</v>
      </c>
      <c r="K571" s="555">
        <f t="shared" si="221"/>
        <v>0</v>
      </c>
      <c r="L571" s="555">
        <f t="shared" si="221"/>
        <v>0</v>
      </c>
      <c r="M571" s="555">
        <f t="shared" si="221"/>
        <v>0</v>
      </c>
      <c r="N571" s="555">
        <f t="shared" si="221"/>
        <v>0</v>
      </c>
      <c r="O571" s="1245">
        <f t="shared" si="221"/>
        <v>0</v>
      </c>
    </row>
    <row r="572" spans="1:17" hidden="1" outlineLevel="1" x14ac:dyDescent="0.25">
      <c r="D572" s="9"/>
    </row>
    <row r="573" spans="1:17" s="93" customFormat="1" hidden="1" outlineLevel="1" x14ac:dyDescent="0.25">
      <c r="A573" s="770"/>
      <c r="B573" s="742"/>
      <c r="C573" s="763" t="s">
        <v>683</v>
      </c>
      <c r="D573" s="771"/>
      <c r="E573" s="780">
        <f>IFERROR((E565+E568)/'WSS Profile'!$G$36,0)</f>
        <v>0</v>
      </c>
      <c r="F573" s="780">
        <f>IFERROR((F565+F568)/'WSS Profile'!$G$36,0)</f>
        <v>0</v>
      </c>
      <c r="G573" s="780">
        <f>IFERROR((G565+G568)/'WSS Profile'!$G$36,0)</f>
        <v>0</v>
      </c>
      <c r="H573" s="780">
        <f>IFERROR((H565+H568)/'WSS Profile'!$G$36,0)</f>
        <v>0</v>
      </c>
      <c r="I573" s="780">
        <f>IFERROR((I565+I568)/'WSS Profile'!$G$36,0)</f>
        <v>0</v>
      </c>
      <c r="J573" s="780">
        <f>IFERROR((J565+J568)/'WSS Profile'!$G$36,0)</f>
        <v>0</v>
      </c>
      <c r="K573" s="780">
        <f>IFERROR((K565+K568)/'WSS Profile'!$G$36,0)</f>
        <v>0</v>
      </c>
      <c r="L573" s="780">
        <f>IFERROR((L565+L568)/'WSS Profile'!$G$36,0)</f>
        <v>0</v>
      </c>
      <c r="M573" s="780">
        <f>IFERROR((M565+M568)/'WSS Profile'!$G$36,0)</f>
        <v>0</v>
      </c>
      <c r="N573" s="780">
        <f>IFERROR((N565+N568)/'WSS Profile'!$G$36,0)</f>
        <v>0</v>
      </c>
      <c r="O573" s="780">
        <f>IFERROR((O565+O568)/'WSS Profile'!$G$36,0)</f>
        <v>0</v>
      </c>
      <c r="Q573" s="3997"/>
    </row>
    <row r="574" spans="1:17" s="93" customFormat="1" ht="30" hidden="1" outlineLevel="1" x14ac:dyDescent="0.25">
      <c r="A574" s="770"/>
      <c r="B574" s="742"/>
      <c r="C574" s="763" t="s">
        <v>2549</v>
      </c>
      <c r="D574" s="771"/>
      <c r="E574" s="780">
        <f>IFERROR((E565+E568+E571)/'WSS Profile'!$G$36,0)</f>
        <v>0</v>
      </c>
      <c r="F574" s="780">
        <f>IFERROR((F565+F568+F571)/'WSS Profile'!$G$36,0)</f>
        <v>0</v>
      </c>
      <c r="G574" s="780">
        <f>IFERROR((G565+G568+G571)/'WSS Profile'!$G$36,0)</f>
        <v>0</v>
      </c>
      <c r="H574" s="780">
        <f>IFERROR((H565+H568+H571)/'WSS Profile'!$G$36,0)</f>
        <v>0</v>
      </c>
      <c r="I574" s="780">
        <f>IFERROR((I565+I568+I571)/'WSS Profile'!$G$36,0)</f>
        <v>0</v>
      </c>
      <c r="J574" s="780">
        <f>IFERROR((J565+J568+J571)/'WSS Profile'!$G$36,0)</f>
        <v>0</v>
      </c>
      <c r="K574" s="780">
        <f>IFERROR((K565+K568+K571)/'WSS Profile'!$G$36,0)</f>
        <v>0</v>
      </c>
      <c r="L574" s="780">
        <f>IFERROR((L565+L568+L571)/'WSS Profile'!$G$36,0)</f>
        <v>0</v>
      </c>
      <c r="M574" s="780">
        <f>IFERROR((M565+M568+M571)/'WSS Profile'!$G$36,0)</f>
        <v>0</v>
      </c>
      <c r="N574" s="780">
        <f>IFERROR((N565+N568+N571)/'WSS Profile'!$G$36,0)</f>
        <v>0</v>
      </c>
      <c r="O574" s="780">
        <f>IFERROR((O565+O568+O571)/'WSS Profile'!$G$36,0)</f>
        <v>0</v>
      </c>
      <c r="Q574" s="3997"/>
    </row>
    <row r="575" spans="1:17" s="93" customFormat="1" hidden="1" outlineLevel="1" x14ac:dyDescent="0.25">
      <c r="A575" s="770"/>
      <c r="B575" s="742"/>
      <c r="C575" s="763" t="str">
        <f>'Summary of PIP'!C110</f>
        <v>Spatial coverage of closed surface drains</v>
      </c>
      <c r="D575" s="764">
        <f>'WSS Profile'!$G$36</f>
        <v>0</v>
      </c>
      <c r="E575" s="780">
        <f>MIN(IFERROR((E568)/'WSS Profile'!$G$36,0),100%)</f>
        <v>0</v>
      </c>
      <c r="F575" s="780">
        <f>MIN(IFERROR((F568)/'WSS Profile'!$G$36,0),100%)</f>
        <v>0</v>
      </c>
      <c r="G575" s="780">
        <f>MIN(IFERROR((G568)/'WSS Profile'!$G$36,0),100%)</f>
        <v>0</v>
      </c>
      <c r="H575" s="780">
        <f>MIN(IFERROR((H568)/'WSS Profile'!$G$36,0),100%)</f>
        <v>0</v>
      </c>
      <c r="I575" s="780">
        <f>MIN(IFERROR((I568)/'WSS Profile'!$G$36,0),100%)</f>
        <v>0</v>
      </c>
      <c r="J575" s="780">
        <f>MIN(IFERROR((J568)/'WSS Profile'!$G$36,0),100%)</f>
        <v>0</v>
      </c>
      <c r="K575" s="780">
        <f>MIN(IFERROR((K568)/'WSS Profile'!$G$36,0),100%)</f>
        <v>0</v>
      </c>
      <c r="L575" s="780">
        <f>MIN(IFERROR((L568)/'WSS Profile'!$G$36,0),100%)</f>
        <v>0</v>
      </c>
      <c r="M575" s="780">
        <f>MIN(IFERROR((M568)/'WSS Profile'!$G$36,0),100%)</f>
        <v>0</v>
      </c>
      <c r="N575" s="780">
        <f>MIN(IFERROR((N568)/'WSS Profile'!$G$36,0),100%)</f>
        <v>0</v>
      </c>
      <c r="O575" s="780">
        <f>MIN(IFERROR((O568)/'WSS Profile'!$G$36,0),100%)</f>
        <v>0</v>
      </c>
      <c r="Q575" s="3997"/>
    </row>
    <row r="576" spans="1:17" hidden="1" outlineLevel="1" x14ac:dyDescent="0.25"/>
    <row r="577" spans="1:17" hidden="1" outlineLevel="1" x14ac:dyDescent="0.25"/>
    <row r="578" spans="1:17" collapsed="1" x14ac:dyDescent="0.25">
      <c r="A578" s="11" t="s">
        <v>13</v>
      </c>
      <c r="B578" s="11" t="s">
        <v>2548</v>
      </c>
      <c r="C578" s="12"/>
    </row>
    <row r="579" spans="1:17" hidden="1" outlineLevel="1" x14ac:dyDescent="0.25">
      <c r="B579" s="13" t="s">
        <v>3</v>
      </c>
      <c r="C579" s="13" t="s">
        <v>4</v>
      </c>
      <c r="D579" s="2480" t="s">
        <v>33</v>
      </c>
      <c r="E579" s="13">
        <f>'WS calcu'!E$3</f>
        <v>2014</v>
      </c>
      <c r="F579" s="13">
        <f>'WS calcu'!F$3</f>
        <v>2015</v>
      </c>
      <c r="G579" s="13">
        <f>'WS calcu'!G$3</f>
        <v>2016</v>
      </c>
      <c r="H579" s="13">
        <f>'WS calcu'!H$3</f>
        <v>2017</v>
      </c>
      <c r="I579" s="13">
        <f>'WS calcu'!I$3</f>
        <v>2018</v>
      </c>
      <c r="J579" s="13">
        <f>'WS calcu'!J$3</f>
        <v>2019</v>
      </c>
      <c r="K579" s="13">
        <f>'WS calcu'!K$3</f>
        <v>2020</v>
      </c>
      <c r="L579" s="13">
        <f>'WS calcu'!L$3</f>
        <v>2021</v>
      </c>
      <c r="M579" s="13">
        <f>'WS calcu'!M$3</f>
        <v>2022</v>
      </c>
      <c r="N579" s="13">
        <f>'WS calcu'!N$3</f>
        <v>2023</v>
      </c>
      <c r="O579" s="13">
        <f>'WS calcu'!O$3</f>
        <v>2024</v>
      </c>
    </row>
    <row r="580" spans="1:17" hidden="1" outlineLevel="1" x14ac:dyDescent="0.25">
      <c r="A580" s="195"/>
      <c r="B580" s="195"/>
      <c r="C580" s="2168" t="s">
        <v>2581</v>
      </c>
      <c r="D580" s="2566"/>
      <c r="E580" s="195"/>
      <c r="F580" s="195"/>
      <c r="G580" s="195"/>
      <c r="H580" s="195"/>
      <c r="I580" s="195"/>
      <c r="J580" s="195"/>
      <c r="K580" s="195"/>
      <c r="L580" s="195"/>
      <c r="M580" s="195"/>
      <c r="N580" s="195"/>
      <c r="O580" s="195"/>
    </row>
    <row r="581" spans="1:17" s="92" customFormat="1" hidden="1" outlineLevel="1" x14ac:dyDescent="0.25">
      <c r="B581" s="2147"/>
      <c r="C581" s="335" t="s">
        <v>132</v>
      </c>
      <c r="D581" s="2582" t="s">
        <v>19</v>
      </c>
      <c r="E581" s="2289">
        <f>('WS calcu'!E$26+'WSS Profile'!$F$51)*80%</f>
        <v>0</v>
      </c>
      <c r="F581" s="2289">
        <f>('WS calcu'!F$26+'WSS Profile'!$F$51)*80%</f>
        <v>0</v>
      </c>
      <c r="G581" s="2289">
        <f>('WS calcu'!G$26+'WSS Profile'!$F$51)*80%</f>
        <v>0</v>
      </c>
      <c r="H581" s="2289">
        <f>('WS calcu'!H$26+'WSS Profile'!$F$51)*80%</f>
        <v>0</v>
      </c>
      <c r="I581" s="2289">
        <f>('WS calcu'!I$26+'WSS Profile'!$F$51)*80%</f>
        <v>0</v>
      </c>
      <c r="J581" s="2289">
        <f>('WS calcu'!J$26+'WSS Profile'!$F$51)*80%</f>
        <v>0</v>
      </c>
      <c r="K581" s="2289">
        <f>('WS calcu'!K$26+'WSS Profile'!$F$51)*80%</f>
        <v>0</v>
      </c>
      <c r="L581" s="2289">
        <f>('WS calcu'!L$26+'WSS Profile'!$F$51)*80%</f>
        <v>0</v>
      </c>
      <c r="M581" s="2289">
        <f>('WS calcu'!M$26+'WSS Profile'!$F$51)*80%</f>
        <v>0</v>
      </c>
      <c r="N581" s="2289">
        <f>('WS calcu'!N$26+'WSS Profile'!$F$51)*80%</f>
        <v>0</v>
      </c>
      <c r="O581" s="2294">
        <f>('WS calcu'!O$26+'WSS Profile'!$F$51)*80%</f>
        <v>0</v>
      </c>
      <c r="Q581" s="3993"/>
    </row>
    <row r="582" spans="1:17" s="92" customFormat="1" hidden="1" outlineLevel="1" x14ac:dyDescent="0.25">
      <c r="B582" s="2637"/>
      <c r="C582" s="336" t="s">
        <v>385</v>
      </c>
      <c r="D582" s="2546" t="s">
        <v>912</v>
      </c>
      <c r="E582" s="2642">
        <f>IFERROR(E581*10^6/Population!E31,0)</f>
        <v>0</v>
      </c>
      <c r="F582" s="2642">
        <f>IFERROR(F581*10^6/Population!F31,0)</f>
        <v>0</v>
      </c>
      <c r="G582" s="2642">
        <f>IFERROR(G581*10^6/Population!G31,0)</f>
        <v>0</v>
      </c>
      <c r="H582" s="2642">
        <f>IFERROR(H581*10^6/Population!H31,0)</f>
        <v>0</v>
      </c>
      <c r="I582" s="2642">
        <f>IFERROR(I581*10^6/Population!I31,0)</f>
        <v>0</v>
      </c>
      <c r="J582" s="2642">
        <f>IFERROR(J581*10^6/Population!J31,0)</f>
        <v>0</v>
      </c>
      <c r="K582" s="2642">
        <f>IFERROR(K581*10^6/Population!K31,0)</f>
        <v>0</v>
      </c>
      <c r="L582" s="2642">
        <f>IFERROR(L581*10^6/Population!L31,0)</f>
        <v>0</v>
      </c>
      <c r="M582" s="2642">
        <f>IFERROR(M581*10^6/Population!M31,0)</f>
        <v>0</v>
      </c>
      <c r="N582" s="2642">
        <f>IFERROR(N581*10^6/Population!N31,0)</f>
        <v>0</v>
      </c>
      <c r="O582" s="2643">
        <f>IFERROR(O581*10^6/Population!O31,0)</f>
        <v>0</v>
      </c>
      <c r="Q582" s="3993"/>
    </row>
    <row r="583" spans="1:17" hidden="1" outlineLevel="1" x14ac:dyDescent="0.25">
      <c r="C583" s="27"/>
      <c r="D583" s="2479"/>
    </row>
    <row r="584" spans="1:17" hidden="1" outlineLevel="1" x14ac:dyDescent="0.25">
      <c r="A584" s="195"/>
      <c r="B584" s="195"/>
      <c r="C584" s="2168" t="s">
        <v>2570</v>
      </c>
      <c r="D584" s="2566"/>
      <c r="E584" s="195"/>
      <c r="F584" s="195"/>
      <c r="G584" s="195"/>
      <c r="H584" s="195"/>
      <c r="I584" s="195"/>
      <c r="J584" s="195"/>
      <c r="K584" s="195"/>
      <c r="L584" s="195"/>
      <c r="M584" s="195"/>
      <c r="N584" s="195"/>
      <c r="O584" s="195"/>
    </row>
    <row r="585" spans="1:17" ht="30" hidden="1" outlineLevel="1" x14ac:dyDescent="0.25">
      <c r="B585" s="547"/>
      <c r="C585" s="1303" t="s">
        <v>133</v>
      </c>
      <c r="D585" s="2481" t="s">
        <v>19</v>
      </c>
      <c r="E585" s="2719">
        <f>(E582*(E478+E479))/10^6</f>
        <v>0</v>
      </c>
      <c r="F585" s="2719">
        <f>(F582*(F478+F479))/10^6</f>
        <v>0</v>
      </c>
      <c r="G585" s="2719">
        <f t="shared" ref="G585:O585" si="222">(G582*(G478+G479))/10^6</f>
        <v>0</v>
      </c>
      <c r="H585" s="2719">
        <f t="shared" si="222"/>
        <v>0</v>
      </c>
      <c r="I585" s="2719">
        <f t="shared" si="222"/>
        <v>0</v>
      </c>
      <c r="J585" s="2719">
        <f t="shared" si="222"/>
        <v>0</v>
      </c>
      <c r="K585" s="2719">
        <f t="shared" si="222"/>
        <v>0</v>
      </c>
      <c r="L585" s="2719">
        <f t="shared" si="222"/>
        <v>0</v>
      </c>
      <c r="M585" s="2719">
        <f t="shared" si="222"/>
        <v>0</v>
      </c>
      <c r="N585" s="2719">
        <f t="shared" si="222"/>
        <v>0</v>
      </c>
      <c r="O585" s="5242">
        <f t="shared" si="222"/>
        <v>0</v>
      </c>
    </row>
    <row r="586" spans="1:17" s="124" customFormat="1" hidden="1" outlineLevel="1" x14ac:dyDescent="0.25">
      <c r="B586" s="1244"/>
      <c r="C586" s="2182" t="s">
        <v>156</v>
      </c>
      <c r="D586" s="2482" t="s">
        <v>18</v>
      </c>
      <c r="E586" s="2716">
        <f>'WW Plan'!$H$227</f>
        <v>0</v>
      </c>
      <c r="F586" s="2717">
        <f>IF('WW Plan'!$E$225="Activate",IF('WW calcu'!F579&gt;='WW Plan'!$H$225+1,'WW calcu'!$E$586-'WW Plan'!$H$229,'WW calcu'!E586),'WW calcu'!E586)</f>
        <v>0</v>
      </c>
      <c r="G586" s="2717">
        <f>IF('WW Plan'!$E$225="Activate",IF('WW calcu'!G579&gt;='WW Plan'!$H$225+1,'WW calcu'!$E$586-'WW Plan'!$H$229,'WW calcu'!F586),'WW calcu'!F586)</f>
        <v>0</v>
      </c>
      <c r="H586" s="2717">
        <f>IF('WW Plan'!$E$225="Activate",IF('WW calcu'!H579&gt;='WW Plan'!$H$225+1,'WW calcu'!$E$586-'WW Plan'!$H$229,'WW calcu'!G586),'WW calcu'!G586)</f>
        <v>0</v>
      </c>
      <c r="I586" s="2717">
        <f>IF('WW Plan'!$E$225="Activate",IF('WW calcu'!I579&gt;='WW Plan'!$H$225+1,'WW calcu'!$E$586-'WW Plan'!$H$229,'WW calcu'!H586),'WW calcu'!H586)</f>
        <v>0</v>
      </c>
      <c r="J586" s="2717">
        <f>IF('WW Plan'!$E$225="Activate",IF('WW calcu'!J579&gt;='WW Plan'!$H$225+1,'WW calcu'!$E$586-'WW Plan'!$H$229,'WW calcu'!I586),'WW calcu'!I586)</f>
        <v>0</v>
      </c>
      <c r="K586" s="2717">
        <f>IF('WW Plan'!$E$225="Activate",IF('WW calcu'!K579&gt;='WW Plan'!$H$225+1,'WW calcu'!$E$586-'WW Plan'!$H$229,'WW calcu'!J586),'WW calcu'!J586)</f>
        <v>0</v>
      </c>
      <c r="L586" s="2717">
        <f>IF('WW Plan'!$E$225="Activate",IF('WW calcu'!L579&gt;='WW Plan'!$H$225+1,'WW calcu'!$E$586-'WW Plan'!$H$229,'WW calcu'!K586),'WW calcu'!K586)</f>
        <v>0</v>
      </c>
      <c r="M586" s="2717">
        <f>IF('WW Plan'!$E$225="Activate",IF('WW calcu'!M579&gt;='WW Plan'!$H$225+1,'WW calcu'!$E$586-'WW Plan'!$H$229,'WW calcu'!L586),'WW calcu'!L586)</f>
        <v>0</v>
      </c>
      <c r="N586" s="2717">
        <f>IF('WW Plan'!$E$225="Activate",IF('WW calcu'!N579&gt;='WW Plan'!$H$225+1,'WW calcu'!$E$586-'WW Plan'!$H$229,'WW calcu'!M586),'WW calcu'!M586)</f>
        <v>0</v>
      </c>
      <c r="O586" s="2720">
        <f>IF('WW Plan'!$E$225="Activate",IF('WW calcu'!O579&gt;='WW Plan'!$H$225+1,'WW calcu'!$E$586-'WW Plan'!$H$229,'WW calcu'!N586),'WW calcu'!N586)</f>
        <v>0</v>
      </c>
      <c r="Q586" s="3987"/>
    </row>
    <row r="587" spans="1:17" hidden="1" outlineLevel="1" x14ac:dyDescent="0.25">
      <c r="A587" s="27"/>
      <c r="B587" s="2102"/>
      <c r="C587" s="1305" t="s">
        <v>2566</v>
      </c>
      <c r="D587" s="2721"/>
      <c r="E587" s="2722">
        <f>E585*(1-E586)</f>
        <v>0</v>
      </c>
      <c r="F587" s="2722">
        <f>F585*(1-F586)</f>
        <v>0</v>
      </c>
      <c r="G587" s="2722">
        <f t="shared" ref="G587:N587" si="223">G585*(1-G586)</f>
        <v>0</v>
      </c>
      <c r="H587" s="2722">
        <f t="shared" si="223"/>
        <v>0</v>
      </c>
      <c r="I587" s="2722">
        <f t="shared" si="223"/>
        <v>0</v>
      </c>
      <c r="J587" s="2722">
        <f t="shared" si="223"/>
        <v>0</v>
      </c>
      <c r="K587" s="2722">
        <f t="shared" si="223"/>
        <v>0</v>
      </c>
      <c r="L587" s="2722">
        <f t="shared" si="223"/>
        <v>0</v>
      </c>
      <c r="M587" s="2722">
        <f t="shared" si="223"/>
        <v>0</v>
      </c>
      <c r="N587" s="2722">
        <f t="shared" si="223"/>
        <v>0</v>
      </c>
      <c r="O587" s="2723">
        <f>O585*(1-O586)</f>
        <v>0</v>
      </c>
    </row>
    <row r="588" spans="1:17" hidden="1" outlineLevel="1" x14ac:dyDescent="0.25">
      <c r="A588" s="27"/>
      <c r="B588" s="27"/>
      <c r="C588" s="27"/>
      <c r="D588" s="27"/>
      <c r="E588" s="27"/>
      <c r="F588" s="27"/>
      <c r="G588" s="27"/>
      <c r="H588" s="27"/>
      <c r="I588" s="27"/>
      <c r="J588" s="27"/>
      <c r="K588" s="27"/>
      <c r="L588" s="27"/>
      <c r="M588" s="27"/>
      <c r="N588" s="27"/>
      <c r="O588" s="27"/>
    </row>
    <row r="589" spans="1:17" s="93" customFormat="1" ht="46.5" hidden="1" customHeight="1" outlineLevel="1" x14ac:dyDescent="0.25">
      <c r="A589" s="27"/>
      <c r="B589" s="742"/>
      <c r="C589" s="763" t="s">
        <v>760</v>
      </c>
      <c r="D589" s="771" t="s">
        <v>18</v>
      </c>
      <c r="E589" s="1148">
        <f t="shared" ref="E589:O589" si="224">IFERROR(E587/E581,0)</f>
        <v>0</v>
      </c>
      <c r="F589" s="1148">
        <f t="shared" si="224"/>
        <v>0</v>
      </c>
      <c r="G589" s="1148">
        <f t="shared" si="224"/>
        <v>0</v>
      </c>
      <c r="H589" s="1148">
        <f t="shared" si="224"/>
        <v>0</v>
      </c>
      <c r="I589" s="1148">
        <f t="shared" si="224"/>
        <v>0</v>
      </c>
      <c r="J589" s="1148">
        <f t="shared" si="224"/>
        <v>0</v>
      </c>
      <c r="K589" s="1148">
        <f t="shared" si="224"/>
        <v>0</v>
      </c>
      <c r="L589" s="1148">
        <f t="shared" si="224"/>
        <v>0</v>
      </c>
      <c r="M589" s="1148">
        <f t="shared" si="224"/>
        <v>0</v>
      </c>
      <c r="N589" s="1148">
        <f t="shared" si="224"/>
        <v>0</v>
      </c>
      <c r="O589" s="1148">
        <f t="shared" si="224"/>
        <v>0</v>
      </c>
      <c r="P589" s="80"/>
      <c r="Q589" s="3997"/>
    </row>
    <row r="590" spans="1:17" s="80" customFormat="1" ht="49.5" hidden="1" customHeight="1" outlineLevel="1" x14ac:dyDescent="0.25">
      <c r="A590" s="124"/>
      <c r="B590" s="742"/>
      <c r="C590" s="763" t="s">
        <v>2881</v>
      </c>
      <c r="D590" s="764"/>
      <c r="E590" s="1148">
        <f t="shared" ref="E590:O590" si="225">IFERROR((E690+E728)/E581,0)</f>
        <v>0</v>
      </c>
      <c r="F590" s="1148">
        <f t="shared" si="225"/>
        <v>0</v>
      </c>
      <c r="G590" s="1148">
        <f t="shared" si="225"/>
        <v>0</v>
      </c>
      <c r="H590" s="1148">
        <f t="shared" si="225"/>
        <v>0</v>
      </c>
      <c r="I590" s="1148">
        <f t="shared" si="225"/>
        <v>0</v>
      </c>
      <c r="J590" s="1148">
        <f t="shared" si="225"/>
        <v>0</v>
      </c>
      <c r="K590" s="1148">
        <f t="shared" si="225"/>
        <v>0</v>
      </c>
      <c r="L590" s="1148">
        <f t="shared" si="225"/>
        <v>0</v>
      </c>
      <c r="M590" s="1148">
        <f t="shared" si="225"/>
        <v>0</v>
      </c>
      <c r="N590" s="1148">
        <f t="shared" si="225"/>
        <v>0</v>
      </c>
      <c r="O590" s="1148">
        <f t="shared" si="225"/>
        <v>0</v>
      </c>
      <c r="Q590" s="3997"/>
    </row>
    <row r="591" spans="1:17" s="93" customFormat="1" ht="30" hidden="1" customHeight="1" outlineLevel="1" x14ac:dyDescent="0.25">
      <c r="A591" s="27"/>
      <c r="B591" s="742"/>
      <c r="C591" s="763" t="s">
        <v>1369</v>
      </c>
      <c r="D591" s="771"/>
      <c r="E591" s="780">
        <f>IFERROR(E585/E581,0)</f>
        <v>0</v>
      </c>
      <c r="F591" s="780">
        <f t="shared" ref="F591:O591" si="226">IFERROR(F585/F581,0)</f>
        <v>0</v>
      </c>
      <c r="G591" s="780">
        <f t="shared" si="226"/>
        <v>0</v>
      </c>
      <c r="H591" s="780">
        <f t="shared" si="226"/>
        <v>0</v>
      </c>
      <c r="I591" s="780">
        <f t="shared" si="226"/>
        <v>0</v>
      </c>
      <c r="J591" s="780">
        <f t="shared" si="226"/>
        <v>0</v>
      </c>
      <c r="K591" s="780">
        <f t="shared" si="226"/>
        <v>0</v>
      </c>
      <c r="L591" s="780">
        <f t="shared" si="226"/>
        <v>0</v>
      </c>
      <c r="M591" s="780">
        <f t="shared" si="226"/>
        <v>0</v>
      </c>
      <c r="N591" s="780">
        <f t="shared" si="226"/>
        <v>0</v>
      </c>
      <c r="O591" s="780">
        <f t="shared" si="226"/>
        <v>0</v>
      </c>
      <c r="Q591" s="3997"/>
    </row>
    <row r="592" spans="1:17" hidden="1" outlineLevel="1" x14ac:dyDescent="0.25">
      <c r="A592" s="27"/>
      <c r="B592" s="27"/>
      <c r="C592" s="27"/>
      <c r="D592" s="2574"/>
      <c r="E592" s="27"/>
      <c r="F592" s="27"/>
      <c r="G592" s="27"/>
      <c r="H592" s="27"/>
      <c r="I592" s="27"/>
      <c r="J592" s="27"/>
      <c r="K592" s="27"/>
      <c r="L592" s="27"/>
      <c r="M592" s="27"/>
      <c r="N592" s="27"/>
      <c r="O592" s="27"/>
    </row>
    <row r="593" spans="1:17" hidden="1" outlineLevel="1" x14ac:dyDescent="0.25">
      <c r="A593" s="195"/>
      <c r="B593" s="195"/>
      <c r="C593" s="2168" t="s">
        <v>2580</v>
      </c>
      <c r="D593" s="2566"/>
      <c r="E593" s="195"/>
      <c r="F593" s="195"/>
      <c r="G593" s="195"/>
      <c r="H593" s="195"/>
      <c r="I593" s="195"/>
      <c r="J593" s="195"/>
      <c r="K593" s="195"/>
      <c r="L593" s="195"/>
      <c r="M593" s="195"/>
      <c r="N593" s="195"/>
      <c r="O593" s="195"/>
    </row>
    <row r="594" spans="1:17" hidden="1" outlineLevel="1" x14ac:dyDescent="0.25">
      <c r="B594" s="547"/>
      <c r="C594" s="2424" t="s">
        <v>2828</v>
      </c>
      <c r="D594" s="2582"/>
      <c r="E594" s="2725"/>
      <c r="F594" s="2725"/>
      <c r="G594" s="2725"/>
      <c r="H594" s="2725"/>
      <c r="I594" s="2725"/>
      <c r="J594" s="2725"/>
      <c r="K594" s="2725"/>
      <c r="L594" s="2725"/>
      <c r="M594" s="2725"/>
      <c r="N594" s="2725"/>
      <c r="O594" s="2726"/>
    </row>
    <row r="595" spans="1:17" hidden="1" outlineLevel="1" x14ac:dyDescent="0.25">
      <c r="B595" s="2071"/>
      <c r="C595" s="48" t="s">
        <v>1401</v>
      </c>
      <c r="D595" s="2482" t="s">
        <v>18</v>
      </c>
      <c r="E595" s="2724">
        <f>IFERROR(E599/Population!E$31,0)</f>
        <v>0</v>
      </c>
      <c r="F595" s="2724">
        <f>IFERROR(F599/Population!F$31,0)</f>
        <v>0</v>
      </c>
      <c r="G595" s="2724">
        <f>IFERROR(G599/Population!G$31,0)</f>
        <v>0</v>
      </c>
      <c r="H595" s="2724">
        <f>IFERROR(H599/Population!H$31,0)</f>
        <v>0</v>
      </c>
      <c r="I595" s="2724">
        <f>IFERROR(I599/Population!I$31,0)</f>
        <v>0</v>
      </c>
      <c r="J595" s="2724">
        <f>IFERROR(J599/Population!J$31,0)</f>
        <v>0</v>
      </c>
      <c r="K595" s="2724">
        <f>IFERROR(K599/Population!K$31,0)</f>
        <v>0</v>
      </c>
      <c r="L595" s="2724">
        <f>IFERROR(L599/Population!L$31,0)</f>
        <v>0</v>
      </c>
      <c r="M595" s="2724">
        <f>IFERROR(M599/Population!M$31,0)</f>
        <v>0</v>
      </c>
      <c r="N595" s="2724">
        <f>IFERROR(N599/Population!N$31,0)</f>
        <v>0</v>
      </c>
      <c r="O595" s="2727">
        <f>IFERROR(O599/Population!O$31,0)</f>
        <v>0</v>
      </c>
    </row>
    <row r="596" spans="1:17" hidden="1" outlineLevel="1" x14ac:dyDescent="0.25">
      <c r="B596" s="2071"/>
      <c r="C596" s="48" t="s">
        <v>1402</v>
      </c>
      <c r="D596" s="2482" t="s">
        <v>18</v>
      </c>
      <c r="E596" s="2724">
        <f>IFERROR(E600/Population!E$31,0)</f>
        <v>0</v>
      </c>
      <c r="F596" s="2724">
        <f>IFERROR(F600/Population!F$31,0)</f>
        <v>0</v>
      </c>
      <c r="G596" s="2724">
        <f>IFERROR(G600/Population!G$31,0)</f>
        <v>0</v>
      </c>
      <c r="H596" s="2724">
        <f>IFERROR(H600/Population!H$31,0)</f>
        <v>0</v>
      </c>
      <c r="I596" s="2724">
        <f>IFERROR(I600/Population!I$31,0)</f>
        <v>0</v>
      </c>
      <c r="J596" s="2724">
        <f>IFERROR(J600/Population!J$31,0)</f>
        <v>0</v>
      </c>
      <c r="K596" s="2724">
        <f>IFERROR(K600/Population!K$31,0)</f>
        <v>0</v>
      </c>
      <c r="L596" s="2724">
        <f>IFERROR(L600/Population!L$31,0)</f>
        <v>0</v>
      </c>
      <c r="M596" s="2724">
        <f>IFERROR(M600/Population!M$31,0)</f>
        <v>0</v>
      </c>
      <c r="N596" s="2724">
        <f>IFERROR(N600/Population!N$31,0)</f>
        <v>0</v>
      </c>
      <c r="O596" s="2727">
        <f>IFERROR(O600/Population!O$31,0)</f>
        <v>0</v>
      </c>
    </row>
    <row r="597" spans="1:17" ht="15.75" hidden="1" customHeight="1" outlineLevel="1" x14ac:dyDescent="0.25">
      <c r="B597" s="551"/>
      <c r="C597" s="2187" t="s">
        <v>1403</v>
      </c>
      <c r="D597" s="2546" t="s">
        <v>18</v>
      </c>
      <c r="E597" s="2728">
        <f>IFERROR(E601/Population!E$31,0)</f>
        <v>0</v>
      </c>
      <c r="F597" s="2728">
        <f>IFERROR(F601/Population!F$31,0)</f>
        <v>0</v>
      </c>
      <c r="G597" s="2728">
        <f>IFERROR(G601/Population!G$31,0)</f>
        <v>0</v>
      </c>
      <c r="H597" s="2728">
        <f>IFERROR(H601/Population!H$31,0)</f>
        <v>0</v>
      </c>
      <c r="I597" s="2728">
        <f>IFERROR(I601/Population!I$31,0)</f>
        <v>0</v>
      </c>
      <c r="J597" s="2728">
        <f>IFERROR(J601/Population!J$31,0)</f>
        <v>0</v>
      </c>
      <c r="K597" s="2728">
        <f>IFERROR(K601/Population!K$31,0)</f>
        <v>0</v>
      </c>
      <c r="L597" s="2728">
        <f>IFERROR(L601/Population!L$31,0)</f>
        <v>0</v>
      </c>
      <c r="M597" s="2728">
        <f>IFERROR(M601/Population!M$31,0)</f>
        <v>0</v>
      </c>
      <c r="N597" s="2728">
        <f>IFERROR(N601/Population!N$31,0)</f>
        <v>0</v>
      </c>
      <c r="O597" s="2729">
        <f>IFERROR(O601/Population!O$31,0)</f>
        <v>0</v>
      </c>
    </row>
    <row r="598" spans="1:17" ht="15.75" hidden="1" customHeight="1" outlineLevel="1" x14ac:dyDescent="0.25">
      <c r="B598" s="547"/>
      <c r="C598" s="2424" t="s">
        <v>689</v>
      </c>
      <c r="D598" s="2582"/>
      <c r="E598" s="2725"/>
      <c r="F598" s="2725"/>
      <c r="G598" s="2725"/>
      <c r="H598" s="2725"/>
      <c r="I598" s="2725"/>
      <c r="J598" s="2725"/>
      <c r="K598" s="2725"/>
      <c r="L598" s="2725"/>
      <c r="M598" s="2725"/>
      <c r="N598" s="2725"/>
      <c r="O598" s="2726"/>
    </row>
    <row r="599" spans="1:17" hidden="1" outlineLevel="1" x14ac:dyDescent="0.25">
      <c r="B599" s="2071"/>
      <c r="C599" s="48" t="s">
        <v>1404</v>
      </c>
      <c r="D599" s="2482"/>
      <c r="E599" s="2267">
        <f>E478+E479</f>
        <v>0</v>
      </c>
      <c r="F599" s="2267">
        <f t="shared" ref="F599:O599" si="227">F478+F479</f>
        <v>0</v>
      </c>
      <c r="G599" s="2267">
        <f t="shared" si="227"/>
        <v>0</v>
      </c>
      <c r="H599" s="2267">
        <f t="shared" si="227"/>
        <v>0</v>
      </c>
      <c r="I599" s="2267">
        <f t="shared" si="227"/>
        <v>0</v>
      </c>
      <c r="J599" s="2267">
        <f t="shared" si="227"/>
        <v>0</v>
      </c>
      <c r="K599" s="2267">
        <f t="shared" si="227"/>
        <v>0</v>
      </c>
      <c r="L599" s="2267">
        <f t="shared" si="227"/>
        <v>0</v>
      </c>
      <c r="M599" s="2267">
        <f t="shared" si="227"/>
        <v>0</v>
      </c>
      <c r="N599" s="2267">
        <f t="shared" si="227"/>
        <v>0</v>
      </c>
      <c r="O599" s="2468">
        <f t="shared" si="227"/>
        <v>0</v>
      </c>
    </row>
    <row r="600" spans="1:17" hidden="1" outlineLevel="1" x14ac:dyDescent="0.25">
      <c r="B600" s="2071"/>
      <c r="C600" s="48" t="s">
        <v>1405</v>
      </c>
      <c r="D600" s="2482"/>
      <c r="E600" s="2267">
        <f>E370+E371</f>
        <v>0</v>
      </c>
      <c r="F600" s="2267">
        <f t="shared" ref="F600:O600" si="228">F370+F371</f>
        <v>0</v>
      </c>
      <c r="G600" s="2267">
        <f t="shared" si="228"/>
        <v>0</v>
      </c>
      <c r="H600" s="2267">
        <f t="shared" si="228"/>
        <v>0</v>
      </c>
      <c r="I600" s="2267">
        <f t="shared" si="228"/>
        <v>0</v>
      </c>
      <c r="J600" s="2267">
        <f t="shared" si="228"/>
        <v>0</v>
      </c>
      <c r="K600" s="2267">
        <f t="shared" si="228"/>
        <v>0</v>
      </c>
      <c r="L600" s="2267">
        <f t="shared" si="228"/>
        <v>0</v>
      </c>
      <c r="M600" s="2267">
        <f t="shared" si="228"/>
        <v>0</v>
      </c>
      <c r="N600" s="2267">
        <f t="shared" si="228"/>
        <v>0</v>
      </c>
      <c r="O600" s="2468">
        <f t="shared" si="228"/>
        <v>0</v>
      </c>
    </row>
    <row r="601" spans="1:17" hidden="1" outlineLevel="1" x14ac:dyDescent="0.25">
      <c r="B601" s="551"/>
      <c r="C601" s="2187" t="s">
        <v>1406</v>
      </c>
      <c r="D601" s="2546"/>
      <c r="E601" s="2277">
        <f>E318+E319</f>
        <v>424</v>
      </c>
      <c r="F601" s="2277">
        <f t="shared" ref="F601:O601" si="229">F318+F319</f>
        <v>1926.6000000000001</v>
      </c>
      <c r="G601" s="2277">
        <f t="shared" si="229"/>
        <v>3429.2000000000003</v>
      </c>
      <c r="H601" s="2277">
        <f t="shared" si="229"/>
        <v>4931.8</v>
      </c>
      <c r="I601" s="2277">
        <f t="shared" si="229"/>
        <v>6434.4000000000005</v>
      </c>
      <c r="J601" s="2277">
        <f t="shared" si="229"/>
        <v>7937</v>
      </c>
      <c r="K601" s="2277">
        <f t="shared" si="229"/>
        <v>7937</v>
      </c>
      <c r="L601" s="2277">
        <f t="shared" si="229"/>
        <v>7937</v>
      </c>
      <c r="M601" s="2277">
        <f t="shared" si="229"/>
        <v>7937</v>
      </c>
      <c r="N601" s="2277">
        <f t="shared" si="229"/>
        <v>7937</v>
      </c>
      <c r="O601" s="5198">
        <f t="shared" si="229"/>
        <v>7937</v>
      </c>
    </row>
    <row r="602" spans="1:17" hidden="1" outlineLevel="1" x14ac:dyDescent="0.25">
      <c r="B602" s="547"/>
      <c r="C602" s="2424" t="s">
        <v>2829</v>
      </c>
      <c r="D602" s="2582"/>
      <c r="E602" s="2269"/>
      <c r="F602" s="2269"/>
      <c r="G602" s="2269"/>
      <c r="H602" s="2269"/>
      <c r="I602" s="2269"/>
      <c r="J602" s="2269"/>
      <c r="K602" s="2269"/>
      <c r="L602" s="2269"/>
      <c r="M602" s="2269"/>
      <c r="N602" s="2269"/>
      <c r="O602" s="2274"/>
    </row>
    <row r="603" spans="1:17" hidden="1" outlineLevel="1" x14ac:dyDescent="0.25">
      <c r="B603" s="2071"/>
      <c r="C603" s="48" t="s">
        <v>2555</v>
      </c>
      <c r="D603" s="2482"/>
      <c r="E603" s="2730">
        <f t="shared" ref="E603:N603" si="230">E587</f>
        <v>0</v>
      </c>
      <c r="F603" s="2730">
        <f t="shared" si="230"/>
        <v>0</v>
      </c>
      <c r="G603" s="2730">
        <f t="shared" si="230"/>
        <v>0</v>
      </c>
      <c r="H603" s="2730">
        <f t="shared" si="230"/>
        <v>0</v>
      </c>
      <c r="I603" s="2730">
        <f t="shared" si="230"/>
        <v>0</v>
      </c>
      <c r="J603" s="2730">
        <f t="shared" si="230"/>
        <v>0</v>
      </c>
      <c r="K603" s="2730">
        <f t="shared" si="230"/>
        <v>0</v>
      </c>
      <c r="L603" s="2730">
        <f t="shared" si="230"/>
        <v>0</v>
      </c>
      <c r="M603" s="2730">
        <f t="shared" si="230"/>
        <v>0</v>
      </c>
      <c r="N603" s="2730">
        <f t="shared" si="230"/>
        <v>0</v>
      </c>
      <c r="O603" s="2731">
        <f>O587</f>
        <v>0</v>
      </c>
    </row>
    <row r="604" spans="1:17" hidden="1" outlineLevel="1" x14ac:dyDescent="0.25">
      <c r="B604" s="2071"/>
      <c r="C604" s="48" t="s">
        <v>2556</v>
      </c>
      <c r="D604" s="2482"/>
      <c r="E604" s="2730">
        <f t="shared" ref="E604:O604" si="231">E$581*E596</f>
        <v>0</v>
      </c>
      <c r="F604" s="2730">
        <f t="shared" si="231"/>
        <v>0</v>
      </c>
      <c r="G604" s="2730">
        <f t="shared" si="231"/>
        <v>0</v>
      </c>
      <c r="H604" s="2730">
        <f t="shared" si="231"/>
        <v>0</v>
      </c>
      <c r="I604" s="2730">
        <f t="shared" si="231"/>
        <v>0</v>
      </c>
      <c r="J604" s="2730">
        <f t="shared" si="231"/>
        <v>0</v>
      </c>
      <c r="K604" s="2730">
        <f t="shared" si="231"/>
        <v>0</v>
      </c>
      <c r="L604" s="2730">
        <f t="shared" si="231"/>
        <v>0</v>
      </c>
      <c r="M604" s="2730">
        <f t="shared" si="231"/>
        <v>0</v>
      </c>
      <c r="N604" s="2730">
        <f t="shared" si="231"/>
        <v>0</v>
      </c>
      <c r="O604" s="2731">
        <f t="shared" si="231"/>
        <v>0</v>
      </c>
    </row>
    <row r="605" spans="1:17" hidden="1" outlineLevel="1" x14ac:dyDescent="0.25">
      <c r="B605" s="2071"/>
      <c r="C605" s="48" t="s">
        <v>2557</v>
      </c>
      <c r="D605" s="2482"/>
      <c r="E605" s="2730">
        <f t="shared" ref="E605:O605" si="232">E$581*E597</f>
        <v>0</v>
      </c>
      <c r="F605" s="2730">
        <f t="shared" si="232"/>
        <v>0</v>
      </c>
      <c r="G605" s="2730">
        <f t="shared" si="232"/>
        <v>0</v>
      </c>
      <c r="H605" s="2730">
        <f t="shared" si="232"/>
        <v>0</v>
      </c>
      <c r="I605" s="2730">
        <f t="shared" si="232"/>
        <v>0</v>
      </c>
      <c r="J605" s="2730">
        <f t="shared" si="232"/>
        <v>0</v>
      </c>
      <c r="K605" s="2730">
        <f t="shared" si="232"/>
        <v>0</v>
      </c>
      <c r="L605" s="2730">
        <f t="shared" si="232"/>
        <v>0</v>
      </c>
      <c r="M605" s="2730">
        <f t="shared" si="232"/>
        <v>0</v>
      </c>
      <c r="N605" s="2730">
        <f t="shared" si="232"/>
        <v>0</v>
      </c>
      <c r="O605" s="2731">
        <f t="shared" si="232"/>
        <v>0</v>
      </c>
    </row>
    <row r="606" spans="1:17" s="49" customFormat="1" hidden="1" outlineLevel="1" x14ac:dyDescent="0.25">
      <c r="A606" s="63"/>
      <c r="B606" s="2067"/>
      <c r="C606" s="2660" t="s">
        <v>2554</v>
      </c>
      <c r="D606" s="2734" t="s">
        <v>16</v>
      </c>
      <c r="E606" s="2735">
        <f t="shared" ref="E606:O606" si="233">MIN(SUM(E603:E605),(E604+E605+E585))</f>
        <v>0</v>
      </c>
      <c r="F606" s="2735">
        <f t="shared" si="233"/>
        <v>0</v>
      </c>
      <c r="G606" s="2735">
        <f t="shared" si="233"/>
        <v>0</v>
      </c>
      <c r="H606" s="2735">
        <f t="shared" si="233"/>
        <v>0</v>
      </c>
      <c r="I606" s="2735">
        <f t="shared" si="233"/>
        <v>0</v>
      </c>
      <c r="J606" s="2735">
        <f>MIN(SUM(J603:J605),(J604+J605+J585))</f>
        <v>0</v>
      </c>
      <c r="K606" s="2735">
        <f t="shared" si="233"/>
        <v>0</v>
      </c>
      <c r="L606" s="2735">
        <f t="shared" si="233"/>
        <v>0</v>
      </c>
      <c r="M606" s="2735">
        <f t="shared" si="233"/>
        <v>0</v>
      </c>
      <c r="N606" s="2735">
        <f t="shared" si="233"/>
        <v>0</v>
      </c>
      <c r="O606" s="2736">
        <f t="shared" si="233"/>
        <v>0</v>
      </c>
      <c r="Q606" s="3993"/>
    </row>
    <row r="607" spans="1:17" s="52" customFormat="1" ht="30" hidden="1" outlineLevel="1" x14ac:dyDescent="0.25">
      <c r="A607" s="143"/>
      <c r="B607" s="625"/>
      <c r="C607" s="2737" t="s">
        <v>2631</v>
      </c>
      <c r="D607" s="2546"/>
      <c r="E607" s="2708">
        <f t="shared" ref="E607:O607" si="234">MAX(E581-E585-E604-E605,0)</f>
        <v>0</v>
      </c>
      <c r="F607" s="2708">
        <f t="shared" si="234"/>
        <v>0</v>
      </c>
      <c r="G607" s="2708">
        <f t="shared" si="234"/>
        <v>0</v>
      </c>
      <c r="H607" s="2708">
        <f t="shared" si="234"/>
        <v>0</v>
      </c>
      <c r="I607" s="2708">
        <f t="shared" si="234"/>
        <v>0</v>
      </c>
      <c r="J607" s="2708">
        <f t="shared" si="234"/>
        <v>0</v>
      </c>
      <c r="K607" s="2708">
        <f t="shared" si="234"/>
        <v>0</v>
      </c>
      <c r="L607" s="2708">
        <f t="shared" si="234"/>
        <v>0</v>
      </c>
      <c r="M607" s="2708">
        <f t="shared" si="234"/>
        <v>0</v>
      </c>
      <c r="N607" s="2708">
        <f t="shared" si="234"/>
        <v>0</v>
      </c>
      <c r="O607" s="2709">
        <f t="shared" si="234"/>
        <v>0</v>
      </c>
      <c r="Q607" s="3987"/>
    </row>
    <row r="608" spans="1:17" s="80" customFormat="1" ht="47.25" hidden="1" customHeight="1" outlineLevel="1" x14ac:dyDescent="0.25">
      <c r="A608" s="762"/>
      <c r="B608" s="3179"/>
      <c r="C608" s="2279" t="s">
        <v>2903</v>
      </c>
      <c r="D608" s="3180" t="s">
        <v>2877</v>
      </c>
      <c r="E608" s="5512">
        <f>IFERROR(SUMPRODUCT(E595:E597,E599:E601)/SUM(E599:E601),0)</f>
        <v>0</v>
      </c>
      <c r="F608" s="5512">
        <f>IFERROR(SUMPRODUCT(F595:F597,F599:F601)/SUM(F599:F601),0)</f>
        <v>0</v>
      </c>
      <c r="G608" s="5512">
        <f t="shared" ref="G608:H608" si="235">IFERROR(SUMPRODUCT(G595:G597,G599:G601)/SUM(G599:G601),0)</f>
        <v>0</v>
      </c>
      <c r="H608" s="5512">
        <f t="shared" si="235"/>
        <v>0</v>
      </c>
      <c r="I608" s="5512">
        <f>IFERROR(SUMPRODUCT(I595:I597,I599:I601)/SUM(I599:I601),0)</f>
        <v>0</v>
      </c>
      <c r="J608" s="5512">
        <f>IFERROR(SUMPRODUCT(J595:J597,J599:J601)/SUM(J599:J601),0)</f>
        <v>0</v>
      </c>
      <c r="K608" s="5512">
        <f t="shared" ref="K608:O608" si="236">IFERROR(SUMPRODUCT(K595:K597,K599:K601)/SUM(K599:K601),0)</f>
        <v>0</v>
      </c>
      <c r="L608" s="5512">
        <f t="shared" si="236"/>
        <v>0</v>
      </c>
      <c r="M608" s="5512">
        <f t="shared" si="236"/>
        <v>0</v>
      </c>
      <c r="N608" s="5512">
        <f t="shared" si="236"/>
        <v>0</v>
      </c>
      <c r="O608" s="5512">
        <f t="shared" si="236"/>
        <v>0</v>
      </c>
      <c r="P608" s="5522" t="s">
        <v>3107</v>
      </c>
      <c r="Q608" s="3997"/>
    </row>
    <row r="609" spans="1:17" s="80" customFormat="1" ht="30" hidden="1" outlineLevel="1" x14ac:dyDescent="0.25">
      <c r="A609" s="762"/>
      <c r="B609" s="3181"/>
      <c r="C609" s="763" t="s">
        <v>3105</v>
      </c>
      <c r="D609" s="764"/>
      <c r="E609" s="5513">
        <f>MIN(IFERROR(E606/E581,0),100%)</f>
        <v>0</v>
      </c>
      <c r="F609" s="5513">
        <f t="shared" ref="F609:O609" si="237">MIN(IFERROR(F606/F581,0),100%)</f>
        <v>0</v>
      </c>
      <c r="G609" s="5513">
        <f t="shared" si="237"/>
        <v>0</v>
      </c>
      <c r="H609" s="5513">
        <f t="shared" si="237"/>
        <v>0</v>
      </c>
      <c r="I609" s="5513">
        <f t="shared" si="237"/>
        <v>0</v>
      </c>
      <c r="J609" s="5513">
        <f t="shared" si="237"/>
        <v>0</v>
      </c>
      <c r="K609" s="5513">
        <f t="shared" si="237"/>
        <v>0</v>
      </c>
      <c r="L609" s="5513">
        <f t="shared" si="237"/>
        <v>0</v>
      </c>
      <c r="M609" s="5513">
        <f t="shared" si="237"/>
        <v>0</v>
      </c>
      <c r="N609" s="5513">
        <f t="shared" si="237"/>
        <v>0</v>
      </c>
      <c r="O609" s="5513">
        <f t="shared" si="237"/>
        <v>0</v>
      </c>
      <c r="P609" s="5522" t="s">
        <v>3108</v>
      </c>
      <c r="Q609" s="3997"/>
    </row>
    <row r="610" spans="1:17" hidden="1" outlineLevel="1" x14ac:dyDescent="0.25">
      <c r="E610" s="5523">
        <f>SUMPRODUCT(E595:E597,E599:E601)</f>
        <v>0</v>
      </c>
      <c r="F610" s="5523">
        <f t="shared" ref="F610:O610" si="238">SUMPRODUCT(F595:F597,F599:F601)</f>
        <v>0</v>
      </c>
      <c r="G610" s="5523">
        <f t="shared" si="238"/>
        <v>0</v>
      </c>
      <c r="H610" s="5523">
        <f t="shared" si="238"/>
        <v>0</v>
      </c>
      <c r="I610" s="5523">
        <f t="shared" si="238"/>
        <v>0</v>
      </c>
      <c r="J610" s="5523">
        <f t="shared" si="238"/>
        <v>0</v>
      </c>
      <c r="K610" s="5523">
        <f t="shared" si="238"/>
        <v>0</v>
      </c>
      <c r="L610" s="5523">
        <f t="shared" si="238"/>
        <v>0</v>
      </c>
      <c r="M610" s="5523">
        <f t="shared" si="238"/>
        <v>0</v>
      </c>
      <c r="N610" s="5523">
        <f t="shared" si="238"/>
        <v>0</v>
      </c>
      <c r="O610" s="5523">
        <f t="shared" si="238"/>
        <v>0</v>
      </c>
    </row>
    <row r="611" spans="1:17" hidden="1" outlineLevel="1" x14ac:dyDescent="0.25">
      <c r="E611" s="5524">
        <f>SUM(E599:E601)</f>
        <v>424</v>
      </c>
      <c r="F611" s="5524">
        <f t="shared" ref="F611:O611" si="239">SUM(F599:F601)</f>
        <v>1926.6000000000001</v>
      </c>
      <c r="G611" s="5524">
        <f t="shared" si="239"/>
        <v>3429.2000000000003</v>
      </c>
      <c r="H611" s="5524">
        <f t="shared" si="239"/>
        <v>4931.8</v>
      </c>
      <c r="I611" s="5524">
        <f t="shared" si="239"/>
        <v>6434.4000000000005</v>
      </c>
      <c r="J611" s="5524">
        <f t="shared" si="239"/>
        <v>7937</v>
      </c>
      <c r="K611" s="5524">
        <f t="shared" si="239"/>
        <v>7937</v>
      </c>
      <c r="L611" s="5524">
        <f t="shared" si="239"/>
        <v>7937</v>
      </c>
      <c r="M611" s="5524">
        <f t="shared" si="239"/>
        <v>7937</v>
      </c>
      <c r="N611" s="5524">
        <f t="shared" si="239"/>
        <v>7937</v>
      </c>
      <c r="O611" s="5524">
        <f t="shared" si="239"/>
        <v>7937</v>
      </c>
    </row>
    <row r="612" spans="1:17" hidden="1" outlineLevel="1" x14ac:dyDescent="0.25">
      <c r="E612" s="5525">
        <f>E610/E611</f>
        <v>0</v>
      </c>
      <c r="F612" s="5525">
        <f t="shared" ref="F612:O612" si="240">F610/F611</f>
        <v>0</v>
      </c>
      <c r="G612" s="5525">
        <f t="shared" si="240"/>
        <v>0</v>
      </c>
      <c r="H612" s="5525">
        <f t="shared" si="240"/>
        <v>0</v>
      </c>
      <c r="I612" s="5525">
        <f t="shared" si="240"/>
        <v>0</v>
      </c>
      <c r="J612" s="5525">
        <f t="shared" si="240"/>
        <v>0</v>
      </c>
      <c r="K612" s="5525">
        <f t="shared" si="240"/>
        <v>0</v>
      </c>
      <c r="L612" s="5525">
        <f t="shared" si="240"/>
        <v>0</v>
      </c>
      <c r="M612" s="5525">
        <f t="shared" si="240"/>
        <v>0</v>
      </c>
      <c r="N612" s="5525">
        <f t="shared" si="240"/>
        <v>0</v>
      </c>
      <c r="O612" s="5525">
        <f t="shared" si="240"/>
        <v>0</v>
      </c>
    </row>
    <row r="613" spans="1:17" hidden="1" outlineLevel="1" x14ac:dyDescent="0.25">
      <c r="E613" s="5525"/>
      <c r="F613" s="5525"/>
      <c r="G613" s="5525"/>
      <c r="H613" s="5525"/>
      <c r="I613" s="5526">
        <f>I595*I599+I596*I600+I597*I601</f>
        <v>0</v>
      </c>
      <c r="J613" s="5526">
        <f>J595*J599+J596*J600+J597*J601</f>
        <v>0</v>
      </c>
      <c r="K613" s="5525"/>
      <c r="L613" s="5525"/>
      <c r="M613" s="5525"/>
      <c r="N613" s="5525"/>
      <c r="O613" s="5525"/>
    </row>
    <row r="614" spans="1:17" hidden="1" outlineLevel="1" x14ac:dyDescent="0.25">
      <c r="E614" s="5525">
        <f t="shared" ref="E614:O614" si="241">SUM(E595:E597)</f>
        <v>0</v>
      </c>
      <c r="F614" s="5525">
        <f t="shared" si="241"/>
        <v>0</v>
      </c>
      <c r="G614" s="5525">
        <f t="shared" si="241"/>
        <v>0</v>
      </c>
      <c r="H614" s="5525">
        <f t="shared" si="241"/>
        <v>0</v>
      </c>
      <c r="I614" s="5525">
        <f t="shared" si="241"/>
        <v>0</v>
      </c>
      <c r="J614" s="5525">
        <f t="shared" si="241"/>
        <v>0</v>
      </c>
      <c r="K614" s="5525">
        <f t="shared" si="241"/>
        <v>0</v>
      </c>
      <c r="L614" s="5525">
        <f t="shared" si="241"/>
        <v>0</v>
      </c>
      <c r="M614" s="5525">
        <f t="shared" si="241"/>
        <v>0</v>
      </c>
      <c r="N614" s="5525">
        <f t="shared" si="241"/>
        <v>0</v>
      </c>
      <c r="O614" s="5525">
        <f t="shared" si="241"/>
        <v>0</v>
      </c>
    </row>
    <row r="615" spans="1:17" hidden="1" outlineLevel="1" x14ac:dyDescent="0.25">
      <c r="E615" s="5524">
        <f t="shared" ref="E615:O615" si="242">SUM(E599:E601)</f>
        <v>424</v>
      </c>
      <c r="F615" s="5524">
        <f t="shared" si="242"/>
        <v>1926.6000000000001</v>
      </c>
      <c r="G615" s="5524">
        <f t="shared" si="242"/>
        <v>3429.2000000000003</v>
      </c>
      <c r="H615" s="5524">
        <f t="shared" si="242"/>
        <v>4931.8</v>
      </c>
      <c r="I615" s="5524">
        <f t="shared" si="242"/>
        <v>6434.4000000000005</v>
      </c>
      <c r="J615" s="5524">
        <f t="shared" si="242"/>
        <v>7937</v>
      </c>
      <c r="K615" s="5524">
        <f t="shared" si="242"/>
        <v>7937</v>
      </c>
      <c r="L615" s="5524">
        <f t="shared" si="242"/>
        <v>7937</v>
      </c>
      <c r="M615" s="5524">
        <f t="shared" si="242"/>
        <v>7937</v>
      </c>
      <c r="N615" s="5524">
        <f t="shared" si="242"/>
        <v>7937</v>
      </c>
      <c r="O615" s="5524">
        <f t="shared" si="242"/>
        <v>7937</v>
      </c>
    </row>
    <row r="616" spans="1:17" hidden="1" outlineLevel="1" x14ac:dyDescent="0.25">
      <c r="E616" s="5527">
        <f>E614*E615</f>
        <v>0</v>
      </c>
      <c r="F616" s="5527">
        <f t="shared" ref="F616:O616" si="243">F614*F615</f>
        <v>0</v>
      </c>
      <c r="G616" s="5527">
        <f t="shared" si="243"/>
        <v>0</v>
      </c>
      <c r="H616" s="5527">
        <f t="shared" si="243"/>
        <v>0</v>
      </c>
      <c r="I616" s="5527">
        <f t="shared" si="243"/>
        <v>0</v>
      </c>
      <c r="J616" s="5527">
        <f t="shared" si="243"/>
        <v>0</v>
      </c>
      <c r="K616" s="5527">
        <f t="shared" si="243"/>
        <v>0</v>
      </c>
      <c r="L616" s="5527">
        <f t="shared" si="243"/>
        <v>0</v>
      </c>
      <c r="M616" s="5527">
        <f t="shared" si="243"/>
        <v>0</v>
      </c>
      <c r="N616" s="5527">
        <f t="shared" si="243"/>
        <v>0</v>
      </c>
      <c r="O616" s="5527">
        <f t="shared" si="243"/>
        <v>0</v>
      </c>
    </row>
    <row r="617" spans="1:17" hidden="1" outlineLevel="1" x14ac:dyDescent="0.25">
      <c r="E617" s="5525">
        <f>E616/E615</f>
        <v>0</v>
      </c>
      <c r="F617" s="5525">
        <f t="shared" ref="F617:O617" si="244">F616/F615</f>
        <v>0</v>
      </c>
      <c r="G617" s="5525">
        <f t="shared" si="244"/>
        <v>0</v>
      </c>
      <c r="H617" s="5525">
        <f t="shared" si="244"/>
        <v>0</v>
      </c>
      <c r="I617" s="5525">
        <f t="shared" si="244"/>
        <v>0</v>
      </c>
      <c r="J617" s="5525">
        <f t="shared" si="244"/>
        <v>0</v>
      </c>
      <c r="K617" s="5525">
        <f t="shared" si="244"/>
        <v>0</v>
      </c>
      <c r="L617" s="5525">
        <f t="shared" si="244"/>
        <v>0</v>
      </c>
      <c r="M617" s="5525">
        <f t="shared" si="244"/>
        <v>0</v>
      </c>
      <c r="N617" s="5525">
        <f t="shared" si="244"/>
        <v>0</v>
      </c>
      <c r="O617" s="5525">
        <f t="shared" si="244"/>
        <v>0</v>
      </c>
    </row>
    <row r="618" spans="1:17" hidden="1" outlineLevel="1" x14ac:dyDescent="0.25">
      <c r="E618" s="38"/>
      <c r="F618" s="38"/>
      <c r="G618" s="38"/>
      <c r="H618" s="38"/>
      <c r="I618" s="38"/>
      <c r="J618" s="38"/>
      <c r="K618" s="38"/>
      <c r="L618" s="38"/>
      <c r="M618" s="38"/>
      <c r="N618" s="38"/>
      <c r="O618" s="38"/>
    </row>
    <row r="619" spans="1:17" hidden="1" outlineLevel="1" x14ac:dyDescent="0.25">
      <c r="A619" s="195"/>
      <c r="B619" s="195"/>
      <c r="C619" s="2168" t="s">
        <v>2582</v>
      </c>
      <c r="D619" s="2566"/>
      <c r="E619" s="195"/>
      <c r="F619" s="195"/>
      <c r="G619" s="195"/>
      <c r="H619" s="195"/>
      <c r="I619" s="195"/>
      <c r="J619" s="195"/>
      <c r="K619" s="195"/>
      <c r="L619" s="195"/>
      <c r="M619" s="195"/>
      <c r="N619" s="195"/>
      <c r="O619" s="195"/>
    </row>
    <row r="620" spans="1:17" s="2197" customFormat="1" hidden="1" outlineLevel="1" x14ac:dyDescent="0.25">
      <c r="C620" s="2250"/>
      <c r="D620" s="2251" t="s">
        <v>2622</v>
      </c>
      <c r="E620" s="2251" t="s">
        <v>2623</v>
      </c>
      <c r="F620" s="2251" t="s">
        <v>2624</v>
      </c>
      <c r="G620" s="2251" t="s">
        <v>2625</v>
      </c>
      <c r="H620" s="2250"/>
      <c r="I620" s="2171" t="s">
        <v>2612</v>
      </c>
      <c r="J620" s="2250"/>
      <c r="K620" s="2250"/>
      <c r="L620" s="2252"/>
      <c r="M620" s="2934">
        <f>0.23</f>
        <v>0.23</v>
      </c>
      <c r="N620" s="2171" t="s">
        <v>2613</v>
      </c>
      <c r="Q620" s="4004"/>
    </row>
    <row r="621" spans="1:17" hidden="1" outlineLevel="1" x14ac:dyDescent="0.25">
      <c r="A621" s="27"/>
      <c r="B621" s="27"/>
      <c r="C621" s="2152" t="s">
        <v>2621</v>
      </c>
      <c r="D621" s="2251">
        <f>IFERROR('WSS Profile'!F269/'WSS Profile'!F268,0)</f>
        <v>5</v>
      </c>
      <c r="E621" s="2253">
        <f>IFERROR('WW Plan'!H313/'WW Plan'!H312,0)</f>
        <v>3.5</v>
      </c>
      <c r="F621" s="2253">
        <f>IFERROR('WSS Profile'!G269/'WSS Profile'!G268,0)</f>
        <v>0</v>
      </c>
      <c r="G621" s="2253">
        <f>IFERROR('WW Plan'!H317/'WW Plan'!H316,0)</f>
        <v>0</v>
      </c>
      <c r="H621" s="1032"/>
      <c r="I621" s="2171" t="s">
        <v>2614</v>
      </c>
      <c r="J621" s="1032"/>
      <c r="K621" s="1032"/>
      <c r="L621" s="2254"/>
      <c r="M621" s="2934">
        <f>'WSS Profile'!F263</f>
        <v>3</v>
      </c>
      <c r="N621" s="2171" t="s">
        <v>2616</v>
      </c>
    </row>
    <row r="622" spans="1:17" hidden="1" outlineLevel="1" x14ac:dyDescent="0.25">
      <c r="A622" s="27"/>
      <c r="B622" s="27"/>
      <c r="C622" s="2152" t="s">
        <v>2619</v>
      </c>
      <c r="D622" s="2251">
        <f>IF(D621&gt;5,2,1)</f>
        <v>1</v>
      </c>
      <c r="E622" s="2253">
        <f>IF(E621&gt;5,2,1)</f>
        <v>1</v>
      </c>
      <c r="F622" s="2253">
        <f>IF(F621&gt;5,2,1)</f>
        <v>1</v>
      </c>
      <c r="G622" s="2253">
        <f>IF(G621&gt;5,2,1)</f>
        <v>1</v>
      </c>
      <c r="H622" s="1032"/>
      <c r="I622" s="2171" t="s">
        <v>2615</v>
      </c>
      <c r="J622" s="1032"/>
      <c r="K622" s="1032"/>
      <c r="L622" s="2254"/>
      <c r="M622" s="2935">
        <f>'WSS Profile'!F264</f>
        <v>1</v>
      </c>
      <c r="N622" s="2171"/>
    </row>
    <row r="623" spans="1:17" hidden="1" outlineLevel="1" x14ac:dyDescent="0.25">
      <c r="A623" s="27"/>
      <c r="B623" s="27"/>
      <c r="C623" s="1032"/>
      <c r="D623" s="2575"/>
      <c r="E623" s="1076"/>
      <c r="F623" s="2254"/>
      <c r="G623" s="2254"/>
      <c r="H623" s="2254"/>
      <c r="I623" s="2171" t="s">
        <v>2655</v>
      </c>
      <c r="J623" s="2254"/>
      <c r="K623" s="2254"/>
      <c r="L623" s="2254"/>
      <c r="M623" s="2935">
        <v>300</v>
      </c>
      <c r="N623" s="2254"/>
    </row>
    <row r="624" spans="1:17" hidden="1" outlineLevel="1" x14ac:dyDescent="0.25">
      <c r="A624" s="27"/>
      <c r="B624" s="27"/>
      <c r="C624" s="1032"/>
      <c r="D624" s="2575"/>
      <c r="E624" s="1076"/>
      <c r="F624" s="2254"/>
      <c r="G624" s="2254"/>
      <c r="H624" s="2254"/>
      <c r="I624" s="2171" t="s">
        <v>2699</v>
      </c>
      <c r="J624" s="2254"/>
      <c r="K624" s="2254"/>
      <c r="L624" s="2254"/>
      <c r="M624" s="2935">
        <f>ROUND(M623/12,0)</f>
        <v>25</v>
      </c>
      <c r="N624" s="2254"/>
    </row>
    <row r="625" spans="1:17" hidden="1" outlineLevel="1" x14ac:dyDescent="0.25">
      <c r="A625" s="27"/>
      <c r="B625" s="27"/>
      <c r="C625" s="676" t="s">
        <v>2640</v>
      </c>
      <c r="D625" s="1251"/>
      <c r="E625" s="2193"/>
      <c r="F625" s="2171"/>
      <c r="G625" s="663"/>
      <c r="J625" s="27"/>
      <c r="K625" s="27"/>
      <c r="L625" s="27"/>
      <c r="M625" s="27"/>
      <c r="N625" s="27"/>
      <c r="O625" s="27"/>
    </row>
    <row r="626" spans="1:17" hidden="1" outlineLevel="1" x14ac:dyDescent="0.25">
      <c r="A626" s="27"/>
      <c r="B626" s="27"/>
      <c r="C626" s="2211" t="s">
        <v>2599</v>
      </c>
      <c r="D626" s="2492"/>
      <c r="E626" s="2188">
        <f t="shared" ref="E626:O626" si="245">E316+E317+E368+E369+E256+E257</f>
        <v>4429</v>
      </c>
      <c r="F626" s="2188">
        <f t="shared" si="245"/>
        <v>5088</v>
      </c>
      <c r="G626" s="2188">
        <f t="shared" si="245"/>
        <v>5747</v>
      </c>
      <c r="H626" s="2188">
        <f t="shared" si="245"/>
        <v>6406</v>
      </c>
      <c r="I626" s="2188">
        <f t="shared" si="245"/>
        <v>7065.0000000000009</v>
      </c>
      <c r="J626" s="2188">
        <f t="shared" si="245"/>
        <v>7937</v>
      </c>
      <c r="K626" s="2188">
        <f t="shared" si="245"/>
        <v>7937</v>
      </c>
      <c r="L626" s="2188">
        <f t="shared" si="245"/>
        <v>7937</v>
      </c>
      <c r="M626" s="2188">
        <f t="shared" si="245"/>
        <v>7937</v>
      </c>
      <c r="N626" s="2188">
        <f t="shared" si="245"/>
        <v>7937</v>
      </c>
      <c r="O626" s="5175">
        <f t="shared" si="245"/>
        <v>7937</v>
      </c>
    </row>
    <row r="627" spans="1:17" hidden="1" outlineLevel="1" x14ac:dyDescent="0.25">
      <c r="A627" s="27"/>
      <c r="B627" s="27"/>
      <c r="C627" s="2212" t="s">
        <v>2617</v>
      </c>
      <c r="D627" s="2251"/>
      <c r="E627" s="2100">
        <f>IFERROR(ROUND(E626/$M$621,0),0)</f>
        <v>1476</v>
      </c>
      <c r="F627" s="2100">
        <f>IFERROR(ROUND(F626/$M$621,0),0)</f>
        <v>1696</v>
      </c>
      <c r="G627" s="2100">
        <f t="shared" ref="G627:O627" si="246">IFERROR(ROUND(G626/$M$621,0),0)</f>
        <v>1916</v>
      </c>
      <c r="H627" s="2100">
        <f t="shared" si="246"/>
        <v>2135</v>
      </c>
      <c r="I627" s="2100">
        <f t="shared" si="246"/>
        <v>2355</v>
      </c>
      <c r="J627" s="2100">
        <f>IFERROR(ROUND(J626/$M$621,0),0)</f>
        <v>2646</v>
      </c>
      <c r="K627" s="2100">
        <f t="shared" si="246"/>
        <v>2646</v>
      </c>
      <c r="L627" s="2100">
        <f t="shared" si="246"/>
        <v>2646</v>
      </c>
      <c r="M627" s="2100">
        <f t="shared" si="246"/>
        <v>2646</v>
      </c>
      <c r="N627" s="2100">
        <f t="shared" si="246"/>
        <v>2646</v>
      </c>
      <c r="O627" s="2101">
        <f t="shared" si="246"/>
        <v>2646</v>
      </c>
    </row>
    <row r="628" spans="1:17" s="305" customFormat="1" hidden="1" outlineLevel="1" x14ac:dyDescent="0.25">
      <c r="C628" s="2216" t="s">
        <v>2653</v>
      </c>
      <c r="D628" s="2251"/>
      <c r="E628" s="2285">
        <f>$M$620*Population!E$34*$M$621</f>
        <v>0</v>
      </c>
      <c r="F628" s="2285">
        <f>$M$620*Population!F$34*$M$621</f>
        <v>0</v>
      </c>
      <c r="G628" s="2285">
        <f>$M$620*Population!G$34*$M$621</f>
        <v>0</v>
      </c>
      <c r="H628" s="2285">
        <f>$M$620*Population!H$34*$M$621</f>
        <v>0</v>
      </c>
      <c r="I628" s="2285">
        <f>$M$620*Population!I$34*$M$621</f>
        <v>0</v>
      </c>
      <c r="J628" s="2285">
        <f>$M$620*Population!J$34*$M$621</f>
        <v>0</v>
      </c>
      <c r="K628" s="2285">
        <f>$M$620*Population!K$34*$M$621</f>
        <v>0</v>
      </c>
      <c r="L628" s="2285">
        <f>$M$620*Population!L$34*$M$621</f>
        <v>0</v>
      </c>
      <c r="M628" s="2285">
        <f>$M$620*Population!M$34*$M$621</f>
        <v>0</v>
      </c>
      <c r="N628" s="2285">
        <f>$M$620*Population!N$34*$M$621</f>
        <v>0</v>
      </c>
      <c r="O628" s="2286">
        <f>$M$620*Population!O$34*$M$621</f>
        <v>0</v>
      </c>
      <c r="Q628" s="3987"/>
    </row>
    <row r="629" spans="1:17" s="305" customFormat="1" hidden="1" outlineLevel="1" x14ac:dyDescent="0.25">
      <c r="C629" s="2219" t="s">
        <v>2654</v>
      </c>
      <c r="D629" s="2251"/>
      <c r="E629" s="2100">
        <f>E627*E628</f>
        <v>0</v>
      </c>
      <c r="F629" s="2100">
        <f>F627*F628</f>
        <v>0</v>
      </c>
      <c r="G629" s="2100">
        <f t="shared" ref="G629:O629" si="247">G627*G628</f>
        <v>0</v>
      </c>
      <c r="H629" s="2100">
        <f t="shared" si="247"/>
        <v>0</v>
      </c>
      <c r="I629" s="2100">
        <f t="shared" si="247"/>
        <v>0</v>
      </c>
      <c r="J629" s="2100">
        <f t="shared" si="247"/>
        <v>0</v>
      </c>
      <c r="K629" s="2100">
        <f t="shared" si="247"/>
        <v>0</v>
      </c>
      <c r="L629" s="2100">
        <f t="shared" si="247"/>
        <v>0</v>
      </c>
      <c r="M629" s="2100">
        <f t="shared" si="247"/>
        <v>0</v>
      </c>
      <c r="N629" s="2100">
        <f t="shared" si="247"/>
        <v>0</v>
      </c>
      <c r="O629" s="2101">
        <f t="shared" si="247"/>
        <v>0</v>
      </c>
      <c r="Q629" s="3987"/>
    </row>
    <row r="630" spans="1:17" s="305" customFormat="1" hidden="1" outlineLevel="1" x14ac:dyDescent="0.25">
      <c r="C630" s="2219" t="s">
        <v>2642</v>
      </c>
      <c r="D630" s="2251"/>
      <c r="E630" s="2198">
        <f>IFERROR(E629/$M$623,0)</f>
        <v>0</v>
      </c>
      <c r="F630" s="2198">
        <f>IFERROR(F629/$M$623,0)</f>
        <v>0</v>
      </c>
      <c r="G630" s="2198">
        <f t="shared" ref="G630:O630" si="248">IFERROR(G629/$M$623,0)</f>
        <v>0</v>
      </c>
      <c r="H630" s="2198">
        <f t="shared" si="248"/>
        <v>0</v>
      </c>
      <c r="I630" s="2198">
        <f t="shared" si="248"/>
        <v>0</v>
      </c>
      <c r="J630" s="2198">
        <f t="shared" si="248"/>
        <v>0</v>
      </c>
      <c r="K630" s="2198">
        <f t="shared" si="248"/>
        <v>0</v>
      </c>
      <c r="L630" s="2198">
        <f t="shared" si="248"/>
        <v>0</v>
      </c>
      <c r="M630" s="2198">
        <f t="shared" si="248"/>
        <v>0</v>
      </c>
      <c r="N630" s="2198">
        <f t="shared" si="248"/>
        <v>0</v>
      </c>
      <c r="O630" s="2215">
        <f t="shared" si="248"/>
        <v>0</v>
      </c>
      <c r="Q630" s="3987"/>
    </row>
    <row r="631" spans="1:17" hidden="1" outlineLevel="1" x14ac:dyDescent="0.25">
      <c r="A631" s="27"/>
      <c r="B631" s="27"/>
      <c r="C631" s="2095" t="s">
        <v>1301</v>
      </c>
      <c r="D631" s="2492"/>
      <c r="E631" s="557">
        <f>'WSS Profile'!F300+'WSS Profile'!G300</f>
        <v>48</v>
      </c>
      <c r="F631" s="2189">
        <f t="shared" ref="F631:O631" si="249">(IFERROR(((F511+F513)/$D$508),0)+IFERROR(((F512+F514)/$D$509),0)+$E$631)</f>
        <v>64</v>
      </c>
      <c r="G631" s="2189">
        <f t="shared" si="249"/>
        <v>80.000000000000014</v>
      </c>
      <c r="H631" s="2189">
        <f t="shared" si="249"/>
        <v>96</v>
      </c>
      <c r="I631" s="2189">
        <f t="shared" si="249"/>
        <v>96</v>
      </c>
      <c r="J631" s="2189">
        <f t="shared" si="249"/>
        <v>96</v>
      </c>
      <c r="K631" s="2189">
        <f t="shared" si="249"/>
        <v>96</v>
      </c>
      <c r="L631" s="2189">
        <f t="shared" si="249"/>
        <v>96</v>
      </c>
      <c r="M631" s="2189">
        <f t="shared" si="249"/>
        <v>96</v>
      </c>
      <c r="N631" s="2189">
        <f t="shared" si="249"/>
        <v>96</v>
      </c>
      <c r="O631" s="2213">
        <f t="shared" si="249"/>
        <v>96</v>
      </c>
    </row>
    <row r="632" spans="1:17" hidden="1" outlineLevel="1" x14ac:dyDescent="0.25">
      <c r="A632" s="27"/>
      <c r="B632" s="27"/>
      <c r="C632" s="2212" t="s">
        <v>2600</v>
      </c>
      <c r="D632" s="2251"/>
      <c r="E632" s="122">
        <f t="shared" ref="E632:O632" si="250">IFERROR((E631/E171)*E174,0)</f>
        <v>2695.4520547945203</v>
      </c>
      <c r="F632" s="122">
        <f t="shared" si="250"/>
        <v>3571.1452991452993</v>
      </c>
      <c r="G632" s="122">
        <f t="shared" si="250"/>
        <v>4438.8755020080325</v>
      </c>
      <c r="H632" s="122">
        <f t="shared" si="250"/>
        <v>5300</v>
      </c>
      <c r="I632" s="122">
        <f t="shared" si="250"/>
        <v>5300</v>
      </c>
      <c r="J632" s="122">
        <f t="shared" si="250"/>
        <v>5300</v>
      </c>
      <c r="K632" s="122">
        <f t="shared" si="250"/>
        <v>5300</v>
      </c>
      <c r="L632" s="122">
        <f t="shared" si="250"/>
        <v>5300</v>
      </c>
      <c r="M632" s="122">
        <f t="shared" si="250"/>
        <v>5300</v>
      </c>
      <c r="N632" s="122">
        <f t="shared" si="250"/>
        <v>5300</v>
      </c>
      <c r="O632" s="2214">
        <f t="shared" si="250"/>
        <v>5300</v>
      </c>
      <c r="P632" s="2113"/>
    </row>
    <row r="633" spans="1:17" hidden="1" outlineLevel="1" x14ac:dyDescent="0.25">
      <c r="A633" s="27"/>
      <c r="B633" s="27"/>
      <c r="C633" s="2212" t="s">
        <v>2617</v>
      </c>
      <c r="D633" s="2251"/>
      <c r="E633" s="2100">
        <f>IFERROR(ROUND(E631/$M$622,0),0)</f>
        <v>48</v>
      </c>
      <c r="F633" s="2100">
        <f>IFERROR(ROUND(F631/$M$622,0),0)</f>
        <v>64</v>
      </c>
      <c r="G633" s="2100">
        <f t="shared" ref="G633:O633" si="251">IFERROR(ROUND(G631/$M$622,0),0)</f>
        <v>80</v>
      </c>
      <c r="H633" s="2100">
        <f t="shared" si="251"/>
        <v>96</v>
      </c>
      <c r="I633" s="2100">
        <f t="shared" si="251"/>
        <v>96</v>
      </c>
      <c r="J633" s="2100">
        <f t="shared" si="251"/>
        <v>96</v>
      </c>
      <c r="K633" s="2100">
        <f t="shared" si="251"/>
        <v>96</v>
      </c>
      <c r="L633" s="2100">
        <f t="shared" si="251"/>
        <v>96</v>
      </c>
      <c r="M633" s="2100">
        <f t="shared" si="251"/>
        <v>96</v>
      </c>
      <c r="N633" s="2100">
        <f t="shared" si="251"/>
        <v>96</v>
      </c>
      <c r="O633" s="2101">
        <f t="shared" si="251"/>
        <v>96</v>
      </c>
    </row>
    <row r="634" spans="1:17" hidden="1" outlineLevel="1" x14ac:dyDescent="0.25">
      <c r="A634" s="27"/>
      <c r="B634" s="27"/>
      <c r="C634" s="2216" t="s">
        <v>2656</v>
      </c>
      <c r="D634" s="2581"/>
      <c r="E634" s="2195">
        <f>IFERROR(ROUND((E633/E631)*E632,0),0)</f>
        <v>2695</v>
      </c>
      <c r="F634" s="2195">
        <f>IFERROR(ROUND((F633/F631)*F632,0),0)</f>
        <v>3571</v>
      </c>
      <c r="G634" s="2195">
        <f t="shared" ref="G634:O634" si="252">IFERROR(ROUND((G633/G631)*G632,0),0)</f>
        <v>4439</v>
      </c>
      <c r="H634" s="2195">
        <f t="shared" si="252"/>
        <v>5300</v>
      </c>
      <c r="I634" s="2195">
        <f t="shared" si="252"/>
        <v>5300</v>
      </c>
      <c r="J634" s="2195">
        <f t="shared" si="252"/>
        <v>5300</v>
      </c>
      <c r="K634" s="2195">
        <f t="shared" si="252"/>
        <v>5300</v>
      </c>
      <c r="L634" s="2195">
        <f t="shared" si="252"/>
        <v>5300</v>
      </c>
      <c r="M634" s="2195">
        <f t="shared" si="252"/>
        <v>5300</v>
      </c>
      <c r="N634" s="2195">
        <f t="shared" si="252"/>
        <v>5300</v>
      </c>
      <c r="O634" s="2217">
        <f t="shared" si="252"/>
        <v>5300</v>
      </c>
      <c r="Q634" s="3988"/>
    </row>
    <row r="635" spans="1:17" s="170" customFormat="1" hidden="1" outlineLevel="1" x14ac:dyDescent="0.25">
      <c r="C635" s="2216" t="s">
        <v>2629</v>
      </c>
      <c r="D635" s="2251"/>
      <c r="E635" s="2195">
        <f>IFERROR(E632/E631,0)</f>
        <v>56.155251141552505</v>
      </c>
      <c r="F635" s="2195">
        <f t="shared" ref="F635:O635" si="253">IFERROR(F632/F631,0)</f>
        <v>55.799145299145302</v>
      </c>
      <c r="G635" s="2195">
        <f t="shared" si="253"/>
        <v>55.485943775100395</v>
      </c>
      <c r="H635" s="2195">
        <f t="shared" si="253"/>
        <v>55.208333333333336</v>
      </c>
      <c r="I635" s="2195">
        <f t="shared" si="253"/>
        <v>55.208333333333336</v>
      </c>
      <c r="J635" s="2195">
        <f t="shared" si="253"/>
        <v>55.208333333333336</v>
      </c>
      <c r="K635" s="2195">
        <f t="shared" si="253"/>
        <v>55.208333333333336</v>
      </c>
      <c r="L635" s="2195">
        <f t="shared" si="253"/>
        <v>55.208333333333336</v>
      </c>
      <c r="M635" s="2195">
        <f t="shared" si="253"/>
        <v>55.208333333333336</v>
      </c>
      <c r="N635" s="2195">
        <f t="shared" si="253"/>
        <v>55.208333333333336</v>
      </c>
      <c r="O635" s="2217">
        <f t="shared" si="253"/>
        <v>55.208333333333336</v>
      </c>
      <c r="Q635" s="3987"/>
    </row>
    <row r="636" spans="1:17" s="170" customFormat="1" hidden="1" outlineLevel="1" x14ac:dyDescent="0.25">
      <c r="C636" s="2220" t="s">
        <v>2653</v>
      </c>
      <c r="D636" s="2251"/>
      <c r="E636" s="2221">
        <f>E635*$M$620*Population!E$34*$M$622</f>
        <v>0</v>
      </c>
      <c r="F636" s="2221">
        <f>F635*$M$620*Population!F$34*$M$622</f>
        <v>0</v>
      </c>
      <c r="G636" s="2221">
        <f>G635*$M$620*Population!G$34*$M$622</f>
        <v>0</v>
      </c>
      <c r="H636" s="2221">
        <f>H635*$M$620*Population!H$34*$M$622</f>
        <v>0</v>
      </c>
      <c r="I636" s="2221">
        <f>I635*$M$620*Population!I$34*$M$622</f>
        <v>0</v>
      </c>
      <c r="J636" s="2221">
        <f>J635*$M$620*Population!J$34*$M$622</f>
        <v>0</v>
      </c>
      <c r="K636" s="2221">
        <f>K635*$M$620*Population!K$34*$M$622</f>
        <v>0</v>
      </c>
      <c r="L636" s="2221">
        <f>L635*$M$620*Population!L$34*$M$622</f>
        <v>0</v>
      </c>
      <c r="M636" s="2221">
        <f>M635*$M$620*Population!M$34*$M$622</f>
        <v>0</v>
      </c>
      <c r="N636" s="2221">
        <f>N635*$M$620*Population!N$34*$M$622</f>
        <v>0</v>
      </c>
      <c r="O636" s="2222">
        <f>O635*$M$620*Population!O$34*$M$622</f>
        <v>0</v>
      </c>
      <c r="Q636" s="3987"/>
    </row>
    <row r="637" spans="1:17" hidden="1" outlineLevel="1" x14ac:dyDescent="0.25">
      <c r="A637" s="27"/>
      <c r="B637" s="27"/>
      <c r="C637" s="2219" t="s">
        <v>2654</v>
      </c>
      <c r="D637" s="2581"/>
      <c r="E637" s="2100">
        <f t="shared" ref="E637:O637" si="254">E633*E636</f>
        <v>0</v>
      </c>
      <c r="F637" s="2100">
        <f t="shared" si="254"/>
        <v>0</v>
      </c>
      <c r="G637" s="2100">
        <f t="shared" si="254"/>
        <v>0</v>
      </c>
      <c r="H637" s="2100">
        <f t="shared" si="254"/>
        <v>0</v>
      </c>
      <c r="I637" s="2100">
        <f t="shared" si="254"/>
        <v>0</v>
      </c>
      <c r="J637" s="2100">
        <f t="shared" si="254"/>
        <v>0</v>
      </c>
      <c r="K637" s="2100">
        <f t="shared" si="254"/>
        <v>0</v>
      </c>
      <c r="L637" s="2100">
        <f t="shared" si="254"/>
        <v>0</v>
      </c>
      <c r="M637" s="2100">
        <f t="shared" si="254"/>
        <v>0</v>
      </c>
      <c r="N637" s="2100">
        <f t="shared" si="254"/>
        <v>0</v>
      </c>
      <c r="O637" s="2101">
        <f t="shared" si="254"/>
        <v>0</v>
      </c>
      <c r="Q637" s="3988"/>
    </row>
    <row r="638" spans="1:17" hidden="1" outlineLevel="1" x14ac:dyDescent="0.25">
      <c r="A638" s="27"/>
      <c r="B638" s="27"/>
      <c r="C638" s="2219" t="s">
        <v>2642</v>
      </c>
      <c r="D638" s="2251"/>
      <c r="E638" s="2198">
        <f>IFERROR(E637/$M$623,0)</f>
        <v>0</v>
      </c>
      <c r="F638" s="2198">
        <f t="shared" ref="F638:O638" si="255">IFERROR(F637/$M$623,0)</f>
        <v>0</v>
      </c>
      <c r="G638" s="2198">
        <f t="shared" si="255"/>
        <v>0</v>
      </c>
      <c r="H638" s="2198">
        <f t="shared" si="255"/>
        <v>0</v>
      </c>
      <c r="I638" s="2198">
        <f t="shared" si="255"/>
        <v>0</v>
      </c>
      <c r="J638" s="2198">
        <f t="shared" si="255"/>
        <v>0</v>
      </c>
      <c r="K638" s="2198">
        <f t="shared" si="255"/>
        <v>0</v>
      </c>
      <c r="L638" s="2198">
        <f t="shared" si="255"/>
        <v>0</v>
      </c>
      <c r="M638" s="2198">
        <f t="shared" si="255"/>
        <v>0</v>
      </c>
      <c r="N638" s="2198">
        <f t="shared" si="255"/>
        <v>0</v>
      </c>
      <c r="O638" s="2215">
        <f t="shared" si="255"/>
        <v>0</v>
      </c>
      <c r="Q638" s="3988"/>
    </row>
    <row r="639" spans="1:17" hidden="1" outlineLevel="1" x14ac:dyDescent="0.25">
      <c r="A639" s="27"/>
      <c r="B639" s="27"/>
      <c r="C639" s="2095" t="s">
        <v>1302</v>
      </c>
      <c r="D639" s="4039">
        <f>IFERROR('WSS Profile'!F306/'WSS Profile'!F305,0)</f>
        <v>5.5</v>
      </c>
      <c r="E639" s="2190">
        <f>'WSS Profile'!F311</f>
        <v>4</v>
      </c>
      <c r="F639" s="2190">
        <f t="shared" ref="F639:O639" si="256">IFERROR(((F544+F545)/$D$541),0)+$E$639</f>
        <v>4</v>
      </c>
      <c r="G639" s="557">
        <f t="shared" si="256"/>
        <v>4</v>
      </c>
      <c r="H639" s="2188">
        <f t="shared" si="256"/>
        <v>4</v>
      </c>
      <c r="I639" s="2188">
        <f t="shared" si="256"/>
        <v>4</v>
      </c>
      <c r="J639" s="557">
        <f t="shared" si="256"/>
        <v>4</v>
      </c>
      <c r="K639" s="557">
        <f t="shared" si="256"/>
        <v>4</v>
      </c>
      <c r="L639" s="557">
        <f t="shared" si="256"/>
        <v>4</v>
      </c>
      <c r="M639" s="557">
        <f t="shared" si="256"/>
        <v>4</v>
      </c>
      <c r="N639" s="557">
        <f t="shared" si="256"/>
        <v>4</v>
      </c>
      <c r="O639" s="626">
        <f t="shared" si="256"/>
        <v>4</v>
      </c>
    </row>
    <row r="640" spans="1:17" hidden="1" outlineLevel="1" x14ac:dyDescent="0.25">
      <c r="A640" s="27"/>
      <c r="B640" s="27"/>
      <c r="C640" s="615" t="s">
        <v>2609</v>
      </c>
      <c r="D640" s="2947">
        <v>0.25</v>
      </c>
      <c r="E640" s="2192">
        <f>($E$639*$D$639*'WSS Profile'!$F$308*'WW calcu'!$D$640)+((E639-$E$639)*$D$640*'WW Plan'!$H$187*IFERROR(('WW Plan'!$H$186/'WW Plan'!$H$185),0))</f>
        <v>0</v>
      </c>
      <c r="F640" s="2192">
        <f>($E$639*$D$639*'WSS Profile'!$F$308*'WW calcu'!$D$640)+((F639-$E$639)*$D$640*'WW Plan'!$H$187*IFERROR(('WW Plan'!$H$186/'WW Plan'!$H$185),0))</f>
        <v>0</v>
      </c>
      <c r="G640" s="2192">
        <f>($E$639*$D$639*'WSS Profile'!$F$308*'WW calcu'!$D$640)+((G639-$E$639)*$D$640*'WW Plan'!$H$187*IFERROR(('WW Plan'!$H$186/'WW Plan'!$H$185),0))</f>
        <v>0</v>
      </c>
      <c r="H640" s="2192">
        <f>($E$639*$D$639*'WSS Profile'!$F$308*'WW calcu'!$D$640)+((H639-$E$639)*$D$640*'WW Plan'!$H$187*IFERROR(('WW Plan'!$H$186/'WW Plan'!$H$185),0))</f>
        <v>0</v>
      </c>
      <c r="I640" s="2192">
        <f>($E$639*$D$639*'WSS Profile'!$F$308*'WW calcu'!$D$640)+((I639-$E$639)*$D$640*'WW Plan'!$H$187*IFERROR(('WW Plan'!$H$186/'WW Plan'!$H$185),0))</f>
        <v>0</v>
      </c>
      <c r="J640" s="2192">
        <f>($E$639*$D$639*'WSS Profile'!$F$308*'WW calcu'!$D$640)+((J639-$E$639)*$D$640*'WW Plan'!$H$187*IFERROR(('WW Plan'!$H$186/'WW Plan'!$H$185),0))</f>
        <v>0</v>
      </c>
      <c r="K640" s="2192">
        <f>($E$639*$D$639*'WSS Profile'!$F$308*'WW calcu'!$D$640)+((K639-$E$639)*$D$640*'WW Plan'!$H$187*IFERROR(('WW Plan'!$H$186/'WW Plan'!$H$185),0))</f>
        <v>0</v>
      </c>
      <c r="L640" s="2192">
        <f>($E$639*$D$639*'WSS Profile'!$F$308*'WW calcu'!$D$640)+((L639-$E$639)*$D$640*'WW Plan'!$H$187*IFERROR(('WW Plan'!$H$186/'WW Plan'!$H$185),0))</f>
        <v>0</v>
      </c>
      <c r="M640" s="2192">
        <f>($E$639*$D$639*'WSS Profile'!$F$308*'WW calcu'!$D$640)+((M639-$E$639)*$D$640*'WW Plan'!$H$187*IFERROR(('WW Plan'!$H$186/'WW Plan'!$H$185),0))</f>
        <v>0</v>
      </c>
      <c r="N640" s="2192">
        <f>($E$639*$D$639*'WSS Profile'!$F$308*'WW calcu'!$D$640)+((N639-$E$639)*$D$640*'WW Plan'!$H$187*IFERROR(('WW Plan'!$H$186/'WW Plan'!$H$185),0))</f>
        <v>0</v>
      </c>
      <c r="O640" s="2218">
        <f>($E$639*$D$639*'WSS Profile'!$F$308*'WW calcu'!$D$640)+((O639-$E$639)*$D$640*'WW Plan'!$H$187*IFERROR(('WW Plan'!$H$186/'WW Plan'!$H$185),0))</f>
        <v>0</v>
      </c>
    </row>
    <row r="641" spans="1:17" hidden="1" outlineLevel="1" x14ac:dyDescent="0.25">
      <c r="A641" s="27"/>
      <c r="B641" s="27"/>
      <c r="C641" s="2212" t="s">
        <v>2617</v>
      </c>
      <c r="D641" s="2583"/>
      <c r="E641" s="2100">
        <f>IFERROR(ROUND(E639/$M$622,0),0)</f>
        <v>4</v>
      </c>
      <c r="F641" s="2100">
        <f>IFERROR(ROUND(F639/$M$622,0),0)</f>
        <v>4</v>
      </c>
      <c r="G641" s="2100">
        <f t="shared" ref="G641:O641" si="257">IFERROR(ROUND(G639/$M$622,0),0)</f>
        <v>4</v>
      </c>
      <c r="H641" s="2100">
        <f t="shared" si="257"/>
        <v>4</v>
      </c>
      <c r="I641" s="2100">
        <f t="shared" si="257"/>
        <v>4</v>
      </c>
      <c r="J641" s="2100">
        <f t="shared" si="257"/>
        <v>4</v>
      </c>
      <c r="K641" s="2100">
        <f t="shared" si="257"/>
        <v>4</v>
      </c>
      <c r="L641" s="2100">
        <f t="shared" si="257"/>
        <v>4</v>
      </c>
      <c r="M641" s="2100">
        <f t="shared" si="257"/>
        <v>4</v>
      </c>
      <c r="N641" s="2100">
        <f t="shared" si="257"/>
        <v>4</v>
      </c>
      <c r="O641" s="2101">
        <f t="shared" si="257"/>
        <v>4</v>
      </c>
    </row>
    <row r="642" spans="1:17" hidden="1" outlineLevel="1" x14ac:dyDescent="0.25">
      <c r="A642" s="27"/>
      <c r="B642" s="27"/>
      <c r="C642" s="2216" t="s">
        <v>2618</v>
      </c>
      <c r="D642" s="2583"/>
      <c r="E642" s="2195">
        <f>IFERROR(ROUND((E641/E639)*E640,0),0)</f>
        <v>0</v>
      </c>
      <c r="F642" s="2195">
        <f>IFERROR(ROUND((F641/F639)*F640,0),0)</f>
        <v>0</v>
      </c>
      <c r="G642" s="2195">
        <f t="shared" ref="G642:O642" si="258">IFERROR(ROUND((G641/G639)*G640,0),0)</f>
        <v>0</v>
      </c>
      <c r="H642" s="2195">
        <f t="shared" si="258"/>
        <v>0</v>
      </c>
      <c r="I642" s="2195">
        <f t="shared" si="258"/>
        <v>0</v>
      </c>
      <c r="J642" s="2195">
        <f t="shared" si="258"/>
        <v>0</v>
      </c>
      <c r="K642" s="2195">
        <f t="shared" si="258"/>
        <v>0</v>
      </c>
      <c r="L642" s="2195">
        <f t="shared" si="258"/>
        <v>0</v>
      </c>
      <c r="M642" s="2195">
        <f t="shared" si="258"/>
        <v>0</v>
      </c>
      <c r="N642" s="2195">
        <f t="shared" si="258"/>
        <v>0</v>
      </c>
      <c r="O642" s="2217">
        <f t="shared" si="258"/>
        <v>0</v>
      </c>
    </row>
    <row r="643" spans="1:17" hidden="1" outlineLevel="1" x14ac:dyDescent="0.25">
      <c r="A643" s="27"/>
      <c r="B643" s="27"/>
      <c r="C643" s="2216" t="s">
        <v>2630</v>
      </c>
      <c r="D643" s="2251"/>
      <c r="E643" s="2195">
        <f>IFERROR(E640/E639,0)</f>
        <v>0</v>
      </c>
      <c r="F643" s="2195">
        <f t="shared" ref="F643:O643" si="259">IFERROR(F640/F639,0)</f>
        <v>0</v>
      </c>
      <c r="G643" s="2195">
        <f t="shared" si="259"/>
        <v>0</v>
      </c>
      <c r="H643" s="2195">
        <f t="shared" si="259"/>
        <v>0</v>
      </c>
      <c r="I643" s="2195">
        <f t="shared" si="259"/>
        <v>0</v>
      </c>
      <c r="J643" s="2195">
        <f t="shared" si="259"/>
        <v>0</v>
      </c>
      <c r="K643" s="2195">
        <f t="shared" si="259"/>
        <v>0</v>
      </c>
      <c r="L643" s="2195">
        <f t="shared" si="259"/>
        <v>0</v>
      </c>
      <c r="M643" s="2195">
        <f t="shared" si="259"/>
        <v>0</v>
      </c>
      <c r="N643" s="2195">
        <f t="shared" si="259"/>
        <v>0</v>
      </c>
      <c r="O643" s="2217">
        <f t="shared" si="259"/>
        <v>0</v>
      </c>
    </row>
    <row r="644" spans="1:17" hidden="1" outlineLevel="1" x14ac:dyDescent="0.25">
      <c r="A644" s="27"/>
      <c r="B644" s="27"/>
      <c r="C644" s="2220" t="s">
        <v>2653</v>
      </c>
      <c r="D644" s="2251"/>
      <c r="E644" s="2221">
        <f t="shared" ref="E644:O644" si="260">E643*$M$620*$M$622</f>
        <v>0</v>
      </c>
      <c r="F644" s="2221">
        <f t="shared" si="260"/>
        <v>0</v>
      </c>
      <c r="G644" s="2221">
        <f t="shared" si="260"/>
        <v>0</v>
      </c>
      <c r="H644" s="2221">
        <f t="shared" si="260"/>
        <v>0</v>
      </c>
      <c r="I644" s="2221">
        <f t="shared" si="260"/>
        <v>0</v>
      </c>
      <c r="J644" s="2221">
        <f t="shared" si="260"/>
        <v>0</v>
      </c>
      <c r="K644" s="2221">
        <f t="shared" si="260"/>
        <v>0</v>
      </c>
      <c r="L644" s="2221">
        <f t="shared" si="260"/>
        <v>0</v>
      </c>
      <c r="M644" s="2221">
        <f t="shared" si="260"/>
        <v>0</v>
      </c>
      <c r="N644" s="2221">
        <f t="shared" si="260"/>
        <v>0</v>
      </c>
      <c r="O644" s="2222">
        <f t="shared" si="260"/>
        <v>0</v>
      </c>
    </row>
    <row r="645" spans="1:17" hidden="1" outlineLevel="1" x14ac:dyDescent="0.25">
      <c r="A645" s="27"/>
      <c r="B645" s="27"/>
      <c r="C645" s="2219" t="s">
        <v>2654</v>
      </c>
      <c r="D645" s="2583"/>
      <c r="E645" s="2100">
        <f>E644*E641</f>
        <v>0</v>
      </c>
      <c r="F645" s="2100">
        <f>F644*F641</f>
        <v>0</v>
      </c>
      <c r="G645" s="2100">
        <f t="shared" ref="G645:O645" si="261">G644*G641</f>
        <v>0</v>
      </c>
      <c r="H645" s="2100">
        <f t="shared" si="261"/>
        <v>0</v>
      </c>
      <c r="I645" s="2100">
        <f t="shared" si="261"/>
        <v>0</v>
      </c>
      <c r="J645" s="2100">
        <f t="shared" si="261"/>
        <v>0</v>
      </c>
      <c r="K645" s="2100">
        <f t="shared" si="261"/>
        <v>0</v>
      </c>
      <c r="L645" s="2100">
        <f t="shared" si="261"/>
        <v>0</v>
      </c>
      <c r="M645" s="2100">
        <f t="shared" si="261"/>
        <v>0</v>
      </c>
      <c r="N645" s="2100">
        <f t="shared" si="261"/>
        <v>0</v>
      </c>
      <c r="O645" s="2101">
        <f t="shared" si="261"/>
        <v>0</v>
      </c>
    </row>
    <row r="646" spans="1:17" hidden="1" outlineLevel="1" x14ac:dyDescent="0.25">
      <c r="A646" s="27"/>
      <c r="B646" s="27"/>
      <c r="C646" s="2219" t="s">
        <v>2642</v>
      </c>
      <c r="D646" s="2583"/>
      <c r="E646" s="2198">
        <f>IFERROR(E645/$M$623,0)</f>
        <v>0</v>
      </c>
      <c r="F646" s="2198">
        <f>IFERROR(F645/$M$623,0)</f>
        <v>0</v>
      </c>
      <c r="G646" s="2198">
        <f t="shared" ref="G646:O646" si="262">IFERROR(G645/$M$623,0)</f>
        <v>0</v>
      </c>
      <c r="H646" s="2198">
        <f t="shared" si="262"/>
        <v>0</v>
      </c>
      <c r="I646" s="2198">
        <f t="shared" si="262"/>
        <v>0</v>
      </c>
      <c r="J646" s="2198">
        <f t="shared" si="262"/>
        <v>0</v>
      </c>
      <c r="K646" s="2198">
        <f t="shared" si="262"/>
        <v>0</v>
      </c>
      <c r="L646" s="2198">
        <f t="shared" si="262"/>
        <v>0</v>
      </c>
      <c r="M646" s="2198">
        <f t="shared" si="262"/>
        <v>0</v>
      </c>
      <c r="N646" s="2198">
        <f t="shared" si="262"/>
        <v>0</v>
      </c>
      <c r="O646" s="2215">
        <f t="shared" si="262"/>
        <v>0</v>
      </c>
    </row>
    <row r="647" spans="1:17" s="2230" customFormat="1" hidden="1" outlineLevel="1" x14ac:dyDescent="0.25">
      <c r="C647" s="2231" t="s">
        <v>2641</v>
      </c>
      <c r="D647" s="2584" t="s">
        <v>2846</v>
      </c>
      <c r="E647" s="2233">
        <f t="shared" ref="E647:O647" si="263">E630+E638+E646</f>
        <v>0</v>
      </c>
      <c r="F647" s="2233">
        <f>F630+F638+F646</f>
        <v>0</v>
      </c>
      <c r="G647" s="2233">
        <f t="shared" si="263"/>
        <v>0</v>
      </c>
      <c r="H647" s="2233">
        <f t="shared" si="263"/>
        <v>0</v>
      </c>
      <c r="I647" s="2233">
        <f t="shared" si="263"/>
        <v>0</v>
      </c>
      <c r="J647" s="2233">
        <f t="shared" si="263"/>
        <v>0</v>
      </c>
      <c r="K647" s="2233">
        <f t="shared" si="263"/>
        <v>0</v>
      </c>
      <c r="L647" s="2233">
        <f t="shared" si="263"/>
        <v>0</v>
      </c>
      <c r="M647" s="2233">
        <f t="shared" si="263"/>
        <v>0</v>
      </c>
      <c r="N647" s="2233">
        <f t="shared" si="263"/>
        <v>0</v>
      </c>
      <c r="O647" s="2234">
        <f t="shared" si="263"/>
        <v>0</v>
      </c>
      <c r="Q647" s="3987"/>
    </row>
    <row r="648" spans="1:17" hidden="1" outlineLevel="1" x14ac:dyDescent="0.25">
      <c r="A648" s="27"/>
      <c r="B648" s="27"/>
      <c r="C648" s="2219" t="s">
        <v>2648</v>
      </c>
      <c r="D648" s="2482" t="s">
        <v>2649</v>
      </c>
      <c r="E648" s="460">
        <f>IFERROR(E630/E647,0)</f>
        <v>0</v>
      </c>
      <c r="F648" s="460">
        <f>IFERROR(F630/F647,0)</f>
        <v>0</v>
      </c>
      <c r="G648" s="460">
        <f t="shared" ref="G648:O648" si="264">IFERROR(G630/G647,0)</f>
        <v>0</v>
      </c>
      <c r="H648" s="460">
        <f t="shared" si="264"/>
        <v>0</v>
      </c>
      <c r="I648" s="460">
        <f t="shared" si="264"/>
        <v>0</v>
      </c>
      <c r="J648" s="460">
        <f t="shared" si="264"/>
        <v>0</v>
      </c>
      <c r="K648" s="460">
        <f t="shared" si="264"/>
        <v>0</v>
      </c>
      <c r="L648" s="460">
        <f t="shared" si="264"/>
        <v>0</v>
      </c>
      <c r="M648" s="460">
        <f t="shared" si="264"/>
        <v>0</v>
      </c>
      <c r="N648" s="460">
        <f t="shared" si="264"/>
        <v>0</v>
      </c>
      <c r="O648" s="2235">
        <f t="shared" si="264"/>
        <v>0</v>
      </c>
    </row>
    <row r="649" spans="1:17" hidden="1" outlineLevel="1" x14ac:dyDescent="0.25">
      <c r="A649" s="27"/>
      <c r="B649" s="27"/>
      <c r="C649" s="2219"/>
      <c r="D649" s="2482" t="s">
        <v>2646</v>
      </c>
      <c r="E649" s="460">
        <f>IFERROR(E638/E647,0)</f>
        <v>0</v>
      </c>
      <c r="F649" s="460">
        <f>IFERROR(F638/F647,0)</f>
        <v>0</v>
      </c>
      <c r="G649" s="460">
        <f t="shared" ref="G649:O649" si="265">IFERROR(G638/G647,0)</f>
        <v>0</v>
      </c>
      <c r="H649" s="460">
        <f t="shared" si="265"/>
        <v>0</v>
      </c>
      <c r="I649" s="460">
        <f t="shared" si="265"/>
        <v>0</v>
      </c>
      <c r="J649" s="460">
        <f t="shared" si="265"/>
        <v>0</v>
      </c>
      <c r="K649" s="460">
        <f t="shared" si="265"/>
        <v>0</v>
      </c>
      <c r="L649" s="460">
        <f t="shared" si="265"/>
        <v>0</v>
      </c>
      <c r="M649" s="460">
        <f t="shared" si="265"/>
        <v>0</v>
      </c>
      <c r="N649" s="460">
        <f t="shared" si="265"/>
        <v>0</v>
      </c>
      <c r="O649" s="2235">
        <f t="shared" si="265"/>
        <v>0</v>
      </c>
      <c r="P649" s="129"/>
    </row>
    <row r="650" spans="1:17" hidden="1" outlineLevel="1" x14ac:dyDescent="0.25">
      <c r="A650" s="27"/>
      <c r="B650" s="27"/>
      <c r="C650" s="2236"/>
      <c r="D650" s="2546" t="s">
        <v>2647</v>
      </c>
      <c r="E650" s="2237">
        <f>IFERROR(E646/E647,0)</f>
        <v>0</v>
      </c>
      <c r="F650" s="2237">
        <f>IFERROR(F646/F647,0)</f>
        <v>0</v>
      </c>
      <c r="G650" s="2237">
        <f t="shared" ref="G650:O650" si="266">IFERROR(G646/G647,0)</f>
        <v>0</v>
      </c>
      <c r="H650" s="2237">
        <f t="shared" si="266"/>
        <v>0</v>
      </c>
      <c r="I650" s="2237">
        <f t="shared" si="266"/>
        <v>0</v>
      </c>
      <c r="J650" s="2237">
        <f t="shared" si="266"/>
        <v>0</v>
      </c>
      <c r="K650" s="2237">
        <f t="shared" si="266"/>
        <v>0</v>
      </c>
      <c r="L650" s="2237">
        <f t="shared" si="266"/>
        <v>0</v>
      </c>
      <c r="M650" s="2237">
        <f t="shared" si="266"/>
        <v>0</v>
      </c>
      <c r="N650" s="2237">
        <f t="shared" si="266"/>
        <v>0</v>
      </c>
      <c r="O650" s="2238">
        <f t="shared" si="266"/>
        <v>0</v>
      </c>
    </row>
    <row r="651" spans="1:17" hidden="1" outlineLevel="1" x14ac:dyDescent="0.25">
      <c r="A651" s="27"/>
      <c r="B651" s="27"/>
      <c r="C651" s="2226"/>
      <c r="D651" s="2585"/>
      <c r="E651" s="2227"/>
      <c r="F651" s="2227"/>
      <c r="G651" s="2227"/>
      <c r="H651" s="2227"/>
      <c r="I651" s="2227"/>
      <c r="J651" s="2227"/>
      <c r="K651" s="2227"/>
      <c r="L651" s="2227"/>
      <c r="M651" s="2227"/>
      <c r="N651" s="2227"/>
      <c r="O651" s="2227"/>
    </row>
    <row r="652" spans="1:17" hidden="1" outlineLevel="1" x14ac:dyDescent="0.25">
      <c r="A652" s="27"/>
      <c r="B652" s="27"/>
      <c r="C652" s="676" t="s">
        <v>2842</v>
      </c>
      <c r="D652" s="2557"/>
      <c r="E652" s="48"/>
      <c r="F652" s="2375"/>
      <c r="G652" s="2375"/>
      <c r="H652" s="2375"/>
      <c r="I652" s="2375"/>
      <c r="J652" s="2375"/>
      <c r="K652" s="2375"/>
      <c r="L652" s="2375"/>
      <c r="M652" s="2375"/>
      <c r="N652" s="2375"/>
      <c r="O652" s="2375"/>
    </row>
    <row r="653" spans="1:17" hidden="1" outlineLevel="1" x14ac:dyDescent="0.25">
      <c r="A653" s="27"/>
      <c r="B653" s="27"/>
      <c r="C653" s="2262" t="s">
        <v>1159</v>
      </c>
      <c r="D653" s="2531"/>
      <c r="E653" s="2203">
        <f>'WSS Profile'!F268</f>
        <v>1</v>
      </c>
      <c r="F653" s="2204">
        <f>IF('WW Plan'!$E$308="Activate",IF(AND(F$579&gt;='WW Plan'!$G$308,F$579&lt;'WW Plan'!$H$308+1),E653+('WW Plan'!$H$312/('WW Plan'!$H$308+1-'WW Plan'!$G$308)),'WW calcu'!E653),E653)</f>
        <v>2</v>
      </c>
      <c r="G653" s="2204">
        <f>IF('WW Plan'!$E$308="Activate",IF(AND(G$579&gt;='WW Plan'!$G$308,G$579&lt;'WW Plan'!$H$308+1),F653+('WW Plan'!$H$312/('WW Plan'!$H$308+1-'WW Plan'!$G$308)),'WW calcu'!F653),F653)</f>
        <v>3</v>
      </c>
      <c r="H653" s="2204">
        <f>IF('WW Plan'!$E$308="Activate",IF(AND(H$579&gt;='WW Plan'!$G$308,H$579&lt;'WW Plan'!$H$308+1),G653+('WW Plan'!$H$312/('WW Plan'!$H$308+1-'WW Plan'!$G$308)),'WW calcu'!G653),G653)</f>
        <v>3</v>
      </c>
      <c r="I653" s="2204">
        <f>IF('WW Plan'!$E$308="Activate",IF(AND(I$579&gt;='WW Plan'!$G$308,I$579&lt;'WW Plan'!$H$308+1),H653+('WW Plan'!$H$312/('WW Plan'!$H$308+1-'WW Plan'!$G$308)),'WW calcu'!H653),H653)</f>
        <v>3</v>
      </c>
      <c r="J653" s="2204">
        <f>IF('WW Plan'!$E$308="Activate",IF(AND(J$579&gt;='WW Plan'!$G$308,J$579&lt;'WW Plan'!$H$308+1),I653+('WW Plan'!$H$312/('WW Plan'!$H$308+1-'WW Plan'!$G$308)),'WW calcu'!I653),I653)</f>
        <v>3</v>
      </c>
      <c r="K653" s="2204">
        <f>IF('WW Plan'!$E$308="Activate",IF(AND(K$579&gt;='WW Plan'!$G$308,K$579&lt;'WW Plan'!$H$308+1),J653+('WW Plan'!$H$312/('WW Plan'!$H$308+1-'WW Plan'!$G$308)),'WW calcu'!J653),J653)</f>
        <v>3</v>
      </c>
      <c r="L653" s="2204">
        <f>IF('WW Plan'!$E$308="Activate",IF(AND(L$579&gt;='WW Plan'!$G$308,L$579&lt;'WW Plan'!$H$308+1),K653+('WW Plan'!$H$312/('WW Plan'!$H$308+1-'WW Plan'!$G$308)),'WW calcu'!K653),K653)</f>
        <v>3</v>
      </c>
      <c r="M653" s="2204">
        <f>IF('WW Plan'!$E$308="Activate",IF(AND(M$579&gt;='WW Plan'!$G$308,M$579&lt;'WW Plan'!$H$308+1),L653+('WW Plan'!$H$312/('WW Plan'!$H$308+1-'WW Plan'!$G$308)),'WW calcu'!L653),L653)</f>
        <v>3</v>
      </c>
      <c r="N653" s="2204">
        <f>IF('WW Plan'!$E$308="Activate",IF(AND(N$579&gt;='WW Plan'!$G$308,N$579&lt;'WW Plan'!$H$308+1),M653+('WW Plan'!$H$312/('WW Plan'!$H$308+1-'WW Plan'!$G$308)),'WW calcu'!M653),M653)</f>
        <v>3</v>
      </c>
      <c r="O653" s="2205">
        <f>IF('WW Plan'!$E$308="Activate",IF(AND(O$579&gt;='WW Plan'!$G$308,O$579&lt;'WW Plan'!$H$308+1),N653+('WW Plan'!$H$312/('WW Plan'!$H$308+1-'WW Plan'!$G$308)),'WW calcu'!N653),N653)</f>
        <v>3</v>
      </c>
    </row>
    <row r="654" spans="1:17" hidden="1" outlineLevel="1" x14ac:dyDescent="0.25">
      <c r="A654" s="27"/>
      <c r="B654" s="27"/>
      <c r="C654" s="5623" t="s">
        <v>2610</v>
      </c>
      <c r="D654" s="2482">
        <f>IFERROR('WSS Profile'!F269/'WSS Profile'!F268,0)</f>
        <v>5</v>
      </c>
      <c r="E654" s="2100">
        <f>'WSS Profile'!F270*'WSS Profile'!F268</f>
        <v>1</v>
      </c>
      <c r="F654" s="348">
        <f>(IF('WW Plan'!$E$231="Activate",IF(AND(F$579&gt;='WW Plan'!$G$231,F$579&lt;'WW Plan'!$H$231+1),E654+(('WW Plan'!$H$237*$E$653)/('WW Plan'!$H$231+1-'WW Plan'!$G$231)),'WW calcu'!E654),E654))</f>
        <v>4</v>
      </c>
      <c r="G654" s="348">
        <f>(IF('WW Plan'!$E$231="Activate",IF(AND(G$579&gt;='WW Plan'!$G$231,G$579&lt;'WW Plan'!$H$231+1),F654+(('WW Plan'!$H$237*$E$653)/('WW Plan'!$H$231+1-'WW Plan'!$G$231)),'WW calcu'!F654),F654))</f>
        <v>4</v>
      </c>
      <c r="H654" s="348">
        <f>(IF('WW Plan'!$E$231="Activate",IF(AND(H$579&gt;='WW Plan'!$G$231,H$579&lt;'WW Plan'!$H$231+1),G654+(('WW Plan'!$H$237*$E$653)/('WW Plan'!$H$231+1-'WW Plan'!$G$231)),'WW calcu'!G654),G654))</f>
        <v>4</v>
      </c>
      <c r="I654" s="348">
        <f>(IF('WW Plan'!$E$231="Activate",IF(AND(I$579&gt;='WW Plan'!$G$231,I$579&lt;'WW Plan'!$H$231+1),H654+(('WW Plan'!$H$237*$E$653)/('WW Plan'!$H$231+1-'WW Plan'!$G$231)),'WW calcu'!H654),H654))</f>
        <v>4</v>
      </c>
      <c r="J654" s="348">
        <f>(IF('WW Plan'!$E$231="Activate",IF(AND(J$579&gt;='WW Plan'!$G$231,J$579&lt;'WW Plan'!$H$231+1),I654+(('WW Plan'!$H$237*$E$653)/('WW Plan'!$H$231+1-'WW Plan'!$G$231)),'WW calcu'!I654),I654))</f>
        <v>4</v>
      </c>
      <c r="K654" s="348">
        <f>(IF('WW Plan'!$E$231="Activate",IF(AND(K$579&gt;='WW Plan'!$G$231,K$579&lt;'WW Plan'!$H$231+1),J654+(('WW Plan'!$H$237*$E$653)/('WW Plan'!$H$231+1-'WW Plan'!$G$231)),'WW calcu'!J654),J654))</f>
        <v>4</v>
      </c>
      <c r="L654" s="348">
        <f>(IF('WW Plan'!$E$231="Activate",IF(AND(L$579&gt;='WW Plan'!$G$231,L$579&lt;'WW Plan'!$H$231+1),K654+(('WW Plan'!$H$237*$E$653)/('WW Plan'!$H$231+1-'WW Plan'!$G$231)),'WW calcu'!K654),K654))</f>
        <v>4</v>
      </c>
      <c r="M654" s="348">
        <f>(IF('WW Plan'!$E$231="Activate",IF(AND(M$579&gt;='WW Plan'!$G$231,M$579&lt;'WW Plan'!$H$231+1),L654+(('WW Plan'!$H$237*$E$653)/('WW Plan'!$H$231+1-'WW Plan'!$G$231)),'WW calcu'!L654),L654))</f>
        <v>4</v>
      </c>
      <c r="N654" s="348">
        <f>(IF('WW Plan'!$E$231="Activate",IF(AND(N$579&gt;='WW Plan'!$G$231,N$579&lt;'WW Plan'!$H$231+1),M654+(('WW Plan'!$H$237*$E$653)/('WW Plan'!$H$231+1-'WW Plan'!$G$231)),'WW calcu'!M654),M654))</f>
        <v>4</v>
      </c>
      <c r="O654" s="1301">
        <f>(IF('WW Plan'!$E$231="Activate",IF(AND(O$579&gt;='WW Plan'!$G$231,O$579&lt;'WW Plan'!$H$231+1),N654+(('WW Plan'!$H$237*$E$653)/('WW Plan'!$H$231+1-'WW Plan'!$G$231)),'WW calcu'!N654),N654))</f>
        <v>4</v>
      </c>
      <c r="P654" s="5624"/>
    </row>
    <row r="655" spans="1:17" hidden="1" outlineLevel="1" x14ac:dyDescent="0.25">
      <c r="A655" s="27"/>
      <c r="B655" s="27"/>
      <c r="C655" s="615" t="s">
        <v>2611</v>
      </c>
      <c r="D655" s="2482">
        <f>IFERROR('WW Plan'!H313/'WW Plan'!H312,0)</f>
        <v>3.5</v>
      </c>
      <c r="E655" s="2100"/>
      <c r="F655" s="119">
        <f>(IF('WW Plan'!$E$308="Activate",IF(AND(F$579&gt;='WW Plan'!$G$308,F$579&lt;'WW Plan'!$H$308+1),(('WW Plan'!$H$312*'WW Plan'!$H$314)/('WW Plan'!$H$308+1-'WW Plan'!$G$308)),0),0))+E655</f>
        <v>3</v>
      </c>
      <c r="G655" s="119">
        <f>(IF('WW Plan'!$E$308="Activate",IF(AND(G$579&gt;='WW Plan'!$G$308,G$579&lt;'WW Plan'!$H$308+1),(('WW Plan'!$H$312*'WW Plan'!$H$314)/('WW Plan'!$H$308+1-'WW Plan'!$G$308)),0),0))+F655</f>
        <v>6</v>
      </c>
      <c r="H655" s="119">
        <f>(IF('WW Plan'!$E$308="Activate",IF(AND(H$579&gt;='WW Plan'!$G$308,H$579&lt;'WW Plan'!$H$308+1),(('WW Plan'!$H$312*'WW Plan'!$H$314)/('WW Plan'!$H$308+1-'WW Plan'!$G$308)),0),0))+G655</f>
        <v>6</v>
      </c>
      <c r="I655" s="119">
        <f>(IF('WW Plan'!$E$308="Activate",IF(AND(I$579&gt;='WW Plan'!$G$308,I$579&lt;'WW Plan'!$H$308+1),(('WW Plan'!$H$312*'WW Plan'!$H$314)/('WW Plan'!$H$308+1-'WW Plan'!$G$308)),0),0))+H655</f>
        <v>6</v>
      </c>
      <c r="J655" s="119">
        <f>(IF('WW Plan'!$E$308="Activate",IF(AND(J$579&gt;='WW Plan'!$G$308,J$579&lt;'WW Plan'!$H$308+1),(('WW Plan'!$H$312*'WW Plan'!$H$314)/('WW Plan'!$H$308+1-'WW Plan'!$G$308)),0),0))+I655</f>
        <v>6</v>
      </c>
      <c r="K655" s="119">
        <f>(IF('WW Plan'!$E$308="Activate",IF(AND(K$579&gt;='WW Plan'!$G$308,K$579&lt;'WW Plan'!$H$308+1),(('WW Plan'!$H$312*'WW Plan'!$H$314)/('WW Plan'!$H$308+1-'WW Plan'!$G$308)),0),0))+J655</f>
        <v>6</v>
      </c>
      <c r="L655" s="119">
        <f>(IF('WW Plan'!$E$308="Activate",IF(AND(L$579&gt;='WW Plan'!$G$308,L$579&lt;'WW Plan'!$H$308+1),(('WW Plan'!$H$312*'WW Plan'!$H$314)/('WW Plan'!$H$308+1-'WW Plan'!$G$308)),0),0))+K655</f>
        <v>6</v>
      </c>
      <c r="M655" s="119">
        <f>(IF('WW Plan'!$E$308="Activate",IF(AND(M$579&gt;='WW Plan'!$G$308,M$579&lt;'WW Plan'!$H$308+1),(('WW Plan'!$H$312*'WW Plan'!$H$314)/('WW Plan'!$H$308+1-'WW Plan'!$G$308)),0),0))+L655</f>
        <v>6</v>
      </c>
      <c r="N655" s="119">
        <f>(IF('WW Plan'!$E$308="Activate",IF(AND(N$579&gt;='WW Plan'!$G$308,N$579&lt;'WW Plan'!$H$308+1),(('WW Plan'!$H$312*'WW Plan'!$H$314)/('WW Plan'!$H$308+1-'WW Plan'!$G$308)),0),0))+M655</f>
        <v>6</v>
      </c>
      <c r="O655" s="2276">
        <f>(IF('WW Plan'!$E$308="Activate",IF(AND(O$579&gt;='WW Plan'!$G$308,O$579&lt;'WW Plan'!$H$308+1),(('WW Plan'!$H$312*'WW Plan'!$H$314)/('WW Plan'!$H$308+1-'WW Plan'!$G$308)),0),0))+N655</f>
        <v>6</v>
      </c>
    </row>
    <row r="656" spans="1:17" s="49" customFormat="1" hidden="1" outlineLevel="1" x14ac:dyDescent="0.25">
      <c r="C656" s="622" t="s">
        <v>2620</v>
      </c>
      <c r="D656" s="2576"/>
      <c r="E656" s="53">
        <f t="shared" ref="E656:O656" si="267">ROUND(($E$653*$D$622*E654)+((E653-$E$653)*$E$622*E655),0)</f>
        <v>1</v>
      </c>
      <c r="F656" s="53">
        <f>ROUND(($E$653*$D$622*F654)+((F653-$E$653)*$E$622*F655),0)</f>
        <v>7</v>
      </c>
      <c r="G656" s="53">
        <f t="shared" si="267"/>
        <v>16</v>
      </c>
      <c r="H656" s="53">
        <f t="shared" si="267"/>
        <v>16</v>
      </c>
      <c r="I656" s="53">
        <f t="shared" si="267"/>
        <v>16</v>
      </c>
      <c r="J656" s="53">
        <f t="shared" si="267"/>
        <v>16</v>
      </c>
      <c r="K656" s="53">
        <f t="shared" si="267"/>
        <v>16</v>
      </c>
      <c r="L656" s="53">
        <f t="shared" si="267"/>
        <v>16</v>
      </c>
      <c r="M656" s="53">
        <f t="shared" si="267"/>
        <v>16</v>
      </c>
      <c r="N656" s="53">
        <f t="shared" si="267"/>
        <v>16</v>
      </c>
      <c r="O656" s="2206">
        <f t="shared" si="267"/>
        <v>16</v>
      </c>
      <c r="Q656" s="3993"/>
    </row>
    <row r="657" spans="1:17" s="2265" customFormat="1" hidden="1" outlineLevel="1" x14ac:dyDescent="0.25">
      <c r="A657" s="2264"/>
      <c r="B657" s="733"/>
      <c r="C657" s="2257" t="s">
        <v>2662</v>
      </c>
      <c r="D657" s="2577"/>
      <c r="E657" s="2256"/>
      <c r="F657" s="5805">
        <f>MIN(F1207,F1211)*MAX($D$658,$D$659)/CurrencyMultiplier</f>
        <v>0.70666666666666667</v>
      </c>
      <c r="G657" s="5638">
        <f>MIN(G1207,G1211)*MAX($D$658,$D$659)/CurrencyMultiplier</f>
        <v>0.70666666666666667</v>
      </c>
      <c r="H657" s="5638">
        <f>MIN(H1207,H1211)*MAX($D$658,$D$659)/CurrencyMultiplier</f>
        <v>0.70666666666666667</v>
      </c>
      <c r="I657" s="5638">
        <f>MIN(I1207,I1211)*MAX($D$658,$D$659)/CurrencyMultiplier</f>
        <v>8.2196666666666669</v>
      </c>
      <c r="J657" s="5638">
        <f>MIN(J1207,J1211)*MAX($D$658,$D$659)/CurrencyMultiplier</f>
        <v>8.2196666666666669</v>
      </c>
      <c r="K657" s="5638">
        <f>MIN(K1207,K1211)*MAX($D$658,$D$659)/CurrencyMultiplier</f>
        <v>8.2196666666666633</v>
      </c>
      <c r="L657" s="5638">
        <f>MIN(L1207,L1211)*MAX($D$658,$D$659)/CurrencyMultiplier</f>
        <v>15</v>
      </c>
      <c r="M657" s="5638">
        <f>MIN(M1207,M1211)*MAX($D$658,$D$659)/CurrencyMultiplier</f>
        <v>15</v>
      </c>
      <c r="N657" s="5638">
        <f>MIN(N1207,N1211)*MAX($D$658,$D$659)/CurrencyMultiplier</f>
        <v>8.2196666666666633</v>
      </c>
      <c r="O657" s="5638">
        <f>MIN(O1207,O1211)*MAX($D$658,$D$659)/CurrencyMultiplier</f>
        <v>15</v>
      </c>
      <c r="P657" s="5710" t="s">
        <v>3485</v>
      </c>
      <c r="Q657" s="4005"/>
    </row>
    <row r="658" spans="1:17" s="2265" customFormat="1" hidden="1" outlineLevel="1" x14ac:dyDescent="0.25">
      <c r="A658" s="2264"/>
      <c r="B658" s="733"/>
      <c r="C658" s="2258" t="s">
        <v>1163</v>
      </c>
      <c r="D658" s="2578">
        <f>'WSS Profile'!$G$355</f>
        <v>500</v>
      </c>
      <c r="E658" s="2255"/>
      <c r="F658" s="5640">
        <f>F1205/F1207*F657</f>
        <v>0.70666666666666667</v>
      </c>
      <c r="G658" s="5640">
        <f t="shared" ref="G658:O658" si="268">G1217</f>
        <v>0.28266666666666673</v>
      </c>
      <c r="H658" s="5640">
        <f t="shared" si="268"/>
        <v>0.28266666666666673</v>
      </c>
      <c r="I658" s="5640">
        <f t="shared" si="268"/>
        <v>3.2878666666666669</v>
      </c>
      <c r="J658" s="5640">
        <f t="shared" si="268"/>
        <v>3.2878666666666669</v>
      </c>
      <c r="K658" s="5640">
        <f t="shared" si="268"/>
        <v>0</v>
      </c>
      <c r="L658" s="5640">
        <f t="shared" si="268"/>
        <v>0</v>
      </c>
      <c r="M658" s="5640">
        <f t="shared" si="268"/>
        <v>0</v>
      </c>
      <c r="N658" s="5640">
        <f t="shared" si="268"/>
        <v>0</v>
      </c>
      <c r="O658" s="5640">
        <f t="shared" si="268"/>
        <v>0</v>
      </c>
      <c r="P658" s="5709"/>
      <c r="Q658" s="4005"/>
    </row>
    <row r="659" spans="1:17" s="2265" customFormat="1" hidden="1" outlineLevel="1" x14ac:dyDescent="0.25">
      <c r="A659" s="2264"/>
      <c r="B659" s="733"/>
      <c r="C659" s="2258" t="s">
        <v>1164</v>
      </c>
      <c r="D659" s="2578">
        <f>'WW Plan'!$H$321</f>
        <v>0</v>
      </c>
      <c r="E659" s="2255"/>
      <c r="F659" s="5640">
        <f>F1206/F1207*F657</f>
        <v>0</v>
      </c>
      <c r="G659" s="5640">
        <f t="shared" ref="G659:O659" si="269">G1218</f>
        <v>0.42400000000000004</v>
      </c>
      <c r="H659" s="5640">
        <f t="shared" si="269"/>
        <v>0.42400000000000004</v>
      </c>
      <c r="I659" s="5640">
        <f t="shared" si="269"/>
        <v>4.9318</v>
      </c>
      <c r="J659" s="5640">
        <f t="shared" si="269"/>
        <v>4.9318</v>
      </c>
      <c r="K659" s="5640">
        <f t="shared" si="269"/>
        <v>0</v>
      </c>
      <c r="L659" s="5640">
        <f t="shared" si="269"/>
        <v>0</v>
      </c>
      <c r="M659" s="5640">
        <f t="shared" si="269"/>
        <v>0</v>
      </c>
      <c r="N659" s="5640">
        <f t="shared" si="269"/>
        <v>0</v>
      </c>
      <c r="O659" s="5640">
        <f t="shared" si="269"/>
        <v>0</v>
      </c>
      <c r="P659" s="5709"/>
      <c r="Q659" s="4005"/>
    </row>
    <row r="660" spans="1:17" s="1039" customFormat="1" hidden="1" outlineLevel="1" x14ac:dyDescent="0.25">
      <c r="A660" s="785"/>
      <c r="B660" s="49"/>
      <c r="C660" s="2259" t="s">
        <v>1165</v>
      </c>
      <c r="D660" s="5775">
        <f>'WW Plan'!H240</f>
        <v>150</v>
      </c>
      <c r="E660" s="2260"/>
      <c r="F660" s="2260">
        <f>(F654-$E$654)*$D$660*$M$623/CurrencyMultiplier</f>
        <v>1.35</v>
      </c>
      <c r="G660" s="2260">
        <f>(G654-$E$654)*$D$660*$M$623/CurrencyMultiplier</f>
        <v>1.35</v>
      </c>
      <c r="H660" s="2260">
        <f>(H654-$E$654)*$D$660*$M$623/CurrencyMultiplier</f>
        <v>1.35</v>
      </c>
      <c r="I660" s="2260">
        <f>(I654-$E$654)*$D$660*$M$623/CurrencyMultiplier</f>
        <v>1.35</v>
      </c>
      <c r="J660" s="2260">
        <f>(J654-$E$654)*$D$660*$M$623/CurrencyMultiplier</f>
        <v>1.35</v>
      </c>
      <c r="K660" s="2260">
        <f>(K654-$E$654)*$D$660*$M$623/CurrencyMultiplier</f>
        <v>1.35</v>
      </c>
      <c r="L660" s="2260">
        <f>(L654-$E$654)*$D$660*$M$623/CurrencyMultiplier</f>
        <v>1.35</v>
      </c>
      <c r="M660" s="2260">
        <f>(M654-$E$654)*$D$660*$M$623/CurrencyMultiplier</f>
        <v>1.35</v>
      </c>
      <c r="N660" s="2260">
        <f>(N654-$E$654)*$D$660*$M$623/CurrencyMultiplier</f>
        <v>1.35</v>
      </c>
      <c r="O660" s="2261">
        <f>(O654-$E$654)*$D$660*$M$623/CurrencyMultiplier</f>
        <v>1.35</v>
      </c>
      <c r="Q660" s="4005"/>
    </row>
    <row r="661" spans="1:17" hidden="1" outlineLevel="1" x14ac:dyDescent="0.25">
      <c r="A661" s="27"/>
      <c r="B661" s="49"/>
      <c r="C661" s="2263" t="s">
        <v>2585</v>
      </c>
      <c r="D661" s="2557"/>
      <c r="E661" s="48">
        <f>'WSS Profile'!G268</f>
        <v>0</v>
      </c>
      <c r="F661" s="348">
        <f>IF('WW Plan'!$E$308="Activate",IF(AND(F$579&gt;='WW Plan'!$G$308,F$579&lt;'WW Plan'!$H$308+1),E661+('WW Plan'!$H$316/('WW Plan'!$H$308+1-'WW Plan'!$G$308)),'WW calcu'!E661),E661)</f>
        <v>0</v>
      </c>
      <c r="G661" s="348">
        <f>IF('WW Plan'!$E$308="Activate",IF(AND(G$579&gt;='WW Plan'!$G$308,G$579&lt;'WW Plan'!$H$308+1),F661+('WW Plan'!$H$316/('WW Plan'!$H$308+1-'WW Plan'!$G$308)),'WW calcu'!F661),F661)</f>
        <v>0</v>
      </c>
      <c r="H661" s="348">
        <f>IF('WW Plan'!$E$308="Activate",IF(AND(H$579&gt;='WW Plan'!$G$308,H$579&lt;'WW Plan'!$H$308+1),G661+('WW Plan'!$H$316/('WW Plan'!$H$308+1-'WW Plan'!$G$308)),'WW calcu'!G661),G661)</f>
        <v>0</v>
      </c>
      <c r="I661" s="348">
        <f>IF('WW Plan'!$E$308="Activate",IF(AND(I$579&gt;='WW Plan'!$G$308,I$579&lt;'WW Plan'!$H$308+1),H661+('WW Plan'!$H$316/('WW Plan'!$H$308+1-'WW Plan'!$G$308)),'WW calcu'!H661),H661)</f>
        <v>0</v>
      </c>
      <c r="J661" s="348">
        <f>IF('WW Plan'!$E$308="Activate",IF(AND(J$579&gt;='WW Plan'!$G$308,J$579&lt;'WW Plan'!$H$308+1),I661+('WW Plan'!$H$316/('WW Plan'!$H$308+1-'WW Plan'!$G$308)),'WW calcu'!I661),I661)</f>
        <v>0</v>
      </c>
      <c r="K661" s="348">
        <f>IF('WW Plan'!$E$308="Activate",IF(AND(K$579&gt;='WW Plan'!$G$308,K$579&lt;'WW Plan'!$H$308+1),J661+('WW Plan'!$H$316/('WW Plan'!$H$308+1-'WW Plan'!$G$308)),'WW calcu'!J661),J661)</f>
        <v>0</v>
      </c>
      <c r="L661" s="348">
        <f>IF('WW Plan'!$E$308="Activate",IF(AND(L$579&gt;='WW Plan'!$G$308,L$579&lt;'WW Plan'!$H$308+1),K661+('WW Plan'!$H$316/('WW Plan'!$H$308+1-'WW Plan'!$G$308)),'WW calcu'!K661),K661)</f>
        <v>0</v>
      </c>
      <c r="M661" s="348">
        <f>IF('WW Plan'!$E$308="Activate",IF(AND(M$579&gt;='WW Plan'!$G$308,M$579&lt;'WW Plan'!$H$308+1),L661+('WW Plan'!$H$316/('WW Plan'!$H$308+1-'WW Plan'!$G$308)),'WW calcu'!L661),L661)</f>
        <v>0</v>
      </c>
      <c r="N661" s="348">
        <f>IF('WW Plan'!$E$308="Activate",IF(AND(N$579&gt;='WW Plan'!$G$308,N$579&lt;'WW Plan'!$H$308+1),M661+('WW Plan'!$H$316/('WW Plan'!$H$308+1-'WW Plan'!$G$308)),'WW calcu'!M661),M661)</f>
        <v>0</v>
      </c>
      <c r="O661" s="1301">
        <f>IF('WW Plan'!$E$308="Activate",IF(AND(O$579&gt;='WW Plan'!$G$308,O$579&lt;'WW Plan'!$H$308+1),N661+('WW Plan'!$H$316/('WW Plan'!$H$308+1-'WW Plan'!$G$308)),'WW calcu'!N661),N661)</f>
        <v>0</v>
      </c>
    </row>
    <row r="662" spans="1:17" hidden="1" outlineLevel="1" x14ac:dyDescent="0.25">
      <c r="A662" s="27"/>
      <c r="B662" s="27"/>
      <c r="C662" s="615" t="s">
        <v>2605</v>
      </c>
      <c r="D662" s="2557"/>
      <c r="E662" s="2100">
        <f>'WSS Profile'!G268*'WSS Profile'!G270</f>
        <v>0</v>
      </c>
      <c r="F662" s="348">
        <f>(IF('WW Plan'!$E$231="Activate",IF(AND(F$579&gt;='WW Plan'!$G$231,F$579&lt;'WW Plan'!$H$231+1),E662+(('WW Plan'!$H$238*$E$661)/('WW Plan'!$H$231+1-'WW Plan'!$G$231)),'WW calcu'!E662),E662))</f>
        <v>0</v>
      </c>
      <c r="G662" s="348">
        <f>(IF('WW Plan'!$E$231="Activate",IF(AND(G$579&gt;='WW Plan'!$G$231,G$579&lt;'WW Plan'!$H$231+1),F662+(('WW Plan'!$H$238*$E$661)/('WW Plan'!$H$231+1-'WW Plan'!$G$231)),'WW calcu'!F662),F662))</f>
        <v>0</v>
      </c>
      <c r="H662" s="348">
        <f>(IF('WW Plan'!$E$231="Activate",IF(AND(H$579&gt;='WW Plan'!$G$231,H$579&lt;'WW Plan'!$H$231+1),G662+(('WW Plan'!$H$238*$E$661)/('WW Plan'!$H$231+1-'WW Plan'!$G$231)),'WW calcu'!G662),G662))</f>
        <v>0</v>
      </c>
      <c r="I662" s="348">
        <f>(IF('WW Plan'!$E$231="Activate",IF(AND(I$579&gt;='WW Plan'!$G$231,I$579&lt;'WW Plan'!$H$231+1),H662+(('WW Plan'!$H$238*$E$661)/('WW Plan'!$H$231+1-'WW Plan'!$G$231)),'WW calcu'!H662),H662))</f>
        <v>0</v>
      </c>
      <c r="J662" s="348">
        <f>(IF('WW Plan'!$E$231="Activate",IF(AND(J$579&gt;='WW Plan'!$G$231,J$579&lt;'WW Plan'!$H$231+1),I662+(('WW Plan'!$H$238*$E$661)/('WW Plan'!$H$231+1-'WW Plan'!$G$231)),'WW calcu'!I662),I662))</f>
        <v>0</v>
      </c>
      <c r="K662" s="348">
        <f>(IF('WW Plan'!$E$231="Activate",IF(AND(K$579&gt;='WW Plan'!$G$231,K$579&lt;'WW Plan'!$H$231+1),J662+(('WW Plan'!$H$238*$E$661)/('WW Plan'!$H$231+1-'WW Plan'!$G$231)),'WW calcu'!J662),J662))</f>
        <v>0</v>
      </c>
      <c r="L662" s="348">
        <f>(IF('WW Plan'!$E$231="Activate",IF(AND(L$579&gt;='WW Plan'!$G$231,L$579&lt;'WW Plan'!$H$231+1),K662+(('WW Plan'!$H$238*$E$661)/('WW Plan'!$H$231+1-'WW Plan'!$G$231)),'WW calcu'!K662),K662))</f>
        <v>0</v>
      </c>
      <c r="M662" s="348">
        <f>(IF('WW Plan'!$E$231="Activate",IF(AND(M$579&gt;='WW Plan'!$G$231,M$579&lt;'WW Plan'!$H$231+1),L662+(('WW Plan'!$H$238*$E$661)/('WW Plan'!$H$231+1-'WW Plan'!$G$231)),'WW calcu'!L662),L662))</f>
        <v>0</v>
      </c>
      <c r="N662" s="348">
        <f>(IF('WW Plan'!$E$231="Activate",IF(AND(N$579&gt;='WW Plan'!$G$231,N$579&lt;'WW Plan'!$H$231+1),M662+(('WW Plan'!$H$238*$E$661)/('WW Plan'!$H$231+1-'WW Plan'!$G$231)),'WW calcu'!M662),M662))</f>
        <v>0</v>
      </c>
      <c r="O662" s="1301">
        <f>(IF('WW Plan'!$E$231="Activate",IF(AND(O$579&gt;='WW Plan'!$G$231,O$579&lt;'WW Plan'!$H$231+1),N662+(('WW Plan'!$H$238*$E$661)/('WW Plan'!$H$231+1-'WW Plan'!$G$231)),'WW calcu'!N662),N662))</f>
        <v>0</v>
      </c>
    </row>
    <row r="663" spans="1:17" hidden="1" outlineLevel="1" x14ac:dyDescent="0.25">
      <c r="A663" s="27"/>
      <c r="B663" s="27"/>
      <c r="C663" s="615" t="s">
        <v>2606</v>
      </c>
      <c r="D663" s="2557"/>
      <c r="E663" s="2100"/>
      <c r="F663" s="348">
        <f>+(IF('WW Plan'!$E$308="Activate",IF(AND(F$579&gt;='WW Plan'!$G$308,F$579&lt;'WW Plan'!$H$308+1),(('WW Plan'!$H$318*'WW Plan'!$H$316)/('WW Plan'!$H$308+1-'WW Plan'!$G$308)),0),0))+E663</f>
        <v>0</v>
      </c>
      <c r="G663" s="348">
        <f>+(IF('WW Plan'!$E$308="Activate",IF(AND(G$579&gt;='WW Plan'!$G$308,G$579&lt;'WW Plan'!$H$308+1),(('WW Plan'!$H$318*'WW Plan'!$H$316)/('WW Plan'!$H$308+1-'WW Plan'!$G$308)),0),0))+F663</f>
        <v>0</v>
      </c>
      <c r="H663" s="348">
        <f>+(IF('WW Plan'!$E$308="Activate",IF(AND(H$579&gt;='WW Plan'!$G$308,H$579&lt;'WW Plan'!$H$308+1),(('WW Plan'!$H$318*'WW Plan'!$H$316)/('WW Plan'!$H$308+1-'WW Plan'!$G$308)),0),0))+G663</f>
        <v>0</v>
      </c>
      <c r="I663" s="348">
        <f>+(IF('WW Plan'!$E$308="Activate",IF(AND(I$579&gt;='WW Plan'!$G$308,I$579&lt;'WW Plan'!$H$308+1),(('WW Plan'!$H$318*'WW Plan'!$H$316)/('WW Plan'!$H$308+1-'WW Plan'!$G$308)),0),0))+H663</f>
        <v>0</v>
      </c>
      <c r="J663" s="348">
        <f>+(IF('WW Plan'!$E$308="Activate",IF(AND(J$579&gt;='WW Plan'!$G$308,J$579&lt;'WW Plan'!$H$308+1),(('WW Plan'!$H$318*'WW Plan'!$H$316)/('WW Plan'!$H$308+1-'WW Plan'!$G$308)),0),0))+I663</f>
        <v>0</v>
      </c>
      <c r="K663" s="348">
        <f>+(IF('WW Plan'!$E$308="Activate",IF(AND(K$579&gt;='WW Plan'!$G$308,K$579&lt;'WW Plan'!$H$308+1),(('WW Plan'!$H$318*'WW Plan'!$H$316)/('WW Plan'!$H$308+1-'WW Plan'!$G$308)),0),0))+J663</f>
        <v>0</v>
      </c>
      <c r="L663" s="348">
        <f>+(IF('WW Plan'!$E$308="Activate",IF(AND(L$579&gt;='WW Plan'!$G$308,L$579&lt;'WW Plan'!$H$308+1),(('WW Plan'!$H$318*'WW Plan'!$H$316)/('WW Plan'!$H$308+1-'WW Plan'!$G$308)),0),0))+K663</f>
        <v>0</v>
      </c>
      <c r="M663" s="348">
        <f>+(IF('WW Plan'!$E$308="Activate",IF(AND(M$579&gt;='WW Plan'!$G$308,M$579&lt;'WW Plan'!$H$308+1),(('WW Plan'!$H$318*'WW Plan'!$H$316)/('WW Plan'!$H$308+1-'WW Plan'!$G$308)),0),0))+L663</f>
        <v>0</v>
      </c>
      <c r="N663" s="348">
        <f>+(IF('WW Plan'!$E$308="Activate",IF(AND(N$579&gt;='WW Plan'!$G$308,N$579&lt;'WW Plan'!$H$308+1),(('WW Plan'!$H$318*'WW Plan'!$H$316)/('WW Plan'!$H$308+1-'WW Plan'!$G$308)),0),0))+M663</f>
        <v>0</v>
      </c>
      <c r="O663" s="1301">
        <f>+(IF('WW Plan'!$E$308="Activate",IF(AND(O$579&gt;='WW Plan'!$G$308,O$579&lt;'WW Plan'!$H$308+1),(('WW Plan'!$H$318*'WW Plan'!$H$316)/('WW Plan'!$H$308+1-'WW Plan'!$G$308)),0),0))+N663</f>
        <v>0</v>
      </c>
    </row>
    <row r="664" spans="1:17" hidden="1" outlineLevel="1" x14ac:dyDescent="0.25">
      <c r="A664" s="27"/>
      <c r="B664" s="27"/>
      <c r="C664" s="2210" t="s">
        <v>2626</v>
      </c>
      <c r="D664" s="2579"/>
      <c r="E664" s="2166">
        <f t="shared" ref="E664:O664" si="270">ROUND(($E$661*$F$622*E662)+((E661-$E$661)*$G$622*E663),0)</f>
        <v>0</v>
      </c>
      <c r="F664" s="2166">
        <f t="shared" si="270"/>
        <v>0</v>
      </c>
      <c r="G664" s="2166">
        <f t="shared" si="270"/>
        <v>0</v>
      </c>
      <c r="H664" s="2166">
        <f t="shared" si="270"/>
        <v>0</v>
      </c>
      <c r="I664" s="2166">
        <f t="shared" si="270"/>
        <v>0</v>
      </c>
      <c r="J664" s="2166">
        <f t="shared" si="270"/>
        <v>0</v>
      </c>
      <c r="K664" s="2166">
        <f t="shared" si="270"/>
        <v>0</v>
      </c>
      <c r="L664" s="2166">
        <f t="shared" si="270"/>
        <v>0</v>
      </c>
      <c r="M664" s="2166">
        <f t="shared" si="270"/>
        <v>0</v>
      </c>
      <c r="N664" s="2166">
        <f t="shared" si="270"/>
        <v>0</v>
      </c>
      <c r="O664" s="2207">
        <f t="shared" si="270"/>
        <v>0</v>
      </c>
    </row>
    <row r="665" spans="1:17" s="49" customFormat="1" hidden="1" outlineLevel="1" x14ac:dyDescent="0.25">
      <c r="C665" s="2170" t="s">
        <v>2627</v>
      </c>
      <c r="D665" s="2580"/>
      <c r="E665" s="2208">
        <f t="shared" ref="E665:O665" si="271">E656+E664</f>
        <v>1</v>
      </c>
      <c r="F665" s="2208">
        <f t="shared" si="271"/>
        <v>7</v>
      </c>
      <c r="G665" s="2208">
        <f t="shared" si="271"/>
        <v>16</v>
      </c>
      <c r="H665" s="2208">
        <f t="shared" si="271"/>
        <v>16</v>
      </c>
      <c r="I665" s="2208">
        <f t="shared" si="271"/>
        <v>16</v>
      </c>
      <c r="J665" s="2208">
        <f t="shared" si="271"/>
        <v>16</v>
      </c>
      <c r="K665" s="2208">
        <f t="shared" si="271"/>
        <v>16</v>
      </c>
      <c r="L665" s="2208">
        <f t="shared" si="271"/>
        <v>16</v>
      </c>
      <c r="M665" s="2208">
        <f t="shared" si="271"/>
        <v>16</v>
      </c>
      <c r="N665" s="2208">
        <f t="shared" si="271"/>
        <v>16</v>
      </c>
      <c r="O665" s="2209">
        <f t="shared" si="271"/>
        <v>16</v>
      </c>
      <c r="Q665" s="3993"/>
    </row>
    <row r="666" spans="1:17" hidden="1" outlineLevel="1" x14ac:dyDescent="0.25">
      <c r="A666" s="27"/>
      <c r="B666" s="27"/>
      <c r="C666" s="551" t="s">
        <v>2628</v>
      </c>
      <c r="D666" s="2547"/>
      <c r="E666" s="617">
        <f>E665*$M$620*Population!E$34*$M$621</f>
        <v>0</v>
      </c>
      <c r="F666" s="617">
        <f>F665*$M$620*Population!F$34*$M$621</f>
        <v>0</v>
      </c>
      <c r="G666" s="617">
        <f>G665*$M$620*Population!G$34*$M$621</f>
        <v>0</v>
      </c>
      <c r="H666" s="617">
        <f>H665*$M$620*Population!H$34*$M$621</f>
        <v>0</v>
      </c>
      <c r="I666" s="617">
        <f>I665*$M$620*Population!I$34*$M$621</f>
        <v>0</v>
      </c>
      <c r="J666" s="617">
        <f>J665*$M$620*Population!J$34*$M$621</f>
        <v>0</v>
      </c>
      <c r="K666" s="617">
        <f>K665*$M$620*Population!K$34*$M$621</f>
        <v>0</v>
      </c>
      <c r="L666" s="617">
        <f>L665*$M$620*Population!L$34*$M$621</f>
        <v>0</v>
      </c>
      <c r="M666" s="617">
        <f>M665*$M$620*Population!M$34*$M$621</f>
        <v>0</v>
      </c>
      <c r="N666" s="617">
        <f>N665*$M$620*Population!N$34*$M$621</f>
        <v>0</v>
      </c>
      <c r="O666" s="2088">
        <f>O665*$M$620*Population!O$34*$M$621</f>
        <v>0</v>
      </c>
    </row>
    <row r="667" spans="1:17" hidden="1" outlineLevel="1" x14ac:dyDescent="0.25">
      <c r="A667" s="27"/>
      <c r="B667" s="27"/>
      <c r="C667" s="7286" t="s">
        <v>2639</v>
      </c>
      <c r="D667" s="2481" t="s">
        <v>2637</v>
      </c>
      <c r="E667" s="2199">
        <f t="shared" ref="E667:O667" si="272">(E654*$E$653*$D$621)+((E653-$E$653)*E655*$E$621)</f>
        <v>5</v>
      </c>
      <c r="F667" s="2199">
        <f t="shared" si="272"/>
        <v>30.5</v>
      </c>
      <c r="G667" s="2199">
        <f t="shared" si="272"/>
        <v>62</v>
      </c>
      <c r="H667" s="2199">
        <f t="shared" si="272"/>
        <v>62</v>
      </c>
      <c r="I667" s="2199">
        <f t="shared" si="272"/>
        <v>62</v>
      </c>
      <c r="J667" s="2199">
        <f t="shared" si="272"/>
        <v>62</v>
      </c>
      <c r="K667" s="2199">
        <f t="shared" si="272"/>
        <v>62</v>
      </c>
      <c r="L667" s="2199">
        <f t="shared" si="272"/>
        <v>62</v>
      </c>
      <c r="M667" s="2199">
        <f t="shared" si="272"/>
        <v>62</v>
      </c>
      <c r="N667" s="2199">
        <f t="shared" si="272"/>
        <v>62</v>
      </c>
      <c r="O667" s="2200">
        <f t="shared" si="272"/>
        <v>62</v>
      </c>
      <c r="P667" s="2196"/>
    </row>
    <row r="668" spans="1:17" hidden="1" outlineLevel="1" x14ac:dyDescent="0.25">
      <c r="A668" s="27"/>
      <c r="B668" s="27"/>
      <c r="C668" s="7287"/>
      <c r="D668" s="2488" t="s">
        <v>2638</v>
      </c>
      <c r="E668" s="2201">
        <f t="shared" ref="E668:O668" si="273">(E662*$E$661*$F$621)+((E661-$E$661)*E663*$G$621)</f>
        <v>0</v>
      </c>
      <c r="F668" s="2201">
        <f t="shared" si="273"/>
        <v>0</v>
      </c>
      <c r="G668" s="2201">
        <f t="shared" si="273"/>
        <v>0</v>
      </c>
      <c r="H668" s="2201">
        <f t="shared" si="273"/>
        <v>0</v>
      </c>
      <c r="I668" s="2201">
        <f t="shared" si="273"/>
        <v>0</v>
      </c>
      <c r="J668" s="2201">
        <f t="shared" si="273"/>
        <v>0</v>
      </c>
      <c r="K668" s="2201">
        <f t="shared" si="273"/>
        <v>0</v>
      </c>
      <c r="L668" s="2201">
        <f t="shared" si="273"/>
        <v>0</v>
      </c>
      <c r="M668" s="2201">
        <f t="shared" si="273"/>
        <v>0</v>
      </c>
      <c r="N668" s="2201">
        <f t="shared" si="273"/>
        <v>0</v>
      </c>
      <c r="O668" s="2202">
        <f t="shared" si="273"/>
        <v>0</v>
      </c>
    </row>
    <row r="669" spans="1:17" hidden="1" outlineLevel="1" x14ac:dyDescent="0.25">
      <c r="A669" s="27"/>
      <c r="B669" s="27"/>
      <c r="C669" s="7288"/>
      <c r="D669" s="2551" t="s">
        <v>16</v>
      </c>
      <c r="E669" s="2097">
        <f>E667+E668</f>
        <v>5</v>
      </c>
      <c r="F669" s="2097">
        <f t="shared" ref="F669:O669" si="274">F667+F668</f>
        <v>30.5</v>
      </c>
      <c r="G669" s="2097">
        <f t="shared" si="274"/>
        <v>62</v>
      </c>
      <c r="H669" s="2097">
        <f t="shared" si="274"/>
        <v>62</v>
      </c>
      <c r="I669" s="2097">
        <f t="shared" si="274"/>
        <v>62</v>
      </c>
      <c r="J669" s="2097">
        <f t="shared" si="274"/>
        <v>62</v>
      </c>
      <c r="K669" s="2097">
        <f t="shared" si="274"/>
        <v>62</v>
      </c>
      <c r="L669" s="2097">
        <f t="shared" si="274"/>
        <v>62</v>
      </c>
      <c r="M669" s="2097">
        <f t="shared" si="274"/>
        <v>62</v>
      </c>
      <c r="N669" s="2097">
        <f t="shared" si="274"/>
        <v>62</v>
      </c>
      <c r="O669" s="2098">
        <f t="shared" si="274"/>
        <v>62</v>
      </c>
    </row>
    <row r="670" spans="1:17" ht="30" hidden="1" outlineLevel="1" x14ac:dyDescent="0.25">
      <c r="A670" s="27"/>
      <c r="B670" s="27"/>
      <c r="C670" s="2223" t="s">
        <v>2644</v>
      </c>
      <c r="D670" s="3731">
        <v>0.25</v>
      </c>
      <c r="E670" s="2224">
        <f>E669*(1-$D$670)</f>
        <v>3.75</v>
      </c>
      <c r="F670" s="2224">
        <f t="shared" ref="F670:O670" si="275">F669*(1-$D$670)</f>
        <v>22.875</v>
      </c>
      <c r="G670" s="2224">
        <f t="shared" si="275"/>
        <v>46.5</v>
      </c>
      <c r="H670" s="2224">
        <f t="shared" si="275"/>
        <v>46.5</v>
      </c>
      <c r="I670" s="2224">
        <f t="shared" si="275"/>
        <v>46.5</v>
      </c>
      <c r="J670" s="2224">
        <f t="shared" si="275"/>
        <v>46.5</v>
      </c>
      <c r="K670" s="2224">
        <f t="shared" si="275"/>
        <v>46.5</v>
      </c>
      <c r="L670" s="2224">
        <f t="shared" si="275"/>
        <v>46.5</v>
      </c>
      <c r="M670" s="2224">
        <f t="shared" si="275"/>
        <v>46.5</v>
      </c>
      <c r="N670" s="2224">
        <f t="shared" si="275"/>
        <v>46.5</v>
      </c>
      <c r="O670" s="2225">
        <f t="shared" si="275"/>
        <v>46.5</v>
      </c>
    </row>
    <row r="671" spans="1:17" hidden="1" outlineLevel="1" x14ac:dyDescent="0.25">
      <c r="A671" s="27"/>
      <c r="B671" s="27"/>
      <c r="G671" s="663"/>
      <c r="J671" s="27"/>
      <c r="K671" s="27"/>
      <c r="L671" s="27"/>
      <c r="M671" s="27"/>
      <c r="N671" s="27"/>
      <c r="O671" s="27"/>
    </row>
    <row r="672" spans="1:17" hidden="1" outlineLevel="1" x14ac:dyDescent="0.25">
      <c r="A672" s="27"/>
      <c r="B672" s="27"/>
      <c r="C672" s="676" t="s">
        <v>2582</v>
      </c>
      <c r="D672" s="2585"/>
      <c r="E672" s="2227"/>
      <c r="F672" s="2227"/>
      <c r="G672" s="2227"/>
      <c r="H672" s="2227"/>
      <c r="I672" s="2227"/>
      <c r="J672" s="2227"/>
      <c r="K672" s="2227"/>
      <c r="L672" s="2227"/>
      <c r="M672" s="2227"/>
      <c r="N672" s="2227"/>
      <c r="O672" s="2227"/>
    </row>
    <row r="673" spans="1:17" ht="30" hidden="1" outlineLevel="1" x14ac:dyDescent="0.25">
      <c r="A673" s="27"/>
      <c r="B673" s="27"/>
      <c r="C673" s="2211" t="s">
        <v>2645</v>
      </c>
      <c r="D673" s="2586" t="s">
        <v>2643</v>
      </c>
      <c r="E673" s="2280">
        <f t="shared" ref="E673:O673" si="276">MIN(E647,E670)</f>
        <v>0</v>
      </c>
      <c r="F673" s="2280">
        <f t="shared" si="276"/>
        <v>0</v>
      </c>
      <c r="G673" s="2280">
        <f t="shared" si="276"/>
        <v>0</v>
      </c>
      <c r="H673" s="2280">
        <f t="shared" si="276"/>
        <v>0</v>
      </c>
      <c r="I673" s="2280">
        <f t="shared" si="276"/>
        <v>0</v>
      </c>
      <c r="J673" s="2280">
        <f t="shared" si="276"/>
        <v>0</v>
      </c>
      <c r="K673" s="2280">
        <f t="shared" si="276"/>
        <v>0</v>
      </c>
      <c r="L673" s="2280">
        <f t="shared" si="276"/>
        <v>0</v>
      </c>
      <c r="M673" s="2280">
        <f t="shared" si="276"/>
        <v>0</v>
      </c>
      <c r="N673" s="2280">
        <f t="shared" si="276"/>
        <v>0</v>
      </c>
      <c r="O673" s="2281">
        <f t="shared" si="276"/>
        <v>0</v>
      </c>
    </row>
    <row r="674" spans="1:17" ht="30" hidden="1" outlineLevel="1" x14ac:dyDescent="0.25">
      <c r="A674" s="27"/>
      <c r="B674" s="27"/>
      <c r="C674" s="2282" t="s">
        <v>2645</v>
      </c>
      <c r="D674" s="2587" t="s">
        <v>19</v>
      </c>
      <c r="E674" s="2283">
        <f t="shared" ref="E674:O674" si="277">E673*$D$712</f>
        <v>0</v>
      </c>
      <c r="F674" s="2283">
        <f>F673*$D$712</f>
        <v>0</v>
      </c>
      <c r="G674" s="2283">
        <f t="shared" si="277"/>
        <v>0</v>
      </c>
      <c r="H674" s="2283">
        <f t="shared" si="277"/>
        <v>0</v>
      </c>
      <c r="I674" s="2283">
        <f t="shared" si="277"/>
        <v>0</v>
      </c>
      <c r="J674" s="2283">
        <f t="shared" si="277"/>
        <v>0</v>
      </c>
      <c r="K674" s="2283">
        <f t="shared" si="277"/>
        <v>0</v>
      </c>
      <c r="L674" s="2283">
        <f t="shared" si="277"/>
        <v>0</v>
      </c>
      <c r="M674" s="2283">
        <f t="shared" si="277"/>
        <v>0</v>
      </c>
      <c r="N674" s="2283">
        <f t="shared" si="277"/>
        <v>0</v>
      </c>
      <c r="O674" s="2284">
        <f t="shared" si="277"/>
        <v>0</v>
      </c>
    </row>
    <row r="675" spans="1:17" hidden="1" outlineLevel="1" x14ac:dyDescent="0.25">
      <c r="A675" s="27"/>
      <c r="B675" s="27"/>
      <c r="C675" s="2228" t="s">
        <v>2652</v>
      </c>
      <c r="D675" s="2588"/>
      <c r="E675" s="2239">
        <f t="shared" ref="E675:O675" si="278">E673*$M$623</f>
        <v>0</v>
      </c>
      <c r="F675" s="2239">
        <f t="shared" si="278"/>
        <v>0</v>
      </c>
      <c r="G675" s="2239">
        <f t="shared" si="278"/>
        <v>0</v>
      </c>
      <c r="H675" s="2239">
        <f t="shared" si="278"/>
        <v>0</v>
      </c>
      <c r="I675" s="2239">
        <f t="shared" si="278"/>
        <v>0</v>
      </c>
      <c r="J675" s="2239">
        <f t="shared" si="278"/>
        <v>0</v>
      </c>
      <c r="K675" s="2239">
        <f t="shared" si="278"/>
        <v>0</v>
      </c>
      <c r="L675" s="2239">
        <f t="shared" si="278"/>
        <v>0</v>
      </c>
      <c r="M675" s="2239">
        <f t="shared" si="278"/>
        <v>0</v>
      </c>
      <c r="N675" s="2239">
        <f t="shared" si="278"/>
        <v>0</v>
      </c>
      <c r="O675" s="2240">
        <f t="shared" si="278"/>
        <v>0</v>
      </c>
    </row>
    <row r="676" spans="1:17" hidden="1" outlineLevel="1" x14ac:dyDescent="0.25">
      <c r="A676" s="27"/>
      <c r="B676" s="27"/>
      <c r="C676" s="7282" t="s">
        <v>2650</v>
      </c>
      <c r="D676" s="2251" t="s">
        <v>2649</v>
      </c>
      <c r="E676" s="4582">
        <f t="shared" ref="E676:O676" si="279">E$675*E648</f>
        <v>0</v>
      </c>
      <c r="F676" s="4582">
        <f t="shared" si="279"/>
        <v>0</v>
      </c>
      <c r="G676" s="2241">
        <f t="shared" si="279"/>
        <v>0</v>
      </c>
      <c r="H676" s="2241">
        <f t="shared" si="279"/>
        <v>0</v>
      </c>
      <c r="I676" s="2241">
        <f t="shared" si="279"/>
        <v>0</v>
      </c>
      <c r="J676" s="2241">
        <f t="shared" si="279"/>
        <v>0</v>
      </c>
      <c r="K676" s="2241">
        <f t="shared" si="279"/>
        <v>0</v>
      </c>
      <c r="L676" s="2241">
        <f t="shared" si="279"/>
        <v>0</v>
      </c>
      <c r="M676" s="2241">
        <f t="shared" si="279"/>
        <v>0</v>
      </c>
      <c r="N676" s="2241">
        <f t="shared" si="279"/>
        <v>0</v>
      </c>
      <c r="O676" s="2242">
        <f t="shared" si="279"/>
        <v>0</v>
      </c>
    </row>
    <row r="677" spans="1:17" hidden="1" outlineLevel="1" x14ac:dyDescent="0.25">
      <c r="A677" s="27"/>
      <c r="B677" s="27"/>
      <c r="C677" s="7279"/>
      <c r="D677" s="2251" t="s">
        <v>2646</v>
      </c>
      <c r="E677" s="2241">
        <f t="shared" ref="E677:O677" si="280">E$675*E649</f>
        <v>0</v>
      </c>
      <c r="F677" s="4582">
        <f t="shared" si="280"/>
        <v>0</v>
      </c>
      <c r="G677" s="2241">
        <f t="shared" si="280"/>
        <v>0</v>
      </c>
      <c r="H677" s="2241">
        <f t="shared" si="280"/>
        <v>0</v>
      </c>
      <c r="I677" s="2241">
        <f t="shared" si="280"/>
        <v>0</v>
      </c>
      <c r="J677" s="2241">
        <f t="shared" si="280"/>
        <v>0</v>
      </c>
      <c r="K677" s="2241">
        <f t="shared" si="280"/>
        <v>0</v>
      </c>
      <c r="L677" s="2241">
        <f t="shared" si="280"/>
        <v>0</v>
      </c>
      <c r="M677" s="2241">
        <f t="shared" si="280"/>
        <v>0</v>
      </c>
      <c r="N677" s="2241">
        <f t="shared" si="280"/>
        <v>0</v>
      </c>
      <c r="O677" s="2242">
        <f t="shared" si="280"/>
        <v>0</v>
      </c>
    </row>
    <row r="678" spans="1:17" hidden="1" outlineLevel="1" x14ac:dyDescent="0.25">
      <c r="A678" s="27"/>
      <c r="B678" s="27"/>
      <c r="C678" s="7279"/>
      <c r="D678" s="2251" t="s">
        <v>2647</v>
      </c>
      <c r="E678" s="2241">
        <f t="shared" ref="E678:O678" si="281">E$675*E650</f>
        <v>0</v>
      </c>
      <c r="F678" s="2241">
        <f t="shared" si="281"/>
        <v>0</v>
      </c>
      <c r="G678" s="2241">
        <f t="shared" si="281"/>
        <v>0</v>
      </c>
      <c r="H678" s="2241">
        <f t="shared" si="281"/>
        <v>0</v>
      </c>
      <c r="I678" s="2241">
        <f t="shared" si="281"/>
        <v>0</v>
      </c>
      <c r="J678" s="2241">
        <f t="shared" si="281"/>
        <v>0</v>
      </c>
      <c r="K678" s="2241">
        <f t="shared" si="281"/>
        <v>0</v>
      </c>
      <c r="L678" s="2241">
        <f t="shared" si="281"/>
        <v>0</v>
      </c>
      <c r="M678" s="2241">
        <f t="shared" si="281"/>
        <v>0</v>
      </c>
      <c r="N678" s="2241">
        <f t="shared" si="281"/>
        <v>0</v>
      </c>
      <c r="O678" s="2242">
        <f t="shared" si="281"/>
        <v>0</v>
      </c>
    </row>
    <row r="679" spans="1:17" hidden="1" outlineLevel="1" x14ac:dyDescent="0.25">
      <c r="A679" s="27"/>
      <c r="B679" s="27"/>
      <c r="C679" s="7278" t="s">
        <v>2651</v>
      </c>
      <c r="D679" s="2492" t="s">
        <v>2649</v>
      </c>
      <c r="E679" s="2246">
        <f t="shared" ref="E679:O679" si="282">IFERROR(ROUND(E676/E628,0),0)</f>
        <v>0</v>
      </c>
      <c r="F679" s="2246">
        <f t="shared" si="282"/>
        <v>0</v>
      </c>
      <c r="G679" s="2246">
        <f t="shared" si="282"/>
        <v>0</v>
      </c>
      <c r="H679" s="2246">
        <f t="shared" si="282"/>
        <v>0</v>
      </c>
      <c r="I679" s="2246">
        <f t="shared" si="282"/>
        <v>0</v>
      </c>
      <c r="J679" s="2246">
        <f t="shared" si="282"/>
        <v>0</v>
      </c>
      <c r="K679" s="2246">
        <f t="shared" si="282"/>
        <v>0</v>
      </c>
      <c r="L679" s="2246">
        <f t="shared" si="282"/>
        <v>0</v>
      </c>
      <c r="M679" s="2246">
        <f t="shared" si="282"/>
        <v>0</v>
      </c>
      <c r="N679" s="2246">
        <f t="shared" si="282"/>
        <v>0</v>
      </c>
      <c r="O679" s="2247">
        <f t="shared" si="282"/>
        <v>0</v>
      </c>
    </row>
    <row r="680" spans="1:17" hidden="1" outlineLevel="1" x14ac:dyDescent="0.25">
      <c r="A680" s="27"/>
      <c r="B680" s="27"/>
      <c r="C680" s="7279"/>
      <c r="D680" s="2251" t="s">
        <v>2646</v>
      </c>
      <c r="E680" s="2241">
        <f t="shared" ref="E680:O680" si="283">IFERROR(ROUND(E677/E636,0),0)</f>
        <v>0</v>
      </c>
      <c r="F680" s="2241">
        <f t="shared" si="283"/>
        <v>0</v>
      </c>
      <c r="G680" s="2241">
        <f t="shared" si="283"/>
        <v>0</v>
      </c>
      <c r="H680" s="2241">
        <f t="shared" si="283"/>
        <v>0</v>
      </c>
      <c r="I680" s="2241">
        <f t="shared" si="283"/>
        <v>0</v>
      </c>
      <c r="J680" s="2241">
        <f t="shared" si="283"/>
        <v>0</v>
      </c>
      <c r="K680" s="2241">
        <f t="shared" si="283"/>
        <v>0</v>
      </c>
      <c r="L680" s="2241">
        <f t="shared" si="283"/>
        <v>0</v>
      </c>
      <c r="M680" s="2241">
        <f t="shared" si="283"/>
        <v>0</v>
      </c>
      <c r="N680" s="2241">
        <f t="shared" si="283"/>
        <v>0</v>
      </c>
      <c r="O680" s="2242">
        <f t="shared" si="283"/>
        <v>0</v>
      </c>
    </row>
    <row r="681" spans="1:17" hidden="1" outlineLevel="1" x14ac:dyDescent="0.25">
      <c r="A681" s="27"/>
      <c r="B681" s="27"/>
      <c r="C681" s="7279"/>
      <c r="D681" s="2251" t="s">
        <v>2647</v>
      </c>
      <c r="E681" s="2241">
        <f t="shared" ref="E681:O681" si="284">IFERROR(ROUND(E678/E644,0),0)</f>
        <v>0</v>
      </c>
      <c r="F681" s="2241">
        <f t="shared" si="284"/>
        <v>0</v>
      </c>
      <c r="G681" s="2241">
        <f t="shared" si="284"/>
        <v>0</v>
      </c>
      <c r="H681" s="2241">
        <f t="shared" si="284"/>
        <v>0</v>
      </c>
      <c r="I681" s="2241">
        <f t="shared" si="284"/>
        <v>0</v>
      </c>
      <c r="J681" s="2241">
        <f t="shared" si="284"/>
        <v>0</v>
      </c>
      <c r="K681" s="2241">
        <f t="shared" si="284"/>
        <v>0</v>
      </c>
      <c r="L681" s="2241">
        <f t="shared" si="284"/>
        <v>0</v>
      </c>
      <c r="M681" s="2241">
        <f t="shared" si="284"/>
        <v>0</v>
      </c>
      <c r="N681" s="2241">
        <f t="shared" si="284"/>
        <v>0</v>
      </c>
      <c r="O681" s="2242">
        <f t="shared" si="284"/>
        <v>0</v>
      </c>
    </row>
    <row r="682" spans="1:17" hidden="1" outlineLevel="1" x14ac:dyDescent="0.25">
      <c r="A682" s="27"/>
      <c r="B682" s="27"/>
      <c r="C682" s="2248" t="s">
        <v>2657</v>
      </c>
      <c r="D682" s="2589"/>
      <c r="E682" s="2244">
        <f t="shared" ref="E682:O682" si="285">E626+E631+E639</f>
        <v>4481</v>
      </c>
      <c r="F682" s="2244">
        <f t="shared" si="285"/>
        <v>5156</v>
      </c>
      <c r="G682" s="2244">
        <f t="shared" si="285"/>
        <v>5831</v>
      </c>
      <c r="H682" s="2244">
        <f t="shared" si="285"/>
        <v>6506</v>
      </c>
      <c r="I682" s="2244">
        <f t="shared" si="285"/>
        <v>7165.0000000000009</v>
      </c>
      <c r="J682" s="2244">
        <f t="shared" si="285"/>
        <v>8037</v>
      </c>
      <c r="K682" s="2244">
        <f t="shared" si="285"/>
        <v>8037</v>
      </c>
      <c r="L682" s="2244">
        <f t="shared" si="285"/>
        <v>8037</v>
      </c>
      <c r="M682" s="2244">
        <f t="shared" si="285"/>
        <v>8037</v>
      </c>
      <c r="N682" s="2244">
        <f t="shared" si="285"/>
        <v>8037</v>
      </c>
      <c r="O682" s="2245">
        <f t="shared" si="285"/>
        <v>8037</v>
      </c>
    </row>
    <row r="683" spans="1:17" s="80" customFormat="1" hidden="1" outlineLevel="1" x14ac:dyDescent="0.25">
      <c r="A683" s="1046"/>
      <c r="B683" s="742"/>
      <c r="C683" s="763" t="s">
        <v>2658</v>
      </c>
      <c r="D683" s="764"/>
      <c r="E683" s="2249">
        <f>IFERROR(SUM(E679:E681)/E682,0)</f>
        <v>0</v>
      </c>
      <c r="F683" s="2249">
        <f>IFERROR(SUM(F679:F681)/F682,0)</f>
        <v>0</v>
      </c>
      <c r="G683" s="2249">
        <f t="shared" ref="G683:O683" si="286">IFERROR(SUM(G679:G681)/G682,0)</f>
        <v>0</v>
      </c>
      <c r="H683" s="2249">
        <f t="shared" si="286"/>
        <v>0</v>
      </c>
      <c r="I683" s="2249">
        <f t="shared" si="286"/>
        <v>0</v>
      </c>
      <c r="J683" s="2249">
        <f t="shared" si="286"/>
        <v>0</v>
      </c>
      <c r="K683" s="2249">
        <f t="shared" si="286"/>
        <v>0</v>
      </c>
      <c r="L683" s="2249">
        <f t="shared" si="286"/>
        <v>0</v>
      </c>
      <c r="M683" s="2249">
        <f t="shared" si="286"/>
        <v>0</v>
      </c>
      <c r="N683" s="2249">
        <f t="shared" si="286"/>
        <v>0</v>
      </c>
      <c r="O683" s="2249">
        <f t="shared" si="286"/>
        <v>0</v>
      </c>
      <c r="P683" s="80" t="s">
        <v>3402</v>
      </c>
      <c r="Q683" s="3997"/>
    </row>
    <row r="684" spans="1:17" hidden="1" outlineLevel="1" x14ac:dyDescent="0.25">
      <c r="A684" s="27"/>
      <c r="B684" s="27"/>
      <c r="C684" s="27"/>
      <c r="D684" s="2251"/>
      <c r="E684" s="2100"/>
      <c r="F684" s="2100"/>
      <c r="G684" s="2100"/>
      <c r="H684" s="2100"/>
      <c r="I684" s="2100"/>
      <c r="J684" s="2100"/>
      <c r="K684" s="2100"/>
      <c r="L684" s="2100"/>
      <c r="M684" s="2100"/>
      <c r="N684" s="2100"/>
      <c r="O684" s="2100"/>
      <c r="Q684" s="4006"/>
    </row>
    <row r="685" spans="1:17" hidden="1" outlineLevel="1" x14ac:dyDescent="0.25">
      <c r="A685" s="27"/>
      <c r="B685" s="27"/>
      <c r="C685" s="27"/>
      <c r="D685" s="2251"/>
      <c r="E685" s="2100"/>
      <c r="F685" s="2100"/>
      <c r="G685" s="2100"/>
      <c r="H685" s="2100"/>
      <c r="I685" s="2100"/>
      <c r="J685" s="2100"/>
      <c r="K685" s="2100"/>
      <c r="L685" s="2100"/>
      <c r="M685" s="2100"/>
      <c r="N685" s="2100"/>
      <c r="O685" s="2100"/>
      <c r="Q685" s="4006"/>
    </row>
    <row r="686" spans="1:17" collapsed="1" x14ac:dyDescent="0.25">
      <c r="A686" s="11" t="s">
        <v>13</v>
      </c>
      <c r="B686" s="11" t="s">
        <v>2666</v>
      </c>
      <c r="C686" s="12"/>
    </row>
    <row r="687" spans="1:17" hidden="1" outlineLevel="1" x14ac:dyDescent="0.25">
      <c r="B687" s="13" t="s">
        <v>3</v>
      </c>
      <c r="C687" s="13" t="s">
        <v>4</v>
      </c>
      <c r="D687" s="2480" t="s">
        <v>33</v>
      </c>
      <c r="E687" s="13">
        <f>'WS calcu'!E$3</f>
        <v>2014</v>
      </c>
      <c r="F687" s="13">
        <f>'WS calcu'!F$3</f>
        <v>2015</v>
      </c>
      <c r="G687" s="13">
        <f>'WS calcu'!G$3</f>
        <v>2016</v>
      </c>
      <c r="H687" s="13">
        <f>'WS calcu'!H$3</f>
        <v>2017</v>
      </c>
      <c r="I687" s="13">
        <f>'WS calcu'!I$3</f>
        <v>2018</v>
      </c>
      <c r="J687" s="13">
        <f>'WS calcu'!J$3</f>
        <v>2019</v>
      </c>
      <c r="K687" s="13">
        <f>'WS calcu'!K$3</f>
        <v>2020</v>
      </c>
      <c r="L687" s="13">
        <f>'WS calcu'!L$3</f>
        <v>2021</v>
      </c>
      <c r="M687" s="13">
        <f>'WS calcu'!M$3</f>
        <v>2022</v>
      </c>
      <c r="N687" s="13">
        <f>'WS calcu'!N$3</f>
        <v>2023</v>
      </c>
      <c r="O687" s="13">
        <f>'WS calcu'!O$3</f>
        <v>2024</v>
      </c>
    </row>
    <row r="688" spans="1:17" hidden="1" outlineLevel="1" x14ac:dyDescent="0.25">
      <c r="A688" s="195"/>
      <c r="B688" s="195"/>
      <c r="C688" s="2168" t="s">
        <v>1299</v>
      </c>
      <c r="D688" s="2566"/>
      <c r="E688" s="195"/>
      <c r="F688" s="195"/>
      <c r="G688" s="195"/>
      <c r="H688" s="195"/>
      <c r="I688" s="195"/>
      <c r="J688" s="195"/>
      <c r="K688" s="195"/>
      <c r="L688" s="195"/>
      <c r="M688" s="195"/>
      <c r="N688" s="195"/>
      <c r="O688" s="195"/>
    </row>
    <row r="689" spans="1:17" s="124" customFormat="1" hidden="1" outlineLevel="1" x14ac:dyDescent="0.25">
      <c r="A689" s="163"/>
      <c r="B689" s="1287"/>
      <c r="C689" s="1304" t="s">
        <v>2701</v>
      </c>
      <c r="D689" s="2492" t="s">
        <v>19</v>
      </c>
      <c r="E689" s="2289">
        <f>'WSS Profile'!G243</f>
        <v>0</v>
      </c>
      <c r="F689" s="2289">
        <f>(IF('WW Plan'!$E$341="Activate", IF('WW calcu'!F687='WW Plan'!$H$341+1,'WW Plan'!$H$344,0),0))+(IF('WW Plan'!$E$241="Activate", IF('WW calcu'!F687='WW Plan'!$H$241+1,'WW Plan'!$H$249+E689,'WW calcu'!E689),'WW calcu'!E689))</f>
        <v>0</v>
      </c>
      <c r="G689" s="2289">
        <f>(IF('WW Plan'!$E$341="Activate", IF('WW calcu'!G687='WW Plan'!$H$341+1,'WW Plan'!$H$344,0),0))+(IF('WW Plan'!$E$241="Activate", IF('WW calcu'!G687='WW Plan'!$H$241+1,'WW Plan'!$H$249+F689,'WW calcu'!F689),'WW calcu'!F689))</f>
        <v>0</v>
      </c>
      <c r="H689" s="2289">
        <f>(IF('WW Plan'!$E$341="Activate", IF('WW calcu'!H687='WW Plan'!$H$341+1,'WW Plan'!$H$344,0),0))+(IF('WW Plan'!$E$241="Activate", IF('WW calcu'!H687='WW Plan'!$H$241+1,'WW Plan'!$H$249+G689,'WW calcu'!G689),'WW calcu'!G689))</f>
        <v>0</v>
      </c>
      <c r="I689" s="2289">
        <f>(IF('WW Plan'!$E$341="Activate", IF('WW calcu'!I687='WW Plan'!$H$341+1,'WW Plan'!$H$344,0),0))+(IF('WW Plan'!$E$241="Activate", IF('WW calcu'!I687='WW Plan'!$H$241+1,'WW Plan'!$H$249+H689,'WW calcu'!H689),'WW calcu'!H689))</f>
        <v>0</v>
      </c>
      <c r="J689" s="2289">
        <f>(IF('WW Plan'!$E$341="Activate", IF('WW calcu'!J687='WW Plan'!$H$341+1,'WW Plan'!$H$344,0),0))+(IF('WW Plan'!$E$241="Activate", IF('WW calcu'!J687='WW Plan'!$H$241+1,'WW Plan'!$H$249+I689,'WW calcu'!I689),'WW calcu'!I689))</f>
        <v>0</v>
      </c>
      <c r="K689" s="2289">
        <f>(IF('WW Plan'!$E$341="Activate", IF('WW calcu'!K687='WW Plan'!$H$341+1,'WW Plan'!$H$344,0),0))+(IF('WW Plan'!$E$241="Activate", IF('WW calcu'!K687='WW Plan'!$H$241+1,'WW Plan'!$H$249+J689,'WW calcu'!J689),'WW calcu'!J689))</f>
        <v>0</v>
      </c>
      <c r="L689" s="2289">
        <f>(IF('WW Plan'!$E$341="Activate", IF('WW calcu'!L687='WW Plan'!$H$341+1,'WW Plan'!$H$344,0),0))+(IF('WW Plan'!$E$241="Activate", IF('WW calcu'!L687='WW Plan'!$H$241+1,'WW Plan'!$H$249+K689,'WW calcu'!K689),'WW calcu'!K689))</f>
        <v>0</v>
      </c>
      <c r="M689" s="2289">
        <f>(IF('WW Plan'!$E$341="Activate", IF('WW calcu'!M687='WW Plan'!$H$341+1,'WW Plan'!$H$344,0),0))+(IF('WW Plan'!$E$241="Activate", IF('WW calcu'!M687='WW Plan'!$H$241+1,'WW Plan'!$H$249+L689,'WW calcu'!L689),'WW calcu'!L689))</f>
        <v>0</v>
      </c>
      <c r="N689" s="2289">
        <f>(IF('WW Plan'!$E$341="Activate", IF('WW calcu'!N687='WW Plan'!$H$341+1,'WW Plan'!$H$344,0),0))+(IF('WW Plan'!$E$241="Activate", IF('WW calcu'!N687='WW Plan'!$H$241+1,'WW Plan'!$H$249+M689,'WW calcu'!M689),'WW calcu'!M689))</f>
        <v>0</v>
      </c>
      <c r="O689" s="2294">
        <f>(IF('WW Plan'!$E$341="Activate", IF('WW calcu'!O687='WW Plan'!$H$341+1,'WW Plan'!$H$344,0),0))+(IF('WW Plan'!$E$241="Activate", IF('WW calcu'!O687='WW Plan'!$H$241+1,'WW Plan'!$H$249+N689,'WW calcu'!N689),'WW calcu'!N689))</f>
        <v>0</v>
      </c>
      <c r="Q689" s="3987"/>
    </row>
    <row r="690" spans="1:17" s="124" customFormat="1" hidden="1" outlineLevel="1" x14ac:dyDescent="0.25">
      <c r="A690" s="163"/>
      <c r="B690" s="1243"/>
      <c r="C690" s="2182" t="s">
        <v>2723</v>
      </c>
      <c r="D690" s="2251" t="s">
        <v>19</v>
      </c>
      <c r="E690" s="452">
        <f t="shared" ref="E690:O690" si="287">MIN(E689,E587)</f>
        <v>0</v>
      </c>
      <c r="F690" s="452">
        <f t="shared" si="287"/>
        <v>0</v>
      </c>
      <c r="G690" s="452">
        <f t="shared" si="287"/>
        <v>0</v>
      </c>
      <c r="H690" s="452">
        <f t="shared" si="287"/>
        <v>0</v>
      </c>
      <c r="I690" s="452">
        <f t="shared" si="287"/>
        <v>0</v>
      </c>
      <c r="J690" s="452">
        <f t="shared" si="287"/>
        <v>0</v>
      </c>
      <c r="K690" s="452">
        <f t="shared" si="287"/>
        <v>0</v>
      </c>
      <c r="L690" s="452">
        <f t="shared" si="287"/>
        <v>0</v>
      </c>
      <c r="M690" s="452">
        <f t="shared" si="287"/>
        <v>0</v>
      </c>
      <c r="N690" s="452">
        <f t="shared" si="287"/>
        <v>0</v>
      </c>
      <c r="O690" s="2296">
        <f t="shared" si="287"/>
        <v>0</v>
      </c>
      <c r="Q690" s="3987"/>
    </row>
    <row r="691" spans="1:17" s="92" customFormat="1" hidden="1" outlineLevel="1" x14ac:dyDescent="0.25">
      <c r="A691" s="134"/>
      <c r="B691" s="2305"/>
      <c r="C691" s="2306" t="s">
        <v>2724</v>
      </c>
      <c r="D691" s="2570"/>
      <c r="E691" s="2307">
        <f>E690+E708+E712</f>
        <v>0</v>
      </c>
      <c r="F691" s="2307">
        <f>F690+F708+F712</f>
        <v>0</v>
      </c>
      <c r="G691" s="2307">
        <f>G690+G708+G712</f>
        <v>0</v>
      </c>
      <c r="H691" s="2307">
        <f t="shared" ref="H691:O691" si="288">H690+H708+H712</f>
        <v>0</v>
      </c>
      <c r="I691" s="2307">
        <f t="shared" si="288"/>
        <v>0</v>
      </c>
      <c r="J691" s="2307">
        <f t="shared" si="288"/>
        <v>0</v>
      </c>
      <c r="K691" s="2307">
        <f t="shared" si="288"/>
        <v>0</v>
      </c>
      <c r="L691" s="2307">
        <f t="shared" si="288"/>
        <v>0</v>
      </c>
      <c r="M691" s="2307">
        <f t="shared" si="288"/>
        <v>0</v>
      </c>
      <c r="N691" s="2307">
        <f t="shared" si="288"/>
        <v>0</v>
      </c>
      <c r="O691" s="2308">
        <f t="shared" si="288"/>
        <v>0</v>
      </c>
      <c r="Q691" s="3993"/>
    </row>
    <row r="692" spans="1:17" s="304" customFormat="1" hidden="1" outlineLevel="1" x14ac:dyDescent="0.25">
      <c r="A692" s="34"/>
      <c r="C692" s="2742" t="s">
        <v>1308</v>
      </c>
      <c r="D692" s="2741"/>
      <c r="Q692" s="3996"/>
    </row>
    <row r="693" spans="1:17" s="170" customFormat="1" hidden="1" outlineLevel="1" x14ac:dyDescent="0.25">
      <c r="A693" s="43"/>
      <c r="B693" s="2309"/>
      <c r="C693" s="1304" t="s">
        <v>2667</v>
      </c>
      <c r="D693" s="2492" t="s">
        <v>19</v>
      </c>
      <c r="E693" s="2289">
        <f>E689</f>
        <v>0</v>
      </c>
      <c r="F693" s="2289">
        <f>IF('WW Plan'!$E$241="Activate", IF('WW calcu'!F687='WW Plan'!$H$241+1,'WW Plan'!$H$249+E693,'WW calcu'!E693),'WW calcu'!E693)</f>
        <v>0</v>
      </c>
      <c r="G693" s="2289">
        <f>IF('WW Plan'!$E$241="Activate", IF('WW calcu'!G687='WW Plan'!$H$241+1,'WW Plan'!$H$249+F693,'WW calcu'!F693),'WW calcu'!F693)</f>
        <v>0</v>
      </c>
      <c r="H693" s="2289">
        <f>IF('WW Plan'!$E$241="Activate", IF('WW calcu'!H687='WW Plan'!$H$241+1,'WW Plan'!$H$249+G693,'WW calcu'!G693),'WW calcu'!G693)</f>
        <v>0</v>
      </c>
      <c r="I693" s="2289">
        <f>IF('WW Plan'!$E$241="Activate", IF('WW calcu'!I687='WW Plan'!$H$241+1,'WW Plan'!$H$249+H693,'WW calcu'!H693),'WW calcu'!H693)</f>
        <v>0</v>
      </c>
      <c r="J693" s="2289">
        <f>IF('WW Plan'!$E$241="Activate", IF('WW calcu'!J687='WW Plan'!$H$241+1,'WW Plan'!$H$249+I693,'WW calcu'!I693),'WW calcu'!I693)</f>
        <v>0</v>
      </c>
      <c r="K693" s="2289">
        <f>IF('WW Plan'!$E$241="Activate", IF('WW calcu'!K687='WW Plan'!$H$241+1,'WW Plan'!$H$249+J693,'WW calcu'!J693),'WW calcu'!J693)</f>
        <v>0</v>
      </c>
      <c r="L693" s="2289">
        <f>IF('WW Plan'!$E$241="Activate", IF('WW calcu'!L687='WW Plan'!$H$241+1,'WW Plan'!$H$249+K693,'WW calcu'!K693),'WW calcu'!K693)</f>
        <v>0</v>
      </c>
      <c r="M693" s="2289">
        <f>IF('WW Plan'!$E$241="Activate", IF('WW calcu'!M687='WW Plan'!$H$241+1,'WW Plan'!$H$249+L693,'WW calcu'!L693),'WW calcu'!L693)</f>
        <v>0</v>
      </c>
      <c r="N693" s="2289">
        <f>IF('WW Plan'!$E$241="Activate", IF('WW calcu'!N687='WW Plan'!$H$241+1,'WW Plan'!$H$249+M693,'WW calcu'!M693),'WW calcu'!M693)</f>
        <v>0</v>
      </c>
      <c r="O693" s="2294">
        <f>IF('WW Plan'!$E$241="Activate", IF('WW calcu'!O687='WW Plan'!$H$241+1,'WW Plan'!$H$249+N693,'WW calcu'!N693),'WW calcu'!N693)</f>
        <v>0</v>
      </c>
      <c r="Q693" s="3987"/>
    </row>
    <row r="694" spans="1:17" s="170" customFormat="1" hidden="1" outlineLevel="1" x14ac:dyDescent="0.25">
      <c r="A694" s="43"/>
      <c r="B694" s="2298"/>
      <c r="C694" s="2182" t="s">
        <v>1316</v>
      </c>
      <c r="D694" s="2251" t="s">
        <v>19</v>
      </c>
      <c r="E694" s="452">
        <f>MIN(E691,E693)</f>
        <v>0</v>
      </c>
      <c r="F694" s="452">
        <f>MIN(F691,F693)</f>
        <v>0</v>
      </c>
      <c r="G694" s="452">
        <f>MIN(G691,G693)</f>
        <v>0</v>
      </c>
      <c r="H694" s="452">
        <f t="shared" ref="H694:O694" si="289">MIN(H691,H693)</f>
        <v>0</v>
      </c>
      <c r="I694" s="452">
        <f t="shared" si="289"/>
        <v>0</v>
      </c>
      <c r="J694" s="452">
        <f t="shared" si="289"/>
        <v>0</v>
      </c>
      <c r="K694" s="452">
        <f t="shared" si="289"/>
        <v>0</v>
      </c>
      <c r="L694" s="452">
        <f t="shared" si="289"/>
        <v>0</v>
      </c>
      <c r="M694" s="452">
        <f t="shared" si="289"/>
        <v>0</v>
      </c>
      <c r="N694" s="452">
        <f t="shared" si="289"/>
        <v>0</v>
      </c>
      <c r="O694" s="2296">
        <f t="shared" si="289"/>
        <v>0</v>
      </c>
      <c r="Q694" s="3987"/>
    </row>
    <row r="695" spans="1:17" s="170" customFormat="1" hidden="1" outlineLevel="1" x14ac:dyDescent="0.25">
      <c r="A695" s="43"/>
      <c r="B695" s="2298"/>
      <c r="C695" s="2182" t="s">
        <v>1304</v>
      </c>
      <c r="D695" s="2581">
        <f>'WSS Profile'!$G$248</f>
        <v>0</v>
      </c>
      <c r="E695" s="452">
        <f>E694*$D$695</f>
        <v>0</v>
      </c>
      <c r="F695" s="452">
        <f>F694*$D$695</f>
        <v>0</v>
      </c>
      <c r="G695" s="452">
        <f>G694*$D$695</f>
        <v>0</v>
      </c>
      <c r="H695" s="452">
        <f t="shared" ref="H695:O695" si="290">H694*$D$695</f>
        <v>0</v>
      </c>
      <c r="I695" s="452">
        <f t="shared" si="290"/>
        <v>0</v>
      </c>
      <c r="J695" s="452">
        <f t="shared" si="290"/>
        <v>0</v>
      </c>
      <c r="K695" s="452">
        <f t="shared" si="290"/>
        <v>0</v>
      </c>
      <c r="L695" s="452">
        <f t="shared" si="290"/>
        <v>0</v>
      </c>
      <c r="M695" s="452">
        <f t="shared" si="290"/>
        <v>0</v>
      </c>
      <c r="N695" s="452">
        <f t="shared" si="290"/>
        <v>0</v>
      </c>
      <c r="O695" s="2296">
        <f t="shared" si="290"/>
        <v>0</v>
      </c>
      <c r="Q695" s="3987"/>
    </row>
    <row r="696" spans="1:17" s="305" customFormat="1" hidden="1" outlineLevel="1" x14ac:dyDescent="0.25">
      <c r="A696" s="162"/>
      <c r="B696" s="2298"/>
      <c r="C696" s="2182" t="s">
        <v>1319</v>
      </c>
      <c r="D696" s="2581" t="s">
        <v>19</v>
      </c>
      <c r="E696" s="361">
        <f>MIN('WSS Profile'!G249,E695)</f>
        <v>0</v>
      </c>
      <c r="F696" s="361">
        <f>MIN(IF('WW Plan'!$E$371="Activate",IF(AND('WW calcu'!F687&gt;='WW Plan'!$G$386,'WW calcu'!F687&lt;'WW Plan'!$H$386+1),E696+('WW Plan'!$H$389/('WW Plan'!$H$386+1-'WW Plan'!$G$386)),'WW calcu'!E696),'WW calcu'!E696),F695)</f>
        <v>0</v>
      </c>
      <c r="G696" s="361">
        <f>MIN(IF('WW Plan'!$E$371="Activate",IF(AND('WW calcu'!G687&gt;='WW Plan'!$G$386,'WW calcu'!G687&lt;'WW Plan'!$H$386+1),F696+('WW Plan'!$H$389/('WW Plan'!$H$386+1-'WW Plan'!$G$386)),'WW calcu'!F696),'WW calcu'!F696),G695)</f>
        <v>0</v>
      </c>
      <c r="H696" s="361">
        <f>MIN(IF('WW Plan'!$E$371="Activate",IF(AND('WW calcu'!H687&gt;='WW Plan'!$G$386,'WW calcu'!H687&lt;'WW Plan'!$H$386+1),G696+('WW Plan'!$H$389/('WW Plan'!$H$386+1-'WW Plan'!$G$386)),'WW calcu'!G696),'WW calcu'!G696),H695)</f>
        <v>0</v>
      </c>
      <c r="I696" s="361">
        <f>MIN(IF('WW Plan'!$E$371="Activate",IF(AND('WW calcu'!I687&gt;='WW Plan'!$G$386,'WW calcu'!I687&lt;'WW Plan'!$H$386+1),H696+('WW Plan'!$H$389/('WW Plan'!$H$386+1-'WW Plan'!$G$386)),'WW calcu'!H696),'WW calcu'!H696),I695)</f>
        <v>0</v>
      </c>
      <c r="J696" s="361">
        <f>MIN(IF('WW Plan'!$E$371="Activate",IF(AND('WW calcu'!J687&gt;='WW Plan'!$G$386,'WW calcu'!J687&lt;'WW Plan'!$H$386+1),I696+('WW Plan'!$H$389/('WW Plan'!$H$386+1-'WW Plan'!$G$386)),'WW calcu'!I696),'WW calcu'!I696),J695)</f>
        <v>0</v>
      </c>
      <c r="K696" s="361">
        <f>MIN(IF('WW Plan'!$E$371="Activate",IF(AND('WW calcu'!K687&gt;='WW Plan'!$G$386,'WW calcu'!K687&lt;'WW Plan'!$H$386+1),J696+('WW Plan'!$H$389/('WW Plan'!$H$386+1-'WW Plan'!$G$386)),'WW calcu'!J696),'WW calcu'!J696),K695)</f>
        <v>0</v>
      </c>
      <c r="L696" s="361">
        <f>MIN(IF('WW Plan'!$E$371="Activate",IF(AND('WW calcu'!L687&gt;='WW Plan'!$G$386,'WW calcu'!L687&lt;'WW Plan'!$H$386+1),K696+('WW Plan'!$H$389/('WW Plan'!$H$386+1-'WW Plan'!$G$386)),'WW calcu'!K696),'WW calcu'!K696),L695)</f>
        <v>0</v>
      </c>
      <c r="M696" s="361">
        <f>MIN(IF('WW Plan'!$E$371="Activate",IF(AND('WW calcu'!M687&gt;='WW Plan'!$G$386,'WW calcu'!M687&lt;'WW Plan'!$H$386+1),L696+('WW Plan'!$H$389/('WW Plan'!$H$386+1-'WW Plan'!$G$386)),'WW calcu'!L696),'WW calcu'!L696),M695)</f>
        <v>0</v>
      </c>
      <c r="N696" s="361">
        <f>MIN(IF('WW Plan'!$E$371="Activate",IF(AND('WW calcu'!N687&gt;='WW Plan'!$G$386,'WW calcu'!N687&lt;'WW Plan'!$H$386+1),M696+('WW Plan'!$H$389/('WW Plan'!$H$386+1-'WW Plan'!$G$386)),'WW calcu'!M696),'WW calcu'!M696),N695)</f>
        <v>0</v>
      </c>
      <c r="O696" s="2275">
        <f>MIN(IF('WW Plan'!$E$371="Activate",IF(AND('WW calcu'!O687&gt;='WW Plan'!$G$386,'WW calcu'!O687&lt;'WW Plan'!$H$386+1),N696+('WW Plan'!$H$389/('WW Plan'!$H$386+1-'WW Plan'!$G$386)),'WW calcu'!N696),'WW calcu'!N696),O695)</f>
        <v>0</v>
      </c>
      <c r="Q696" s="3987"/>
    </row>
    <row r="697" spans="1:17" s="170" customFormat="1" hidden="1" outlineLevel="1" x14ac:dyDescent="0.25">
      <c r="B697" s="2376"/>
      <c r="C697" s="2182" t="s">
        <v>3568</v>
      </c>
      <c r="D697" s="5785">
        <f>'WW Plan'!H392</f>
        <v>0</v>
      </c>
      <c r="E697" s="361">
        <v>0</v>
      </c>
      <c r="F697" s="361">
        <f>MAX((F696-$E$696)*$D$697*365/CurrencyMultiplier,0)</f>
        <v>0</v>
      </c>
      <c r="G697" s="361">
        <f>MAX((G696-$E$696)*$D$697*365/CurrencyMultiplier,0)</f>
        <v>0</v>
      </c>
      <c r="H697" s="361">
        <f>MAX((H696-$E$696)*$D$697*365/CurrencyMultiplier,0)</f>
        <v>0</v>
      </c>
      <c r="I697" s="361">
        <f>MAX((I696-$E$696)*$D$697*365/CurrencyMultiplier,0)</f>
        <v>0</v>
      </c>
      <c r="J697" s="361">
        <f>MAX((J696-$E$696)*$D$697*365/CurrencyMultiplier,0)</f>
        <v>0</v>
      </c>
      <c r="K697" s="361">
        <f>MAX((K696-$E$696)*$D$697*365/CurrencyMultiplier,0)</f>
        <v>0</v>
      </c>
      <c r="L697" s="361">
        <f>MAX((L696-$E$696)*$D$697*365/CurrencyMultiplier,0)</f>
        <v>0</v>
      </c>
      <c r="M697" s="361">
        <f>MAX((M696-$E$696)*$D$697*365/CurrencyMultiplier,0)</f>
        <v>0</v>
      </c>
      <c r="N697" s="361">
        <f>MAX((N696-$E$696)*$D$697*365/CurrencyMultiplier,0)</f>
        <v>0</v>
      </c>
      <c r="O697" s="2275">
        <f>MAX((O696-$E$696)*$D$697*365/CurrencyMultiplier,0)</f>
        <v>0</v>
      </c>
      <c r="Q697" s="3987"/>
    </row>
    <row r="698" spans="1:17" s="170" customFormat="1" hidden="1" outlineLevel="1" x14ac:dyDescent="0.25">
      <c r="B698" s="2376"/>
      <c r="C698" s="2182" t="s">
        <v>493</v>
      </c>
      <c r="D698" s="5785"/>
      <c r="E698" s="361">
        <v>0</v>
      </c>
      <c r="F698" s="361">
        <f>IF('WW Plan'!$E$371="Activate",IF(AND('WW calcu'!F687&gt;='WW Plan'!$G$386,'WW calcu'!F687&lt;'WW Plan'!$H$386+1),('WW Plan'!$H$390/(CurrencyMultiplier*('WW Plan'!$H$386+1-'WW Plan'!$G$386))),0),0)</f>
        <v>0</v>
      </c>
      <c r="G698" s="361">
        <f>IF('WW Plan'!$E$371="Activate",IF(AND('WW calcu'!G687&gt;='WW Plan'!$G$386,'WW calcu'!G687&lt;'WW Plan'!$H$386+1),('WW Plan'!$H$390/(CurrencyMultiplier*('WW Plan'!$H$386+1-'WW Plan'!$G$386))),0),0)</f>
        <v>0</v>
      </c>
      <c r="H698" s="361">
        <f>IF('WW Plan'!$E$371="Activate",IF(AND('WW calcu'!H687&gt;='WW Plan'!$G$386,'WW calcu'!H687&lt;'WW Plan'!$H$386+1),('WW Plan'!$H$390/(CurrencyMultiplier*('WW Plan'!$H$386+1-'WW Plan'!$G$386))),0),0)</f>
        <v>0</v>
      </c>
      <c r="I698" s="361">
        <f>IF('WW Plan'!$E$371="Activate",IF(AND('WW calcu'!I687&gt;='WW Plan'!$G$386,'WW calcu'!I687&lt;'WW Plan'!$H$386+1),('WW Plan'!$H$390/(CurrencyMultiplier*('WW Plan'!$H$386+1-'WW Plan'!$G$386))),0),0)</f>
        <v>0</v>
      </c>
      <c r="J698" s="361">
        <f>IF('WW Plan'!$E$371="Activate",IF(AND('WW calcu'!J687&gt;='WW Plan'!$G$386,'WW calcu'!J687&lt;'WW Plan'!$H$386+1),('WW Plan'!$H$390/(CurrencyMultiplier*('WW Plan'!$H$386+1-'WW Plan'!$G$386))),0),0)</f>
        <v>0</v>
      </c>
      <c r="K698" s="361">
        <f>IF('WW Plan'!$E$371="Activate",IF(AND('WW calcu'!K687&gt;='WW Plan'!$G$386,'WW calcu'!K687&lt;'WW Plan'!$H$386+1),('WW Plan'!$H$390/(CurrencyMultiplier*('WW Plan'!$H$386+1-'WW Plan'!$G$386))),0),0)</f>
        <v>0</v>
      </c>
      <c r="L698" s="361">
        <f>IF('WW Plan'!$E$371="Activate",IF(AND('WW calcu'!L687&gt;='WW Plan'!$G$386,'WW calcu'!L687&lt;'WW Plan'!$H$386+1),('WW Plan'!$H$390/(CurrencyMultiplier*('WW Plan'!$H$386+1-'WW Plan'!$G$386))),0),0)</f>
        <v>0</v>
      </c>
      <c r="M698" s="361">
        <f>IF('WW Plan'!$E$371="Activate",IF(AND('WW calcu'!M687&gt;='WW Plan'!$G$386,'WW calcu'!M687&lt;'WW Plan'!$H$386+1),('WW Plan'!$H$390/(CurrencyMultiplier*('WW Plan'!$H$386+1-'WW Plan'!$G$386))),0),0)</f>
        <v>0</v>
      </c>
      <c r="N698" s="361">
        <f>IF('WW Plan'!$E$371="Activate",IF(AND('WW calcu'!N687&gt;='WW Plan'!$G$386,'WW calcu'!N687&lt;'WW Plan'!$H$386+1),('WW Plan'!$H$390/(CurrencyMultiplier*('WW Plan'!$H$386+1-'WW Plan'!$G$386))),0),0)</f>
        <v>0</v>
      </c>
      <c r="O698" s="2275">
        <f>IF('WW Plan'!$E$371="Activate",IF(AND('WW calcu'!O687&gt;='WW Plan'!$G$386,'WW calcu'!O687&lt;'WW Plan'!$H$386+1),('WW Plan'!$H$390/(CurrencyMultiplier*('WW Plan'!$H$386+1-'WW Plan'!$G$386))),0),0)</f>
        <v>0</v>
      </c>
      <c r="Q698" s="3987"/>
    </row>
    <row r="699" spans="1:17" s="170" customFormat="1" hidden="1" outlineLevel="1" x14ac:dyDescent="0.25">
      <c r="A699" s="43"/>
      <c r="B699" s="2310"/>
      <c r="C699" s="1305" t="s">
        <v>494</v>
      </c>
      <c r="D699" s="5786">
        <f>'WW Plan'!H391</f>
        <v>0</v>
      </c>
      <c r="E699" s="2319">
        <v>0</v>
      </c>
      <c r="F699" s="2325">
        <f>IF(AND('WW Plan'!$E$371="Activate",F687&gt;'WW Plan'!$H$386),$D$699,0)/CurrencyMultiplier</f>
        <v>0</v>
      </c>
      <c r="G699" s="2325">
        <f>IF(AND('WW Plan'!$E$371="Activate",G687&gt;'WW Plan'!$H$386),$D$699,0)/CurrencyMultiplier</f>
        <v>0</v>
      </c>
      <c r="H699" s="2325">
        <f>IF(AND('WW Plan'!$E$371="Activate",H687&gt;'WW Plan'!$H$386),$D$699,0)/CurrencyMultiplier</f>
        <v>0</v>
      </c>
      <c r="I699" s="2325">
        <f>IF(AND('WW Plan'!$E$371="Activate",I687&gt;'WW Plan'!$H$386),$D$699,0)/CurrencyMultiplier</f>
        <v>0</v>
      </c>
      <c r="J699" s="2325">
        <f>IF(AND('WW Plan'!$E$371="Activate",J687&gt;'WW Plan'!$H$386),$D$699,0)/CurrencyMultiplier</f>
        <v>0</v>
      </c>
      <c r="K699" s="2325">
        <f>IF(AND('WW Plan'!$E$371="Activate",K687&gt;'WW Plan'!$H$386),$D$699,0)/CurrencyMultiplier</f>
        <v>0</v>
      </c>
      <c r="L699" s="2325">
        <f>IF(AND('WW Plan'!$E$371="Activate",L687&gt;'WW Plan'!$H$386),$D$699,0)/CurrencyMultiplier</f>
        <v>0</v>
      </c>
      <c r="M699" s="2325">
        <f>IF(AND('WW Plan'!$E$371="Activate",M687&gt;'WW Plan'!$H$386),$D$699,0)/CurrencyMultiplier</f>
        <v>0</v>
      </c>
      <c r="N699" s="2325">
        <f>IF(AND('WW Plan'!$E$371="Activate",N687&gt;'WW Plan'!$H$386),$D$699,0)/CurrencyMultiplier</f>
        <v>0</v>
      </c>
      <c r="O699" s="2326">
        <f>IF(AND('WW Plan'!$E$371="Activate",O687&gt;'WW Plan'!$H$386),$D$699,0)/CurrencyMultiplier</f>
        <v>0</v>
      </c>
      <c r="Q699" s="3987"/>
    </row>
    <row r="700" spans="1:17" s="304" customFormat="1" hidden="1" outlineLevel="1" x14ac:dyDescent="0.25">
      <c r="A700" s="34"/>
      <c r="C700" s="2742" t="s">
        <v>1309</v>
      </c>
      <c r="D700" s="2741"/>
      <c r="Q700" s="3996"/>
    </row>
    <row r="701" spans="1:17" s="305" customFormat="1" hidden="1" outlineLevel="1" x14ac:dyDescent="0.25">
      <c r="A701" s="162"/>
      <c r="B701" s="2149"/>
      <c r="C701" s="1304" t="s">
        <v>1318</v>
      </c>
      <c r="D701" s="2739" t="s">
        <v>19</v>
      </c>
      <c r="E701" s="2320">
        <f>E691-E694</f>
        <v>0</v>
      </c>
      <c r="F701" s="2320">
        <f>F691-F694</f>
        <v>0</v>
      </c>
      <c r="G701" s="2320">
        <f t="shared" ref="G701:O701" si="291">G691-G694</f>
        <v>0</v>
      </c>
      <c r="H701" s="2320">
        <f t="shared" si="291"/>
        <v>0</v>
      </c>
      <c r="I701" s="2320">
        <f t="shared" si="291"/>
        <v>0</v>
      </c>
      <c r="J701" s="2320">
        <f t="shared" si="291"/>
        <v>0</v>
      </c>
      <c r="K701" s="2320">
        <f t="shared" si="291"/>
        <v>0</v>
      </c>
      <c r="L701" s="2320">
        <f t="shared" si="291"/>
        <v>0</v>
      </c>
      <c r="M701" s="2320">
        <f t="shared" si="291"/>
        <v>0</v>
      </c>
      <c r="N701" s="2320">
        <f t="shared" si="291"/>
        <v>0</v>
      </c>
      <c r="O701" s="2321">
        <f t="shared" si="291"/>
        <v>0</v>
      </c>
      <c r="Q701" s="3987"/>
    </row>
    <row r="702" spans="1:17" s="170" customFormat="1" hidden="1" outlineLevel="1" x14ac:dyDescent="0.25">
      <c r="A702" s="43"/>
      <c r="B702" s="2298"/>
      <c r="C702" s="2182" t="s">
        <v>1304</v>
      </c>
      <c r="D702" s="2581">
        <f>'WW Plan'!H345</f>
        <v>0</v>
      </c>
      <c r="E702" s="452">
        <f>$D$702*E701</f>
        <v>0</v>
      </c>
      <c r="F702" s="452">
        <f t="shared" ref="F702:O702" si="292">$D$702*F701</f>
        <v>0</v>
      </c>
      <c r="G702" s="452">
        <f t="shared" si="292"/>
        <v>0</v>
      </c>
      <c r="H702" s="452">
        <f t="shared" si="292"/>
        <v>0</v>
      </c>
      <c r="I702" s="452">
        <f t="shared" si="292"/>
        <v>0</v>
      </c>
      <c r="J702" s="452">
        <f t="shared" si="292"/>
        <v>0</v>
      </c>
      <c r="K702" s="452">
        <f t="shared" si="292"/>
        <v>0</v>
      </c>
      <c r="L702" s="452">
        <f t="shared" si="292"/>
        <v>0</v>
      </c>
      <c r="M702" s="452">
        <f t="shared" si="292"/>
        <v>0</v>
      </c>
      <c r="N702" s="452">
        <f t="shared" si="292"/>
        <v>0</v>
      </c>
      <c r="O702" s="2296">
        <f t="shared" si="292"/>
        <v>0</v>
      </c>
      <c r="Q702" s="3987"/>
    </row>
    <row r="703" spans="1:17" s="170" customFormat="1" hidden="1" outlineLevel="1" x14ac:dyDescent="0.25">
      <c r="A703" s="43"/>
      <c r="B703" s="2311"/>
      <c r="C703" s="2182" t="s">
        <v>1317</v>
      </c>
      <c r="D703" s="2581"/>
      <c r="E703" s="460">
        <v>0</v>
      </c>
      <c r="F703" s="460">
        <f>IF(AND('WW Plan'!$E$341="Activate",'WW calcu'!F687&gt;'WW Plan'!$H$341,'WW calcu'!F687&lt;='WW Plan'!$H$346),1/('WW Plan'!$H$346-'WW Plan'!$H$341),0)+E703</f>
        <v>0</v>
      </c>
      <c r="G703" s="460">
        <f>IF(AND('WW Plan'!$E$341="Activate",'WW calcu'!G687&gt;'WW Plan'!$H$341,'WW calcu'!G687&lt;='WW Plan'!$H$346),1/('WW Plan'!$H$346-'WW Plan'!$H$341),0)+F703</f>
        <v>0</v>
      </c>
      <c r="H703" s="460">
        <f>IF(AND('WW Plan'!$E$341="Activate",'WW calcu'!H687&gt;'WW Plan'!$H$341,'WW calcu'!H687&lt;='WW Plan'!$H$346),1/('WW Plan'!$H$346-'WW Plan'!$H$341),0)+G703</f>
        <v>0</v>
      </c>
      <c r="I703" s="460">
        <f>IF(AND('WW Plan'!$E$341="Activate",'WW calcu'!I687&gt;'WW Plan'!$H$341,'WW calcu'!I687&lt;='WW Plan'!$H$346),1/('WW Plan'!$H$346-'WW Plan'!$H$341),0)+H703</f>
        <v>0</v>
      </c>
      <c r="J703" s="460">
        <f>IF(AND('WW Plan'!$E$341="Activate",'WW calcu'!J687&gt;'WW Plan'!$H$341,'WW calcu'!J687&lt;='WW Plan'!$H$346),1/('WW Plan'!$H$346-'WW Plan'!$H$341),0)+I703</f>
        <v>0</v>
      </c>
      <c r="K703" s="460">
        <f>IF(AND('WW Plan'!$E$341="Activate",'WW calcu'!K687&gt;'WW Plan'!$H$341,'WW calcu'!K687&lt;='WW Plan'!$H$346),1/('WW Plan'!$H$346-'WW Plan'!$H$341),0)+J703</f>
        <v>0</v>
      </c>
      <c r="L703" s="460">
        <f>IF(AND('WW Plan'!$E$341="Activate",'WW calcu'!L687&gt;'WW Plan'!$H$341,'WW calcu'!L687&lt;='WW Plan'!$H$346),1/('WW Plan'!$H$346-'WW Plan'!$H$341),0)+K703</f>
        <v>0</v>
      </c>
      <c r="M703" s="460">
        <f>IF(AND('WW Plan'!$E$341="Activate",'WW calcu'!M687&gt;'WW Plan'!$H$341,'WW calcu'!M687&lt;='WW Plan'!$H$346),1/('WW Plan'!$H$346-'WW Plan'!$H$341),0)+L703</f>
        <v>0</v>
      </c>
      <c r="N703" s="460">
        <f>IF(AND('WW Plan'!$E$341="Activate",'WW calcu'!N687&gt;'WW Plan'!$H$341,'WW calcu'!N687&lt;='WW Plan'!$H$346),1/('WW Plan'!$H$346-'WW Plan'!$H$341),0)+M703</f>
        <v>0</v>
      </c>
      <c r="O703" s="2235">
        <f>IF(AND('WW Plan'!$E$341="Activate",'WW calcu'!O687&gt;'WW Plan'!$H$341,'WW calcu'!O687&lt;='WW Plan'!$H$346),1/('WW Plan'!$H$346-'WW Plan'!$H$341),0)+N703</f>
        <v>0</v>
      </c>
      <c r="Q703" s="3987"/>
    </row>
    <row r="704" spans="1:17" s="170" customFormat="1" hidden="1" outlineLevel="1" x14ac:dyDescent="0.25">
      <c r="A704" s="43"/>
      <c r="B704" s="2298"/>
      <c r="C704" s="2182" t="s">
        <v>1319</v>
      </c>
      <c r="D704" s="2581" t="s">
        <v>19</v>
      </c>
      <c r="E704" s="361">
        <f t="shared" ref="E704:O704" si="293">E703*E702</f>
        <v>0</v>
      </c>
      <c r="F704" s="361">
        <f t="shared" si="293"/>
        <v>0</v>
      </c>
      <c r="G704" s="361">
        <f>G703*G702</f>
        <v>0</v>
      </c>
      <c r="H704" s="361">
        <f t="shared" si="293"/>
        <v>0</v>
      </c>
      <c r="I704" s="361">
        <f t="shared" si="293"/>
        <v>0</v>
      </c>
      <c r="J704" s="361">
        <f t="shared" si="293"/>
        <v>0</v>
      </c>
      <c r="K704" s="361">
        <f t="shared" si="293"/>
        <v>0</v>
      </c>
      <c r="L704" s="361">
        <f t="shared" si="293"/>
        <v>0</v>
      </c>
      <c r="M704" s="361">
        <f t="shared" si="293"/>
        <v>0</v>
      </c>
      <c r="N704" s="361">
        <f t="shared" si="293"/>
        <v>0</v>
      </c>
      <c r="O704" s="2275">
        <f t="shared" si="293"/>
        <v>0</v>
      </c>
      <c r="Q704" s="3987"/>
    </row>
    <row r="705" spans="1:17" s="170" customFormat="1" hidden="1" outlineLevel="1" x14ac:dyDescent="0.25">
      <c r="A705" s="43"/>
      <c r="B705" s="2310"/>
      <c r="C705" s="1305" t="s">
        <v>3568</v>
      </c>
      <c r="D705" s="2740">
        <f>'WW Plan'!H352</f>
        <v>0</v>
      </c>
      <c r="E705" s="5806">
        <f>$D$705*E704*365/CurrencyMultiplier</f>
        <v>0</v>
      </c>
      <c r="F705" s="5806">
        <f>$D$705*F704*365/CurrencyMultiplier</f>
        <v>0</v>
      </c>
      <c r="G705" s="2319">
        <f>$D$705*G704*365/CurrencyMultiplier</f>
        <v>0</v>
      </c>
      <c r="H705" s="2319">
        <f>$D$705*H704*365/CurrencyMultiplier</f>
        <v>0</v>
      </c>
      <c r="I705" s="2319">
        <f>$D$705*I704*365/CurrencyMultiplier</f>
        <v>0</v>
      </c>
      <c r="J705" s="2319">
        <f>$D$705*J704*365/CurrencyMultiplier</f>
        <v>0</v>
      </c>
      <c r="K705" s="2319">
        <f>$D$705*K704*365/CurrencyMultiplier</f>
        <v>0</v>
      </c>
      <c r="L705" s="2319">
        <f>$D$705*L704*365/CurrencyMultiplier</f>
        <v>0</v>
      </c>
      <c r="M705" s="2319">
        <f>$D$705*M704*365/CurrencyMultiplier</f>
        <v>0</v>
      </c>
      <c r="N705" s="2319">
        <f>$D$705*N704*365/CurrencyMultiplier</f>
        <v>0</v>
      </c>
      <c r="O705" s="2322">
        <f>$D$705*O704*365/CurrencyMultiplier</f>
        <v>0</v>
      </c>
      <c r="Q705" s="3987"/>
    </row>
    <row r="706" spans="1:17" hidden="1" outlineLevel="1" x14ac:dyDescent="0.25">
      <c r="A706" s="27"/>
      <c r="B706" s="27"/>
      <c r="C706" s="2742" t="s">
        <v>2702</v>
      </c>
      <c r="D706" s="2251"/>
      <c r="E706" s="2229"/>
      <c r="F706" s="2229"/>
      <c r="G706" s="2229"/>
      <c r="H706" s="2229"/>
      <c r="I706" s="2229"/>
      <c r="J706" s="2229"/>
      <c r="K706" s="2229"/>
      <c r="L706" s="2229"/>
      <c r="M706" s="2229"/>
      <c r="N706" s="2229"/>
      <c r="O706" s="2229"/>
      <c r="Q706" s="4007"/>
    </row>
    <row r="707" spans="1:17" hidden="1" outlineLevel="1" x14ac:dyDescent="0.25">
      <c r="A707" s="27"/>
      <c r="B707" s="556"/>
      <c r="C707" s="2312" t="s">
        <v>2705</v>
      </c>
      <c r="D707" s="2492"/>
      <c r="E707" s="2302">
        <f>E689-E690</f>
        <v>0</v>
      </c>
      <c r="F707" s="2302">
        <f>F689-F690</f>
        <v>0</v>
      </c>
      <c r="G707" s="2302">
        <f t="shared" ref="G707:O707" si="294">G689-G690</f>
        <v>0</v>
      </c>
      <c r="H707" s="2302">
        <f t="shared" si="294"/>
        <v>0</v>
      </c>
      <c r="I707" s="2302">
        <f t="shared" si="294"/>
        <v>0</v>
      </c>
      <c r="J707" s="2302">
        <f t="shared" si="294"/>
        <v>0</v>
      </c>
      <c r="K707" s="2302">
        <f t="shared" si="294"/>
        <v>0</v>
      </c>
      <c r="L707" s="2302">
        <f t="shared" si="294"/>
        <v>0</v>
      </c>
      <c r="M707" s="2302">
        <f t="shared" si="294"/>
        <v>0</v>
      </c>
      <c r="N707" s="2302">
        <f t="shared" si="294"/>
        <v>0</v>
      </c>
      <c r="O707" s="2303">
        <f t="shared" si="294"/>
        <v>0</v>
      </c>
      <c r="Q707" s="4007"/>
    </row>
    <row r="708" spans="1:17" hidden="1" outlineLevel="1" x14ac:dyDescent="0.25">
      <c r="A708" s="27"/>
      <c r="B708" s="615"/>
      <c r="C708" s="893" t="s">
        <v>2706</v>
      </c>
      <c r="D708" s="2251"/>
      <c r="E708" s="452">
        <f>MIN(E727,E707)</f>
        <v>0</v>
      </c>
      <c r="F708" s="452">
        <f>MIN(F727,F707)</f>
        <v>0</v>
      </c>
      <c r="G708" s="452">
        <f t="shared" ref="G708:O708" si="295">MIN(G727,G707)</f>
        <v>0</v>
      </c>
      <c r="H708" s="452">
        <f t="shared" si="295"/>
        <v>0</v>
      </c>
      <c r="I708" s="452">
        <f t="shared" si="295"/>
        <v>0</v>
      </c>
      <c r="J708" s="452">
        <f t="shared" si="295"/>
        <v>0</v>
      </c>
      <c r="K708" s="452">
        <f t="shared" si="295"/>
        <v>0</v>
      </c>
      <c r="L708" s="452">
        <f t="shared" si="295"/>
        <v>0</v>
      </c>
      <c r="M708" s="452">
        <f t="shared" si="295"/>
        <v>0</v>
      </c>
      <c r="N708" s="452">
        <f t="shared" si="295"/>
        <v>0</v>
      </c>
      <c r="O708" s="2296">
        <f t="shared" si="295"/>
        <v>0</v>
      </c>
      <c r="Q708" s="4007"/>
    </row>
    <row r="709" spans="1:17" hidden="1" outlineLevel="1" x14ac:dyDescent="0.25">
      <c r="A709" s="27"/>
      <c r="B709" s="615"/>
      <c r="C709" s="893" t="s">
        <v>2733</v>
      </c>
      <c r="D709" s="2251"/>
      <c r="E709" s="452">
        <f t="shared" ref="E709:O709" si="296">E708*E721</f>
        <v>0</v>
      </c>
      <c r="F709" s="452">
        <f>F708*F721</f>
        <v>0</v>
      </c>
      <c r="G709" s="452">
        <f t="shared" si="296"/>
        <v>0</v>
      </c>
      <c r="H709" s="452">
        <f t="shared" si="296"/>
        <v>0</v>
      </c>
      <c r="I709" s="452">
        <f t="shared" si="296"/>
        <v>0</v>
      </c>
      <c r="J709" s="452">
        <f t="shared" si="296"/>
        <v>0</v>
      </c>
      <c r="K709" s="452">
        <f t="shared" si="296"/>
        <v>0</v>
      </c>
      <c r="L709" s="452">
        <f t="shared" si="296"/>
        <v>0</v>
      </c>
      <c r="M709" s="452">
        <f t="shared" si="296"/>
        <v>0</v>
      </c>
      <c r="N709" s="452">
        <f t="shared" si="296"/>
        <v>0</v>
      </c>
      <c r="O709" s="2296">
        <f t="shared" si="296"/>
        <v>0</v>
      </c>
      <c r="Q709" s="4007"/>
    </row>
    <row r="710" spans="1:17" hidden="1" outlineLevel="1" x14ac:dyDescent="0.25">
      <c r="A710" s="27"/>
      <c r="B710" s="615"/>
      <c r="C710" s="893" t="s">
        <v>2734</v>
      </c>
      <c r="D710" s="2251"/>
      <c r="E710" s="452">
        <f t="shared" ref="E710:O710" si="297">E708*E723</f>
        <v>0</v>
      </c>
      <c r="F710" s="452">
        <f>F708*F723</f>
        <v>0</v>
      </c>
      <c r="G710" s="452">
        <f t="shared" si="297"/>
        <v>0</v>
      </c>
      <c r="H710" s="452">
        <f t="shared" si="297"/>
        <v>0</v>
      </c>
      <c r="I710" s="452">
        <f t="shared" si="297"/>
        <v>0</v>
      </c>
      <c r="J710" s="452">
        <f t="shared" si="297"/>
        <v>0</v>
      </c>
      <c r="K710" s="452">
        <f t="shared" si="297"/>
        <v>0</v>
      </c>
      <c r="L710" s="452">
        <f t="shared" si="297"/>
        <v>0</v>
      </c>
      <c r="M710" s="452">
        <f t="shared" si="297"/>
        <v>0</v>
      </c>
      <c r="N710" s="452">
        <f t="shared" si="297"/>
        <v>0</v>
      </c>
      <c r="O710" s="2296">
        <f t="shared" si="297"/>
        <v>0</v>
      </c>
      <c r="Q710" s="4007"/>
    </row>
    <row r="711" spans="1:17" hidden="1" outlineLevel="1" x14ac:dyDescent="0.25">
      <c r="A711" s="27"/>
      <c r="B711" s="2314"/>
      <c r="C711" s="2315" t="s">
        <v>2708</v>
      </c>
      <c r="D711" s="2529"/>
      <c r="E711" s="2316">
        <f>E707-E708</f>
        <v>0</v>
      </c>
      <c r="F711" s="2316">
        <f>F707-F708</f>
        <v>0</v>
      </c>
      <c r="G711" s="2316">
        <f t="shared" ref="G711:O711" si="298">G707-G708</f>
        <v>0</v>
      </c>
      <c r="H711" s="2316">
        <f t="shared" si="298"/>
        <v>0</v>
      </c>
      <c r="I711" s="2316">
        <f t="shared" si="298"/>
        <v>0</v>
      </c>
      <c r="J711" s="2316">
        <f t="shared" si="298"/>
        <v>0</v>
      </c>
      <c r="K711" s="2316">
        <f t="shared" si="298"/>
        <v>0</v>
      </c>
      <c r="L711" s="2316">
        <f t="shared" si="298"/>
        <v>0</v>
      </c>
      <c r="M711" s="2316">
        <f t="shared" si="298"/>
        <v>0</v>
      </c>
      <c r="N711" s="2316">
        <f t="shared" si="298"/>
        <v>0</v>
      </c>
      <c r="O711" s="2317">
        <f t="shared" si="298"/>
        <v>0</v>
      </c>
      <c r="Q711" s="4007"/>
    </row>
    <row r="712" spans="1:17" hidden="1" outlineLevel="1" x14ac:dyDescent="0.25">
      <c r="A712" s="27"/>
      <c r="B712" s="615"/>
      <c r="C712" s="893" t="s">
        <v>1142</v>
      </c>
      <c r="D712" s="3732">
        <v>1E-3</v>
      </c>
      <c r="E712" s="452">
        <f t="shared" ref="E712:O712" si="299">MIN(E751*$D$712,E711)</f>
        <v>0</v>
      </c>
      <c r="F712" s="452">
        <f>MIN(F751*$D$712,F711)</f>
        <v>0</v>
      </c>
      <c r="G712" s="452">
        <f t="shared" si="299"/>
        <v>0</v>
      </c>
      <c r="H712" s="452">
        <f t="shared" si="299"/>
        <v>0</v>
      </c>
      <c r="I712" s="452">
        <f t="shared" si="299"/>
        <v>0</v>
      </c>
      <c r="J712" s="452">
        <f t="shared" si="299"/>
        <v>0</v>
      </c>
      <c r="K712" s="452">
        <f t="shared" si="299"/>
        <v>0</v>
      </c>
      <c r="L712" s="452">
        <f t="shared" si="299"/>
        <v>0</v>
      </c>
      <c r="M712" s="452">
        <f t="shared" si="299"/>
        <v>0</v>
      </c>
      <c r="N712" s="452">
        <f t="shared" si="299"/>
        <v>0</v>
      </c>
      <c r="O712" s="2296">
        <f t="shared" si="299"/>
        <v>0</v>
      </c>
      <c r="Q712" s="4007"/>
    </row>
    <row r="713" spans="1:17" hidden="1" outlineLevel="1" x14ac:dyDescent="0.25">
      <c r="A713" s="27"/>
      <c r="B713" s="615"/>
      <c r="C713" s="893" t="s">
        <v>2847</v>
      </c>
      <c r="D713" s="2251"/>
      <c r="E713" s="452">
        <f t="shared" ref="E713:O713" si="300">E712*E721</f>
        <v>0</v>
      </c>
      <c r="F713" s="452">
        <f>F712*F721</f>
        <v>0</v>
      </c>
      <c r="G713" s="452">
        <f t="shared" si="300"/>
        <v>0</v>
      </c>
      <c r="H713" s="452">
        <f t="shared" si="300"/>
        <v>0</v>
      </c>
      <c r="I713" s="452">
        <f t="shared" si="300"/>
        <v>0</v>
      </c>
      <c r="J713" s="452">
        <f t="shared" si="300"/>
        <v>0</v>
      </c>
      <c r="K713" s="452">
        <f t="shared" si="300"/>
        <v>0</v>
      </c>
      <c r="L713" s="452">
        <f t="shared" si="300"/>
        <v>0</v>
      </c>
      <c r="M713" s="452">
        <f t="shared" si="300"/>
        <v>0</v>
      </c>
      <c r="N713" s="452">
        <f t="shared" si="300"/>
        <v>0</v>
      </c>
      <c r="O713" s="2296">
        <f t="shared" si="300"/>
        <v>0</v>
      </c>
      <c r="Q713" s="4007"/>
    </row>
    <row r="714" spans="1:17" hidden="1" outlineLevel="1" x14ac:dyDescent="0.25">
      <c r="A714" s="27"/>
      <c r="B714" s="2102"/>
      <c r="C714" s="2313" t="s">
        <v>1143</v>
      </c>
      <c r="D714" s="2527"/>
      <c r="E714" s="2291">
        <f t="shared" ref="E714:O714" si="301">E712*E723</f>
        <v>0</v>
      </c>
      <c r="F714" s="2291">
        <f>F712*F723</f>
        <v>0</v>
      </c>
      <c r="G714" s="2291">
        <f t="shared" si="301"/>
        <v>0</v>
      </c>
      <c r="H714" s="2291">
        <f t="shared" si="301"/>
        <v>0</v>
      </c>
      <c r="I714" s="2291">
        <f t="shared" si="301"/>
        <v>0</v>
      </c>
      <c r="J714" s="2291">
        <f t="shared" si="301"/>
        <v>0</v>
      </c>
      <c r="K714" s="2291">
        <f t="shared" si="301"/>
        <v>0</v>
      </c>
      <c r="L714" s="2291">
        <f t="shared" si="301"/>
        <v>0</v>
      </c>
      <c r="M714" s="2291">
        <f t="shared" si="301"/>
        <v>0</v>
      </c>
      <c r="N714" s="2291">
        <f t="shared" si="301"/>
        <v>0</v>
      </c>
      <c r="O714" s="2292">
        <f t="shared" si="301"/>
        <v>0</v>
      </c>
      <c r="Q714" s="4007"/>
    </row>
    <row r="715" spans="1:17" hidden="1" outlineLevel="1" x14ac:dyDescent="0.25">
      <c r="A715" s="123"/>
      <c r="B715" s="123"/>
      <c r="C715" s="123"/>
      <c r="D715" s="4740"/>
      <c r="E715" s="2099">
        <f>IFERROR(E713/$D$712,0)</f>
        <v>0</v>
      </c>
      <c r="F715" s="2099">
        <f>IFERROR(F713/$D$712,0)</f>
        <v>0</v>
      </c>
      <c r="G715" s="2099">
        <f t="shared" ref="G715:O715" si="302">IFERROR(G713/$D$712,0)</f>
        <v>0</v>
      </c>
      <c r="H715" s="2099">
        <f t="shared" si="302"/>
        <v>0</v>
      </c>
      <c r="I715" s="2099">
        <f t="shared" si="302"/>
        <v>0</v>
      </c>
      <c r="J715" s="2099">
        <f t="shared" si="302"/>
        <v>0</v>
      </c>
      <c r="K715" s="2099">
        <f t="shared" si="302"/>
        <v>0</v>
      </c>
      <c r="L715" s="2099">
        <f t="shared" si="302"/>
        <v>0</v>
      </c>
      <c r="M715" s="2099">
        <f t="shared" si="302"/>
        <v>0</v>
      </c>
      <c r="N715" s="2099">
        <f t="shared" si="302"/>
        <v>0</v>
      </c>
      <c r="O715" s="2099">
        <f t="shared" si="302"/>
        <v>0</v>
      </c>
      <c r="P715" s="123"/>
      <c r="Q715" s="4007"/>
    </row>
    <row r="716" spans="1:17" s="93" customFormat="1" ht="15.75" hidden="1" customHeight="1" outlineLevel="1" x14ac:dyDescent="0.25">
      <c r="A716" s="2318"/>
      <c r="B716" s="742"/>
      <c r="C716" s="763" t="s">
        <v>1390</v>
      </c>
      <c r="D716" s="764"/>
      <c r="E716" s="780">
        <f t="shared" ref="E716:O716" si="303">IFERROR(E689/E581,0)</f>
        <v>0</v>
      </c>
      <c r="F716" s="780">
        <f t="shared" si="303"/>
        <v>0</v>
      </c>
      <c r="G716" s="780">
        <f t="shared" si="303"/>
        <v>0</v>
      </c>
      <c r="H716" s="780">
        <f t="shared" si="303"/>
        <v>0</v>
      </c>
      <c r="I716" s="780">
        <f t="shared" si="303"/>
        <v>0</v>
      </c>
      <c r="J716" s="780">
        <f t="shared" si="303"/>
        <v>0</v>
      </c>
      <c r="K716" s="780">
        <f t="shared" si="303"/>
        <v>0</v>
      </c>
      <c r="L716" s="780">
        <f t="shared" si="303"/>
        <v>0</v>
      </c>
      <c r="M716" s="780">
        <f t="shared" si="303"/>
        <v>0</v>
      </c>
      <c r="N716" s="780">
        <f t="shared" si="303"/>
        <v>0</v>
      </c>
      <c r="O716" s="780">
        <f t="shared" si="303"/>
        <v>0</v>
      </c>
      <c r="Q716" s="3997"/>
    </row>
    <row r="717" spans="1:17" s="93" customFormat="1" ht="15.75" hidden="1" customHeight="1" outlineLevel="1" x14ac:dyDescent="0.25">
      <c r="A717" s="2318"/>
      <c r="B717" s="742"/>
      <c r="C717" s="763" t="s">
        <v>1391</v>
      </c>
      <c r="D717" s="764"/>
      <c r="E717" s="780">
        <f t="shared" ref="E717:O717" si="304">IFERROR(E689/E585,0)</f>
        <v>0</v>
      </c>
      <c r="F717" s="780">
        <f t="shared" si="304"/>
        <v>0</v>
      </c>
      <c r="G717" s="780">
        <f t="shared" si="304"/>
        <v>0</v>
      </c>
      <c r="H717" s="780">
        <f t="shared" si="304"/>
        <v>0</v>
      </c>
      <c r="I717" s="780">
        <f t="shared" si="304"/>
        <v>0</v>
      </c>
      <c r="J717" s="780">
        <f t="shared" si="304"/>
        <v>0</v>
      </c>
      <c r="K717" s="780">
        <f t="shared" si="304"/>
        <v>0</v>
      </c>
      <c r="L717" s="780">
        <f t="shared" si="304"/>
        <v>0</v>
      </c>
      <c r="M717" s="780">
        <f t="shared" si="304"/>
        <v>0</v>
      </c>
      <c r="N717" s="780">
        <f t="shared" si="304"/>
        <v>0</v>
      </c>
      <c r="O717" s="780">
        <f t="shared" si="304"/>
        <v>0</v>
      </c>
      <c r="Q717" s="3997"/>
    </row>
    <row r="718" spans="1:17" hidden="1" outlineLevel="1" x14ac:dyDescent="0.25">
      <c r="A718" s="27"/>
      <c r="B718" s="27"/>
      <c r="C718" s="1040"/>
      <c r="D718" s="2251"/>
      <c r="E718" s="2300"/>
      <c r="F718" s="2300"/>
      <c r="G718" s="2300"/>
      <c r="H718" s="2300"/>
      <c r="I718" s="2300"/>
      <c r="J718" s="2300"/>
      <c r="K718" s="2300"/>
      <c r="L718" s="2300"/>
      <c r="M718" s="2300"/>
      <c r="N718" s="2300"/>
      <c r="O718" s="2300"/>
      <c r="Q718" s="4007"/>
    </row>
    <row r="719" spans="1:17" s="170" customFormat="1" hidden="1" outlineLevel="1" x14ac:dyDescent="0.25">
      <c r="A719" s="43"/>
      <c r="B719" s="2332"/>
      <c r="C719" s="2333" t="s">
        <v>2735</v>
      </c>
      <c r="D719" s="2590"/>
      <c r="E719" s="2334">
        <f t="shared" ref="E719:O719" si="305">E691</f>
        <v>0</v>
      </c>
      <c r="F719" s="2334">
        <f>F691</f>
        <v>0</v>
      </c>
      <c r="G719" s="2334">
        <f t="shared" si="305"/>
        <v>0</v>
      </c>
      <c r="H719" s="2334">
        <f t="shared" si="305"/>
        <v>0</v>
      </c>
      <c r="I719" s="2334">
        <f t="shared" si="305"/>
        <v>0</v>
      </c>
      <c r="J719" s="2334">
        <f t="shared" si="305"/>
        <v>0</v>
      </c>
      <c r="K719" s="2334">
        <f t="shared" si="305"/>
        <v>0</v>
      </c>
      <c r="L719" s="2334">
        <f t="shared" si="305"/>
        <v>0</v>
      </c>
      <c r="M719" s="2334">
        <f t="shared" si="305"/>
        <v>0</v>
      </c>
      <c r="N719" s="2334">
        <f t="shared" si="305"/>
        <v>0</v>
      </c>
      <c r="O719" s="2335">
        <f t="shared" si="305"/>
        <v>0</v>
      </c>
      <c r="Q719" s="3987"/>
    </row>
    <row r="720" spans="1:17" s="170" customFormat="1" hidden="1" outlineLevel="1" x14ac:dyDescent="0.25">
      <c r="A720" s="43"/>
      <c r="B720" s="2336"/>
      <c r="C720" s="2337" t="s">
        <v>2736</v>
      </c>
      <c r="D720" s="2591"/>
      <c r="E720" s="2338">
        <f t="shared" ref="E720:O720" si="306">E695+E702</f>
        <v>0</v>
      </c>
      <c r="F720" s="2338">
        <f>F695+F702</f>
        <v>0</v>
      </c>
      <c r="G720" s="2338">
        <f t="shared" si="306"/>
        <v>0</v>
      </c>
      <c r="H720" s="2338">
        <f t="shared" si="306"/>
        <v>0</v>
      </c>
      <c r="I720" s="2338">
        <f t="shared" si="306"/>
        <v>0</v>
      </c>
      <c r="J720" s="2338">
        <f t="shared" si="306"/>
        <v>0</v>
      </c>
      <c r="K720" s="2338">
        <f t="shared" si="306"/>
        <v>0</v>
      </c>
      <c r="L720" s="2338">
        <f t="shared" si="306"/>
        <v>0</v>
      </c>
      <c r="M720" s="2338">
        <f t="shared" si="306"/>
        <v>0</v>
      </c>
      <c r="N720" s="2338">
        <f t="shared" si="306"/>
        <v>0</v>
      </c>
      <c r="O720" s="2339">
        <f t="shared" si="306"/>
        <v>0</v>
      </c>
      <c r="Q720" s="3987"/>
    </row>
    <row r="721" spans="1:17" s="170" customFormat="1" hidden="1" outlineLevel="1" x14ac:dyDescent="0.25">
      <c r="A721" s="43"/>
      <c r="B721" s="2336"/>
      <c r="C721" s="2337"/>
      <c r="D721" s="2591"/>
      <c r="E721" s="2328">
        <f>IFERROR(E720/E719,0)</f>
        <v>0</v>
      </c>
      <c r="F721" s="2328">
        <f>IFERROR(F720/F719,0)</f>
        <v>0</v>
      </c>
      <c r="G721" s="2328">
        <f t="shared" ref="G721:O721" si="307">IFERROR(G720/G719,0)</f>
        <v>0</v>
      </c>
      <c r="H721" s="2328">
        <f t="shared" si="307"/>
        <v>0</v>
      </c>
      <c r="I721" s="2328">
        <f t="shared" si="307"/>
        <v>0</v>
      </c>
      <c r="J721" s="2328">
        <f t="shared" si="307"/>
        <v>0</v>
      </c>
      <c r="K721" s="2328">
        <f t="shared" si="307"/>
        <v>0</v>
      </c>
      <c r="L721" s="2328">
        <f t="shared" si="307"/>
        <v>0</v>
      </c>
      <c r="M721" s="2328">
        <f t="shared" si="307"/>
        <v>0</v>
      </c>
      <c r="N721" s="2328">
        <f t="shared" si="307"/>
        <v>0</v>
      </c>
      <c r="O721" s="2329">
        <f t="shared" si="307"/>
        <v>0</v>
      </c>
      <c r="Q721" s="3987"/>
    </row>
    <row r="722" spans="1:17" s="170" customFormat="1" hidden="1" outlineLevel="1" x14ac:dyDescent="0.25">
      <c r="A722" s="43"/>
      <c r="B722" s="2336"/>
      <c r="C722" s="2337" t="s">
        <v>1412</v>
      </c>
      <c r="D722" s="2591"/>
      <c r="E722" s="2338">
        <f t="shared" ref="E722:O722" si="308">E696+E704</f>
        <v>0</v>
      </c>
      <c r="F722" s="2338">
        <f t="shared" si="308"/>
        <v>0</v>
      </c>
      <c r="G722" s="2338">
        <f t="shared" si="308"/>
        <v>0</v>
      </c>
      <c r="H722" s="2338">
        <f t="shared" si="308"/>
        <v>0</v>
      </c>
      <c r="I722" s="2338">
        <f t="shared" si="308"/>
        <v>0</v>
      </c>
      <c r="J722" s="2338">
        <f t="shared" si="308"/>
        <v>0</v>
      </c>
      <c r="K722" s="2338">
        <f t="shared" si="308"/>
        <v>0</v>
      </c>
      <c r="L722" s="2338">
        <f t="shared" si="308"/>
        <v>0</v>
      </c>
      <c r="M722" s="2338">
        <f t="shared" si="308"/>
        <v>0</v>
      </c>
      <c r="N722" s="2338">
        <f t="shared" si="308"/>
        <v>0</v>
      </c>
      <c r="O722" s="2339">
        <f t="shared" si="308"/>
        <v>0</v>
      </c>
      <c r="Q722" s="3987"/>
    </row>
    <row r="723" spans="1:17" s="170" customFormat="1" hidden="1" outlineLevel="1" x14ac:dyDescent="0.25">
      <c r="A723" s="43"/>
      <c r="B723" s="2340"/>
      <c r="C723" s="2341"/>
      <c r="D723" s="2592"/>
      <c r="E723" s="2330">
        <f>IFERROR(E722/E719,0)</f>
        <v>0</v>
      </c>
      <c r="F723" s="2330">
        <f>IFERROR(F722/F719,0)</f>
        <v>0</v>
      </c>
      <c r="G723" s="2330">
        <f t="shared" ref="G723:O723" si="309">IFERROR(G722/G719,0)</f>
        <v>0</v>
      </c>
      <c r="H723" s="2330">
        <f t="shared" si="309"/>
        <v>0</v>
      </c>
      <c r="I723" s="2330">
        <f t="shared" si="309"/>
        <v>0</v>
      </c>
      <c r="J723" s="2330">
        <f t="shared" si="309"/>
        <v>0</v>
      </c>
      <c r="K723" s="2330">
        <f t="shared" si="309"/>
        <v>0</v>
      </c>
      <c r="L723" s="2330">
        <f t="shared" si="309"/>
        <v>0</v>
      </c>
      <c r="M723" s="2330">
        <f t="shared" si="309"/>
        <v>0</v>
      </c>
      <c r="N723" s="2330">
        <f t="shared" si="309"/>
        <v>0</v>
      </c>
      <c r="O723" s="2331">
        <f t="shared" si="309"/>
        <v>0</v>
      </c>
      <c r="Q723" s="3987"/>
    </row>
    <row r="724" spans="1:17" hidden="1" outlineLevel="1" x14ac:dyDescent="0.25">
      <c r="A724" s="27"/>
      <c r="B724" s="27"/>
      <c r="C724" s="1040"/>
      <c r="D724" s="2251"/>
      <c r="E724" s="2300"/>
      <c r="F724" s="2300"/>
      <c r="G724" s="2300"/>
      <c r="H724" s="2300"/>
      <c r="I724" s="2300"/>
      <c r="J724" s="2300"/>
      <c r="K724" s="2300"/>
      <c r="L724" s="2300"/>
      <c r="M724" s="2300"/>
      <c r="N724" s="2300"/>
      <c r="O724" s="2300"/>
      <c r="Q724" s="4007"/>
    </row>
    <row r="725" spans="1:17" s="304" customFormat="1" hidden="1" outlineLevel="1" x14ac:dyDescent="0.25">
      <c r="A725" s="208"/>
      <c r="B725" s="208"/>
      <c r="C725" s="208" t="s">
        <v>2710</v>
      </c>
      <c r="D725" s="2593"/>
      <c r="E725" s="209"/>
      <c r="F725" s="208"/>
      <c r="G725" s="208"/>
      <c r="H725" s="208"/>
      <c r="I725" s="208"/>
      <c r="J725" s="208"/>
      <c r="K725" s="208"/>
      <c r="L725" s="208"/>
      <c r="M725" s="208"/>
      <c r="N725" s="208"/>
      <c r="O725" s="208"/>
      <c r="Q725" s="3996"/>
    </row>
    <row r="726" spans="1:17" hidden="1" outlineLevel="1" x14ac:dyDescent="0.25">
      <c r="B726" s="547"/>
      <c r="C726" s="1303" t="s">
        <v>2703</v>
      </c>
      <c r="D726" s="2528" t="s">
        <v>19</v>
      </c>
      <c r="E726" s="2289">
        <f t="shared" ref="E726:O726" si="310">E607+E604</f>
        <v>0</v>
      </c>
      <c r="F726" s="2289">
        <f t="shared" si="310"/>
        <v>0</v>
      </c>
      <c r="G726" s="2289">
        <f t="shared" si="310"/>
        <v>0</v>
      </c>
      <c r="H726" s="2289">
        <f t="shared" si="310"/>
        <v>0</v>
      </c>
      <c r="I726" s="2289">
        <f t="shared" si="310"/>
        <v>0</v>
      </c>
      <c r="J726" s="2289">
        <f t="shared" si="310"/>
        <v>0</v>
      </c>
      <c r="K726" s="2289">
        <f t="shared" si="310"/>
        <v>0</v>
      </c>
      <c r="L726" s="2289">
        <f t="shared" si="310"/>
        <v>0</v>
      </c>
      <c r="M726" s="2289">
        <f t="shared" si="310"/>
        <v>0</v>
      </c>
      <c r="N726" s="2289">
        <f t="shared" si="310"/>
        <v>0</v>
      </c>
      <c r="O726" s="2294">
        <f t="shared" si="310"/>
        <v>0</v>
      </c>
    </row>
    <row r="727" spans="1:17" s="2171" customFormat="1" ht="12.75" hidden="1" outlineLevel="1" x14ac:dyDescent="0.25">
      <c r="A727" s="663"/>
      <c r="B727" s="2073"/>
      <c r="C727" s="2918" t="s">
        <v>2707</v>
      </c>
      <c r="D727" s="2486" t="s">
        <v>19</v>
      </c>
      <c r="E727" s="2919">
        <f>MIN('WSS Profile'!G245,E726)</f>
        <v>0</v>
      </c>
      <c r="F727" s="2919">
        <f>MIN((IF('WW Plan'!$E$341="Activate", IF('WW calcu'!F687='WW Plan'!$H$341+1,'WW Plan'!$H$349,0),0))+(IF('WW Plan'!$E$241="Activate", IF('WW calcu'!F687='WW Plan'!$H$241+1,('WW Plan'!$H$251)+E727,E727),E727)),F726)</f>
        <v>0</v>
      </c>
      <c r="G727" s="2919">
        <f>MIN((IF('WW Plan'!$E$341="Activate", IF('WW calcu'!G687='WW Plan'!$H$341+1,'WW Plan'!$H$349,0),0))+(IF('WW Plan'!$E$241="Activate", IF('WW calcu'!G687='WW Plan'!$H$241+1,('WW Plan'!$H$251)+F727,F727),F727)),G726)</f>
        <v>0</v>
      </c>
      <c r="H727" s="2919">
        <f>MIN((IF('WW Plan'!$E$341="Activate", IF('WW calcu'!H687='WW Plan'!$H$341+1,'WW Plan'!$H$349,0),0))+(IF('WW Plan'!$E$241="Activate", IF('WW calcu'!H687='WW Plan'!$H$241+1,('WW Plan'!$H$251)+G727,G727),G727)),H726)</f>
        <v>0</v>
      </c>
      <c r="I727" s="2919">
        <f>MIN((IF('WW Plan'!$E$341="Activate", IF('WW calcu'!I687='WW Plan'!$H$341+1,'WW Plan'!$H$349,0),0))+(IF('WW Plan'!$E$241="Activate", IF('WW calcu'!I687='WW Plan'!$H$241+1,('WW Plan'!$H$251)+H727,H727),H727)),I726)</f>
        <v>0</v>
      </c>
      <c r="J727" s="2919">
        <f>MIN((IF('WW Plan'!$E$341="Activate", IF('WW calcu'!J687='WW Plan'!$H$341+1,'WW Plan'!$H$349,0),0))+(IF('WW Plan'!$E$241="Activate", IF('WW calcu'!J687='WW Plan'!$H$241+1,('WW Plan'!$H$251)+I727,I727),I727)),J726)</f>
        <v>0</v>
      </c>
      <c r="K727" s="2919">
        <f>MIN((IF('WW Plan'!$E$341="Activate", IF('WW calcu'!K687='WW Plan'!$H$341+1,'WW Plan'!$H$349,0),0))+(IF('WW Plan'!$E$241="Activate", IF('WW calcu'!K687='WW Plan'!$H$241+1,('WW Plan'!$H$251)+J727,J727),J727)),K726)</f>
        <v>0</v>
      </c>
      <c r="L727" s="2919">
        <f>MIN((IF('WW Plan'!$E$341="Activate", IF('WW calcu'!L687='WW Plan'!$H$341+1,'WW Plan'!$H$349,0),0))+(IF('WW Plan'!$E$241="Activate", IF('WW calcu'!L687='WW Plan'!$H$241+1,('WW Plan'!$H$251)+K727,K727),K727)),L726)</f>
        <v>0</v>
      </c>
      <c r="M727" s="2919">
        <f>MIN((IF('WW Plan'!$E$341="Activate", IF('WW calcu'!M687='WW Plan'!$H$341+1,'WW Plan'!$H$349,0),0))+(IF('WW Plan'!$E$241="Activate", IF('WW calcu'!M687='WW Plan'!$H$241+1,('WW Plan'!$H$251)+L727,L727),L727)),M726)</f>
        <v>0</v>
      </c>
      <c r="N727" s="2919">
        <f>MIN((IF('WW Plan'!$E$341="Activate", IF('WW calcu'!N687='WW Plan'!$H$341+1,'WW Plan'!$H$349,0),0))+(IF('WW Plan'!$E$241="Activate", IF('WW calcu'!N687='WW Plan'!$H$241+1,('WW Plan'!$H$251)+M727,M727),M727)),N726)</f>
        <v>0</v>
      </c>
      <c r="O727" s="2920">
        <f>MIN((IF('WW Plan'!$E$341="Activate", IF('WW calcu'!O687='WW Plan'!$H$341+1,'WW Plan'!$H$349,0),0))+(IF('WW Plan'!$E$241="Activate", IF('WW calcu'!O687='WW Plan'!$H$241+1,('WW Plan'!$H$251)+N727,N727),N727)),O726)</f>
        <v>0</v>
      </c>
      <c r="Q727" s="4002"/>
    </row>
    <row r="728" spans="1:17" s="305" customFormat="1" hidden="1" outlineLevel="1" x14ac:dyDescent="0.25">
      <c r="A728" s="162"/>
      <c r="B728" s="2077"/>
      <c r="C728" s="1005" t="s">
        <v>2856</v>
      </c>
      <c r="D728" s="2486" t="s">
        <v>19</v>
      </c>
      <c r="E728" s="452">
        <f>E708</f>
        <v>0</v>
      </c>
      <c r="F728" s="452">
        <f>F708</f>
        <v>0</v>
      </c>
      <c r="G728" s="452">
        <f t="shared" ref="G728:O728" si="311">G708</f>
        <v>0</v>
      </c>
      <c r="H728" s="452">
        <f t="shared" si="311"/>
        <v>0</v>
      </c>
      <c r="I728" s="452">
        <f t="shared" si="311"/>
        <v>0</v>
      </c>
      <c r="J728" s="452">
        <f t="shared" si="311"/>
        <v>0</v>
      </c>
      <c r="K728" s="452">
        <f t="shared" si="311"/>
        <v>0</v>
      </c>
      <c r="L728" s="452">
        <f t="shared" si="311"/>
        <v>0</v>
      </c>
      <c r="M728" s="452">
        <f t="shared" si="311"/>
        <v>0</v>
      </c>
      <c r="N728" s="452">
        <f t="shared" si="311"/>
        <v>0</v>
      </c>
      <c r="O728" s="2296">
        <f t="shared" si="311"/>
        <v>0</v>
      </c>
      <c r="Q728" s="3987"/>
    </row>
    <row r="729" spans="1:17" hidden="1" outlineLevel="1" x14ac:dyDescent="0.25">
      <c r="B729" s="551"/>
      <c r="C729" s="1306" t="s">
        <v>2704</v>
      </c>
      <c r="D729" s="2487" t="s">
        <v>19</v>
      </c>
      <c r="E729" s="2291">
        <f>E726-E728</f>
        <v>0</v>
      </c>
      <c r="F729" s="2291">
        <f>F726-F728</f>
        <v>0</v>
      </c>
      <c r="G729" s="2291">
        <f t="shared" ref="G729:O729" si="312">G726-G728</f>
        <v>0</v>
      </c>
      <c r="H729" s="2291">
        <f t="shared" si="312"/>
        <v>0</v>
      </c>
      <c r="I729" s="2291">
        <f t="shared" si="312"/>
        <v>0</v>
      </c>
      <c r="J729" s="2291">
        <f t="shared" si="312"/>
        <v>0</v>
      </c>
      <c r="K729" s="2291">
        <f t="shared" si="312"/>
        <v>0</v>
      </c>
      <c r="L729" s="2291">
        <f t="shared" si="312"/>
        <v>0</v>
      </c>
      <c r="M729" s="2291">
        <f t="shared" si="312"/>
        <v>0</v>
      </c>
      <c r="N729" s="2291">
        <f t="shared" si="312"/>
        <v>0</v>
      </c>
      <c r="O729" s="2292">
        <f t="shared" si="312"/>
        <v>0</v>
      </c>
    </row>
    <row r="730" spans="1:17" s="304" customFormat="1" hidden="1" outlineLevel="1" x14ac:dyDescent="0.25">
      <c r="A730" s="34"/>
      <c r="B730" s="34"/>
      <c r="C730" s="2743" t="s">
        <v>496</v>
      </c>
      <c r="D730" s="2744"/>
      <c r="E730" s="724"/>
      <c r="F730" s="724"/>
      <c r="G730" s="724"/>
      <c r="H730" s="724"/>
      <c r="I730" s="724"/>
      <c r="J730" s="724"/>
      <c r="K730" s="724"/>
      <c r="L730" s="724"/>
      <c r="M730" s="724"/>
      <c r="N730" s="724"/>
      <c r="O730" s="724"/>
      <c r="Q730" s="3996"/>
    </row>
    <row r="731" spans="1:17" s="124" customFormat="1" hidden="1" outlineLevel="1" x14ac:dyDescent="0.25">
      <c r="A731" s="163"/>
      <c r="B731" s="1287"/>
      <c r="C731" s="1304" t="s">
        <v>2879</v>
      </c>
      <c r="D731" s="2492" t="s">
        <v>19</v>
      </c>
      <c r="E731" s="2289">
        <f>E732+E733</f>
        <v>0</v>
      </c>
      <c r="F731" s="2289">
        <f>F732+F733</f>
        <v>0</v>
      </c>
      <c r="G731" s="2289">
        <f t="shared" ref="G731:O731" si="313">G732+G733</f>
        <v>0</v>
      </c>
      <c r="H731" s="2289">
        <f t="shared" si="313"/>
        <v>0</v>
      </c>
      <c r="I731" s="2289">
        <f t="shared" si="313"/>
        <v>0</v>
      </c>
      <c r="J731" s="2289">
        <f t="shared" si="313"/>
        <v>0</v>
      </c>
      <c r="K731" s="2289">
        <f t="shared" si="313"/>
        <v>0</v>
      </c>
      <c r="L731" s="2289">
        <f t="shared" si="313"/>
        <v>0</v>
      </c>
      <c r="M731" s="2289">
        <f t="shared" si="313"/>
        <v>0</v>
      </c>
      <c r="N731" s="2289">
        <f t="shared" si="313"/>
        <v>0</v>
      </c>
      <c r="O731" s="2294">
        <f t="shared" si="313"/>
        <v>0</v>
      </c>
      <c r="Q731" s="3987"/>
    </row>
    <row r="732" spans="1:17" s="124" customFormat="1" hidden="1" outlineLevel="1" x14ac:dyDescent="0.25">
      <c r="A732" s="163"/>
      <c r="B732" s="1243"/>
      <c r="C732" s="2182" t="s">
        <v>2632</v>
      </c>
      <c r="D732" s="2251"/>
      <c r="E732" s="452">
        <f>'WSS Profile'!G282</f>
        <v>0</v>
      </c>
      <c r="F732" s="452">
        <f>IF('WW Plan'!$E$241="Activate",IF(F687='WW Plan'!$H$241+1,'WW Plan'!$H$248+'WW calcu'!E732,'WW calcu'!E732),'WW calcu'!E732)</f>
        <v>0</v>
      </c>
      <c r="G732" s="452">
        <f>IF('WW Plan'!$E$241="Activate",IF(G687='WW Plan'!$H$241+1,'WW Plan'!$H$248+'WW calcu'!F732,'WW calcu'!F732),'WW calcu'!F732)</f>
        <v>0</v>
      </c>
      <c r="H732" s="452">
        <f>IF('WW Plan'!$E$241="Activate",IF(H687='WW Plan'!$H$241+1,'WW Plan'!$H$248+'WW calcu'!G732,'WW calcu'!G732),'WW calcu'!G732)</f>
        <v>0</v>
      </c>
      <c r="I732" s="452">
        <f>IF('WW Plan'!$E$241="Activate",IF(I687='WW Plan'!$H$241+1,'WW Plan'!$H$248+'WW calcu'!H732,'WW calcu'!H732),'WW calcu'!H732)</f>
        <v>0</v>
      </c>
      <c r="J732" s="452">
        <f>IF('WW Plan'!$E$241="Activate",IF(J687='WW Plan'!$H$241+1,'WW Plan'!$H$248+'WW calcu'!I732,'WW calcu'!I732),'WW calcu'!I732)</f>
        <v>0</v>
      </c>
      <c r="K732" s="452">
        <f>IF('WW Plan'!$E$241="Activate",IF(K687='WW Plan'!$H$241+1,'WW Plan'!$H$248+'WW calcu'!J732,'WW calcu'!J732),'WW calcu'!J732)</f>
        <v>0</v>
      </c>
      <c r="L732" s="452">
        <f>IF('WW Plan'!$E$241="Activate",IF(L687='WW Plan'!$H$241+1,'WW Plan'!$H$248+'WW calcu'!K732,'WW calcu'!K732),'WW calcu'!K732)</f>
        <v>0</v>
      </c>
      <c r="M732" s="452">
        <f>IF('WW Plan'!$E$241="Activate",IF(M687='WW Plan'!$H$241+1,'WW Plan'!$H$248+'WW calcu'!L732,'WW calcu'!L732),'WW calcu'!L732)</f>
        <v>0</v>
      </c>
      <c r="N732" s="452">
        <f>IF('WW Plan'!$E$241="Activate",IF(N687='WW Plan'!$H$241+1,'WW Plan'!$H$248+'WW calcu'!M732,'WW calcu'!M732),'WW calcu'!M732)</f>
        <v>0</v>
      </c>
      <c r="O732" s="2296">
        <f>IF('WW Plan'!$E$241="Activate",IF(O687='WW Plan'!$H$241+1,'WW Plan'!$H$248+'WW calcu'!N732,'WW calcu'!N732),'WW calcu'!N732)</f>
        <v>0</v>
      </c>
      <c r="Q732" s="3987"/>
    </row>
    <row r="733" spans="1:17" s="124" customFormat="1" hidden="1" outlineLevel="1" x14ac:dyDescent="0.25">
      <c r="A733" s="163"/>
      <c r="B733" s="1243"/>
      <c r="C733" s="2182" t="s">
        <v>2633</v>
      </c>
      <c r="D733" s="2251"/>
      <c r="E733" s="452"/>
      <c r="F733" s="452">
        <f>IF('WW Plan'!$E$332="Activate",IF(F687='WW Plan'!$H$332+1,'WW Plan'!$H$335,0),0)+E733</f>
        <v>0</v>
      </c>
      <c r="G733" s="452">
        <f>IF('WW Plan'!$E$332="Activate",IF(G687='WW Plan'!$H$332+1,'WW Plan'!$H$335,0),0)+F733</f>
        <v>0</v>
      </c>
      <c r="H733" s="452">
        <f>IF('WW Plan'!$E$332="Activate",IF(H687='WW Plan'!$H$332+1,'WW Plan'!$H$335,0),0)+G733</f>
        <v>0</v>
      </c>
      <c r="I733" s="452">
        <f>IF('WW Plan'!$E$332="Activate",IF(I687='WW Plan'!$H$332+1,'WW Plan'!$H$335,0),0)+H733</f>
        <v>0</v>
      </c>
      <c r="J733" s="452">
        <f>IF('WW Plan'!$E$332="Activate",IF(J687='WW Plan'!$H$332+1,'WW Plan'!$H$335,0),0)+I733</f>
        <v>0</v>
      </c>
      <c r="K733" s="452">
        <f>IF('WW Plan'!$E$332="Activate",IF(K687='WW Plan'!$H$332+1,'WW Plan'!$H$335,0),0)+J733</f>
        <v>0</v>
      </c>
      <c r="L733" s="452">
        <f>IF('WW Plan'!$E$332="Activate",IF(L687='WW Plan'!$H$332+1,'WW Plan'!$H$335,0),0)+K733</f>
        <v>0</v>
      </c>
      <c r="M733" s="452">
        <f>IF('WW Plan'!$E$332="Activate",IF(M687='WW Plan'!$H$332+1,'WW Plan'!$H$335,0),0)+L733</f>
        <v>0</v>
      </c>
      <c r="N733" s="452">
        <f>IF('WW Plan'!$E$332="Activate",IF(N687='WW Plan'!$H$332+1,'WW Plan'!$H$335,0),0)+M733</f>
        <v>0</v>
      </c>
      <c r="O733" s="2296">
        <f>IF('WW Plan'!$E$332="Activate",IF(O687='WW Plan'!$H$332+1,'WW Plan'!$H$335,0),0)+N733</f>
        <v>0</v>
      </c>
      <c r="Q733" s="3987"/>
    </row>
    <row r="734" spans="1:17" s="124" customFormat="1" ht="30" hidden="1" customHeight="1" outlineLevel="1" x14ac:dyDescent="0.25">
      <c r="A734" s="163"/>
      <c r="B734" s="1288"/>
      <c r="C734" s="1305" t="s">
        <v>342</v>
      </c>
      <c r="D734" s="2527" t="s">
        <v>19</v>
      </c>
      <c r="E734" s="2291">
        <f>MIN(E731,E729)</f>
        <v>0</v>
      </c>
      <c r="F734" s="2291">
        <f>MIN(F731,F729)</f>
        <v>0</v>
      </c>
      <c r="G734" s="2291">
        <f t="shared" ref="G734:O734" si="314">MIN(G731,G729)</f>
        <v>0</v>
      </c>
      <c r="H734" s="2291">
        <f t="shared" si="314"/>
        <v>0</v>
      </c>
      <c r="I734" s="2291">
        <f t="shared" si="314"/>
        <v>0</v>
      </c>
      <c r="J734" s="2291">
        <f t="shared" si="314"/>
        <v>0</v>
      </c>
      <c r="K734" s="2291">
        <f t="shared" si="314"/>
        <v>0</v>
      </c>
      <c r="L734" s="2291">
        <f t="shared" si="314"/>
        <v>0</v>
      </c>
      <c r="M734" s="2291">
        <f t="shared" si="314"/>
        <v>0</v>
      </c>
      <c r="N734" s="2291">
        <f t="shared" si="314"/>
        <v>0</v>
      </c>
      <c r="O734" s="2292">
        <f t="shared" si="314"/>
        <v>0</v>
      </c>
      <c r="Q734" s="3987"/>
    </row>
    <row r="735" spans="1:17" s="1147" customFormat="1" hidden="1" outlineLevel="1" x14ac:dyDescent="0.25">
      <c r="A735" s="1146"/>
      <c r="B735" s="1149"/>
      <c r="C735" s="2743" t="s">
        <v>1311</v>
      </c>
      <c r="D735" s="2741"/>
      <c r="E735" s="1149"/>
      <c r="F735" s="1149"/>
      <c r="G735" s="1149"/>
      <c r="H735" s="1149"/>
      <c r="I735" s="1149"/>
      <c r="J735" s="1149"/>
      <c r="K735" s="1149"/>
      <c r="L735" s="1149"/>
      <c r="M735" s="1149"/>
      <c r="N735" s="1149"/>
      <c r="O735" s="1149"/>
      <c r="Q735" s="3996"/>
    </row>
    <row r="736" spans="1:17" s="170" customFormat="1" hidden="1" outlineLevel="1" x14ac:dyDescent="0.25">
      <c r="A736" s="43"/>
      <c r="B736" s="1287"/>
      <c r="C736" s="1304" t="s">
        <v>1307</v>
      </c>
      <c r="D736" s="2492"/>
      <c r="E736" s="2289">
        <f>MIN(E734,E732)</f>
        <v>0</v>
      </c>
      <c r="F736" s="2289">
        <f>MIN(F734,F732)</f>
        <v>0</v>
      </c>
      <c r="G736" s="2289">
        <f t="shared" ref="G736:O736" si="315">MIN(G734,G732)</f>
        <v>0</v>
      </c>
      <c r="H736" s="2289">
        <f t="shared" si="315"/>
        <v>0</v>
      </c>
      <c r="I736" s="2289">
        <f t="shared" si="315"/>
        <v>0</v>
      </c>
      <c r="J736" s="2289">
        <f t="shared" si="315"/>
        <v>0</v>
      </c>
      <c r="K736" s="2289">
        <f t="shared" si="315"/>
        <v>0</v>
      </c>
      <c r="L736" s="2289">
        <f t="shared" si="315"/>
        <v>0</v>
      </c>
      <c r="M736" s="2289">
        <f t="shared" si="315"/>
        <v>0</v>
      </c>
      <c r="N736" s="2289">
        <f t="shared" si="315"/>
        <v>0</v>
      </c>
      <c r="O736" s="2294">
        <f t="shared" si="315"/>
        <v>0</v>
      </c>
      <c r="Q736" s="3987"/>
    </row>
    <row r="737" spans="1:17" s="170" customFormat="1" hidden="1" outlineLevel="1" x14ac:dyDescent="0.25">
      <c r="A737" s="43"/>
      <c r="B737" s="2298"/>
      <c r="C737" s="2182" t="s">
        <v>2719</v>
      </c>
      <c r="D737" s="2581">
        <f>'WSS Profile'!G283</f>
        <v>0</v>
      </c>
      <c r="E737" s="452">
        <f>$D$737*E736</f>
        <v>0</v>
      </c>
      <c r="F737" s="452">
        <f>$D$737*F736</f>
        <v>0</v>
      </c>
      <c r="G737" s="452">
        <f t="shared" ref="G737:O737" si="316">$D$737*G736</f>
        <v>0</v>
      </c>
      <c r="H737" s="452">
        <f t="shared" si="316"/>
        <v>0</v>
      </c>
      <c r="I737" s="452">
        <f t="shared" si="316"/>
        <v>0</v>
      </c>
      <c r="J737" s="452">
        <f t="shared" si="316"/>
        <v>0</v>
      </c>
      <c r="K737" s="452">
        <f t="shared" si="316"/>
        <v>0</v>
      </c>
      <c r="L737" s="452">
        <f t="shared" si="316"/>
        <v>0</v>
      </c>
      <c r="M737" s="452">
        <f t="shared" si="316"/>
        <v>0</v>
      </c>
      <c r="N737" s="452">
        <f t="shared" si="316"/>
        <v>0</v>
      </c>
      <c r="O737" s="2296">
        <f t="shared" si="316"/>
        <v>0</v>
      </c>
      <c r="Q737" s="3987"/>
    </row>
    <row r="738" spans="1:17" s="170" customFormat="1" hidden="1" outlineLevel="1" x14ac:dyDescent="0.25">
      <c r="A738" s="43"/>
      <c r="B738" s="1243"/>
      <c r="C738" s="2182" t="s">
        <v>2636</v>
      </c>
      <c r="D738" s="2581" t="s">
        <v>19</v>
      </c>
      <c r="E738" s="2323">
        <f>MIN(E737,'WSS Profile'!G284)</f>
        <v>0</v>
      </c>
      <c r="F738" s="361">
        <f>MIN(IF('WW Plan'!$E$371="Activate",IF(AND('WW calcu'!F$687&gt;='WW Plan'!$G$379,'WW calcu'!F$687&lt;'WW Plan'!$H$379+1),'WW calcu'!E738+('WW Plan'!$H$382/('WW Plan'!$H$379+1-'WW Plan'!$G$379)),E738),E738),F737)</f>
        <v>0</v>
      </c>
      <c r="G738" s="361">
        <f>MIN(IF('WW Plan'!$E$371="Activate",IF(AND('WW calcu'!G$687&gt;='WW Plan'!$G$379,'WW calcu'!G$687&lt;'WW Plan'!$H$379+1),'WW calcu'!F738+('WW Plan'!$H$382/('WW Plan'!$H$379+1-'WW Plan'!$G$379)),F738),F738),G737)</f>
        <v>0</v>
      </c>
      <c r="H738" s="361">
        <f>MIN(IF('WW Plan'!$E$371="Activate",IF(AND('WW calcu'!H$687&gt;='WW Plan'!$G$379,'WW calcu'!H$687&lt;'WW Plan'!$H$379+1),'WW calcu'!G738+('WW Plan'!$H$382/('WW Plan'!$H$379+1-'WW Plan'!$G$379)),G738),G738),H737)</f>
        <v>0</v>
      </c>
      <c r="I738" s="361">
        <f>MIN(IF('WW Plan'!$E$371="Activate",IF(AND('WW calcu'!I$687&gt;='WW Plan'!$G$379,'WW calcu'!I$687&lt;'WW Plan'!$H$379+1),'WW calcu'!H738+('WW Plan'!$H$382/('WW Plan'!$H$379+1-'WW Plan'!$G$379)),H738),H738),I737)</f>
        <v>0</v>
      </c>
      <c r="J738" s="361">
        <f>MIN(IF('WW Plan'!$E$371="Activate",IF(AND('WW calcu'!J$687&gt;='WW Plan'!$G$379,'WW calcu'!J$687&lt;'WW Plan'!$H$379+1),'WW calcu'!I738+('WW Plan'!$H$382/('WW Plan'!$H$379+1-'WW Plan'!$G$379)),I738),I738),J737)</f>
        <v>0</v>
      </c>
      <c r="K738" s="361">
        <f>MIN(IF('WW Plan'!$E$371="Activate",IF(AND('WW calcu'!K$687&gt;='WW Plan'!$G$379,'WW calcu'!K$687&lt;'WW Plan'!$H$379+1),'WW calcu'!J738+('WW Plan'!$H$382/('WW Plan'!$H$379+1-'WW Plan'!$G$379)),J738),J738),K737)</f>
        <v>0</v>
      </c>
      <c r="L738" s="361">
        <f>MIN(IF('WW Plan'!$E$371="Activate",IF(AND('WW calcu'!L$687&gt;='WW Plan'!$G$379,'WW calcu'!L$687&lt;'WW Plan'!$H$379+1),'WW calcu'!K738+('WW Plan'!$H$382/('WW Plan'!$H$379+1-'WW Plan'!$G$379)),K738),K738),L737)</f>
        <v>0</v>
      </c>
      <c r="M738" s="361">
        <f>MIN(IF('WW Plan'!$E$371="Activate",IF(AND('WW calcu'!M$687&gt;='WW Plan'!$G$379,'WW calcu'!M$687&lt;'WW Plan'!$H$379+1),'WW calcu'!L738+('WW Plan'!$H$382/('WW Plan'!$H$379+1-'WW Plan'!$G$379)),L738),L738),M737)</f>
        <v>0</v>
      </c>
      <c r="N738" s="361">
        <f>MIN(IF('WW Plan'!$E$371="Activate",IF(AND('WW calcu'!N$687&gt;='WW Plan'!$G$379,'WW calcu'!N$687&lt;'WW Plan'!$H$379+1),'WW calcu'!M738+('WW Plan'!$H$382/('WW Plan'!$H$379+1-'WW Plan'!$G$379)),M738),M738),N737)</f>
        <v>0</v>
      </c>
      <c r="O738" s="2275">
        <f>MIN(IF('WW Plan'!$E$371="Activate",IF(AND('WW calcu'!O$687&gt;='WW Plan'!$G$379,'WW calcu'!O$687&lt;'WW Plan'!$H$379+1),'WW calcu'!N738+('WW Plan'!$H$382/('WW Plan'!$H$379+1-'WW Plan'!$G$379)),N738),N738),O737)</f>
        <v>0</v>
      </c>
      <c r="Q738" s="3987"/>
    </row>
    <row r="739" spans="1:17" s="170" customFormat="1" hidden="1" outlineLevel="1" x14ac:dyDescent="0.25">
      <c r="A739" s="43"/>
      <c r="B739" s="1243"/>
      <c r="C739" s="2182" t="s">
        <v>3568</v>
      </c>
      <c r="D739" s="5785">
        <f>'WW Plan'!H385</f>
        <v>0</v>
      </c>
      <c r="E739" s="361">
        <v>0</v>
      </c>
      <c r="F739" s="361">
        <f>MAX((F738-$E$738)*$D$739*365/CurrencyMultiplier,0)</f>
        <v>0</v>
      </c>
      <c r="G739" s="361">
        <f>MAX((G738-$E$738)*$D$739*365/CurrencyMultiplier,0)</f>
        <v>0</v>
      </c>
      <c r="H739" s="361">
        <f>MAX((H738-$E$738)*$D$739*365/CurrencyMultiplier,0)</f>
        <v>0</v>
      </c>
      <c r="I739" s="361">
        <f>MAX((I738-$E$738)*$D$739*365/CurrencyMultiplier,0)</f>
        <v>0</v>
      </c>
      <c r="J739" s="361">
        <f>MAX((J738-$E$738)*$D$739*365/CurrencyMultiplier,0)</f>
        <v>0</v>
      </c>
      <c r="K739" s="361">
        <f>MAX((K738-$E$738)*$D$739*365/CurrencyMultiplier,0)</f>
        <v>0</v>
      </c>
      <c r="L739" s="361">
        <f>MAX((L738-$E$738)*$D$739*365/CurrencyMultiplier,0)</f>
        <v>0</v>
      </c>
      <c r="M739" s="361">
        <f>MAX((M738-$E$738)*$D$739*365/CurrencyMultiplier,0)</f>
        <v>0</v>
      </c>
      <c r="N739" s="361">
        <f>MAX((N738-$E$738)*$D$739*365/CurrencyMultiplier,0)</f>
        <v>0</v>
      </c>
      <c r="O739" s="2275">
        <f>MAX((O738-$E$738)*$D$739*365/CurrencyMultiplier,0)</f>
        <v>0</v>
      </c>
      <c r="Q739" s="3987"/>
    </row>
    <row r="740" spans="1:17" s="170" customFormat="1" hidden="1" outlineLevel="1" x14ac:dyDescent="0.25">
      <c r="B740" s="1244"/>
      <c r="C740" s="2182" t="s">
        <v>493</v>
      </c>
      <c r="D740" s="5785"/>
      <c r="E740" s="361"/>
      <c r="F740" s="361">
        <f>IF('WW Plan'!$E$371="Activate",IF(AND('WW calcu'!F$687&gt;='WW Plan'!$G$379,'WW calcu'!F$687&lt;'WW Plan'!$H$379+1),('WW Plan'!$H$383/(CurrencyMultiplier*('WW Plan'!$H$379+1-'WW Plan'!$G$379))),0),0)</f>
        <v>0</v>
      </c>
      <c r="G740" s="361">
        <f>IF('WW Plan'!$E$371="Activate",IF(AND('WW calcu'!G$687&gt;='WW Plan'!$G$379,'WW calcu'!G$687&lt;'WW Plan'!$H$379+1),('WW Plan'!$H$383/(CurrencyMultiplier*('WW Plan'!$H$379+1-'WW Plan'!$G$379))),0),0)</f>
        <v>0</v>
      </c>
      <c r="H740" s="361">
        <f>IF('WW Plan'!$E$371="Activate",IF(AND('WW calcu'!H$687&gt;='WW Plan'!$G$379,'WW calcu'!H$687&lt;'WW Plan'!$H$379+1),('WW Plan'!$H$383/(CurrencyMultiplier*('WW Plan'!$H$379+1-'WW Plan'!$G$379))),0),0)</f>
        <v>0</v>
      </c>
      <c r="I740" s="361">
        <f>IF('WW Plan'!$E$371="Activate",IF(AND('WW calcu'!I$687&gt;='WW Plan'!$G$379,'WW calcu'!I$687&lt;'WW Plan'!$H$379+1),('WW Plan'!$H$383/(CurrencyMultiplier*('WW Plan'!$H$379+1-'WW Plan'!$G$379))),0),0)</f>
        <v>0</v>
      </c>
      <c r="J740" s="361">
        <f>IF('WW Plan'!$E$371="Activate",IF(AND('WW calcu'!J$687&gt;='WW Plan'!$G$379,'WW calcu'!J$687&lt;'WW Plan'!$H$379+1),('WW Plan'!$H$383/(CurrencyMultiplier*('WW Plan'!$H$379+1-'WW Plan'!$G$379))),0),0)</f>
        <v>0</v>
      </c>
      <c r="K740" s="361">
        <f>IF('WW Plan'!$E$371="Activate",IF(AND('WW calcu'!K$687&gt;='WW Plan'!$G$379,'WW calcu'!K$687&lt;'WW Plan'!$H$379+1),('WW Plan'!$H$383/(CurrencyMultiplier*('WW Plan'!$H$379+1-'WW Plan'!$G$379))),0),0)</f>
        <v>0</v>
      </c>
      <c r="L740" s="361">
        <f>IF('WW Plan'!$E$371="Activate",IF(AND('WW calcu'!L$687&gt;='WW Plan'!$G$379,'WW calcu'!L$687&lt;'WW Plan'!$H$379+1),('WW Plan'!$H$383/(CurrencyMultiplier*('WW Plan'!$H$379+1-'WW Plan'!$G$379))),0),0)</f>
        <v>0</v>
      </c>
      <c r="M740" s="361">
        <f>IF('WW Plan'!$E$371="Activate",IF(AND('WW calcu'!M$687&gt;='WW Plan'!$G$379,'WW calcu'!M$687&lt;'WW Plan'!$H$379+1),('WW Plan'!$H$383/(CurrencyMultiplier*('WW Plan'!$H$379+1-'WW Plan'!$G$379))),0),0)</f>
        <v>0</v>
      </c>
      <c r="N740" s="361">
        <f>IF('WW Plan'!$E$371="Activate",IF(AND('WW calcu'!N$687&gt;='WW Plan'!$G$379,'WW calcu'!N$687&lt;'WW Plan'!$H$379+1),('WW Plan'!$H$383/(CurrencyMultiplier*('WW Plan'!$H$379+1-'WW Plan'!$G$379))),0),0)</f>
        <v>0</v>
      </c>
      <c r="O740" s="2275">
        <f>IF('WW Plan'!$E$371="Activate",IF(AND('WW calcu'!O$687&gt;='WW Plan'!$G$379,'WW calcu'!O$687&lt;'WW Plan'!$H$379+1),('WW Plan'!$H$383/(CurrencyMultiplier*('WW Plan'!$H$379+1-'WW Plan'!$G$379))),0),0)</f>
        <v>0</v>
      </c>
      <c r="Q740" s="3987"/>
    </row>
    <row r="741" spans="1:17" s="170" customFormat="1" hidden="1" outlineLevel="1" x14ac:dyDescent="0.25">
      <c r="A741" s="43"/>
      <c r="B741" s="1288"/>
      <c r="C741" s="1305" t="s">
        <v>3567</v>
      </c>
      <c r="D741" s="5786">
        <f>'WW Plan'!H384</f>
        <v>0</v>
      </c>
      <c r="E741" s="2319"/>
      <c r="F741" s="2325">
        <f>IF(AND('WW Plan'!$E$371="Activate",'WW calcu'!F$687&gt;'WW Plan'!$H$379),$D$741,0)/CurrencyMultiplier</f>
        <v>0</v>
      </c>
      <c r="G741" s="2325">
        <f>IF(AND('WW Plan'!$E$371="Activate",'WW calcu'!G$687&gt;'WW Plan'!$H$379),$D$741,0)/CurrencyMultiplier</f>
        <v>0</v>
      </c>
      <c r="H741" s="2325">
        <f>IF(AND('WW Plan'!$E$371="Activate",'WW calcu'!H$687&gt;'WW Plan'!$H$379),$D$741,0)/CurrencyMultiplier</f>
        <v>0</v>
      </c>
      <c r="I741" s="2325">
        <f>IF(AND('WW Plan'!$E$371="Activate",'WW calcu'!I$687&gt;'WW Plan'!$H$379),$D$741,0)/CurrencyMultiplier</f>
        <v>0</v>
      </c>
      <c r="J741" s="2325">
        <f>IF(AND('WW Plan'!$E$371="Activate",'WW calcu'!J$687&gt;'WW Plan'!$H$379),$D$741,0)/CurrencyMultiplier</f>
        <v>0</v>
      </c>
      <c r="K741" s="2325">
        <f>IF(AND('WW Plan'!$E$371="Activate",'WW calcu'!K$687&gt;'WW Plan'!$H$379),$D$741,0)/CurrencyMultiplier</f>
        <v>0</v>
      </c>
      <c r="L741" s="2325">
        <f>IF(AND('WW Plan'!$E$371="Activate",'WW calcu'!L$687&gt;'WW Plan'!$H$379),$D$741,0)/CurrencyMultiplier</f>
        <v>0</v>
      </c>
      <c r="M741" s="2325">
        <f>IF(AND('WW Plan'!$E$371="Activate",'WW calcu'!M$687&gt;'WW Plan'!$H$379),$D$741,0)/CurrencyMultiplier</f>
        <v>0</v>
      </c>
      <c r="N741" s="2325">
        <f>IF(AND('WW Plan'!$E$371="Activate",'WW calcu'!N$687&gt;'WW Plan'!$H$379),$D$741,0)/CurrencyMultiplier</f>
        <v>0</v>
      </c>
      <c r="O741" s="2326">
        <f>IF(AND('WW Plan'!$E$371="Activate",'WW calcu'!O$687&gt;'WW Plan'!$H$379),$D$741,0)/CurrencyMultiplier</f>
        <v>0</v>
      </c>
      <c r="Q741" s="3987"/>
    </row>
    <row r="742" spans="1:17" s="1147" customFormat="1" hidden="1" outlineLevel="1" x14ac:dyDescent="0.25">
      <c r="A742" s="1146"/>
      <c r="C742" s="2743" t="s">
        <v>1312</v>
      </c>
      <c r="D742" s="2741"/>
      <c r="E742" s="1149"/>
      <c r="F742" s="1149"/>
      <c r="G742" s="1149"/>
      <c r="H742" s="1149"/>
      <c r="I742" s="1149"/>
      <c r="J742" s="1149"/>
      <c r="K742" s="1149"/>
      <c r="L742" s="1149"/>
      <c r="M742" s="1149"/>
      <c r="N742" s="1149"/>
      <c r="O742" s="1149"/>
      <c r="Q742" s="3996"/>
    </row>
    <row r="743" spans="1:17" s="170" customFormat="1" hidden="1" outlineLevel="1" x14ac:dyDescent="0.25">
      <c r="A743" s="43"/>
      <c r="B743" s="2309"/>
      <c r="C743" s="1304" t="s">
        <v>1310</v>
      </c>
      <c r="D743" s="2492"/>
      <c r="E743" s="2320">
        <f>E734-E736</f>
        <v>0</v>
      </c>
      <c r="F743" s="2320">
        <f>F734-F736</f>
        <v>0</v>
      </c>
      <c r="G743" s="2320">
        <f t="shared" ref="G743:O743" si="317">G734-G736</f>
        <v>0</v>
      </c>
      <c r="H743" s="2320">
        <f t="shared" si="317"/>
        <v>0</v>
      </c>
      <c r="I743" s="2320">
        <f t="shared" si="317"/>
        <v>0</v>
      </c>
      <c r="J743" s="2320">
        <f t="shared" si="317"/>
        <v>0</v>
      </c>
      <c r="K743" s="2320">
        <f t="shared" si="317"/>
        <v>0</v>
      </c>
      <c r="L743" s="2320">
        <f t="shared" si="317"/>
        <v>0</v>
      </c>
      <c r="M743" s="2320">
        <f t="shared" si="317"/>
        <v>0</v>
      </c>
      <c r="N743" s="2320">
        <f t="shared" si="317"/>
        <v>0</v>
      </c>
      <c r="O743" s="2321">
        <f t="shared" si="317"/>
        <v>0</v>
      </c>
      <c r="Q743" s="3987"/>
    </row>
    <row r="744" spans="1:17" s="170" customFormat="1" hidden="1" outlineLevel="1" x14ac:dyDescent="0.25">
      <c r="A744" s="43"/>
      <c r="B744" s="2298"/>
      <c r="C744" s="2182" t="s">
        <v>2700</v>
      </c>
      <c r="D744" s="2581">
        <f>'WW Plan'!$H$336</f>
        <v>0</v>
      </c>
      <c r="E744" s="452">
        <f>E743*$D$744</f>
        <v>0</v>
      </c>
      <c r="F744" s="452">
        <f>F743*$D$744</f>
        <v>0</v>
      </c>
      <c r="G744" s="452">
        <f t="shared" ref="G744:O744" si="318">G743*$D$744</f>
        <v>0</v>
      </c>
      <c r="H744" s="452">
        <f t="shared" si="318"/>
        <v>0</v>
      </c>
      <c r="I744" s="452">
        <f t="shared" si="318"/>
        <v>0</v>
      </c>
      <c r="J744" s="452">
        <f t="shared" si="318"/>
        <v>0</v>
      </c>
      <c r="K744" s="452">
        <f t="shared" si="318"/>
        <v>0</v>
      </c>
      <c r="L744" s="452">
        <f t="shared" si="318"/>
        <v>0</v>
      </c>
      <c r="M744" s="452">
        <f t="shared" si="318"/>
        <v>0</v>
      </c>
      <c r="N744" s="452">
        <f t="shared" si="318"/>
        <v>0</v>
      </c>
      <c r="O744" s="2296">
        <f t="shared" si="318"/>
        <v>0</v>
      </c>
      <c r="Q744" s="3987"/>
    </row>
    <row r="745" spans="1:17" s="170" customFormat="1" hidden="1" outlineLevel="1" x14ac:dyDescent="0.25">
      <c r="A745" s="43"/>
      <c r="B745" s="2298"/>
      <c r="C745" s="2182" t="s">
        <v>1305</v>
      </c>
      <c r="D745" s="2581"/>
      <c r="E745" s="460">
        <v>0</v>
      </c>
      <c r="F745" s="460">
        <f>IF(AND('WW Plan'!$E$332="Activate",'WW calcu'!F$687&gt;'WW Plan'!$H$332,'WW calcu'!F$687&lt;='WW Plan'!$H$337),1/('WW Plan'!$H$337-'WW Plan'!$H$332),0)+E745</f>
        <v>0</v>
      </c>
      <c r="G745" s="460">
        <f>IF(AND('WW Plan'!$E$332="Activate",'WW calcu'!G$687&gt;'WW Plan'!$H$332,'WW calcu'!G$687&lt;='WW Plan'!$H$337),1/('WW Plan'!$H$337-'WW Plan'!$H$332),0)+F745</f>
        <v>0</v>
      </c>
      <c r="H745" s="460">
        <f>IF(AND('WW Plan'!$E$332="Activate",'WW calcu'!H$687&gt;'WW Plan'!$H$332,'WW calcu'!H$687&lt;='WW Plan'!$H$337),1/('WW Plan'!$H$337-'WW Plan'!$H$332),0)+G745</f>
        <v>0</v>
      </c>
      <c r="I745" s="460">
        <f>IF(AND('WW Plan'!$E$332="Activate",'WW calcu'!I$687&gt;'WW Plan'!$H$332,'WW calcu'!I$687&lt;='WW Plan'!$H$337),1/('WW Plan'!$H$337-'WW Plan'!$H$332),0)+H745</f>
        <v>0</v>
      </c>
      <c r="J745" s="460">
        <f>IF(AND('WW Plan'!$E$332="Activate",'WW calcu'!J$687&gt;'WW Plan'!$H$332,'WW calcu'!J$687&lt;='WW Plan'!$H$337),1/('WW Plan'!$H$337-'WW Plan'!$H$332),0)+I745</f>
        <v>0</v>
      </c>
      <c r="K745" s="460">
        <f>IF(AND('WW Plan'!$E$332="Activate",'WW calcu'!K$687&gt;'WW Plan'!$H$332,'WW calcu'!K$687&lt;='WW Plan'!$H$337),1/('WW Plan'!$H$337-'WW Plan'!$H$332),0)+J745</f>
        <v>0</v>
      </c>
      <c r="L745" s="460">
        <f>IF(AND('WW Plan'!$E$332="Activate",'WW calcu'!L$687&gt;'WW Plan'!$H$332,'WW calcu'!L$687&lt;='WW Plan'!$H$337),1/('WW Plan'!$H$337-'WW Plan'!$H$332),0)+K745</f>
        <v>0</v>
      </c>
      <c r="M745" s="460">
        <f>IF(AND('WW Plan'!$E$332="Activate",'WW calcu'!M$687&gt;'WW Plan'!$H$332,'WW calcu'!M$687&lt;='WW Plan'!$H$337),1/('WW Plan'!$H$337-'WW Plan'!$H$332),0)+L745</f>
        <v>0</v>
      </c>
      <c r="N745" s="460">
        <f>IF(AND('WW Plan'!$E$332="Activate",'WW calcu'!N$687&gt;'WW Plan'!$H$332,'WW calcu'!N$687&lt;='WW Plan'!$H$337),1/('WW Plan'!$H$337-'WW Plan'!$H$332),0)+M745</f>
        <v>0</v>
      </c>
      <c r="O745" s="2235">
        <f>IF(AND('WW Plan'!$E$332="Activate",'WW calcu'!O$687&gt;'WW Plan'!$H$332,'WW calcu'!O$687&lt;='WW Plan'!$H$337),1/('WW Plan'!$H$337-'WW Plan'!$H$332),0)+N745</f>
        <v>0</v>
      </c>
      <c r="Q745" s="3987"/>
    </row>
    <row r="746" spans="1:17" s="170" customFormat="1" hidden="1" outlineLevel="1" x14ac:dyDescent="0.25">
      <c r="A746" s="43"/>
      <c r="B746" s="2298"/>
      <c r="C746" s="2182" t="s">
        <v>1306</v>
      </c>
      <c r="D746" s="2581"/>
      <c r="E746" s="361">
        <f>E745*E744</f>
        <v>0</v>
      </c>
      <c r="F746" s="361">
        <f>F745*F744</f>
        <v>0</v>
      </c>
      <c r="G746" s="361">
        <f t="shared" ref="G746:O746" si="319">G745*G744</f>
        <v>0</v>
      </c>
      <c r="H746" s="361">
        <f t="shared" si="319"/>
        <v>0</v>
      </c>
      <c r="I746" s="361">
        <f t="shared" si="319"/>
        <v>0</v>
      </c>
      <c r="J746" s="361">
        <f t="shared" si="319"/>
        <v>0</v>
      </c>
      <c r="K746" s="361">
        <f t="shared" si="319"/>
        <v>0</v>
      </c>
      <c r="L746" s="361">
        <f t="shared" si="319"/>
        <v>0</v>
      </c>
      <c r="M746" s="361">
        <f t="shared" si="319"/>
        <v>0</v>
      </c>
      <c r="N746" s="361">
        <f t="shared" si="319"/>
        <v>0</v>
      </c>
      <c r="O746" s="2275">
        <f t="shared" si="319"/>
        <v>0</v>
      </c>
      <c r="Q746" s="3987"/>
    </row>
    <row r="747" spans="1:17" s="170" customFormat="1" hidden="1" outlineLevel="1" x14ac:dyDescent="0.25">
      <c r="A747" s="43"/>
      <c r="B747" s="2298"/>
      <c r="C747" s="2182" t="s">
        <v>3561</v>
      </c>
      <c r="D747" s="2738">
        <f>'WW Plan'!H340</f>
        <v>0</v>
      </c>
      <c r="E747" s="361">
        <f>$D$747*E746*365/CurrencyMultiplier</f>
        <v>0</v>
      </c>
      <c r="F747" s="361">
        <f>$D$747*F746*365/CurrencyMultiplier</f>
        <v>0</v>
      </c>
      <c r="G747" s="361">
        <f>$D$747*G746*365/CurrencyMultiplier</f>
        <v>0</v>
      </c>
      <c r="H747" s="361">
        <f>$D$747*H746*365/CurrencyMultiplier</f>
        <v>0</v>
      </c>
      <c r="I747" s="361">
        <f>$D$747*I746*365/CurrencyMultiplier</f>
        <v>0</v>
      </c>
      <c r="J747" s="361">
        <f>$D$747*J746*365/CurrencyMultiplier</f>
        <v>0</v>
      </c>
      <c r="K747" s="361">
        <f>$D$747*K746*365/CurrencyMultiplier</f>
        <v>0</v>
      </c>
      <c r="L747" s="361">
        <f>$D$747*L746*365/CurrencyMultiplier</f>
        <v>0</v>
      </c>
      <c r="M747" s="361">
        <f>$D$747*M746*365/CurrencyMultiplier</f>
        <v>0</v>
      </c>
      <c r="N747" s="361">
        <f>$D$747*N746*365/CurrencyMultiplier</f>
        <v>0</v>
      </c>
      <c r="O747" s="2322">
        <f>$D$747*O746*365/CurrencyMultiplier</f>
        <v>0</v>
      </c>
      <c r="Q747" s="3987"/>
    </row>
    <row r="748" spans="1:17" s="93" customFormat="1" ht="30" hidden="1" outlineLevel="1" x14ac:dyDescent="0.25">
      <c r="A748" s="2318"/>
      <c r="B748" s="742"/>
      <c r="C748" s="763" t="s">
        <v>1123</v>
      </c>
      <c r="D748" s="771"/>
      <c r="E748" s="1148">
        <f>IFERROR(E732/E726,0)</f>
        <v>0</v>
      </c>
      <c r="F748" s="1148">
        <f>IFERROR(F732/F726,0)</f>
        <v>0</v>
      </c>
      <c r="G748" s="1148">
        <f t="shared" ref="G748:O748" si="320">IFERROR(G732/G726,0)</f>
        <v>0</v>
      </c>
      <c r="H748" s="1148">
        <f t="shared" si="320"/>
        <v>0</v>
      </c>
      <c r="I748" s="1148">
        <f t="shared" si="320"/>
        <v>0</v>
      </c>
      <c r="J748" s="1148">
        <f t="shared" si="320"/>
        <v>0</v>
      </c>
      <c r="K748" s="1148">
        <f t="shared" si="320"/>
        <v>0</v>
      </c>
      <c r="L748" s="1148">
        <f t="shared" si="320"/>
        <v>0</v>
      </c>
      <c r="M748" s="1148">
        <f t="shared" si="320"/>
        <v>0</v>
      </c>
      <c r="N748" s="1148">
        <f t="shared" si="320"/>
        <v>0</v>
      </c>
      <c r="O748" s="1148">
        <f t="shared" si="320"/>
        <v>0</v>
      </c>
      <c r="Q748" s="3997"/>
    </row>
    <row r="749" spans="1:17" hidden="1" outlineLevel="1" x14ac:dyDescent="0.25">
      <c r="A749" s="27"/>
      <c r="B749" s="27"/>
      <c r="C749" s="2194"/>
      <c r="D749" s="2251"/>
      <c r="E749" s="2100"/>
      <c r="F749" s="2100"/>
      <c r="G749" s="2100"/>
      <c r="H749" s="2100"/>
      <c r="I749" s="2100"/>
      <c r="J749" s="2100"/>
      <c r="K749" s="2100"/>
      <c r="L749" s="2100"/>
      <c r="M749" s="2100"/>
      <c r="N749" s="2100"/>
      <c r="O749" s="2100"/>
    </row>
    <row r="750" spans="1:17" hidden="1" outlineLevel="1" x14ac:dyDescent="0.25">
      <c r="A750" s="195"/>
      <c r="B750" s="195"/>
      <c r="C750" s="2168" t="s">
        <v>2678</v>
      </c>
      <c r="D750" s="2566"/>
      <c r="E750" s="195"/>
      <c r="F750" s="3733"/>
      <c r="G750" s="195"/>
      <c r="H750" s="195"/>
      <c r="I750" s="195"/>
      <c r="J750" s="195"/>
      <c r="K750" s="195"/>
      <c r="L750" s="195"/>
      <c r="M750" s="195"/>
      <c r="N750" s="195"/>
      <c r="O750" s="195"/>
    </row>
    <row r="751" spans="1:17" s="2171" customFormat="1" ht="12.75" hidden="1" outlineLevel="1" x14ac:dyDescent="0.25">
      <c r="A751" s="663"/>
      <c r="B751" s="908"/>
      <c r="C751" s="2301" t="s">
        <v>2709</v>
      </c>
      <c r="D751" s="2745" t="s">
        <v>2685</v>
      </c>
      <c r="E751" s="2304">
        <f>IFERROR(MIN('WSS Profile'!G246/$M$624,E673),0)</f>
        <v>0</v>
      </c>
      <c r="F751" s="2304">
        <f>MIN((IF('WW Plan'!$E$241="Activate", IF('WW calcu'!F687='WW Plan'!$H$241+1,('WW Plan'!$H$252/$M$624)+E751,E751),E751))+(IF('WW Plan'!$E$341="Activate", IF('WW calcu'!F687='WW Plan'!$H$341+1,'WW Plan'!$H$348/$M$624,0),0)),F673)</f>
        <v>0</v>
      </c>
      <c r="G751" s="2304">
        <f>MIN((IF('WW Plan'!$E$241="Activate", IF('WW calcu'!G687='WW Plan'!$H$241+1,('WW Plan'!$H$252/$M$624)+F751,F751),F751))+(IF('WW Plan'!$E$341="Activate", IF('WW calcu'!G687='WW Plan'!$H$341+1,'WW Plan'!$H$348/$M$624,0),0)),G673)</f>
        <v>0</v>
      </c>
      <c r="H751" s="2304">
        <f>MIN((IF('WW Plan'!$E$241="Activate", IF('WW calcu'!H687='WW Plan'!$H$241+1,('WW Plan'!$H$252/$M$624)+G751,G751),G751))+(IF('WW Plan'!$E$341="Activate", IF('WW calcu'!H687='WW Plan'!$H$341+1,'WW Plan'!$H$348/$M$624,0),0)),H673)</f>
        <v>0</v>
      </c>
      <c r="I751" s="2304">
        <f>MIN((IF('WW Plan'!$E$241="Activate", IF('WW calcu'!I687='WW Plan'!$H$241+1,('WW Plan'!$H$252/$M$624)+H751,H751),H751))+(IF('WW Plan'!$E$341="Activate", IF('WW calcu'!I687='WW Plan'!$H$341+1,'WW Plan'!$H$348/$M$624,0),0)),I673)</f>
        <v>0</v>
      </c>
      <c r="J751" s="2304">
        <f>MIN((IF('WW Plan'!$E$241="Activate", IF('WW calcu'!J687='WW Plan'!$H$241+1,('WW Plan'!$H$252/$M$624)+I751,I751),I751))+(IF('WW Plan'!$E$341="Activate", IF('WW calcu'!J687='WW Plan'!$H$341+1,'WW Plan'!$H$348/$M$624,0),0)),J673)</f>
        <v>0</v>
      </c>
      <c r="K751" s="2304">
        <f>MIN((IF('WW Plan'!$E$241="Activate", IF('WW calcu'!K687='WW Plan'!$H$241+1,('WW Plan'!$H$252/$M$624)+J751,J751),J751))+(IF('WW Plan'!$E$341="Activate", IF('WW calcu'!K687='WW Plan'!$H$341+1,'WW Plan'!$H$348/$M$624,0),0)),K673)</f>
        <v>0</v>
      </c>
      <c r="L751" s="2304">
        <f>MIN((IF('WW Plan'!$E$241="Activate", IF('WW calcu'!L687='WW Plan'!$H$241+1,('WW Plan'!$H$252/$M$624)+K751,K751),K751))+(IF('WW Plan'!$E$341="Activate", IF('WW calcu'!L687='WW Plan'!$H$341+1,'WW Plan'!$H$348/$M$624,0),0)),L673)</f>
        <v>0</v>
      </c>
      <c r="M751" s="2304">
        <f>MIN((IF('WW Plan'!$E$241="Activate", IF('WW calcu'!M687='WW Plan'!$H$241+1,('WW Plan'!$H$252/$M$624)+L751,L751),L751))+(IF('WW Plan'!$E$341="Activate", IF('WW calcu'!M687='WW Plan'!$H$341+1,'WW Plan'!$H$348/$M$624,0),0)),M673)</f>
        <v>0</v>
      </c>
      <c r="N751" s="2304">
        <f>MIN((IF('WW Plan'!$E$241="Activate", IF('WW calcu'!N687='WW Plan'!$H$241+1,('WW Plan'!$H$252/$M$624)+M751,M751),M751))+(IF('WW Plan'!$E$341="Activate", IF('WW calcu'!N687='WW Plan'!$H$341+1,'WW Plan'!$H$348/$M$624,0),0)),N673)</f>
        <v>0</v>
      </c>
      <c r="O751" s="2304">
        <f>MIN((IF('WW Plan'!$E$241="Activate", IF('WW calcu'!O687='WW Plan'!$H$241+1,('WW Plan'!$H$252/$M$624)+N751,N751),N751))+(IF('WW Plan'!$E$341="Activate", IF('WW calcu'!O687='WW Plan'!$H$341+1,'WW Plan'!$H$348/$M$624,0),0)),O673)</f>
        <v>0</v>
      </c>
      <c r="Q751" s="4002"/>
    </row>
    <row r="752" spans="1:17" s="305" customFormat="1" hidden="1" outlineLevel="1" x14ac:dyDescent="0.25">
      <c r="B752" s="374"/>
      <c r="C752" s="2299" t="s">
        <v>2715</v>
      </c>
      <c r="D752" s="2718" t="s">
        <v>2685</v>
      </c>
      <c r="E752" s="452">
        <f>IFERROR(E712/$D$712,0)</f>
        <v>0</v>
      </c>
      <c r="F752" s="452">
        <f>IFERROR(F712/$D$712,0)</f>
        <v>0</v>
      </c>
      <c r="G752" s="452">
        <f t="shared" ref="G752:O752" si="321">IFERROR(G712/$D$712,0)</f>
        <v>0</v>
      </c>
      <c r="H752" s="452">
        <f t="shared" si="321"/>
        <v>0</v>
      </c>
      <c r="I752" s="452">
        <f t="shared" si="321"/>
        <v>0</v>
      </c>
      <c r="J752" s="452">
        <f t="shared" si="321"/>
        <v>0</v>
      </c>
      <c r="K752" s="452">
        <f t="shared" si="321"/>
        <v>0</v>
      </c>
      <c r="L752" s="452">
        <f t="shared" si="321"/>
        <v>0</v>
      </c>
      <c r="M752" s="452">
        <f t="shared" si="321"/>
        <v>0</v>
      </c>
      <c r="N752" s="452">
        <f t="shared" si="321"/>
        <v>0</v>
      </c>
      <c r="O752" s="452">
        <f t="shared" si="321"/>
        <v>0</v>
      </c>
      <c r="Q752" s="3987"/>
    </row>
    <row r="753" spans="1:17" s="124" customFormat="1" hidden="1" outlineLevel="1" x14ac:dyDescent="0.25">
      <c r="A753" s="163"/>
      <c r="B753" s="183"/>
      <c r="C753" s="2290" t="s">
        <v>2686</v>
      </c>
      <c r="D753" s="2747" t="s">
        <v>2685</v>
      </c>
      <c r="E753" s="2291">
        <f t="shared" ref="E753:O753" si="322">MAX(E673-E752,0)</f>
        <v>0</v>
      </c>
      <c r="F753" s="2291">
        <f t="shared" si="322"/>
        <v>0</v>
      </c>
      <c r="G753" s="2291">
        <f t="shared" si="322"/>
        <v>0</v>
      </c>
      <c r="H753" s="2291">
        <f t="shared" si="322"/>
        <v>0</v>
      </c>
      <c r="I753" s="2291">
        <f t="shared" si="322"/>
        <v>0</v>
      </c>
      <c r="J753" s="2291">
        <f t="shared" si="322"/>
        <v>0</v>
      </c>
      <c r="K753" s="2291">
        <f t="shared" si="322"/>
        <v>0</v>
      </c>
      <c r="L753" s="2291">
        <f t="shared" si="322"/>
        <v>0</v>
      </c>
      <c r="M753" s="2291">
        <f t="shared" si="322"/>
        <v>0</v>
      </c>
      <c r="N753" s="2291">
        <f t="shared" si="322"/>
        <v>0</v>
      </c>
      <c r="O753" s="2291">
        <f t="shared" si="322"/>
        <v>0</v>
      </c>
      <c r="Q753" s="3987"/>
    </row>
    <row r="754" spans="1:17" s="124" customFormat="1" hidden="1" outlineLevel="1" x14ac:dyDescent="0.25">
      <c r="A754" s="163"/>
      <c r="B754" s="183"/>
      <c r="C754" s="2425" t="s">
        <v>2687</v>
      </c>
      <c r="D754" s="2746">
        <f>D712</f>
        <v>1E-3</v>
      </c>
      <c r="E754" s="452"/>
      <c r="F754" s="452"/>
      <c r="G754" s="452"/>
      <c r="H754" s="452"/>
      <c r="I754" s="452"/>
      <c r="J754" s="452"/>
      <c r="K754" s="452"/>
      <c r="L754" s="452"/>
      <c r="M754" s="452"/>
      <c r="N754" s="452"/>
      <c r="O754" s="452"/>
      <c r="Q754" s="3987"/>
    </row>
    <row r="755" spans="1:17" s="124" customFormat="1" hidden="1" outlineLevel="1" x14ac:dyDescent="0.25">
      <c r="A755" s="163"/>
      <c r="B755" s="183"/>
      <c r="C755" s="2288" t="s">
        <v>2688</v>
      </c>
      <c r="D755" s="2745" t="s">
        <v>2685</v>
      </c>
      <c r="E755" s="2289">
        <f>E756+E757</f>
        <v>0</v>
      </c>
      <c r="F755" s="2289">
        <f>F756+F757</f>
        <v>0</v>
      </c>
      <c r="G755" s="2289">
        <f t="shared" ref="G755:O755" si="323">G756+G757</f>
        <v>0</v>
      </c>
      <c r="H755" s="2289">
        <f t="shared" si="323"/>
        <v>32</v>
      </c>
      <c r="I755" s="2289">
        <f t="shared" si="323"/>
        <v>32</v>
      </c>
      <c r="J755" s="2289">
        <f t="shared" si="323"/>
        <v>32</v>
      </c>
      <c r="K755" s="2289">
        <f t="shared" si="323"/>
        <v>32</v>
      </c>
      <c r="L755" s="2289">
        <f t="shared" si="323"/>
        <v>32</v>
      </c>
      <c r="M755" s="2289">
        <f t="shared" si="323"/>
        <v>32</v>
      </c>
      <c r="N755" s="2289">
        <f t="shared" si="323"/>
        <v>32</v>
      </c>
      <c r="O755" s="2294">
        <f t="shared" si="323"/>
        <v>32</v>
      </c>
      <c r="Q755" s="3987"/>
    </row>
    <row r="756" spans="1:17" s="124" customFormat="1" hidden="1" outlineLevel="1" x14ac:dyDescent="0.25">
      <c r="A756" s="163"/>
      <c r="B756" s="183"/>
      <c r="C756" s="2299" t="s">
        <v>2632</v>
      </c>
      <c r="D756" s="2746" t="s">
        <v>2685</v>
      </c>
      <c r="E756" s="2287">
        <f>IFERROR('WSS Profile'!G275/$M$624,0)</f>
        <v>0</v>
      </c>
      <c r="F756" s="2293">
        <f>IF('WW Plan'!$E$241="Activate", IF('WW calcu'!F687='WW Plan'!$H$241+1,('WW Plan'!$H$247/$M$624)+E756,E756),E756)</f>
        <v>0</v>
      </c>
      <c r="G756" s="2293">
        <f>IF('WW Plan'!$E$241="Activate", IF('WW calcu'!G687='WW Plan'!$H$241+1,('WW Plan'!$H$247/$M$624)+F756,F756),F756)</f>
        <v>0</v>
      </c>
      <c r="H756" s="2293">
        <f>IF('WW Plan'!$E$241="Activate", IF('WW calcu'!H687='WW Plan'!$H$241+1,('WW Plan'!$H$247/$M$624)+G756,G756),G756)</f>
        <v>0</v>
      </c>
      <c r="I756" s="2293">
        <f>IF('WW Plan'!$E$241="Activate", IF('WW calcu'!I687='WW Plan'!$H$241+1,('WW Plan'!$H$247/$M$624)+H756,H756),H756)</f>
        <v>0</v>
      </c>
      <c r="J756" s="2293">
        <f>IF('WW Plan'!$E$241="Activate", IF('WW calcu'!J687='WW Plan'!$H$241+1,('WW Plan'!$H$247/$M$624)+I756,I756),I756)</f>
        <v>0</v>
      </c>
      <c r="K756" s="2293">
        <f>IF('WW Plan'!$E$241="Activate", IF('WW calcu'!K687='WW Plan'!$H$241+1,('WW Plan'!$H$247/$M$624)+J756,J756),J756)</f>
        <v>0</v>
      </c>
      <c r="L756" s="2293">
        <f>IF('WW Plan'!$E$241="Activate", IF('WW calcu'!L687='WW Plan'!$H$241+1,('WW Plan'!$H$247/$M$624)+K756,K756),K756)</f>
        <v>0</v>
      </c>
      <c r="M756" s="2293">
        <f>IF('WW Plan'!$E$241="Activate", IF('WW calcu'!M687='WW Plan'!$H$241+1,('WW Plan'!$H$247/$M$624)+L756,L756),L756)</f>
        <v>0</v>
      </c>
      <c r="N756" s="2293">
        <f>IF('WW Plan'!$E$241="Activate", IF('WW calcu'!N687='WW Plan'!$H$241+1,('WW Plan'!$H$247/$M$624)+M756,M756),M756)</f>
        <v>0</v>
      </c>
      <c r="O756" s="2295">
        <f>IF('WW Plan'!$E$241="Activate", IF('WW calcu'!O687='WW Plan'!$H$241+1,('WW Plan'!$H$247/$M$624)+N756,N756),N756)</f>
        <v>0</v>
      </c>
      <c r="Q756" s="3987"/>
    </row>
    <row r="757" spans="1:17" s="124" customFormat="1" hidden="1" outlineLevel="1" x14ac:dyDescent="0.25">
      <c r="A757" s="163"/>
      <c r="B757" s="183"/>
      <c r="C757" s="2299" t="s">
        <v>2633</v>
      </c>
      <c r="D757" s="2746" t="s">
        <v>2685</v>
      </c>
      <c r="E757" s="452">
        <v>0</v>
      </c>
      <c r="F757" s="2293">
        <f>IF('WW Plan'!$E$323="Activate", IF('WW calcu'!F$687='WW Plan'!$H$323+1,('WW Plan'!$H$326/$M$624)+E757,E757),E757)</f>
        <v>0</v>
      </c>
      <c r="G757" s="2293">
        <f>IF('WW Plan'!$E$323="Activate", IF('WW calcu'!G$687='WW Plan'!$H$323+1,('WW Plan'!$H$326/$M$624)+F757,F757),F757)</f>
        <v>0</v>
      </c>
      <c r="H757" s="2293">
        <f>IF('WW Plan'!$E$323="Activate", IF('WW calcu'!H$687='WW Plan'!$H$323+1,('WW Plan'!$H$326/$M$624)+G757,G757),G757)</f>
        <v>32</v>
      </c>
      <c r="I757" s="2293">
        <f>IF('WW Plan'!$E$323="Activate", IF('WW calcu'!I$687='WW Plan'!$H$323+1,('WW Plan'!$H$326/$M$624)+H757,H757),H757)</f>
        <v>32</v>
      </c>
      <c r="J757" s="2293">
        <f>IF('WW Plan'!$E$323="Activate", IF('WW calcu'!J$687='WW Plan'!$H$323+1,('WW Plan'!$H$326/$M$624)+I757,I757),I757)</f>
        <v>32</v>
      </c>
      <c r="K757" s="2293">
        <f>IF('WW Plan'!$E$323="Activate", IF('WW calcu'!K$687='WW Plan'!$H$323+1,('WW Plan'!$H$326/$M$624)+J757,J757),J757)</f>
        <v>32</v>
      </c>
      <c r="L757" s="2293">
        <f>IF('WW Plan'!$E$323="Activate", IF('WW calcu'!L$687='WW Plan'!$H$323+1,('WW Plan'!$H$326/$M$624)+K757,K757),K757)</f>
        <v>32</v>
      </c>
      <c r="M757" s="2293">
        <f>IF('WW Plan'!$E$323="Activate", IF('WW calcu'!M$687='WW Plan'!$H$323+1,('WW Plan'!$H$326/$M$624)+L757,L757),L757)</f>
        <v>32</v>
      </c>
      <c r="N757" s="2293">
        <f>IF('WW Plan'!$E$323="Activate", IF('WW calcu'!N$687='WW Plan'!$H$323+1,('WW Plan'!$H$326/$M$624)+M757,M757),M757)</f>
        <v>32</v>
      </c>
      <c r="O757" s="2295">
        <f>IF('WW Plan'!$E$323="Activate", IF('WW calcu'!O$687='WW Plan'!$H$323+1,('WW Plan'!$H$326/$M$624)+N757,N757),N757)</f>
        <v>32</v>
      </c>
      <c r="Q757" s="3987"/>
    </row>
    <row r="758" spans="1:17" s="124" customFormat="1" hidden="1" outlineLevel="1" x14ac:dyDescent="0.25">
      <c r="B758" s="77"/>
      <c r="C758" s="2290" t="s">
        <v>2689</v>
      </c>
      <c r="D758" s="2721" t="s">
        <v>2685</v>
      </c>
      <c r="E758" s="2291">
        <f t="shared" ref="E758:O758" si="324">MIN(E755,E753)</f>
        <v>0</v>
      </c>
      <c r="F758" s="2291">
        <f>MIN(F755,F753)</f>
        <v>0</v>
      </c>
      <c r="G758" s="2291">
        <f t="shared" si="324"/>
        <v>0</v>
      </c>
      <c r="H758" s="2291">
        <f t="shared" si="324"/>
        <v>0</v>
      </c>
      <c r="I758" s="2291">
        <f t="shared" si="324"/>
        <v>0</v>
      </c>
      <c r="J758" s="2291">
        <f t="shared" si="324"/>
        <v>0</v>
      </c>
      <c r="K758" s="2291">
        <f t="shared" si="324"/>
        <v>0</v>
      </c>
      <c r="L758" s="2291">
        <f t="shared" si="324"/>
        <v>0</v>
      </c>
      <c r="M758" s="2291">
        <f t="shared" si="324"/>
        <v>0</v>
      </c>
      <c r="N758" s="2291">
        <f t="shared" si="324"/>
        <v>0</v>
      </c>
      <c r="O758" s="2292">
        <f t="shared" si="324"/>
        <v>0</v>
      </c>
      <c r="Q758" s="3987"/>
    </row>
    <row r="759" spans="1:17" s="124" customFormat="1" hidden="1" outlineLevel="1" x14ac:dyDescent="0.25">
      <c r="A759" s="163"/>
      <c r="B759" s="183"/>
      <c r="C759" s="2743" t="s">
        <v>1311</v>
      </c>
      <c r="D759" s="2718"/>
      <c r="E759" s="452"/>
      <c r="F759" s="452"/>
      <c r="G759" s="452"/>
      <c r="H759" s="452"/>
      <c r="I759" s="452"/>
      <c r="J759" s="452"/>
      <c r="K759" s="452"/>
      <c r="L759" s="452"/>
      <c r="M759" s="452"/>
      <c r="N759" s="452"/>
      <c r="O759" s="452"/>
      <c r="Q759" s="3987"/>
    </row>
    <row r="760" spans="1:17" s="124" customFormat="1" hidden="1" outlineLevel="1" x14ac:dyDescent="0.25">
      <c r="B760" s="77"/>
      <c r="C760" s="2288" t="s">
        <v>2690</v>
      </c>
      <c r="D760" s="2921" t="s">
        <v>2685</v>
      </c>
      <c r="E760" s="2289">
        <f>MIN(E758,E756)</f>
        <v>0</v>
      </c>
      <c r="F760" s="2289">
        <f>MIN(F758,F756)</f>
        <v>0</v>
      </c>
      <c r="G760" s="2289">
        <f t="shared" ref="G760:O760" si="325">MIN(G758,G756)</f>
        <v>0</v>
      </c>
      <c r="H760" s="2289">
        <f t="shared" si="325"/>
        <v>0</v>
      </c>
      <c r="I760" s="2289">
        <f t="shared" si="325"/>
        <v>0</v>
      </c>
      <c r="J760" s="2289">
        <f t="shared" si="325"/>
        <v>0</v>
      </c>
      <c r="K760" s="2289">
        <f t="shared" si="325"/>
        <v>0</v>
      </c>
      <c r="L760" s="2289">
        <f t="shared" si="325"/>
        <v>0</v>
      </c>
      <c r="M760" s="2289">
        <f t="shared" si="325"/>
        <v>0</v>
      </c>
      <c r="N760" s="2289">
        <f t="shared" si="325"/>
        <v>0</v>
      </c>
      <c r="O760" s="2294">
        <f t="shared" si="325"/>
        <v>0</v>
      </c>
      <c r="Q760" s="3987"/>
    </row>
    <row r="761" spans="1:17" s="170" customFormat="1" hidden="1" outlineLevel="1" x14ac:dyDescent="0.25">
      <c r="A761" s="43"/>
      <c r="B761" s="183"/>
      <c r="C761" s="2299" t="s">
        <v>2716</v>
      </c>
      <c r="D761" s="2581">
        <f>'WSS Profile'!G276</f>
        <v>0</v>
      </c>
      <c r="E761" s="452">
        <f t="shared" ref="E761:O761" si="326">$D$761*E760</f>
        <v>0</v>
      </c>
      <c r="F761" s="452">
        <f t="shared" si="326"/>
        <v>0</v>
      </c>
      <c r="G761" s="452">
        <f t="shared" si="326"/>
        <v>0</v>
      </c>
      <c r="H761" s="452">
        <f t="shared" si="326"/>
        <v>0</v>
      </c>
      <c r="I761" s="452">
        <f t="shared" si="326"/>
        <v>0</v>
      </c>
      <c r="J761" s="452">
        <f t="shared" si="326"/>
        <v>0</v>
      </c>
      <c r="K761" s="452">
        <f t="shared" si="326"/>
        <v>0</v>
      </c>
      <c r="L761" s="452">
        <f t="shared" si="326"/>
        <v>0</v>
      </c>
      <c r="M761" s="452">
        <f t="shared" si="326"/>
        <v>0</v>
      </c>
      <c r="N761" s="452">
        <f t="shared" si="326"/>
        <v>0</v>
      </c>
      <c r="O761" s="2296">
        <f t="shared" si="326"/>
        <v>0</v>
      </c>
      <c r="Q761" s="3987"/>
    </row>
    <row r="762" spans="1:17" s="124" customFormat="1" hidden="1" outlineLevel="1" x14ac:dyDescent="0.25">
      <c r="A762" s="163"/>
      <c r="B762" s="183"/>
      <c r="C762" s="1126" t="s">
        <v>2691</v>
      </c>
      <c r="D762" s="2746" t="s">
        <v>2685</v>
      </c>
      <c r="E762" s="361">
        <f>IFERROR(MIN('WSS Profile'!$G$277/$M$624,E761),0)</f>
        <v>0</v>
      </c>
      <c r="F762" s="361">
        <f>MIN(IF('WW Plan'!$E$371="Activate",IF(AND('WW calcu'!F$687&gt;='WW Plan'!$G$372,'WW calcu'!F$687&lt;'WW Plan'!$H$372+1),'WW calcu'!E762+(('WW Plan'!$H$375/$M$624)/('WW Plan'!$H$372+1-'WW Plan'!$G$372)),E762),E762),F761)</f>
        <v>0</v>
      </c>
      <c r="G762" s="361">
        <f>MIN(IF('WW Plan'!$E$371="Activate",IF(AND('WW calcu'!G$687&gt;='WW Plan'!$G$372,'WW calcu'!G$687&lt;'WW Plan'!$H$372+1),'WW calcu'!F762+(('WW Plan'!$H$375/$M$624)/('WW Plan'!$H$372+1-'WW Plan'!$G$372)),F762),F762),G761)</f>
        <v>0</v>
      </c>
      <c r="H762" s="361">
        <f>MIN(IF('WW Plan'!$E$371="Activate",IF(AND('WW calcu'!H$687&gt;='WW Plan'!$G$372,'WW calcu'!H$687&lt;'WW Plan'!$H$372+1),'WW calcu'!G762+(('WW Plan'!$H$375/$M$624)/('WW Plan'!$H$372+1-'WW Plan'!$G$372)),G762),G762),H761)</f>
        <v>0</v>
      </c>
      <c r="I762" s="361">
        <f>MIN(IF('WW Plan'!$E$371="Activate",IF(AND('WW calcu'!I$687&gt;='WW Plan'!$G$372,'WW calcu'!I$687&lt;'WW Plan'!$H$372+1),'WW calcu'!H762+(('WW Plan'!$H$375/$M$624)/('WW Plan'!$H$372+1-'WW Plan'!$G$372)),H762),H762),I761)</f>
        <v>0</v>
      </c>
      <c r="J762" s="361">
        <f>MIN(IF('WW Plan'!$E$371="Activate",IF(AND('WW calcu'!J$687&gt;='WW Plan'!$G$372,'WW calcu'!J$687&lt;'WW Plan'!$H$372+1),'WW calcu'!I762+(('WW Plan'!$H$375/$M$624)/('WW Plan'!$H$372+1-'WW Plan'!$G$372)),I762),I762),J761)</f>
        <v>0</v>
      </c>
      <c r="K762" s="361">
        <f>MIN(IF('WW Plan'!$E$371="Activate",IF(AND('WW calcu'!K$687&gt;='WW Plan'!$G$372,'WW calcu'!K$687&lt;'WW Plan'!$H$372+1),'WW calcu'!J762+(('WW Plan'!$H$375/$M$624)/('WW Plan'!$H$372+1-'WW Plan'!$G$372)),J762),J762),K761)</f>
        <v>0</v>
      </c>
      <c r="L762" s="361">
        <f>MIN(IF('WW Plan'!$E$371="Activate",IF(AND('WW calcu'!L$687&gt;='WW Plan'!$G$372,'WW calcu'!L$687&lt;'WW Plan'!$H$372+1),'WW calcu'!K762+(('WW Plan'!$H$375/$M$624)/('WW Plan'!$H$372+1-'WW Plan'!$G$372)),K762),K762),L761)</f>
        <v>0</v>
      </c>
      <c r="M762" s="361">
        <f>MIN(IF('WW Plan'!$E$371="Activate",IF(AND('WW calcu'!M$687&gt;='WW Plan'!$G$372,'WW calcu'!M$687&lt;'WW Plan'!$H$372+1),'WW calcu'!L762+(('WW Plan'!$H$375/$M$624)/('WW Plan'!$H$372+1-'WW Plan'!$G$372)),L762),L762),M761)</f>
        <v>0</v>
      </c>
      <c r="N762" s="361">
        <f>MIN(IF('WW Plan'!$E$371="Activate",IF(AND('WW calcu'!N$687&gt;='WW Plan'!$G$372,'WW calcu'!N$687&lt;'WW Plan'!$H$372+1),'WW calcu'!M762+(('WW Plan'!$H$375/$M$624)/('WW Plan'!$H$372+1-'WW Plan'!$G$372)),M762),M762),N761)</f>
        <v>0</v>
      </c>
      <c r="O762" s="2275">
        <f>MIN(IF('WW Plan'!$E$371="Activate",IF(AND('WW calcu'!O$687&gt;='WW Plan'!$G$372,'WW calcu'!O$687&lt;'WW Plan'!$H$372+1),'WW calcu'!N762+(('WW Plan'!$H$375/$M$624)/('WW Plan'!$H$372+1-'WW Plan'!$G$372)),N762),N762),O761)</f>
        <v>0</v>
      </c>
      <c r="Q762" s="3987"/>
    </row>
    <row r="763" spans="1:17" s="124" customFormat="1" hidden="1" outlineLevel="1" x14ac:dyDescent="0.25">
      <c r="A763" s="163"/>
      <c r="B763" s="183"/>
      <c r="C763" s="2324" t="s">
        <v>2725</v>
      </c>
      <c r="D763" s="2936">
        <v>1200</v>
      </c>
      <c r="E763" s="119">
        <f t="shared" ref="E763:O763" si="327">$D$763*E762*$M$623</f>
        <v>0</v>
      </c>
      <c r="F763" s="119">
        <f t="shared" si="327"/>
        <v>0</v>
      </c>
      <c r="G763" s="119">
        <f t="shared" si="327"/>
        <v>0</v>
      </c>
      <c r="H763" s="119">
        <f t="shared" si="327"/>
        <v>0</v>
      </c>
      <c r="I763" s="119">
        <f t="shared" si="327"/>
        <v>0</v>
      </c>
      <c r="J763" s="119">
        <f t="shared" si="327"/>
        <v>0</v>
      </c>
      <c r="K763" s="119">
        <f t="shared" si="327"/>
        <v>0</v>
      </c>
      <c r="L763" s="119">
        <f t="shared" si="327"/>
        <v>0</v>
      </c>
      <c r="M763" s="119">
        <f t="shared" si="327"/>
        <v>0</v>
      </c>
      <c r="N763" s="119">
        <f t="shared" si="327"/>
        <v>0</v>
      </c>
      <c r="O763" s="2276">
        <f t="shared" si="327"/>
        <v>0</v>
      </c>
      <c r="Q763" s="3987"/>
    </row>
    <row r="764" spans="1:17" s="124" customFormat="1" hidden="1" outlineLevel="1" x14ac:dyDescent="0.25">
      <c r="A764" s="163"/>
      <c r="B764" s="183"/>
      <c r="C764" s="2299" t="s">
        <v>2726</v>
      </c>
      <c r="D764" s="5784">
        <f>'WW Plan'!H378</f>
        <v>0</v>
      </c>
      <c r="E764" s="452"/>
      <c r="F764" s="361">
        <f>MAX((F763-$E$763)*$D$764/CurrencyMultiplier,0)</f>
        <v>0</v>
      </c>
      <c r="G764" s="361">
        <f>MAX((G763-$E$763)*$D$764/CurrencyMultiplier,0)</f>
        <v>0</v>
      </c>
      <c r="H764" s="361">
        <f>MAX((H763-$E$763)*$D$764/CurrencyMultiplier,0)</f>
        <v>0</v>
      </c>
      <c r="I764" s="361">
        <f>MAX((I763-$E$763)*$D$764/CurrencyMultiplier,0)</f>
        <v>0</v>
      </c>
      <c r="J764" s="361">
        <f>MAX((J763-$E$763)*$D$764/CurrencyMultiplier,0)</f>
        <v>0</v>
      </c>
      <c r="K764" s="361">
        <f>MAX((K763-$E$763)*$D$764/CurrencyMultiplier,0)</f>
        <v>0</v>
      </c>
      <c r="L764" s="361">
        <f>MAX((L763-$E$763)*$D$764/CurrencyMultiplier,0)</f>
        <v>0</v>
      </c>
      <c r="M764" s="361">
        <f>MAX((M763-$E$763)*$D$764/CurrencyMultiplier,0)</f>
        <v>0</v>
      </c>
      <c r="N764" s="361">
        <f>MAX((N763-$E$763)*$D$764/CurrencyMultiplier,0)</f>
        <v>0</v>
      </c>
      <c r="O764" s="2275">
        <f>MAX((O763-$E$763)*$D$764/CurrencyMultiplier,0)</f>
        <v>0</v>
      </c>
      <c r="Q764" s="3987"/>
    </row>
    <row r="765" spans="1:17" s="124" customFormat="1" hidden="1" outlineLevel="1" x14ac:dyDescent="0.25">
      <c r="B765" s="183"/>
      <c r="C765" s="2299" t="s">
        <v>2728</v>
      </c>
      <c r="D765" s="5784"/>
      <c r="E765" s="452"/>
      <c r="F765" s="361">
        <f>IF('WW Plan'!$E$371="Activate",IF(AND('WW calcu'!F$687&gt;='WW Plan'!$G$372,'WW calcu'!F$687&lt;'WW Plan'!$H$372+1),('WW Plan'!$H$376/(('WW Plan'!$H$372+1-'WW Plan'!$G$372)*CurrencyMultiplier)),0),0)</f>
        <v>0</v>
      </c>
      <c r="G765" s="361">
        <f>IF('WW Plan'!$E$371="Activate",IF(AND('WW calcu'!G$687&gt;='WW Plan'!$G$372,'WW calcu'!G$687&lt;'WW Plan'!$H$372+1),('WW Plan'!$H$376/(('WW Plan'!$H$372+1-'WW Plan'!$G$372)*CurrencyMultiplier)),0),0)</f>
        <v>0</v>
      </c>
      <c r="H765" s="361">
        <f>IF('WW Plan'!$E$371="Activate",IF(AND('WW calcu'!H$687&gt;='WW Plan'!$G$372,'WW calcu'!H$687&lt;'WW Plan'!$H$372+1),('WW Plan'!$H$376/(('WW Plan'!$H$372+1-'WW Plan'!$G$372)*CurrencyMultiplier)),0),0)</f>
        <v>0</v>
      </c>
      <c r="I765" s="361">
        <f>IF('WW Plan'!$E$371="Activate",IF(AND('WW calcu'!I$687&gt;='WW Plan'!$G$372,'WW calcu'!I$687&lt;'WW Plan'!$H$372+1),('WW Plan'!$H$376/(('WW Plan'!$H$372+1-'WW Plan'!$G$372)*CurrencyMultiplier)),0),0)</f>
        <v>0</v>
      </c>
      <c r="J765" s="361">
        <f>IF('WW Plan'!$E$371="Activate",IF(AND('WW calcu'!J$687&gt;='WW Plan'!$G$372,'WW calcu'!J$687&lt;'WW Plan'!$H$372+1),('WW Plan'!$H$376/(('WW Plan'!$H$372+1-'WW Plan'!$G$372)*CurrencyMultiplier)),0),0)</f>
        <v>0</v>
      </c>
      <c r="K765" s="361">
        <f>IF('WW Plan'!$E$371="Activate",IF(AND('WW calcu'!K$687&gt;='WW Plan'!$G$372,'WW calcu'!K$687&lt;'WW Plan'!$H$372+1),('WW Plan'!$H$376/(('WW Plan'!$H$372+1-'WW Plan'!$G$372)*CurrencyMultiplier)),0),0)</f>
        <v>0</v>
      </c>
      <c r="L765" s="361">
        <f>IF('WW Plan'!$E$371="Activate",IF(AND('WW calcu'!L$687&gt;='WW Plan'!$G$372,'WW calcu'!L$687&lt;'WW Plan'!$H$372+1),('WW Plan'!$H$376/(('WW Plan'!$H$372+1-'WW Plan'!$G$372)*CurrencyMultiplier)),0),0)</f>
        <v>0</v>
      </c>
      <c r="M765" s="361">
        <f>IF('WW Plan'!$E$371="Activate",IF(AND('WW calcu'!M$687&gt;='WW Plan'!$G$372,'WW calcu'!M$687&lt;'WW Plan'!$H$372+1),('WW Plan'!$H$376/(('WW Plan'!$H$372+1-'WW Plan'!$G$372)*CurrencyMultiplier)),0),0)</f>
        <v>0</v>
      </c>
      <c r="N765" s="361">
        <f>IF('WW Plan'!$E$371="Activate",IF(AND('WW calcu'!N$687&gt;='WW Plan'!$G$372,'WW calcu'!N$687&lt;'WW Plan'!$H$372+1),('WW Plan'!$H$376/(('WW Plan'!$H$372+1-'WW Plan'!$G$372)*CurrencyMultiplier)),0),0)</f>
        <v>0</v>
      </c>
      <c r="O765" s="2275">
        <f>IF('WW Plan'!$E$371="Activate",IF(AND('WW calcu'!O$687&gt;='WW Plan'!$G$372,'WW calcu'!O$687&lt;'WW Plan'!$H$372+1),('WW Plan'!$H$376/(('WW Plan'!$H$372+1-'WW Plan'!$G$372)*CurrencyMultiplier)),0),0)</f>
        <v>0</v>
      </c>
      <c r="Q765" s="3987"/>
    </row>
    <row r="766" spans="1:17" s="124" customFormat="1" hidden="1" outlineLevel="1" x14ac:dyDescent="0.25">
      <c r="A766" s="163"/>
      <c r="B766" s="183"/>
      <c r="C766" s="2290" t="s">
        <v>2729</v>
      </c>
      <c r="D766" s="5782">
        <f>'WW Plan'!H377</f>
        <v>0</v>
      </c>
      <c r="E766" s="2291"/>
      <c r="F766" s="2325">
        <f>IF(AND('WW Plan'!$E$371="Activate",'WW calcu'!F$687&gt;'WW Plan'!$H$372),$D$766,0)/CurrencyMultiplier</f>
        <v>0</v>
      </c>
      <c r="G766" s="2325">
        <f>IF(AND('WW Plan'!$E$371="Activate",'WW calcu'!G$687&gt;'WW Plan'!$H$372),$D$766,0)/CurrencyMultiplier</f>
        <v>0</v>
      </c>
      <c r="H766" s="2325">
        <f>IF(AND('WW Plan'!$E$371="Activate",'WW calcu'!H$687&gt;'WW Plan'!$H$372),$D$766,0)/CurrencyMultiplier</f>
        <v>0</v>
      </c>
      <c r="I766" s="2325">
        <f>IF(AND('WW Plan'!$E$371="Activate",'WW calcu'!I$687&gt;'WW Plan'!$H$372),$D$766,0)/CurrencyMultiplier</f>
        <v>0</v>
      </c>
      <c r="J766" s="2325">
        <f>IF(AND('WW Plan'!$E$371="Activate",'WW calcu'!J$687&gt;'WW Plan'!$H$372),$D$766,0)/CurrencyMultiplier</f>
        <v>0</v>
      </c>
      <c r="K766" s="2325">
        <f>IF(AND('WW Plan'!$E$371="Activate",'WW calcu'!K$687&gt;'WW Plan'!$H$372),$D$766,0)/CurrencyMultiplier</f>
        <v>0</v>
      </c>
      <c r="L766" s="2325">
        <f>IF(AND('WW Plan'!$E$371="Activate",'WW calcu'!L$687&gt;'WW Plan'!$H$372),$D$766,0)/CurrencyMultiplier</f>
        <v>0</v>
      </c>
      <c r="M766" s="2325">
        <f>IF(AND('WW Plan'!$E$371="Activate",'WW calcu'!M$687&gt;'WW Plan'!$H$372),$D$766,0)/CurrencyMultiplier</f>
        <v>0</v>
      </c>
      <c r="N766" s="2325">
        <f>IF(AND('WW Plan'!$E$371="Activate",'WW calcu'!N$687&gt;'WW Plan'!$H$372),$D$766,0)/CurrencyMultiplier</f>
        <v>0</v>
      </c>
      <c r="O766" s="2326">
        <f>IF(AND('WW Plan'!$E$371="Activate",'WW calcu'!O$687&gt;'WW Plan'!$H$372),$D$766,0)/CurrencyMultiplier</f>
        <v>0</v>
      </c>
      <c r="Q766" s="3987"/>
    </row>
    <row r="767" spans="1:17" s="124" customFormat="1" hidden="1" outlineLevel="1" x14ac:dyDescent="0.25">
      <c r="A767" s="163"/>
      <c r="B767" s="183"/>
      <c r="C767" s="2743" t="s">
        <v>1312</v>
      </c>
      <c r="D767" s="2718"/>
      <c r="E767" s="452"/>
      <c r="F767" s="452"/>
      <c r="G767" s="452"/>
      <c r="H767" s="452"/>
      <c r="I767" s="452"/>
      <c r="J767" s="452"/>
      <c r="K767" s="452"/>
      <c r="L767" s="452"/>
      <c r="M767" s="452"/>
      <c r="N767" s="452"/>
      <c r="O767" s="452"/>
      <c r="Q767" s="3987"/>
    </row>
    <row r="768" spans="1:17" s="124" customFormat="1" hidden="1" outlineLevel="1" x14ac:dyDescent="0.25">
      <c r="B768" s="77"/>
      <c r="C768" s="2288" t="s">
        <v>2692</v>
      </c>
      <c r="D768" s="2921" t="s">
        <v>2685</v>
      </c>
      <c r="E768" s="2320">
        <f>E758-E760</f>
        <v>0</v>
      </c>
      <c r="F768" s="2320">
        <f t="shared" ref="F768:O768" si="328">F758-F760</f>
        <v>0</v>
      </c>
      <c r="G768" s="2320">
        <f t="shared" si="328"/>
        <v>0</v>
      </c>
      <c r="H768" s="2320">
        <f t="shared" si="328"/>
        <v>0</v>
      </c>
      <c r="I768" s="2320">
        <f t="shared" si="328"/>
        <v>0</v>
      </c>
      <c r="J768" s="2320">
        <f t="shared" si="328"/>
        <v>0</v>
      </c>
      <c r="K768" s="2320">
        <f t="shared" si="328"/>
        <v>0</v>
      </c>
      <c r="L768" s="2320">
        <f t="shared" si="328"/>
        <v>0</v>
      </c>
      <c r="M768" s="2320">
        <f t="shared" si="328"/>
        <v>0</v>
      </c>
      <c r="N768" s="2320">
        <f t="shared" si="328"/>
        <v>0</v>
      </c>
      <c r="O768" s="2321">
        <f t="shared" si="328"/>
        <v>0</v>
      </c>
      <c r="Q768" s="3987"/>
    </row>
    <row r="769" spans="1:17" s="170" customFormat="1" hidden="1" outlineLevel="1" x14ac:dyDescent="0.25">
      <c r="A769" s="43"/>
      <c r="B769" s="183"/>
      <c r="C769" s="2299" t="s">
        <v>2716</v>
      </c>
      <c r="D769" s="2581">
        <f>'WW Plan'!H327</f>
        <v>0.2</v>
      </c>
      <c r="E769" s="452">
        <f t="shared" ref="E769:O769" si="329">E768*$D$769</f>
        <v>0</v>
      </c>
      <c r="F769" s="452">
        <f t="shared" si="329"/>
        <v>0</v>
      </c>
      <c r="G769" s="452">
        <f t="shared" si="329"/>
        <v>0</v>
      </c>
      <c r="H769" s="452">
        <f t="shared" si="329"/>
        <v>0</v>
      </c>
      <c r="I769" s="452">
        <f t="shared" si="329"/>
        <v>0</v>
      </c>
      <c r="J769" s="452">
        <f t="shared" si="329"/>
        <v>0</v>
      </c>
      <c r="K769" s="452">
        <f t="shared" si="329"/>
        <v>0</v>
      </c>
      <c r="L769" s="452">
        <f t="shared" si="329"/>
        <v>0</v>
      </c>
      <c r="M769" s="452">
        <f t="shared" si="329"/>
        <v>0</v>
      </c>
      <c r="N769" s="452">
        <f t="shared" si="329"/>
        <v>0</v>
      </c>
      <c r="O769" s="2296">
        <f t="shared" si="329"/>
        <v>0</v>
      </c>
      <c r="Q769" s="3987"/>
    </row>
    <row r="770" spans="1:17" s="124" customFormat="1" hidden="1" outlineLevel="1" x14ac:dyDescent="0.25">
      <c r="A770" s="163"/>
      <c r="B770" s="183"/>
      <c r="C770" s="2299" t="s">
        <v>2693</v>
      </c>
      <c r="D770" s="2718"/>
      <c r="E770" s="460">
        <v>0</v>
      </c>
      <c r="F770" s="460">
        <f>IF(AND('WW Plan'!$E$323="Activate",'WW calcu'!F$687&gt;'WW Plan'!$H$323,'WW calcu'!F$687&lt;='WW Plan'!$H$328),1/('WW Plan'!$H$328-'WW Plan'!$H$323),0)+E770</f>
        <v>0</v>
      </c>
      <c r="G770" s="460">
        <f>IF(AND('WW Plan'!$E$323="Activate",'WW calcu'!G$687&gt;'WW Plan'!$H$323,'WW calcu'!G$687&lt;='WW Plan'!$H$328),1/('WW Plan'!$H$328-'WW Plan'!$H$323),0)+F770</f>
        <v>0</v>
      </c>
      <c r="H770" s="460">
        <f>IF(AND('WW Plan'!$E$323="Activate",'WW calcu'!H$687&gt;'WW Plan'!$H$323,'WW calcu'!H$687&lt;='WW Plan'!$H$328),1/('WW Plan'!$H$328-'WW Plan'!$H$323),0)+G770</f>
        <v>0.5</v>
      </c>
      <c r="I770" s="460">
        <f>IF(AND('WW Plan'!$E$323="Activate",'WW calcu'!I$687&gt;'WW Plan'!$H$323,'WW calcu'!I$687&lt;='WW Plan'!$H$328),1/('WW Plan'!$H$328-'WW Plan'!$H$323),0)+H770</f>
        <v>1</v>
      </c>
      <c r="J770" s="460">
        <f>IF(AND('WW Plan'!$E$323="Activate",'WW calcu'!J$687&gt;'WW Plan'!$H$323,'WW calcu'!J$687&lt;='WW Plan'!$H$328),1/('WW Plan'!$H$328-'WW Plan'!$H$323),0)+I770</f>
        <v>1</v>
      </c>
      <c r="K770" s="460">
        <f>IF(AND('WW Plan'!$E$323="Activate",'WW calcu'!K$687&gt;'WW Plan'!$H$323,'WW calcu'!K$687&lt;='WW Plan'!$H$328),1/('WW Plan'!$H$328-'WW Plan'!$H$323),0)+J770</f>
        <v>1</v>
      </c>
      <c r="L770" s="460">
        <f>IF(AND('WW Plan'!$E$323="Activate",'WW calcu'!L$687&gt;'WW Plan'!$H$323,'WW calcu'!L$687&lt;='WW Plan'!$H$328),1/('WW Plan'!$H$328-'WW Plan'!$H$323),0)+K770</f>
        <v>1</v>
      </c>
      <c r="M770" s="460">
        <f>IF(AND('WW Plan'!$E$323="Activate",'WW calcu'!M$687&gt;'WW Plan'!$H$323,'WW calcu'!M$687&lt;='WW Plan'!$H$328),1/('WW Plan'!$H$328-'WW Plan'!$H$323),0)+L770</f>
        <v>1</v>
      </c>
      <c r="N770" s="460">
        <f>IF(AND('WW Plan'!$E$323="Activate",'WW calcu'!N$687&gt;'WW Plan'!$H$323,'WW calcu'!N$687&lt;='WW Plan'!$H$328),1/('WW Plan'!$H$328-'WW Plan'!$H$323),0)+M770</f>
        <v>1</v>
      </c>
      <c r="O770" s="2235">
        <f>IF(AND('WW Plan'!$E$323="Activate",'WW calcu'!O$687&gt;'WW Plan'!$H$323,'WW calcu'!O$687&lt;='WW Plan'!$H$328),1/('WW Plan'!$H$328-'WW Plan'!$H$323),0)+N770</f>
        <v>1</v>
      </c>
      <c r="Q770" s="3987"/>
    </row>
    <row r="771" spans="1:17" s="124" customFormat="1" hidden="1" outlineLevel="1" x14ac:dyDescent="0.25">
      <c r="A771" s="163"/>
      <c r="B771" s="183"/>
      <c r="C771" s="2299" t="s">
        <v>2694</v>
      </c>
      <c r="D771" s="2746" t="s">
        <v>2685</v>
      </c>
      <c r="E771" s="361">
        <f>E770*E769</f>
        <v>0</v>
      </c>
      <c r="F771" s="361">
        <f t="shared" ref="F771:O771" si="330">F770*F769</f>
        <v>0</v>
      </c>
      <c r="G771" s="361">
        <f t="shared" si="330"/>
        <v>0</v>
      </c>
      <c r="H771" s="361">
        <f t="shared" si="330"/>
        <v>0</v>
      </c>
      <c r="I771" s="361">
        <f t="shared" si="330"/>
        <v>0</v>
      </c>
      <c r="J771" s="361">
        <f t="shared" si="330"/>
        <v>0</v>
      </c>
      <c r="K771" s="361">
        <f t="shared" si="330"/>
        <v>0</v>
      </c>
      <c r="L771" s="361">
        <f t="shared" si="330"/>
        <v>0</v>
      </c>
      <c r="M771" s="361">
        <f t="shared" si="330"/>
        <v>0</v>
      </c>
      <c r="N771" s="361">
        <f t="shared" si="330"/>
        <v>0</v>
      </c>
      <c r="O771" s="2275">
        <f t="shared" si="330"/>
        <v>0</v>
      </c>
      <c r="Q771" s="3987"/>
    </row>
    <row r="772" spans="1:17" s="124" customFormat="1" hidden="1" outlineLevel="1" x14ac:dyDescent="0.25">
      <c r="A772" s="163"/>
      <c r="B772" s="183"/>
      <c r="C772" s="2324" t="s">
        <v>2725</v>
      </c>
      <c r="D772" s="2718"/>
      <c r="E772" s="119">
        <f t="shared" ref="E772:O772" si="331">$D$763*E771*$M$623</f>
        <v>0</v>
      </c>
      <c r="F772" s="119">
        <f t="shared" si="331"/>
        <v>0</v>
      </c>
      <c r="G772" s="119">
        <f t="shared" si="331"/>
        <v>0</v>
      </c>
      <c r="H772" s="119">
        <f t="shared" si="331"/>
        <v>0</v>
      </c>
      <c r="I772" s="119">
        <f t="shared" si="331"/>
        <v>0</v>
      </c>
      <c r="J772" s="119">
        <f t="shared" si="331"/>
        <v>0</v>
      </c>
      <c r="K772" s="119">
        <f t="shared" si="331"/>
        <v>0</v>
      </c>
      <c r="L772" s="119">
        <f t="shared" si="331"/>
        <v>0</v>
      </c>
      <c r="M772" s="119">
        <f t="shared" si="331"/>
        <v>0</v>
      </c>
      <c r="N772" s="119">
        <f t="shared" si="331"/>
        <v>0</v>
      </c>
      <c r="O772" s="2276">
        <f t="shared" si="331"/>
        <v>0</v>
      </c>
      <c r="Q772" s="3987"/>
    </row>
    <row r="773" spans="1:17" s="124" customFormat="1" hidden="1" outlineLevel="1" x14ac:dyDescent="0.25">
      <c r="A773" s="163"/>
      <c r="B773" s="183"/>
      <c r="C773" s="2290" t="s">
        <v>2727</v>
      </c>
      <c r="D773" s="5782">
        <f>'WW Plan'!H331</f>
        <v>1</v>
      </c>
      <c r="E773" s="2291"/>
      <c r="F773" s="2642">
        <f>$D$773*F772/CurrencyMultiplier</f>
        <v>0</v>
      </c>
      <c r="G773" s="2642">
        <f>$D$773*G772/CurrencyMultiplier</f>
        <v>0</v>
      </c>
      <c r="H773" s="2642">
        <f>$D$773*H772/CurrencyMultiplier</f>
        <v>0</v>
      </c>
      <c r="I773" s="2642">
        <f>$D$773*I772/CurrencyMultiplier</f>
        <v>0</v>
      </c>
      <c r="J773" s="2642">
        <f>$D$773*J772/CurrencyMultiplier</f>
        <v>0</v>
      </c>
      <c r="K773" s="2642">
        <f>$D$773*K772/CurrencyMultiplier</f>
        <v>0</v>
      </c>
      <c r="L773" s="2642">
        <f>$D$773*L772/CurrencyMultiplier</f>
        <v>0</v>
      </c>
      <c r="M773" s="2642">
        <f>$D$773*M772/CurrencyMultiplier</f>
        <v>0</v>
      </c>
      <c r="N773" s="2642">
        <f>$D$773*N772/CurrencyMultiplier</f>
        <v>0</v>
      </c>
      <c r="O773" s="2643">
        <f>$D$773*O772/CurrencyMultiplier</f>
        <v>0</v>
      </c>
      <c r="Q773" s="3987"/>
    </row>
    <row r="774" spans="1:17" s="124" customFormat="1" hidden="1" outlineLevel="1" x14ac:dyDescent="0.25">
      <c r="A774" s="163"/>
      <c r="B774" s="183"/>
      <c r="C774" s="183"/>
      <c r="D774" s="183"/>
      <c r="E774" s="183"/>
      <c r="F774" s="183"/>
      <c r="G774" s="183"/>
      <c r="H774" s="183"/>
      <c r="I774" s="183"/>
      <c r="J774" s="183"/>
      <c r="K774" s="183"/>
      <c r="L774" s="183"/>
      <c r="M774" s="183"/>
      <c r="N774" s="183"/>
      <c r="O774" s="183"/>
      <c r="P774" s="183"/>
      <c r="Q774" s="3987"/>
    </row>
    <row r="775" spans="1:17" s="1142" customFormat="1" ht="16.5" hidden="1" customHeight="1" outlineLevel="1" x14ac:dyDescent="0.25">
      <c r="A775" s="773"/>
      <c r="B775" s="742"/>
      <c r="C775" s="763" t="s">
        <v>1113</v>
      </c>
      <c r="D775" s="764"/>
      <c r="E775" s="780">
        <f t="shared" ref="E775:O775" si="332">IFERROR(E755/E647,0)</f>
        <v>0</v>
      </c>
      <c r="F775" s="780">
        <f t="shared" si="332"/>
        <v>0</v>
      </c>
      <c r="G775" s="780">
        <f t="shared" si="332"/>
        <v>0</v>
      </c>
      <c r="H775" s="780">
        <f t="shared" si="332"/>
        <v>0</v>
      </c>
      <c r="I775" s="780">
        <f t="shared" si="332"/>
        <v>0</v>
      </c>
      <c r="J775" s="780">
        <f t="shared" si="332"/>
        <v>0</v>
      </c>
      <c r="K775" s="780">
        <f t="shared" si="332"/>
        <v>0</v>
      </c>
      <c r="L775" s="780">
        <f t="shared" si="332"/>
        <v>0</v>
      </c>
      <c r="M775" s="780">
        <f t="shared" si="332"/>
        <v>0</v>
      </c>
      <c r="N775" s="780">
        <f t="shared" si="332"/>
        <v>0</v>
      </c>
      <c r="O775" s="780">
        <f t="shared" si="332"/>
        <v>0</v>
      </c>
      <c r="Q775" s="3994"/>
    </row>
    <row r="776" spans="1:17" s="1142" customFormat="1" ht="16.5" hidden="1" customHeight="1" outlineLevel="1" x14ac:dyDescent="0.25">
      <c r="A776" s="773"/>
      <c r="B776" s="742"/>
      <c r="C776" s="763" t="s">
        <v>1347</v>
      </c>
      <c r="D776" s="764"/>
      <c r="E776" s="780">
        <f t="shared" ref="E776:O776" si="333">IFERROR((E689+E731+(E755*$D$754))/(E585+E726+(E647*$D$754)),0)</f>
        <v>0</v>
      </c>
      <c r="F776" s="780">
        <f t="shared" si="333"/>
        <v>0</v>
      </c>
      <c r="G776" s="780">
        <f t="shared" si="333"/>
        <v>0</v>
      </c>
      <c r="H776" s="780">
        <f t="shared" si="333"/>
        <v>0</v>
      </c>
      <c r="I776" s="780">
        <f t="shared" si="333"/>
        <v>0</v>
      </c>
      <c r="J776" s="780">
        <f t="shared" si="333"/>
        <v>0</v>
      </c>
      <c r="K776" s="780">
        <f t="shared" si="333"/>
        <v>0</v>
      </c>
      <c r="L776" s="780">
        <f t="shared" si="333"/>
        <v>0</v>
      </c>
      <c r="M776" s="780">
        <f t="shared" si="333"/>
        <v>0</v>
      </c>
      <c r="N776" s="780">
        <f t="shared" si="333"/>
        <v>0</v>
      </c>
      <c r="O776" s="780">
        <f t="shared" si="333"/>
        <v>0</v>
      </c>
      <c r="Q776" s="3994"/>
    </row>
    <row r="777" spans="1:17" s="124" customFormat="1" ht="30" hidden="1" outlineLevel="1" x14ac:dyDescent="0.25">
      <c r="A777" s="163"/>
      <c r="B777" s="183"/>
      <c r="C777" s="5514" t="s">
        <v>3106</v>
      </c>
      <c r="D777" s="5515"/>
      <c r="E777" s="5516">
        <f t="shared" ref="E777:O777" si="334">IFERROR((E689+E731+E605+(E755*$D$754))/(E585+E726+E605+(E647*$D$754)),0)</f>
        <v>0</v>
      </c>
      <c r="F777" s="5516">
        <f t="shared" si="334"/>
        <v>0</v>
      </c>
      <c r="G777" s="5516">
        <f t="shared" si="334"/>
        <v>0</v>
      </c>
      <c r="H777" s="5516">
        <f t="shared" si="334"/>
        <v>0</v>
      </c>
      <c r="I777" s="5516">
        <f t="shared" si="334"/>
        <v>0</v>
      </c>
      <c r="J777" s="5516">
        <f t="shared" si="334"/>
        <v>0</v>
      </c>
      <c r="K777" s="5516">
        <f t="shared" si="334"/>
        <v>0</v>
      </c>
      <c r="L777" s="5516">
        <f t="shared" si="334"/>
        <v>0</v>
      </c>
      <c r="M777" s="5516">
        <f t="shared" si="334"/>
        <v>0</v>
      </c>
      <c r="N777" s="5516">
        <f t="shared" si="334"/>
        <v>0</v>
      </c>
      <c r="O777" s="5516">
        <f t="shared" si="334"/>
        <v>0</v>
      </c>
      <c r="Q777" s="3987"/>
    </row>
    <row r="778" spans="1:17" s="124" customFormat="1" hidden="1" outlineLevel="1" x14ac:dyDescent="0.25">
      <c r="A778" s="163"/>
      <c r="B778" s="5518"/>
      <c r="C778" s="5514" t="s">
        <v>3109</v>
      </c>
      <c r="D778" s="5515"/>
      <c r="E778" s="5516">
        <f>IFERROR(SUMPRODUCT(E781:E784,E787:E790)/SUM(E787:E790),0)</f>
        <v>0</v>
      </c>
      <c r="F778" s="5516">
        <f t="shared" ref="F778:O778" si="335">IFERROR(SUMPRODUCT(F781:F784,F787:F790)/SUM(F787:F790),0)</f>
        <v>0</v>
      </c>
      <c r="G778" s="5516">
        <f t="shared" si="335"/>
        <v>0</v>
      </c>
      <c r="H778" s="5516">
        <f t="shared" si="335"/>
        <v>0</v>
      </c>
      <c r="I778" s="5516">
        <f t="shared" si="335"/>
        <v>0</v>
      </c>
      <c r="J778" s="5516">
        <f t="shared" si="335"/>
        <v>0</v>
      </c>
      <c r="K778" s="5516">
        <f t="shared" si="335"/>
        <v>0</v>
      </c>
      <c r="L778" s="5516">
        <f t="shared" si="335"/>
        <v>0</v>
      </c>
      <c r="M778" s="5516">
        <f t="shared" si="335"/>
        <v>0</v>
      </c>
      <c r="N778" s="5516">
        <f t="shared" si="335"/>
        <v>0</v>
      </c>
      <c r="O778" s="5516">
        <f t="shared" si="335"/>
        <v>0</v>
      </c>
      <c r="Q778" s="3987"/>
    </row>
    <row r="779" spans="1:17" s="124" customFormat="1" hidden="1" outlineLevel="1" x14ac:dyDescent="0.25">
      <c r="A779" s="163"/>
      <c r="B779" s="5518"/>
      <c r="C779" s="5514"/>
      <c r="D779" s="5515"/>
      <c r="E779" s="5519">
        <f>IFERROR(SUMPRODUCT(E781:E784,E787:E790)/SUM(E781:E784),0)</f>
        <v>0</v>
      </c>
      <c r="F779" s="5519">
        <f t="shared" ref="F779:O779" si="336">IFERROR(SUMPRODUCT(F781:F784,F787:F790)/SUM(F781:F784),0)</f>
        <v>0</v>
      </c>
      <c r="G779" s="5519">
        <f t="shared" si="336"/>
        <v>0</v>
      </c>
      <c r="H779" s="5519">
        <f t="shared" si="336"/>
        <v>0</v>
      </c>
      <c r="I779" s="5519">
        <f t="shared" si="336"/>
        <v>0</v>
      </c>
      <c r="J779" s="5519">
        <f t="shared" si="336"/>
        <v>0</v>
      </c>
      <c r="K779" s="5519">
        <f t="shared" si="336"/>
        <v>0</v>
      </c>
      <c r="L779" s="5519">
        <f t="shared" si="336"/>
        <v>0</v>
      </c>
      <c r="M779" s="5519">
        <f t="shared" si="336"/>
        <v>0</v>
      </c>
      <c r="N779" s="5519">
        <f t="shared" si="336"/>
        <v>0</v>
      </c>
      <c r="O779" s="5519">
        <f t="shared" si="336"/>
        <v>0</v>
      </c>
      <c r="Q779" s="3987"/>
    </row>
    <row r="780" spans="1:17" s="124" customFormat="1" hidden="1" outlineLevel="1" x14ac:dyDescent="0.25">
      <c r="A780" s="163"/>
      <c r="B780" s="5518"/>
      <c r="C780" s="5514"/>
      <c r="D780" s="5515"/>
      <c r="E780" s="5517"/>
      <c r="F780" s="5520"/>
      <c r="G780" s="5520"/>
      <c r="H780" s="5520"/>
      <c r="I780" s="5520"/>
      <c r="J780" s="5520"/>
      <c r="K780" s="5520"/>
      <c r="L780" s="5520"/>
      <c r="M780" s="5520"/>
      <c r="N780" s="5520"/>
      <c r="O780" s="5520"/>
      <c r="Q780" s="3987"/>
    </row>
    <row r="781" spans="1:17" s="124" customFormat="1" hidden="1" outlineLevel="1" x14ac:dyDescent="0.25">
      <c r="A781" s="163"/>
      <c r="B781" s="5518" t="s">
        <v>3114</v>
      </c>
      <c r="C781" s="5514" t="s">
        <v>1313</v>
      </c>
      <c r="D781" s="5515"/>
      <c r="E781" s="5520">
        <f t="shared" ref="E781:O781" si="337">E585</f>
        <v>0</v>
      </c>
      <c r="F781" s="5520">
        <f t="shared" si="337"/>
        <v>0</v>
      </c>
      <c r="G781" s="5520">
        <f t="shared" si="337"/>
        <v>0</v>
      </c>
      <c r="H781" s="5520">
        <f t="shared" si="337"/>
        <v>0</v>
      </c>
      <c r="I781" s="5520">
        <f t="shared" si="337"/>
        <v>0</v>
      </c>
      <c r="J781" s="5520">
        <f t="shared" si="337"/>
        <v>0</v>
      </c>
      <c r="K781" s="5520">
        <f t="shared" si="337"/>
        <v>0</v>
      </c>
      <c r="L781" s="5520">
        <f t="shared" si="337"/>
        <v>0</v>
      </c>
      <c r="M781" s="5520">
        <f t="shared" si="337"/>
        <v>0</v>
      </c>
      <c r="N781" s="5520">
        <f t="shared" si="337"/>
        <v>0</v>
      </c>
      <c r="O781" s="5520">
        <f t="shared" si="337"/>
        <v>0</v>
      </c>
      <c r="Q781" s="3987"/>
    </row>
    <row r="782" spans="1:17" s="124" customFormat="1" hidden="1" outlineLevel="1" x14ac:dyDescent="0.25">
      <c r="A782" s="163"/>
      <c r="B782" s="5518"/>
      <c r="C782" s="5514" t="s">
        <v>3110</v>
      </c>
      <c r="D782" s="5515"/>
      <c r="E782" s="5520">
        <f>E726</f>
        <v>0</v>
      </c>
      <c r="F782" s="5520">
        <f t="shared" ref="F782:O782" si="338">F726</f>
        <v>0</v>
      </c>
      <c r="G782" s="5520">
        <f t="shared" si="338"/>
        <v>0</v>
      </c>
      <c r="H782" s="5520">
        <f t="shared" si="338"/>
        <v>0</v>
      </c>
      <c r="I782" s="5520">
        <f t="shared" si="338"/>
        <v>0</v>
      </c>
      <c r="J782" s="5520">
        <f t="shared" si="338"/>
        <v>0</v>
      </c>
      <c r="K782" s="5520">
        <f t="shared" si="338"/>
        <v>0</v>
      </c>
      <c r="L782" s="5520">
        <f t="shared" si="338"/>
        <v>0</v>
      </c>
      <c r="M782" s="5520">
        <f t="shared" si="338"/>
        <v>0</v>
      </c>
      <c r="N782" s="5520">
        <f t="shared" si="338"/>
        <v>0</v>
      </c>
      <c r="O782" s="5520">
        <f t="shared" si="338"/>
        <v>0</v>
      </c>
      <c r="Q782" s="3987"/>
    </row>
    <row r="783" spans="1:17" s="124" customFormat="1" hidden="1" outlineLevel="1" x14ac:dyDescent="0.25">
      <c r="A783" s="163"/>
      <c r="B783" s="5518"/>
      <c r="C783" s="5514" t="s">
        <v>3111</v>
      </c>
      <c r="D783" s="5515"/>
      <c r="E783" s="5520">
        <f t="shared" ref="E783:O783" si="339">E647*$D$754</f>
        <v>0</v>
      </c>
      <c r="F783" s="5520">
        <f t="shared" si="339"/>
        <v>0</v>
      </c>
      <c r="G783" s="5520">
        <f t="shared" si="339"/>
        <v>0</v>
      </c>
      <c r="H783" s="5520">
        <f t="shared" si="339"/>
        <v>0</v>
      </c>
      <c r="I783" s="5520">
        <f t="shared" si="339"/>
        <v>0</v>
      </c>
      <c r="J783" s="5520">
        <f t="shared" si="339"/>
        <v>0</v>
      </c>
      <c r="K783" s="5520">
        <f t="shared" si="339"/>
        <v>0</v>
      </c>
      <c r="L783" s="5520">
        <f t="shared" si="339"/>
        <v>0</v>
      </c>
      <c r="M783" s="5520">
        <f t="shared" si="339"/>
        <v>0</v>
      </c>
      <c r="N783" s="5520">
        <f t="shared" si="339"/>
        <v>0</v>
      </c>
      <c r="O783" s="5520">
        <f t="shared" si="339"/>
        <v>0</v>
      </c>
      <c r="Q783" s="3987"/>
    </row>
    <row r="784" spans="1:17" s="124" customFormat="1" hidden="1" outlineLevel="1" x14ac:dyDescent="0.25">
      <c r="A784" s="163"/>
      <c r="B784" s="5518"/>
      <c r="C784" s="5514" t="s">
        <v>3112</v>
      </c>
      <c r="D784" s="5515"/>
      <c r="E784" s="5520">
        <f t="shared" ref="E784:O784" si="340">E605</f>
        <v>0</v>
      </c>
      <c r="F784" s="5520">
        <f t="shared" si="340"/>
        <v>0</v>
      </c>
      <c r="G784" s="5520">
        <f t="shared" si="340"/>
        <v>0</v>
      </c>
      <c r="H784" s="5520">
        <f t="shared" si="340"/>
        <v>0</v>
      </c>
      <c r="I784" s="5520">
        <f t="shared" si="340"/>
        <v>0</v>
      </c>
      <c r="J784" s="5520">
        <f t="shared" si="340"/>
        <v>0</v>
      </c>
      <c r="K784" s="5520">
        <f t="shared" si="340"/>
        <v>0</v>
      </c>
      <c r="L784" s="5520">
        <f t="shared" si="340"/>
        <v>0</v>
      </c>
      <c r="M784" s="5520">
        <f t="shared" si="340"/>
        <v>0</v>
      </c>
      <c r="N784" s="5520">
        <f t="shared" si="340"/>
        <v>0</v>
      </c>
      <c r="O784" s="5520">
        <f t="shared" si="340"/>
        <v>0</v>
      </c>
      <c r="Q784" s="3987"/>
    </row>
    <row r="785" spans="1:17" s="124" customFormat="1" hidden="1" outlineLevel="1" x14ac:dyDescent="0.25">
      <c r="A785" s="163"/>
      <c r="B785" s="5518"/>
      <c r="C785" s="5514"/>
      <c r="D785" s="5515"/>
      <c r="E785" s="5521">
        <f>SUM(E781:E784)</f>
        <v>0</v>
      </c>
      <c r="F785" s="5521">
        <f t="shared" ref="F785:O785" si="341">SUM(F781:F784)</f>
        <v>0</v>
      </c>
      <c r="G785" s="5521">
        <f t="shared" si="341"/>
        <v>0</v>
      </c>
      <c r="H785" s="5521">
        <f t="shared" si="341"/>
        <v>0</v>
      </c>
      <c r="I785" s="5521">
        <f t="shared" si="341"/>
        <v>0</v>
      </c>
      <c r="J785" s="5521">
        <f t="shared" si="341"/>
        <v>0</v>
      </c>
      <c r="K785" s="5521">
        <f t="shared" si="341"/>
        <v>0</v>
      </c>
      <c r="L785" s="5521">
        <f t="shared" si="341"/>
        <v>0</v>
      </c>
      <c r="M785" s="5521">
        <f t="shared" si="341"/>
        <v>0</v>
      </c>
      <c r="N785" s="5521">
        <f t="shared" si="341"/>
        <v>0</v>
      </c>
      <c r="O785" s="5521">
        <f t="shared" si="341"/>
        <v>0</v>
      </c>
      <c r="Q785" s="3987"/>
    </row>
    <row r="786" spans="1:17" s="124" customFormat="1" hidden="1" outlineLevel="1" x14ac:dyDescent="0.25">
      <c r="A786" s="163"/>
      <c r="B786" s="5518"/>
      <c r="C786" s="5514"/>
      <c r="D786" s="5515"/>
      <c r="E786" s="5520"/>
      <c r="F786" s="5520"/>
      <c r="G786" s="5520"/>
      <c r="H786" s="5520"/>
      <c r="I786" s="5520"/>
      <c r="J786" s="5520"/>
      <c r="K786" s="5520"/>
      <c r="L786" s="5520"/>
      <c r="M786" s="5520"/>
      <c r="N786" s="5520"/>
      <c r="O786" s="5520"/>
      <c r="Q786" s="3987"/>
    </row>
    <row r="787" spans="1:17" s="124" customFormat="1" hidden="1" outlineLevel="1" x14ac:dyDescent="0.25">
      <c r="A787" s="163"/>
      <c r="B787" s="5518" t="s">
        <v>3113</v>
      </c>
      <c r="C787" s="5514" t="s">
        <v>1313</v>
      </c>
      <c r="D787" s="5515"/>
      <c r="E787" s="5520">
        <f>E689</f>
        <v>0</v>
      </c>
      <c r="F787" s="5520">
        <f t="shared" ref="F787:O787" si="342">F689</f>
        <v>0</v>
      </c>
      <c r="G787" s="5520">
        <f t="shared" si="342"/>
        <v>0</v>
      </c>
      <c r="H787" s="5520">
        <f t="shared" si="342"/>
        <v>0</v>
      </c>
      <c r="I787" s="5520">
        <f t="shared" si="342"/>
        <v>0</v>
      </c>
      <c r="J787" s="5520">
        <f t="shared" si="342"/>
        <v>0</v>
      </c>
      <c r="K787" s="5520">
        <f t="shared" si="342"/>
        <v>0</v>
      </c>
      <c r="L787" s="5520">
        <f t="shared" si="342"/>
        <v>0</v>
      </c>
      <c r="M787" s="5520">
        <f t="shared" si="342"/>
        <v>0</v>
      </c>
      <c r="N787" s="5520">
        <f t="shared" si="342"/>
        <v>0</v>
      </c>
      <c r="O787" s="5520">
        <f t="shared" si="342"/>
        <v>0</v>
      </c>
      <c r="Q787" s="3987"/>
    </row>
    <row r="788" spans="1:17" s="124" customFormat="1" hidden="1" outlineLevel="1" x14ac:dyDescent="0.25">
      <c r="A788" s="163"/>
      <c r="B788" s="5518"/>
      <c r="C788" s="5514" t="s">
        <v>3110</v>
      </c>
      <c r="D788" s="5515"/>
      <c r="E788" s="5520">
        <f>E731</f>
        <v>0</v>
      </c>
      <c r="F788" s="5520">
        <f t="shared" ref="F788:O788" si="343">F731</f>
        <v>0</v>
      </c>
      <c r="G788" s="5520">
        <f t="shared" si="343"/>
        <v>0</v>
      </c>
      <c r="H788" s="5520">
        <f t="shared" si="343"/>
        <v>0</v>
      </c>
      <c r="I788" s="5520">
        <f t="shared" si="343"/>
        <v>0</v>
      </c>
      <c r="J788" s="5520">
        <f t="shared" si="343"/>
        <v>0</v>
      </c>
      <c r="K788" s="5520">
        <f t="shared" si="343"/>
        <v>0</v>
      </c>
      <c r="L788" s="5520">
        <f t="shared" si="343"/>
        <v>0</v>
      </c>
      <c r="M788" s="5520">
        <f t="shared" si="343"/>
        <v>0</v>
      </c>
      <c r="N788" s="5520">
        <f t="shared" si="343"/>
        <v>0</v>
      </c>
      <c r="O788" s="5520">
        <f t="shared" si="343"/>
        <v>0</v>
      </c>
      <c r="Q788" s="3987"/>
    </row>
    <row r="789" spans="1:17" s="124" customFormat="1" hidden="1" outlineLevel="1" x14ac:dyDescent="0.25">
      <c r="A789" s="163"/>
      <c r="B789" s="5518"/>
      <c r="C789" s="5514" t="s">
        <v>3111</v>
      </c>
      <c r="D789" s="5515"/>
      <c r="E789" s="5520">
        <f>E755*$D$754</f>
        <v>0</v>
      </c>
      <c r="F789" s="5520">
        <f t="shared" ref="F789:O789" si="344">F755*$D$754</f>
        <v>0</v>
      </c>
      <c r="G789" s="5520">
        <f t="shared" si="344"/>
        <v>0</v>
      </c>
      <c r="H789" s="5520">
        <f t="shared" si="344"/>
        <v>3.2000000000000001E-2</v>
      </c>
      <c r="I789" s="5520">
        <f t="shared" si="344"/>
        <v>3.2000000000000001E-2</v>
      </c>
      <c r="J789" s="5520">
        <f t="shared" si="344"/>
        <v>3.2000000000000001E-2</v>
      </c>
      <c r="K789" s="5520">
        <f t="shared" si="344"/>
        <v>3.2000000000000001E-2</v>
      </c>
      <c r="L789" s="5520">
        <f t="shared" si="344"/>
        <v>3.2000000000000001E-2</v>
      </c>
      <c r="M789" s="5520">
        <f t="shared" si="344"/>
        <v>3.2000000000000001E-2</v>
      </c>
      <c r="N789" s="5520">
        <f t="shared" si="344"/>
        <v>3.2000000000000001E-2</v>
      </c>
      <c r="O789" s="5520">
        <f t="shared" si="344"/>
        <v>3.2000000000000001E-2</v>
      </c>
      <c r="Q789" s="3987"/>
    </row>
    <row r="790" spans="1:17" s="124" customFormat="1" hidden="1" outlineLevel="1" x14ac:dyDescent="0.25">
      <c r="A790" s="163"/>
      <c r="B790" s="5518"/>
      <c r="C790" s="5514" t="s">
        <v>3112</v>
      </c>
      <c r="D790" s="5515"/>
      <c r="E790" s="5520">
        <f t="shared" ref="E790:O790" si="345">E605</f>
        <v>0</v>
      </c>
      <c r="F790" s="5520">
        <f t="shared" si="345"/>
        <v>0</v>
      </c>
      <c r="G790" s="5520">
        <f t="shared" si="345"/>
        <v>0</v>
      </c>
      <c r="H790" s="5520">
        <f t="shared" si="345"/>
        <v>0</v>
      </c>
      <c r="I790" s="5520">
        <f t="shared" si="345"/>
        <v>0</v>
      </c>
      <c r="J790" s="5520">
        <f t="shared" si="345"/>
        <v>0</v>
      </c>
      <c r="K790" s="5520">
        <f t="shared" si="345"/>
        <v>0</v>
      </c>
      <c r="L790" s="5520">
        <f t="shared" si="345"/>
        <v>0</v>
      </c>
      <c r="M790" s="5520">
        <f t="shared" si="345"/>
        <v>0</v>
      </c>
      <c r="N790" s="5520">
        <f t="shared" si="345"/>
        <v>0</v>
      </c>
      <c r="O790" s="5520">
        <f t="shared" si="345"/>
        <v>0</v>
      </c>
      <c r="Q790" s="3987"/>
    </row>
    <row r="791" spans="1:17" s="124" customFormat="1" hidden="1" outlineLevel="1" x14ac:dyDescent="0.25">
      <c r="A791" s="163"/>
      <c r="B791" s="5518"/>
      <c r="C791" s="5514"/>
      <c r="D791" s="5515"/>
      <c r="E791" s="5521">
        <f>SUM(E787:E790)</f>
        <v>0</v>
      </c>
      <c r="F791" s="5521">
        <f t="shared" ref="F791" si="346">SUM(F787:F790)</f>
        <v>0</v>
      </c>
      <c r="G791" s="5521">
        <f t="shared" ref="G791" si="347">SUM(G787:G790)</f>
        <v>0</v>
      </c>
      <c r="H791" s="5521">
        <f t="shared" ref="H791" si="348">SUM(H787:H790)</f>
        <v>3.2000000000000001E-2</v>
      </c>
      <c r="I791" s="5521">
        <f t="shared" ref="I791" si="349">SUM(I787:I790)</f>
        <v>3.2000000000000001E-2</v>
      </c>
      <c r="J791" s="5521">
        <f t="shared" ref="J791" si="350">SUM(J787:J790)</f>
        <v>3.2000000000000001E-2</v>
      </c>
      <c r="K791" s="5521">
        <f t="shared" ref="K791" si="351">SUM(K787:K790)</f>
        <v>3.2000000000000001E-2</v>
      </c>
      <c r="L791" s="5521">
        <f t="shared" ref="L791" si="352">SUM(L787:L790)</f>
        <v>3.2000000000000001E-2</v>
      </c>
      <c r="M791" s="5521">
        <f t="shared" ref="M791" si="353">SUM(M787:M790)</f>
        <v>3.2000000000000001E-2</v>
      </c>
      <c r="N791" s="5521">
        <f t="shared" ref="N791" si="354">SUM(N787:N790)</f>
        <v>3.2000000000000001E-2</v>
      </c>
      <c r="O791" s="5521">
        <f t="shared" ref="O791" si="355">SUM(O787:O790)</f>
        <v>3.2000000000000001E-2</v>
      </c>
      <c r="Q791" s="3987"/>
    </row>
    <row r="792" spans="1:17" s="124" customFormat="1" hidden="1" outlineLevel="1" x14ac:dyDescent="0.25">
      <c r="A792" s="163"/>
      <c r="B792" s="5518"/>
      <c r="C792" s="5514"/>
      <c r="D792" s="5515"/>
      <c r="E792" s="5521"/>
      <c r="F792" s="5521"/>
      <c r="G792" s="5521"/>
      <c r="H792" s="5521"/>
      <c r="I792" s="5521"/>
      <c r="J792" s="5521"/>
      <c r="K792" s="5521"/>
      <c r="L792" s="5521"/>
      <c r="M792" s="5521"/>
      <c r="N792" s="5521"/>
      <c r="O792" s="5521"/>
      <c r="Q792" s="3987"/>
    </row>
    <row r="793" spans="1:17" s="124" customFormat="1" hidden="1" outlineLevel="1" x14ac:dyDescent="0.25">
      <c r="A793" s="163"/>
      <c r="B793" s="5529" t="s">
        <v>2468</v>
      </c>
      <c r="C793" s="5530" t="s">
        <v>148</v>
      </c>
      <c r="D793" s="5515"/>
      <c r="E793" s="5528">
        <f>E599</f>
        <v>0</v>
      </c>
      <c r="F793" s="5521"/>
      <c r="G793" s="5521"/>
      <c r="H793" s="5521"/>
      <c r="I793" s="5521"/>
      <c r="J793" s="5521"/>
      <c r="K793" s="5521"/>
      <c r="L793" s="5521"/>
      <c r="M793" s="5521"/>
      <c r="N793" s="5521"/>
      <c r="O793" s="5521"/>
      <c r="Q793" s="3987"/>
    </row>
    <row r="794" spans="1:17" s="124" customFormat="1" hidden="1" outlineLevel="1" x14ac:dyDescent="0.25">
      <c r="A794" s="163"/>
      <c r="B794" s="5529"/>
      <c r="C794" s="5530" t="s">
        <v>605</v>
      </c>
      <c r="D794" s="5515"/>
      <c r="E794" s="5528">
        <f>E600+E601</f>
        <v>424</v>
      </c>
      <c r="F794" s="5521"/>
      <c r="G794" s="5521"/>
      <c r="H794" s="5521"/>
      <c r="I794" s="5521"/>
      <c r="J794" s="5521"/>
      <c r="K794" s="5521"/>
      <c r="L794" s="5521"/>
      <c r="M794" s="5521"/>
      <c r="N794" s="5521"/>
      <c r="O794" s="5521"/>
      <c r="Q794" s="3987"/>
    </row>
    <row r="795" spans="1:17" s="124" customFormat="1" hidden="1" outlineLevel="1" x14ac:dyDescent="0.25">
      <c r="A795" s="163"/>
      <c r="B795" s="5529"/>
      <c r="C795" s="5530" t="s">
        <v>3115</v>
      </c>
      <c r="D795" s="5515"/>
      <c r="E795" s="5521"/>
      <c r="F795" s="5521"/>
      <c r="G795" s="5521"/>
      <c r="H795" s="5521"/>
      <c r="I795" s="5521"/>
      <c r="J795" s="5521"/>
      <c r="K795" s="5521"/>
      <c r="L795" s="5521"/>
      <c r="M795" s="5521"/>
      <c r="N795" s="5521"/>
      <c r="O795" s="5521"/>
      <c r="Q795" s="3987"/>
    </row>
    <row r="796" spans="1:17" s="124" customFormat="1" hidden="1" outlineLevel="1" x14ac:dyDescent="0.25">
      <c r="A796" s="163"/>
      <c r="B796" s="5529"/>
      <c r="C796" s="5530" t="s">
        <v>2586</v>
      </c>
      <c r="D796" s="5515"/>
      <c r="E796" s="5528">
        <f>Population!E31</f>
        <v>0</v>
      </c>
      <c r="F796" s="5521"/>
      <c r="G796" s="5521"/>
      <c r="H796" s="5521"/>
      <c r="I796" s="5521"/>
      <c r="J796" s="5521"/>
      <c r="K796" s="5521"/>
      <c r="L796" s="5521"/>
      <c r="M796" s="5521"/>
      <c r="N796" s="5521"/>
      <c r="O796" s="5521"/>
      <c r="Q796" s="3987"/>
    </row>
    <row r="797" spans="1:17" s="124" customFormat="1" hidden="1" outlineLevel="1" x14ac:dyDescent="0.25">
      <c r="A797" s="163"/>
      <c r="B797" s="5529"/>
      <c r="C797" s="5530"/>
      <c r="D797" s="5515"/>
      <c r="E797" s="5521"/>
      <c r="F797" s="5521"/>
      <c r="G797" s="5521"/>
      <c r="H797" s="5521"/>
      <c r="I797" s="5521"/>
      <c r="J797" s="5521"/>
      <c r="K797" s="5521"/>
      <c r="L797" s="5521"/>
      <c r="M797" s="5521"/>
      <c r="N797" s="5521"/>
      <c r="O797" s="5521"/>
      <c r="Q797" s="3987"/>
    </row>
    <row r="798" spans="1:17" s="124" customFormat="1" hidden="1" outlineLevel="1" x14ac:dyDescent="0.25">
      <c r="A798" s="163"/>
      <c r="B798" s="5529" t="s">
        <v>3116</v>
      </c>
      <c r="C798" s="5530" t="s">
        <v>3117</v>
      </c>
      <c r="D798" s="5515"/>
      <c r="E798" s="5531">
        <f>E717</f>
        <v>0</v>
      </c>
      <c r="F798" s="5521"/>
      <c r="G798" s="5521"/>
      <c r="H798" s="5521"/>
      <c r="I798" s="5521"/>
      <c r="J798" s="5521"/>
      <c r="K798" s="5521"/>
      <c r="L798" s="5521"/>
      <c r="M798" s="5521"/>
      <c r="N798" s="5521"/>
      <c r="O798" s="5521"/>
      <c r="Q798" s="3987"/>
    </row>
    <row r="799" spans="1:17" s="124" customFormat="1" hidden="1" outlineLevel="1" x14ac:dyDescent="0.25">
      <c r="A799" s="163"/>
      <c r="B799" s="5529"/>
      <c r="C799" s="5530" t="s">
        <v>2678</v>
      </c>
      <c r="D799" s="5515"/>
      <c r="E799" s="5531">
        <f>E775</f>
        <v>0</v>
      </c>
      <c r="F799" s="5521"/>
      <c r="G799" s="5521"/>
      <c r="H799" s="5521"/>
      <c r="I799" s="5521"/>
      <c r="J799" s="5521"/>
      <c r="K799" s="5521"/>
      <c r="L799" s="5521"/>
      <c r="M799" s="5521"/>
      <c r="N799" s="5521"/>
      <c r="O799" s="5521"/>
      <c r="Q799" s="3987"/>
    </row>
    <row r="800" spans="1:17" s="124" customFormat="1" hidden="1" outlineLevel="1" x14ac:dyDescent="0.25">
      <c r="A800" s="163"/>
      <c r="B800" s="5529"/>
      <c r="C800" s="5530" t="s">
        <v>3118</v>
      </c>
      <c r="D800" s="5515"/>
      <c r="E800" s="5531">
        <f>E748</f>
        <v>0</v>
      </c>
      <c r="F800" s="5521"/>
      <c r="G800" s="5521"/>
      <c r="H800" s="5521"/>
      <c r="I800" s="5521"/>
      <c r="J800" s="5521"/>
      <c r="K800" s="5521"/>
      <c r="L800" s="5521"/>
      <c r="M800" s="5521"/>
      <c r="N800" s="5521"/>
      <c r="O800" s="5521"/>
      <c r="Q800" s="3987"/>
    </row>
    <row r="801" spans="1:20" s="124" customFormat="1" hidden="1" outlineLevel="1" x14ac:dyDescent="0.25">
      <c r="A801" s="163"/>
      <c r="B801" s="5529"/>
      <c r="C801" s="5530" t="s">
        <v>3115</v>
      </c>
      <c r="D801" s="5515"/>
      <c r="E801" s="5521"/>
      <c r="F801" s="5521"/>
      <c r="G801" s="5521"/>
      <c r="H801" s="5521"/>
      <c r="I801" s="5521"/>
      <c r="J801" s="5521"/>
      <c r="K801" s="5521"/>
      <c r="L801" s="5521"/>
      <c r="M801" s="5521"/>
      <c r="N801" s="5521"/>
      <c r="O801" s="5521"/>
      <c r="Q801" s="3987"/>
    </row>
    <row r="802" spans="1:20" s="124" customFormat="1" hidden="1" outlineLevel="1" x14ac:dyDescent="0.25">
      <c r="A802" s="163"/>
      <c r="B802" s="5518"/>
      <c r="C802" s="5530" t="s">
        <v>26</v>
      </c>
      <c r="D802" s="5515"/>
      <c r="E802" s="5521"/>
      <c r="F802" s="5521"/>
      <c r="G802" s="5521"/>
      <c r="H802" s="5521"/>
      <c r="I802" s="5521"/>
      <c r="J802" s="5521"/>
      <c r="K802" s="5521"/>
      <c r="L802" s="5521"/>
      <c r="M802" s="5521"/>
      <c r="N802" s="5521"/>
      <c r="O802" s="5521"/>
      <c r="Q802" s="3987"/>
    </row>
    <row r="803" spans="1:20" s="124" customFormat="1" hidden="1" outlineLevel="1" x14ac:dyDescent="0.25">
      <c r="A803" s="163"/>
      <c r="B803" s="5518"/>
      <c r="C803" s="5514"/>
      <c r="D803" s="5515"/>
      <c r="E803" s="5521"/>
      <c r="F803" s="5521"/>
      <c r="G803" s="5521"/>
      <c r="H803" s="5521"/>
      <c r="I803" s="5521"/>
      <c r="J803" s="5521"/>
      <c r="K803" s="5521"/>
      <c r="L803" s="5521"/>
      <c r="M803" s="5521"/>
      <c r="N803" s="5521"/>
      <c r="O803" s="5521"/>
      <c r="Q803" s="3987"/>
    </row>
    <row r="804" spans="1:20" s="124" customFormat="1" hidden="1" outlineLevel="1" x14ac:dyDescent="0.25">
      <c r="A804" s="163"/>
      <c r="B804" s="183"/>
      <c r="C804" s="2182"/>
      <c r="D804" s="2482"/>
      <c r="E804" s="460"/>
      <c r="F804" s="452"/>
      <c r="G804" s="452"/>
      <c r="H804" s="452"/>
      <c r="I804" s="452"/>
      <c r="J804" s="452"/>
      <c r="K804" s="452"/>
      <c r="L804" s="452"/>
      <c r="M804" s="452"/>
      <c r="N804" s="452"/>
      <c r="O804" s="452"/>
      <c r="Q804" s="3987"/>
    </row>
    <row r="805" spans="1:20" s="124" customFormat="1" hidden="1" outlineLevel="1" x14ac:dyDescent="0.25">
      <c r="A805" s="163"/>
      <c r="B805" s="183"/>
      <c r="C805" s="2182"/>
      <c r="D805" s="2482"/>
      <c r="E805" s="452"/>
      <c r="F805" s="452"/>
      <c r="G805" s="452"/>
      <c r="H805" s="452"/>
      <c r="I805" s="452"/>
      <c r="J805" s="452"/>
      <c r="K805" s="452"/>
      <c r="L805" s="452"/>
      <c r="M805" s="452"/>
      <c r="N805" s="452"/>
      <c r="O805" s="452"/>
      <c r="Q805" s="3987"/>
    </row>
    <row r="806" spans="1:20" collapsed="1" x14ac:dyDescent="0.25">
      <c r="A806" s="11"/>
      <c r="B806" s="11" t="s">
        <v>1161</v>
      </c>
      <c r="C806" s="12"/>
      <c r="P806" s="92"/>
      <c r="Q806" s="3993"/>
      <c r="R806" s="92"/>
      <c r="S806" s="92"/>
    </row>
    <row r="807" spans="1:20" x14ac:dyDescent="0.25">
      <c r="B807" s="13" t="s">
        <v>3</v>
      </c>
      <c r="C807" s="13" t="s">
        <v>4</v>
      </c>
      <c r="D807" s="2480" t="s">
        <v>33</v>
      </c>
      <c r="E807" s="13">
        <f>'WS calcu'!E$3</f>
        <v>2014</v>
      </c>
      <c r="F807" s="13">
        <f>'WS calcu'!F$3</f>
        <v>2015</v>
      </c>
      <c r="G807" s="13">
        <f>'WS calcu'!G$3</f>
        <v>2016</v>
      </c>
      <c r="H807" s="13">
        <f>'WS calcu'!H$3</f>
        <v>2017</v>
      </c>
      <c r="I807" s="13">
        <f>'WS calcu'!I$3</f>
        <v>2018</v>
      </c>
      <c r="J807" s="13">
        <f>'WS calcu'!J$3</f>
        <v>2019</v>
      </c>
      <c r="K807" s="13">
        <f>'WS calcu'!K$3</f>
        <v>2020</v>
      </c>
      <c r="L807" s="13">
        <f>'WS calcu'!L$3</f>
        <v>2021</v>
      </c>
      <c r="M807" s="13">
        <f>'WS calcu'!M$3</f>
        <v>2022</v>
      </c>
      <c r="N807" s="13">
        <f>'WS calcu'!N$3</f>
        <v>2023</v>
      </c>
      <c r="O807" s="13">
        <f>'WS calcu'!O$3</f>
        <v>2024</v>
      </c>
      <c r="P807" s="92"/>
      <c r="Q807" s="3993"/>
      <c r="R807" s="92"/>
      <c r="S807" s="92"/>
    </row>
    <row r="808" spans="1:20" x14ac:dyDescent="0.25">
      <c r="B808" s="547"/>
      <c r="C808" s="2661" t="s">
        <v>1313</v>
      </c>
      <c r="D808" s="2748"/>
      <c r="E808" s="557"/>
      <c r="F808" s="557"/>
      <c r="G808" s="557"/>
      <c r="H808" s="557"/>
      <c r="I808" s="557"/>
      <c r="J808" s="557"/>
      <c r="K808" s="557"/>
      <c r="L808" s="557"/>
      <c r="M808" s="557"/>
      <c r="N808" s="557"/>
      <c r="O808" s="626"/>
      <c r="P808" s="92"/>
      <c r="Q808" s="3993"/>
      <c r="R808" s="92"/>
      <c r="S808" s="92"/>
    </row>
    <row r="809" spans="1:20" x14ac:dyDescent="0.25">
      <c r="B809" s="2071"/>
      <c r="C809" s="2182" t="s">
        <v>2730</v>
      </c>
      <c r="D809" s="2486" t="s">
        <v>19</v>
      </c>
      <c r="E809" s="440">
        <f t="shared" ref="E809:O809" si="356">E690</f>
        <v>0</v>
      </c>
      <c r="F809" s="440">
        <f t="shared" si="356"/>
        <v>0</v>
      </c>
      <c r="G809" s="440">
        <f t="shared" si="356"/>
        <v>0</v>
      </c>
      <c r="H809" s="440">
        <f t="shared" si="356"/>
        <v>0</v>
      </c>
      <c r="I809" s="440">
        <f t="shared" si="356"/>
        <v>0</v>
      </c>
      <c r="J809" s="440">
        <f t="shared" si="356"/>
        <v>0</v>
      </c>
      <c r="K809" s="440">
        <f t="shared" si="356"/>
        <v>0</v>
      </c>
      <c r="L809" s="440">
        <f t="shared" si="356"/>
        <v>0</v>
      </c>
      <c r="M809" s="440">
        <f t="shared" si="356"/>
        <v>0</v>
      </c>
      <c r="N809" s="440">
        <f t="shared" si="356"/>
        <v>0</v>
      </c>
      <c r="O809" s="554">
        <f t="shared" si="356"/>
        <v>0</v>
      </c>
      <c r="P809" s="92"/>
      <c r="Q809" s="3993"/>
      <c r="R809" s="92"/>
      <c r="S809" s="92"/>
    </row>
    <row r="810" spans="1:20" x14ac:dyDescent="0.25">
      <c r="B810" s="551"/>
      <c r="C810" s="1306" t="s">
        <v>2731</v>
      </c>
      <c r="D810" s="2487" t="s">
        <v>19</v>
      </c>
      <c r="E810" s="2714">
        <f t="shared" ref="E810:O810" si="357">(E696+E704)-(E710+E714)</f>
        <v>0</v>
      </c>
      <c r="F810" s="2714">
        <f t="shared" si="357"/>
        <v>0</v>
      </c>
      <c r="G810" s="2714">
        <f t="shared" si="357"/>
        <v>0</v>
      </c>
      <c r="H810" s="2714">
        <f t="shared" si="357"/>
        <v>0</v>
      </c>
      <c r="I810" s="2714">
        <f t="shared" si="357"/>
        <v>0</v>
      </c>
      <c r="J810" s="2714">
        <f t="shared" si="357"/>
        <v>0</v>
      </c>
      <c r="K810" s="2714">
        <f t="shared" si="357"/>
        <v>0</v>
      </c>
      <c r="L810" s="2714">
        <f t="shared" si="357"/>
        <v>0</v>
      </c>
      <c r="M810" s="2714">
        <f t="shared" si="357"/>
        <v>0</v>
      </c>
      <c r="N810" s="2714">
        <f t="shared" si="357"/>
        <v>0</v>
      </c>
      <c r="O810" s="2715">
        <f t="shared" si="357"/>
        <v>0</v>
      </c>
      <c r="P810" s="92"/>
      <c r="Q810" s="3993"/>
      <c r="R810" s="92"/>
      <c r="S810" s="92"/>
    </row>
    <row r="811" spans="1:20" x14ac:dyDescent="0.25">
      <c r="B811" s="547"/>
      <c r="C811" s="2661" t="s">
        <v>2732</v>
      </c>
      <c r="D811" s="2749"/>
      <c r="E811" s="557"/>
      <c r="F811" s="557"/>
      <c r="G811" s="557"/>
      <c r="H811" s="557"/>
      <c r="I811" s="557"/>
      <c r="J811" s="557"/>
      <c r="K811" s="557"/>
      <c r="L811" s="557"/>
      <c r="M811" s="557"/>
      <c r="N811" s="557"/>
      <c r="O811" s="626"/>
      <c r="P811" s="1209"/>
      <c r="Q811" s="3993"/>
      <c r="R811" s="92"/>
      <c r="S811" s="92"/>
    </row>
    <row r="812" spans="1:20" x14ac:dyDescent="0.25">
      <c r="B812" s="2071"/>
      <c r="C812" s="2182" t="s">
        <v>1314</v>
      </c>
      <c r="D812" s="2486" t="s">
        <v>19</v>
      </c>
      <c r="E812" s="440">
        <f t="shared" ref="E812:O812" si="358">E734+E708</f>
        <v>0</v>
      </c>
      <c r="F812" s="440">
        <f t="shared" si="358"/>
        <v>0</v>
      </c>
      <c r="G812" s="440">
        <f t="shared" si="358"/>
        <v>0</v>
      </c>
      <c r="H812" s="440">
        <f t="shared" si="358"/>
        <v>0</v>
      </c>
      <c r="I812" s="440">
        <f t="shared" si="358"/>
        <v>0</v>
      </c>
      <c r="J812" s="440">
        <f t="shared" si="358"/>
        <v>0</v>
      </c>
      <c r="K812" s="440">
        <f t="shared" si="358"/>
        <v>0</v>
      </c>
      <c r="L812" s="440">
        <f t="shared" si="358"/>
        <v>0</v>
      </c>
      <c r="M812" s="440">
        <f t="shared" si="358"/>
        <v>0</v>
      </c>
      <c r="N812" s="440">
        <f t="shared" si="358"/>
        <v>0</v>
      </c>
      <c r="O812" s="554">
        <f t="shared" si="358"/>
        <v>0</v>
      </c>
      <c r="P812" s="1209"/>
      <c r="Q812" s="3993"/>
      <c r="R812" s="92"/>
      <c r="S812" s="92"/>
    </row>
    <row r="813" spans="1:20" x14ac:dyDescent="0.25">
      <c r="B813" s="551"/>
      <c r="C813" s="1306" t="s">
        <v>1315</v>
      </c>
      <c r="D813" s="2487" t="s">
        <v>19</v>
      </c>
      <c r="E813" s="2714">
        <f t="shared" ref="E813:O813" si="359">E738+E746+E710</f>
        <v>0</v>
      </c>
      <c r="F813" s="2714">
        <f t="shared" si="359"/>
        <v>0</v>
      </c>
      <c r="G813" s="2714">
        <f t="shared" si="359"/>
        <v>0</v>
      </c>
      <c r="H813" s="2714">
        <f t="shared" si="359"/>
        <v>0</v>
      </c>
      <c r="I813" s="2714">
        <f t="shared" si="359"/>
        <v>0</v>
      </c>
      <c r="J813" s="2714">
        <f t="shared" si="359"/>
        <v>0</v>
      </c>
      <c r="K813" s="2714">
        <f t="shared" si="359"/>
        <v>0</v>
      </c>
      <c r="L813" s="2714">
        <f t="shared" si="359"/>
        <v>0</v>
      </c>
      <c r="M813" s="2714">
        <f t="shared" si="359"/>
        <v>0</v>
      </c>
      <c r="N813" s="2714">
        <f t="shared" si="359"/>
        <v>0</v>
      </c>
      <c r="O813" s="2715">
        <f t="shared" si="359"/>
        <v>0</v>
      </c>
      <c r="P813" s="124"/>
      <c r="R813" s="1207"/>
      <c r="S813" s="124"/>
      <c r="T813" s="52"/>
    </row>
    <row r="814" spans="1:20" x14ac:dyDescent="0.25">
      <c r="B814" s="547"/>
      <c r="C814" s="2661" t="s">
        <v>1142</v>
      </c>
      <c r="D814" s="2749"/>
      <c r="E814" s="557"/>
      <c r="F814" s="557"/>
      <c r="G814" s="557"/>
      <c r="H814" s="557"/>
      <c r="I814" s="557"/>
      <c r="J814" s="557"/>
      <c r="K814" s="557"/>
      <c r="L814" s="557"/>
      <c r="M814" s="557"/>
      <c r="N814" s="557"/>
      <c r="O814" s="626"/>
      <c r="P814" s="1208"/>
      <c r="Q814" s="3995"/>
      <c r="R814" s="124"/>
      <c r="S814" s="124"/>
      <c r="T814" s="52"/>
    </row>
    <row r="815" spans="1:20" x14ac:dyDescent="0.25">
      <c r="B815" s="2071"/>
      <c r="C815" s="2182" t="s">
        <v>1142</v>
      </c>
      <c r="D815" s="2486" t="s">
        <v>2685</v>
      </c>
      <c r="E815" s="440">
        <f t="shared" ref="E815:O815" si="360">E758+IFERROR((E712/$D$712),0)</f>
        <v>0</v>
      </c>
      <c r="F815" s="440">
        <f t="shared" si="360"/>
        <v>0</v>
      </c>
      <c r="G815" s="440">
        <f t="shared" si="360"/>
        <v>0</v>
      </c>
      <c r="H815" s="440">
        <f t="shared" si="360"/>
        <v>0</v>
      </c>
      <c r="I815" s="440">
        <f t="shared" si="360"/>
        <v>0</v>
      </c>
      <c r="J815" s="440">
        <f t="shared" si="360"/>
        <v>0</v>
      </c>
      <c r="K815" s="440">
        <f t="shared" si="360"/>
        <v>0</v>
      </c>
      <c r="L815" s="440">
        <f t="shared" si="360"/>
        <v>0</v>
      </c>
      <c r="M815" s="440">
        <f t="shared" si="360"/>
        <v>0</v>
      </c>
      <c r="N815" s="440">
        <f t="shared" si="360"/>
        <v>0</v>
      </c>
      <c r="O815" s="440">
        <f t="shared" si="360"/>
        <v>0</v>
      </c>
      <c r="P815" s="1208"/>
      <c r="Q815" s="3995"/>
      <c r="R815" s="124"/>
      <c r="S815" s="124"/>
      <c r="T815" s="52"/>
    </row>
    <row r="816" spans="1:20" x14ac:dyDescent="0.25">
      <c r="B816" s="2071"/>
      <c r="C816" s="1005" t="s">
        <v>1143</v>
      </c>
      <c r="D816" s="2486" t="s">
        <v>2685</v>
      </c>
      <c r="E816" s="362">
        <f t="shared" ref="E816:O816" si="361">E762+E771+IFERROR((E714/$D$712),0)</f>
        <v>0</v>
      </c>
      <c r="F816" s="362">
        <f t="shared" si="361"/>
        <v>0</v>
      </c>
      <c r="G816" s="362">
        <f t="shared" si="361"/>
        <v>0</v>
      </c>
      <c r="H816" s="362">
        <f t="shared" si="361"/>
        <v>0</v>
      </c>
      <c r="I816" s="362">
        <f t="shared" si="361"/>
        <v>0</v>
      </c>
      <c r="J816" s="362">
        <f t="shared" si="361"/>
        <v>0</v>
      </c>
      <c r="K816" s="362">
        <f t="shared" si="361"/>
        <v>0</v>
      </c>
      <c r="L816" s="362">
        <f t="shared" si="361"/>
        <v>0</v>
      </c>
      <c r="M816" s="362">
        <f t="shared" si="361"/>
        <v>0</v>
      </c>
      <c r="N816" s="362">
        <f t="shared" si="361"/>
        <v>0</v>
      </c>
      <c r="O816" s="2750">
        <f t="shared" si="361"/>
        <v>0</v>
      </c>
      <c r="P816" s="1208"/>
      <c r="Q816" s="3995"/>
      <c r="R816" s="124"/>
      <c r="S816" s="124"/>
      <c r="T816" s="52"/>
    </row>
    <row r="817" spans="1:20" x14ac:dyDescent="0.25">
      <c r="B817" s="547"/>
      <c r="C817" s="2661" t="s">
        <v>1399</v>
      </c>
      <c r="D817" s="2748"/>
      <c r="E817" s="557"/>
      <c r="F817" s="557"/>
      <c r="G817" s="557"/>
      <c r="H817" s="557"/>
      <c r="I817" s="557"/>
      <c r="J817" s="557"/>
      <c r="K817" s="557"/>
      <c r="L817" s="557"/>
      <c r="M817" s="557"/>
      <c r="N817" s="557"/>
      <c r="O817" s="626"/>
      <c r="P817" s="124"/>
      <c r="R817" s="92"/>
      <c r="S817" s="1207"/>
      <c r="T817" s="52"/>
    </row>
    <row r="818" spans="1:20" x14ac:dyDescent="0.25">
      <c r="B818" s="2071"/>
      <c r="C818" s="2182" t="s">
        <v>604</v>
      </c>
      <c r="D818" s="2488"/>
      <c r="E818" s="550">
        <f t="shared" ref="E818:O818" si="362">E599</f>
        <v>0</v>
      </c>
      <c r="F818" s="550">
        <f t="shared" si="362"/>
        <v>0</v>
      </c>
      <c r="G818" s="550">
        <f t="shared" si="362"/>
        <v>0</v>
      </c>
      <c r="H818" s="550">
        <f t="shared" si="362"/>
        <v>0</v>
      </c>
      <c r="I818" s="550">
        <f t="shared" si="362"/>
        <v>0</v>
      </c>
      <c r="J818" s="550">
        <f t="shared" si="362"/>
        <v>0</v>
      </c>
      <c r="K818" s="550">
        <f t="shared" si="362"/>
        <v>0</v>
      </c>
      <c r="L818" s="550">
        <f t="shared" si="362"/>
        <v>0</v>
      </c>
      <c r="M818" s="550">
        <f t="shared" si="362"/>
        <v>0</v>
      </c>
      <c r="N818" s="550">
        <f t="shared" si="362"/>
        <v>0</v>
      </c>
      <c r="O818" s="1033">
        <f t="shared" si="362"/>
        <v>0</v>
      </c>
      <c r="P818" s="1208"/>
      <c r="Q818" s="3995"/>
      <c r="R818" s="124"/>
      <c r="S818" s="124"/>
      <c r="T818" s="52"/>
    </row>
    <row r="819" spans="1:20" x14ac:dyDescent="0.25">
      <c r="B819" s="2071"/>
      <c r="C819" s="1005" t="s">
        <v>1400</v>
      </c>
      <c r="D819" s="2488"/>
      <c r="E819" s="122">
        <f>Population!E31-E818-E601</f>
        <v>-424</v>
      </c>
      <c r="F819" s="122">
        <f>Population!F31-F818-F601</f>
        <v>-1926.6000000000001</v>
      </c>
      <c r="G819" s="122">
        <f>Population!G31-G818-G601</f>
        <v>-3429.2000000000003</v>
      </c>
      <c r="H819" s="122">
        <f>Population!H31-H818-H601</f>
        <v>-4931.8</v>
      </c>
      <c r="I819" s="122">
        <f>Population!I31-I818-I601</f>
        <v>-6434.4000000000005</v>
      </c>
      <c r="J819" s="122">
        <f>Population!J31-J818-J601</f>
        <v>-7937</v>
      </c>
      <c r="K819" s="122">
        <f>Population!K31-K818-K601</f>
        <v>-7937</v>
      </c>
      <c r="L819" s="122">
        <f>Population!L31-L818-L601</f>
        <v>-7937</v>
      </c>
      <c r="M819" s="122">
        <f>Population!M31-M818-M601</f>
        <v>-7937</v>
      </c>
      <c r="N819" s="122">
        <f>Population!N31-N818-N601</f>
        <v>-7937</v>
      </c>
      <c r="O819" s="2214">
        <f>Population!O31-O818-O601</f>
        <v>-7937</v>
      </c>
      <c r="P819" s="1208"/>
      <c r="Q819" s="3995"/>
      <c r="R819" s="124"/>
      <c r="S819" s="124"/>
      <c r="T819" s="52"/>
    </row>
    <row r="820" spans="1:20" x14ac:dyDescent="0.25">
      <c r="B820" s="2071"/>
      <c r="C820" s="1162" t="s">
        <v>605</v>
      </c>
      <c r="D820" s="2486"/>
      <c r="E820" s="122">
        <f t="shared" ref="E820:O820" si="363">E626</f>
        <v>4429</v>
      </c>
      <c r="F820" s="122">
        <f t="shared" si="363"/>
        <v>5088</v>
      </c>
      <c r="G820" s="122">
        <f t="shared" si="363"/>
        <v>5747</v>
      </c>
      <c r="H820" s="122">
        <f t="shared" si="363"/>
        <v>6406</v>
      </c>
      <c r="I820" s="122">
        <f t="shared" si="363"/>
        <v>7065.0000000000009</v>
      </c>
      <c r="J820" s="122">
        <f t="shared" si="363"/>
        <v>7937</v>
      </c>
      <c r="K820" s="122">
        <f t="shared" si="363"/>
        <v>7937</v>
      </c>
      <c r="L820" s="122">
        <f t="shared" si="363"/>
        <v>7937</v>
      </c>
      <c r="M820" s="122">
        <f t="shared" si="363"/>
        <v>7937</v>
      </c>
      <c r="N820" s="122">
        <f t="shared" si="363"/>
        <v>7937</v>
      </c>
      <c r="O820" s="2214">
        <f t="shared" si="363"/>
        <v>7937</v>
      </c>
      <c r="P820" s="1208"/>
      <c r="Q820" s="3995"/>
      <c r="R820" s="124"/>
      <c r="S820" s="124"/>
      <c r="T820" s="52"/>
    </row>
    <row r="821" spans="1:20" x14ac:dyDescent="0.25">
      <c r="A821" s="2944"/>
      <c r="B821" s="2944"/>
      <c r="C821" s="763" t="s">
        <v>1396</v>
      </c>
      <c r="D821" s="2595"/>
      <c r="E821" s="2945">
        <f>IFERROR(E810/E809,0)</f>
        <v>0</v>
      </c>
      <c r="F821" s="2945">
        <f>IFERROR(F810/F809,0)</f>
        <v>0</v>
      </c>
      <c r="G821" s="2945">
        <f t="shared" ref="G821:O821" si="364">IFERROR(G810/G809,0)</f>
        <v>0</v>
      </c>
      <c r="H821" s="2945">
        <f t="shared" si="364"/>
        <v>0</v>
      </c>
      <c r="I821" s="2945">
        <f t="shared" si="364"/>
        <v>0</v>
      </c>
      <c r="J821" s="2945">
        <f>IFERROR(J810/J809,0)</f>
        <v>0</v>
      </c>
      <c r="K821" s="2945">
        <f t="shared" si="364"/>
        <v>0</v>
      </c>
      <c r="L821" s="2945">
        <f t="shared" si="364"/>
        <v>0</v>
      </c>
      <c r="M821" s="2945">
        <f t="shared" si="364"/>
        <v>0</v>
      </c>
      <c r="N821" s="2945">
        <f t="shared" si="364"/>
        <v>0</v>
      </c>
      <c r="O821" s="2945">
        <f t="shared" si="364"/>
        <v>0</v>
      </c>
      <c r="P821" s="1209"/>
      <c r="Q821" s="3993"/>
      <c r="R821" s="92"/>
      <c r="S821" s="92"/>
    </row>
    <row r="822" spans="1:20" x14ac:dyDescent="0.25">
      <c r="A822" s="2944"/>
      <c r="B822" s="2944"/>
      <c r="C822" s="763" t="s">
        <v>1397</v>
      </c>
      <c r="D822" s="2595"/>
      <c r="E822" s="2945">
        <f>IFERROR(E813/E812,0)</f>
        <v>0</v>
      </c>
      <c r="F822" s="2945">
        <f>IFERROR(F813/F812,0)</f>
        <v>0</v>
      </c>
      <c r="G822" s="2945">
        <f t="shared" ref="G822:O822" si="365">IFERROR(G813/G812,0)</f>
        <v>0</v>
      </c>
      <c r="H822" s="2945">
        <f t="shared" si="365"/>
        <v>0</v>
      </c>
      <c r="I822" s="2945">
        <f t="shared" si="365"/>
        <v>0</v>
      </c>
      <c r="J822" s="2945">
        <f t="shared" si="365"/>
        <v>0</v>
      </c>
      <c r="K822" s="2945">
        <f t="shared" si="365"/>
        <v>0</v>
      </c>
      <c r="L822" s="2945">
        <f t="shared" si="365"/>
        <v>0</v>
      </c>
      <c r="M822" s="2945">
        <f t="shared" si="365"/>
        <v>0</v>
      </c>
      <c r="N822" s="2945">
        <f t="shared" si="365"/>
        <v>0</v>
      </c>
      <c r="O822" s="2945">
        <f t="shared" si="365"/>
        <v>0</v>
      </c>
      <c r="P822" s="1209"/>
      <c r="Q822" s="3993"/>
      <c r="R822" s="92"/>
      <c r="S822" s="92"/>
    </row>
    <row r="823" spans="1:20" x14ac:dyDescent="0.25">
      <c r="A823" s="2944"/>
      <c r="B823" s="2944"/>
      <c r="C823" s="763" t="s">
        <v>1398</v>
      </c>
      <c r="D823" s="2595"/>
      <c r="E823" s="2945">
        <f>IFERROR(E816/E815,0)</f>
        <v>0</v>
      </c>
      <c r="F823" s="2945">
        <f>IFERROR(F816/F815,0)</f>
        <v>0</v>
      </c>
      <c r="G823" s="2945">
        <f t="shared" ref="G823:O823" si="366">IFERROR(G816/G815,0)</f>
        <v>0</v>
      </c>
      <c r="H823" s="2945">
        <f t="shared" si="366"/>
        <v>0</v>
      </c>
      <c r="I823" s="2945">
        <f t="shared" si="366"/>
        <v>0</v>
      </c>
      <c r="J823" s="2945">
        <f t="shared" si="366"/>
        <v>0</v>
      </c>
      <c r="K823" s="2945">
        <f t="shared" si="366"/>
        <v>0</v>
      </c>
      <c r="L823" s="2945">
        <f t="shared" si="366"/>
        <v>0</v>
      </c>
      <c r="M823" s="2945">
        <f t="shared" si="366"/>
        <v>0</v>
      </c>
      <c r="N823" s="2945">
        <f t="shared" si="366"/>
        <v>0</v>
      </c>
      <c r="O823" s="2945">
        <f t="shared" si="366"/>
        <v>0</v>
      </c>
      <c r="P823" s="1209"/>
      <c r="Q823" s="3993"/>
      <c r="R823" s="92"/>
      <c r="S823" s="92"/>
    </row>
    <row r="824" spans="1:20" ht="30" x14ac:dyDescent="0.25">
      <c r="A824" s="2944"/>
      <c r="B824" s="2944"/>
      <c r="C824" s="763" t="s">
        <v>1114</v>
      </c>
      <c r="D824" s="2595"/>
      <c r="E824" s="2945">
        <f>IFERROR((E810+E813+E816)/(E809+E812+E815),0)</f>
        <v>0</v>
      </c>
      <c r="F824" s="2945">
        <f>IFERROR((F810+F813+F816)/(F809+F812+F815),0)</f>
        <v>0</v>
      </c>
      <c r="G824" s="2945">
        <f t="shared" ref="G824:O824" si="367">IFERROR((G810+G813+G816)/(G809+G812+G815),0)</f>
        <v>0</v>
      </c>
      <c r="H824" s="2945">
        <f t="shared" si="367"/>
        <v>0</v>
      </c>
      <c r="I824" s="2945">
        <f t="shared" si="367"/>
        <v>0</v>
      </c>
      <c r="J824" s="2945">
        <f t="shared" si="367"/>
        <v>0</v>
      </c>
      <c r="K824" s="2945">
        <f t="shared" si="367"/>
        <v>0</v>
      </c>
      <c r="L824" s="2945">
        <f t="shared" si="367"/>
        <v>0</v>
      </c>
      <c r="M824" s="2945">
        <f t="shared" si="367"/>
        <v>0</v>
      </c>
      <c r="N824" s="2945">
        <f t="shared" si="367"/>
        <v>0</v>
      </c>
      <c r="O824" s="2945">
        <f t="shared" si="367"/>
        <v>0</v>
      </c>
      <c r="P824" s="1209"/>
      <c r="Q824" s="3993"/>
      <c r="R824" s="92"/>
      <c r="S824" s="92"/>
    </row>
    <row r="825" spans="1:20" x14ac:dyDescent="0.25">
      <c r="E825" s="2169"/>
      <c r="F825" s="2169"/>
      <c r="G825" s="2169"/>
      <c r="H825" s="2169"/>
      <c r="I825" s="2169"/>
      <c r="J825" s="2169"/>
      <c r="K825" s="2169"/>
      <c r="L825" s="2169"/>
      <c r="M825" s="2169"/>
      <c r="N825" s="2169"/>
      <c r="O825" s="2169"/>
    </row>
    <row r="826" spans="1:20" x14ac:dyDescent="0.25">
      <c r="A826" s="27"/>
      <c r="B826" s="27"/>
      <c r="C826" s="2194"/>
      <c r="D826" s="2251"/>
      <c r="E826" s="2100"/>
      <c r="F826" s="2100"/>
      <c r="G826" s="2100"/>
      <c r="H826" s="2100"/>
      <c r="I826" s="2100"/>
      <c r="J826" s="2100"/>
      <c r="K826" s="2100"/>
      <c r="L826" s="2100"/>
      <c r="M826" s="2100"/>
      <c r="N826" s="2100"/>
      <c r="O826" s="2100"/>
    </row>
    <row r="827" spans="1:20" x14ac:dyDescent="0.25">
      <c r="A827" s="11"/>
      <c r="B827" s="11" t="s">
        <v>1136</v>
      </c>
      <c r="C827" s="12"/>
      <c r="E827" s="24"/>
      <c r="F827" s="24"/>
      <c r="G827" s="24"/>
      <c r="H827" s="24"/>
      <c r="I827" s="24"/>
      <c r="J827" s="24"/>
      <c r="K827" s="24"/>
      <c r="L827" s="24"/>
      <c r="M827" s="24"/>
      <c r="N827" s="24"/>
      <c r="O827" s="24"/>
      <c r="P827" s="124"/>
      <c r="R827" s="124"/>
      <c r="S827" s="124"/>
      <c r="T827" s="52"/>
    </row>
    <row r="828" spans="1:20" x14ac:dyDescent="0.25">
      <c r="B828" s="13" t="s">
        <v>3</v>
      </c>
      <c r="C828" s="13" t="s">
        <v>4</v>
      </c>
      <c r="D828" s="2480" t="s">
        <v>33</v>
      </c>
      <c r="E828" s="13">
        <f>'WS calcu'!E$3</f>
        <v>2014</v>
      </c>
      <c r="F828" s="13">
        <f>'WS calcu'!F$3</f>
        <v>2015</v>
      </c>
      <c r="G828" s="13">
        <f>'WS calcu'!G$3</f>
        <v>2016</v>
      </c>
      <c r="H828" s="13">
        <f>'WS calcu'!H$3</f>
        <v>2017</v>
      </c>
      <c r="I828" s="13">
        <f>'WS calcu'!I$3</f>
        <v>2018</v>
      </c>
      <c r="J828" s="13">
        <f>'WS calcu'!J$3</f>
        <v>2019</v>
      </c>
      <c r="K828" s="13">
        <f>'WS calcu'!K$3</f>
        <v>2020</v>
      </c>
      <c r="L828" s="13">
        <f>'WS calcu'!L$3</f>
        <v>2021</v>
      </c>
      <c r="M828" s="13">
        <f>'WS calcu'!M$3</f>
        <v>2022</v>
      </c>
      <c r="N828" s="13">
        <f>'WS calcu'!N$3</f>
        <v>2023</v>
      </c>
      <c r="O828" s="13">
        <f>'WS calcu'!O$3</f>
        <v>2024</v>
      </c>
      <c r="P828" s="124"/>
      <c r="R828" s="92"/>
      <c r="S828" s="124"/>
      <c r="T828" s="52"/>
    </row>
    <row r="829" spans="1:20" s="124" customFormat="1" x14ac:dyDescent="0.25">
      <c r="A829" s="163"/>
      <c r="B829" s="1287"/>
      <c r="C829" s="335" t="s">
        <v>1134</v>
      </c>
      <c r="D829" s="2481"/>
      <c r="E829" s="1290">
        <f>'WSS Profile'!G342</f>
        <v>3</v>
      </c>
      <c r="F829" s="1290">
        <f>(IF('WW Plan'!$E$264="Activate",IF(AND(F828&gt;='WW Plan'!$G$264,F828&lt;'WW Plan'!$H$264+1),E829-(($E$829-'WW Plan'!$H$267)/('WW Plan'!$H$264+1-'WW Plan'!$G$264)),E829),E829))</f>
        <v>3</v>
      </c>
      <c r="G829" s="1290">
        <f>(IF('WW Plan'!$E$264="Activate",IF(AND(G828&gt;='WW Plan'!$G$264,G828&lt;'WW Plan'!$H$264+1),F829-(($E$829-'WW Plan'!$H$267)/('WW Plan'!$H$264+1-'WW Plan'!$G$264)),F829),F829))</f>
        <v>3</v>
      </c>
      <c r="H829" s="1290">
        <f>(IF('WW Plan'!$E$264="Activate",IF(AND(H828&gt;='WW Plan'!$G$264,H828&lt;'WW Plan'!$H$264+1),G829-(($E$829-'WW Plan'!$H$267)/('WW Plan'!$H$264+1-'WW Plan'!$G$264)),G829),G829))</f>
        <v>3</v>
      </c>
      <c r="I829" s="1290">
        <f>(IF('WW Plan'!$E$264="Activate",IF(AND(I828&gt;='WW Plan'!$G$264,I828&lt;'WW Plan'!$H$264+1),H829-(($E$829-'WW Plan'!$H$267)/('WW Plan'!$H$264+1-'WW Plan'!$G$264)),H829),H829))</f>
        <v>3</v>
      </c>
      <c r="J829" s="1290">
        <f>(IF('WW Plan'!$E$264="Activate",IF(AND(J828&gt;='WW Plan'!$G$264,J828&lt;'WW Plan'!$H$264+1),I829-(($E$829-'WW Plan'!$H$267)/('WW Plan'!$H$264+1-'WW Plan'!$G$264)),I829),I829))</f>
        <v>3</v>
      </c>
      <c r="K829" s="1290">
        <f>(IF('WW Plan'!$E$264="Activate",IF(AND(K828&gt;='WW Plan'!$G$264,K828&lt;'WW Plan'!$H$264+1),J829-(($E$829-'WW Plan'!$H$267)/('WW Plan'!$H$264+1-'WW Plan'!$G$264)),J829),J829))</f>
        <v>3</v>
      </c>
      <c r="L829" s="1290">
        <f>(IF('WW Plan'!$E$264="Activate",IF(AND(L828&gt;='WW Plan'!$G$264,L828&lt;'WW Plan'!$H$264+1),K829-(($E$829-'WW Plan'!$H$267)/('WW Plan'!$H$264+1-'WW Plan'!$G$264)),K829),K829))</f>
        <v>3</v>
      </c>
      <c r="M829" s="1290">
        <f>(IF('WW Plan'!$E$264="Activate",IF(AND(M828&gt;='WW Plan'!$G$264,M828&lt;'WW Plan'!$H$264+1),L829-(($E$829-'WW Plan'!$H$267)/('WW Plan'!$H$264+1-'WW Plan'!$G$264)),L829),L829))</f>
        <v>3</v>
      </c>
      <c r="N829" s="1290">
        <f>(IF('WW Plan'!$E$264="Activate",IF(AND(N828&gt;='WW Plan'!$G$264,N828&lt;'WW Plan'!$H$264+1),M829-(($E$829-'WW Plan'!$H$267)/('WW Plan'!$H$264+1-'WW Plan'!$G$264)),M829),M829))</f>
        <v>3</v>
      </c>
      <c r="O829" s="1291">
        <f>(IF('WW Plan'!$E$264="Activate",IF(AND(O828&gt;='WW Plan'!$G$264,O828&lt;'WW Plan'!$H$264+1),N829-(($E$829-'WW Plan'!$H$267)/('WW Plan'!$H$264+1-'WW Plan'!$G$264)),N829),N829))</f>
        <v>3</v>
      </c>
      <c r="Q829" s="3987"/>
    </row>
    <row r="830" spans="1:20" s="124" customFormat="1" x14ac:dyDescent="0.25">
      <c r="A830" s="163"/>
      <c r="B830" s="1288"/>
      <c r="C830" s="336" t="s">
        <v>1135</v>
      </c>
      <c r="D830" s="2547"/>
      <c r="E830" s="2753">
        <f>'WSS Profile'!G343</f>
        <v>1</v>
      </c>
      <c r="F830" s="2753">
        <f>(IF('WW Plan'!$E$264="Activate",IF(AND(F828&gt;='WW Plan'!$G$264,F828&lt;'WW Plan'!$H$264+1),E830-(($E$830-'WW Plan'!$H$268)/('WW Plan'!$H$264+1-'WW Plan'!$G$264)),E830),E830))</f>
        <v>1</v>
      </c>
      <c r="G830" s="2753">
        <f>(IF('WW Plan'!$E$264="Activate",IF(AND(G828&gt;='WW Plan'!$G$264,G828&lt;'WW Plan'!$H$264+1),F830-(($E$830-'WW Plan'!$H$268)/('WW Plan'!$H$264+1-'WW Plan'!$G$264)),F830),F830))</f>
        <v>1</v>
      </c>
      <c r="H830" s="2753">
        <f>(IF('WW Plan'!$E$264="Activate",IF(AND(H828&gt;='WW Plan'!$G$264,H828&lt;'WW Plan'!$H$264+1),G830-(($E$830-'WW Plan'!$H$268)/('WW Plan'!$H$264+1-'WW Plan'!$G$264)),G830),G830))</f>
        <v>1</v>
      </c>
      <c r="I830" s="2753">
        <f>(IF('WW Plan'!$E$264="Activate",IF(AND(I828&gt;='WW Plan'!$G$264,I828&lt;'WW Plan'!$H$264+1),H830-(($E$830-'WW Plan'!$H$268)/('WW Plan'!$H$264+1-'WW Plan'!$G$264)),H830),H830))</f>
        <v>1</v>
      </c>
      <c r="J830" s="2753">
        <f>(IF('WW Plan'!$E$264="Activate",IF(AND(J828&gt;='WW Plan'!$G$264,J828&lt;'WW Plan'!$H$264+1),I830-(($E$830-'WW Plan'!$H$268)/('WW Plan'!$H$264+1-'WW Plan'!$G$264)),I830),I830))</f>
        <v>1</v>
      </c>
      <c r="K830" s="2753">
        <f>(IF('WW Plan'!$E$264="Activate",IF(AND(K828&gt;='WW Plan'!$G$264,K828&lt;'WW Plan'!$H$264+1),J830-(($E$830-'WW Plan'!$H$268)/('WW Plan'!$H$264+1-'WW Plan'!$G$264)),J830),J830))</f>
        <v>1</v>
      </c>
      <c r="L830" s="2753">
        <f>(IF('WW Plan'!$E$264="Activate",IF(AND(L828&gt;='WW Plan'!$G$264,L828&lt;'WW Plan'!$H$264+1),K830-(($E$830-'WW Plan'!$H$268)/('WW Plan'!$H$264+1-'WW Plan'!$G$264)),K830),K830))</f>
        <v>1</v>
      </c>
      <c r="M830" s="2753">
        <f>(IF('WW Plan'!$E$264="Activate",IF(AND(M828&gt;='WW Plan'!$G$264,M828&lt;'WW Plan'!$H$264+1),L830-(($E$830-'WW Plan'!$H$268)/('WW Plan'!$H$264+1-'WW Plan'!$G$264)),L830),L830))</f>
        <v>1</v>
      </c>
      <c r="N830" s="2753">
        <f>(IF('WW Plan'!$E$264="Activate",IF(AND(N828&gt;='WW Plan'!$G$264,N828&lt;'WW Plan'!$H$264+1),M830-(($E$830-'WW Plan'!$H$268)/('WW Plan'!$H$264+1-'WW Plan'!$G$264)),M830),M830))</f>
        <v>1</v>
      </c>
      <c r="O830" s="1293">
        <f>(IF('WW Plan'!$E$264="Activate",IF(AND(O828&gt;='WW Plan'!$G$264,O828&lt;'WW Plan'!$H$264+1),N830-(($E$830-'WW Plan'!$H$268)/('WW Plan'!$H$264+1-'WW Plan'!$G$264)),N830),N830))</f>
        <v>1</v>
      </c>
      <c r="Q830" s="3987"/>
    </row>
    <row r="831" spans="1:20" s="93" customFormat="1" x14ac:dyDescent="0.25">
      <c r="A831" s="773"/>
      <c r="B831" s="2272"/>
      <c r="C831" s="2279" t="s">
        <v>1332</v>
      </c>
      <c r="D831" s="2751"/>
      <c r="E831" s="2752">
        <f>E829*E830</f>
        <v>3</v>
      </c>
      <c r="F831" s="2752">
        <f t="shared" ref="F831:O831" si="368">F829*F830</f>
        <v>3</v>
      </c>
      <c r="G831" s="2752">
        <f t="shared" si="368"/>
        <v>3</v>
      </c>
      <c r="H831" s="2752">
        <f t="shared" si="368"/>
        <v>3</v>
      </c>
      <c r="I831" s="2752">
        <f t="shared" si="368"/>
        <v>3</v>
      </c>
      <c r="J831" s="2752">
        <f t="shared" si="368"/>
        <v>3</v>
      </c>
      <c r="K831" s="2752">
        <f t="shared" si="368"/>
        <v>3</v>
      </c>
      <c r="L831" s="2752">
        <f t="shared" si="368"/>
        <v>3</v>
      </c>
      <c r="M831" s="2752">
        <f t="shared" si="368"/>
        <v>3</v>
      </c>
      <c r="N831" s="2752">
        <f t="shared" si="368"/>
        <v>3</v>
      </c>
      <c r="O831" s="2752">
        <f t="shared" si="368"/>
        <v>3</v>
      </c>
      <c r="P831" s="77"/>
      <c r="Q831" s="3997"/>
      <c r="R831" s="77"/>
      <c r="S831" s="77"/>
      <c r="T831" s="275"/>
    </row>
    <row r="832" spans="1:20" s="93" customFormat="1" x14ac:dyDescent="0.25">
      <c r="A832" s="773"/>
      <c r="B832" s="742"/>
      <c r="C832" s="763" t="s">
        <v>1138</v>
      </c>
      <c r="D832" s="1153"/>
      <c r="E832" s="1038">
        <f>IFERROR(E831/E833,0)</f>
        <v>0</v>
      </c>
      <c r="F832" s="1038">
        <f t="shared" ref="F832:O832" si="369">IFERROR(F831/F833,0)</f>
        <v>0</v>
      </c>
      <c r="G832" s="1038">
        <f t="shared" si="369"/>
        <v>0</v>
      </c>
      <c r="H832" s="1038">
        <f t="shared" si="369"/>
        <v>0</v>
      </c>
      <c r="I832" s="1038">
        <f t="shared" si="369"/>
        <v>0</v>
      </c>
      <c r="J832" s="1038">
        <f t="shared" si="369"/>
        <v>0</v>
      </c>
      <c r="K832" s="1038">
        <f t="shared" si="369"/>
        <v>0</v>
      </c>
      <c r="L832" s="1038">
        <f t="shared" si="369"/>
        <v>0</v>
      </c>
      <c r="M832" s="1038">
        <f t="shared" si="369"/>
        <v>0</v>
      </c>
      <c r="N832" s="1038">
        <f t="shared" si="369"/>
        <v>0</v>
      </c>
      <c r="O832" s="1038">
        <f t="shared" si="369"/>
        <v>0</v>
      </c>
      <c r="P832" s="77"/>
      <c r="Q832" s="3987"/>
      <c r="R832" s="77"/>
      <c r="S832" s="77"/>
      <c r="T832" s="275"/>
    </row>
    <row r="833" spans="1:20" s="305" customFormat="1" x14ac:dyDescent="0.25">
      <c r="A833" s="162"/>
      <c r="B833" s="162"/>
      <c r="C833" s="162" t="s">
        <v>1166</v>
      </c>
      <c r="D833" s="2596"/>
      <c r="E833" s="1047">
        <f>Population!E24/1000</f>
        <v>0</v>
      </c>
      <c r="F833" s="1047">
        <f>Population!F24/1000</f>
        <v>0</v>
      </c>
      <c r="G833" s="1047">
        <f>Population!G24/1000</f>
        <v>0</v>
      </c>
      <c r="H833" s="1047">
        <f>Population!H24/1000</f>
        <v>0</v>
      </c>
      <c r="I833" s="1047">
        <f>Population!I24/1000</f>
        <v>0</v>
      </c>
      <c r="J833" s="1047">
        <f>Population!J24/1000</f>
        <v>0</v>
      </c>
      <c r="K833" s="1047">
        <f>Population!K24/1000</f>
        <v>0</v>
      </c>
      <c r="L833" s="1047">
        <f>Population!L24/1000</f>
        <v>0</v>
      </c>
      <c r="M833" s="1047">
        <f>Population!M24/1000</f>
        <v>0</v>
      </c>
      <c r="N833" s="1047">
        <f>Population!N24/1000</f>
        <v>0</v>
      </c>
      <c r="O833" s="1047">
        <f>Population!O24/1000</f>
        <v>0</v>
      </c>
      <c r="P833" s="124"/>
      <c r="Q833" s="3987"/>
      <c r="R833" s="124"/>
      <c r="S833" s="124"/>
    </row>
    <row r="834" spans="1:20" x14ac:dyDescent="0.25">
      <c r="C834" s="281"/>
      <c r="D834" s="2596"/>
      <c r="E834" s="281"/>
      <c r="F834" s="281"/>
      <c r="G834" s="281"/>
      <c r="H834" s="281"/>
      <c r="I834" s="281"/>
      <c r="J834" s="281"/>
      <c r="K834" s="281"/>
      <c r="L834" s="281"/>
      <c r="M834" s="281"/>
      <c r="N834" s="281"/>
      <c r="O834" s="281"/>
      <c r="P834" s="124"/>
      <c r="Q834" s="3999"/>
      <c r="R834" s="124"/>
      <c r="S834" s="124"/>
      <c r="T834" s="52"/>
    </row>
    <row r="835" spans="1:20" x14ac:dyDescent="0.25">
      <c r="A835" s="11"/>
      <c r="B835" s="11" t="s">
        <v>1393</v>
      </c>
      <c r="C835" s="12"/>
      <c r="P835" s="124"/>
      <c r="R835" s="124"/>
      <c r="S835" s="124"/>
      <c r="T835" s="52"/>
    </row>
    <row r="836" spans="1:20" x14ac:dyDescent="0.25">
      <c r="B836" s="13" t="s">
        <v>3</v>
      </c>
      <c r="C836" s="13" t="s">
        <v>4</v>
      </c>
      <c r="D836" s="2480" t="s">
        <v>33</v>
      </c>
      <c r="E836" s="13">
        <f>'WS calcu'!E$3</f>
        <v>2014</v>
      </c>
      <c r="F836" s="13">
        <f>'WS calcu'!F$3</f>
        <v>2015</v>
      </c>
      <c r="G836" s="13">
        <f>'WS calcu'!G$3</f>
        <v>2016</v>
      </c>
      <c r="H836" s="13">
        <f>'WS calcu'!H$3</f>
        <v>2017</v>
      </c>
      <c r="I836" s="13">
        <f>'WS calcu'!I$3</f>
        <v>2018</v>
      </c>
      <c r="J836" s="13">
        <f>'WS calcu'!J$3</f>
        <v>2019</v>
      </c>
      <c r="K836" s="13">
        <f>'WS calcu'!K$3</f>
        <v>2020</v>
      </c>
      <c r="L836" s="13">
        <f>'WS calcu'!L$3</f>
        <v>2021</v>
      </c>
      <c r="M836" s="13">
        <f>'WS calcu'!M$3</f>
        <v>2022</v>
      </c>
      <c r="N836" s="13">
        <f>'WS calcu'!N$3</f>
        <v>2023</v>
      </c>
      <c r="O836" s="13">
        <f>'WS calcu'!O$3</f>
        <v>2024</v>
      </c>
      <c r="P836" s="92"/>
      <c r="Q836" s="3993"/>
      <c r="R836" s="92"/>
      <c r="S836" s="92"/>
    </row>
    <row r="837" spans="1:20" x14ac:dyDescent="0.25">
      <c r="B837" s="547"/>
      <c r="C837" s="1304" t="s">
        <v>1394</v>
      </c>
      <c r="D837" s="2481"/>
      <c r="E837" s="2188">
        <f>'WSS Profile'!G318</f>
        <v>0</v>
      </c>
      <c r="F837" s="2188">
        <f>'WSS Profile'!G319</f>
        <v>0</v>
      </c>
      <c r="G837" s="2343">
        <f>IFERROR(F837/E837,0)</f>
        <v>0</v>
      </c>
      <c r="H837" s="2342"/>
      <c r="I837" s="2342" t="s">
        <v>2930</v>
      </c>
      <c r="J837" s="3970">
        <f>IF('WSS Profile'!F219&lt;&gt;"3. City fully covered with onsite sanitation system",E836,IF('WW Plan'!E293="Activate",'WW Plan'!G293+1,0))</f>
        <v>0</v>
      </c>
      <c r="K837" s="3969"/>
      <c r="L837" s="2342"/>
      <c r="M837" s="2342"/>
      <c r="N837" s="2342"/>
      <c r="O837" s="2343"/>
      <c r="P837" s="92"/>
      <c r="Q837" s="3993"/>
      <c r="R837" s="92"/>
      <c r="S837" s="92"/>
    </row>
    <row r="838" spans="1:20" x14ac:dyDescent="0.25">
      <c r="B838" s="551"/>
      <c r="C838" s="1305" t="s">
        <v>1395</v>
      </c>
      <c r="D838" s="2547"/>
      <c r="E838" s="2104">
        <f>'WSS Profile'!G323</f>
        <v>0</v>
      </c>
      <c r="F838" s="2104">
        <f>'WSS Profile'!G324</f>
        <v>0</v>
      </c>
      <c r="G838" s="2345">
        <f>IFERROR(F838/E838,0)</f>
        <v>0</v>
      </c>
      <c r="H838" s="2344"/>
      <c r="I838" s="2344"/>
      <c r="J838" s="2344"/>
      <c r="K838" s="2344"/>
      <c r="L838" s="2344"/>
      <c r="M838" s="2344"/>
      <c r="N838" s="2344"/>
      <c r="O838" s="2345"/>
      <c r="P838" s="92"/>
      <c r="Q838" s="3993"/>
      <c r="R838" s="92"/>
      <c r="S838" s="92"/>
    </row>
    <row r="839" spans="1:20" s="51" customFormat="1" ht="16.5" customHeight="1" x14ac:dyDescent="0.25">
      <c r="A839" s="750"/>
      <c r="B839" s="3182"/>
      <c r="C839" s="3183" t="s">
        <v>1147</v>
      </c>
      <c r="D839" s="3184"/>
      <c r="E839" s="3185">
        <f>IFERROR((F837+F838)/(E837+E838),0)</f>
        <v>0</v>
      </c>
      <c r="F839" s="3186">
        <f>IFERROR(E839+IF('WW Plan'!$E$393="Activate",IF(AND(F$846&gt;='WW Plan'!$G$393,F$846&lt;'WW Plan'!$H$393+1),('WW Plan'!$H$395-'WW Plan'!$H$394)/('WW Plan'!$H$393+1-'WW Plan'!$G$393),0),0),0)</f>
        <v>0</v>
      </c>
      <c r="G839" s="3186">
        <f>IFERROR(F839+IF('WW Plan'!$E$393="Activate",IF(AND(G$846&gt;='WW Plan'!$G$393,G$846&lt;'WW Plan'!$H$393+1),('WW Plan'!$H$395-'WW Plan'!$H$394)/('WW Plan'!$H$393+1-'WW Plan'!$G$393),0),0),0)</f>
        <v>0</v>
      </c>
      <c r="H839" s="3187">
        <f>IFERROR(G839+IF('WW Plan'!$E$393="Activate",IF(AND(H$846&gt;='WW Plan'!$G$393,H$846&lt;'WW Plan'!$H$393+1),('WW Plan'!$H$395-'WW Plan'!$H$394)/('WW Plan'!$H$393+1-'WW Plan'!$G$393),0),0),0)</f>
        <v>0</v>
      </c>
      <c r="I839" s="3187">
        <f>IFERROR(H839+IF('WW Plan'!$E$393="Activate",IF(AND(I$846&gt;='WW Plan'!$G$393,I$846&lt;'WW Plan'!$H$393+1),('WW Plan'!$H$395-'WW Plan'!$H$394)/('WW Plan'!$H$393+1-'WW Plan'!$G$393),0),0),0)</f>
        <v>0</v>
      </c>
      <c r="J839" s="3187">
        <f>IFERROR(I839+IF('WW Plan'!$E$393="Activate",IF(AND(J$846&gt;='WW Plan'!$G$393,J$846&lt;'WW Plan'!$H$393+1),('WW Plan'!$H$395-'WW Plan'!$H$394)/('WW Plan'!$H$393+1-'WW Plan'!$G$393),0),0),0)</f>
        <v>0</v>
      </c>
      <c r="K839" s="3187">
        <f>IFERROR(J839+IF('WW Plan'!$E$393="Activate",IF(AND(K$846&gt;='WW Plan'!$G$393,K$846&lt;'WW Plan'!$H$393+1),('WW Plan'!$H$395-'WW Plan'!$H$394)/('WW Plan'!$H$393+1-'WW Plan'!$G$393),0),0),0)</f>
        <v>0</v>
      </c>
      <c r="L839" s="3187">
        <f>IFERROR(K839+IF('WW Plan'!$E$393="Activate",IF(AND(L$846&gt;='WW Plan'!$G$393,L$846&lt;'WW Plan'!$H$393+1),('WW Plan'!$H$395-'WW Plan'!$H$394)/('WW Plan'!$H$393+1-'WW Plan'!$G$393),0),0),0)</f>
        <v>0</v>
      </c>
      <c r="M839" s="3187">
        <f>IFERROR(L839+IF('WW Plan'!$E$393="Activate",IF(AND(M$846&gt;='WW Plan'!$G$393,M$846&lt;'WW Plan'!$H$393+1),('WW Plan'!$H$395-'WW Plan'!$H$394)/('WW Plan'!$H$393+1-'WW Plan'!$G$393),0),0),0)</f>
        <v>0</v>
      </c>
      <c r="N839" s="3187">
        <f>IFERROR(M839+IF('WW Plan'!$E$393="Activate",IF(AND(N$846&gt;='WW Plan'!$G$393,N$846&lt;'WW Plan'!$H$393+1),('WW Plan'!$H$395-'WW Plan'!$H$394)/('WW Plan'!$H$393+1-'WW Plan'!$G$393),0),0),0)</f>
        <v>0</v>
      </c>
      <c r="O839" s="3187">
        <f>IFERROR(N839+IF('WW Plan'!$E$393="Activate",IF(AND(O$846&gt;='WW Plan'!$G$393,O$846&lt;'WW Plan'!$H$393+1),('WW Plan'!$H$395-'WW Plan'!$H$394)/('WW Plan'!$H$393+1-'WW Plan'!$G$393),0),0),0)</f>
        <v>0</v>
      </c>
      <c r="Q839" s="3999"/>
    </row>
    <row r="840" spans="1:20" s="77" customFormat="1" ht="16.5" customHeight="1" x14ac:dyDescent="0.25">
      <c r="A840" s="741"/>
      <c r="B840" s="742"/>
      <c r="C840" s="1206" t="s">
        <v>1392</v>
      </c>
      <c r="D840" s="753"/>
      <c r="E840" s="782">
        <f>IFERROR('WSS Profile'!G319/'WSS Profile'!G318,0)</f>
        <v>0</v>
      </c>
      <c r="F840" s="782">
        <f>IF(AND(F836&gt;=$J$837,$J$837&lt;&gt;0),F839,$E$840)</f>
        <v>0</v>
      </c>
      <c r="G840" s="782">
        <f t="shared" ref="G840:O840" si="370">IF(AND(G836&gt;=$J$837,$J$837&lt;&gt;0),G839,$E$840)</f>
        <v>0</v>
      </c>
      <c r="H840" s="782">
        <f t="shared" si="370"/>
        <v>0</v>
      </c>
      <c r="I840" s="782">
        <f t="shared" si="370"/>
        <v>0</v>
      </c>
      <c r="J840" s="782">
        <f t="shared" si="370"/>
        <v>0</v>
      </c>
      <c r="K840" s="782">
        <f t="shared" si="370"/>
        <v>0</v>
      </c>
      <c r="L840" s="782">
        <f t="shared" si="370"/>
        <v>0</v>
      </c>
      <c r="M840" s="782">
        <f t="shared" si="370"/>
        <v>0</v>
      </c>
      <c r="N840" s="782">
        <f t="shared" si="370"/>
        <v>0</v>
      </c>
      <c r="O840" s="782">
        <f t="shared" si="370"/>
        <v>0</v>
      </c>
      <c r="Q840" s="3999"/>
    </row>
    <row r="841" spans="1:20" s="77" customFormat="1" ht="16.5" customHeight="1" x14ac:dyDescent="0.25">
      <c r="A841" s="741"/>
      <c r="B841" s="742"/>
      <c r="C841" s="743" t="s">
        <v>757</v>
      </c>
      <c r="D841" s="753"/>
      <c r="E841" s="782">
        <f>'WW Plan'!H398</f>
        <v>1</v>
      </c>
      <c r="F841" s="782">
        <f>E841+IF('WW Plan'!$E$397="Activate",IF(AND(F$846&gt;='WW Plan'!$G$397,F$846&lt;'WW Plan'!$H$397+1),('WW Plan'!$H$399-'WW Plan'!$H$398)/('WW Plan'!$H$397+1-'WW Plan'!$G$397),0),0)</f>
        <v>1</v>
      </c>
      <c r="G841" s="782">
        <f>F841+IF('WW Plan'!$E$397="Activate",IF(AND(G$846&gt;='WW Plan'!$G$397,G$846&lt;'WW Plan'!$H$397+1),('WW Plan'!$H$399-'WW Plan'!$H$398)/('WW Plan'!$H$397+1-'WW Plan'!$G$397),0),0)</f>
        <v>1</v>
      </c>
      <c r="H841" s="782">
        <f>G841+IF('WW Plan'!$E$397="Activate",IF(AND(H$846&gt;='WW Plan'!$G$397,H$846&lt;'WW Plan'!$H$397+1),('WW Plan'!$H$399-'WW Plan'!$H$398)/('WW Plan'!$H$397+1-'WW Plan'!$G$397),0),0)</f>
        <v>1</v>
      </c>
      <c r="I841" s="782">
        <f>H841+IF('WW Plan'!$E$397="Activate",IF(AND(I$846&gt;='WW Plan'!$G$397,I$846&lt;'WW Plan'!$H$397+1),('WW Plan'!$H$399-'WW Plan'!$H$398)/('WW Plan'!$H$397+1-'WW Plan'!$G$397),0),0)</f>
        <v>1</v>
      </c>
      <c r="J841" s="782">
        <f>I841+IF('WW Plan'!$E$397="Activate",IF(AND(J$846&gt;='WW Plan'!$G$397,J$846&lt;'WW Plan'!$H$397+1),('WW Plan'!$H$399-'WW Plan'!$H$398)/('WW Plan'!$H$397+1-'WW Plan'!$G$397),0),0)</f>
        <v>1</v>
      </c>
      <c r="K841" s="782">
        <f>J841+IF('WW Plan'!$E$397="Activate",IF(AND(K$846&gt;='WW Plan'!$G$397,K$846&lt;'WW Plan'!$H$397+1),('WW Plan'!$H$399-'WW Plan'!$H$398)/('WW Plan'!$H$397+1-'WW Plan'!$G$397),0),0)</f>
        <v>1</v>
      </c>
      <c r="L841" s="782">
        <f>K841+IF('WW Plan'!$E$397="Activate",IF(AND(L$846&gt;='WW Plan'!$G$397,L$846&lt;'WW Plan'!$H$397+1),('WW Plan'!$H$399-'WW Plan'!$H$398)/('WW Plan'!$H$397+1-'WW Plan'!$G$397),0),0)</f>
        <v>1</v>
      </c>
      <c r="M841" s="782">
        <f>L841+IF('WW Plan'!$E$397="Activate",IF(AND(M$846&gt;='WW Plan'!$G$397,M$846&lt;'WW Plan'!$H$397+1),('WW Plan'!$H$399-'WW Plan'!$H$398)/('WW Plan'!$H$397+1-'WW Plan'!$G$397),0),0)</f>
        <v>1</v>
      </c>
      <c r="N841" s="782">
        <f>M841+IF('WW Plan'!$E$397="Activate",IF(AND(N$846&gt;='WW Plan'!$G$397,N$846&lt;'WW Plan'!$H$397+1),('WW Plan'!$H$399-'WW Plan'!$H$398)/('WW Plan'!$H$397+1-'WW Plan'!$G$397),0),0)</f>
        <v>1</v>
      </c>
      <c r="O841" s="782">
        <f>N841+IF('WW Plan'!$E$397="Activate",IF(AND(O$846&gt;='WW Plan'!$G$397,O$846&lt;'WW Plan'!$H$397+1),('WW Plan'!$H$399-'WW Plan'!$H$398)/('WW Plan'!$H$397+1-'WW Plan'!$G$397),0),0)</f>
        <v>1</v>
      </c>
      <c r="Q841" s="3999"/>
    </row>
    <row r="842" spans="1:20" x14ac:dyDescent="0.25">
      <c r="A842" s="27"/>
      <c r="B842" s="27"/>
      <c r="C842" s="2194"/>
      <c r="D842" s="2251"/>
      <c r="E842" s="2100"/>
      <c r="F842" s="2100"/>
      <c r="G842" s="2100"/>
      <c r="H842" s="2100"/>
      <c r="I842" s="2100"/>
      <c r="J842" s="2100"/>
      <c r="K842" s="2100"/>
      <c r="L842" s="2100"/>
      <c r="M842" s="2100"/>
      <c r="N842" s="2100"/>
      <c r="O842" s="2100"/>
    </row>
    <row r="843" spans="1:20" x14ac:dyDescent="0.25">
      <c r="A843" s="27"/>
      <c r="B843" s="27"/>
      <c r="C843" s="304"/>
      <c r="D843" s="2251"/>
      <c r="E843" s="2100"/>
      <c r="F843" s="2100"/>
      <c r="G843" s="2100"/>
      <c r="H843" s="2100"/>
      <c r="I843" s="2100"/>
      <c r="J843" s="2100"/>
      <c r="K843" s="2100"/>
      <c r="L843" s="2100"/>
      <c r="M843" s="2100"/>
      <c r="N843" s="2100"/>
      <c r="O843" s="2100"/>
    </row>
    <row r="844" spans="1:20" customFormat="1" x14ac:dyDescent="0.25">
      <c r="D844" s="2597"/>
      <c r="Q844" s="3994"/>
    </row>
    <row r="845" spans="1:20" x14ac:dyDescent="0.25">
      <c r="A845" s="11"/>
      <c r="B845" s="11" t="s">
        <v>631</v>
      </c>
      <c r="C845" s="12"/>
    </row>
    <row r="846" spans="1:20" x14ac:dyDescent="0.25">
      <c r="B846" s="13" t="s">
        <v>3</v>
      </c>
      <c r="C846" s="13" t="s">
        <v>4</v>
      </c>
      <c r="D846" s="2480" t="s">
        <v>33</v>
      </c>
      <c r="E846" s="13">
        <f>'WS calcu'!E$3</f>
        <v>2014</v>
      </c>
      <c r="F846" s="13">
        <f>'WS calcu'!F$3</f>
        <v>2015</v>
      </c>
      <c r="G846" s="13">
        <f>'WS calcu'!G$3</f>
        <v>2016</v>
      </c>
      <c r="H846" s="13">
        <f>'WS calcu'!H$3</f>
        <v>2017</v>
      </c>
      <c r="I846" s="13">
        <f>'WS calcu'!I$3</f>
        <v>2018</v>
      </c>
      <c r="J846" s="13">
        <f>'WS calcu'!J$3</f>
        <v>2019</v>
      </c>
      <c r="K846" s="13">
        <f>'WS calcu'!K$3</f>
        <v>2020</v>
      </c>
      <c r="L846" s="13">
        <f>'WS calcu'!L$3</f>
        <v>2021</v>
      </c>
      <c r="M846" s="13">
        <f>'WS calcu'!M$3</f>
        <v>2022</v>
      </c>
      <c r="N846" s="13">
        <f>'WS calcu'!N$3</f>
        <v>2023</v>
      </c>
      <c r="O846" s="13">
        <f>'WS calcu'!O$3</f>
        <v>2024</v>
      </c>
    </row>
    <row r="847" spans="1:20" s="170" customFormat="1" x14ac:dyDescent="0.25">
      <c r="A847" s="204"/>
      <c r="B847" s="205"/>
      <c r="C847" s="207" t="s">
        <v>615</v>
      </c>
      <c r="D847" s="2598"/>
      <c r="E847" s="1130"/>
      <c r="F847" s="1130"/>
      <c r="G847" s="1130"/>
      <c r="H847" s="1130"/>
      <c r="I847" s="1130"/>
      <c r="J847" s="1130"/>
      <c r="K847" s="1130"/>
      <c r="L847" s="1130"/>
      <c r="M847" s="1130"/>
      <c r="N847" s="1130"/>
      <c r="O847" s="1130"/>
      <c r="Q847" s="3987"/>
    </row>
    <row r="848" spans="1:20" x14ac:dyDescent="0.25">
      <c r="B848" s="547">
        <v>1</v>
      </c>
      <c r="C848" s="2660" t="s">
        <v>140</v>
      </c>
      <c r="D848" s="2550">
        <f>IF('WSS Profile'!$F$349="Yes",1,0)</f>
        <v>0</v>
      </c>
      <c r="E848" s="2762">
        <f>E859</f>
        <v>0</v>
      </c>
      <c r="F848" s="2763"/>
      <c r="G848" s="2763"/>
      <c r="H848" s="2763"/>
      <c r="I848" s="2763"/>
      <c r="J848" s="2763"/>
      <c r="K848" s="2763"/>
      <c r="L848" s="2763"/>
      <c r="M848" s="2763"/>
      <c r="N848" s="2763"/>
      <c r="O848" s="2764"/>
    </row>
    <row r="849" spans="1:17" x14ac:dyDescent="0.25">
      <c r="B849" s="2071"/>
      <c r="C849" s="2755" t="s">
        <v>178</v>
      </c>
      <c r="D849" s="2488">
        <f>IF(C849='WSS Profile'!$F$350,1,0)*$D$859</f>
        <v>0</v>
      </c>
      <c r="E849" s="2756">
        <f>E860</f>
        <v>0</v>
      </c>
      <c r="F849" s="2757">
        <f>F860</f>
        <v>0</v>
      </c>
      <c r="G849" s="2757">
        <f t="shared" ref="G849:O849" si="371">G860</f>
        <v>0</v>
      </c>
      <c r="H849" s="2757">
        <f t="shared" si="371"/>
        <v>0</v>
      </c>
      <c r="I849" s="2757">
        <f>I860</f>
        <v>0</v>
      </c>
      <c r="J849" s="2757">
        <f t="shared" si="371"/>
        <v>0</v>
      </c>
      <c r="K849" s="2757">
        <f>K860</f>
        <v>0</v>
      </c>
      <c r="L849" s="2757">
        <f t="shared" si="371"/>
        <v>0</v>
      </c>
      <c r="M849" s="2757">
        <f t="shared" si="371"/>
        <v>0</v>
      </c>
      <c r="N849" s="2757">
        <f t="shared" si="371"/>
        <v>0</v>
      </c>
      <c r="O849" s="2765">
        <f t="shared" si="371"/>
        <v>0</v>
      </c>
    </row>
    <row r="850" spans="1:17" x14ac:dyDescent="0.25">
      <c r="B850" s="2071"/>
      <c r="C850" s="2755" t="s">
        <v>134</v>
      </c>
      <c r="D850" s="2488">
        <f>IF(C850='WSS Profile'!$F$350,1,0)*$D$859</f>
        <v>0</v>
      </c>
      <c r="E850" s="5807">
        <f>(E$9*$D850*$E$848)/CurrencyMultiplier</f>
        <v>0</v>
      </c>
      <c r="F850" s="5807">
        <f>(F$9*$D850*$E$848)/CurrencyMultiplier</f>
        <v>0</v>
      </c>
      <c r="G850" s="2757">
        <f>(G$9*$D850*$E$848)/CurrencyMultiplier</f>
        <v>0</v>
      </c>
      <c r="H850" s="2757">
        <f>(H$9*$D850*$E$848)/CurrencyMultiplier</f>
        <v>0</v>
      </c>
      <c r="I850" s="2757">
        <f>(I$9*$D850*$E$848)/CurrencyMultiplier</f>
        <v>0</v>
      </c>
      <c r="J850" s="2757">
        <f>(J$9*$D850*$E$848)/CurrencyMultiplier</f>
        <v>0</v>
      </c>
      <c r="K850" s="2757">
        <f>(K$9*$D850*$E$848)/CurrencyMultiplier</f>
        <v>0</v>
      </c>
      <c r="L850" s="2757">
        <f>(L$9*$D850*$E$848)/CurrencyMultiplier</f>
        <v>0</v>
      </c>
      <c r="M850" s="2757">
        <f>(M$9*$D850*$E$848)/CurrencyMultiplier</f>
        <v>0</v>
      </c>
      <c r="N850" s="2757">
        <f>(N$9*$D850*$E$848)/CurrencyMultiplier</f>
        <v>0</v>
      </c>
      <c r="O850" s="2765">
        <f>(O$9*$D850*$E$848)/CurrencyMultiplier</f>
        <v>0</v>
      </c>
    </row>
    <row r="851" spans="1:17" x14ac:dyDescent="0.25">
      <c r="B851" s="2071"/>
      <c r="C851" s="2755" t="s">
        <v>179</v>
      </c>
      <c r="D851" s="2488">
        <f>IF(C851='WSS Profile'!$F$350,1,0)*$D$859</f>
        <v>0</v>
      </c>
      <c r="E851" s="5807">
        <f>E485*$D851*$E$848/CurrencyMultiplier</f>
        <v>0</v>
      </c>
      <c r="F851" s="5807">
        <f>F485*$D851*$E$848/CurrencyMultiplier</f>
        <v>0</v>
      </c>
      <c r="G851" s="2757">
        <f>G485*$D851*$E$848/CurrencyMultiplier</f>
        <v>0</v>
      </c>
      <c r="H851" s="2757">
        <f>H485*$D851*$E$848/CurrencyMultiplier</f>
        <v>0</v>
      </c>
      <c r="I851" s="2757">
        <f>I485*$D851*$E$848/CurrencyMultiplier</f>
        <v>0</v>
      </c>
      <c r="J851" s="2757">
        <f>J485*$D851*$E$848/CurrencyMultiplier</f>
        <v>0</v>
      </c>
      <c r="K851" s="2757">
        <f>K485*$D851*$E$848/CurrencyMultiplier</f>
        <v>0</v>
      </c>
      <c r="L851" s="2757">
        <f>L485*$D851*$E$848/CurrencyMultiplier</f>
        <v>0</v>
      </c>
      <c r="M851" s="2757">
        <f>M485*$D851*$E$848/CurrencyMultiplier</f>
        <v>0</v>
      </c>
      <c r="N851" s="2757">
        <f>N485*$D851*$E$848/CurrencyMultiplier</f>
        <v>0</v>
      </c>
      <c r="O851" s="2765">
        <f>O485*$D851*$E$848/CurrencyMultiplier</f>
        <v>0</v>
      </c>
    </row>
    <row r="852" spans="1:17" s="124" customFormat="1" x14ac:dyDescent="0.25">
      <c r="A852" s="163"/>
      <c r="B852" s="1243"/>
      <c r="C852" s="2755" t="s">
        <v>177</v>
      </c>
      <c r="D852" s="2488">
        <f>IF(C852='WSS Profile'!$F$350,1,0)*$D$859</f>
        <v>0</v>
      </c>
      <c r="E852" s="5808">
        <f>'WS calcu'!E$328*$D852*$E$848/CurrencyMultiplier</f>
        <v>0</v>
      </c>
      <c r="F852" s="5808">
        <f>'WS calcu'!F$328*$D852*$E$848/CurrencyMultiplier</f>
        <v>0</v>
      </c>
      <c r="G852" s="2758">
        <f>'WS calcu'!G$328*$D852*$E$848/CurrencyMultiplier</f>
        <v>0</v>
      </c>
      <c r="H852" s="2758">
        <f>'WS calcu'!H$328*$D852*$E$848/CurrencyMultiplier</f>
        <v>0</v>
      </c>
      <c r="I852" s="2758">
        <f>'WS calcu'!I$328*$D852*$E$848/CurrencyMultiplier</f>
        <v>0</v>
      </c>
      <c r="J852" s="2758">
        <f>'WS calcu'!J$328*$D852*$E$848/CurrencyMultiplier</f>
        <v>0</v>
      </c>
      <c r="K852" s="2758">
        <f>'WS calcu'!K$328*$D852*$E$848/CurrencyMultiplier</f>
        <v>0</v>
      </c>
      <c r="L852" s="2758">
        <f>'WS calcu'!L$328*$D852*$E$848/CurrencyMultiplier</f>
        <v>0</v>
      </c>
      <c r="M852" s="2758">
        <f>'WS calcu'!M$328*$D852*$E$848/CurrencyMultiplier</f>
        <v>0</v>
      </c>
      <c r="N852" s="2758">
        <f>'WS calcu'!N$328*$D852*$E$848/CurrencyMultiplier</f>
        <v>0</v>
      </c>
      <c r="O852" s="2766">
        <f>'WS calcu'!O$328*$D852*$E$848/CurrencyMultiplier</f>
        <v>0</v>
      </c>
      <c r="Q852" s="3987"/>
    </row>
    <row r="853" spans="1:17" x14ac:dyDescent="0.25">
      <c r="B853" s="2071"/>
      <c r="C853" s="2755" t="s">
        <v>383</v>
      </c>
      <c r="D853" s="2488">
        <f>IF(C853='WSS Profile'!$F$350,1,0)*$D$859</f>
        <v>0</v>
      </c>
      <c r="E853" s="2757">
        <f>E864</f>
        <v>0</v>
      </c>
      <c r="F853" s="2757">
        <f t="shared" ref="F853:O853" si="372">F864</f>
        <v>0</v>
      </c>
      <c r="G853" s="2757">
        <f t="shared" si="372"/>
        <v>0</v>
      </c>
      <c r="H853" s="2757">
        <f t="shared" si="372"/>
        <v>0</v>
      </c>
      <c r="I853" s="2757">
        <f t="shared" si="372"/>
        <v>0</v>
      </c>
      <c r="J853" s="2757">
        <f t="shared" si="372"/>
        <v>0</v>
      </c>
      <c r="K853" s="2757">
        <f t="shared" si="372"/>
        <v>0</v>
      </c>
      <c r="L853" s="2757">
        <f t="shared" si="372"/>
        <v>0</v>
      </c>
      <c r="M853" s="2757">
        <f t="shared" si="372"/>
        <v>0</v>
      </c>
      <c r="N853" s="2757">
        <f t="shared" si="372"/>
        <v>0</v>
      </c>
      <c r="O853" s="2765">
        <f t="shared" si="372"/>
        <v>0</v>
      </c>
    </row>
    <row r="854" spans="1:17" s="124" customFormat="1" x14ac:dyDescent="0.25">
      <c r="A854" s="163"/>
      <c r="B854" s="2769">
        <v>2</v>
      </c>
      <c r="C854" s="2770" t="s">
        <v>139</v>
      </c>
      <c r="D854" s="4583">
        <f>IF('WSS Profile'!$F$351="Yes",1,0)</f>
        <v>0</v>
      </c>
      <c r="E854" s="2771">
        <f>E865</f>
        <v>0</v>
      </c>
      <c r="F854" s="2771">
        <f t="shared" ref="F854:O854" si="373">F865</f>
        <v>0</v>
      </c>
      <c r="G854" s="2771">
        <f t="shared" si="373"/>
        <v>0</v>
      </c>
      <c r="H854" s="2771">
        <f t="shared" si="373"/>
        <v>0</v>
      </c>
      <c r="I854" s="2771">
        <f t="shared" si="373"/>
        <v>0</v>
      </c>
      <c r="J854" s="2771">
        <f t="shared" si="373"/>
        <v>0</v>
      </c>
      <c r="K854" s="2771">
        <f>K865</f>
        <v>0</v>
      </c>
      <c r="L854" s="2771">
        <f t="shared" si="373"/>
        <v>0</v>
      </c>
      <c r="M854" s="2771">
        <f t="shared" si="373"/>
        <v>0</v>
      </c>
      <c r="N854" s="2771">
        <f t="shared" si="373"/>
        <v>0</v>
      </c>
      <c r="O854" s="2772">
        <f t="shared" si="373"/>
        <v>0</v>
      </c>
      <c r="Q854" s="3987"/>
    </row>
    <row r="855" spans="1:17" s="124" customFormat="1" x14ac:dyDescent="0.25">
      <c r="A855" s="163"/>
      <c r="B855" s="2769">
        <v>3</v>
      </c>
      <c r="C855" s="5679" t="s">
        <v>3452</v>
      </c>
      <c r="D855" s="4583">
        <f>IF('WSS Profile'!F356="Annual charge for scheduled emptying", 1,0)</f>
        <v>0</v>
      </c>
      <c r="E855" s="5809">
        <f>E1192*E1185</f>
        <v>0</v>
      </c>
      <c r="F855" s="5809">
        <f t="shared" ref="F855:O855" si="374">F1192*F1185</f>
        <v>0</v>
      </c>
      <c r="G855" s="2771">
        <f t="shared" si="374"/>
        <v>0</v>
      </c>
      <c r="H855" s="2771">
        <f t="shared" si="374"/>
        <v>0</v>
      </c>
      <c r="I855" s="2771">
        <f t="shared" si="374"/>
        <v>0</v>
      </c>
      <c r="J855" s="2771">
        <f t="shared" si="374"/>
        <v>0</v>
      </c>
      <c r="K855" s="2771">
        <f t="shared" si="374"/>
        <v>0</v>
      </c>
      <c r="L855" s="2771">
        <f t="shared" si="374"/>
        <v>0</v>
      </c>
      <c r="M855" s="2771">
        <f t="shared" si="374"/>
        <v>0</v>
      </c>
      <c r="N855" s="2771">
        <f t="shared" si="374"/>
        <v>0</v>
      </c>
      <c r="O855" s="2772">
        <f t="shared" si="374"/>
        <v>0</v>
      </c>
      <c r="Q855" s="3987"/>
    </row>
    <row r="856" spans="1:17" s="124" customFormat="1" x14ac:dyDescent="0.25">
      <c r="A856" s="163"/>
      <c r="B856" s="1288">
        <v>4</v>
      </c>
      <c r="C856" s="2166" t="s">
        <v>476</v>
      </c>
      <c r="D856" s="4585">
        <f>'WSS Profile'!G357*D892</f>
        <v>0</v>
      </c>
      <c r="E856" s="5810">
        <f>E485*$D856/CurrencyMultiplier</f>
        <v>0</v>
      </c>
      <c r="F856" s="5810">
        <f>F485*$D856/CurrencyMultiplier</f>
        <v>0</v>
      </c>
      <c r="G856" s="2767">
        <f>G485*$D856/CurrencyMultiplier</f>
        <v>0</v>
      </c>
      <c r="H856" s="2767">
        <f>H485*$D856/CurrencyMultiplier</f>
        <v>0</v>
      </c>
      <c r="I856" s="2767">
        <f>I485*$D856/CurrencyMultiplier</f>
        <v>0</v>
      </c>
      <c r="J856" s="2767">
        <f>J485*$D856/CurrencyMultiplier</f>
        <v>0</v>
      </c>
      <c r="K856" s="2767">
        <f>K485*$D856/CurrencyMultiplier</f>
        <v>0</v>
      </c>
      <c r="L856" s="2767">
        <f>L485*$D856/CurrencyMultiplier</f>
        <v>0</v>
      </c>
      <c r="M856" s="2767">
        <f>M485*$D856/CurrencyMultiplier</f>
        <v>0</v>
      </c>
      <c r="N856" s="2767">
        <f>N485*$D856/CurrencyMultiplier</f>
        <v>0</v>
      </c>
      <c r="O856" s="2768">
        <f>O485*$D856/CurrencyMultiplier</f>
        <v>0</v>
      </c>
      <c r="Q856" s="3987"/>
    </row>
    <row r="857" spans="1:17" x14ac:dyDescent="0.25">
      <c r="A857" s="3"/>
      <c r="B857" s="2759"/>
      <c r="C857" s="2759" t="s">
        <v>381</v>
      </c>
      <c r="D857" s="2760"/>
      <c r="E857" s="2761">
        <f>SUM(E$849:E$856)</f>
        <v>0</v>
      </c>
      <c r="F857" s="2761">
        <f t="shared" ref="F857:O857" si="375">SUM(F$849:F$856)</f>
        <v>0</v>
      </c>
      <c r="G857" s="2761">
        <f t="shared" si="375"/>
        <v>0</v>
      </c>
      <c r="H857" s="2761">
        <f t="shared" si="375"/>
        <v>0</v>
      </c>
      <c r="I857" s="2761">
        <f t="shared" si="375"/>
        <v>0</v>
      </c>
      <c r="J857" s="2761">
        <f t="shared" si="375"/>
        <v>0</v>
      </c>
      <c r="K857" s="2761">
        <f t="shared" si="375"/>
        <v>0</v>
      </c>
      <c r="L857" s="2761">
        <f t="shared" si="375"/>
        <v>0</v>
      </c>
      <c r="M857" s="2761">
        <f t="shared" si="375"/>
        <v>0</v>
      </c>
      <c r="N857" s="2761">
        <f t="shared" si="375"/>
        <v>0</v>
      </c>
      <c r="O857" s="2761">
        <f t="shared" si="375"/>
        <v>0</v>
      </c>
    </row>
    <row r="858" spans="1:17" s="170" customFormat="1" x14ac:dyDescent="0.25">
      <c r="A858" s="204"/>
      <c r="B858" s="205"/>
      <c r="C858" s="207" t="s">
        <v>548</v>
      </c>
      <c r="D858" s="2754"/>
      <c r="E858" s="206"/>
      <c r="F858" s="206"/>
      <c r="G858" s="206"/>
      <c r="H858" s="206"/>
      <c r="I858" s="206"/>
      <c r="J858" s="206"/>
      <c r="K858" s="206"/>
      <c r="L858" s="206"/>
      <c r="M858" s="206"/>
      <c r="N858" s="206"/>
      <c r="O858" s="206"/>
      <c r="Q858" s="3987"/>
    </row>
    <row r="859" spans="1:17" x14ac:dyDescent="0.25">
      <c r="B859" s="547">
        <v>1</v>
      </c>
      <c r="C859" s="2660" t="s">
        <v>140</v>
      </c>
      <c r="D859" s="2550">
        <f>IF('WSS Profile'!$F$349="Yes",1,0)</f>
        <v>0</v>
      </c>
      <c r="E859" s="2762">
        <f>E871*D859</f>
        <v>0</v>
      </c>
      <c r="F859" s="2763"/>
      <c r="G859" s="2763"/>
      <c r="H859" s="2763"/>
      <c r="I859" s="2763"/>
      <c r="J859" s="2763"/>
      <c r="K859" s="2763"/>
      <c r="L859" s="2763"/>
      <c r="M859" s="2763"/>
      <c r="N859" s="2763"/>
      <c r="O859" s="2764"/>
    </row>
    <row r="860" spans="1:17" s="170" customFormat="1" x14ac:dyDescent="0.25">
      <c r="A860" s="43"/>
      <c r="B860" s="2071"/>
      <c r="C860" s="2755" t="s">
        <v>178</v>
      </c>
      <c r="D860" s="2488">
        <f>IF(C860='WSS Profile'!$F$350,1,0)*$D$859</f>
        <v>0</v>
      </c>
      <c r="E860" s="5807">
        <f>Population!E$48*$D860*$E$859/CurrencyMultiplier</f>
        <v>0</v>
      </c>
      <c r="F860" s="2756">
        <f>Population!F$48*$D860*$E$859/CurrencyMultiplier</f>
        <v>0</v>
      </c>
      <c r="G860" s="2756">
        <f>Population!G$48*$D860*$E$859/CurrencyMultiplier</f>
        <v>0</v>
      </c>
      <c r="H860" s="2756">
        <f>Population!H$48*$D860*$E$859/CurrencyMultiplier</f>
        <v>0</v>
      </c>
      <c r="I860" s="2756">
        <f>Population!I$48*$D860*$E$859/CurrencyMultiplier</f>
        <v>0</v>
      </c>
      <c r="J860" s="2756">
        <f>Population!J$48*$D860*$E$859/CurrencyMultiplier</f>
        <v>0</v>
      </c>
      <c r="K860" s="2756">
        <f>Population!K$48*$D860*$E$859/CurrencyMultiplier</f>
        <v>0</v>
      </c>
      <c r="L860" s="2756">
        <f>Population!L$48*$D860*$E$859/CurrencyMultiplier</f>
        <v>0</v>
      </c>
      <c r="M860" s="2756">
        <f>Population!M$48*$D860*$E$859/CurrencyMultiplier</f>
        <v>0</v>
      </c>
      <c r="N860" s="2756">
        <f>Population!N$48*$D860*$E$859/CurrencyMultiplier</f>
        <v>0</v>
      </c>
      <c r="O860" s="2756">
        <f>Population!O$48*$D860*$E$859/CurrencyMultiplier</f>
        <v>0</v>
      </c>
      <c r="P860" s="124"/>
      <c r="Q860" s="3987"/>
    </row>
    <row r="861" spans="1:17" s="368" customFormat="1" x14ac:dyDescent="0.25">
      <c r="B861" s="615"/>
      <c r="C861" s="2755" t="s">
        <v>134</v>
      </c>
      <c r="D861" s="1260">
        <f>IF(C861='WSS Profile'!$F$350,1,0)*$D$859</f>
        <v>0</v>
      </c>
      <c r="E861" s="5807">
        <f>E$216*$D861*$E$859/CurrencyMultiplier</f>
        <v>0</v>
      </c>
      <c r="F861" s="2756">
        <f>F$216*$D861*$E$859/CurrencyMultiplier</f>
        <v>0</v>
      </c>
      <c r="G861" s="2756">
        <f>G$216*$D861*$E$859/CurrencyMultiplier</f>
        <v>0</v>
      </c>
      <c r="H861" s="2756">
        <f>H$216*$D861*$E$859/CurrencyMultiplier</f>
        <v>0</v>
      </c>
      <c r="I861" s="2756">
        <f>I$216*$D861*$E$859/CurrencyMultiplier</f>
        <v>0</v>
      </c>
      <c r="J861" s="2756">
        <f>J$216*$D861*$E$859/CurrencyMultiplier</f>
        <v>0</v>
      </c>
      <c r="K861" s="2756">
        <f>K$216*$D861*$E$859/CurrencyMultiplier</f>
        <v>0</v>
      </c>
      <c r="L861" s="2756">
        <f>L$216*$D861*$E$859/CurrencyMultiplier</f>
        <v>0</v>
      </c>
      <c r="M861" s="2756">
        <f>M$216*$D861*$E$859/CurrencyMultiplier</f>
        <v>0</v>
      </c>
      <c r="N861" s="2756">
        <f>N$216*$D861*$E$859/CurrencyMultiplier</f>
        <v>0</v>
      </c>
      <c r="O861" s="2756">
        <f>O$216*$D861*$E$859/CurrencyMultiplier</f>
        <v>0</v>
      </c>
      <c r="Q861" s="3996"/>
    </row>
    <row r="862" spans="1:17" x14ac:dyDescent="0.25">
      <c r="B862" s="2071"/>
      <c r="C862" s="2755" t="s">
        <v>179</v>
      </c>
      <c r="D862" s="2488">
        <f>IF(C862='WSS Profile'!$F$350,1,0)*$D$859</f>
        <v>0</v>
      </c>
      <c r="E862" s="5807">
        <f>E490*$D862*$E$859/CurrencyMultiplier</f>
        <v>0</v>
      </c>
      <c r="F862" s="2757">
        <f>F490*$D862*$E$859/CurrencyMultiplier</f>
        <v>0</v>
      </c>
      <c r="G862" s="2757">
        <f>G490*$D862*$E$859/CurrencyMultiplier</f>
        <v>0</v>
      </c>
      <c r="H862" s="2757">
        <f>H490*$D862*$E$859/CurrencyMultiplier</f>
        <v>0</v>
      </c>
      <c r="I862" s="2757">
        <f>I490*$D862*$E$859/CurrencyMultiplier</f>
        <v>0</v>
      </c>
      <c r="J862" s="2757">
        <f>J490*$D862*$E$859/CurrencyMultiplier</f>
        <v>0</v>
      </c>
      <c r="K862" s="2757">
        <f>K490*$D862*$E$859/CurrencyMultiplier</f>
        <v>0</v>
      </c>
      <c r="L862" s="2757">
        <f>L490*$D862*$E$859/CurrencyMultiplier</f>
        <v>0</v>
      </c>
      <c r="M862" s="2757">
        <f>M490*$D862*$E$859/CurrencyMultiplier</f>
        <v>0</v>
      </c>
      <c r="N862" s="2757">
        <f>N490*$D862*$E$859/CurrencyMultiplier</f>
        <v>0</v>
      </c>
      <c r="O862" s="2757">
        <f>O490*$D862*$E$859/CurrencyMultiplier</f>
        <v>0</v>
      </c>
    </row>
    <row r="863" spans="1:17" x14ac:dyDescent="0.25">
      <c r="B863" s="1243"/>
      <c r="C863" s="2755" t="s">
        <v>177</v>
      </c>
      <c r="D863" s="2488">
        <f>IF(C863='WSS Profile'!$F$350,1,0)*$D$859</f>
        <v>0</v>
      </c>
      <c r="E863" s="5808">
        <f>'WS calcu'!E$207*$D863*$E$859/CurrencyMultiplier</f>
        <v>0</v>
      </c>
      <c r="F863" s="2758">
        <f>'WS calcu'!F$207*$D863*$E$859/CurrencyMultiplier</f>
        <v>0</v>
      </c>
      <c r="G863" s="2758">
        <f>'WS calcu'!G$207*$D863*$E$859/CurrencyMultiplier</f>
        <v>0</v>
      </c>
      <c r="H863" s="2758">
        <f>'WS calcu'!H$207*$D863*$E$859/CurrencyMultiplier</f>
        <v>0</v>
      </c>
      <c r="I863" s="2758">
        <f>'WS calcu'!I$207*$D863*$E$859/CurrencyMultiplier</f>
        <v>0</v>
      </c>
      <c r="J863" s="2758">
        <f>'WS calcu'!J$207*$D863*$E$859/CurrencyMultiplier</f>
        <v>0</v>
      </c>
      <c r="K863" s="2758">
        <f>'WS calcu'!K$207*$D863*$E$859/CurrencyMultiplier</f>
        <v>0</v>
      </c>
      <c r="L863" s="2758">
        <f>'WS calcu'!L$207*$D863*$E$859/CurrencyMultiplier</f>
        <v>0</v>
      </c>
      <c r="M863" s="2758">
        <f>'WS calcu'!M$207*$D863*$E$859/CurrencyMultiplier</f>
        <v>0</v>
      </c>
      <c r="N863" s="2758">
        <f>'WS calcu'!N$207*$D863*$E$859/CurrencyMultiplier</f>
        <v>0</v>
      </c>
      <c r="O863" s="2758">
        <f>'WS calcu'!O$207*$D863*$E$859/CurrencyMultiplier</f>
        <v>0</v>
      </c>
    </row>
    <row r="864" spans="1:17" x14ac:dyDescent="0.25">
      <c r="B864" s="2071"/>
      <c r="C864" s="2755" t="s">
        <v>383</v>
      </c>
      <c r="D864" s="2488">
        <f>IF(C864='WSS Profile'!$F$350,1,0)*$D$859</f>
        <v>0</v>
      </c>
      <c r="E864" s="5807">
        <f>Population!E$31*$D864*$E$859/CurrencyMultiplier</f>
        <v>0</v>
      </c>
      <c r="F864" s="2757">
        <f>Population!F$31*$D864*$E$859/CurrencyMultiplier</f>
        <v>0</v>
      </c>
      <c r="G864" s="2757">
        <f>Population!G$31*$D864*$E$859/CurrencyMultiplier</f>
        <v>0</v>
      </c>
      <c r="H864" s="2757">
        <f>Population!H$31*$D864*$E$859/CurrencyMultiplier</f>
        <v>0</v>
      </c>
      <c r="I864" s="2757">
        <f>Population!I$31*$D864*$E$859/CurrencyMultiplier</f>
        <v>0</v>
      </c>
      <c r="J864" s="2757">
        <f>Population!J$31*$D864*$E$859/CurrencyMultiplier</f>
        <v>0</v>
      </c>
      <c r="K864" s="2757">
        <f>Population!K$31*$D864*$E$859/CurrencyMultiplier</f>
        <v>0</v>
      </c>
      <c r="L864" s="2757">
        <f>Population!L$31*$D864*$E$859/CurrencyMultiplier</f>
        <v>0</v>
      </c>
      <c r="M864" s="2757">
        <f>Population!M$31*$D864*$E$859/CurrencyMultiplier</f>
        <v>0</v>
      </c>
      <c r="N864" s="2757">
        <f>Population!N$31*$D864*$E$859/CurrencyMultiplier</f>
        <v>0</v>
      </c>
      <c r="O864" s="2757">
        <f>Population!O$31*$D864*$E$859/CurrencyMultiplier</f>
        <v>0</v>
      </c>
    </row>
    <row r="865" spans="1:19" s="124" customFormat="1" ht="16.5" customHeight="1" x14ac:dyDescent="0.25">
      <c r="A865" s="163"/>
      <c r="B865" s="2769">
        <v>2</v>
      </c>
      <c r="C865" s="2770" t="s">
        <v>139</v>
      </c>
      <c r="D865" s="4583">
        <f>IF('WSS Profile'!$F$351="Yes",1,0)</f>
        <v>0</v>
      </c>
      <c r="E865" s="2771">
        <f>$D$865*'WS calcu'!E$533</f>
        <v>0</v>
      </c>
      <c r="F865" s="2771">
        <f>$D$865*'WS calcu'!F$533</f>
        <v>0</v>
      </c>
      <c r="G865" s="2771">
        <f>$D$865*'WS calcu'!G$533</f>
        <v>0</v>
      </c>
      <c r="H865" s="2771">
        <f>$D$865*'WS calcu'!H$533</f>
        <v>0</v>
      </c>
      <c r="I865" s="2771">
        <f>$D$865*'WS calcu'!I$533</f>
        <v>0</v>
      </c>
      <c r="J865" s="2771">
        <f>$D$865*'WS calcu'!J$533</f>
        <v>0</v>
      </c>
      <c r="K865" s="2771">
        <f>$D$865*'WS calcu'!K$533</f>
        <v>0</v>
      </c>
      <c r="L865" s="2771">
        <f>$D$865*'WS calcu'!L$533</f>
        <v>0</v>
      </c>
      <c r="M865" s="2771">
        <f>$D$865*'WS calcu'!M$533</f>
        <v>0</v>
      </c>
      <c r="N865" s="2771">
        <f>$D$865*'WS calcu'!N$533</f>
        <v>0</v>
      </c>
      <c r="O865" s="2772">
        <f>$D$865*'WS calcu'!O$533</f>
        <v>0</v>
      </c>
      <c r="P865" s="27"/>
      <c r="Q865" s="3987"/>
    </row>
    <row r="866" spans="1:19" s="124" customFormat="1" ht="16.5" customHeight="1" x14ac:dyDescent="0.25">
      <c r="A866" s="163"/>
      <c r="B866" s="2769">
        <v>3</v>
      </c>
      <c r="C866" s="5679" t="s">
        <v>3452</v>
      </c>
      <c r="D866" s="5679"/>
      <c r="E866" s="5679"/>
      <c r="F866" s="6103">
        <f>F1216*F1198</f>
        <v>0</v>
      </c>
      <c r="G866" s="6103">
        <f t="shared" ref="G866:O866" si="376">G1216*G1198</f>
        <v>0</v>
      </c>
      <c r="H866" s="6103">
        <f t="shared" si="376"/>
        <v>0</v>
      </c>
      <c r="I866" s="6103">
        <f t="shared" si="376"/>
        <v>0</v>
      </c>
      <c r="J866" s="6103">
        <f t="shared" si="376"/>
        <v>0</v>
      </c>
      <c r="K866" s="6103">
        <f t="shared" si="376"/>
        <v>0</v>
      </c>
      <c r="L866" s="6103">
        <f t="shared" si="376"/>
        <v>0</v>
      </c>
      <c r="M866" s="6103">
        <f t="shared" si="376"/>
        <v>0</v>
      </c>
      <c r="N866" s="6103">
        <f t="shared" si="376"/>
        <v>0</v>
      </c>
      <c r="O866" s="6103">
        <f t="shared" si="376"/>
        <v>0</v>
      </c>
      <c r="P866" s="27" t="s">
        <v>3453</v>
      </c>
      <c r="Q866" s="3987"/>
    </row>
    <row r="867" spans="1:19" s="124" customFormat="1" x14ac:dyDescent="0.25">
      <c r="A867" s="163"/>
      <c r="B867" s="1288">
        <v>4</v>
      </c>
      <c r="C867" s="2166" t="s">
        <v>476</v>
      </c>
      <c r="D867" s="4584">
        <f>D856</f>
        <v>0</v>
      </c>
      <c r="E867" s="5810">
        <f>E490*$D867/CurrencyMultiplier</f>
        <v>0</v>
      </c>
      <c r="F867" s="2767">
        <f>F490*$D867/CurrencyMultiplier</f>
        <v>0</v>
      </c>
      <c r="G867" s="2767">
        <f>G490*$D867/CurrencyMultiplier</f>
        <v>0</v>
      </c>
      <c r="H867" s="2767">
        <f>H490*$D867/CurrencyMultiplier</f>
        <v>0</v>
      </c>
      <c r="I867" s="2767">
        <f>I490*$D867/CurrencyMultiplier</f>
        <v>0</v>
      </c>
      <c r="J867" s="2767">
        <f>J490*$D867/CurrencyMultiplier</f>
        <v>0</v>
      </c>
      <c r="K867" s="2767">
        <f>K490*$D867/CurrencyMultiplier</f>
        <v>0</v>
      </c>
      <c r="L867" s="2767">
        <f>L490*$D867/CurrencyMultiplier</f>
        <v>0</v>
      </c>
      <c r="M867" s="2767">
        <f>M490*$D867/CurrencyMultiplier</f>
        <v>0</v>
      </c>
      <c r="N867" s="2767">
        <f>N490*$D867/CurrencyMultiplier</f>
        <v>0</v>
      </c>
      <c r="O867" s="2767">
        <f>O490*$D867/CurrencyMultiplier</f>
        <v>0</v>
      </c>
      <c r="P867" s="27"/>
      <c r="Q867" s="3987"/>
    </row>
    <row r="868" spans="1:19" x14ac:dyDescent="0.25">
      <c r="A868" s="3"/>
      <c r="B868" s="2759"/>
      <c r="C868" s="2759" t="s">
        <v>381</v>
      </c>
      <c r="D868" s="2760"/>
      <c r="E868" s="2761">
        <f>SUM(E$860:E$867)</f>
        <v>0</v>
      </c>
      <c r="F868" s="2761">
        <f>SUM(F$860:F$867)</f>
        <v>0</v>
      </c>
      <c r="G868" s="2761">
        <f t="shared" ref="G868:O868" si="377">SUM(G$860:G$867)</f>
        <v>0</v>
      </c>
      <c r="H868" s="2761">
        <f t="shared" si="377"/>
        <v>0</v>
      </c>
      <c r="I868" s="2761">
        <f t="shared" si="377"/>
        <v>0</v>
      </c>
      <c r="J868" s="2761">
        <f t="shared" si="377"/>
        <v>0</v>
      </c>
      <c r="K868" s="2761">
        <f t="shared" si="377"/>
        <v>0</v>
      </c>
      <c r="L868" s="2761">
        <f>SUM(L$860:L$867)</f>
        <v>0</v>
      </c>
      <c r="M868" s="2761">
        <f t="shared" si="377"/>
        <v>0</v>
      </c>
      <c r="N868" s="2761">
        <f t="shared" si="377"/>
        <v>0</v>
      </c>
      <c r="O868" s="2761">
        <f t="shared" si="377"/>
        <v>0</v>
      </c>
    </row>
    <row r="869" spans="1:19" s="170" customFormat="1" x14ac:dyDescent="0.25">
      <c r="A869" s="204"/>
      <c r="B869" s="205"/>
      <c r="C869" s="207" t="s">
        <v>547</v>
      </c>
      <c r="D869" s="2598"/>
      <c r="E869" s="206"/>
      <c r="F869" s="206"/>
      <c r="G869" s="206"/>
      <c r="H869" s="206"/>
      <c r="I869" s="206"/>
      <c r="J869" s="206"/>
      <c r="K869" s="206"/>
      <c r="L869" s="206"/>
      <c r="M869" s="206"/>
      <c r="N869" s="206"/>
      <c r="O869" s="206"/>
      <c r="P869" s="27"/>
      <c r="Q869" s="3987"/>
    </row>
    <row r="870" spans="1:19" s="305" customFormat="1" x14ac:dyDescent="0.25">
      <c r="A870" s="162"/>
      <c r="B870" s="623">
        <v>1</v>
      </c>
      <c r="C870" s="2789" t="s">
        <v>345</v>
      </c>
      <c r="D870" s="2778" t="s">
        <v>993</v>
      </c>
      <c r="E870" s="2779">
        <f>$D$859*'Financing Plan'!$N$199</f>
        <v>0</v>
      </c>
      <c r="F870" s="5490">
        <f>IF(E870&lt;&gt;0,E870,IF(F$846='Financing Plan'!$I$200,'Financing Plan'!$N$200,$E$870))</f>
        <v>0</v>
      </c>
      <c r="G870" s="5490">
        <f>IF(F870&lt;&gt;0,F870,IF(G$846='Financing Plan'!$I$200,'Financing Plan'!$N$200,$E$870))</f>
        <v>0</v>
      </c>
      <c r="H870" s="5490">
        <f>IF(G870&lt;&gt;0,G870,IF(H$846='Financing Plan'!$I$200,'Financing Plan'!$N$200,$E$870))</f>
        <v>0</v>
      </c>
      <c r="I870" s="5490">
        <f>IF(H870&lt;&gt;0,H870,IF(I$846='Financing Plan'!$I$200,'Financing Plan'!$N$200,$E$870))</f>
        <v>0</v>
      </c>
      <c r="J870" s="5490">
        <f>IF(I870&lt;&gt;0,I870,IF(J$846='Financing Plan'!$I$200,'Financing Plan'!$N$200,$E$870))</f>
        <v>0</v>
      </c>
      <c r="K870" s="5490">
        <f>IF(J870&lt;&gt;0,J870,IF(K$846='Financing Plan'!$I$200,'Financing Plan'!$N$200,$E$870))</f>
        <v>0</v>
      </c>
      <c r="L870" s="5490">
        <f>IF(K870&lt;&gt;0,K870,IF(L$846='Financing Plan'!$I$200,'Financing Plan'!$N$200,$E$870))</f>
        <v>0</v>
      </c>
      <c r="M870" s="5490">
        <f>IF(L870&lt;&gt;0,L870,IF(M$846='Financing Plan'!$I$200,'Financing Plan'!$N$200,$E$870))</f>
        <v>0</v>
      </c>
      <c r="N870" s="5490">
        <f>IF(M870&lt;&gt;0,M870,IF(N$846='Financing Plan'!$I$200,'Financing Plan'!$N$200,$E$870))</f>
        <v>0</v>
      </c>
      <c r="O870" s="5491">
        <f>IF(N870&lt;&gt;0,N870,IF(O$846='Financing Plan'!$I$200,'Financing Plan'!$N$200,$E$870))</f>
        <v>0</v>
      </c>
      <c r="Q870" s="3987"/>
    </row>
    <row r="871" spans="1:19" s="305" customFormat="1" x14ac:dyDescent="0.25">
      <c r="A871" s="162"/>
      <c r="B871" s="2077"/>
      <c r="C871" s="2776">
        <f>IF(OR('Financing Plan'!I198="Yes",'Financing Plan'!$I$200&lt;&gt;0),1,0)</f>
        <v>0</v>
      </c>
      <c r="D871" s="589" t="s">
        <v>994</v>
      </c>
      <c r="E871" s="2777">
        <f>'Financing Plan'!$N$199*$D$859</f>
        <v>0</v>
      </c>
      <c r="F871" s="5493">
        <f>IF(F870&lt;&gt;E870,F870,E871*(1+'Financing Plan'!F202))</f>
        <v>0</v>
      </c>
      <c r="G871" s="5493">
        <f>IF(G870&lt;&gt;F870,G870,F871*(1+'Financing Plan'!G202))</f>
        <v>0</v>
      </c>
      <c r="H871" s="5493">
        <f>IF(H870&lt;&gt;G870,H870,G871*(1+'Financing Plan'!H202))</f>
        <v>0</v>
      </c>
      <c r="I871" s="5493">
        <f>IF(I870&lt;&gt;H870,I870,H871*(1+'Financing Plan'!I202))</f>
        <v>0</v>
      </c>
      <c r="J871" s="5493">
        <f>IF(J870&lt;&gt;I870,J870,I871*(1+'Financing Plan'!J202))</f>
        <v>0</v>
      </c>
      <c r="K871" s="5493">
        <f>IF(K870&lt;&gt;J870,K870,J871*(1+'Financing Plan'!K202))</f>
        <v>0</v>
      </c>
      <c r="L871" s="5493">
        <f>IF(L870&lt;&gt;K870,L870,K871*(1+'Financing Plan'!L202))</f>
        <v>0</v>
      </c>
      <c r="M871" s="5493">
        <f>IF(M870&lt;&gt;L870,M870,L871*(1+'Financing Plan'!M202))</f>
        <v>0</v>
      </c>
      <c r="N871" s="5493">
        <f>IF(N870&lt;&gt;M870,N870,M871*(1+'Financing Plan'!N202))</f>
        <v>0</v>
      </c>
      <c r="O871" s="5494">
        <f>IF(O870&lt;&gt;N870,O870,N871*(1+'Financing Plan'!O202))</f>
        <v>0</v>
      </c>
      <c r="Q871" s="3987"/>
    </row>
    <row r="872" spans="1:19" s="368" customFormat="1" x14ac:dyDescent="0.25">
      <c r="A872" s="367"/>
      <c r="B872" s="2071"/>
      <c r="C872" s="2755" t="s">
        <v>178</v>
      </c>
      <c r="D872" s="712">
        <f>IF($D$859=1,D860,IF(C872='Financing Plan'!$K$200,1,0))*$C$871</f>
        <v>0</v>
      </c>
      <c r="E872" s="5807">
        <f>Population!E$49*$D872*E871/CurrencyMultiplier</f>
        <v>0</v>
      </c>
      <c r="F872" s="5807">
        <f>Population!F$49*$D872*F871/CurrencyMultiplier</f>
        <v>0</v>
      </c>
      <c r="G872" s="2757">
        <f>Population!G$49*$D872*G871/CurrencyMultiplier</f>
        <v>0</v>
      </c>
      <c r="H872" s="2757">
        <f>Population!H$49*$D872*H871/CurrencyMultiplier</f>
        <v>0</v>
      </c>
      <c r="I872" s="2757">
        <f>Population!I$49*$D872*I871/CurrencyMultiplier</f>
        <v>0</v>
      </c>
      <c r="J872" s="2757">
        <f>Population!J$49*$D872*J871/CurrencyMultiplier</f>
        <v>0</v>
      </c>
      <c r="K872" s="2757">
        <f>Population!K$49*$D872*K871/CurrencyMultiplier</f>
        <v>0</v>
      </c>
      <c r="L872" s="2757">
        <f>Population!L$49*$D872*L871/CurrencyMultiplier</f>
        <v>0</v>
      </c>
      <c r="M872" s="2757">
        <f>Population!M$49*$D872*M871/CurrencyMultiplier</f>
        <v>0</v>
      </c>
      <c r="N872" s="2757">
        <f>Population!N$49*$D872*N871/CurrencyMultiplier</f>
        <v>0</v>
      </c>
      <c r="O872" s="2765">
        <f>Population!O$49*$D872*O871/CurrencyMultiplier</f>
        <v>0</v>
      </c>
      <c r="P872" s="305"/>
      <c r="Q872" s="3996"/>
    </row>
    <row r="873" spans="1:19" s="368" customFormat="1" x14ac:dyDescent="0.25">
      <c r="B873" s="615"/>
      <c r="C873" s="2755" t="s">
        <v>134</v>
      </c>
      <c r="D873" s="1260">
        <f>IF($D$859=1,D861,IF(C873='Financing Plan'!$K$200,1,0))*$C$871</f>
        <v>0</v>
      </c>
      <c r="E873" s="5807">
        <f>E$216*$D873*E871/CurrencyMultiplier</f>
        <v>0</v>
      </c>
      <c r="F873" s="5807">
        <f>F$216*$D873*F871/CurrencyMultiplier</f>
        <v>0</v>
      </c>
      <c r="G873" s="2756">
        <f>G$216*$D873*G871/CurrencyMultiplier</f>
        <v>0</v>
      </c>
      <c r="H873" s="2756">
        <f>H$216*$D873*H871/CurrencyMultiplier</f>
        <v>0</v>
      </c>
      <c r="I873" s="2756">
        <f>I$216*$D873*I871/CurrencyMultiplier</f>
        <v>0</v>
      </c>
      <c r="J873" s="2756">
        <f>J$216*$D873*J871/CurrencyMultiplier</f>
        <v>0</v>
      </c>
      <c r="K873" s="2756">
        <f>K$216*$D873*K871/CurrencyMultiplier</f>
        <v>0</v>
      </c>
      <c r="L873" s="2756">
        <f>L$216*$D873*L871/CurrencyMultiplier</f>
        <v>0</v>
      </c>
      <c r="M873" s="2756">
        <f>M$216*$D873*M871/CurrencyMultiplier</f>
        <v>0</v>
      </c>
      <c r="N873" s="2756">
        <f>N$216*$D873*N871/CurrencyMultiplier</f>
        <v>0</v>
      </c>
      <c r="O873" s="5243">
        <f>O$216*$D873*O871/CurrencyMultiplier</f>
        <v>0</v>
      </c>
      <c r="P873" s="305"/>
      <c r="Q873" s="5492"/>
    </row>
    <row r="874" spans="1:19" s="368" customFormat="1" x14ac:dyDescent="0.25">
      <c r="A874" s="367"/>
      <c r="B874" s="2071"/>
      <c r="C874" s="2755" t="s">
        <v>179</v>
      </c>
      <c r="D874" s="712">
        <f>IF($D$859=1,D862,IF(C874='Financing Plan'!$K$200,1,0))*$C$871</f>
        <v>0</v>
      </c>
      <c r="E874" s="5807">
        <f>E490*$D874*E871/CurrencyMultiplier</f>
        <v>0</v>
      </c>
      <c r="F874" s="5807">
        <f>F490*$D874*F871/CurrencyMultiplier</f>
        <v>0</v>
      </c>
      <c r="G874" s="2757">
        <f>G490*$D874*G871/CurrencyMultiplier</f>
        <v>0</v>
      </c>
      <c r="H874" s="2757">
        <f>H490*$D874*H871/CurrencyMultiplier</f>
        <v>0</v>
      </c>
      <c r="I874" s="2757">
        <f>I490*$D874*I871/CurrencyMultiplier</f>
        <v>0</v>
      </c>
      <c r="J874" s="2757">
        <f>J490*$D874*J871/CurrencyMultiplier</f>
        <v>0</v>
      </c>
      <c r="K874" s="2757">
        <f>K490*$D874*K871/CurrencyMultiplier</f>
        <v>0</v>
      </c>
      <c r="L874" s="2757">
        <f>L490*$D874*L871/CurrencyMultiplier</f>
        <v>0</v>
      </c>
      <c r="M874" s="2757">
        <f>M490*$D874*M871/CurrencyMultiplier</f>
        <v>0</v>
      </c>
      <c r="N874" s="2757">
        <f>N490*$D874*N871/CurrencyMultiplier</f>
        <v>0</v>
      </c>
      <c r="O874" s="2765">
        <f>O490*$D874*O871/CurrencyMultiplier</f>
        <v>0</v>
      </c>
      <c r="Q874" s="3996"/>
    </row>
    <row r="875" spans="1:19" s="368" customFormat="1" x14ac:dyDescent="0.25">
      <c r="A875" s="367"/>
      <c r="B875" s="1243"/>
      <c r="C875" s="2755" t="s">
        <v>177</v>
      </c>
      <c r="D875" s="712">
        <f>IF($D$859=1,D863,IF(C875='Financing Plan'!$K$200,1,0))*$C$871</f>
        <v>0</v>
      </c>
      <c r="E875" s="5808">
        <f>'WS calcu'!E$207*$D875*E871/CurrencyMultiplier</f>
        <v>0</v>
      </c>
      <c r="F875" s="5808">
        <f>'WS calcu'!F$207*$D875*F871/CurrencyMultiplier</f>
        <v>0</v>
      </c>
      <c r="G875" s="2758">
        <f>'WS calcu'!G$207*$D875*G871/CurrencyMultiplier</f>
        <v>0</v>
      </c>
      <c r="H875" s="2758">
        <f>'WS calcu'!H$207*$D875*H871/CurrencyMultiplier</f>
        <v>0</v>
      </c>
      <c r="I875" s="2758">
        <f>'WS calcu'!I$207*$D875*I871/CurrencyMultiplier</f>
        <v>0</v>
      </c>
      <c r="J875" s="2758">
        <f>'WS calcu'!J$207*$D875*J871/CurrencyMultiplier</f>
        <v>0</v>
      </c>
      <c r="K875" s="2758">
        <f>'WS calcu'!K$207*$D875*K871/CurrencyMultiplier</f>
        <v>0</v>
      </c>
      <c r="L875" s="2758">
        <f>'WS calcu'!L$207*$D875*L871/CurrencyMultiplier</f>
        <v>0</v>
      </c>
      <c r="M875" s="2758">
        <f>'WS calcu'!M$207*$D875*M871/CurrencyMultiplier</f>
        <v>0</v>
      </c>
      <c r="N875" s="2758">
        <f>'WS calcu'!N$207*$D875*N871/CurrencyMultiplier</f>
        <v>0</v>
      </c>
      <c r="O875" s="2766">
        <f>'WS calcu'!O$207*$D875*O871/CurrencyMultiplier</f>
        <v>0</v>
      </c>
      <c r="Q875" s="5492"/>
    </row>
    <row r="876" spans="1:19" s="368" customFormat="1" x14ac:dyDescent="0.25">
      <c r="A876" s="367"/>
      <c r="B876" s="2071"/>
      <c r="C876" s="2755" t="s">
        <v>383</v>
      </c>
      <c r="D876" s="712">
        <f>IF($D$859=1,D864,IF(C876='Financing Plan'!$K$200,1,0))*$C$871</f>
        <v>0</v>
      </c>
      <c r="E876" s="5807">
        <f>Population!E$31*$D876*E871/CurrencyMultiplier</f>
        <v>0</v>
      </c>
      <c r="F876" s="5807">
        <f>Population!F$31*$D876*F871/CurrencyMultiplier</f>
        <v>0</v>
      </c>
      <c r="G876" s="2757">
        <f>Population!G$31*$D876*G871/CurrencyMultiplier</f>
        <v>0</v>
      </c>
      <c r="H876" s="2757">
        <f>Population!H$31*$D876*H871/CurrencyMultiplier</f>
        <v>0</v>
      </c>
      <c r="I876" s="2757">
        <f>Population!I$31*$D876*I871/CurrencyMultiplier</f>
        <v>0</v>
      </c>
      <c r="J876" s="2757">
        <f>Population!J$31*$D876*J871/CurrencyMultiplier</f>
        <v>0</v>
      </c>
      <c r="K876" s="2757">
        <f>Population!K$31*$D876*K871/CurrencyMultiplier</f>
        <v>0</v>
      </c>
      <c r="L876" s="2757">
        <f>Population!L$31*$D876*L871/CurrencyMultiplier</f>
        <v>0</v>
      </c>
      <c r="M876" s="2757">
        <f>Population!M$31*$D876*M871/CurrencyMultiplier</f>
        <v>0</v>
      </c>
      <c r="N876" s="2757">
        <f>Population!N$31*$D876*N871/CurrencyMultiplier</f>
        <v>0</v>
      </c>
      <c r="O876" s="2765">
        <f>Population!O$31*$D876*O871/CurrencyMultiplier</f>
        <v>0</v>
      </c>
      <c r="Q876" s="3996"/>
    </row>
    <row r="877" spans="1:19" s="733" customFormat="1" x14ac:dyDescent="0.25">
      <c r="A877" s="138"/>
      <c r="B877" s="2797"/>
      <c r="C877" s="2785" t="s">
        <v>140</v>
      </c>
      <c r="D877" s="2798"/>
      <c r="E877" s="2799">
        <f>SUM(E872:E876)</f>
        <v>0</v>
      </c>
      <c r="F877" s="2799">
        <f t="shared" ref="F877:O877" si="378">SUM(F872:F876)</f>
        <v>0</v>
      </c>
      <c r="G877" s="2799">
        <f t="shared" si="378"/>
        <v>0</v>
      </c>
      <c r="H877" s="2799">
        <f t="shared" si="378"/>
        <v>0</v>
      </c>
      <c r="I877" s="2799">
        <f t="shared" si="378"/>
        <v>0</v>
      </c>
      <c r="J877" s="2799">
        <f t="shared" si="378"/>
        <v>0</v>
      </c>
      <c r="K877" s="2799">
        <f>SUM(K872:K876)</f>
        <v>0</v>
      </c>
      <c r="L877" s="2799">
        <f t="shared" si="378"/>
        <v>0</v>
      </c>
      <c r="M877" s="2799">
        <f t="shared" si="378"/>
        <v>0</v>
      </c>
      <c r="N877" s="2799">
        <f t="shared" si="378"/>
        <v>0</v>
      </c>
      <c r="O877" s="2800">
        <f t="shared" si="378"/>
        <v>0</v>
      </c>
      <c r="Q877" s="3993"/>
      <c r="S877" s="733" t="s">
        <v>1087</v>
      </c>
    </row>
    <row r="878" spans="1:19" s="368" customFormat="1" x14ac:dyDescent="0.25">
      <c r="A878" s="367"/>
      <c r="B878" s="2796">
        <v>2</v>
      </c>
      <c r="C878" s="2782" t="s">
        <v>549</v>
      </c>
      <c r="D878" s="2773" t="s">
        <v>993</v>
      </c>
      <c r="E878" s="2783">
        <f>'WS calcu'!D532</f>
        <v>0</v>
      </c>
      <c r="F878" s="2784">
        <f>IF(E878&lt;&gt;0,E878,IF(F$895='Financing Plan'!$J$206,'Financing Plan'!$M$206,E$878))</f>
        <v>0</v>
      </c>
      <c r="G878" s="2784">
        <f>IF(F878&lt;&gt;0,F878,IF(G$895='Financing Plan'!$J$206,'Financing Plan'!$M$206,F$878))</f>
        <v>0</v>
      </c>
      <c r="H878" s="2784">
        <f>IF(G878&lt;&gt;0,G878,IF(H$895='Financing Plan'!$J$206,'Financing Plan'!$M$206,G$878))</f>
        <v>0</v>
      </c>
      <c r="I878" s="2784">
        <f>IF(H878&lt;&gt;0,H878,IF(I$895='Financing Plan'!$J$206,'Financing Plan'!$M$206,H$878))</f>
        <v>0</v>
      </c>
      <c r="J878" s="2784">
        <f>IF(I878&lt;&gt;0,I878,IF(J$895='Financing Plan'!$J$206,'Financing Plan'!$M$206,I$878))</f>
        <v>0</v>
      </c>
      <c r="K878" s="2784">
        <f>IF(J878&lt;&gt;0,J878,IF(K$895='Financing Plan'!$J$206,'Financing Plan'!$M$206,J$878))</f>
        <v>0</v>
      </c>
      <c r="L878" s="2784">
        <f>IF(K878&lt;&gt;0,K878,IF(L$895='Financing Plan'!$J$206,'Financing Plan'!$M$206,K$878))</f>
        <v>0</v>
      </c>
      <c r="M878" s="2784">
        <f>IF(L878&lt;&gt;0,L878,IF(M$895='Financing Plan'!$J$206,'Financing Plan'!$M$206,L$878))</f>
        <v>0</v>
      </c>
      <c r="N878" s="2784">
        <f>IF(M878&lt;&gt;0,M878,IF(N$895='Financing Plan'!$J$206,'Financing Plan'!$M$206,M$878))</f>
        <v>0</v>
      </c>
      <c r="O878" s="2790">
        <f>IF(N878&lt;&gt;0,N878,IF(O$895='Financing Plan'!$J$206,'Financing Plan'!$M$206,N$878))</f>
        <v>0</v>
      </c>
      <c r="Q878" s="3996"/>
    </row>
    <row r="879" spans="1:19" s="305" customFormat="1" x14ac:dyDescent="0.25">
      <c r="A879" s="162"/>
      <c r="B879" s="2795"/>
      <c r="C879" s="2781"/>
      <c r="D879" s="589" t="s">
        <v>994</v>
      </c>
      <c r="E879" s="2716">
        <f>E878</f>
        <v>0</v>
      </c>
      <c r="F879" s="291">
        <f>IF(E878&lt;&gt;F878,F878,IF('Financing Plan'!F208&lt;&gt;0,'Financing Plan'!F208,E879))</f>
        <v>0</v>
      </c>
      <c r="G879" s="291">
        <f>IF(F878&lt;&gt;G878,G878,IF('Financing Plan'!G208&lt;&gt;0,'Financing Plan'!G208,F879))</f>
        <v>0</v>
      </c>
      <c r="H879" s="291">
        <f>IF(G878&lt;&gt;H878,H878,IF('Financing Plan'!H208&lt;&gt;0,'Financing Plan'!H208,G879))</f>
        <v>0</v>
      </c>
      <c r="I879" s="291">
        <f>IF(H878&lt;&gt;I878,I878,IF('Financing Plan'!I208&lt;&gt;0,'Financing Plan'!I208,H879))</f>
        <v>0</v>
      </c>
      <c r="J879" s="291">
        <f>IF(I878&lt;&gt;J878,J878,IF('Financing Plan'!J208&lt;&gt;0,'Financing Plan'!J208,I879))</f>
        <v>0</v>
      </c>
      <c r="K879" s="291">
        <f>IF(J878&lt;&gt;K878,K878,IF('Financing Plan'!K208&lt;&gt;0,'Financing Plan'!K208,J879))</f>
        <v>0</v>
      </c>
      <c r="L879" s="291">
        <f>IF(K878&lt;&gt;L878,L878,IF('Financing Plan'!L208&lt;&gt;0,'Financing Plan'!L208,K879))</f>
        <v>0</v>
      </c>
      <c r="M879" s="291">
        <f>IF(L878&lt;&gt;M878,M878,IF('Financing Plan'!M208&lt;&gt;0,'Financing Plan'!M208,L879))</f>
        <v>0</v>
      </c>
      <c r="N879" s="291">
        <f>IF(M878&lt;&gt;N878,N878,IF('Financing Plan'!N208&lt;&gt;0,'Financing Plan'!N208,M879))</f>
        <v>0</v>
      </c>
      <c r="O879" s="2791">
        <f>IF(N878&lt;&gt;O878,O878,IF('Financing Plan'!O208&lt;&gt;0,'Financing Plan'!O208,N879))</f>
        <v>0</v>
      </c>
      <c r="Q879" s="3987"/>
    </row>
    <row r="880" spans="1:19" s="733" customFormat="1" x14ac:dyDescent="0.25">
      <c r="A880" s="138"/>
      <c r="B880" s="624"/>
      <c r="C880" s="2785" t="s">
        <v>139</v>
      </c>
      <c r="D880" s="2580">
        <f>IF(SUM($D$890:$F$890)=0,0,1)</f>
        <v>0</v>
      </c>
      <c r="E880" s="452">
        <f>'WS calcu'!E535*$D$880</f>
        <v>0</v>
      </c>
      <c r="F880" s="452">
        <f>'WS calcu'!F535*$D$880</f>
        <v>0</v>
      </c>
      <c r="G880" s="452">
        <f>'WS calcu'!G535*$D$880</f>
        <v>0</v>
      </c>
      <c r="H880" s="452">
        <f>'WS calcu'!H535*$D$880</f>
        <v>0</v>
      </c>
      <c r="I880" s="452">
        <f>'WS calcu'!I535*$D$880</f>
        <v>0</v>
      </c>
      <c r="J880" s="452">
        <f>'WS calcu'!J535*$D$880</f>
        <v>0</v>
      </c>
      <c r="K880" s="452">
        <f>'WS calcu'!K535*$D$880</f>
        <v>0</v>
      </c>
      <c r="L880" s="452">
        <f>'WS calcu'!L535*$D$880</f>
        <v>0</v>
      </c>
      <c r="M880" s="452">
        <f>'WS calcu'!M535*$D$880</f>
        <v>0</v>
      </c>
      <c r="N880" s="452">
        <f>'WS calcu'!N535*$D$880</f>
        <v>0</v>
      </c>
      <c r="O880" s="2296">
        <f>'WS calcu'!O535*$D$880</f>
        <v>0</v>
      </c>
      <c r="Q880" s="3993"/>
    </row>
    <row r="881" spans="1:17" s="733" customFormat="1" x14ac:dyDescent="0.25">
      <c r="A881" s="138"/>
      <c r="B881" s="624">
        <v>3</v>
      </c>
      <c r="C881" s="5679" t="s">
        <v>3452</v>
      </c>
      <c r="D881" s="5682"/>
      <c r="E881" s="5683"/>
      <c r="F881" s="5683"/>
      <c r="G881" s="5683"/>
      <c r="H881" s="5683"/>
      <c r="I881" s="5683"/>
      <c r="J881" s="5683"/>
      <c r="K881" s="5683"/>
      <c r="L881" s="5683"/>
      <c r="M881" s="5683"/>
      <c r="N881" s="5683"/>
      <c r="O881" s="5711"/>
      <c r="Q881" s="3993"/>
    </row>
    <row r="882" spans="1:17" s="733" customFormat="1" x14ac:dyDescent="0.25">
      <c r="A882" s="138"/>
      <c r="B882" s="624"/>
      <c r="C882" s="2785"/>
      <c r="D882" s="5686" t="s">
        <v>3912</v>
      </c>
      <c r="E882" s="5683">
        <f>E1224*E1242</f>
        <v>0</v>
      </c>
      <c r="F882" s="5683">
        <f t="shared" ref="F882:O882" si="379">F1224*F1242</f>
        <v>0</v>
      </c>
      <c r="G882" s="5683">
        <f t="shared" si="379"/>
        <v>0</v>
      </c>
      <c r="H882" s="5683">
        <f t="shared" si="379"/>
        <v>0</v>
      </c>
      <c r="I882" s="5683">
        <f t="shared" si="379"/>
        <v>0</v>
      </c>
      <c r="J882" s="5683">
        <f t="shared" si="379"/>
        <v>0</v>
      </c>
      <c r="K882" s="5683">
        <f t="shared" si="379"/>
        <v>0</v>
      </c>
      <c r="L882" s="5683">
        <f t="shared" si="379"/>
        <v>0</v>
      </c>
      <c r="M882" s="5683">
        <f t="shared" si="379"/>
        <v>0</v>
      </c>
      <c r="N882" s="5683">
        <f t="shared" si="379"/>
        <v>0</v>
      </c>
      <c r="O882" s="5711">
        <f t="shared" si="379"/>
        <v>0</v>
      </c>
      <c r="Q882" s="3993"/>
    </row>
    <row r="883" spans="1:17" s="368" customFormat="1" x14ac:dyDescent="0.25">
      <c r="A883" s="367"/>
      <c r="B883" s="2796">
        <v>3</v>
      </c>
      <c r="C883" s="5613" t="s">
        <v>3386</v>
      </c>
      <c r="D883" s="2773" t="s">
        <v>993</v>
      </c>
      <c r="E883" s="2774">
        <f>'Financing Plan'!M218</f>
        <v>0</v>
      </c>
      <c r="F883" s="2775">
        <f>IF(E883&lt;&gt;0,E883,IF(F$846='Financing Plan'!$J$219,'Financing Plan'!$M$219,$E$883))</f>
        <v>0</v>
      </c>
      <c r="G883" s="2775">
        <f>IF(F883&lt;&gt;0,F883,IF(G$846='Financing Plan'!$J$219,'Financing Plan'!$M$219,$E$883))</f>
        <v>0</v>
      </c>
      <c r="H883" s="2775">
        <f>IF(G883&lt;&gt;0,G883,IF(H$846='Financing Plan'!$J$219,'Financing Plan'!$M$219,$E$883))</f>
        <v>0</v>
      </c>
      <c r="I883" s="2775">
        <f>IF(H883&lt;&gt;0,H883,IF(I$846='Financing Plan'!$J$219,'Financing Plan'!$M$219,$E$883))</f>
        <v>0</v>
      </c>
      <c r="J883" s="2775">
        <f>IF(I883&lt;&gt;0,I883,IF(J$846='Financing Plan'!$J$219,'Financing Plan'!$M$219,$E$883))</f>
        <v>0</v>
      </c>
      <c r="K883" s="2775">
        <f>IF(J883&lt;&gt;0,J883,IF(K$846='Financing Plan'!$J$219,'Financing Plan'!$M$219,$E$883))</f>
        <v>0</v>
      </c>
      <c r="L883" s="2775">
        <f>IF(K883&lt;&gt;0,K883,IF(L$846='Financing Plan'!$J$219,'Financing Plan'!$M$219,$E$883))</f>
        <v>0</v>
      </c>
      <c r="M883" s="2775">
        <f>IF(L883&lt;&gt;0,L883,IF(M$846='Financing Plan'!$J$219,'Financing Plan'!$M$219,$E$883))</f>
        <v>0</v>
      </c>
      <c r="N883" s="2775">
        <f>IF(M883&lt;&gt;0,M883,IF(N$846='Financing Plan'!$J$219,'Financing Plan'!$M$219,$E$883))</f>
        <v>0</v>
      </c>
      <c r="O883" s="2792">
        <f>IF(N883&lt;&gt;0,N883,IF(O$846='Financing Plan'!$J$219,'Financing Plan'!$M$219,$E$883))</f>
        <v>0</v>
      </c>
      <c r="Q883" s="3996"/>
    </row>
    <row r="884" spans="1:17" s="170" customFormat="1" x14ac:dyDescent="0.25">
      <c r="A884" s="43"/>
      <c r="B884" s="2298"/>
      <c r="C884" s="166"/>
      <c r="D884" s="589" t="s">
        <v>994</v>
      </c>
      <c r="E884" s="5684">
        <f>E883</f>
        <v>0</v>
      </c>
      <c r="F884" s="5684">
        <f>IF(F883&lt;&gt;E883,F883,E884*(1+'Financing Plan'!F221))</f>
        <v>0</v>
      </c>
      <c r="G884" s="5684">
        <f>IF(G883&lt;&gt;F883,G883,F884*(1+'Financing Plan'!G221))</f>
        <v>0</v>
      </c>
      <c r="H884" s="5684">
        <f>IF(H883&lt;&gt;G883,H883,G884*(1+'Financing Plan'!H221))</f>
        <v>0</v>
      </c>
      <c r="I884" s="5684">
        <f>IF(I883&lt;&gt;H883,I883,H884*(1+'Financing Plan'!I221))</f>
        <v>0</v>
      </c>
      <c r="J884" s="5684">
        <f>IF(J883&lt;&gt;I883,J883,I884*(1+'Financing Plan'!J221))</f>
        <v>0</v>
      </c>
      <c r="K884" s="5684">
        <f>IF(K883&lt;&gt;J883,K883,J884*(1+'Financing Plan'!K221))</f>
        <v>0</v>
      </c>
      <c r="L884" s="5684">
        <f>IF(L883&lt;&gt;K883,L883,K884*(1+'Financing Plan'!L221))</f>
        <v>0</v>
      </c>
      <c r="M884" s="5684">
        <f>IF(M883&lt;&gt;L883,M883,L884*(1+'Financing Plan'!M221))</f>
        <v>0</v>
      </c>
      <c r="N884" s="5684">
        <f>IF(N883&lt;&gt;M883,N883,M884*(1+'Financing Plan'!N221))</f>
        <v>0</v>
      </c>
      <c r="O884" s="5685">
        <f>IF(O883&lt;&gt;N883,O883,N884*(1+'Financing Plan'!O221))</f>
        <v>0</v>
      </c>
      <c r="Q884" s="3987"/>
    </row>
    <row r="885" spans="1:17" s="733" customFormat="1" x14ac:dyDescent="0.25">
      <c r="A885" s="138"/>
      <c r="B885" s="2793"/>
      <c r="C885" s="2794" t="s">
        <v>3392</v>
      </c>
      <c r="D885" s="2638">
        <f>IF(SUM($D$892:$F$892)=0,0,1)</f>
        <v>0</v>
      </c>
      <c r="E885" s="5810">
        <f>(E490*E884*$D$885)/CurrencyMultiplier</f>
        <v>0</v>
      </c>
      <c r="F885" s="5810">
        <f>(F490*F884*$D$885)/CurrencyMultiplier</f>
        <v>0</v>
      </c>
      <c r="G885" s="2291">
        <f>(G490*G884*$D$885)/CurrencyMultiplier</f>
        <v>0</v>
      </c>
      <c r="H885" s="2291">
        <f>(H490*H884*$D$885)/CurrencyMultiplier</f>
        <v>0</v>
      </c>
      <c r="I885" s="2291">
        <f>(I490*I884*$D$885)/CurrencyMultiplier</f>
        <v>0</v>
      </c>
      <c r="J885" s="2291">
        <f>(J490*J884*$D$885)/CurrencyMultiplier</f>
        <v>0</v>
      </c>
      <c r="K885" s="2291">
        <f>(K490*K884*$D$885)/CurrencyMultiplier</f>
        <v>0</v>
      </c>
      <c r="L885" s="2291">
        <f>(L490*L884*$D$885)/CurrencyMultiplier</f>
        <v>0</v>
      </c>
      <c r="M885" s="2291">
        <f>(M490*M884*$D$885)/CurrencyMultiplier</f>
        <v>0</v>
      </c>
      <c r="N885" s="2291">
        <f>(N490*N884*$D$885)/CurrencyMultiplier</f>
        <v>0</v>
      </c>
      <c r="O885" s="2292">
        <f>(O490*O884*$D$885)/CurrencyMultiplier</f>
        <v>0</v>
      </c>
      <c r="Q885" s="3993"/>
    </row>
    <row r="886" spans="1:17" s="305" customFormat="1" x14ac:dyDescent="0.25">
      <c r="A886" s="723"/>
      <c r="B886" s="2786"/>
      <c r="C886" s="2787" t="s">
        <v>381</v>
      </c>
      <c r="D886" s="2788"/>
      <c r="E886" s="5687">
        <f t="shared" ref="E886:O886" si="380">E877+E880+E882+E885</f>
        <v>0</v>
      </c>
      <c r="F886" s="5687">
        <f t="shared" si="380"/>
        <v>0</v>
      </c>
      <c r="G886" s="5687">
        <f t="shared" si="380"/>
        <v>0</v>
      </c>
      <c r="H886" s="5687">
        <f t="shared" si="380"/>
        <v>0</v>
      </c>
      <c r="I886" s="5687">
        <f t="shared" si="380"/>
        <v>0</v>
      </c>
      <c r="J886" s="5687">
        <f t="shared" si="380"/>
        <v>0</v>
      </c>
      <c r="K886" s="5687">
        <f t="shared" si="380"/>
        <v>0</v>
      </c>
      <c r="L886" s="5687">
        <f t="shared" si="380"/>
        <v>0</v>
      </c>
      <c r="M886" s="5687">
        <f t="shared" si="380"/>
        <v>0</v>
      </c>
      <c r="N886" s="5687">
        <f t="shared" si="380"/>
        <v>0</v>
      </c>
      <c r="O886" s="5687">
        <f t="shared" si="380"/>
        <v>0</v>
      </c>
      <c r="Q886" s="3987"/>
    </row>
    <row r="887" spans="1:17" x14ac:dyDescent="0.25">
      <c r="A887" s="27"/>
      <c r="B887" s="53"/>
      <c r="C887" s="80"/>
      <c r="D887" s="2580"/>
      <c r="E887" s="80"/>
      <c r="F887" s="80"/>
      <c r="G887" s="80"/>
      <c r="H887" s="80"/>
      <c r="I887" s="80"/>
      <c r="J887" s="80"/>
      <c r="K887" s="80"/>
      <c r="L887" s="80"/>
      <c r="M887" s="80"/>
      <c r="N887" s="80"/>
      <c r="O887" s="80"/>
      <c r="P887" s="53"/>
    </row>
    <row r="888" spans="1:17" ht="30" x14ac:dyDescent="0.25">
      <c r="A888" s="27"/>
      <c r="B888" s="53"/>
      <c r="C888" s="2808" t="s">
        <v>980</v>
      </c>
      <c r="D888" s="2599" t="s">
        <v>973</v>
      </c>
      <c r="E888" s="2362" t="s">
        <v>2737</v>
      </c>
      <c r="F888" s="2057" t="s">
        <v>974</v>
      </c>
      <c r="G888" s="1142" t="s">
        <v>975</v>
      </c>
      <c r="H888" s="449"/>
      <c r="I888" s="449"/>
      <c r="J888" s="449"/>
      <c r="K888" s="449"/>
      <c r="L888" s="449"/>
      <c r="M888" s="449"/>
      <c r="N888" s="449"/>
      <c r="O888" s="449"/>
    </row>
    <row r="889" spans="1:17" ht="15.75" customHeight="1" x14ac:dyDescent="0.25">
      <c r="A889" s="27"/>
      <c r="B889" s="53"/>
      <c r="C889" s="1045" t="s">
        <v>976</v>
      </c>
      <c r="D889" s="4040">
        <f>IF(AND('WSS Profile'!$F$349="Yes",'WSS Profile'!$G$349&gt;0),1,0)</f>
        <v>0</v>
      </c>
      <c r="E889" s="729">
        <f>IF(AND(D889=1,SUM('Financing Plan'!F202:O202)&gt;0),1,0)</f>
        <v>0</v>
      </c>
      <c r="F889" s="729">
        <f>IF(AND(D889=0,'Financing Plan'!$I$200&lt;&gt;0),1,0)</f>
        <v>0</v>
      </c>
      <c r="G889" s="1152"/>
      <c r="H889" s="449"/>
      <c r="I889" s="449"/>
      <c r="J889" s="449"/>
      <c r="K889" s="449"/>
      <c r="L889" s="449"/>
      <c r="M889" s="449"/>
      <c r="N889" s="449"/>
      <c r="O889" s="449"/>
    </row>
    <row r="890" spans="1:17" ht="15.75" customHeight="1" x14ac:dyDescent="0.25">
      <c r="A890" s="27"/>
      <c r="B890" s="53"/>
      <c r="C890" s="1045" t="s">
        <v>206</v>
      </c>
      <c r="D890" s="4040">
        <f>IF(AND('WSS Profile'!$F$351="Yes",'WSS Profile'!$G$351&gt;0),1,0)</f>
        <v>0</v>
      </c>
      <c r="E890" s="729">
        <f>IF(AND(D890=1,SUM('Financing Plan'!F208:O208)&gt;0),1,0)</f>
        <v>0</v>
      </c>
      <c r="F890" s="729">
        <f>IF(AND(D890=0,'Financing Plan'!J206&lt;&gt;0),1,0)</f>
        <v>0</v>
      </c>
      <c r="G890" s="1142"/>
      <c r="H890" s="449"/>
      <c r="I890" s="27"/>
      <c r="J890" s="449"/>
      <c r="K890" s="449"/>
      <c r="L890" s="449"/>
      <c r="M890" s="449"/>
      <c r="N890" s="449"/>
      <c r="O890" s="449"/>
    </row>
    <row r="891" spans="1:17" ht="15.75" customHeight="1" x14ac:dyDescent="0.25">
      <c r="A891" s="27"/>
      <c r="B891" s="53"/>
      <c r="C891" s="5688" t="s">
        <v>3452</v>
      </c>
      <c r="D891" s="5680">
        <f>IF(AND(_ULBemptiesSepticTank="Yes",'WSS Profile'!F356="Annual charge for scheduled emptying",_WWSepticEmptyChrgULB&gt;0),1,0)</f>
        <v>0</v>
      </c>
      <c r="E891" s="5681">
        <f>IF(AND(D891=1,SUM('Financing Plan'!F218:O218)&gt;0),1,0)</f>
        <v>0</v>
      </c>
      <c r="F891" s="5681">
        <f>IF(OR(AND('Financing Plan'!I213="No",'Financing Plan'!I215&gt;0,'Financing Plan'!K215="Annual charge for scheduled emptying"),AND('Financing Plan'!I213="Yes",'Financing Plan'!I216&gt;0)),1,0)</f>
        <v>0</v>
      </c>
      <c r="G891" s="1142"/>
      <c r="H891" s="449"/>
      <c r="I891" s="449"/>
      <c r="J891" s="449"/>
      <c r="K891" s="449"/>
      <c r="L891" s="449"/>
      <c r="M891" s="449"/>
      <c r="N891" s="449"/>
      <c r="O891" s="449"/>
      <c r="P891" s="449"/>
    </row>
    <row r="892" spans="1:17" ht="15.75" customHeight="1" x14ac:dyDescent="0.25">
      <c r="A892" s="27"/>
      <c r="B892" s="53"/>
      <c r="C892" s="1045" t="s">
        <v>476</v>
      </c>
      <c r="D892" s="4040">
        <f>IF(AND('WSS Profile'!$G$357&gt;0,'WSS Profile'!$F$357="Yes"),1,0)</f>
        <v>0</v>
      </c>
      <c r="E892" s="729">
        <f>IF(AND(D892=1,SUM('Financing Plan'!F221:O221)&gt;0),1,0)</f>
        <v>0</v>
      </c>
      <c r="F892" s="729">
        <f>IF(AND(D892=0,'Financing Plan'!J219&lt;&gt;0),1,0)</f>
        <v>0</v>
      </c>
      <c r="G892" s="1142"/>
      <c r="H892" s="449"/>
      <c r="I892" s="449"/>
      <c r="J892" s="449"/>
      <c r="K892" s="449"/>
      <c r="L892" s="449"/>
      <c r="M892" s="449"/>
      <c r="N892" s="449"/>
      <c r="O892" s="449"/>
    </row>
    <row r="893" spans="1:17" ht="15.75" customHeight="1" x14ac:dyDescent="0.25">
      <c r="A893" s="27"/>
      <c r="B893" s="53"/>
      <c r="C893" s="449"/>
      <c r="D893" s="2600"/>
      <c r="E893" s="449"/>
      <c r="F893" s="449"/>
      <c r="G893" s="449"/>
      <c r="H893" s="449"/>
      <c r="I893" s="449"/>
      <c r="J893" s="449"/>
      <c r="K893" s="449"/>
      <c r="L893" s="449"/>
      <c r="M893" s="449"/>
      <c r="N893" s="449"/>
      <c r="O893" s="449"/>
    </row>
    <row r="894" spans="1:17" x14ac:dyDescent="0.25">
      <c r="A894" s="11"/>
      <c r="B894" s="11" t="s">
        <v>632</v>
      </c>
      <c r="C894" s="12"/>
    </row>
    <row r="895" spans="1:17" x14ac:dyDescent="0.25">
      <c r="B895" s="13" t="s">
        <v>3</v>
      </c>
      <c r="C895" s="13" t="s">
        <v>4</v>
      </c>
      <c r="D895" s="2480" t="s">
        <v>33</v>
      </c>
      <c r="E895" s="13">
        <f>'WS calcu'!E$3</f>
        <v>2014</v>
      </c>
      <c r="F895" s="13">
        <f>'WS calcu'!F$3</f>
        <v>2015</v>
      </c>
      <c r="G895" s="13">
        <f>'WS calcu'!G$3</f>
        <v>2016</v>
      </c>
      <c r="H895" s="13">
        <f>'WS calcu'!H$3</f>
        <v>2017</v>
      </c>
      <c r="I895" s="13">
        <f>'WS calcu'!I$3</f>
        <v>2018</v>
      </c>
      <c r="J895" s="13">
        <f>'WS calcu'!J$3</f>
        <v>2019</v>
      </c>
      <c r="K895" s="13">
        <f>'WS calcu'!K$3</f>
        <v>2020</v>
      </c>
      <c r="L895" s="13">
        <f>'WS calcu'!L$3</f>
        <v>2021</v>
      </c>
      <c r="M895" s="13">
        <f>'WS calcu'!M$3</f>
        <v>2022</v>
      </c>
      <c r="N895" s="13">
        <f>'WS calcu'!N$3</f>
        <v>2023</v>
      </c>
      <c r="O895" s="13">
        <f>'WS calcu'!O$3</f>
        <v>2024</v>
      </c>
    </row>
    <row r="896" spans="1:17" s="170" customFormat="1" x14ac:dyDescent="0.25">
      <c r="A896" s="204"/>
      <c r="B896" s="205"/>
      <c r="C896" s="207" t="s">
        <v>503</v>
      </c>
      <c r="D896" s="2598"/>
      <c r="E896" s="206"/>
      <c r="F896" s="206"/>
      <c r="G896" s="206"/>
      <c r="H896" s="206"/>
      <c r="I896" s="206"/>
      <c r="J896" s="206"/>
      <c r="K896" s="206"/>
      <c r="L896" s="206"/>
      <c r="M896" s="206"/>
      <c r="N896" s="206"/>
      <c r="O896" s="206"/>
      <c r="Q896" s="3987"/>
    </row>
    <row r="897" spans="1:17" s="52" customFormat="1" ht="15" customHeight="1" x14ac:dyDescent="0.25">
      <c r="A897" s="750"/>
      <c r="B897" s="757"/>
      <c r="C897" s="758" t="s">
        <v>141</v>
      </c>
      <c r="D897" s="2601"/>
      <c r="E897" s="776">
        <f>'WW Plan'!$H$412</f>
        <v>0</v>
      </c>
      <c r="F897" s="777">
        <f>IF($E$897=0,0,(E897+IF('WW Plan'!$E$411="Activate",IF(AND(F$846&gt;='WW Plan'!$G$411,F$846&lt;'WW Plan'!$H$411+1),('WW Plan'!$H$414-$E$897)/('WW Plan'!$H$411+1-'WW Plan'!$G$411),0),0)))</f>
        <v>0</v>
      </c>
      <c r="G897" s="777">
        <f>IF($E$897=0,0,(F897+IF('WW Plan'!$E$411="Activate",IF(AND(G$846&gt;='WW Plan'!$G$411,G$846&lt;'WW Plan'!$H$411+1),('WW Plan'!$H$414-$E$897)/('WW Plan'!$H$411+1-'WW Plan'!$G$411),0),0)))</f>
        <v>0</v>
      </c>
      <c r="H897" s="777">
        <f>IF($E$897=0,0,(G897+IF('WW Plan'!$E$411="Activate",IF(AND(H$846&gt;='WW Plan'!$G$411,H$846&lt;'WW Plan'!$H$411+1),('WW Plan'!$H$414-$E$897)/('WW Plan'!$H$411+1-'WW Plan'!$G$411),0),0)))</f>
        <v>0</v>
      </c>
      <c r="I897" s="777">
        <f>IF($E$897=0,0,(H897+IF('WW Plan'!$E$411="Activate",IF(AND(I$846&gt;='WW Plan'!$G$411,I$846&lt;'WW Plan'!$H$411+1),('WW Plan'!$H$414-$E$897)/('WW Plan'!$H$411+1-'WW Plan'!$G$411),0),0)))</f>
        <v>0</v>
      </c>
      <c r="J897" s="777">
        <f>IF($E$897=0,0,(I897+IF('WW Plan'!$E$411="Activate",IF(AND(J$846&gt;='WW Plan'!$G$411,J$846&lt;'WW Plan'!$H$411+1),('WW Plan'!$H$414-$E$897)/('WW Plan'!$H$411+1-'WW Plan'!$G$411),0),0)))</f>
        <v>0</v>
      </c>
      <c r="K897" s="777">
        <f>IF($E$897=0,0,(J897+IF('WW Plan'!$E$411="Activate",IF(AND(K$846&gt;='WW Plan'!$G$411,K$846&lt;'WW Plan'!$H$411+1),('WW Plan'!$H$414-$E$897)/('WW Plan'!$H$411+1-'WW Plan'!$G$411),0),0)))</f>
        <v>0</v>
      </c>
      <c r="L897" s="777">
        <f>IF($E$897=0,0,(K897+IF('WW Plan'!$E$411="Activate",IF(AND(L$846&gt;='WW Plan'!$G$411,L$846&lt;'WW Plan'!$H$411+1),('WW Plan'!$H$414-$E$897)/('WW Plan'!$H$411+1-'WW Plan'!$G$411),0),0)))</f>
        <v>0</v>
      </c>
      <c r="M897" s="777">
        <f>IF($E$897=0,0,(L897+IF('WW Plan'!$E$411="Activate",IF(AND(M$846&gt;='WW Plan'!$G$411,M$846&lt;'WW Plan'!$H$411+1),('WW Plan'!$H$414-$E$897)/('WW Plan'!$H$411+1-'WW Plan'!$G$411),0),0)))</f>
        <v>0</v>
      </c>
      <c r="N897" s="777">
        <f>IF($E$897=0,0,(M897+IF('WW Plan'!$E$411="Activate",IF(AND(N$846&gt;='WW Plan'!$G$411,N$846&lt;'WW Plan'!$H$411+1),('WW Plan'!$H$414-$E$897)/('WW Plan'!$H$411+1-'WW Plan'!$G$411),0),0)))</f>
        <v>0</v>
      </c>
      <c r="O897" s="777">
        <f>IF($E$897=0,0,(N897+IF('WW Plan'!$E$411="Activate",IF(AND(O$846&gt;='WW Plan'!$G$411,O$846&lt;'WW Plan'!$H$411+1),('WW Plan'!$H$414-$E$897)/('WW Plan'!$H$411+1-'WW Plan'!$G$411),0),0)))</f>
        <v>0</v>
      </c>
      <c r="Q897" s="3987"/>
    </row>
    <row r="898" spans="1:17" s="949" customFormat="1" ht="15" customHeight="1" x14ac:dyDescent="0.25">
      <c r="A898" s="947"/>
      <c r="B898" s="2801"/>
      <c r="C898" s="2802" t="s">
        <v>1059</v>
      </c>
      <c r="D898" s="2803"/>
      <c r="E898" s="2804">
        <f>IF(SUM($D$889:$D$892)&lt;&gt;0,0,IF(E901&lt;&gt;0,'WS calcu'!E$507,0))</f>
        <v>0</v>
      </c>
      <c r="F898" s="2804">
        <f>IF(SUM($D$889:$D$892)&lt;&gt;0,0,IF(F901&lt;&gt;0,'WS calcu'!F$507,0))</f>
        <v>0</v>
      </c>
      <c r="G898" s="2804">
        <f>IF(SUM($D$889:$D$892)&lt;&gt;0,0,IF(G901&lt;&gt;0,'WS calcu'!G$507,0))</f>
        <v>0</v>
      </c>
      <c r="H898" s="2804">
        <f>IF(SUM($D$889:$D$892)&lt;&gt;0,0,IF(H901&lt;&gt;0,'WS calcu'!H$507,0))</f>
        <v>0</v>
      </c>
      <c r="I898" s="2804">
        <f>IF(SUM($D$889:$D$892)&lt;&gt;0,0,IF(I901&lt;&gt;0,'WS calcu'!I$507,0))</f>
        <v>0</v>
      </c>
      <c r="J898" s="2804">
        <f>IF(SUM($D$889:$D$892)&lt;&gt;0,0,IF(J901&lt;&gt;0,'WS calcu'!J$507,0))</f>
        <v>0</v>
      </c>
      <c r="K898" s="2804">
        <f>IF(SUM($D$889:$D$892)&lt;&gt;0,0,IF(K901&lt;&gt;0,'WS calcu'!K$507,0))</f>
        <v>0</v>
      </c>
      <c r="L898" s="2804">
        <f>IF(SUM($D$889:$D$892)&lt;&gt;0,0,IF(L901&lt;&gt;0,'WS calcu'!L$507,0))</f>
        <v>0</v>
      </c>
      <c r="M898" s="2804">
        <f>IF(SUM($D$889:$D$892)&lt;&gt;0,0,IF(M901&lt;&gt;0,'WS calcu'!M$507,0))</f>
        <v>0</v>
      </c>
      <c r="N898" s="2804">
        <f>IF(SUM($D$889:$D$892)&lt;&gt;0,0,IF(N901&lt;&gt;0,'WS calcu'!N$507,0))</f>
        <v>0</v>
      </c>
      <c r="O898" s="2804">
        <f>IF(SUM($D$889:$D$892)&lt;&gt;0,0,IF(O901&lt;&gt;0,'WS calcu'!O$507,0))</f>
        <v>0</v>
      </c>
      <c r="Q898" s="4008"/>
    </row>
    <row r="899" spans="1:17" x14ac:dyDescent="0.25">
      <c r="B899" s="547"/>
      <c r="C899" s="2116" t="s">
        <v>630</v>
      </c>
      <c r="D899" s="2481"/>
      <c r="E899" s="2805">
        <f t="shared" ref="E899:O899" si="381">E857*$E$897</f>
        <v>0</v>
      </c>
      <c r="F899" s="2805">
        <f t="shared" si="381"/>
        <v>0</v>
      </c>
      <c r="G899" s="2805">
        <f t="shared" si="381"/>
        <v>0</v>
      </c>
      <c r="H899" s="2805">
        <f t="shared" si="381"/>
        <v>0</v>
      </c>
      <c r="I899" s="2805">
        <f t="shared" si="381"/>
        <v>0</v>
      </c>
      <c r="J899" s="2805">
        <f t="shared" si="381"/>
        <v>0</v>
      </c>
      <c r="K899" s="2805">
        <f t="shared" si="381"/>
        <v>0</v>
      </c>
      <c r="L899" s="2805">
        <f t="shared" si="381"/>
        <v>0</v>
      </c>
      <c r="M899" s="2805">
        <f t="shared" si="381"/>
        <v>0</v>
      </c>
      <c r="N899" s="2805">
        <f t="shared" si="381"/>
        <v>0</v>
      </c>
      <c r="O899" s="2806">
        <f t="shared" si="381"/>
        <v>0</v>
      </c>
    </row>
    <row r="900" spans="1:17" x14ac:dyDescent="0.25">
      <c r="B900" s="2071"/>
      <c r="C900" s="2391" t="s">
        <v>628</v>
      </c>
      <c r="D900" s="2488"/>
      <c r="E900" s="440">
        <f t="shared" ref="E900:O900" si="382">E868*E897</f>
        <v>0</v>
      </c>
      <c r="F900" s="440">
        <f t="shared" si="382"/>
        <v>0</v>
      </c>
      <c r="G900" s="440">
        <f t="shared" si="382"/>
        <v>0</v>
      </c>
      <c r="H900" s="440">
        <f t="shared" si="382"/>
        <v>0</v>
      </c>
      <c r="I900" s="440">
        <f t="shared" si="382"/>
        <v>0</v>
      </c>
      <c r="J900" s="440">
        <f t="shared" si="382"/>
        <v>0</v>
      </c>
      <c r="K900" s="440">
        <f t="shared" si="382"/>
        <v>0</v>
      </c>
      <c r="L900" s="440">
        <f t="shared" si="382"/>
        <v>0</v>
      </c>
      <c r="M900" s="440">
        <f t="shared" si="382"/>
        <v>0</v>
      </c>
      <c r="N900" s="440">
        <f t="shared" si="382"/>
        <v>0</v>
      </c>
      <c r="O900" s="554">
        <f t="shared" si="382"/>
        <v>0</v>
      </c>
    </row>
    <row r="901" spans="1:17" s="124" customFormat="1" x14ac:dyDescent="0.25">
      <c r="A901" s="163"/>
      <c r="B901" s="1288"/>
      <c r="C901" s="2807" t="s">
        <v>629</v>
      </c>
      <c r="D901" s="2594"/>
      <c r="E901" s="2732">
        <f>IF(SUM($D$889:$D$892)=0,E886*'WS calcu'!E$507,E886*E897)</f>
        <v>0</v>
      </c>
      <c r="F901" s="2732">
        <f>IF(SUM($D$889:$D$892)=0,F886*'WS calcu'!F$507,F886*F897)</f>
        <v>0</v>
      </c>
      <c r="G901" s="2732">
        <f>IF(SUM($D$889:$D$892)=0,G886*'WS calcu'!G$507,G886*G897)</f>
        <v>0</v>
      </c>
      <c r="H901" s="2732">
        <f>IF(SUM($D$889:$D$892)=0,H886*'WS calcu'!H$507,H886*H897)</f>
        <v>0</v>
      </c>
      <c r="I901" s="2732">
        <f>IF(SUM($D$889:$D$892)=0,I886*'WS calcu'!I$507,I886*I897)</f>
        <v>0</v>
      </c>
      <c r="J901" s="2732">
        <f>IF(SUM($D$889:$D$892)=0,J886*'WS calcu'!J$507,J886*J897)</f>
        <v>0</v>
      </c>
      <c r="K901" s="2732">
        <f>IF(SUM($D$889:$D$892)=0,K886*'WS calcu'!K$507,K886*K897)</f>
        <v>0</v>
      </c>
      <c r="L901" s="2732">
        <f>IF(SUM($D$889:$D$892)=0,L886*'WS calcu'!L$507,L886*L897)</f>
        <v>0</v>
      </c>
      <c r="M901" s="2732">
        <f>IF(SUM($D$889:$D$892)=0,M886*'WS calcu'!M$507,M886*M897)</f>
        <v>0</v>
      </c>
      <c r="N901" s="2732">
        <f>IF(SUM($D$889:$D$892)=0,N886*'WS calcu'!N$507,N886*N897)</f>
        <v>0</v>
      </c>
      <c r="O901" s="2733">
        <f>IF(SUM($D$889:$D$892)=0,O886*'WS calcu'!O$507,O886*O897)</f>
        <v>0</v>
      </c>
      <c r="Q901" s="3987"/>
    </row>
    <row r="902" spans="1:17" s="48" customFormat="1" x14ac:dyDescent="0.25">
      <c r="A902" s="199"/>
      <c r="B902" s="196"/>
      <c r="C902" s="342"/>
      <c r="D902" s="203"/>
      <c r="E902" s="946"/>
      <c r="F902" s="946"/>
      <c r="G902" s="946"/>
      <c r="H902" s="946"/>
      <c r="I902" s="946"/>
      <c r="J902" s="946"/>
      <c r="K902" s="946"/>
      <c r="L902" s="946"/>
      <c r="M902" s="946"/>
      <c r="N902" s="946"/>
      <c r="O902" s="946"/>
      <c r="P902" s="68"/>
      <c r="Q902" s="3999"/>
    </row>
    <row r="903" spans="1:17" s="52" customFormat="1" x14ac:dyDescent="0.25">
      <c r="A903" s="750"/>
      <c r="B903" s="2809"/>
      <c r="C903" s="2810" t="s">
        <v>502</v>
      </c>
      <c r="D903" s="2811"/>
      <c r="E903" s="2812">
        <f>'WW Plan'!H413</f>
        <v>0</v>
      </c>
      <c r="F903" s="2813">
        <f>E903+IF('WW Plan'!$E$411="Activate",IF(AND(F$846&gt;='WW Plan'!$G$411,F$846&lt;'WW Plan'!$H$411+1),('WW Plan'!$H$415-$E$903)/('WW Plan'!$H$411+1-'WW Plan'!$G$411),0),0)</f>
        <v>0</v>
      </c>
      <c r="G903" s="2813">
        <f>F903+IF('WW Plan'!$E$411="Activate",IF(AND(G$846&gt;='WW Plan'!$G$411,G$846&lt;'WW Plan'!$H$411+1),('WW Plan'!$H$415-$E$903)/('WW Plan'!$H$411+1-'WW Plan'!$G$411),0),0)</f>
        <v>0</v>
      </c>
      <c r="H903" s="2813">
        <f>G903+IF('WW Plan'!$E$411="Activate",IF(AND(H$846&gt;='WW Plan'!$G$411,H$846&lt;'WW Plan'!$H$411+1),('WW Plan'!$H$415-$E$903)/('WW Plan'!$H$411+1-'WW Plan'!$G$411),0),0)</f>
        <v>0</v>
      </c>
      <c r="I903" s="2813">
        <f>H903+IF('WW Plan'!$E$411="Activate",IF(AND(I$846&gt;='WW Plan'!$G$411,I$846&lt;'WW Plan'!$H$411+1),('WW Plan'!$H$415-$E$903)/('WW Plan'!$H$411+1-'WW Plan'!$G$411),0),0)</f>
        <v>0</v>
      </c>
      <c r="J903" s="2813">
        <f>I903+IF('WW Plan'!$E$411="Activate",IF(AND(J$846&gt;='WW Plan'!$G$411,J$846&lt;'WW Plan'!$H$411+1),('WW Plan'!$H$415-$E$903)/('WW Plan'!$H$411+1-'WW Plan'!$G$411),0),0)</f>
        <v>0</v>
      </c>
      <c r="K903" s="2813">
        <f>J903+IF('WW Plan'!$E$411="Activate",IF(AND(K$846&gt;='WW Plan'!$G$411,K$846&lt;'WW Plan'!$H$411+1),('WW Plan'!$H$415-$E$903)/('WW Plan'!$H$411+1-'WW Plan'!$G$411),0),0)</f>
        <v>0</v>
      </c>
      <c r="L903" s="2813">
        <f>K903+IF('WW Plan'!$E$411="Activate",IF(AND(L$846&gt;='WW Plan'!$G$411,L$846&lt;'WW Plan'!$H$411+1),('WW Plan'!$H$415-$E$903)/('WW Plan'!$H$411+1-'WW Plan'!$G$411),0),0)</f>
        <v>0</v>
      </c>
      <c r="M903" s="2813">
        <f>L903+IF('WW Plan'!$E$411="Activate",IF(AND(M$846&gt;='WW Plan'!$G$411,M$846&lt;'WW Plan'!$H$411+1),('WW Plan'!$H$415-$E$903)/('WW Plan'!$H$411+1-'WW Plan'!$G$411),0),0)</f>
        <v>0</v>
      </c>
      <c r="N903" s="2813">
        <f>M903+IF('WW Plan'!$E$411="Activate",IF(AND(N$846&gt;='WW Plan'!$G$411,N$846&lt;'WW Plan'!$H$411+1),('WW Plan'!$H$415-$E$903)/('WW Plan'!$H$411+1-'WW Plan'!$G$411),0),0)</f>
        <v>0</v>
      </c>
      <c r="O903" s="2813">
        <f>N903+IF('WW Plan'!$E$411="Activate",IF(AND(O$846&gt;='WW Plan'!$G$411,O$846&lt;'WW Plan'!$H$411+1),('WW Plan'!$H$415-$E$903)/('WW Plan'!$H$411+1-'WW Plan'!$G$411),0),0)</f>
        <v>0</v>
      </c>
      <c r="Q903" s="3987"/>
    </row>
    <row r="904" spans="1:17" s="368" customFormat="1" x14ac:dyDescent="0.25">
      <c r="A904" s="367"/>
      <c r="B904" s="2815"/>
      <c r="C904" s="2661" t="s">
        <v>615</v>
      </c>
      <c r="D904" s="2706"/>
      <c r="E904" s="2816"/>
      <c r="F904" s="2816"/>
      <c r="G904" s="2816"/>
      <c r="H904" s="2816"/>
      <c r="I904" s="2816"/>
      <c r="J904" s="2816"/>
      <c r="K904" s="2816"/>
      <c r="L904" s="2816"/>
      <c r="M904" s="2816"/>
      <c r="N904" s="2816"/>
      <c r="O904" s="2817"/>
      <c r="Q904" s="3996"/>
    </row>
    <row r="905" spans="1:17" s="48" customFormat="1" x14ac:dyDescent="0.25">
      <c r="A905" s="9"/>
      <c r="B905" s="2071"/>
      <c r="C905" s="2814" t="s">
        <v>625</v>
      </c>
      <c r="D905" s="2482"/>
      <c r="E905" s="439">
        <f>'Finance info'!I87</f>
        <v>0</v>
      </c>
      <c r="F905" s="440">
        <f t="shared" ref="F905:O905" si="383">(E905-E906)+(E857-E899)</f>
        <v>0</v>
      </c>
      <c r="G905" s="440">
        <f t="shared" si="383"/>
        <v>0</v>
      </c>
      <c r="H905" s="440">
        <f t="shared" si="383"/>
        <v>0</v>
      </c>
      <c r="I905" s="440">
        <f t="shared" si="383"/>
        <v>0</v>
      </c>
      <c r="J905" s="440">
        <f t="shared" si="383"/>
        <v>0</v>
      </c>
      <c r="K905" s="440">
        <f t="shared" si="383"/>
        <v>0</v>
      </c>
      <c r="L905" s="440">
        <f t="shared" si="383"/>
        <v>0</v>
      </c>
      <c r="M905" s="440">
        <f t="shared" si="383"/>
        <v>0</v>
      </c>
      <c r="N905" s="440">
        <f t="shared" si="383"/>
        <v>0</v>
      </c>
      <c r="O905" s="554">
        <f t="shared" si="383"/>
        <v>0</v>
      </c>
      <c r="P905" s="68"/>
      <c r="Q905" s="3999"/>
    </row>
    <row r="906" spans="1:17" s="48" customFormat="1" x14ac:dyDescent="0.25">
      <c r="A906" s="9"/>
      <c r="B906" s="551"/>
      <c r="C906" s="2818" t="s">
        <v>626</v>
      </c>
      <c r="D906" s="2546"/>
      <c r="E906" s="2629">
        <f>'Finance info'!J87</f>
        <v>0</v>
      </c>
      <c r="F906" s="555">
        <f>F905*F$903</f>
        <v>0</v>
      </c>
      <c r="G906" s="555">
        <f t="shared" ref="G906:O906" si="384">G905*G$903</f>
        <v>0</v>
      </c>
      <c r="H906" s="555">
        <f t="shared" si="384"/>
        <v>0</v>
      </c>
      <c r="I906" s="555">
        <f t="shared" si="384"/>
        <v>0</v>
      </c>
      <c r="J906" s="555">
        <f t="shared" si="384"/>
        <v>0</v>
      </c>
      <c r="K906" s="555">
        <f t="shared" si="384"/>
        <v>0</v>
      </c>
      <c r="L906" s="555">
        <f t="shared" si="384"/>
        <v>0</v>
      </c>
      <c r="M906" s="555">
        <f t="shared" si="384"/>
        <v>0</v>
      </c>
      <c r="N906" s="555">
        <f t="shared" si="384"/>
        <v>0</v>
      </c>
      <c r="O906" s="2715">
        <f t="shared" si="384"/>
        <v>0</v>
      </c>
      <c r="P906" s="68"/>
      <c r="Q906" s="3999"/>
    </row>
    <row r="907" spans="1:17" s="368" customFormat="1" x14ac:dyDescent="0.25">
      <c r="A907" s="367"/>
      <c r="B907" s="2815"/>
      <c r="C907" s="2661" t="s">
        <v>627</v>
      </c>
      <c r="D907" s="2706"/>
      <c r="E907" s="2816"/>
      <c r="F907" s="2816"/>
      <c r="G907" s="2816"/>
      <c r="H907" s="2816"/>
      <c r="I907" s="2816"/>
      <c r="J907" s="2816"/>
      <c r="K907" s="2816"/>
      <c r="L907" s="2816"/>
      <c r="M907" s="2816"/>
      <c r="N907" s="2816"/>
      <c r="O907" s="2817"/>
      <c r="Q907" s="3996"/>
    </row>
    <row r="908" spans="1:17" s="48" customFormat="1" x14ac:dyDescent="0.25">
      <c r="A908" s="9"/>
      <c r="B908" s="2071"/>
      <c r="C908" s="2814" t="s">
        <v>556</v>
      </c>
      <c r="D908" s="2482"/>
      <c r="E908" s="439">
        <f>'Finance info'!I87</f>
        <v>0</v>
      </c>
      <c r="F908" s="440">
        <f t="shared" ref="F908:O908" si="385">(E908-E909)+(E868-E900)</f>
        <v>0</v>
      </c>
      <c r="G908" s="440">
        <f t="shared" si="385"/>
        <v>0</v>
      </c>
      <c r="H908" s="440">
        <f t="shared" si="385"/>
        <v>0</v>
      </c>
      <c r="I908" s="440">
        <f t="shared" si="385"/>
        <v>0</v>
      </c>
      <c r="J908" s="440">
        <f t="shared" si="385"/>
        <v>0</v>
      </c>
      <c r="K908" s="440">
        <f t="shared" si="385"/>
        <v>0</v>
      </c>
      <c r="L908" s="440">
        <f t="shared" si="385"/>
        <v>0</v>
      </c>
      <c r="M908" s="440">
        <f t="shared" si="385"/>
        <v>0</v>
      </c>
      <c r="N908" s="440">
        <f t="shared" si="385"/>
        <v>0</v>
      </c>
      <c r="O908" s="554">
        <f t="shared" si="385"/>
        <v>0</v>
      </c>
      <c r="P908" s="68"/>
      <c r="Q908" s="3999"/>
    </row>
    <row r="909" spans="1:17" s="48" customFormat="1" x14ac:dyDescent="0.25">
      <c r="A909" s="9"/>
      <c r="B909" s="551"/>
      <c r="C909" s="2818" t="s">
        <v>557</v>
      </c>
      <c r="D909" s="2546"/>
      <c r="E909" s="2629">
        <f>'Finance info'!J87</f>
        <v>0</v>
      </c>
      <c r="F909" s="555">
        <f t="shared" ref="F909:O909" si="386">F908*F903</f>
        <v>0</v>
      </c>
      <c r="G909" s="555">
        <f t="shared" si="386"/>
        <v>0</v>
      </c>
      <c r="H909" s="555">
        <f t="shared" si="386"/>
        <v>0</v>
      </c>
      <c r="I909" s="555">
        <f t="shared" si="386"/>
        <v>0</v>
      </c>
      <c r="J909" s="555">
        <f t="shared" si="386"/>
        <v>0</v>
      </c>
      <c r="K909" s="555">
        <f t="shared" si="386"/>
        <v>0</v>
      </c>
      <c r="L909" s="555">
        <f t="shared" si="386"/>
        <v>0</v>
      </c>
      <c r="M909" s="555">
        <f t="shared" si="386"/>
        <v>0</v>
      </c>
      <c r="N909" s="555">
        <f t="shared" si="386"/>
        <v>0</v>
      </c>
      <c r="O909" s="1245">
        <f t="shared" si="386"/>
        <v>0</v>
      </c>
      <c r="P909" s="68"/>
      <c r="Q909" s="3999"/>
    </row>
    <row r="910" spans="1:17" s="368" customFormat="1" x14ac:dyDescent="0.25">
      <c r="A910" s="367"/>
      <c r="B910" s="2815"/>
      <c r="C910" s="2661" t="s">
        <v>620</v>
      </c>
      <c r="D910" s="2706"/>
      <c r="E910" s="2816"/>
      <c r="F910" s="2816"/>
      <c r="G910" s="2816"/>
      <c r="H910" s="2816"/>
      <c r="I910" s="2816"/>
      <c r="J910" s="2816"/>
      <c r="K910" s="2816"/>
      <c r="L910" s="2816"/>
      <c r="M910" s="2816"/>
      <c r="N910" s="2816"/>
      <c r="O910" s="2817"/>
      <c r="Q910" s="3996"/>
    </row>
    <row r="911" spans="1:17" s="48" customFormat="1" x14ac:dyDescent="0.25">
      <c r="A911" s="9"/>
      <c r="B911" s="2071"/>
      <c r="C911" s="2814" t="s">
        <v>558</v>
      </c>
      <c r="D911" s="2482"/>
      <c r="E911" s="439">
        <f>'Finance info'!I87</f>
        <v>0</v>
      </c>
      <c r="F911" s="440">
        <f t="shared" ref="F911:O911" si="387">(E911-E912)+(E886-E901)</f>
        <v>0</v>
      </c>
      <c r="G911" s="440">
        <f t="shared" si="387"/>
        <v>0</v>
      </c>
      <c r="H911" s="440">
        <f t="shared" si="387"/>
        <v>0</v>
      </c>
      <c r="I911" s="440">
        <f t="shared" si="387"/>
        <v>0</v>
      </c>
      <c r="J911" s="440">
        <f t="shared" si="387"/>
        <v>0</v>
      </c>
      <c r="K911" s="440">
        <f t="shared" si="387"/>
        <v>0</v>
      </c>
      <c r="L911" s="440">
        <f t="shared" si="387"/>
        <v>0</v>
      </c>
      <c r="M911" s="440">
        <f t="shared" si="387"/>
        <v>0</v>
      </c>
      <c r="N911" s="440">
        <f t="shared" si="387"/>
        <v>0</v>
      </c>
      <c r="O911" s="554">
        <f t="shared" si="387"/>
        <v>0</v>
      </c>
      <c r="P911" s="68"/>
      <c r="Q911" s="3999"/>
    </row>
    <row r="912" spans="1:17" s="48" customFormat="1" x14ac:dyDescent="0.25">
      <c r="A912" s="9"/>
      <c r="B912" s="551"/>
      <c r="C912" s="2818" t="s">
        <v>559</v>
      </c>
      <c r="D912" s="2546"/>
      <c r="E912" s="2629">
        <f>'Finance info'!J87</f>
        <v>0</v>
      </c>
      <c r="F912" s="555">
        <f>F911*F903</f>
        <v>0</v>
      </c>
      <c r="G912" s="555">
        <f t="shared" ref="G912:O912" si="388">G911*G903</f>
        <v>0</v>
      </c>
      <c r="H912" s="555">
        <f t="shared" si="388"/>
        <v>0</v>
      </c>
      <c r="I912" s="555">
        <f t="shared" si="388"/>
        <v>0</v>
      </c>
      <c r="J912" s="555">
        <f t="shared" si="388"/>
        <v>0</v>
      </c>
      <c r="K912" s="555">
        <f t="shared" si="388"/>
        <v>0</v>
      </c>
      <c r="L912" s="555">
        <f t="shared" si="388"/>
        <v>0</v>
      </c>
      <c r="M912" s="555">
        <f t="shared" si="388"/>
        <v>0</v>
      </c>
      <c r="N912" s="555">
        <f t="shared" si="388"/>
        <v>0</v>
      </c>
      <c r="O912" s="1245">
        <f t="shared" si="388"/>
        <v>0</v>
      </c>
      <c r="P912" s="68"/>
      <c r="Q912" s="3999"/>
    </row>
    <row r="913" spans="1:17" s="52" customFormat="1" x14ac:dyDescent="0.25">
      <c r="A913" s="750"/>
      <c r="B913" s="757"/>
      <c r="C913" s="758" t="s">
        <v>1344</v>
      </c>
      <c r="D913" s="2601"/>
      <c r="E913" s="759">
        <f>IFERROR(E911/(E911+E886),0)</f>
        <v>0</v>
      </c>
      <c r="F913" s="759">
        <f>IFERROR(F911/(F911+F886),0)</f>
        <v>0</v>
      </c>
      <c r="G913" s="759">
        <f t="shared" ref="G913:O913" si="389">IFERROR(G911/(G911+G886),0)</f>
        <v>0</v>
      </c>
      <c r="H913" s="759">
        <f t="shared" si="389"/>
        <v>0</v>
      </c>
      <c r="I913" s="759">
        <f t="shared" si="389"/>
        <v>0</v>
      </c>
      <c r="J913" s="759">
        <f t="shared" si="389"/>
        <v>0</v>
      </c>
      <c r="K913" s="759">
        <f t="shared" si="389"/>
        <v>0</v>
      </c>
      <c r="L913" s="759">
        <f t="shared" si="389"/>
        <v>0</v>
      </c>
      <c r="M913" s="759">
        <f t="shared" si="389"/>
        <v>0</v>
      </c>
      <c r="N913" s="759">
        <f t="shared" si="389"/>
        <v>0</v>
      </c>
      <c r="O913" s="759">
        <f t="shared" si="389"/>
        <v>0</v>
      </c>
      <c r="Q913" s="3987"/>
    </row>
    <row r="915" spans="1:17" x14ac:dyDescent="0.25">
      <c r="B915" s="11" t="s">
        <v>3918</v>
      </c>
      <c r="E915" s="365"/>
      <c r="P915" s="27" t="s">
        <v>3920</v>
      </c>
    </row>
    <row r="916" spans="1:17" x14ac:dyDescent="0.25">
      <c r="B916" s="13" t="s">
        <v>3</v>
      </c>
      <c r="C916" s="13" t="s">
        <v>4</v>
      </c>
      <c r="D916" s="2480" t="s">
        <v>33</v>
      </c>
      <c r="E916" s="13">
        <f>'WS calcu'!E$3</f>
        <v>2014</v>
      </c>
      <c r="F916" s="13">
        <f>'WS calcu'!F$3</f>
        <v>2015</v>
      </c>
      <c r="G916" s="13">
        <f>'WS calcu'!G$3</f>
        <v>2016</v>
      </c>
      <c r="H916" s="13">
        <f>'WS calcu'!H$3</f>
        <v>2017</v>
      </c>
      <c r="I916" s="13">
        <f>'WS calcu'!I$3</f>
        <v>2018</v>
      </c>
      <c r="J916" s="13">
        <f>'WS calcu'!J$3</f>
        <v>2019</v>
      </c>
      <c r="K916" s="13">
        <f>'WS calcu'!K$3</f>
        <v>2020</v>
      </c>
      <c r="L916" s="13">
        <f>'WS calcu'!L$3</f>
        <v>2021</v>
      </c>
      <c r="M916" s="13">
        <f>'WS calcu'!M$3</f>
        <v>2022</v>
      </c>
      <c r="N916" s="13">
        <f>'WS calcu'!N$3</f>
        <v>2023</v>
      </c>
      <c r="O916" s="13">
        <f>'WS calcu'!O$3</f>
        <v>2024</v>
      </c>
    </row>
    <row r="917" spans="1:17" x14ac:dyDescent="0.25">
      <c r="B917" s="9">
        <v>1</v>
      </c>
      <c r="C917" s="9" t="s">
        <v>615</v>
      </c>
      <c r="E917" s="4582">
        <f t="shared" ref="E917:O917" si="390">E1183*E1192</f>
        <v>0</v>
      </c>
      <c r="F917" s="4582">
        <f t="shared" si="390"/>
        <v>0</v>
      </c>
      <c r="G917" s="4582">
        <f t="shared" si="390"/>
        <v>0</v>
      </c>
      <c r="H917" s="4582">
        <f t="shared" si="390"/>
        <v>0</v>
      </c>
      <c r="I917" s="4582">
        <f t="shared" si="390"/>
        <v>0</v>
      </c>
      <c r="J917" s="4582">
        <f t="shared" si="390"/>
        <v>0</v>
      </c>
      <c r="K917" s="4582">
        <f t="shared" si="390"/>
        <v>0</v>
      </c>
      <c r="L917" s="4582">
        <f t="shared" si="390"/>
        <v>0</v>
      </c>
      <c r="M917" s="4582">
        <f t="shared" si="390"/>
        <v>0</v>
      </c>
      <c r="N917" s="4582">
        <f t="shared" si="390"/>
        <v>0</v>
      </c>
      <c r="O917" s="4582">
        <f t="shared" si="390"/>
        <v>0</v>
      </c>
      <c r="P917" s="6107" t="s">
        <v>3917</v>
      </c>
    </row>
    <row r="918" spans="1:17" s="48" customFormat="1" x14ac:dyDescent="0.25">
      <c r="A918" s="9"/>
      <c r="B918" s="9">
        <v>2</v>
      </c>
      <c r="C918" s="9" t="s">
        <v>3915</v>
      </c>
      <c r="D918" s="182"/>
      <c r="E918" s="4582">
        <f t="shared" ref="E918:O918" si="391">E1196*E1216</f>
        <v>0</v>
      </c>
      <c r="F918" s="4582">
        <f t="shared" si="391"/>
        <v>0.70666666666666678</v>
      </c>
      <c r="G918" s="4582">
        <f t="shared" si="391"/>
        <v>0.70666666666666678</v>
      </c>
      <c r="H918" s="4582">
        <f t="shared" si="391"/>
        <v>0.70666666666666678</v>
      </c>
      <c r="I918" s="4582">
        <f t="shared" si="391"/>
        <v>8.2196666666666669</v>
      </c>
      <c r="J918" s="4582">
        <f t="shared" si="391"/>
        <v>8.2196666666666669</v>
      </c>
      <c r="K918" s="4582">
        <f t="shared" si="391"/>
        <v>0</v>
      </c>
      <c r="L918" s="4582">
        <f t="shared" si="391"/>
        <v>0</v>
      </c>
      <c r="M918" s="4582">
        <f t="shared" si="391"/>
        <v>0</v>
      </c>
      <c r="N918" s="4582">
        <f t="shared" si="391"/>
        <v>0</v>
      </c>
      <c r="O918" s="4582">
        <f t="shared" si="391"/>
        <v>0</v>
      </c>
      <c r="P918" s="6106"/>
      <c r="Q918" s="3999"/>
    </row>
    <row r="919" spans="1:17" x14ac:dyDescent="0.25">
      <c r="B919" s="9">
        <v>3</v>
      </c>
      <c r="C919" s="9" t="s">
        <v>3916</v>
      </c>
      <c r="E919" s="4582">
        <f t="shared" ref="E919:O919" si="392">E1222*E1242</f>
        <v>0</v>
      </c>
      <c r="F919" s="4582">
        <f t="shared" si="392"/>
        <v>0.70666666666666678</v>
      </c>
      <c r="G919" s="4582">
        <f t="shared" si="392"/>
        <v>0.70666666666666678</v>
      </c>
      <c r="H919" s="4582">
        <f t="shared" si="392"/>
        <v>0.70666666666666678</v>
      </c>
      <c r="I919" s="4582">
        <f t="shared" si="392"/>
        <v>9.8635999999999999</v>
      </c>
      <c r="J919" s="4582">
        <f t="shared" si="392"/>
        <v>9.8635999999999999</v>
      </c>
      <c r="K919" s="4582">
        <f t="shared" si="392"/>
        <v>0</v>
      </c>
      <c r="L919" s="4582">
        <f t="shared" si="392"/>
        <v>0</v>
      </c>
      <c r="M919" s="4582">
        <f t="shared" si="392"/>
        <v>0</v>
      </c>
      <c r="N919" s="4582">
        <f t="shared" si="392"/>
        <v>0</v>
      </c>
      <c r="O919" s="4582">
        <f t="shared" si="392"/>
        <v>0</v>
      </c>
      <c r="P919" s="6106"/>
    </row>
    <row r="921" spans="1:17" s="124" customFormat="1" x14ac:dyDescent="0.25">
      <c r="A921" s="227"/>
      <c r="B921" s="450"/>
      <c r="C921" s="207" t="s">
        <v>142</v>
      </c>
      <c r="D921" s="2598"/>
      <c r="E921" s="451"/>
      <c r="F921" s="451"/>
      <c r="G921" s="451"/>
      <c r="H921" s="451"/>
      <c r="I921" s="451"/>
      <c r="J921" s="451"/>
      <c r="K921" s="451"/>
      <c r="L921" s="451"/>
      <c r="M921" s="451"/>
      <c r="N921" s="451"/>
      <c r="O921" s="451"/>
      <c r="Q921" s="3987"/>
    </row>
    <row r="922" spans="1:17" s="124" customFormat="1" x14ac:dyDescent="0.25">
      <c r="A922" s="163"/>
      <c r="B922" s="928"/>
      <c r="C922" s="2819" t="s">
        <v>382</v>
      </c>
      <c r="D922" s="2572"/>
      <c r="E922" s="2820">
        <f>'Financial Projections'!J158</f>
        <v>0</v>
      </c>
      <c r="F922" s="2820">
        <f>IFERROR('Financial Projections'!K48,0)</f>
        <v>131.72021256666667</v>
      </c>
      <c r="G922" s="2820">
        <f>IFERROR('Financial Projections'!L48,0)</f>
        <v>152.56697319500003</v>
      </c>
      <c r="H922" s="2820">
        <f>IFERROR('Financial Projections'!M48,0)</f>
        <v>166.61095310475005</v>
      </c>
      <c r="I922" s="2820">
        <f>IFERROR('Financial Projections'!N48,0)</f>
        <v>174.94150075998755</v>
      </c>
      <c r="J922" s="2820">
        <f>IFERROR('Financial Projections'!O48,0)</f>
        <v>183.68857579798697</v>
      </c>
      <c r="K922" s="2820">
        <f>IFERROR('Financial Projections'!P48,0)</f>
        <v>192.8730045878863</v>
      </c>
      <c r="L922" s="2820">
        <f>IFERROR('Financial Projections'!Q48,0)</f>
        <v>202.51665481728062</v>
      </c>
      <c r="M922" s="2820">
        <f>IFERROR('Financial Projections'!R48,0)</f>
        <v>212.64248755814467</v>
      </c>
      <c r="N922" s="2820">
        <f>IFERROR('Financial Projections'!S48,0)</f>
        <v>223.27461193605191</v>
      </c>
      <c r="O922" s="2821">
        <f>IFERROR('Financial Projections'!T48,0)</f>
        <v>234.43834253285451</v>
      </c>
      <c r="Q922" s="3987"/>
    </row>
    <row r="923" spans="1:17" s="460" customFormat="1" x14ac:dyDescent="0.25">
      <c r="A923" s="746"/>
      <c r="B923" s="747"/>
      <c r="C923" s="748" t="s">
        <v>328</v>
      </c>
      <c r="D923" s="749"/>
      <c r="E923" s="747">
        <f>IFERROR(('Finance info'!$J$80)/E922,0)</f>
        <v>0</v>
      </c>
      <c r="F923" s="747">
        <f>IFERROR((F901+F967+'PIP finance'!G$316)/F922,0)</f>
        <v>5.3649068195134146E-3</v>
      </c>
      <c r="G923" s="747">
        <f>IFERROR((G901+G967+'PIP finance'!H$316)/G922,0)</f>
        <v>4.7708009893881846E-3</v>
      </c>
      <c r="H923" s="747">
        <f>IFERROR((H901+H967+'PIP finance'!I$316)/H922,0)</f>
        <v>4.4997201726306732E-3</v>
      </c>
      <c r="I923" s="747">
        <f>IFERROR((I901+I967+'PIP finance'!J$316)/I922,0)</f>
        <v>5.1342029527855673E-2</v>
      </c>
      <c r="J923" s="747">
        <f>IFERROR((J901+J967+'PIP finance'!K$316)/J922,0)</f>
        <v>5.0364086108277466E-2</v>
      </c>
      <c r="K923" s="747">
        <f>IFERROR((K901+K967+'PIP finance'!L$316)/K922,0)</f>
        <v>0</v>
      </c>
      <c r="L923" s="747">
        <f>IFERROR((L901+L967+'PIP finance'!M$316)/L922,0)</f>
        <v>0</v>
      </c>
      <c r="M923" s="747">
        <f>IFERROR((M901+M967+'PIP finance'!N$316)/M922,0)</f>
        <v>0</v>
      </c>
      <c r="N923" s="747">
        <f>IFERROR((N901+N967+'PIP finance'!O$316)/N922,0)</f>
        <v>0</v>
      </c>
      <c r="O923" s="747">
        <f>IFERROR((O901+O967+'PIP finance'!P$316)/O922,0)</f>
        <v>0</v>
      </c>
      <c r="Q923" s="4007"/>
    </row>
    <row r="924" spans="1:17" s="460" customFormat="1" x14ac:dyDescent="0.25">
      <c r="A924" s="746"/>
      <c r="B924" s="747"/>
      <c r="C924" s="748" t="s">
        <v>329</v>
      </c>
      <c r="D924" s="749"/>
      <c r="E924" s="747">
        <f>IFERROR(('Finance info'!$I$80)/E922,0)</f>
        <v>0</v>
      </c>
      <c r="F924" s="747">
        <f>IFERROR((F886+F967+'PIP finance'!G$316)/F922,0)</f>
        <v>5.3649068195134146E-3</v>
      </c>
      <c r="G924" s="747">
        <f>IFERROR((G886+G967+'PIP finance'!H$316)/G922,0)</f>
        <v>4.7708009893881846E-3</v>
      </c>
      <c r="H924" s="747">
        <f>IFERROR((H886+H967+'PIP finance'!I$316)/H922,0)</f>
        <v>4.4997201726306732E-3</v>
      </c>
      <c r="I924" s="747">
        <f>IFERROR((I886+I967+'PIP finance'!J$316)/I922,0)</f>
        <v>5.1342029527855673E-2</v>
      </c>
      <c r="J924" s="747">
        <f>IFERROR((J886+J967+'PIP finance'!K$316)/J922,0)</f>
        <v>5.0364086108277466E-2</v>
      </c>
      <c r="K924" s="747">
        <f>IFERROR((K886+K967+'PIP finance'!L$316)/K922,0)</f>
        <v>0</v>
      </c>
      <c r="L924" s="747">
        <f>IFERROR((L886+L967+'PIP finance'!M$316)/L922,0)</f>
        <v>0</v>
      </c>
      <c r="M924" s="747">
        <f>IFERROR((M886+M967+'PIP finance'!N$316)/M922,0)</f>
        <v>0</v>
      </c>
      <c r="N924" s="747">
        <f>IFERROR((N886+N967+'PIP finance'!O$316)/N922,0)</f>
        <v>0</v>
      </c>
      <c r="O924" s="747">
        <f>IFERROR((O886+O967+'PIP finance'!P$316)/O922,0)</f>
        <v>0</v>
      </c>
      <c r="Q924" s="4007"/>
    </row>
    <row r="925" spans="1:17" s="460" customFormat="1" x14ac:dyDescent="0.25">
      <c r="A925" s="746"/>
      <c r="B925" s="747"/>
      <c r="C925" s="748" t="s">
        <v>1348</v>
      </c>
      <c r="D925" s="749" t="s">
        <v>775</v>
      </c>
      <c r="E925" s="765">
        <f>IFERROR((E922*CurrencyMultiplier)/(E581*10^3),0)</f>
        <v>0</v>
      </c>
      <c r="F925" s="765">
        <f>IFERROR((F922*CurrencyMultiplier)/(F581*10^3),0)</f>
        <v>0</v>
      </c>
      <c r="G925" s="765">
        <f>IFERROR((G922*CurrencyMultiplier)/(G581*10^3),0)</f>
        <v>0</v>
      </c>
      <c r="H925" s="765">
        <f>IFERROR((H922*CurrencyMultiplier)/(H581*10^3),0)</f>
        <v>0</v>
      </c>
      <c r="I925" s="765">
        <f>IFERROR((I922*CurrencyMultiplier)/(I581*10^3),0)</f>
        <v>0</v>
      </c>
      <c r="J925" s="765">
        <f>IFERROR((J922*CurrencyMultiplier)/(J581*10^3),0)</f>
        <v>0</v>
      </c>
      <c r="K925" s="765">
        <f>IFERROR((K922*CurrencyMultiplier)/(K581*10^3),0)</f>
        <v>0</v>
      </c>
      <c r="L925" s="765">
        <f>IFERROR((L922*CurrencyMultiplier)/(L581*10^3),0)</f>
        <v>0</v>
      </c>
      <c r="M925" s="765">
        <f>IFERROR((M922*CurrencyMultiplier)/(M581*10^3),0)</f>
        <v>0</v>
      </c>
      <c r="N925" s="765">
        <f>IFERROR((N922*CurrencyMultiplier)/(N581*10^3),0)</f>
        <v>0</v>
      </c>
      <c r="O925" s="765">
        <f>IFERROR((O922*CurrencyMultiplier)/(O581*10^3),0)</f>
        <v>0</v>
      </c>
      <c r="Q925" s="4007"/>
    </row>
    <row r="926" spans="1:17" s="460" customFormat="1" x14ac:dyDescent="0.25">
      <c r="A926" s="746"/>
      <c r="B926" s="747"/>
      <c r="C926" s="748" t="s">
        <v>1342</v>
      </c>
      <c r="D926" s="749" t="s">
        <v>1367</v>
      </c>
      <c r="E926" s="765">
        <f>IFERROR(E922*CurrencyMultiplier/Population!E$24,0)</f>
        <v>0</v>
      </c>
      <c r="F926" s="765">
        <f>IFERROR(F922*CurrencyMultiplier/Population!F$24,0)</f>
        <v>0</v>
      </c>
      <c r="G926" s="765">
        <f>IFERROR(G922*CurrencyMultiplier/Population!G$24,0)</f>
        <v>0</v>
      </c>
      <c r="H926" s="765">
        <f>IFERROR(H922*CurrencyMultiplier/Population!H$24,0)</f>
        <v>0</v>
      </c>
      <c r="I926" s="765">
        <f>IFERROR(I922*CurrencyMultiplier/Population!I$24,0)</f>
        <v>0</v>
      </c>
      <c r="J926" s="765">
        <f>IFERROR(J922*CurrencyMultiplier/Population!J$24,0)</f>
        <v>0</v>
      </c>
      <c r="K926" s="765">
        <f>IFERROR(K922*CurrencyMultiplier/Population!K$24,0)</f>
        <v>0</v>
      </c>
      <c r="L926" s="765">
        <f>IFERROR(L922*CurrencyMultiplier/Population!L$24,0)</f>
        <v>0</v>
      </c>
      <c r="M926" s="765">
        <f>IFERROR(M922*CurrencyMultiplier/Population!M$24,0)</f>
        <v>0</v>
      </c>
      <c r="N926" s="765">
        <f>IFERROR(N922*CurrencyMultiplier/Population!N$24,0)</f>
        <v>0</v>
      </c>
      <c r="O926" s="765">
        <f>IFERROR(O922*CurrencyMultiplier/Population!O$24,0)</f>
        <v>0</v>
      </c>
      <c r="Q926" s="4007"/>
    </row>
    <row r="927" spans="1:17" s="460" customFormat="1" x14ac:dyDescent="0.25">
      <c r="A927" s="746"/>
      <c r="B927" s="747"/>
      <c r="C927" s="748" t="s">
        <v>1343</v>
      </c>
      <c r="D927" s="749" t="s">
        <v>1367</v>
      </c>
      <c r="E927" s="765">
        <f>IFERROR('Financial Projections'!J148*CurrencyMultiplier/Population!E$24,0)</f>
        <v>0</v>
      </c>
      <c r="F927" s="765">
        <f>IFERROR('Financial Projections'!K44*CurrencyMultiplier/Population!F$24,0)</f>
        <v>0</v>
      </c>
      <c r="G927" s="765">
        <f>IFERROR('Financial Projections'!L44*CurrencyMultiplier/Population!G$24,0)</f>
        <v>0</v>
      </c>
      <c r="H927" s="765">
        <f>IFERROR('Financial Projections'!M44*CurrencyMultiplier/Population!H$24,0)</f>
        <v>0</v>
      </c>
      <c r="I927" s="765">
        <f>IFERROR('Financial Projections'!N44*CurrencyMultiplier/Population!I$24,0)</f>
        <v>0</v>
      </c>
      <c r="J927" s="765">
        <f>IFERROR('Financial Projections'!O44*CurrencyMultiplier/Population!J$24,0)</f>
        <v>0</v>
      </c>
      <c r="K927" s="765">
        <f>IFERROR('Financial Projections'!P44*CurrencyMultiplier/Population!K$24,0)</f>
        <v>0</v>
      </c>
      <c r="L927" s="765">
        <f>IFERROR('Financial Projections'!Q44*CurrencyMultiplier/Population!L$24,0)</f>
        <v>0</v>
      </c>
      <c r="M927" s="765">
        <f>IFERROR('Financial Projections'!R44*CurrencyMultiplier/Population!M$24,0)</f>
        <v>0</v>
      </c>
      <c r="N927" s="765">
        <f>IFERROR('Financial Projections'!S44*CurrencyMultiplier/Population!N$24,0)</f>
        <v>0</v>
      </c>
      <c r="O927" s="765">
        <f>IFERROR('Financial Projections'!T44*CurrencyMultiplier/Population!O$24,0)</f>
        <v>0</v>
      </c>
      <c r="Q927" s="4007"/>
    </row>
    <row r="930" spans="1:17" x14ac:dyDescent="0.25">
      <c r="A930" s="11"/>
      <c r="B930" s="11" t="s">
        <v>473</v>
      </c>
      <c r="C930" s="301"/>
    </row>
    <row r="931" spans="1:17" x14ac:dyDescent="0.25">
      <c r="B931" s="13" t="s">
        <v>3</v>
      </c>
      <c r="C931" s="13" t="s">
        <v>4</v>
      </c>
      <c r="D931" s="2480" t="s">
        <v>33</v>
      </c>
      <c r="E931" s="13">
        <f>'WS calcu'!E$3</f>
        <v>2014</v>
      </c>
      <c r="F931" s="13">
        <f>'WS calcu'!F$3</f>
        <v>2015</v>
      </c>
      <c r="G931" s="13">
        <f>'WS calcu'!G$3</f>
        <v>2016</v>
      </c>
      <c r="H931" s="13">
        <f>'WS calcu'!H$3</f>
        <v>2017</v>
      </c>
      <c r="I931" s="13">
        <f>'WS calcu'!I$3</f>
        <v>2018</v>
      </c>
      <c r="J931" s="13">
        <f>'WS calcu'!J$3</f>
        <v>2019</v>
      </c>
      <c r="K931" s="13">
        <f>'WS calcu'!K$3</f>
        <v>2020</v>
      </c>
      <c r="L931" s="13">
        <f>'WS calcu'!L$3</f>
        <v>2021</v>
      </c>
      <c r="M931" s="13">
        <f>'WS calcu'!M$3</f>
        <v>2022</v>
      </c>
      <c r="N931" s="13">
        <f>'WS calcu'!N$3</f>
        <v>2023</v>
      </c>
      <c r="O931" s="13">
        <f>'WS calcu'!O$3</f>
        <v>2024</v>
      </c>
    </row>
    <row r="932" spans="1:17" s="170" customFormat="1" x14ac:dyDescent="0.25">
      <c r="A932" s="204"/>
      <c r="B932" s="205"/>
      <c r="C932" s="207" t="s">
        <v>615</v>
      </c>
      <c r="D932" s="2598"/>
      <c r="E932" s="206"/>
      <c r="F932" s="206"/>
      <c r="G932" s="206"/>
      <c r="H932" s="206"/>
      <c r="I932" s="206"/>
      <c r="J932" s="206"/>
      <c r="K932" s="206"/>
      <c r="L932" s="206"/>
      <c r="M932" s="206"/>
      <c r="N932" s="206"/>
      <c r="O932" s="206"/>
      <c r="Q932" s="3987"/>
    </row>
    <row r="933" spans="1:17" s="170" customFormat="1" x14ac:dyDescent="0.25">
      <c r="A933" s="43"/>
      <c r="B933" s="2309"/>
      <c r="C933" s="2825" t="s">
        <v>2127</v>
      </c>
      <c r="D933" s="2481"/>
      <c r="E933" s="2826">
        <v>0</v>
      </c>
      <c r="F933" s="6031">
        <f>MAX((F482-E482),0)*$E$947/CurrencyMultiplier</f>
        <v>0</v>
      </c>
      <c r="G933" s="2826">
        <f>MAX((G482-F482),0)*$E$947/CurrencyMultiplier</f>
        <v>0</v>
      </c>
      <c r="H933" s="2826">
        <f>MAX((H482-G482),0)*$E$947/CurrencyMultiplier</f>
        <v>0</v>
      </c>
      <c r="I933" s="2826">
        <f>MAX((I482-H482),0)*$E$947/CurrencyMultiplier</f>
        <v>0</v>
      </c>
      <c r="J933" s="2826">
        <f>MAX((J482-I482),0)*$E$947/CurrencyMultiplier</f>
        <v>0</v>
      </c>
      <c r="K933" s="2826">
        <f>MAX((K482-J482),0)*$E$947/CurrencyMultiplier</f>
        <v>0</v>
      </c>
      <c r="L933" s="2826">
        <f>MAX((L482-K482),0)*$E$947/CurrencyMultiplier</f>
        <v>0</v>
      </c>
      <c r="M933" s="2826">
        <f>MAX((M482-L482),0)*$E$947/CurrencyMultiplier</f>
        <v>0</v>
      </c>
      <c r="N933" s="2826">
        <f>MAX((N482-M482),0)*$E$947/CurrencyMultiplier</f>
        <v>0</v>
      </c>
      <c r="O933" s="2827">
        <f>MAX((O482-N482),0)*$E$947/CurrencyMultiplier</f>
        <v>0</v>
      </c>
      <c r="Q933" s="3987"/>
    </row>
    <row r="934" spans="1:17" s="170" customFormat="1" x14ac:dyDescent="0.25">
      <c r="A934" s="43"/>
      <c r="B934" s="2298"/>
      <c r="C934" s="2823" t="s">
        <v>2128</v>
      </c>
      <c r="D934" s="2484"/>
      <c r="E934" s="2705">
        <v>0</v>
      </c>
      <c r="F934" s="6032">
        <f>MAX((F483-E483),0)*$E$949/CurrencyMultiplier</f>
        <v>0</v>
      </c>
      <c r="G934" s="2705">
        <f>MAX((G483-F483),0)*$E$949/CurrencyMultiplier</f>
        <v>0</v>
      </c>
      <c r="H934" s="2705">
        <f>MAX((H483-G483),0)*$E$949/CurrencyMultiplier</f>
        <v>0</v>
      </c>
      <c r="I934" s="2705">
        <f>MAX((I483-H483),0)*$E$949/CurrencyMultiplier</f>
        <v>0</v>
      </c>
      <c r="J934" s="2705">
        <f>MAX((J483-I483),0)*$E$949/CurrencyMultiplier</f>
        <v>0</v>
      </c>
      <c r="K934" s="2705">
        <f>MAX((K483-J483),0)*$E$949/CurrencyMultiplier</f>
        <v>0</v>
      </c>
      <c r="L934" s="2705">
        <f>MAX((L483-K483),0)*$E$949/CurrencyMultiplier</f>
        <v>0</v>
      </c>
      <c r="M934" s="2705">
        <f>MAX((M483-L483),0)*$E$949/CurrencyMultiplier</f>
        <v>0</v>
      </c>
      <c r="N934" s="2705">
        <f>MAX((N483-M483),0)*$E$949/CurrencyMultiplier</f>
        <v>0</v>
      </c>
      <c r="O934" s="2710">
        <f>MAX((O483-N483),0)*$E$949/CurrencyMultiplier</f>
        <v>0</v>
      </c>
      <c r="Q934" s="3987"/>
    </row>
    <row r="935" spans="1:17" s="170" customFormat="1" x14ac:dyDescent="0.25">
      <c r="A935" s="43"/>
      <c r="B935" s="2298"/>
      <c r="C935" s="2823" t="s">
        <v>2129</v>
      </c>
      <c r="D935" s="2824"/>
      <c r="E935" s="2705">
        <v>0</v>
      </c>
      <c r="F935" s="6032">
        <f>MAX((F484-E484),0)*$E$951/CurrencyMultiplier</f>
        <v>0</v>
      </c>
      <c r="G935" s="2705">
        <f>MAX((G484-F484),0)*$E$951/CurrencyMultiplier</f>
        <v>0</v>
      </c>
      <c r="H935" s="2705">
        <f>MAX((H484-G484),0)*$E$951/CurrencyMultiplier</f>
        <v>0</v>
      </c>
      <c r="I935" s="2705">
        <f>MAX((I484-H484),0)*$E$951/CurrencyMultiplier</f>
        <v>0</v>
      </c>
      <c r="J935" s="2705">
        <f>MAX((J484-I484),0)*$E$951/CurrencyMultiplier</f>
        <v>0</v>
      </c>
      <c r="K935" s="2705">
        <f>MAX((K484-J484),0)*$E$951/CurrencyMultiplier</f>
        <v>0</v>
      </c>
      <c r="L935" s="2705">
        <f>MAX((L484-K484),0)*$E$951/CurrencyMultiplier</f>
        <v>0</v>
      </c>
      <c r="M935" s="2705">
        <f>MAX((M484-L484),0)*$E$951/CurrencyMultiplier</f>
        <v>0</v>
      </c>
      <c r="N935" s="2705">
        <f>MAX((N484-M484),0)*$E$951/CurrencyMultiplier</f>
        <v>0</v>
      </c>
      <c r="O935" s="2710">
        <f>MAX((O484-N484),0)*$E$951/CurrencyMultiplier</f>
        <v>0</v>
      </c>
      <c r="Q935" s="3987"/>
    </row>
    <row r="936" spans="1:17" s="49" customFormat="1" x14ac:dyDescent="0.25">
      <c r="A936" s="63"/>
      <c r="B936" s="2828"/>
      <c r="C936" s="2829" t="s">
        <v>16</v>
      </c>
      <c r="D936" s="2551"/>
      <c r="E936" s="2732">
        <f>SUM(E933:E935)</f>
        <v>0</v>
      </c>
      <c r="F936" s="2732">
        <f>SUM(F933:F935)</f>
        <v>0</v>
      </c>
      <c r="G936" s="2732">
        <f>SUM(G933:G935)</f>
        <v>0</v>
      </c>
      <c r="H936" s="2732">
        <f t="shared" ref="H936:O936" si="393">SUM(H933:H935)</f>
        <v>0</v>
      </c>
      <c r="I936" s="2732">
        <f t="shared" si="393"/>
        <v>0</v>
      </c>
      <c r="J936" s="2732">
        <f t="shared" si="393"/>
        <v>0</v>
      </c>
      <c r="K936" s="2732">
        <f t="shared" si="393"/>
        <v>0</v>
      </c>
      <c r="L936" s="2732">
        <f t="shared" si="393"/>
        <v>0</v>
      </c>
      <c r="M936" s="2732">
        <f t="shared" si="393"/>
        <v>0</v>
      </c>
      <c r="N936" s="2732">
        <f t="shared" si="393"/>
        <v>0</v>
      </c>
      <c r="O936" s="2733">
        <f t="shared" si="393"/>
        <v>0</v>
      </c>
      <c r="Q936" s="3993"/>
    </row>
    <row r="937" spans="1:17" s="170" customFormat="1" x14ac:dyDescent="0.25">
      <c r="A937" s="204"/>
      <c r="B937" s="205"/>
      <c r="C937" s="2822" t="s">
        <v>551</v>
      </c>
      <c r="D937" s="2598"/>
      <c r="E937" s="451"/>
      <c r="F937" s="451"/>
      <c r="G937" s="451"/>
      <c r="H937" s="451"/>
      <c r="I937" s="451"/>
      <c r="J937" s="451"/>
      <c r="K937" s="451"/>
      <c r="L937" s="451"/>
      <c r="M937" s="451"/>
      <c r="N937" s="451"/>
      <c r="O937" s="451"/>
      <c r="Q937" s="3987"/>
    </row>
    <row r="938" spans="1:17" s="170" customFormat="1" x14ac:dyDescent="0.25">
      <c r="B938" s="2830"/>
      <c r="C938" s="2825" t="s">
        <v>2127</v>
      </c>
      <c r="D938" s="2870">
        <f>MAX(E947:O947)</f>
        <v>0</v>
      </c>
      <c r="E938" s="2826">
        <v>0</v>
      </c>
      <c r="F938" s="6031">
        <f>MAX(F487-E487,0)*$D$938/CurrencyMultiplier</f>
        <v>0</v>
      </c>
      <c r="G938" s="2826">
        <f>MAX(G487-F487,0)*$D$938/CurrencyMultiplier</f>
        <v>0</v>
      </c>
      <c r="H938" s="2826">
        <f>MAX(H487-G487,0)*$D$938/CurrencyMultiplier</f>
        <v>0</v>
      </c>
      <c r="I938" s="2826">
        <f>MAX(I487-H487,0)*$D$938/CurrencyMultiplier</f>
        <v>0</v>
      </c>
      <c r="J938" s="2826">
        <f>MAX(J487-I487,0)*$D$938/CurrencyMultiplier</f>
        <v>0</v>
      </c>
      <c r="K938" s="2826">
        <f>MAX(K487-J487,0)*$D$938/CurrencyMultiplier</f>
        <v>0</v>
      </c>
      <c r="L938" s="2826">
        <f>MAX(L487-K487,0)*$D$938/CurrencyMultiplier</f>
        <v>0</v>
      </c>
      <c r="M938" s="2826">
        <f>MAX(M487-L487,0)*$D$938/CurrencyMultiplier</f>
        <v>0</v>
      </c>
      <c r="N938" s="2826">
        <f>MAX(N487-M487,0)*$D$938/CurrencyMultiplier</f>
        <v>0</v>
      </c>
      <c r="O938" s="2827">
        <f>MAX(O487-N487,0)*$D$938/CurrencyMultiplier</f>
        <v>0</v>
      </c>
      <c r="Q938" s="3987"/>
    </row>
    <row r="939" spans="1:17" s="170" customFormat="1" x14ac:dyDescent="0.25">
      <c r="B939" s="2376"/>
      <c r="C939" s="2823" t="s">
        <v>2128</v>
      </c>
      <c r="D939" s="2871">
        <f>MAX(E949:O949)</f>
        <v>0</v>
      </c>
      <c r="E939" s="2705">
        <v>0</v>
      </c>
      <c r="F939" s="6032">
        <f>MAX(F488-E488,0)*$D$939/CurrencyMultiplier</f>
        <v>0</v>
      </c>
      <c r="G939" s="2705">
        <f>MAX(G488-F488,0)*$D$939/CurrencyMultiplier</f>
        <v>0</v>
      </c>
      <c r="H939" s="2705">
        <f>MAX(H488-G488,0)*$D$939/CurrencyMultiplier</f>
        <v>0</v>
      </c>
      <c r="I939" s="2705">
        <f>MAX(I488-H488,0)*$D$939/CurrencyMultiplier</f>
        <v>0</v>
      </c>
      <c r="J939" s="2705">
        <f>MAX(J488-I488,0)*$D$939/CurrencyMultiplier</f>
        <v>0</v>
      </c>
      <c r="K939" s="2705">
        <f>MAX(K488-J488,0)*$D$939/CurrencyMultiplier</f>
        <v>0</v>
      </c>
      <c r="L939" s="2705">
        <f>MAX(L488-K488,0)*$D$939/CurrencyMultiplier</f>
        <v>0</v>
      </c>
      <c r="M939" s="2705">
        <f>MAX(M488-L488,0)*$D$939/CurrencyMultiplier</f>
        <v>0</v>
      </c>
      <c r="N939" s="2705">
        <f>MAX(N488-M488,0)*$D$939/CurrencyMultiplier</f>
        <v>0</v>
      </c>
      <c r="O939" s="2710">
        <f>MAX(O488-N488,0)*$D$939/CurrencyMultiplier</f>
        <v>0</v>
      </c>
      <c r="Q939" s="3987"/>
    </row>
    <row r="940" spans="1:17" s="170" customFormat="1" x14ac:dyDescent="0.25">
      <c r="B940" s="2376"/>
      <c r="C940" s="2823" t="s">
        <v>2129</v>
      </c>
      <c r="D940" s="2871">
        <f>MAX(E951:O951)</f>
        <v>0</v>
      </c>
      <c r="E940" s="2705">
        <v>0</v>
      </c>
      <c r="F940" s="6032">
        <f>MAX(F489-E489,0)*$D$940/CurrencyMultiplier</f>
        <v>0</v>
      </c>
      <c r="G940" s="2705">
        <f>MAX(G489-F489,0)*$D$940/CurrencyMultiplier</f>
        <v>0</v>
      </c>
      <c r="H940" s="2705">
        <f>MAX(H489-G489,0)*$D$940/CurrencyMultiplier</f>
        <v>0</v>
      </c>
      <c r="I940" s="2705">
        <f>MAX(I489-H489,0)*$D$940/CurrencyMultiplier</f>
        <v>0</v>
      </c>
      <c r="J940" s="2705">
        <f>MAX(J489-I489,0)*$D$940/CurrencyMultiplier</f>
        <v>0</v>
      </c>
      <c r="K940" s="2705">
        <f>MAX(K489-J489,0)*$D$940/CurrencyMultiplier</f>
        <v>0</v>
      </c>
      <c r="L940" s="2705">
        <f>MAX(L489-K489,0)*$D$940/CurrencyMultiplier</f>
        <v>0</v>
      </c>
      <c r="M940" s="2705">
        <f>MAX(M489-L489,0)*$D$940/CurrencyMultiplier</f>
        <v>0</v>
      </c>
      <c r="N940" s="2705">
        <f>MAX(N489-M489,0)*$D$940/CurrencyMultiplier</f>
        <v>0</v>
      </c>
      <c r="O940" s="2710">
        <f>MAX(O489-N489,0)*$D$940/CurrencyMultiplier</f>
        <v>0</v>
      </c>
      <c r="Q940" s="3987"/>
    </row>
    <row r="941" spans="1:17" s="170" customFormat="1" x14ac:dyDescent="0.25">
      <c r="B941" s="2832"/>
      <c r="C941" s="2833" t="s">
        <v>2125</v>
      </c>
      <c r="D941" s="2872">
        <f>MAX(E954:O954)</f>
        <v>0</v>
      </c>
      <c r="E941" s="2834">
        <v>0</v>
      </c>
      <c r="F941" s="6033">
        <f>(MAX(F370-E370,0)*$D$941)/CurrencyMultiplier</f>
        <v>0</v>
      </c>
      <c r="G941" s="2834">
        <f>(MAX(G370-F370,0)*$D$941)/CurrencyMultiplier</f>
        <v>0</v>
      </c>
      <c r="H941" s="2834">
        <f>(MAX(H370-G370,0)*$D$941)/CurrencyMultiplier</f>
        <v>0</v>
      </c>
      <c r="I941" s="2834">
        <f>(MAX(I370-H370,0)*$D$941)/CurrencyMultiplier</f>
        <v>0</v>
      </c>
      <c r="J941" s="2834">
        <f>(MAX(J370-I370,0)*$D$941)/CurrencyMultiplier</f>
        <v>0</v>
      </c>
      <c r="K941" s="2834">
        <f>(MAX(K370-J370,0)*$D$941)/CurrencyMultiplier</f>
        <v>0</v>
      </c>
      <c r="L941" s="2834">
        <f>(MAX(L370-K370,0)*$D$941)/CurrencyMultiplier</f>
        <v>0</v>
      </c>
      <c r="M941" s="2834">
        <f>(MAX(M370-L370,0)*$D$941)/CurrencyMultiplier</f>
        <v>0</v>
      </c>
      <c r="N941" s="2834">
        <f>(MAX(N370-M370,0)*$D$941)/CurrencyMultiplier</f>
        <v>0</v>
      </c>
      <c r="O941" s="5244">
        <f>(MAX(O370-N370,0)*$D$941)/CurrencyMultiplier</f>
        <v>0</v>
      </c>
      <c r="Q941" s="3987"/>
    </row>
    <row r="942" spans="1:17" s="170" customFormat="1" x14ac:dyDescent="0.25">
      <c r="B942" s="2376"/>
      <c r="C942" s="2823" t="s">
        <v>2126</v>
      </c>
      <c r="D942" s="2871">
        <f>MAX(E956:O956)</f>
        <v>0</v>
      </c>
      <c r="E942" s="2705">
        <v>0</v>
      </c>
      <c r="F942" s="6032">
        <f>(MAX(F371-E371,0)*$D$942)/CurrencyMultiplier</f>
        <v>0</v>
      </c>
      <c r="G942" s="2705">
        <f>(MAX(G371-F371,0)*$D$942)/CurrencyMultiplier</f>
        <v>0</v>
      </c>
      <c r="H942" s="2705">
        <f>(MAX(H371-G371,0)*$D$942)/CurrencyMultiplier</f>
        <v>0</v>
      </c>
      <c r="I942" s="2705">
        <f>(MAX(I371-H371,0)*$D$942)/CurrencyMultiplier</f>
        <v>0</v>
      </c>
      <c r="J942" s="2705">
        <f>(MAX(J371-I371,0)*$D$942)/CurrencyMultiplier</f>
        <v>0</v>
      </c>
      <c r="K942" s="2705">
        <f>(MAX(K371-J371,0)*$D$942)/CurrencyMultiplier</f>
        <v>0</v>
      </c>
      <c r="L942" s="2705">
        <f>(MAX(L371-K371,0)*$D$942)/CurrencyMultiplier</f>
        <v>0</v>
      </c>
      <c r="M942" s="2705">
        <f>(MAX(M371-L371,0)*$D$942)/CurrencyMultiplier</f>
        <v>0</v>
      </c>
      <c r="N942" s="2705">
        <f>(MAX(N371-M371,0)*$D$942)/CurrencyMultiplier</f>
        <v>0</v>
      </c>
      <c r="O942" s="2710">
        <f>(MAX(O371-N371,0)*$D$942)/CurrencyMultiplier</f>
        <v>0</v>
      </c>
      <c r="Q942" s="3987"/>
    </row>
    <row r="943" spans="1:17" s="170" customFormat="1" ht="30" x14ac:dyDescent="0.25">
      <c r="B943" s="2835"/>
      <c r="C943" s="2836" t="s">
        <v>2664</v>
      </c>
      <c r="D943" s="2873">
        <f>MAX(E958:O958)</f>
        <v>0</v>
      </c>
      <c r="E943" s="2837">
        <v>0</v>
      </c>
      <c r="F943" s="6034">
        <f>(MAX(F372-E372,0)*$D$943)/CurrencyMultiplier</f>
        <v>0</v>
      </c>
      <c r="G943" s="2837">
        <f>(MAX(G372-F372,0)*$D$943)/CurrencyMultiplier</f>
        <v>0</v>
      </c>
      <c r="H943" s="2837">
        <f>(MAX(H372-G372,0)*$D$943)/CurrencyMultiplier</f>
        <v>0</v>
      </c>
      <c r="I943" s="2837">
        <f>(MAX(I372-H372,0)*$D$943)/CurrencyMultiplier</f>
        <v>0</v>
      </c>
      <c r="J943" s="2837">
        <f>(MAX(J372-I372,0)*$D$943)/CurrencyMultiplier</f>
        <v>0</v>
      </c>
      <c r="K943" s="2837">
        <f>(MAX(K372-J372,0)*$D$943)/CurrencyMultiplier</f>
        <v>0</v>
      </c>
      <c r="L943" s="2837">
        <f>(MAX(L372-K372,0)*$D$943)/CurrencyMultiplier</f>
        <v>0</v>
      </c>
      <c r="M943" s="2837">
        <f>(MAX(M372-L372,0)*$D$943)/CurrencyMultiplier</f>
        <v>0</v>
      </c>
      <c r="N943" s="2837">
        <f>(MAX(N372-M372,0)*$D$943)/CurrencyMultiplier</f>
        <v>0</v>
      </c>
      <c r="O943" s="5245">
        <f>(MAX(O372-N372,0)*$D$943)/CurrencyMultiplier</f>
        <v>0</v>
      </c>
      <c r="Q943" s="3987"/>
    </row>
    <row r="944" spans="1:17" s="49" customFormat="1" x14ac:dyDescent="0.25">
      <c r="B944" s="2831"/>
      <c r="C944" s="2829" t="s">
        <v>16</v>
      </c>
      <c r="D944" s="2638"/>
      <c r="E944" s="2732">
        <f>SUM(E938:E943)</f>
        <v>0</v>
      </c>
      <c r="F944" s="2732">
        <f t="shared" ref="F944:O944" si="394">SUM(F938:F943)</f>
        <v>0</v>
      </c>
      <c r="G944" s="2732">
        <f t="shared" si="394"/>
        <v>0</v>
      </c>
      <c r="H944" s="2732">
        <f t="shared" si="394"/>
        <v>0</v>
      </c>
      <c r="I944" s="2732">
        <f t="shared" si="394"/>
        <v>0</v>
      </c>
      <c r="J944" s="2732">
        <f t="shared" si="394"/>
        <v>0</v>
      </c>
      <c r="K944" s="2732">
        <f t="shared" si="394"/>
        <v>0</v>
      </c>
      <c r="L944" s="2732">
        <f t="shared" si="394"/>
        <v>0</v>
      </c>
      <c r="M944" s="2732">
        <f t="shared" si="394"/>
        <v>0</v>
      </c>
      <c r="N944" s="2732">
        <f t="shared" si="394"/>
        <v>0</v>
      </c>
      <c r="O944" s="2733">
        <f t="shared" si="394"/>
        <v>0</v>
      </c>
      <c r="Q944" s="3993"/>
    </row>
    <row r="945" spans="1:17" s="170" customFormat="1" x14ac:dyDescent="0.25">
      <c r="A945" s="204"/>
      <c r="B945" s="369"/>
      <c r="C945" s="2822" t="s">
        <v>552</v>
      </c>
      <c r="D945" s="2598"/>
      <c r="E945" s="451"/>
      <c r="F945" s="451"/>
      <c r="G945" s="451"/>
      <c r="H945" s="451"/>
      <c r="I945" s="451"/>
      <c r="J945" s="451"/>
      <c r="K945" s="451"/>
      <c r="L945" s="451"/>
      <c r="M945" s="451"/>
      <c r="N945" s="451"/>
      <c r="O945" s="451"/>
      <c r="Q945" s="3987"/>
    </row>
    <row r="946" spans="1:17" s="170" customFormat="1" x14ac:dyDescent="0.25">
      <c r="B946" s="2844"/>
      <c r="C946" s="2845" t="s">
        <v>2830</v>
      </c>
      <c r="D946" s="2778"/>
      <c r="E946" s="2839"/>
      <c r="F946" s="2839"/>
      <c r="G946" s="2839"/>
      <c r="H946" s="2839"/>
      <c r="I946" s="2839"/>
      <c r="J946" s="2839"/>
      <c r="K946" s="2839"/>
      <c r="L946" s="2839"/>
      <c r="M946" s="2839"/>
      <c r="N946" s="2839"/>
      <c r="O946" s="2840"/>
      <c r="Q946" s="3987"/>
    </row>
    <row r="947" spans="1:17" s="170" customFormat="1" x14ac:dyDescent="0.25">
      <c r="B947" s="7261"/>
      <c r="C947" s="7264" t="s">
        <v>2832</v>
      </c>
      <c r="D947" s="2780" t="s">
        <v>993</v>
      </c>
      <c r="E947" s="39">
        <f>'Financing Plan'!$L$184</f>
        <v>0</v>
      </c>
      <c r="F947" s="5495">
        <f>IF(AND('WW Plan'!$E$293="Activate",F931&gt;='WW Plan'!$G$293),'Financing Plan'!$L$185,'Financing Plan'!$L$184)</f>
        <v>0</v>
      </c>
      <c r="G947" s="5495">
        <f>IF(AND('WW Plan'!$E$293="Activate",G931&gt;='WW Plan'!$G$293),'Financing Plan'!$L$185,'Financing Plan'!$L$184)</f>
        <v>0</v>
      </c>
      <c r="H947" s="5495">
        <f>IF(AND('WW Plan'!$E$293="Activate",H931&gt;='WW Plan'!$G$293),'Financing Plan'!$L$185,'Financing Plan'!$L$184)</f>
        <v>0</v>
      </c>
      <c r="I947" s="5495">
        <f>IF(AND('WW Plan'!$E$293="Activate",I931&gt;='WW Plan'!$G$293),'Financing Plan'!$L$185,'Financing Plan'!$L$184)</f>
        <v>0</v>
      </c>
      <c r="J947" s="5495">
        <f>IF(AND('WW Plan'!$E$293="Activate",J931&gt;='WW Plan'!$G$293),'Financing Plan'!$L$185,'Financing Plan'!$L$184)</f>
        <v>0</v>
      </c>
      <c r="K947" s="5495">
        <f>IF(AND('WW Plan'!$E$293="Activate",K931&gt;='WW Plan'!$G$293),'Financing Plan'!$L$185,'Financing Plan'!$L$184)</f>
        <v>0</v>
      </c>
      <c r="L947" s="5495">
        <f>IF(AND('WW Plan'!$E$293="Activate",L931&gt;='WW Plan'!$G$293),'Financing Plan'!$L$185,'Financing Plan'!$L$184)</f>
        <v>0</v>
      </c>
      <c r="M947" s="5495">
        <f>IF(AND('WW Plan'!$E$293="Activate",M931&gt;='WW Plan'!$G$293),'Financing Plan'!$L$185,'Financing Plan'!$L$184)</f>
        <v>0</v>
      </c>
      <c r="N947" s="5495">
        <f>IF(AND('WW Plan'!$E$293="Activate",N931&gt;='WW Plan'!$G$293),'Financing Plan'!$L$185,'Financing Plan'!$L$184)</f>
        <v>0</v>
      </c>
      <c r="O947" s="5496">
        <f>IF(AND('WW Plan'!$E$293="Activate",O931&gt;='WW Plan'!$G$293),'Financing Plan'!$L$185,'Financing Plan'!$L$184)</f>
        <v>0</v>
      </c>
      <c r="Q947" s="3987"/>
    </row>
    <row r="948" spans="1:17" s="170" customFormat="1" x14ac:dyDescent="0.25">
      <c r="B948" s="7261"/>
      <c r="C948" s="7265"/>
      <c r="D948" s="2838" t="s">
        <v>994</v>
      </c>
      <c r="E948" s="39">
        <f>E947</f>
        <v>0</v>
      </c>
      <c r="F948" s="5495">
        <f>IF(F947&lt;&gt;E947,F947,E948*(1+'Financing Plan'!F188))</f>
        <v>0</v>
      </c>
      <c r="G948" s="5495">
        <f>IF(G947&lt;&gt;F947,G947,F948*(1+'Financing Plan'!G188))</f>
        <v>0</v>
      </c>
      <c r="H948" s="5495">
        <f>IF(H947&lt;&gt;G947,H947,G948*(1+'Financing Plan'!H188))</f>
        <v>0</v>
      </c>
      <c r="I948" s="5495">
        <f>IF(I947&lt;&gt;H947,I947,H948*(1+'Financing Plan'!I188))</f>
        <v>0</v>
      </c>
      <c r="J948" s="5495">
        <f>IF(J947&lt;&gt;I947,J947,I948*(1+'Financing Plan'!J188))</f>
        <v>0</v>
      </c>
      <c r="K948" s="5495">
        <f>IF(K947&lt;&gt;J947,K947,J948*(1+'Financing Plan'!K188))</f>
        <v>0</v>
      </c>
      <c r="L948" s="5495">
        <f>IF(L947&lt;&gt;K947,L947,K948*(1+'Financing Plan'!L188))</f>
        <v>0</v>
      </c>
      <c r="M948" s="5495">
        <f>IF(M947&lt;&gt;L947,M947,L948*(1+'Financing Plan'!M188))</f>
        <v>0</v>
      </c>
      <c r="N948" s="5495">
        <f>IF(N947&lt;&gt;M947,N947,M948*(1+'Financing Plan'!N188))</f>
        <v>0</v>
      </c>
      <c r="O948" s="5496">
        <f>IF(O947&lt;&gt;N947,O947,N948*(1+'Financing Plan'!O188))</f>
        <v>0</v>
      </c>
      <c r="Q948" s="3987"/>
    </row>
    <row r="949" spans="1:17" s="170" customFormat="1" x14ac:dyDescent="0.25">
      <c r="B949" s="7262"/>
      <c r="C949" s="7266" t="s">
        <v>646</v>
      </c>
      <c r="D949" s="2773" t="s">
        <v>993</v>
      </c>
      <c r="E949" s="2846">
        <f>'Financing Plan'!$N$184</f>
        <v>0</v>
      </c>
      <c r="F949" s="2846">
        <f>IF(AND('WW Plan'!$E$293="Activate",F931&gt;='WW Plan'!$G$293),'Financing Plan'!$N$185,'Financing Plan'!$N$184)</f>
        <v>0</v>
      </c>
      <c r="G949" s="2846">
        <f>IF(AND('WW Plan'!$E$293="Activate",G931&gt;='WW Plan'!$G$293),'Financing Plan'!$N$185,'Financing Plan'!$N$184)</f>
        <v>0</v>
      </c>
      <c r="H949" s="2846">
        <f>IF(AND('WW Plan'!$E$293="Activate",H931&gt;='WW Plan'!$G$293),'Financing Plan'!$N$185,'Financing Plan'!$N$184)</f>
        <v>0</v>
      </c>
      <c r="I949" s="2846">
        <f>IF(AND('WW Plan'!$E$293="Activate",I931&gt;='WW Plan'!$G$293),'Financing Plan'!$N$185,'Financing Plan'!$N$184)</f>
        <v>0</v>
      </c>
      <c r="J949" s="2846">
        <f>IF(AND('WW Plan'!$E$293="Activate",J931&gt;='WW Plan'!$G$293),'Financing Plan'!$N$185,'Financing Plan'!$N$184)</f>
        <v>0</v>
      </c>
      <c r="K949" s="2846">
        <f>IF(AND('WW Plan'!$E$293="Activate",K931&gt;='WW Plan'!$G$293),'Financing Plan'!$N$185,'Financing Plan'!$N$184)</f>
        <v>0</v>
      </c>
      <c r="L949" s="2846">
        <f>IF(AND('WW Plan'!$E$293="Activate",L931&gt;='WW Plan'!$G$293),'Financing Plan'!$N$185,'Financing Plan'!$N$184)</f>
        <v>0</v>
      </c>
      <c r="M949" s="2846">
        <f>IF(AND('WW Plan'!$E$293="Activate",M931&gt;='WW Plan'!$G$293),'Financing Plan'!$N$185,'Financing Plan'!$N$184)</f>
        <v>0</v>
      </c>
      <c r="N949" s="2846">
        <f>IF(AND('WW Plan'!$E$293="Activate",N931&gt;='WW Plan'!$G$293),'Financing Plan'!$N$185,'Financing Plan'!$N$184)</f>
        <v>0</v>
      </c>
      <c r="O949" s="2847">
        <f>IF(AND('WW Plan'!$E$293="Activate",O931&gt;='WW Plan'!$G$293),'Financing Plan'!$N$185,'Financing Plan'!$N$184)</f>
        <v>0</v>
      </c>
      <c r="Q949" s="3987"/>
    </row>
    <row r="950" spans="1:17" s="170" customFormat="1" x14ac:dyDescent="0.25">
      <c r="B950" s="7263"/>
      <c r="C950" s="7267"/>
      <c r="D950" s="2848" t="s">
        <v>994</v>
      </c>
      <c r="E950" s="2849">
        <f>E949</f>
        <v>0</v>
      </c>
      <c r="F950" s="5497">
        <f>IF(F949&lt;&gt;E949,F949,E950*(1+'Financing Plan'!F189))</f>
        <v>0</v>
      </c>
      <c r="G950" s="5497">
        <f>IF(G949&lt;&gt;F949,G949,F950*(1+'Financing Plan'!G189))</f>
        <v>0</v>
      </c>
      <c r="H950" s="5497">
        <f>IF(H949&lt;&gt;G949,H949,G950*(1+'Financing Plan'!H189))</f>
        <v>0</v>
      </c>
      <c r="I950" s="5497">
        <f>IF(I949&lt;&gt;H949,I949,H950*(1+'Financing Plan'!I189))</f>
        <v>0</v>
      </c>
      <c r="J950" s="5497">
        <f>IF(J949&lt;&gt;I949,J949,I950*(1+'Financing Plan'!J189))</f>
        <v>0</v>
      </c>
      <c r="K950" s="5497">
        <f>IF(K949&lt;&gt;J949,K949,J950*(1+'Financing Plan'!K189))</f>
        <v>0</v>
      </c>
      <c r="L950" s="5497">
        <f>IF(L949&lt;&gt;K949,L949,K950*(1+'Financing Plan'!L189))</f>
        <v>0</v>
      </c>
      <c r="M950" s="5497">
        <f>IF(M949&lt;&gt;L949,M949,L950*(1+'Financing Plan'!M189))</f>
        <v>0</v>
      </c>
      <c r="N950" s="5497">
        <f>IF(N949&lt;&gt;M949,N949,M950*(1+'Financing Plan'!N189))</f>
        <v>0</v>
      </c>
      <c r="O950" s="5498">
        <f>IF(O949&lt;&gt;N949,O949,N950*(1+'Financing Plan'!O189))</f>
        <v>0</v>
      </c>
      <c r="Q950" s="3987"/>
    </row>
    <row r="951" spans="1:17" s="170" customFormat="1" x14ac:dyDescent="0.25">
      <c r="B951" s="7261"/>
      <c r="C951" s="7264" t="s">
        <v>2833</v>
      </c>
      <c r="D951" s="2780" t="s">
        <v>993</v>
      </c>
      <c r="E951" s="39">
        <f>'Financing Plan'!$J$184</f>
        <v>0</v>
      </c>
      <c r="F951" s="5495">
        <f>IF(AND('WW Plan'!$E$293="Activate",F931&gt;='WW Plan'!$G$293),'Financing Plan'!$J$185,'Financing Plan'!$J$184)</f>
        <v>0</v>
      </c>
      <c r="G951" s="5495">
        <f>IF(AND('WW Plan'!$E$293="Activate",G931&gt;='WW Plan'!$G$293),'Financing Plan'!$J$185,'Financing Plan'!$J$184)</f>
        <v>0</v>
      </c>
      <c r="H951" s="5495">
        <f>IF(AND('WW Plan'!$E$293="Activate",H931&gt;='WW Plan'!$G$293),'Financing Plan'!$J$185,'Financing Plan'!$J$184)</f>
        <v>0</v>
      </c>
      <c r="I951" s="5495">
        <f>IF(AND('WW Plan'!$E$293="Activate",I931&gt;='WW Plan'!$G$293),'Financing Plan'!$J$185,'Financing Plan'!$J$184)</f>
        <v>0</v>
      </c>
      <c r="J951" s="5495">
        <f>IF(AND('WW Plan'!$E$293="Activate",J931&gt;='WW Plan'!$G$293),'Financing Plan'!$J$185,'Financing Plan'!$J$184)</f>
        <v>0</v>
      </c>
      <c r="K951" s="5495">
        <f>IF(AND('WW Plan'!$E$293="Activate",K931&gt;='WW Plan'!$G$293),'Financing Plan'!$J$185,'Financing Plan'!$J$184)</f>
        <v>0</v>
      </c>
      <c r="L951" s="5495">
        <f>IF(AND('WW Plan'!$E$293="Activate",L931&gt;='WW Plan'!$G$293),'Financing Plan'!$J$185,'Financing Plan'!$J$184)</f>
        <v>0</v>
      </c>
      <c r="M951" s="5495">
        <f>IF(AND('WW Plan'!$E$293="Activate",M931&gt;='WW Plan'!$G$293),'Financing Plan'!$J$185,'Financing Plan'!$J$184)</f>
        <v>0</v>
      </c>
      <c r="N951" s="5495">
        <f>IF(AND('WW Plan'!$E$293="Activate",N931&gt;='WW Plan'!$G$293),'Financing Plan'!$J$185,'Financing Plan'!$J$184)</f>
        <v>0</v>
      </c>
      <c r="O951" s="5496">
        <f>IF(AND('WW Plan'!$E$293="Activate",O931&gt;='WW Plan'!$G$293),'Financing Plan'!$J$185,'Financing Plan'!$J$184)</f>
        <v>0</v>
      </c>
      <c r="Q951" s="3987"/>
    </row>
    <row r="952" spans="1:17" s="170" customFormat="1" x14ac:dyDescent="0.25">
      <c r="B952" s="7283"/>
      <c r="C952" s="7284"/>
      <c r="D952" s="2842" t="s">
        <v>994</v>
      </c>
      <c r="E952" s="2843">
        <f>E951</f>
        <v>0</v>
      </c>
      <c r="F952" s="5499">
        <f>IF(F951&lt;&gt;E951,F951,E952*(1+'Financing Plan'!F187))</f>
        <v>0</v>
      </c>
      <c r="G952" s="5499">
        <f>IF(G951&lt;&gt;F951,G951,F952*(1+'Financing Plan'!G187))</f>
        <v>0</v>
      </c>
      <c r="H952" s="5499">
        <f>IF(H951&lt;&gt;G951,H951,G952*(1+'Financing Plan'!H187))</f>
        <v>0</v>
      </c>
      <c r="I952" s="5499">
        <f>IF(I951&lt;&gt;H951,I951,H952*(1+'Financing Plan'!I187))</f>
        <v>0</v>
      </c>
      <c r="J952" s="5499">
        <f>IF(J951&lt;&gt;I951,J951,I952*(1+'Financing Plan'!J187))</f>
        <v>0</v>
      </c>
      <c r="K952" s="5499">
        <f>IF(K951&lt;&gt;J951,K951,J952*(1+'Financing Plan'!K187))</f>
        <v>0</v>
      </c>
      <c r="L952" s="5499">
        <f>IF(L951&lt;&gt;K951,L951,K952*(1+'Financing Plan'!L187))</f>
        <v>0</v>
      </c>
      <c r="M952" s="5499">
        <f>IF(M951&lt;&gt;L951,M951,L952*(1+'Financing Plan'!M187))</f>
        <v>0</v>
      </c>
      <c r="N952" s="5499">
        <f>IF(N951&lt;&gt;M951,N951,M952*(1+'Financing Plan'!N187))</f>
        <v>0</v>
      </c>
      <c r="O952" s="5500">
        <f>IF(O951&lt;&gt;N951,O951,N952*(1+'Financing Plan'!O187))</f>
        <v>0</v>
      </c>
      <c r="Q952" s="3987"/>
    </row>
    <row r="953" spans="1:17" s="170" customFormat="1" x14ac:dyDescent="0.25">
      <c r="B953" s="2844"/>
      <c r="C953" s="2845" t="s">
        <v>2831</v>
      </c>
      <c r="D953" s="2778"/>
      <c r="E953" s="2839"/>
      <c r="F953" s="2839"/>
      <c r="G953" s="2839"/>
      <c r="H953" s="2839"/>
      <c r="I953" s="2839"/>
      <c r="J953" s="2839"/>
      <c r="K953" s="2839"/>
      <c r="L953" s="2839"/>
      <c r="M953" s="2839"/>
      <c r="N953" s="2839"/>
      <c r="O953" s="2840"/>
      <c r="Q953" s="3987"/>
    </row>
    <row r="954" spans="1:17" s="170" customFormat="1" x14ac:dyDescent="0.25">
      <c r="B954" s="7261"/>
      <c r="C954" s="7264" t="s">
        <v>2832</v>
      </c>
      <c r="D954" s="2780" t="s">
        <v>993</v>
      </c>
      <c r="E954" s="39">
        <v>0</v>
      </c>
      <c r="F954" s="39">
        <f>IF(AND('WW Plan'!$E$282="Activate",F931&gt;='WW Plan'!$G$282),'WW Plan'!$G$291,0)</f>
        <v>0</v>
      </c>
      <c r="G954" s="39">
        <f>IF(AND('WW Plan'!$E$282="Activate",G931&gt;='WW Plan'!$G$282),'WW Plan'!$G$291,0)</f>
        <v>0</v>
      </c>
      <c r="H954" s="39">
        <f>IF(AND('WW Plan'!$E$282="Activate",H931&gt;='WW Plan'!$G$282),'WW Plan'!$G$291,0)</f>
        <v>0</v>
      </c>
      <c r="I954" s="39">
        <f>IF(AND('WW Plan'!$E$282="Activate",I931&gt;='WW Plan'!$G$282),'WW Plan'!$G$291,0)</f>
        <v>0</v>
      </c>
      <c r="J954" s="39">
        <f>IF(AND('WW Plan'!$E$282="Activate",J931&gt;='WW Plan'!$G$282),'WW Plan'!$G$291,0)</f>
        <v>0</v>
      </c>
      <c r="K954" s="39">
        <f>IF(AND('WW Plan'!$E$282="Activate",K931&gt;='WW Plan'!$G$282),'WW Plan'!$G$291,0)</f>
        <v>0</v>
      </c>
      <c r="L954" s="39">
        <f>IF(AND('WW Plan'!$E$282="Activate",L931&gt;='WW Plan'!$G$282),'WW Plan'!$G$291,0)</f>
        <v>0</v>
      </c>
      <c r="M954" s="39">
        <f>IF(AND('WW Plan'!$E$282="Activate",M931&gt;='WW Plan'!$G$282),'WW Plan'!$G$291,0)</f>
        <v>0</v>
      </c>
      <c r="N954" s="39">
        <f>IF(AND('WW Plan'!$E$282="Activate",N931&gt;='WW Plan'!$G$282),'WW Plan'!$G$291,0)</f>
        <v>0</v>
      </c>
      <c r="O954" s="2841">
        <f>IF(AND('WW Plan'!$E$282="Activate",O931&gt;='WW Plan'!$G$282),'WW Plan'!$G$291,0)</f>
        <v>0</v>
      </c>
      <c r="Q954" s="3987"/>
    </row>
    <row r="955" spans="1:17" s="170" customFormat="1" x14ac:dyDescent="0.25">
      <c r="B955" s="7261"/>
      <c r="C955" s="7265"/>
      <c r="D955" s="2838" t="s">
        <v>994</v>
      </c>
      <c r="E955" s="39"/>
      <c r="F955" s="5495">
        <f>IF(F954&lt;&gt;E954,F954,E955*(1+'Financing Plan'!F195))</f>
        <v>0</v>
      </c>
      <c r="G955" s="5495">
        <f>IF(G954&lt;&gt;F954,G954,F955*(1+'Financing Plan'!G195))</f>
        <v>0</v>
      </c>
      <c r="H955" s="5495">
        <f>IF(H954&lt;&gt;G954,H954,G955*(1+'Financing Plan'!H195))</f>
        <v>0</v>
      </c>
      <c r="I955" s="5495">
        <f>IF(I954&lt;&gt;H954,I954,H955*(1+'Financing Plan'!I195))</f>
        <v>0</v>
      </c>
      <c r="J955" s="5495">
        <f>IF(J954&lt;&gt;I954,J954,I955*(1+'Financing Plan'!J195))</f>
        <v>0</v>
      </c>
      <c r="K955" s="5495">
        <f>IF(K954&lt;&gt;J954,K954,J955*(1+'Financing Plan'!K195))</f>
        <v>0</v>
      </c>
      <c r="L955" s="5495">
        <f>IF(L954&lt;&gt;K954,L954,K955*(1+'Financing Plan'!L195))</f>
        <v>0</v>
      </c>
      <c r="M955" s="5495">
        <f>IF(M954&lt;&gt;L954,M954,L955*(1+'Financing Plan'!M195))</f>
        <v>0</v>
      </c>
      <c r="N955" s="5495">
        <f>IF(N954&lt;&gt;M954,N954,M955*(1+'Financing Plan'!N195))</f>
        <v>0</v>
      </c>
      <c r="O955" s="5496">
        <f>IF(O954&lt;&gt;N954,O954,N955*(1+'Financing Plan'!O195))</f>
        <v>0</v>
      </c>
      <c r="P955" s="5501"/>
      <c r="Q955" s="3987"/>
    </row>
    <row r="956" spans="1:17" s="170" customFormat="1" x14ac:dyDescent="0.25">
      <c r="B956" s="7262"/>
      <c r="C956" s="7266" t="s">
        <v>646</v>
      </c>
      <c r="D956" s="2773" t="s">
        <v>993</v>
      </c>
      <c r="E956" s="2846">
        <v>0</v>
      </c>
      <c r="F956" s="2846">
        <f>IF(AND('WW Plan'!$E$282="Activate",F931&gt;='WW Plan'!$G$282),'WW Plan'!$H$291,0)</f>
        <v>0</v>
      </c>
      <c r="G956" s="2846">
        <f>IF(AND('WW Plan'!$E$282="Activate",G931&gt;='WW Plan'!$G$282),'WW Plan'!$H$291,0)</f>
        <v>0</v>
      </c>
      <c r="H956" s="2846">
        <f>IF(AND('WW Plan'!$E$282="Activate",H931&gt;='WW Plan'!$G$282),'WW Plan'!$H$291,0)</f>
        <v>0</v>
      </c>
      <c r="I956" s="2846">
        <f>IF(AND('WW Plan'!$E$282="Activate",I931&gt;='WW Plan'!$G$282),'WW Plan'!$H$291,0)</f>
        <v>0</v>
      </c>
      <c r="J956" s="2846">
        <f>IF(AND('WW Plan'!$E$282="Activate",J931&gt;='WW Plan'!$G$282),'WW Plan'!$H$291,0)</f>
        <v>0</v>
      </c>
      <c r="K956" s="2846">
        <f>IF(AND('WW Plan'!$E$282="Activate",K931&gt;='WW Plan'!$G$282),'WW Plan'!$H$291,0)</f>
        <v>0</v>
      </c>
      <c r="L956" s="2846">
        <f>IF(AND('WW Plan'!$E$282="Activate",L931&gt;='WW Plan'!$G$282),'WW Plan'!$H$291,0)</f>
        <v>0</v>
      </c>
      <c r="M956" s="2846">
        <f>IF(AND('WW Plan'!$E$282="Activate",M931&gt;='WW Plan'!$G$282),'WW Plan'!$H$291,0)</f>
        <v>0</v>
      </c>
      <c r="N956" s="2846">
        <f>IF(AND('WW Plan'!$E$282="Activate",N931&gt;='WW Plan'!$G$282),'WW Plan'!$H$291,0)</f>
        <v>0</v>
      </c>
      <c r="O956" s="2847">
        <f>IF(AND('WW Plan'!$E$282="Activate",O931&gt;='WW Plan'!$G$282),'WW Plan'!$H$291,0)</f>
        <v>0</v>
      </c>
      <c r="Q956" s="3987"/>
    </row>
    <row r="957" spans="1:17" s="170" customFormat="1" x14ac:dyDescent="0.25">
      <c r="B957" s="7263"/>
      <c r="C957" s="7267"/>
      <c r="D957" s="2848" t="s">
        <v>994</v>
      </c>
      <c r="E957" s="2849"/>
      <c r="F957" s="5497">
        <f>IF(F956&lt;&gt;E956,F956,E957*(1+'Financing Plan'!F196))</f>
        <v>0</v>
      </c>
      <c r="G957" s="5497">
        <f>IF(G956&lt;&gt;F956,G956,F957*(1+'Financing Plan'!G196))</f>
        <v>0</v>
      </c>
      <c r="H957" s="5497">
        <f>IF(H956&lt;&gt;G956,H956,G957*(1+'Financing Plan'!H196))</f>
        <v>0</v>
      </c>
      <c r="I957" s="5497">
        <f>IF(I956&lt;&gt;H956,I956,H957*(1+'Financing Plan'!I196))</f>
        <v>0</v>
      </c>
      <c r="J957" s="5497">
        <f>IF(J956&lt;&gt;I956,J956,I957*(1+'Financing Plan'!J196))</f>
        <v>0</v>
      </c>
      <c r="K957" s="5497">
        <f>IF(K956&lt;&gt;J956,K956,J957*(1+'Financing Plan'!K196))</f>
        <v>0</v>
      </c>
      <c r="L957" s="5497">
        <f>IF(L956&lt;&gt;K956,L956,K957*(1+'Financing Plan'!L196))</f>
        <v>0</v>
      </c>
      <c r="M957" s="5497">
        <f>IF(M956&lt;&gt;L956,M956,L957*(1+'Financing Plan'!M196))</f>
        <v>0</v>
      </c>
      <c r="N957" s="5497">
        <f>IF(N956&lt;&gt;M956,N956,M957*(1+'Financing Plan'!N196))</f>
        <v>0</v>
      </c>
      <c r="O957" s="5498">
        <f>IF(O956&lt;&gt;N956,O956,N957*(1+'Financing Plan'!O196))</f>
        <v>0</v>
      </c>
      <c r="Q957" s="3987"/>
    </row>
    <row r="958" spans="1:17" s="170" customFormat="1" ht="15" customHeight="1" x14ac:dyDescent="0.25">
      <c r="B958" s="7261"/>
      <c r="C958" s="7264" t="s">
        <v>2833</v>
      </c>
      <c r="D958" s="2780" t="s">
        <v>993</v>
      </c>
      <c r="E958" s="39">
        <v>0</v>
      </c>
      <c r="F958" s="39">
        <f>IF(AND('WW Plan'!$E$282="Activate",F931&gt;='WW Plan'!$G$282),'WW Plan'!$G$292,0)</f>
        <v>0</v>
      </c>
      <c r="G958" s="39">
        <f>IF(AND('WW Plan'!$E$282="Activate",G931&gt;='WW Plan'!$G$282),'WW Plan'!$G$292,0)</f>
        <v>0</v>
      </c>
      <c r="H958" s="39">
        <f>IF(AND('WW Plan'!$E$282="Activate",H931&gt;='WW Plan'!$G$282),'WW Plan'!$G$292,0)</f>
        <v>0</v>
      </c>
      <c r="I958" s="39">
        <f>IF(AND('WW Plan'!$E$282="Activate",I931&gt;='WW Plan'!$G$282),'WW Plan'!$G$292,0)</f>
        <v>0</v>
      </c>
      <c r="J958" s="39">
        <f>IF(AND('WW Plan'!$E$282="Activate",J931&gt;='WW Plan'!$G$282),'WW Plan'!$G$292,0)</f>
        <v>0</v>
      </c>
      <c r="K958" s="39">
        <f>IF(AND('WW Plan'!$E$282="Activate",K931&gt;='WW Plan'!$G$282),'WW Plan'!$G$292,0)</f>
        <v>0</v>
      </c>
      <c r="L958" s="39">
        <f>IF(AND('WW Plan'!$E$282="Activate",L931&gt;='WW Plan'!$G$282),'WW Plan'!$G$292,0)</f>
        <v>0</v>
      </c>
      <c r="M958" s="39">
        <f>IF(AND('WW Plan'!$E$282="Activate",M931&gt;='WW Plan'!$G$282),'WW Plan'!$G$292,0)</f>
        <v>0</v>
      </c>
      <c r="N958" s="39">
        <f>IF(AND('WW Plan'!$E$282="Activate",N931&gt;='WW Plan'!$G$282),'WW Plan'!$G$292,0)</f>
        <v>0</v>
      </c>
      <c r="O958" s="2841">
        <f>IF(AND('WW Plan'!$E$282="Activate",O931&gt;='WW Plan'!$G$282),'WW Plan'!$G$292,0)</f>
        <v>0</v>
      </c>
      <c r="Q958" s="3987"/>
    </row>
    <row r="959" spans="1:17" s="170" customFormat="1" x14ac:dyDescent="0.25">
      <c r="B959" s="7261"/>
      <c r="C959" s="7265"/>
      <c r="D959" s="2838" t="s">
        <v>994</v>
      </c>
      <c r="E959" s="39"/>
      <c r="F959" s="5497">
        <f>IF(F958&lt;&gt;E958,F958,E959*(1+'Financing Plan'!F194))</f>
        <v>0</v>
      </c>
      <c r="G959" s="5495">
        <f>IF(G958&lt;&gt;F958,G958,F959*(1+'Financing Plan'!G194))</f>
        <v>0</v>
      </c>
      <c r="H959" s="5495">
        <f>IF(H958&lt;&gt;G958,H958,G959*(1+'Financing Plan'!H194))</f>
        <v>0</v>
      </c>
      <c r="I959" s="5495">
        <f>IF(I958&lt;&gt;H958,I958,H959*(1+'Financing Plan'!I194))</f>
        <v>0</v>
      </c>
      <c r="J959" s="5495">
        <f>IF(J958&lt;&gt;I958,J958,I959*(1+'Financing Plan'!J194))</f>
        <v>0</v>
      </c>
      <c r="K959" s="5495">
        <f>IF(K958&lt;&gt;J958,K958,J959*(1+'Financing Plan'!K194))</f>
        <v>0</v>
      </c>
      <c r="L959" s="5495">
        <f>IF(L958&lt;&gt;K958,L958,K959*(1+'Financing Plan'!L194))</f>
        <v>0</v>
      </c>
      <c r="M959" s="5495">
        <f>IF(M958&lt;&gt;L958,M958,L959*(1+'Financing Plan'!M194))</f>
        <v>0</v>
      </c>
      <c r="N959" s="5495">
        <f>IF(N958&lt;&gt;M958,N958,M959*(1+'Financing Plan'!N194))</f>
        <v>0</v>
      </c>
      <c r="O959" s="5496">
        <f>IF(O958&lt;&gt;N958,O958,N959*(1+'Financing Plan'!O194))</f>
        <v>0</v>
      </c>
      <c r="Q959" s="3987"/>
    </row>
    <row r="960" spans="1:17" s="170" customFormat="1" x14ac:dyDescent="0.25">
      <c r="B960" s="2844"/>
      <c r="C960" s="2845" t="s">
        <v>2834</v>
      </c>
      <c r="D960" s="2850"/>
      <c r="E960" s="2839"/>
      <c r="F960" s="2839"/>
      <c r="G960" s="2839"/>
      <c r="H960" s="2839"/>
      <c r="I960" s="2839"/>
      <c r="J960" s="2839"/>
      <c r="K960" s="2839"/>
      <c r="L960" s="2839"/>
      <c r="M960" s="2839"/>
      <c r="N960" s="2839"/>
      <c r="O960" s="2840"/>
      <c r="Q960" s="3987"/>
    </row>
    <row r="961" spans="1:17" s="170" customFormat="1" x14ac:dyDescent="0.25">
      <c r="B961" s="2376"/>
      <c r="C961" s="2823" t="s">
        <v>2127</v>
      </c>
      <c r="D961" s="2482"/>
      <c r="E961" s="2705">
        <v>0</v>
      </c>
      <c r="F961" s="6032">
        <f>MAX(F487-E487,0)*F$948/CurrencyMultiplier</f>
        <v>0</v>
      </c>
      <c r="G961" s="2705">
        <f>MAX(G487-F487,0)*G$948/CurrencyMultiplier</f>
        <v>0</v>
      </c>
      <c r="H961" s="2705">
        <f>MAX(H487-G487,0)*H$948/CurrencyMultiplier</f>
        <v>0</v>
      </c>
      <c r="I961" s="2705">
        <f>MAX(I487-H487,0)*I$948/CurrencyMultiplier</f>
        <v>0</v>
      </c>
      <c r="J961" s="2705">
        <f>MAX(J487-I487,0)*J$948/CurrencyMultiplier</f>
        <v>0</v>
      </c>
      <c r="K961" s="2705">
        <f>MAX(K487-J487,0)*K$948/CurrencyMultiplier</f>
        <v>0</v>
      </c>
      <c r="L961" s="2705">
        <f>MAX(L487-K487,0)*L$948/CurrencyMultiplier</f>
        <v>0</v>
      </c>
      <c r="M961" s="2705">
        <f>MAX(M487-L487,0)*M$948/CurrencyMultiplier</f>
        <v>0</v>
      </c>
      <c r="N961" s="2705">
        <f>MAX(N487-M487,0)*N$948/CurrencyMultiplier</f>
        <v>0</v>
      </c>
      <c r="O961" s="2710">
        <f>MAX(O487-N487,0)*O$948/CurrencyMultiplier</f>
        <v>0</v>
      </c>
      <c r="Q961" s="3987"/>
    </row>
    <row r="962" spans="1:17" s="170" customFormat="1" x14ac:dyDescent="0.25">
      <c r="B962" s="2376"/>
      <c r="C962" s="2823" t="s">
        <v>2128</v>
      </c>
      <c r="D962" s="2580"/>
      <c r="E962" s="2705">
        <v>0</v>
      </c>
      <c r="F962" s="6032">
        <f>MAX(F488-E488,0)*F$950/CurrencyMultiplier</f>
        <v>0</v>
      </c>
      <c r="G962" s="2705">
        <f>MAX(G488-F488,0)*G$950/CurrencyMultiplier</f>
        <v>0</v>
      </c>
      <c r="H962" s="2705">
        <f>MAX(H488-G488,0)*H$950/CurrencyMultiplier</f>
        <v>0</v>
      </c>
      <c r="I962" s="2705">
        <f>MAX(I488-H488,0)*I$950/CurrencyMultiplier</f>
        <v>0</v>
      </c>
      <c r="J962" s="2705">
        <f>MAX(J488-I488,0)*J$950/CurrencyMultiplier</f>
        <v>0</v>
      </c>
      <c r="K962" s="2705">
        <f>MAX(K488-J488,0)*K$950/CurrencyMultiplier</f>
        <v>0</v>
      </c>
      <c r="L962" s="2705">
        <f>MAX(L488-K488,0)*L$950/CurrencyMultiplier</f>
        <v>0</v>
      </c>
      <c r="M962" s="2705">
        <f>MAX(M488-L488,0)*M$950/CurrencyMultiplier</f>
        <v>0</v>
      </c>
      <c r="N962" s="2705">
        <f>MAX(N488-M488,0)*N$950/CurrencyMultiplier</f>
        <v>0</v>
      </c>
      <c r="O962" s="2710">
        <f>MAX(O488-N488,0)*O$950/CurrencyMultiplier</f>
        <v>0</v>
      </c>
      <c r="Q962" s="3987"/>
    </row>
    <row r="963" spans="1:17" s="170" customFormat="1" x14ac:dyDescent="0.25">
      <c r="B963" s="2376"/>
      <c r="C963" s="2823" t="s">
        <v>2129</v>
      </c>
      <c r="D963" s="2580"/>
      <c r="E963" s="2705">
        <v>0</v>
      </c>
      <c r="F963" s="6032">
        <f>MAX(F489-E489,0)*F$952/CurrencyMultiplier</f>
        <v>0</v>
      </c>
      <c r="G963" s="2705">
        <f>MAX(G489-F489,0)*G$952/CurrencyMultiplier</f>
        <v>0</v>
      </c>
      <c r="H963" s="2705">
        <f>MAX(H489-G489,0)*H$952/CurrencyMultiplier</f>
        <v>0</v>
      </c>
      <c r="I963" s="2705">
        <f>MAX(I489-H489,0)*I$952/CurrencyMultiplier</f>
        <v>0</v>
      </c>
      <c r="J963" s="2705">
        <f>MAX(J489-I489,0)*J$952/CurrencyMultiplier</f>
        <v>0</v>
      </c>
      <c r="K963" s="2705">
        <f>MAX(K489-J489,0)*K$952/CurrencyMultiplier</f>
        <v>0</v>
      </c>
      <c r="L963" s="2705">
        <f>MAX(L489-K489,0)*L$952/CurrencyMultiplier</f>
        <v>0</v>
      </c>
      <c r="M963" s="2705">
        <f>MAX(M489-L489,0)*M$952/CurrencyMultiplier</f>
        <v>0</v>
      </c>
      <c r="N963" s="2705">
        <f>MAX(N489-M489,0)*N$952/CurrencyMultiplier</f>
        <v>0</v>
      </c>
      <c r="O963" s="2710">
        <f>MAX(O489-N489,0)*O$952/CurrencyMultiplier</f>
        <v>0</v>
      </c>
      <c r="Q963" s="3987"/>
    </row>
    <row r="964" spans="1:17" s="170" customFormat="1" x14ac:dyDescent="0.25">
      <c r="B964" s="2832"/>
      <c r="C964" s="2833" t="s">
        <v>2125</v>
      </c>
      <c r="D964" s="2851"/>
      <c r="E964" s="2834">
        <v>0</v>
      </c>
      <c r="F964" s="6033">
        <f>(MAX(F370-E370,0)*F955)/CurrencyMultiplier</f>
        <v>0</v>
      </c>
      <c r="G964" s="2834">
        <f>(MAX(G370-F370,0)*G955)/CurrencyMultiplier</f>
        <v>0</v>
      </c>
      <c r="H964" s="2834">
        <f>(MAX(H370-G370,0)*H955)/CurrencyMultiplier</f>
        <v>0</v>
      </c>
      <c r="I964" s="2834">
        <f>(MAX(I370-H370,0)*I955)/CurrencyMultiplier</f>
        <v>0</v>
      </c>
      <c r="J964" s="2834">
        <f>(MAX(J370-I370,0)*J955)/CurrencyMultiplier</f>
        <v>0</v>
      </c>
      <c r="K964" s="2834">
        <f>(MAX(K370-J370,0)*K955)/CurrencyMultiplier</f>
        <v>0</v>
      </c>
      <c r="L964" s="2834">
        <f>(MAX(L370-K370,0)*L955)/CurrencyMultiplier</f>
        <v>0</v>
      </c>
      <c r="M964" s="2834">
        <f>(MAX(M370-L370,0)*M955)/CurrencyMultiplier</f>
        <v>0</v>
      </c>
      <c r="N964" s="2834">
        <f>(MAX(N370-M370,0)*N955)/CurrencyMultiplier</f>
        <v>0</v>
      </c>
      <c r="O964" s="5244">
        <f>(MAX(O370-N370,0)*O955)/CurrencyMultiplier</f>
        <v>0</v>
      </c>
      <c r="Q964" s="3987"/>
    </row>
    <row r="965" spans="1:17" s="170" customFormat="1" x14ac:dyDescent="0.25">
      <c r="B965" s="2376"/>
      <c r="C965" s="2823" t="s">
        <v>2126</v>
      </c>
      <c r="D965" s="2580"/>
      <c r="E965" s="2705">
        <v>0</v>
      </c>
      <c r="F965" s="6032">
        <f>(MAX(F371-E371,0)*F957)/CurrencyMultiplier</f>
        <v>0</v>
      </c>
      <c r="G965" s="2705">
        <f>(MAX(G371-F371,0)*G957)/CurrencyMultiplier</f>
        <v>0</v>
      </c>
      <c r="H965" s="2705">
        <f>(MAX(H371-G371,0)*H957)/CurrencyMultiplier</f>
        <v>0</v>
      </c>
      <c r="I965" s="2705">
        <f>(MAX(I371-H371,0)*I957)/CurrencyMultiplier</f>
        <v>0</v>
      </c>
      <c r="J965" s="2705">
        <f>(MAX(J371-I371,0)*J957)/CurrencyMultiplier</f>
        <v>0</v>
      </c>
      <c r="K965" s="2705">
        <f>(MAX(K371-J371,0)*K957)/CurrencyMultiplier</f>
        <v>0</v>
      </c>
      <c r="L965" s="2705">
        <f>(MAX(L371-K371,0)*L957)/CurrencyMultiplier</f>
        <v>0</v>
      </c>
      <c r="M965" s="2705">
        <f>(MAX(M371-L371,0)*M957)/CurrencyMultiplier</f>
        <v>0</v>
      </c>
      <c r="N965" s="2705">
        <f>(MAX(N371-M371,0)*N957)/CurrencyMultiplier</f>
        <v>0</v>
      </c>
      <c r="O965" s="2710">
        <f>(MAX(O371-N371,0)*O957)/CurrencyMultiplier</f>
        <v>0</v>
      </c>
      <c r="Q965" s="3987"/>
    </row>
    <row r="966" spans="1:17" s="170" customFormat="1" x14ac:dyDescent="0.25">
      <c r="B966" s="2376"/>
      <c r="C966" s="2823" t="s">
        <v>2665</v>
      </c>
      <c r="D966" s="2580"/>
      <c r="E966" s="2705">
        <v>0</v>
      </c>
      <c r="F966" s="6034">
        <f>(MAX(F372-E372,0)*F959)/CurrencyMultiplier</f>
        <v>0</v>
      </c>
      <c r="G966" s="2837">
        <f>(MAX(G372-F372,0)*G959)/CurrencyMultiplier</f>
        <v>0</v>
      </c>
      <c r="H966" s="2837">
        <f>(MAX(H372-G372,0)*H959)/CurrencyMultiplier</f>
        <v>0</v>
      </c>
      <c r="I966" s="2837">
        <f>(MAX(I372-H372,0)*I959)/CurrencyMultiplier</f>
        <v>0</v>
      </c>
      <c r="J966" s="2837">
        <f>(MAX(J372-I372,0)*J959)/CurrencyMultiplier</f>
        <v>0</v>
      </c>
      <c r="K966" s="2837">
        <f>(MAX(K372-J372,0)*K959)/CurrencyMultiplier</f>
        <v>0</v>
      </c>
      <c r="L966" s="2837">
        <f>(MAX(L372-K372,0)*L959)/CurrencyMultiplier</f>
        <v>0</v>
      </c>
      <c r="M966" s="2837">
        <f>(MAX(M372-L372,0)*M959)/CurrencyMultiplier</f>
        <v>0</v>
      </c>
      <c r="N966" s="2837">
        <f>(MAX(N372-M372,0)*N959)/CurrencyMultiplier</f>
        <v>0</v>
      </c>
      <c r="O966" s="5245">
        <f>(MAX(O372-N372,0)*O959)/CurrencyMultiplier</f>
        <v>0</v>
      </c>
      <c r="Q966" s="3987"/>
    </row>
    <row r="967" spans="1:17" s="49" customFormat="1" x14ac:dyDescent="0.25">
      <c r="B967" s="2852"/>
      <c r="C967" s="2853" t="s">
        <v>16</v>
      </c>
      <c r="D967" s="2854"/>
      <c r="E967" s="2855">
        <f>SUM(E961:E966)</f>
        <v>0</v>
      </c>
      <c r="F967" s="2855">
        <f>SUM(F961:F966)</f>
        <v>0</v>
      </c>
      <c r="G967" s="2855">
        <f t="shared" ref="G967:O967" si="395">SUM(G961:G966)</f>
        <v>0</v>
      </c>
      <c r="H967" s="2855">
        <f t="shared" si="395"/>
        <v>0</v>
      </c>
      <c r="I967" s="2855">
        <f t="shared" si="395"/>
        <v>0</v>
      </c>
      <c r="J967" s="2855">
        <f>SUM(J961:J966)</f>
        <v>0</v>
      </c>
      <c r="K967" s="2855">
        <f t="shared" si="395"/>
        <v>0</v>
      </c>
      <c r="L967" s="2855">
        <f t="shared" si="395"/>
        <v>0</v>
      </c>
      <c r="M967" s="2855">
        <f t="shared" si="395"/>
        <v>0</v>
      </c>
      <c r="N967" s="2855">
        <f t="shared" si="395"/>
        <v>0</v>
      </c>
      <c r="O967" s="2856">
        <f t="shared" si="395"/>
        <v>0</v>
      </c>
      <c r="Q967" s="3993"/>
    </row>
    <row r="968" spans="1:17" s="49" customFormat="1" x14ac:dyDescent="0.25">
      <c r="B968" s="6104"/>
      <c r="C968" s="6105"/>
      <c r="D968" s="2580"/>
      <c r="E968" s="2730"/>
      <c r="F968" s="2730"/>
      <c r="G968" s="2730"/>
      <c r="H968" s="2730"/>
      <c r="I968" s="2730"/>
      <c r="J968" s="2730"/>
      <c r="K968" s="2730"/>
      <c r="L968" s="2730"/>
      <c r="M968" s="2730"/>
      <c r="N968" s="2730"/>
      <c r="O968" s="2730"/>
      <c r="Q968" s="3993"/>
    </row>
    <row r="969" spans="1:17" x14ac:dyDescent="0.25">
      <c r="E969" s="10"/>
      <c r="F969" s="10"/>
    </row>
    <row r="970" spans="1:17" x14ac:dyDescent="0.25">
      <c r="E970" s="24"/>
      <c r="F970" s="24"/>
      <c r="G970" s="24"/>
      <c r="H970" s="24"/>
      <c r="I970" s="24"/>
      <c r="J970" s="24"/>
      <c r="K970" s="24"/>
      <c r="L970" s="24"/>
      <c r="M970" s="24"/>
      <c r="N970" s="24"/>
      <c r="O970" s="24"/>
      <c r="P970" s="24"/>
    </row>
    <row r="972" spans="1:17" s="48" customFormat="1" x14ac:dyDescent="0.25">
      <c r="A972" s="3"/>
      <c r="B972" s="671"/>
      <c r="C972" s="720" t="s">
        <v>564</v>
      </c>
      <c r="D972" s="669"/>
      <c r="E972" s="726">
        <f>IFERROR(E936+E906+E899+E917,0)</f>
        <v>0</v>
      </c>
      <c r="F972" s="726">
        <f t="shared" ref="F972:O972" si="396">IFERROR(F936+F906+F899+F917,0)</f>
        <v>0</v>
      </c>
      <c r="G972" s="726">
        <f t="shared" si="396"/>
        <v>0</v>
      </c>
      <c r="H972" s="726">
        <f t="shared" si="396"/>
        <v>0</v>
      </c>
      <c r="I972" s="726">
        <f t="shared" si="396"/>
        <v>0</v>
      </c>
      <c r="J972" s="726">
        <f t="shared" si="396"/>
        <v>0</v>
      </c>
      <c r="K972" s="726">
        <f t="shared" si="396"/>
        <v>0</v>
      </c>
      <c r="L972" s="726">
        <f t="shared" si="396"/>
        <v>0</v>
      </c>
      <c r="M972" s="726">
        <f t="shared" si="396"/>
        <v>0</v>
      </c>
      <c r="N972" s="726">
        <f t="shared" si="396"/>
        <v>0</v>
      </c>
      <c r="O972" s="726">
        <f t="shared" si="396"/>
        <v>0</v>
      </c>
      <c r="P972" s="6107" t="s">
        <v>3919</v>
      </c>
      <c r="Q972" s="3999"/>
    </row>
    <row r="973" spans="1:17" s="48" customFormat="1" x14ac:dyDescent="0.25">
      <c r="A973" s="3"/>
      <c r="B973" s="671"/>
      <c r="C973" s="720" t="s">
        <v>560</v>
      </c>
      <c r="D973" s="669"/>
      <c r="E973" s="726">
        <f>IFERROR(E944+E909+E900+E918+'PIP finance'!F316,0)</f>
        <v>0</v>
      </c>
      <c r="F973" s="726">
        <f>IFERROR(F944+F909+F900+F918+'PIP finance'!G316,0)</f>
        <v>1.4133333333333336</v>
      </c>
      <c r="G973" s="726">
        <f>IFERROR(G944+G909+G900+G918+'PIP finance'!H316,0)</f>
        <v>1.4345333333333334</v>
      </c>
      <c r="H973" s="726">
        <f>IFERROR(H944+H909+H900+H918+'PIP finance'!I316,0)</f>
        <v>1.4563693333333336</v>
      </c>
      <c r="I973" s="726">
        <f>IFERROR(I944+I909+I900+I918+'PIP finance'!J316,0)</f>
        <v>17.201518364333332</v>
      </c>
      <c r="J973" s="726">
        <f>IFERROR(J944+J909+J900+J918+'PIP finance'!K316,0)</f>
        <v>17.470973915263336</v>
      </c>
      <c r="K973" s="726">
        <f>IFERROR(K944+K909+K900+K918+'PIP finance'!L316,0)</f>
        <v>0</v>
      </c>
      <c r="L973" s="726">
        <f>IFERROR(L944+L909+L900+L918+'PIP finance'!M316,0)</f>
        <v>0</v>
      </c>
      <c r="M973" s="726">
        <f>IFERROR(M944+M909+M900+M918+'PIP finance'!N316,0)</f>
        <v>0</v>
      </c>
      <c r="N973" s="726">
        <f>IFERROR(N944+N909+N900+N918+'PIP finance'!O316,0)</f>
        <v>0</v>
      </c>
      <c r="O973" s="726">
        <f>IFERROR(O944+O909+O900+O918+'PIP finance'!P316,0)</f>
        <v>0</v>
      </c>
      <c r="P973" s="6110" t="s">
        <v>3921</v>
      </c>
      <c r="Q973" s="3999"/>
    </row>
    <row r="974" spans="1:17" s="48" customFormat="1" x14ac:dyDescent="0.25">
      <c r="A974" s="3"/>
      <c r="B974" s="2857"/>
      <c r="C974" s="2858" t="s">
        <v>561</v>
      </c>
      <c r="D974" s="2859"/>
      <c r="E974" s="2860">
        <f>IFERROR(E967+E912+E901+E919+'PIP finance'!F316,0)</f>
        <v>0</v>
      </c>
      <c r="F974" s="2860">
        <f>IFERROR(F967+F912+F901+F919+'PIP finance'!G316,0)</f>
        <v>1.4133333333333336</v>
      </c>
      <c r="G974" s="2860">
        <f>IFERROR(G967+G912+G901+G919+'PIP finance'!H316,0)</f>
        <v>1.4345333333333334</v>
      </c>
      <c r="H974" s="2860">
        <f>IFERROR(H967+H912+H901+H919+'PIP finance'!I316,0)</f>
        <v>1.4563693333333336</v>
      </c>
      <c r="I974" s="2860">
        <f>IFERROR(I967+I912+I901+I919+'PIP finance'!J316,0)</f>
        <v>18.845451697666668</v>
      </c>
      <c r="J974" s="2860">
        <f>IFERROR(J967+J912+J901+J919+'PIP finance'!K316,0)</f>
        <v>19.114907248596666</v>
      </c>
      <c r="K974" s="2860">
        <f>IFERROR(K967+K912+K901+K919+'PIP finance'!L316,0)</f>
        <v>0</v>
      </c>
      <c r="L974" s="2860">
        <f>IFERROR(L967+L912+L901+L919+'PIP finance'!M316,0)</f>
        <v>0</v>
      </c>
      <c r="M974" s="2860">
        <f>IFERROR(M967+M912+M901+M919+'PIP finance'!N316,0)</f>
        <v>0</v>
      </c>
      <c r="N974" s="2860">
        <f>IFERROR(N967+N912+N901+N919+'PIP finance'!O316,0)</f>
        <v>0</v>
      </c>
      <c r="O974" s="2860">
        <f>IFERROR(O967+O912+O901+O919+'PIP finance'!P316,0)</f>
        <v>0</v>
      </c>
      <c r="P974" s="6107"/>
      <c r="Q974" s="3999"/>
    </row>
    <row r="975" spans="1:17" s="1076" customFormat="1" ht="12.75" x14ac:dyDescent="0.25">
      <c r="A975" s="1032"/>
      <c r="B975" s="2861"/>
      <c r="C975" s="2862" t="s">
        <v>1189</v>
      </c>
      <c r="D975" s="2749"/>
      <c r="E975" s="2863">
        <f>E973-E972</f>
        <v>0</v>
      </c>
      <c r="F975" s="2863">
        <f t="shared" ref="F975:O975" si="397">F973-F972</f>
        <v>1.4133333333333336</v>
      </c>
      <c r="G975" s="2863">
        <f t="shared" si="397"/>
        <v>1.4345333333333334</v>
      </c>
      <c r="H975" s="2863">
        <f t="shared" si="397"/>
        <v>1.4563693333333336</v>
      </c>
      <c r="I975" s="2863">
        <f t="shared" si="397"/>
        <v>17.201518364333332</v>
      </c>
      <c r="J975" s="2863">
        <f t="shared" si="397"/>
        <v>17.470973915263336</v>
      </c>
      <c r="K975" s="2863">
        <f t="shared" si="397"/>
        <v>0</v>
      </c>
      <c r="L975" s="2863">
        <f t="shared" si="397"/>
        <v>0</v>
      </c>
      <c r="M975" s="2863">
        <f t="shared" si="397"/>
        <v>0</v>
      </c>
      <c r="N975" s="2863">
        <f t="shared" si="397"/>
        <v>0</v>
      </c>
      <c r="O975" s="2864">
        <f t="shared" si="397"/>
        <v>0</v>
      </c>
      <c r="P975" s="6108"/>
      <c r="Q975" s="4009"/>
    </row>
    <row r="976" spans="1:17" s="1076" customFormat="1" ht="12.75" x14ac:dyDescent="0.25">
      <c r="A976" s="1032"/>
      <c r="B976" s="2865"/>
      <c r="C976" s="2866" t="s">
        <v>1185</v>
      </c>
      <c r="D976" s="2867"/>
      <c r="E976" s="2868">
        <f>E974-E973</f>
        <v>0</v>
      </c>
      <c r="F976" s="2868">
        <f t="shared" ref="F976:O976" si="398">F974-F973</f>
        <v>0</v>
      </c>
      <c r="G976" s="2868">
        <f t="shared" si="398"/>
        <v>0</v>
      </c>
      <c r="H976" s="2868">
        <f t="shared" si="398"/>
        <v>0</v>
      </c>
      <c r="I976" s="2868">
        <f t="shared" si="398"/>
        <v>1.6439333333333366</v>
      </c>
      <c r="J976" s="2868">
        <f t="shared" si="398"/>
        <v>1.6439333333333295</v>
      </c>
      <c r="K976" s="2868">
        <f t="shared" si="398"/>
        <v>0</v>
      </c>
      <c r="L976" s="2868">
        <f t="shared" si="398"/>
        <v>0</v>
      </c>
      <c r="M976" s="2868">
        <f t="shared" si="398"/>
        <v>0</v>
      </c>
      <c r="N976" s="2868">
        <f t="shared" si="398"/>
        <v>0</v>
      </c>
      <c r="O976" s="2869">
        <f t="shared" si="398"/>
        <v>0</v>
      </c>
      <c r="P976" s="6108"/>
      <c r="Q976" s="4009"/>
    </row>
    <row r="977" spans="1:17" x14ac:dyDescent="0.25">
      <c r="E977" s="10"/>
      <c r="F977" s="10"/>
    </row>
    <row r="978" spans="1:17" x14ac:dyDescent="0.25">
      <c r="E978" s="365"/>
    </row>
    <row r="980" spans="1:17" s="48" customFormat="1" ht="18.75" x14ac:dyDescent="0.25">
      <c r="A980" s="381"/>
      <c r="B980" s="381"/>
      <c r="C980" s="383" t="s">
        <v>569</v>
      </c>
      <c r="D980" s="2602"/>
      <c r="E980" s="381"/>
      <c r="F980" s="381"/>
      <c r="G980" s="381"/>
      <c r="H980" s="381"/>
      <c r="I980" s="381"/>
      <c r="J980" s="381"/>
      <c r="K980" s="381"/>
      <c r="L980" s="381"/>
      <c r="M980" s="381"/>
      <c r="N980" s="381"/>
      <c r="O980" s="382"/>
      <c r="Q980" s="3999"/>
    </row>
    <row r="982" spans="1:17" ht="15.75" thickBot="1" x14ac:dyDescent="0.3">
      <c r="E982" s="24"/>
      <c r="F982" s="24"/>
      <c r="G982" s="24"/>
      <c r="H982" s="24"/>
      <c r="I982" s="24"/>
      <c r="J982" s="24"/>
      <c r="K982" s="24"/>
      <c r="L982" s="24"/>
      <c r="M982" s="24"/>
      <c r="N982" s="24"/>
      <c r="O982" s="24"/>
      <c r="P982" s="24"/>
    </row>
    <row r="983" spans="1:17" ht="15.75" thickBot="1" x14ac:dyDescent="0.3">
      <c r="C983" s="644" t="s">
        <v>570</v>
      </c>
      <c r="D983" s="2603">
        <f>'WS calcu'!E$3</f>
        <v>2014</v>
      </c>
      <c r="E983" s="543">
        <f>'WS calcu'!F$3</f>
        <v>2015</v>
      </c>
      <c r="F983" s="543">
        <f>'WS calcu'!G$3</f>
        <v>2016</v>
      </c>
      <c r="G983" s="543">
        <f>'WS calcu'!H$3</f>
        <v>2017</v>
      </c>
      <c r="H983" s="543">
        <f>'WS calcu'!I$3</f>
        <v>2018</v>
      </c>
      <c r="I983" s="543">
        <f>'WS calcu'!J$3</f>
        <v>2019</v>
      </c>
      <c r="J983" s="543">
        <f>'WS calcu'!K$3</f>
        <v>2020</v>
      </c>
      <c r="K983" s="543">
        <f>'WS calcu'!L$3</f>
        <v>2021</v>
      </c>
      <c r="L983" s="543">
        <f>'WS calcu'!M$3</f>
        <v>2022</v>
      </c>
      <c r="M983" s="543">
        <f>'WS calcu'!N$3</f>
        <v>2023</v>
      </c>
      <c r="N983" s="544">
        <f>'WS calcu'!O$3</f>
        <v>2024</v>
      </c>
    </row>
    <row r="984" spans="1:17" x14ac:dyDescent="0.25">
      <c r="C984" s="2887" t="s">
        <v>744</v>
      </c>
      <c r="D984" s="2604"/>
      <c r="E984" s="1399"/>
      <c r="F984" s="1399"/>
      <c r="G984" s="1399"/>
      <c r="H984" s="1399"/>
      <c r="I984" s="1399"/>
      <c r="J984" s="1399"/>
      <c r="K984" s="1399"/>
      <c r="L984" s="1399"/>
      <c r="M984" s="1399"/>
      <c r="N984" s="540"/>
    </row>
    <row r="985" spans="1:17" x14ac:dyDescent="0.25">
      <c r="A985" s="27"/>
      <c r="C985" s="1307" t="s">
        <v>148</v>
      </c>
      <c r="D985" s="2605">
        <f>D67</f>
        <v>0</v>
      </c>
      <c r="E985" s="122">
        <f t="shared" ref="E985:N985" si="399">D985+(SUM(F59:F62)-SUM(E59:E62))+F254+F255</f>
        <v>0</v>
      </c>
      <c r="F985" s="122">
        <f t="shared" si="399"/>
        <v>0</v>
      </c>
      <c r="G985" s="122">
        <f t="shared" si="399"/>
        <v>0</v>
      </c>
      <c r="H985" s="122">
        <f t="shared" si="399"/>
        <v>0</v>
      </c>
      <c r="I985" s="122">
        <f t="shared" si="399"/>
        <v>0</v>
      </c>
      <c r="J985" s="122">
        <f t="shared" si="399"/>
        <v>0</v>
      </c>
      <c r="K985" s="122">
        <f t="shared" si="399"/>
        <v>0</v>
      </c>
      <c r="L985" s="122">
        <f t="shared" si="399"/>
        <v>0</v>
      </c>
      <c r="M985" s="122">
        <f t="shared" si="399"/>
        <v>0</v>
      </c>
      <c r="N985" s="1308">
        <f t="shared" si="399"/>
        <v>0</v>
      </c>
      <c r="O985" s="123"/>
    </row>
    <row r="986" spans="1:17" s="124" customFormat="1" x14ac:dyDescent="0.25">
      <c r="B986" s="9"/>
      <c r="C986" s="1307" t="s">
        <v>605</v>
      </c>
      <c r="D986" s="2606">
        <f>D35</f>
        <v>424</v>
      </c>
      <c r="E986" s="2267">
        <f t="shared" ref="E986:N986" si="400">D986+F27+F28+F252+F253+(F43-E43)+(F44-E44)</f>
        <v>1926.6000000000001</v>
      </c>
      <c r="F986" s="2267">
        <f t="shared" si="400"/>
        <v>3429.2000000000003</v>
      </c>
      <c r="G986" s="2267">
        <f t="shared" si="400"/>
        <v>4931.8</v>
      </c>
      <c r="H986" s="2267">
        <f t="shared" si="400"/>
        <v>6434.4000000000005</v>
      </c>
      <c r="I986" s="2267">
        <f t="shared" si="400"/>
        <v>7937.0000000000009</v>
      </c>
      <c r="J986" s="2267">
        <f t="shared" si="400"/>
        <v>7937.0000000000009</v>
      </c>
      <c r="K986" s="2267">
        <f t="shared" si="400"/>
        <v>7937.0000000000009</v>
      </c>
      <c r="L986" s="2267">
        <f t="shared" si="400"/>
        <v>7937.0000000000009</v>
      </c>
      <c r="M986" s="2267">
        <f t="shared" si="400"/>
        <v>7937.0000000000009</v>
      </c>
      <c r="N986" s="1212">
        <f t="shared" si="400"/>
        <v>7937.0000000000009</v>
      </c>
      <c r="O986" s="1207"/>
    </row>
    <row r="987" spans="1:17" s="124" customFormat="1" x14ac:dyDescent="0.25">
      <c r="A987" s="163"/>
      <c r="B987" s="9"/>
      <c r="C987" s="1236" t="s">
        <v>1120</v>
      </c>
      <c r="D987" s="2607">
        <f t="shared" ref="D987:N987" si="401">E246+E247</f>
        <v>4218</v>
      </c>
      <c r="E987" s="1211">
        <f t="shared" si="401"/>
        <v>3374.4</v>
      </c>
      <c r="F987" s="1211">
        <f t="shared" si="401"/>
        <v>2530.7999999999997</v>
      </c>
      <c r="G987" s="1211">
        <f t="shared" si="401"/>
        <v>1687.2000000000003</v>
      </c>
      <c r="H987" s="1211">
        <f t="shared" si="401"/>
        <v>843.60000000000014</v>
      </c>
      <c r="I987" s="1211">
        <f t="shared" si="401"/>
        <v>0</v>
      </c>
      <c r="J987" s="1211">
        <f t="shared" si="401"/>
        <v>0</v>
      </c>
      <c r="K987" s="1211">
        <f t="shared" si="401"/>
        <v>0</v>
      </c>
      <c r="L987" s="1211">
        <f t="shared" si="401"/>
        <v>0</v>
      </c>
      <c r="M987" s="1211">
        <f t="shared" si="401"/>
        <v>0</v>
      </c>
      <c r="N987" s="1212">
        <f t="shared" si="401"/>
        <v>0</v>
      </c>
      <c r="O987" s="4041"/>
    </row>
    <row r="988" spans="1:17" s="52" customFormat="1" x14ac:dyDescent="0.25">
      <c r="A988" s="143"/>
      <c r="B988" s="143"/>
      <c r="C988" s="2902" t="s">
        <v>2966</v>
      </c>
      <c r="D988" s="5246">
        <f t="shared" ref="D988:N988" si="402">E93+E94</f>
        <v>0</v>
      </c>
      <c r="E988" s="2413">
        <f t="shared" si="402"/>
        <v>0</v>
      </c>
      <c r="F988" s="2413">
        <f t="shared" si="402"/>
        <v>0</v>
      </c>
      <c r="G988" s="2413">
        <f t="shared" si="402"/>
        <v>0</v>
      </c>
      <c r="H988" s="2413">
        <f t="shared" si="402"/>
        <v>0</v>
      </c>
      <c r="I988" s="2413">
        <f t="shared" si="402"/>
        <v>0</v>
      </c>
      <c r="J988" s="2413">
        <f t="shared" si="402"/>
        <v>0</v>
      </c>
      <c r="K988" s="2413">
        <f t="shared" si="402"/>
        <v>0</v>
      </c>
      <c r="L988" s="2413">
        <f t="shared" si="402"/>
        <v>0</v>
      </c>
      <c r="M988" s="2413">
        <f t="shared" si="402"/>
        <v>0</v>
      </c>
      <c r="N988" s="5247">
        <f t="shared" si="402"/>
        <v>0</v>
      </c>
      <c r="O988" s="2229"/>
    </row>
    <row r="989" spans="1:17" s="170" customFormat="1" x14ac:dyDescent="0.25">
      <c r="B989" s="9"/>
      <c r="C989" s="1307" t="s">
        <v>2788</v>
      </c>
      <c r="D989" s="2606">
        <f t="shared" ref="D989:N989" si="403">E128+E145+E165+E166</f>
        <v>2236</v>
      </c>
      <c r="E989" s="2267">
        <f t="shared" si="403"/>
        <v>2374</v>
      </c>
      <c r="F989" s="2267">
        <f t="shared" si="403"/>
        <v>2512</v>
      </c>
      <c r="G989" s="2267">
        <f t="shared" si="403"/>
        <v>2650</v>
      </c>
      <c r="H989" s="2267">
        <f t="shared" si="403"/>
        <v>2650</v>
      </c>
      <c r="I989" s="2267">
        <f t="shared" si="403"/>
        <v>2650</v>
      </c>
      <c r="J989" s="2267">
        <f t="shared" si="403"/>
        <v>2650</v>
      </c>
      <c r="K989" s="2267">
        <f t="shared" si="403"/>
        <v>2650</v>
      </c>
      <c r="L989" s="2267">
        <f t="shared" si="403"/>
        <v>2650</v>
      </c>
      <c r="M989" s="2267">
        <f t="shared" si="403"/>
        <v>2650</v>
      </c>
      <c r="N989" s="2409">
        <f t="shared" si="403"/>
        <v>2650</v>
      </c>
      <c r="Q989" s="3987"/>
    </row>
    <row r="990" spans="1:17" s="170" customFormat="1" x14ac:dyDescent="0.25">
      <c r="B990" s="9"/>
      <c r="C990" s="2419" t="s">
        <v>1121</v>
      </c>
      <c r="D990" s="2608">
        <f t="shared" ref="D990:N990" si="404">E127+E144</f>
        <v>0</v>
      </c>
      <c r="E990" s="2277">
        <f t="shared" si="404"/>
        <v>0</v>
      </c>
      <c r="F990" s="2277">
        <f t="shared" si="404"/>
        <v>0</v>
      </c>
      <c r="G990" s="2277">
        <f t="shared" si="404"/>
        <v>0</v>
      </c>
      <c r="H990" s="2277">
        <f t="shared" si="404"/>
        <v>0</v>
      </c>
      <c r="I990" s="2277">
        <f t="shared" si="404"/>
        <v>0</v>
      </c>
      <c r="J990" s="2277">
        <f t="shared" si="404"/>
        <v>0</v>
      </c>
      <c r="K990" s="2277">
        <f t="shared" si="404"/>
        <v>0</v>
      </c>
      <c r="L990" s="2277">
        <f t="shared" si="404"/>
        <v>0</v>
      </c>
      <c r="M990" s="2277">
        <f t="shared" si="404"/>
        <v>0</v>
      </c>
      <c r="N990" s="2420">
        <f t="shared" si="404"/>
        <v>0</v>
      </c>
      <c r="Q990" s="3987"/>
    </row>
    <row r="991" spans="1:17" s="1219" customFormat="1" ht="15.75" customHeight="1" x14ac:dyDescent="0.25">
      <c r="A991" s="1217"/>
      <c r="B991" s="9"/>
      <c r="C991" s="1238" t="s">
        <v>2977</v>
      </c>
      <c r="D991" s="2609">
        <f>Population!E31</f>
        <v>0</v>
      </c>
      <c r="E991" s="1218">
        <f>Population!F31</f>
        <v>0</v>
      </c>
      <c r="F991" s="1218">
        <f>Population!G31</f>
        <v>0</v>
      </c>
      <c r="G991" s="1218">
        <f>Population!H31</f>
        <v>0</v>
      </c>
      <c r="H991" s="1218">
        <f>Population!I31</f>
        <v>0</v>
      </c>
      <c r="I991" s="1218">
        <f>Population!J31</f>
        <v>0</v>
      </c>
      <c r="J991" s="1218">
        <f>Population!K31</f>
        <v>0</v>
      </c>
      <c r="K991" s="1218">
        <f>Population!L31</f>
        <v>0</v>
      </c>
      <c r="L991" s="1218">
        <f>Population!M31</f>
        <v>0</v>
      </c>
      <c r="M991" s="1218">
        <f>Population!N31</f>
        <v>0</v>
      </c>
      <c r="N991" s="1223">
        <f>Population!O31</f>
        <v>0</v>
      </c>
      <c r="O991" s="1217"/>
      <c r="Q991" s="4010"/>
    </row>
    <row r="992" spans="1:17" x14ac:dyDescent="0.25">
      <c r="C992" s="1236" t="s">
        <v>2971</v>
      </c>
      <c r="D992" s="2607">
        <f>D985</f>
        <v>0</v>
      </c>
      <c r="E992" s="1211">
        <f t="shared" ref="E992:N992" si="405">E985</f>
        <v>0</v>
      </c>
      <c r="F992" s="1211">
        <f t="shared" si="405"/>
        <v>0</v>
      </c>
      <c r="G992" s="1211">
        <f t="shared" si="405"/>
        <v>0</v>
      </c>
      <c r="H992" s="1211">
        <f t="shared" si="405"/>
        <v>0</v>
      </c>
      <c r="I992" s="1211">
        <f t="shared" si="405"/>
        <v>0</v>
      </c>
      <c r="J992" s="1211">
        <f t="shared" si="405"/>
        <v>0</v>
      </c>
      <c r="K992" s="1211">
        <f t="shared" si="405"/>
        <v>0</v>
      </c>
      <c r="L992" s="1211">
        <f t="shared" si="405"/>
        <v>0</v>
      </c>
      <c r="M992" s="1211">
        <f t="shared" si="405"/>
        <v>0</v>
      </c>
      <c r="N992" s="1212">
        <f t="shared" si="405"/>
        <v>0</v>
      </c>
    </row>
    <row r="993" spans="1:17" x14ac:dyDescent="0.25">
      <c r="C993" s="1236" t="s">
        <v>2975</v>
      </c>
      <c r="D993" s="2607">
        <f>D986+D992</f>
        <v>424</v>
      </c>
      <c r="E993" s="1211">
        <f t="shared" ref="E993:N993" si="406">E986+E992</f>
        <v>1926.6000000000001</v>
      </c>
      <c r="F993" s="1211">
        <f t="shared" si="406"/>
        <v>3429.2000000000003</v>
      </c>
      <c r="G993" s="1211">
        <f t="shared" si="406"/>
        <v>4931.8</v>
      </c>
      <c r="H993" s="1211">
        <f t="shared" si="406"/>
        <v>6434.4000000000005</v>
      </c>
      <c r="I993" s="1211">
        <f t="shared" si="406"/>
        <v>7937.0000000000009</v>
      </c>
      <c r="J993" s="1211">
        <f t="shared" si="406"/>
        <v>7937.0000000000009</v>
      </c>
      <c r="K993" s="1211">
        <f t="shared" si="406"/>
        <v>7937.0000000000009</v>
      </c>
      <c r="L993" s="1211">
        <f t="shared" si="406"/>
        <v>7937.0000000000009</v>
      </c>
      <c r="M993" s="1211">
        <f t="shared" si="406"/>
        <v>7937.0000000000009</v>
      </c>
      <c r="N993" s="1212">
        <f t="shared" si="406"/>
        <v>7937.0000000000009</v>
      </c>
      <c r="O993" s="43"/>
    </row>
    <row r="994" spans="1:17" s="170" customFormat="1" x14ac:dyDescent="0.25">
      <c r="B994" s="9"/>
      <c r="C994" s="1236" t="s">
        <v>2972</v>
      </c>
      <c r="D994" s="2606">
        <f>D987+D993</f>
        <v>4642</v>
      </c>
      <c r="E994" s="2267">
        <f t="shared" ref="E994:N994" si="407">E987+E993</f>
        <v>5301</v>
      </c>
      <c r="F994" s="2267">
        <f t="shared" si="407"/>
        <v>5960</v>
      </c>
      <c r="G994" s="2267">
        <f t="shared" si="407"/>
        <v>6619</v>
      </c>
      <c r="H994" s="2267">
        <f t="shared" si="407"/>
        <v>7278.0000000000009</v>
      </c>
      <c r="I994" s="2267">
        <f t="shared" si="407"/>
        <v>7937.0000000000009</v>
      </c>
      <c r="J994" s="2267">
        <f t="shared" si="407"/>
        <v>7937.0000000000009</v>
      </c>
      <c r="K994" s="2267">
        <f t="shared" si="407"/>
        <v>7937.0000000000009</v>
      </c>
      <c r="L994" s="2267">
        <f t="shared" si="407"/>
        <v>7937.0000000000009</v>
      </c>
      <c r="M994" s="2267">
        <f t="shared" si="407"/>
        <v>7937.0000000000009</v>
      </c>
      <c r="N994" s="2409">
        <f t="shared" si="407"/>
        <v>7937.0000000000009</v>
      </c>
      <c r="Q994" s="3987"/>
    </row>
    <row r="995" spans="1:17" s="52" customFormat="1" x14ac:dyDescent="0.25">
      <c r="B995" s="143"/>
      <c r="C995" s="2902" t="s">
        <v>2973</v>
      </c>
      <c r="D995" s="5248">
        <f>D988+D994</f>
        <v>4642</v>
      </c>
      <c r="E995" s="2241">
        <f t="shared" ref="E995:N995" si="408">E988+E994</f>
        <v>5301</v>
      </c>
      <c r="F995" s="2241">
        <f t="shared" si="408"/>
        <v>5960</v>
      </c>
      <c r="G995" s="2241">
        <f t="shared" si="408"/>
        <v>6619</v>
      </c>
      <c r="H995" s="2241">
        <f t="shared" si="408"/>
        <v>7278.0000000000009</v>
      </c>
      <c r="I995" s="2241">
        <f t="shared" si="408"/>
        <v>7937.0000000000009</v>
      </c>
      <c r="J995" s="2241">
        <f t="shared" si="408"/>
        <v>7937.0000000000009</v>
      </c>
      <c r="K995" s="2241">
        <f t="shared" si="408"/>
        <v>7937.0000000000009</v>
      </c>
      <c r="L995" s="2241">
        <f t="shared" si="408"/>
        <v>7937.0000000000009</v>
      </c>
      <c r="M995" s="2241">
        <f t="shared" si="408"/>
        <v>7937.0000000000009</v>
      </c>
      <c r="N995" s="5249">
        <f t="shared" si="408"/>
        <v>7937.0000000000009</v>
      </c>
    </row>
    <row r="996" spans="1:17" x14ac:dyDescent="0.25">
      <c r="C996" s="1236" t="s">
        <v>1699</v>
      </c>
      <c r="D996" s="2607">
        <f>D989+D995</f>
        <v>6878</v>
      </c>
      <c r="E996" s="1211">
        <f t="shared" ref="E996:N996" si="409">E989+E995</f>
        <v>7675</v>
      </c>
      <c r="F996" s="1211">
        <f t="shared" si="409"/>
        <v>8472</v>
      </c>
      <c r="G996" s="1211">
        <f t="shared" si="409"/>
        <v>9269</v>
      </c>
      <c r="H996" s="1211">
        <f t="shared" si="409"/>
        <v>9928</v>
      </c>
      <c r="I996" s="1211">
        <f t="shared" si="409"/>
        <v>10587</v>
      </c>
      <c r="J996" s="1211">
        <f t="shared" si="409"/>
        <v>10587</v>
      </c>
      <c r="K996" s="1211">
        <f t="shared" si="409"/>
        <v>10587</v>
      </c>
      <c r="L996" s="1211">
        <f t="shared" si="409"/>
        <v>10587</v>
      </c>
      <c r="M996" s="1211">
        <f t="shared" si="409"/>
        <v>10587</v>
      </c>
      <c r="N996" s="1212">
        <f t="shared" si="409"/>
        <v>10587</v>
      </c>
    </row>
    <row r="997" spans="1:17" s="170" customFormat="1" x14ac:dyDescent="0.25">
      <c r="B997" s="9"/>
      <c r="C997" s="1236" t="s">
        <v>1698</v>
      </c>
      <c r="D997" s="2606">
        <f>D990+D996</f>
        <v>6878</v>
      </c>
      <c r="E997" s="2267">
        <f t="shared" ref="E997:N997" si="410">E990+E996</f>
        <v>7675</v>
      </c>
      <c r="F997" s="2267">
        <f t="shared" si="410"/>
        <v>8472</v>
      </c>
      <c r="G997" s="2267">
        <f t="shared" si="410"/>
        <v>9269</v>
      </c>
      <c r="H997" s="2267">
        <f t="shared" si="410"/>
        <v>9928</v>
      </c>
      <c r="I997" s="2267">
        <f t="shared" si="410"/>
        <v>10587</v>
      </c>
      <c r="J997" s="2267">
        <f t="shared" si="410"/>
        <v>10587</v>
      </c>
      <c r="K997" s="2267">
        <f t="shared" si="410"/>
        <v>10587</v>
      </c>
      <c r="L997" s="2267">
        <f t="shared" si="410"/>
        <v>10587</v>
      </c>
      <c r="M997" s="2267">
        <f t="shared" si="410"/>
        <v>10587</v>
      </c>
      <c r="N997" s="2409">
        <f t="shared" si="410"/>
        <v>10587</v>
      </c>
      <c r="Q997" s="3987"/>
    </row>
    <row r="998" spans="1:17" x14ac:dyDescent="0.25">
      <c r="C998" s="1237" t="s">
        <v>1293</v>
      </c>
      <c r="D998" s="2610">
        <f t="shared" ref="D998:N998" si="411">MAX(D991-D997,0)</f>
        <v>0</v>
      </c>
      <c r="E998" s="1213">
        <f t="shared" si="411"/>
        <v>0</v>
      </c>
      <c r="F998" s="1213">
        <f t="shared" si="411"/>
        <v>0</v>
      </c>
      <c r="G998" s="1213">
        <f t="shared" si="411"/>
        <v>0</v>
      </c>
      <c r="H998" s="1213">
        <f t="shared" si="411"/>
        <v>0</v>
      </c>
      <c r="I998" s="1213">
        <f t="shared" si="411"/>
        <v>0</v>
      </c>
      <c r="J998" s="1213">
        <f t="shared" si="411"/>
        <v>0</v>
      </c>
      <c r="K998" s="1213">
        <f t="shared" si="411"/>
        <v>0</v>
      </c>
      <c r="L998" s="1213">
        <f t="shared" si="411"/>
        <v>0</v>
      </c>
      <c r="M998" s="1213">
        <f t="shared" si="411"/>
        <v>0</v>
      </c>
      <c r="N998" s="1214">
        <f t="shared" si="411"/>
        <v>0</v>
      </c>
    </row>
    <row r="999" spans="1:17" x14ac:dyDescent="0.25">
      <c r="C999" s="1236" t="s">
        <v>2971</v>
      </c>
      <c r="D999" s="2879">
        <f t="shared" ref="D999:D1004" si="412">IFERROR(D992/D$991,0)</f>
        <v>0</v>
      </c>
      <c r="E999" s="1224">
        <f t="shared" ref="E999:N999" si="413">IFERROR(E992/E$991,0)</f>
        <v>0</v>
      </c>
      <c r="F999" s="1224">
        <f t="shared" si="413"/>
        <v>0</v>
      </c>
      <c r="G999" s="1224">
        <f t="shared" si="413"/>
        <v>0</v>
      </c>
      <c r="H999" s="1224">
        <f t="shared" si="413"/>
        <v>0</v>
      </c>
      <c r="I999" s="1224">
        <f t="shared" si="413"/>
        <v>0</v>
      </c>
      <c r="J999" s="1224">
        <f t="shared" si="413"/>
        <v>0</v>
      </c>
      <c r="K999" s="1224">
        <f t="shared" si="413"/>
        <v>0</v>
      </c>
      <c r="L999" s="1224">
        <f t="shared" si="413"/>
        <v>0</v>
      </c>
      <c r="M999" s="1224">
        <f t="shared" si="413"/>
        <v>0</v>
      </c>
      <c r="N999" s="1225">
        <f t="shared" si="413"/>
        <v>0</v>
      </c>
    </row>
    <row r="1000" spans="1:17" x14ac:dyDescent="0.25">
      <c r="C1000" s="1236" t="s">
        <v>2975</v>
      </c>
      <c r="D1000" s="2879">
        <f t="shared" si="412"/>
        <v>0</v>
      </c>
      <c r="E1000" s="1224">
        <f t="shared" ref="E1000:N1000" si="414">IFERROR(E993/E$991,0)</f>
        <v>0</v>
      </c>
      <c r="F1000" s="1224">
        <f t="shared" si="414"/>
        <v>0</v>
      </c>
      <c r="G1000" s="1224">
        <f t="shared" si="414"/>
        <v>0</v>
      </c>
      <c r="H1000" s="1224">
        <f t="shared" si="414"/>
        <v>0</v>
      </c>
      <c r="I1000" s="1224">
        <f t="shared" si="414"/>
        <v>0</v>
      </c>
      <c r="J1000" s="1224">
        <f t="shared" si="414"/>
        <v>0</v>
      </c>
      <c r="K1000" s="1224">
        <f t="shared" si="414"/>
        <v>0</v>
      </c>
      <c r="L1000" s="1224">
        <f t="shared" si="414"/>
        <v>0</v>
      </c>
      <c r="M1000" s="1224">
        <f t="shared" si="414"/>
        <v>0</v>
      </c>
      <c r="N1000" s="1225">
        <f t="shared" si="414"/>
        <v>0</v>
      </c>
    </row>
    <row r="1001" spans="1:17" s="170" customFormat="1" x14ac:dyDescent="0.25">
      <c r="A1001" s="43"/>
      <c r="B1001" s="9"/>
      <c r="C1001" s="1236" t="s">
        <v>2972</v>
      </c>
      <c r="D1001" s="2879">
        <f t="shared" si="412"/>
        <v>0</v>
      </c>
      <c r="E1001" s="1224">
        <f t="shared" ref="E1001:N1001" si="415">IFERROR(E994/E$991,0)</f>
        <v>0</v>
      </c>
      <c r="F1001" s="1224">
        <f t="shared" si="415"/>
        <v>0</v>
      </c>
      <c r="G1001" s="1224">
        <f t="shared" si="415"/>
        <v>0</v>
      </c>
      <c r="H1001" s="1224">
        <f t="shared" si="415"/>
        <v>0</v>
      </c>
      <c r="I1001" s="1224">
        <f t="shared" si="415"/>
        <v>0</v>
      </c>
      <c r="J1001" s="1224">
        <f t="shared" si="415"/>
        <v>0</v>
      </c>
      <c r="K1001" s="1224">
        <f t="shared" si="415"/>
        <v>0</v>
      </c>
      <c r="L1001" s="1224">
        <f t="shared" si="415"/>
        <v>0</v>
      </c>
      <c r="M1001" s="1224">
        <f t="shared" si="415"/>
        <v>0</v>
      </c>
      <c r="N1001" s="1225">
        <f t="shared" si="415"/>
        <v>0</v>
      </c>
      <c r="O1001" s="43"/>
      <c r="Q1001" s="3987"/>
    </row>
    <row r="1002" spans="1:17" s="52" customFormat="1" x14ac:dyDescent="0.25">
      <c r="A1002" s="143"/>
      <c r="B1002" s="143"/>
      <c r="C1002" s="2902" t="s">
        <v>2973</v>
      </c>
      <c r="D1002" s="5250">
        <f t="shared" si="412"/>
        <v>0</v>
      </c>
      <c r="E1002" s="5251">
        <f t="shared" ref="E1002:N1002" si="416">IFERROR(E995/E$991,0)</f>
        <v>0</v>
      </c>
      <c r="F1002" s="5251">
        <f t="shared" si="416"/>
        <v>0</v>
      </c>
      <c r="G1002" s="5251">
        <f t="shared" si="416"/>
        <v>0</v>
      </c>
      <c r="H1002" s="5251">
        <f t="shared" si="416"/>
        <v>0</v>
      </c>
      <c r="I1002" s="5251">
        <f t="shared" si="416"/>
        <v>0</v>
      </c>
      <c r="J1002" s="5251">
        <f t="shared" si="416"/>
        <v>0</v>
      </c>
      <c r="K1002" s="5251">
        <f t="shared" si="416"/>
        <v>0</v>
      </c>
      <c r="L1002" s="5251">
        <f t="shared" si="416"/>
        <v>0</v>
      </c>
      <c r="M1002" s="5251">
        <f t="shared" si="416"/>
        <v>0</v>
      </c>
      <c r="N1002" s="5252">
        <f t="shared" si="416"/>
        <v>0</v>
      </c>
      <c r="O1002" s="143"/>
    </row>
    <row r="1003" spans="1:17" x14ac:dyDescent="0.25">
      <c r="C1003" s="1236" t="s">
        <v>1699</v>
      </c>
      <c r="D1003" s="2879">
        <f t="shared" si="412"/>
        <v>0</v>
      </c>
      <c r="E1003" s="1224">
        <f t="shared" ref="E1003:N1003" si="417">IFERROR(E996/E$991,0)</f>
        <v>0</v>
      </c>
      <c r="F1003" s="1224">
        <f t="shared" si="417"/>
        <v>0</v>
      </c>
      <c r="G1003" s="1224">
        <f t="shared" si="417"/>
        <v>0</v>
      </c>
      <c r="H1003" s="1224">
        <f t="shared" si="417"/>
        <v>0</v>
      </c>
      <c r="I1003" s="1224">
        <f t="shared" si="417"/>
        <v>0</v>
      </c>
      <c r="J1003" s="1224">
        <f t="shared" si="417"/>
        <v>0</v>
      </c>
      <c r="K1003" s="1224">
        <f t="shared" si="417"/>
        <v>0</v>
      </c>
      <c r="L1003" s="1224">
        <f t="shared" si="417"/>
        <v>0</v>
      </c>
      <c r="M1003" s="1224">
        <f t="shared" si="417"/>
        <v>0</v>
      </c>
      <c r="N1003" s="1225">
        <f t="shared" si="417"/>
        <v>0</v>
      </c>
    </row>
    <row r="1004" spans="1:17" s="170" customFormat="1" x14ac:dyDescent="0.25">
      <c r="A1004" s="43"/>
      <c r="B1004" s="9"/>
      <c r="C1004" s="1236" t="s">
        <v>1698</v>
      </c>
      <c r="D1004" s="2879">
        <f t="shared" si="412"/>
        <v>0</v>
      </c>
      <c r="E1004" s="1224">
        <f t="shared" ref="E1004:N1004" si="418">IFERROR(E997/E$991,0)</f>
        <v>0</v>
      </c>
      <c r="F1004" s="1224">
        <f t="shared" si="418"/>
        <v>0</v>
      </c>
      <c r="G1004" s="1224">
        <f t="shared" si="418"/>
        <v>0</v>
      </c>
      <c r="H1004" s="1224">
        <f t="shared" si="418"/>
        <v>0</v>
      </c>
      <c r="I1004" s="1224">
        <f t="shared" si="418"/>
        <v>0</v>
      </c>
      <c r="J1004" s="1224">
        <f t="shared" si="418"/>
        <v>0</v>
      </c>
      <c r="K1004" s="1224">
        <f t="shared" si="418"/>
        <v>0</v>
      </c>
      <c r="L1004" s="1224">
        <f t="shared" si="418"/>
        <v>0</v>
      </c>
      <c r="M1004" s="1224">
        <f t="shared" si="418"/>
        <v>0</v>
      </c>
      <c r="N1004" s="1225">
        <f t="shared" si="418"/>
        <v>0</v>
      </c>
      <c r="O1004" s="43"/>
      <c r="Q1004" s="3987"/>
    </row>
    <row r="1005" spans="1:17" ht="15.75" thickBot="1" x14ac:dyDescent="0.3">
      <c r="C1005" s="1240" t="s">
        <v>582</v>
      </c>
      <c r="D1005" s="2880">
        <v>1</v>
      </c>
      <c r="E1005" s="1226">
        <v>1</v>
      </c>
      <c r="F1005" s="1226">
        <v>1</v>
      </c>
      <c r="G1005" s="1226">
        <v>1</v>
      </c>
      <c r="H1005" s="1226">
        <v>1</v>
      </c>
      <c r="I1005" s="1226">
        <v>1</v>
      </c>
      <c r="J1005" s="1226">
        <v>1</v>
      </c>
      <c r="K1005" s="1226">
        <v>1</v>
      </c>
      <c r="L1005" s="1226">
        <v>1</v>
      </c>
      <c r="M1005" s="1226">
        <v>1</v>
      </c>
      <c r="N1005" s="1227">
        <v>1</v>
      </c>
    </row>
    <row r="1006" spans="1:17" x14ac:dyDescent="0.25">
      <c r="C1006" s="2887" t="s">
        <v>745</v>
      </c>
      <c r="D1006" s="2604"/>
      <c r="E1006" s="1399"/>
      <c r="F1006" s="1399"/>
      <c r="G1006" s="1399"/>
      <c r="H1006" s="1399"/>
      <c r="I1006" s="1399"/>
      <c r="J1006" s="1399"/>
      <c r="K1006" s="1399"/>
      <c r="L1006" s="1399"/>
      <c r="M1006" s="1399"/>
      <c r="N1006" s="540"/>
    </row>
    <row r="1007" spans="1:17" x14ac:dyDescent="0.25">
      <c r="A1007" s="27"/>
      <c r="C1007" s="1307" t="s">
        <v>148</v>
      </c>
      <c r="D1007" s="2607">
        <f>D66</f>
        <v>0</v>
      </c>
      <c r="E1007" s="1211">
        <f t="shared" ref="E1007:N1007" si="419">D1007+F255+(F60-E60)+(F62-E62)</f>
        <v>0</v>
      </c>
      <c r="F1007" s="1211">
        <f t="shared" si="419"/>
        <v>0</v>
      </c>
      <c r="G1007" s="1211">
        <f t="shared" si="419"/>
        <v>0</v>
      </c>
      <c r="H1007" s="1211">
        <f t="shared" si="419"/>
        <v>0</v>
      </c>
      <c r="I1007" s="1211">
        <f t="shared" si="419"/>
        <v>0</v>
      </c>
      <c r="J1007" s="1211">
        <f t="shared" si="419"/>
        <v>0</v>
      </c>
      <c r="K1007" s="1211">
        <f t="shared" si="419"/>
        <v>0</v>
      </c>
      <c r="L1007" s="1211">
        <f t="shared" si="419"/>
        <v>0</v>
      </c>
      <c r="M1007" s="1211">
        <f t="shared" si="419"/>
        <v>0</v>
      </c>
      <c r="N1007" s="1212">
        <f t="shared" si="419"/>
        <v>0</v>
      </c>
      <c r="O1007" s="27"/>
    </row>
    <row r="1008" spans="1:17" s="170" customFormat="1" x14ac:dyDescent="0.25">
      <c r="A1008" s="43"/>
      <c r="B1008" s="9"/>
      <c r="C1008" s="1307" t="s">
        <v>605</v>
      </c>
      <c r="D1008" s="5246">
        <f>D34</f>
        <v>0</v>
      </c>
      <c r="E1008" s="2413">
        <f t="shared" ref="E1008:N1008" si="420">D1008+F28+F253+(F44-E44)</f>
        <v>71.2</v>
      </c>
      <c r="F1008" s="2413">
        <f t="shared" si="420"/>
        <v>142.4</v>
      </c>
      <c r="G1008" s="2413">
        <f t="shared" si="420"/>
        <v>213.60000000000002</v>
      </c>
      <c r="H1008" s="2413">
        <f t="shared" si="420"/>
        <v>284.8</v>
      </c>
      <c r="I1008" s="2413">
        <f t="shared" si="420"/>
        <v>356</v>
      </c>
      <c r="J1008" s="2413">
        <f t="shared" si="420"/>
        <v>356</v>
      </c>
      <c r="K1008" s="2413">
        <f t="shared" si="420"/>
        <v>356</v>
      </c>
      <c r="L1008" s="2413">
        <f t="shared" si="420"/>
        <v>356</v>
      </c>
      <c r="M1008" s="2413">
        <f t="shared" si="420"/>
        <v>356</v>
      </c>
      <c r="N1008" s="5247">
        <f t="shared" si="420"/>
        <v>356</v>
      </c>
      <c r="O1008" s="43"/>
      <c r="Q1008" s="3987"/>
    </row>
    <row r="1009" spans="1:17" s="170" customFormat="1" x14ac:dyDescent="0.25">
      <c r="A1009" s="43"/>
      <c r="B1009" s="9"/>
      <c r="C1009" s="1236" t="s">
        <v>1120</v>
      </c>
      <c r="D1009" s="2607">
        <f t="shared" ref="D1009:N1009" si="421">E247</f>
        <v>191</v>
      </c>
      <c r="E1009" s="1211">
        <f t="shared" si="421"/>
        <v>152.80000000000001</v>
      </c>
      <c r="F1009" s="1211">
        <f t="shared" si="421"/>
        <v>114.6</v>
      </c>
      <c r="G1009" s="1211">
        <f t="shared" si="421"/>
        <v>76.399999999999991</v>
      </c>
      <c r="H1009" s="1211">
        <f t="shared" si="421"/>
        <v>38.199999999999989</v>
      </c>
      <c r="I1009" s="1211">
        <f t="shared" si="421"/>
        <v>0</v>
      </c>
      <c r="J1009" s="1211">
        <f t="shared" si="421"/>
        <v>0</v>
      </c>
      <c r="K1009" s="1211">
        <f t="shared" si="421"/>
        <v>0</v>
      </c>
      <c r="L1009" s="1211">
        <f t="shared" si="421"/>
        <v>0</v>
      </c>
      <c r="M1009" s="1211">
        <f t="shared" si="421"/>
        <v>0</v>
      </c>
      <c r="N1009" s="1212">
        <f t="shared" si="421"/>
        <v>0</v>
      </c>
      <c r="O1009" s="43"/>
      <c r="Q1009" s="3987"/>
    </row>
    <row r="1010" spans="1:17" s="52" customFormat="1" x14ac:dyDescent="0.25">
      <c r="A1010" s="143"/>
      <c r="B1010" s="143"/>
      <c r="C1010" s="2902" t="s">
        <v>2966</v>
      </c>
      <c r="D1010" s="5246">
        <f t="shared" ref="D1010:N1010" si="422">E94</f>
        <v>0</v>
      </c>
      <c r="E1010" s="2413">
        <f t="shared" si="422"/>
        <v>0</v>
      </c>
      <c r="F1010" s="2413">
        <f t="shared" si="422"/>
        <v>0</v>
      </c>
      <c r="G1010" s="2413">
        <f t="shared" si="422"/>
        <v>0</v>
      </c>
      <c r="H1010" s="2413">
        <f t="shared" si="422"/>
        <v>0</v>
      </c>
      <c r="I1010" s="2413">
        <f t="shared" si="422"/>
        <v>0</v>
      </c>
      <c r="J1010" s="2413">
        <f t="shared" si="422"/>
        <v>0</v>
      </c>
      <c r="K1010" s="2413">
        <f t="shared" si="422"/>
        <v>0</v>
      </c>
      <c r="L1010" s="2413">
        <f t="shared" si="422"/>
        <v>0</v>
      </c>
      <c r="M1010" s="2413">
        <f t="shared" si="422"/>
        <v>0</v>
      </c>
      <c r="N1010" s="5247">
        <f t="shared" si="422"/>
        <v>0</v>
      </c>
      <c r="O1010" s="143"/>
    </row>
    <row r="1011" spans="1:17" s="170" customFormat="1" x14ac:dyDescent="0.25">
      <c r="A1011" s="43"/>
      <c r="B1011" s="9"/>
      <c r="C1011" s="1307" t="s">
        <v>2788</v>
      </c>
      <c r="D1011" s="2607">
        <f t="shared" ref="D1011:N1011" si="423">E145+E166</f>
        <v>156</v>
      </c>
      <c r="E1011" s="1211">
        <f t="shared" si="423"/>
        <v>144</v>
      </c>
      <c r="F1011" s="1211">
        <f t="shared" si="423"/>
        <v>132</v>
      </c>
      <c r="G1011" s="1211">
        <f t="shared" si="423"/>
        <v>120</v>
      </c>
      <c r="H1011" s="1211">
        <f t="shared" si="423"/>
        <v>120</v>
      </c>
      <c r="I1011" s="1211">
        <f t="shared" si="423"/>
        <v>120</v>
      </c>
      <c r="J1011" s="1211">
        <f t="shared" si="423"/>
        <v>120</v>
      </c>
      <c r="K1011" s="1211">
        <f t="shared" si="423"/>
        <v>120</v>
      </c>
      <c r="L1011" s="1211">
        <f t="shared" si="423"/>
        <v>120</v>
      </c>
      <c r="M1011" s="1211">
        <f t="shared" si="423"/>
        <v>120</v>
      </c>
      <c r="N1011" s="1212">
        <f t="shared" si="423"/>
        <v>120</v>
      </c>
      <c r="O1011" s="43"/>
      <c r="Q1011" s="3987"/>
    </row>
    <row r="1012" spans="1:17" s="170" customFormat="1" x14ac:dyDescent="0.25">
      <c r="A1012" s="43"/>
      <c r="B1012" s="9"/>
      <c r="C1012" s="1237" t="s">
        <v>1121</v>
      </c>
      <c r="D1012" s="2610">
        <f t="shared" ref="D1012:N1012" si="424">E144</f>
        <v>0</v>
      </c>
      <c r="E1012" s="1213">
        <f t="shared" si="424"/>
        <v>0</v>
      </c>
      <c r="F1012" s="1213">
        <f t="shared" si="424"/>
        <v>0</v>
      </c>
      <c r="G1012" s="1213">
        <f t="shared" si="424"/>
        <v>0</v>
      </c>
      <c r="H1012" s="1213">
        <f t="shared" si="424"/>
        <v>0</v>
      </c>
      <c r="I1012" s="1213">
        <f t="shared" si="424"/>
        <v>0</v>
      </c>
      <c r="J1012" s="1213">
        <f t="shared" si="424"/>
        <v>0</v>
      </c>
      <c r="K1012" s="1213">
        <f t="shared" si="424"/>
        <v>0</v>
      </c>
      <c r="L1012" s="1213">
        <f t="shared" si="424"/>
        <v>0</v>
      </c>
      <c r="M1012" s="1213">
        <f t="shared" si="424"/>
        <v>0</v>
      </c>
      <c r="N1012" s="1214">
        <f t="shared" si="424"/>
        <v>0</v>
      </c>
      <c r="O1012" s="43"/>
      <c r="Q1012" s="3987"/>
    </row>
    <row r="1013" spans="1:17" s="170" customFormat="1" x14ac:dyDescent="0.25">
      <c r="B1013" s="9"/>
      <c r="C1013" s="1236" t="s">
        <v>1698</v>
      </c>
      <c r="D1013" s="2606">
        <f t="shared" ref="D1013:N1013" si="425">D1014+D1012</f>
        <v>347</v>
      </c>
      <c r="E1013" s="2267">
        <f t="shared" si="425"/>
        <v>368</v>
      </c>
      <c r="F1013" s="2267">
        <f t="shared" si="425"/>
        <v>389</v>
      </c>
      <c r="G1013" s="2267">
        <f t="shared" si="425"/>
        <v>410</v>
      </c>
      <c r="H1013" s="2267">
        <f t="shared" si="425"/>
        <v>443</v>
      </c>
      <c r="I1013" s="2267">
        <f t="shared" si="425"/>
        <v>476</v>
      </c>
      <c r="J1013" s="2267">
        <f t="shared" si="425"/>
        <v>476</v>
      </c>
      <c r="K1013" s="2267">
        <f t="shared" si="425"/>
        <v>476</v>
      </c>
      <c r="L1013" s="2267">
        <f t="shared" si="425"/>
        <v>476</v>
      </c>
      <c r="M1013" s="2267">
        <f t="shared" si="425"/>
        <v>476</v>
      </c>
      <c r="N1013" s="2409">
        <f t="shared" si="425"/>
        <v>476</v>
      </c>
      <c r="Q1013" s="3987"/>
    </row>
    <row r="1014" spans="1:17" x14ac:dyDescent="0.25">
      <c r="C1014" s="1236" t="s">
        <v>1699</v>
      </c>
      <c r="D1014" s="2607">
        <f t="shared" ref="D1014:N1014" si="426">D1015+D1011</f>
        <v>347</v>
      </c>
      <c r="E1014" s="1211">
        <f t="shared" si="426"/>
        <v>368</v>
      </c>
      <c r="F1014" s="1211">
        <f t="shared" si="426"/>
        <v>389</v>
      </c>
      <c r="G1014" s="1211">
        <f t="shared" si="426"/>
        <v>410</v>
      </c>
      <c r="H1014" s="1211">
        <f t="shared" si="426"/>
        <v>443</v>
      </c>
      <c r="I1014" s="1211">
        <f t="shared" si="426"/>
        <v>476</v>
      </c>
      <c r="J1014" s="1211">
        <f t="shared" si="426"/>
        <v>476</v>
      </c>
      <c r="K1014" s="1211">
        <f t="shared" si="426"/>
        <v>476</v>
      </c>
      <c r="L1014" s="1211">
        <f t="shared" si="426"/>
        <v>476</v>
      </c>
      <c r="M1014" s="1211">
        <f t="shared" si="426"/>
        <v>476</v>
      </c>
      <c r="N1014" s="1212">
        <f t="shared" si="426"/>
        <v>476</v>
      </c>
    </row>
    <row r="1015" spans="1:17" s="52" customFormat="1" x14ac:dyDescent="0.25">
      <c r="A1015" s="143"/>
      <c r="B1015" s="143"/>
      <c r="C1015" s="2902" t="s">
        <v>2973</v>
      </c>
      <c r="D1015" s="5246">
        <f t="shared" ref="D1015:N1015" si="427">D1016+D1010</f>
        <v>191</v>
      </c>
      <c r="E1015" s="2413">
        <f t="shared" si="427"/>
        <v>224</v>
      </c>
      <c r="F1015" s="2413">
        <f t="shared" si="427"/>
        <v>257</v>
      </c>
      <c r="G1015" s="2413">
        <f t="shared" si="427"/>
        <v>290</v>
      </c>
      <c r="H1015" s="2413">
        <f t="shared" si="427"/>
        <v>323</v>
      </c>
      <c r="I1015" s="2413">
        <f t="shared" si="427"/>
        <v>356</v>
      </c>
      <c r="J1015" s="2413">
        <f t="shared" si="427"/>
        <v>356</v>
      </c>
      <c r="K1015" s="2413">
        <f t="shared" si="427"/>
        <v>356</v>
      </c>
      <c r="L1015" s="2413">
        <f t="shared" si="427"/>
        <v>356</v>
      </c>
      <c r="M1015" s="2413">
        <f t="shared" si="427"/>
        <v>356</v>
      </c>
      <c r="N1015" s="5247">
        <f t="shared" si="427"/>
        <v>356</v>
      </c>
      <c r="O1015" s="143"/>
    </row>
    <row r="1016" spans="1:17" s="170" customFormat="1" x14ac:dyDescent="0.25">
      <c r="A1016" s="43"/>
      <c r="B1016" s="9"/>
      <c r="C1016" s="1236" t="s">
        <v>2972</v>
      </c>
      <c r="D1016" s="2607">
        <f t="shared" ref="D1016:N1016" si="428">D1017+D1009</f>
        <v>191</v>
      </c>
      <c r="E1016" s="1211">
        <f t="shared" si="428"/>
        <v>224</v>
      </c>
      <c r="F1016" s="1211">
        <f t="shared" si="428"/>
        <v>257</v>
      </c>
      <c r="G1016" s="1211">
        <f t="shared" si="428"/>
        <v>290</v>
      </c>
      <c r="H1016" s="1211">
        <f t="shared" si="428"/>
        <v>323</v>
      </c>
      <c r="I1016" s="1211">
        <f t="shared" si="428"/>
        <v>356</v>
      </c>
      <c r="J1016" s="1211">
        <f t="shared" si="428"/>
        <v>356</v>
      </c>
      <c r="K1016" s="1211">
        <f t="shared" si="428"/>
        <v>356</v>
      </c>
      <c r="L1016" s="1211">
        <f t="shared" si="428"/>
        <v>356</v>
      </c>
      <c r="M1016" s="1211">
        <f t="shared" si="428"/>
        <v>356</v>
      </c>
      <c r="N1016" s="1212">
        <f t="shared" si="428"/>
        <v>356</v>
      </c>
      <c r="O1016" s="43"/>
      <c r="Q1016" s="3987"/>
    </row>
    <row r="1017" spans="1:17" x14ac:dyDescent="0.25">
      <c r="C1017" s="1236" t="s">
        <v>2975</v>
      </c>
      <c r="D1017" s="2611">
        <f t="shared" ref="D1017:N1017" si="429">D1008+D1007</f>
        <v>0</v>
      </c>
      <c r="E1017" s="550">
        <f t="shared" si="429"/>
        <v>71.2</v>
      </c>
      <c r="F1017" s="550">
        <f t="shared" si="429"/>
        <v>142.4</v>
      </c>
      <c r="G1017" s="550">
        <f t="shared" si="429"/>
        <v>213.60000000000002</v>
      </c>
      <c r="H1017" s="550">
        <f t="shared" si="429"/>
        <v>284.8</v>
      </c>
      <c r="I1017" s="550">
        <f t="shared" si="429"/>
        <v>356</v>
      </c>
      <c r="J1017" s="550">
        <f t="shared" si="429"/>
        <v>356</v>
      </c>
      <c r="K1017" s="550">
        <f t="shared" si="429"/>
        <v>356</v>
      </c>
      <c r="L1017" s="550">
        <f t="shared" si="429"/>
        <v>356</v>
      </c>
      <c r="M1017" s="550">
        <f t="shared" si="429"/>
        <v>356</v>
      </c>
      <c r="N1017" s="641">
        <f t="shared" si="429"/>
        <v>356</v>
      </c>
    </row>
    <row r="1018" spans="1:17" x14ac:dyDescent="0.25">
      <c r="C1018" s="1236" t="s">
        <v>2971</v>
      </c>
      <c r="D1018" s="2611">
        <f t="shared" ref="D1018:N1018" si="430">D1007</f>
        <v>0</v>
      </c>
      <c r="E1018" s="550">
        <f t="shared" si="430"/>
        <v>0</v>
      </c>
      <c r="F1018" s="550">
        <f t="shared" si="430"/>
        <v>0</v>
      </c>
      <c r="G1018" s="550">
        <f t="shared" si="430"/>
        <v>0</v>
      </c>
      <c r="H1018" s="550">
        <f t="shared" si="430"/>
        <v>0</v>
      </c>
      <c r="I1018" s="550">
        <f t="shared" si="430"/>
        <v>0</v>
      </c>
      <c r="J1018" s="550">
        <f t="shared" si="430"/>
        <v>0</v>
      </c>
      <c r="K1018" s="550">
        <f t="shared" si="430"/>
        <v>0</v>
      </c>
      <c r="L1018" s="550">
        <f t="shared" si="430"/>
        <v>0</v>
      </c>
      <c r="M1018" s="550">
        <f t="shared" si="430"/>
        <v>0</v>
      </c>
      <c r="N1018" s="641">
        <f t="shared" si="430"/>
        <v>0</v>
      </c>
    </row>
    <row r="1019" spans="1:17" x14ac:dyDescent="0.25">
      <c r="C1019" s="1238" t="s">
        <v>2977</v>
      </c>
      <c r="D1019" s="2578">
        <f>Population!E30</f>
        <v>0</v>
      </c>
      <c r="E1019" s="628">
        <f>Population!F30</f>
        <v>0</v>
      </c>
      <c r="F1019" s="628">
        <f>Population!G30</f>
        <v>0</v>
      </c>
      <c r="G1019" s="628">
        <f>Population!H30</f>
        <v>0</v>
      </c>
      <c r="H1019" s="628">
        <f>Population!I30</f>
        <v>0</v>
      </c>
      <c r="I1019" s="628">
        <f>Population!J30</f>
        <v>0</v>
      </c>
      <c r="J1019" s="628">
        <f>Population!K30</f>
        <v>0</v>
      </c>
      <c r="K1019" s="628">
        <f>Population!L30</f>
        <v>0</v>
      </c>
      <c r="L1019" s="628">
        <f>Population!M30</f>
        <v>0</v>
      </c>
      <c r="M1019" s="628">
        <f>Population!N30</f>
        <v>0</v>
      </c>
      <c r="N1019" s="632">
        <f>Population!O30</f>
        <v>0</v>
      </c>
    </row>
    <row r="1020" spans="1:17" x14ac:dyDescent="0.25">
      <c r="C1020" s="1237" t="s">
        <v>607</v>
      </c>
      <c r="D1020" s="2612">
        <f t="shared" ref="D1020:N1020" si="431">MAX(D1019-D1013,0)</f>
        <v>0</v>
      </c>
      <c r="E1020" s="1215">
        <f t="shared" si="431"/>
        <v>0</v>
      </c>
      <c r="F1020" s="1215">
        <f t="shared" si="431"/>
        <v>0</v>
      </c>
      <c r="G1020" s="1215">
        <f t="shared" si="431"/>
        <v>0</v>
      </c>
      <c r="H1020" s="1215">
        <f t="shared" si="431"/>
        <v>0</v>
      </c>
      <c r="I1020" s="1215">
        <f t="shared" si="431"/>
        <v>0</v>
      </c>
      <c r="J1020" s="1215">
        <f t="shared" si="431"/>
        <v>0</v>
      </c>
      <c r="K1020" s="1215">
        <f t="shared" si="431"/>
        <v>0</v>
      </c>
      <c r="L1020" s="1215">
        <f t="shared" si="431"/>
        <v>0</v>
      </c>
      <c r="M1020" s="1215">
        <f t="shared" si="431"/>
        <v>0</v>
      </c>
      <c r="N1020" s="1216">
        <f t="shared" si="431"/>
        <v>0</v>
      </c>
    </row>
    <row r="1021" spans="1:17" x14ac:dyDescent="0.25">
      <c r="C1021" s="1239" t="str">
        <f t="shared" ref="C1021:C1026" si="432">C1013</f>
        <v>HHs dependent on unsafe community toilets</v>
      </c>
      <c r="D1021" s="2879">
        <f t="shared" ref="D1021:N1021" si="433">IFERROR(D1013/D$1019,0)</f>
        <v>0</v>
      </c>
      <c r="E1021" s="1224">
        <f t="shared" si="433"/>
        <v>0</v>
      </c>
      <c r="F1021" s="1224">
        <f t="shared" si="433"/>
        <v>0</v>
      </c>
      <c r="G1021" s="1224">
        <f t="shared" si="433"/>
        <v>0</v>
      </c>
      <c r="H1021" s="1224">
        <f t="shared" si="433"/>
        <v>0</v>
      </c>
      <c r="I1021" s="1224">
        <f t="shared" si="433"/>
        <v>0</v>
      </c>
      <c r="J1021" s="1224">
        <f t="shared" si="433"/>
        <v>0</v>
      </c>
      <c r="K1021" s="1224">
        <f t="shared" si="433"/>
        <v>0</v>
      </c>
      <c r="L1021" s="1224">
        <f t="shared" si="433"/>
        <v>0</v>
      </c>
      <c r="M1021" s="1224">
        <f t="shared" si="433"/>
        <v>0</v>
      </c>
      <c r="N1021" s="1225">
        <f t="shared" si="433"/>
        <v>0</v>
      </c>
    </row>
    <row r="1022" spans="1:17" x14ac:dyDescent="0.25">
      <c r="C1022" s="1239" t="str">
        <f t="shared" si="432"/>
        <v>HHs dependent on safe community toilets</v>
      </c>
      <c r="D1022" s="2879">
        <f t="shared" ref="D1022:N1022" si="434">IFERROR(D1014/D$1019,0)</f>
        <v>0</v>
      </c>
      <c r="E1022" s="1224">
        <f t="shared" si="434"/>
        <v>0</v>
      </c>
      <c r="F1022" s="1224">
        <f t="shared" si="434"/>
        <v>0</v>
      </c>
      <c r="G1022" s="1224">
        <f t="shared" si="434"/>
        <v>0</v>
      </c>
      <c r="H1022" s="1224">
        <f t="shared" si="434"/>
        <v>0</v>
      </c>
      <c r="I1022" s="1224">
        <f t="shared" si="434"/>
        <v>0</v>
      </c>
      <c r="J1022" s="1224">
        <f t="shared" si="434"/>
        <v>0</v>
      </c>
      <c r="K1022" s="1224">
        <f t="shared" si="434"/>
        <v>0</v>
      </c>
      <c r="L1022" s="1224">
        <f t="shared" si="434"/>
        <v>0</v>
      </c>
      <c r="M1022" s="1224">
        <f t="shared" si="434"/>
        <v>0</v>
      </c>
      <c r="N1022" s="1225">
        <f t="shared" si="434"/>
        <v>0</v>
      </c>
    </row>
    <row r="1023" spans="1:17" s="52" customFormat="1" x14ac:dyDescent="0.25">
      <c r="A1023" s="143"/>
      <c r="B1023" s="143"/>
      <c r="C1023" s="4750" t="str">
        <f t="shared" si="432"/>
        <v>HHs dependent on group toilets</v>
      </c>
      <c r="D1023" s="5250">
        <f t="shared" ref="D1023:N1023" si="435">IFERROR(D1015/D$1019,0)</f>
        <v>0</v>
      </c>
      <c r="E1023" s="5251">
        <f t="shared" si="435"/>
        <v>0</v>
      </c>
      <c r="F1023" s="5251">
        <f t="shared" si="435"/>
        <v>0</v>
      </c>
      <c r="G1023" s="5251">
        <f t="shared" si="435"/>
        <v>0</v>
      </c>
      <c r="H1023" s="5251">
        <f t="shared" si="435"/>
        <v>0</v>
      </c>
      <c r="I1023" s="5251">
        <f t="shared" si="435"/>
        <v>0</v>
      </c>
      <c r="J1023" s="5251">
        <f t="shared" si="435"/>
        <v>0</v>
      </c>
      <c r="K1023" s="5251">
        <f t="shared" si="435"/>
        <v>0</v>
      </c>
      <c r="L1023" s="5251">
        <f t="shared" si="435"/>
        <v>0</v>
      </c>
      <c r="M1023" s="5251">
        <f t="shared" si="435"/>
        <v>0</v>
      </c>
      <c r="N1023" s="5252">
        <f t="shared" si="435"/>
        <v>0</v>
      </c>
      <c r="O1023" s="143"/>
    </row>
    <row r="1024" spans="1:17" s="170" customFormat="1" x14ac:dyDescent="0.25">
      <c r="A1024" s="43"/>
      <c r="B1024" s="9"/>
      <c r="C1024" s="1239" t="str">
        <f t="shared" si="432"/>
        <v>Individual toilet with unsafe sanitation</v>
      </c>
      <c r="D1024" s="2879">
        <f t="shared" ref="D1024:N1024" si="436">IFERROR(D1016/D$1019,0)</f>
        <v>0</v>
      </c>
      <c r="E1024" s="1224">
        <f t="shared" si="436"/>
        <v>0</v>
      </c>
      <c r="F1024" s="1224">
        <f t="shared" si="436"/>
        <v>0</v>
      </c>
      <c r="G1024" s="1224">
        <f t="shared" si="436"/>
        <v>0</v>
      </c>
      <c r="H1024" s="1224">
        <f t="shared" si="436"/>
        <v>0</v>
      </c>
      <c r="I1024" s="1224">
        <f t="shared" si="436"/>
        <v>0</v>
      </c>
      <c r="J1024" s="1224">
        <f t="shared" si="436"/>
        <v>0</v>
      </c>
      <c r="K1024" s="1224">
        <f t="shared" si="436"/>
        <v>0</v>
      </c>
      <c r="L1024" s="1224">
        <f t="shared" si="436"/>
        <v>0</v>
      </c>
      <c r="M1024" s="1224">
        <f t="shared" si="436"/>
        <v>0</v>
      </c>
      <c r="N1024" s="1225">
        <f t="shared" si="436"/>
        <v>0</v>
      </c>
      <c r="O1024" s="43"/>
      <c r="Q1024" s="3987"/>
    </row>
    <row r="1025" spans="1:17" x14ac:dyDescent="0.25">
      <c r="C1025" s="1239" t="str">
        <f t="shared" si="432"/>
        <v>Individual toilet - onsite sanitation</v>
      </c>
      <c r="D1025" s="2879">
        <f t="shared" ref="D1025:N1025" si="437">IFERROR(D1017/D$1019,0)</f>
        <v>0</v>
      </c>
      <c r="E1025" s="1224">
        <f t="shared" si="437"/>
        <v>0</v>
      </c>
      <c r="F1025" s="1224">
        <f t="shared" si="437"/>
        <v>0</v>
      </c>
      <c r="G1025" s="1224">
        <f t="shared" si="437"/>
        <v>0</v>
      </c>
      <c r="H1025" s="1224">
        <f t="shared" si="437"/>
        <v>0</v>
      </c>
      <c r="I1025" s="1224">
        <f t="shared" si="437"/>
        <v>0</v>
      </c>
      <c r="J1025" s="1224">
        <f t="shared" si="437"/>
        <v>0</v>
      </c>
      <c r="K1025" s="1224">
        <f t="shared" si="437"/>
        <v>0</v>
      </c>
      <c r="L1025" s="1224">
        <f t="shared" si="437"/>
        <v>0</v>
      </c>
      <c r="M1025" s="1224">
        <f t="shared" si="437"/>
        <v>0</v>
      </c>
      <c r="N1025" s="1225">
        <f t="shared" si="437"/>
        <v>0</v>
      </c>
    </row>
    <row r="1026" spans="1:17" s="170" customFormat="1" x14ac:dyDescent="0.25">
      <c r="A1026" s="43"/>
      <c r="B1026" s="9"/>
      <c r="C1026" s="1239" t="str">
        <f t="shared" si="432"/>
        <v>Individual toilet - sewerage conn.</v>
      </c>
      <c r="D1026" s="2879">
        <f t="shared" ref="D1026:N1026" si="438">IFERROR(D1018/D$1019,0)</f>
        <v>0</v>
      </c>
      <c r="E1026" s="1224">
        <f t="shared" si="438"/>
        <v>0</v>
      </c>
      <c r="F1026" s="1224">
        <f t="shared" si="438"/>
        <v>0</v>
      </c>
      <c r="G1026" s="1224">
        <f t="shared" si="438"/>
        <v>0</v>
      </c>
      <c r="H1026" s="1224">
        <f t="shared" si="438"/>
        <v>0</v>
      </c>
      <c r="I1026" s="1224">
        <f t="shared" si="438"/>
        <v>0</v>
      </c>
      <c r="J1026" s="1224">
        <f t="shared" si="438"/>
        <v>0</v>
      </c>
      <c r="K1026" s="1224">
        <f t="shared" si="438"/>
        <v>0</v>
      </c>
      <c r="L1026" s="1224">
        <f t="shared" si="438"/>
        <v>0</v>
      </c>
      <c r="M1026" s="1224">
        <f t="shared" si="438"/>
        <v>0</v>
      </c>
      <c r="N1026" s="1225">
        <f t="shared" si="438"/>
        <v>0</v>
      </c>
      <c r="O1026" s="43"/>
      <c r="Q1026" s="3987"/>
    </row>
    <row r="1027" spans="1:17" ht="15.75" thickBot="1" x14ac:dyDescent="0.3">
      <c r="C1027" s="1240" t="s">
        <v>582</v>
      </c>
      <c r="D1027" s="2880">
        <v>1</v>
      </c>
      <c r="E1027" s="1226">
        <v>1</v>
      </c>
      <c r="F1027" s="1226">
        <v>1</v>
      </c>
      <c r="G1027" s="1226">
        <v>1</v>
      </c>
      <c r="H1027" s="1226">
        <v>1</v>
      </c>
      <c r="I1027" s="1226">
        <v>1</v>
      </c>
      <c r="J1027" s="1226">
        <v>1</v>
      </c>
      <c r="K1027" s="1226">
        <v>1</v>
      </c>
      <c r="L1027" s="1226">
        <v>1</v>
      </c>
      <c r="M1027" s="1226">
        <v>1</v>
      </c>
      <c r="N1027" s="1227">
        <v>1</v>
      </c>
    </row>
    <row r="1028" spans="1:17" x14ac:dyDescent="0.25">
      <c r="C1028" s="2887" t="s">
        <v>334</v>
      </c>
      <c r="D1028" s="4652">
        <f>IFERROR(D1029/(D1029+D1030+D1031),0)</f>
        <v>0.16981132075471697</v>
      </c>
      <c r="E1028" s="4652">
        <f t="shared" ref="E1028:N1028" si="439">IFERROR(E1029/(E1029+E1030+E1031),0)</f>
        <v>0.11320754716981132</v>
      </c>
      <c r="F1028" s="4652">
        <f t="shared" si="439"/>
        <v>5.6603773584905662E-2</v>
      </c>
      <c r="G1028" s="4652">
        <f t="shared" si="439"/>
        <v>0</v>
      </c>
      <c r="H1028" s="4652">
        <f t="shared" si="439"/>
        <v>0</v>
      </c>
      <c r="I1028" s="4652">
        <f t="shared" si="439"/>
        <v>0</v>
      </c>
      <c r="J1028" s="4652">
        <f t="shared" si="439"/>
        <v>0</v>
      </c>
      <c r="K1028" s="4652">
        <f t="shared" si="439"/>
        <v>0</v>
      </c>
      <c r="L1028" s="4652">
        <f t="shared" si="439"/>
        <v>0</v>
      </c>
      <c r="M1028" s="4652">
        <f t="shared" si="439"/>
        <v>0</v>
      </c>
      <c r="N1028" s="4653">
        <f t="shared" si="439"/>
        <v>0</v>
      </c>
    </row>
    <row r="1029" spans="1:17" x14ac:dyDescent="0.25">
      <c r="C1029" s="1161" t="s">
        <v>2838</v>
      </c>
      <c r="D1029" s="2613">
        <f t="shared" ref="D1029:N1029" si="440">ROUND(E117+E134,0)</f>
        <v>45</v>
      </c>
      <c r="E1029" s="2613">
        <f t="shared" si="440"/>
        <v>30</v>
      </c>
      <c r="F1029" s="2613">
        <f t="shared" si="440"/>
        <v>15</v>
      </c>
      <c r="G1029" s="2613">
        <f t="shared" si="440"/>
        <v>0</v>
      </c>
      <c r="H1029" s="2613">
        <f t="shared" si="440"/>
        <v>0</v>
      </c>
      <c r="I1029" s="2613">
        <f t="shared" si="440"/>
        <v>0</v>
      </c>
      <c r="J1029" s="2613">
        <f t="shared" si="440"/>
        <v>0</v>
      </c>
      <c r="K1029" s="2613">
        <f t="shared" si="440"/>
        <v>0</v>
      </c>
      <c r="L1029" s="2613">
        <f t="shared" si="440"/>
        <v>0</v>
      </c>
      <c r="M1029" s="2613">
        <f t="shared" si="440"/>
        <v>0</v>
      </c>
      <c r="N1029" s="2892">
        <f t="shared" si="440"/>
        <v>0</v>
      </c>
    </row>
    <row r="1030" spans="1:17" x14ac:dyDescent="0.25">
      <c r="C1030" s="1161" t="s">
        <v>2839</v>
      </c>
      <c r="D1030" s="2613">
        <f t="shared" ref="D1030:N1030" si="441">ROUND((E122*$D$120)+(E139*$D$137),0)</f>
        <v>0</v>
      </c>
      <c r="E1030" s="2613">
        <f t="shared" si="441"/>
        <v>0</v>
      </c>
      <c r="F1030" s="2613">
        <f t="shared" si="441"/>
        <v>0</v>
      </c>
      <c r="G1030" s="2613">
        <f t="shared" si="441"/>
        <v>0</v>
      </c>
      <c r="H1030" s="2613">
        <f t="shared" si="441"/>
        <v>0</v>
      </c>
      <c r="I1030" s="2613">
        <f t="shared" si="441"/>
        <v>0</v>
      </c>
      <c r="J1030" s="2613">
        <f t="shared" si="441"/>
        <v>0</v>
      </c>
      <c r="K1030" s="2613">
        <f t="shared" si="441"/>
        <v>0</v>
      </c>
      <c r="L1030" s="2613">
        <f t="shared" si="441"/>
        <v>0</v>
      </c>
      <c r="M1030" s="2613">
        <f t="shared" si="441"/>
        <v>0</v>
      </c>
      <c r="N1030" s="2892">
        <f t="shared" si="441"/>
        <v>0</v>
      </c>
    </row>
    <row r="1031" spans="1:17" x14ac:dyDescent="0.25">
      <c r="C1031" s="1161" t="s">
        <v>2840</v>
      </c>
      <c r="D1031" s="2613">
        <f t="shared" ref="D1031:N1031" si="442">ROUND((E123*$D$120)+(E140*$D$137),0)</f>
        <v>220</v>
      </c>
      <c r="E1031" s="2613">
        <f t="shared" si="442"/>
        <v>235</v>
      </c>
      <c r="F1031" s="2613">
        <f t="shared" si="442"/>
        <v>250</v>
      </c>
      <c r="G1031" s="2613">
        <f t="shared" si="442"/>
        <v>265</v>
      </c>
      <c r="H1031" s="2613">
        <f t="shared" si="442"/>
        <v>265</v>
      </c>
      <c r="I1031" s="2613">
        <f t="shared" si="442"/>
        <v>265</v>
      </c>
      <c r="J1031" s="2613">
        <f t="shared" si="442"/>
        <v>265</v>
      </c>
      <c r="K1031" s="2613">
        <f t="shared" si="442"/>
        <v>265</v>
      </c>
      <c r="L1031" s="2613">
        <f t="shared" si="442"/>
        <v>265</v>
      </c>
      <c r="M1031" s="2613">
        <f t="shared" si="442"/>
        <v>265</v>
      </c>
      <c r="N1031" s="2892">
        <f t="shared" si="442"/>
        <v>265</v>
      </c>
    </row>
    <row r="1032" spans="1:17" x14ac:dyDescent="0.25">
      <c r="C1032" s="1236" t="s">
        <v>2837</v>
      </c>
      <c r="D1032" s="2607">
        <f t="shared" ref="D1032:N1032" si="443">ROUND(E161+E162,0)</f>
        <v>0</v>
      </c>
      <c r="E1032" s="2607">
        <f t="shared" si="443"/>
        <v>0</v>
      </c>
      <c r="F1032" s="2607">
        <f t="shared" si="443"/>
        <v>0</v>
      </c>
      <c r="G1032" s="2607">
        <f t="shared" si="443"/>
        <v>0</v>
      </c>
      <c r="H1032" s="2607">
        <f t="shared" si="443"/>
        <v>0</v>
      </c>
      <c r="I1032" s="2607">
        <f t="shared" si="443"/>
        <v>0</v>
      </c>
      <c r="J1032" s="2607">
        <f t="shared" si="443"/>
        <v>0</v>
      </c>
      <c r="K1032" s="2607">
        <f t="shared" si="443"/>
        <v>0</v>
      </c>
      <c r="L1032" s="2607">
        <f t="shared" si="443"/>
        <v>0</v>
      </c>
      <c r="M1032" s="2607">
        <f t="shared" si="443"/>
        <v>0</v>
      </c>
      <c r="N1032" s="2893">
        <f t="shared" si="443"/>
        <v>0</v>
      </c>
    </row>
    <row r="1033" spans="1:17" x14ac:dyDescent="0.25">
      <c r="C1033" s="2888" t="s">
        <v>954</v>
      </c>
      <c r="D1033" s="2895"/>
      <c r="E1033" s="2895"/>
      <c r="F1033" s="2895"/>
      <c r="G1033" s="2895"/>
      <c r="H1033" s="2895"/>
      <c r="I1033" s="2895"/>
      <c r="J1033" s="2895"/>
      <c r="K1033" s="2895"/>
      <c r="L1033" s="2895"/>
      <c r="M1033" s="2895"/>
      <c r="N1033" s="2896"/>
    </row>
    <row r="1034" spans="1:17" x14ac:dyDescent="0.25">
      <c r="C1034" s="1161" t="s">
        <v>2838</v>
      </c>
      <c r="D1034" s="122">
        <f t="shared" ref="D1034:N1034" si="444">ROUND(E189,0)</f>
        <v>0</v>
      </c>
      <c r="E1034" s="122">
        <f t="shared" si="444"/>
        <v>0</v>
      </c>
      <c r="F1034" s="122">
        <f t="shared" si="444"/>
        <v>0</v>
      </c>
      <c r="G1034" s="122">
        <f t="shared" si="444"/>
        <v>0</v>
      </c>
      <c r="H1034" s="122">
        <f t="shared" si="444"/>
        <v>0</v>
      </c>
      <c r="I1034" s="122">
        <f t="shared" si="444"/>
        <v>0</v>
      </c>
      <c r="J1034" s="122">
        <f t="shared" si="444"/>
        <v>0</v>
      </c>
      <c r="K1034" s="122">
        <f t="shared" si="444"/>
        <v>0</v>
      </c>
      <c r="L1034" s="122">
        <f t="shared" si="444"/>
        <v>0</v>
      </c>
      <c r="M1034" s="122">
        <f t="shared" si="444"/>
        <v>0</v>
      </c>
      <c r="N1034" s="1308">
        <f t="shared" si="444"/>
        <v>0</v>
      </c>
    </row>
    <row r="1035" spans="1:17" x14ac:dyDescent="0.25">
      <c r="C1035" s="1236" t="s">
        <v>2839</v>
      </c>
      <c r="D1035" s="2613">
        <f t="shared" ref="D1035:N1035" si="445">ROUND(E191*$D$193,0)</f>
        <v>0</v>
      </c>
      <c r="E1035" s="2613">
        <f t="shared" si="445"/>
        <v>0</v>
      </c>
      <c r="F1035" s="2613">
        <f t="shared" si="445"/>
        <v>0</v>
      </c>
      <c r="G1035" s="2613">
        <f t="shared" si="445"/>
        <v>0</v>
      </c>
      <c r="H1035" s="2613">
        <f t="shared" si="445"/>
        <v>0</v>
      </c>
      <c r="I1035" s="2613">
        <f t="shared" si="445"/>
        <v>0</v>
      </c>
      <c r="J1035" s="2613">
        <f t="shared" si="445"/>
        <v>0</v>
      </c>
      <c r="K1035" s="2613">
        <f t="shared" si="445"/>
        <v>0</v>
      </c>
      <c r="L1035" s="2613">
        <f t="shared" si="445"/>
        <v>0</v>
      </c>
      <c r="M1035" s="2613">
        <f t="shared" si="445"/>
        <v>0</v>
      </c>
      <c r="N1035" s="2892">
        <f t="shared" si="445"/>
        <v>0</v>
      </c>
    </row>
    <row r="1036" spans="1:17" x14ac:dyDescent="0.25">
      <c r="C1036" s="1236" t="s">
        <v>2840</v>
      </c>
      <c r="D1036" s="2613">
        <f t="shared" ref="D1036:N1036" si="446">ROUND(E192*$D$193,0)</f>
        <v>22</v>
      </c>
      <c r="E1036" s="2613">
        <f t="shared" si="446"/>
        <v>22</v>
      </c>
      <c r="F1036" s="2613">
        <f t="shared" si="446"/>
        <v>22</v>
      </c>
      <c r="G1036" s="2613">
        <f t="shared" si="446"/>
        <v>22</v>
      </c>
      <c r="H1036" s="2613">
        <f t="shared" si="446"/>
        <v>22</v>
      </c>
      <c r="I1036" s="2613">
        <f t="shared" si="446"/>
        <v>22</v>
      </c>
      <c r="J1036" s="2613">
        <f t="shared" si="446"/>
        <v>22</v>
      </c>
      <c r="K1036" s="2613">
        <f t="shared" si="446"/>
        <v>22</v>
      </c>
      <c r="L1036" s="2613">
        <f t="shared" si="446"/>
        <v>22</v>
      </c>
      <c r="M1036" s="2613">
        <f t="shared" si="446"/>
        <v>22</v>
      </c>
      <c r="N1036" s="2892">
        <f t="shared" si="446"/>
        <v>22</v>
      </c>
    </row>
    <row r="1037" spans="1:17" ht="15.75" thickBot="1" x14ac:dyDescent="0.3">
      <c r="C1037" s="1159" t="s">
        <v>2837</v>
      </c>
      <c r="D1037" s="2619">
        <f t="shared" ref="D1037:N1037" si="447">ROUND(E198,0)</f>
        <v>0</v>
      </c>
      <c r="E1037" s="2619">
        <f t="shared" si="447"/>
        <v>4</v>
      </c>
      <c r="F1037" s="2619">
        <f t="shared" si="447"/>
        <v>7</v>
      </c>
      <c r="G1037" s="2619">
        <f t="shared" si="447"/>
        <v>11</v>
      </c>
      <c r="H1037" s="2619">
        <f t="shared" si="447"/>
        <v>11</v>
      </c>
      <c r="I1037" s="2619">
        <f t="shared" si="447"/>
        <v>11</v>
      </c>
      <c r="J1037" s="2619">
        <f t="shared" si="447"/>
        <v>11</v>
      </c>
      <c r="K1037" s="2619">
        <f t="shared" si="447"/>
        <v>11</v>
      </c>
      <c r="L1037" s="2619">
        <f t="shared" si="447"/>
        <v>11</v>
      </c>
      <c r="M1037" s="2619">
        <f t="shared" si="447"/>
        <v>11</v>
      </c>
      <c r="N1037" s="2894">
        <f t="shared" si="447"/>
        <v>11</v>
      </c>
    </row>
    <row r="1038" spans="1:17" x14ac:dyDescent="0.25">
      <c r="C1038" s="644" t="s">
        <v>572</v>
      </c>
      <c r="D1038" s="2604"/>
      <c r="E1038" s="658"/>
      <c r="F1038" s="658"/>
      <c r="G1038" s="658"/>
      <c r="H1038" s="658"/>
      <c r="I1038" s="658"/>
      <c r="J1038" s="658"/>
      <c r="K1038" s="658"/>
      <c r="L1038" s="658"/>
      <c r="M1038" s="658"/>
      <c r="N1038" s="659"/>
      <c r="O1038" s="10"/>
    </row>
    <row r="1039" spans="1:17" x14ac:dyDescent="0.25">
      <c r="C1039" s="1239" t="s">
        <v>493</v>
      </c>
      <c r="D1039" s="2617">
        <f>SUM('PIP finance'!F177:F189)</f>
        <v>0</v>
      </c>
      <c r="E1039" s="1232">
        <f>SUM('PIP finance'!G177:G189)</f>
        <v>288.26666666666671</v>
      </c>
      <c r="F1039" s="1232">
        <f>SUM('PIP finance'!H177:H189)</f>
        <v>240.07233333333335</v>
      </c>
      <c r="G1039" s="1232">
        <f>SUM('PIP finance'!I177:I189)</f>
        <v>256.87739666666664</v>
      </c>
      <c r="H1039" s="1232">
        <f>SUM('PIP finance'!J177:J189)</f>
        <v>242.19100109999999</v>
      </c>
      <c r="I1039" s="1232">
        <f>SUM('PIP finance'!K177:K189)</f>
        <v>259.14437117700004</v>
      </c>
      <c r="J1039" s="1232">
        <f>SUM('PIP finance'!L177:L189)</f>
        <v>0</v>
      </c>
      <c r="K1039" s="1232">
        <f>SUM('PIP finance'!M177:M189)</f>
        <v>0</v>
      </c>
      <c r="L1039" s="1232">
        <f>SUM('PIP finance'!N177:N189)</f>
        <v>0</v>
      </c>
      <c r="M1039" s="1232">
        <f>SUM('PIP finance'!O177:O189)</f>
        <v>0</v>
      </c>
      <c r="N1039" s="1233">
        <f>SUM('PIP finance'!P177:P189)</f>
        <v>0</v>
      </c>
    </row>
    <row r="1040" spans="1:17" x14ac:dyDescent="0.25">
      <c r="C1040" s="1239" t="s">
        <v>494</v>
      </c>
      <c r="D1040" s="2617">
        <f>SUM('PIP finance'!F225:F237)</f>
        <v>0</v>
      </c>
      <c r="E1040" s="1232">
        <f>SUM('PIP finance'!G225:G237)</f>
        <v>1.1616666666666666</v>
      </c>
      <c r="F1040" s="1232">
        <f>SUM('PIP finance'!H225:H237)</f>
        <v>2.4394999999999998</v>
      </c>
      <c r="G1040" s="1232">
        <f>SUM('PIP finance'!I225:I237)</f>
        <v>3.8422124999999996</v>
      </c>
      <c r="H1040" s="1232">
        <f>SUM('PIP finance'!J225:J237)</f>
        <v>4.0343231250000002</v>
      </c>
      <c r="I1040" s="1232">
        <f>SUM('PIP finance'!K225:K237)</f>
        <v>4.236039281250001</v>
      </c>
      <c r="J1040" s="1232">
        <f>SUM('PIP finance'!L225:L237)</f>
        <v>4.4478412453125014</v>
      </c>
      <c r="K1040" s="1232">
        <f>SUM('PIP finance'!M225:M237)</f>
        <v>4.6702333075781262</v>
      </c>
      <c r="L1040" s="1232">
        <f>SUM('PIP finance'!N225:N237)</f>
        <v>4.9037449729570328</v>
      </c>
      <c r="M1040" s="1232">
        <f>SUM('PIP finance'!O225:O237)</f>
        <v>5.148932221604885</v>
      </c>
      <c r="N1040" s="1233">
        <f>SUM('PIP finance'!P225:P237)</f>
        <v>5.406378832685129</v>
      </c>
    </row>
    <row r="1041" spans="2:17" ht="15.75" thickBot="1" x14ac:dyDescent="0.3">
      <c r="C1041" s="1240" t="s">
        <v>495</v>
      </c>
      <c r="D1041" s="2618">
        <f>SUM('PIP finance'!F273:F285)</f>
        <v>0</v>
      </c>
      <c r="E1041" s="1234">
        <f>SUM('PIP finance'!G273:G285)</f>
        <v>0</v>
      </c>
      <c r="F1041" s="1234">
        <f>SUM('PIP finance'!H273:H285)</f>
        <v>0</v>
      </c>
      <c r="G1041" s="1234">
        <f>SUM('PIP finance'!I273:I285)</f>
        <v>0</v>
      </c>
      <c r="H1041" s="1234">
        <f>SUM('PIP finance'!J273:J285)</f>
        <v>0</v>
      </c>
      <c r="I1041" s="1234">
        <f>SUM('PIP finance'!K273:K285)</f>
        <v>0</v>
      </c>
      <c r="J1041" s="1234">
        <f>SUM('PIP finance'!L273:L285)</f>
        <v>0</v>
      </c>
      <c r="K1041" s="1234">
        <f>SUM('PIP finance'!M273:M285)</f>
        <v>0</v>
      </c>
      <c r="L1041" s="1234">
        <f>SUM('PIP finance'!N273:N285)</f>
        <v>0</v>
      </c>
      <c r="M1041" s="1234">
        <f>SUM('PIP finance'!O273:O285)</f>
        <v>0</v>
      </c>
      <c r="N1041" s="1235">
        <f>SUM('PIP finance'!P273:P285)</f>
        <v>0</v>
      </c>
    </row>
    <row r="1042" spans="2:17" ht="15.75" thickBot="1" x14ac:dyDescent="0.3">
      <c r="D1042" s="2526"/>
    </row>
    <row r="1043" spans="2:17" x14ac:dyDescent="0.25">
      <c r="C1043" s="644" t="s">
        <v>742</v>
      </c>
      <c r="D1043" s="2622">
        <f t="shared" ref="D1043:N1043" si="448">D1098</f>
        <v>2014</v>
      </c>
      <c r="E1043" s="629">
        <f t="shared" si="448"/>
        <v>2015</v>
      </c>
      <c r="F1043" s="629">
        <f t="shared" si="448"/>
        <v>2016</v>
      </c>
      <c r="G1043" s="629">
        <f t="shared" si="448"/>
        <v>2017</v>
      </c>
      <c r="H1043" s="629">
        <f t="shared" si="448"/>
        <v>2018</v>
      </c>
      <c r="I1043" s="629">
        <f t="shared" si="448"/>
        <v>2019</v>
      </c>
      <c r="J1043" s="629">
        <f t="shared" si="448"/>
        <v>2020</v>
      </c>
      <c r="K1043" s="629">
        <f t="shared" si="448"/>
        <v>2021</v>
      </c>
      <c r="L1043" s="629">
        <f t="shared" si="448"/>
        <v>2022</v>
      </c>
      <c r="M1043" s="629">
        <f t="shared" si="448"/>
        <v>2023</v>
      </c>
      <c r="N1043" s="630">
        <f t="shared" si="448"/>
        <v>2024</v>
      </c>
    </row>
    <row r="1044" spans="2:17" x14ac:dyDescent="0.25">
      <c r="C1044" s="2888" t="s">
        <v>1408</v>
      </c>
      <c r="D1044" s="2889">
        <f>'WS calcu'!E$3</f>
        <v>2014</v>
      </c>
      <c r="E1044" s="2890">
        <f>'WS calcu'!F$3</f>
        <v>2015</v>
      </c>
      <c r="F1044" s="2890">
        <f>'WS calcu'!G$3</f>
        <v>2016</v>
      </c>
      <c r="G1044" s="2890">
        <f>'WS calcu'!H$3</f>
        <v>2017</v>
      </c>
      <c r="H1044" s="2890">
        <f>'WS calcu'!I$3</f>
        <v>2018</v>
      </c>
      <c r="I1044" s="2890">
        <f>'WS calcu'!J$3</f>
        <v>2019</v>
      </c>
      <c r="J1044" s="2890">
        <f>'WS calcu'!K$3</f>
        <v>2020</v>
      </c>
      <c r="K1044" s="2890">
        <f>'WS calcu'!L$3</f>
        <v>2021</v>
      </c>
      <c r="L1044" s="2890">
        <f>'WS calcu'!M$3</f>
        <v>2022</v>
      </c>
      <c r="M1044" s="2890">
        <f>'WS calcu'!N$3</f>
        <v>2023</v>
      </c>
      <c r="N1044" s="2891">
        <f>'WS calcu'!O$3</f>
        <v>2024</v>
      </c>
    </row>
    <row r="1045" spans="2:17" x14ac:dyDescent="0.25">
      <c r="C1045" s="1236" t="s">
        <v>2801</v>
      </c>
      <c r="D1045" s="2616">
        <f t="shared" ref="D1045:N1045" si="449">E422+E423</f>
        <v>0</v>
      </c>
      <c r="E1045" s="2616">
        <f t="shared" si="449"/>
        <v>0</v>
      </c>
      <c r="F1045" s="2616">
        <f t="shared" si="449"/>
        <v>0</v>
      </c>
      <c r="G1045" s="2616">
        <f t="shared" si="449"/>
        <v>0</v>
      </c>
      <c r="H1045" s="2616">
        <f t="shared" si="449"/>
        <v>0</v>
      </c>
      <c r="I1045" s="2616">
        <f t="shared" si="449"/>
        <v>0</v>
      </c>
      <c r="J1045" s="2616">
        <f t="shared" si="449"/>
        <v>0</v>
      </c>
      <c r="K1045" s="2616">
        <f t="shared" si="449"/>
        <v>0</v>
      </c>
      <c r="L1045" s="2616">
        <f t="shared" si="449"/>
        <v>0</v>
      </c>
      <c r="M1045" s="2616">
        <f t="shared" si="449"/>
        <v>0</v>
      </c>
      <c r="N1045" s="2423">
        <f t="shared" si="449"/>
        <v>0</v>
      </c>
    </row>
    <row r="1046" spans="2:17" s="124" customFormat="1" x14ac:dyDescent="0.25">
      <c r="B1046" s="27"/>
      <c r="C1046" s="1307" t="s">
        <v>2802</v>
      </c>
      <c r="D1046" s="2614">
        <f t="shared" ref="D1046:N1046" si="450">(E478+E479)-D1045</f>
        <v>0</v>
      </c>
      <c r="E1046" s="2614">
        <f t="shared" si="450"/>
        <v>0</v>
      </c>
      <c r="F1046" s="2614">
        <f t="shared" si="450"/>
        <v>0</v>
      </c>
      <c r="G1046" s="2614">
        <f t="shared" si="450"/>
        <v>0</v>
      </c>
      <c r="H1046" s="2614">
        <f t="shared" si="450"/>
        <v>0</v>
      </c>
      <c r="I1046" s="2614">
        <f t="shared" si="450"/>
        <v>0</v>
      </c>
      <c r="J1046" s="2614">
        <f t="shared" si="450"/>
        <v>0</v>
      </c>
      <c r="K1046" s="2614">
        <f t="shared" si="450"/>
        <v>0</v>
      </c>
      <c r="L1046" s="2614">
        <f t="shared" si="450"/>
        <v>0</v>
      </c>
      <c r="M1046" s="2614">
        <f t="shared" si="450"/>
        <v>0</v>
      </c>
      <c r="N1046" s="1917">
        <f t="shared" si="450"/>
        <v>0</v>
      </c>
      <c r="Q1046" s="3987"/>
    </row>
    <row r="1047" spans="2:17" s="124" customFormat="1" x14ac:dyDescent="0.25">
      <c r="B1047" s="9"/>
      <c r="C1047" s="1307" t="s">
        <v>2974</v>
      </c>
      <c r="D1047" s="2614">
        <f t="shared" ref="D1047:N1047" si="451">E370+E371</f>
        <v>0</v>
      </c>
      <c r="E1047" s="119">
        <f t="shared" si="451"/>
        <v>0</v>
      </c>
      <c r="F1047" s="119">
        <f t="shared" si="451"/>
        <v>0</v>
      </c>
      <c r="G1047" s="119">
        <f t="shared" si="451"/>
        <v>0</v>
      </c>
      <c r="H1047" s="119">
        <f t="shared" si="451"/>
        <v>0</v>
      </c>
      <c r="I1047" s="119">
        <f t="shared" si="451"/>
        <v>0</v>
      </c>
      <c r="J1047" s="119">
        <f t="shared" si="451"/>
        <v>0</v>
      </c>
      <c r="K1047" s="119">
        <f t="shared" si="451"/>
        <v>0</v>
      </c>
      <c r="L1047" s="119">
        <f t="shared" si="451"/>
        <v>0</v>
      </c>
      <c r="M1047" s="119">
        <f t="shared" si="451"/>
        <v>0</v>
      </c>
      <c r="N1047" s="1917">
        <f t="shared" si="451"/>
        <v>0</v>
      </c>
      <c r="Q1047" s="3987"/>
    </row>
    <row r="1048" spans="2:17" s="124" customFormat="1" x14ac:dyDescent="0.25">
      <c r="B1048" s="9"/>
      <c r="C1048" s="1307" t="s">
        <v>2804</v>
      </c>
      <c r="D1048" s="2614">
        <f t="shared" ref="D1048:N1048" si="452">E318+E319</f>
        <v>424</v>
      </c>
      <c r="E1048" s="119">
        <f t="shared" si="452"/>
        <v>1926.6000000000001</v>
      </c>
      <c r="F1048" s="119">
        <f t="shared" si="452"/>
        <v>3429.2000000000003</v>
      </c>
      <c r="G1048" s="119">
        <f t="shared" si="452"/>
        <v>4931.8</v>
      </c>
      <c r="H1048" s="119">
        <f t="shared" si="452"/>
        <v>6434.4000000000005</v>
      </c>
      <c r="I1048" s="119">
        <f t="shared" si="452"/>
        <v>7937</v>
      </c>
      <c r="J1048" s="119">
        <f t="shared" si="452"/>
        <v>7937</v>
      </c>
      <c r="K1048" s="119">
        <f t="shared" si="452"/>
        <v>7937</v>
      </c>
      <c r="L1048" s="119">
        <f t="shared" si="452"/>
        <v>7937</v>
      </c>
      <c r="M1048" s="119">
        <f t="shared" si="452"/>
        <v>7937</v>
      </c>
      <c r="N1048" s="1917">
        <f t="shared" si="452"/>
        <v>7937</v>
      </c>
      <c r="Q1048" s="3987"/>
    </row>
    <row r="1049" spans="2:17" s="124" customFormat="1" x14ac:dyDescent="0.25">
      <c r="B1049" s="9"/>
      <c r="C1049" s="1307" t="s">
        <v>2805</v>
      </c>
      <c r="D1049" s="2614">
        <f t="shared" ref="D1049:N1049" si="453">SUM(E256:E259)</f>
        <v>4218</v>
      </c>
      <c r="E1049" s="119">
        <f t="shared" si="453"/>
        <v>3374.4</v>
      </c>
      <c r="F1049" s="119">
        <f t="shared" si="453"/>
        <v>2530.7999999999997</v>
      </c>
      <c r="G1049" s="119">
        <f t="shared" si="453"/>
        <v>1687.2000000000003</v>
      </c>
      <c r="H1049" s="119">
        <f t="shared" si="453"/>
        <v>843.60000000000014</v>
      </c>
      <c r="I1049" s="119">
        <f t="shared" si="453"/>
        <v>0</v>
      </c>
      <c r="J1049" s="119">
        <f t="shared" si="453"/>
        <v>0</v>
      </c>
      <c r="K1049" s="119">
        <f t="shared" si="453"/>
        <v>0</v>
      </c>
      <c r="L1049" s="119">
        <f t="shared" si="453"/>
        <v>0</v>
      </c>
      <c r="M1049" s="119">
        <f t="shared" si="453"/>
        <v>0</v>
      </c>
      <c r="N1049" s="1917">
        <f t="shared" si="453"/>
        <v>0</v>
      </c>
      <c r="Q1049" s="3987"/>
    </row>
    <row r="1050" spans="2:17" s="124" customFormat="1" x14ac:dyDescent="0.25">
      <c r="B1050" s="9"/>
      <c r="C1050" s="2875" t="s">
        <v>2801</v>
      </c>
      <c r="D1050" s="2876">
        <f>D1045</f>
        <v>0</v>
      </c>
      <c r="E1050" s="2877">
        <f t="shared" ref="E1050:N1050" si="454">E1045</f>
        <v>0</v>
      </c>
      <c r="F1050" s="2877">
        <f t="shared" si="454"/>
        <v>0</v>
      </c>
      <c r="G1050" s="2877">
        <f t="shared" si="454"/>
        <v>0</v>
      </c>
      <c r="H1050" s="2877">
        <f t="shared" si="454"/>
        <v>0</v>
      </c>
      <c r="I1050" s="2877">
        <f t="shared" si="454"/>
        <v>0</v>
      </c>
      <c r="J1050" s="2877">
        <f t="shared" si="454"/>
        <v>0</v>
      </c>
      <c r="K1050" s="2877">
        <f t="shared" si="454"/>
        <v>0</v>
      </c>
      <c r="L1050" s="2877">
        <f t="shared" si="454"/>
        <v>0</v>
      </c>
      <c r="M1050" s="2877">
        <f t="shared" si="454"/>
        <v>0</v>
      </c>
      <c r="N1050" s="2878">
        <f t="shared" si="454"/>
        <v>0</v>
      </c>
      <c r="Q1050" s="3987"/>
    </row>
    <row r="1051" spans="2:17" s="124" customFormat="1" x14ac:dyDescent="0.25">
      <c r="B1051" s="9"/>
      <c r="C1051" s="1307" t="s">
        <v>2802</v>
      </c>
      <c r="D1051" s="2614">
        <f t="shared" ref="D1051:N1054" si="455">D1050+D1046</f>
        <v>0</v>
      </c>
      <c r="E1051" s="119">
        <f t="shared" si="455"/>
        <v>0</v>
      </c>
      <c r="F1051" s="119">
        <f t="shared" si="455"/>
        <v>0</v>
      </c>
      <c r="G1051" s="119">
        <f t="shared" si="455"/>
        <v>0</v>
      </c>
      <c r="H1051" s="119">
        <f t="shared" si="455"/>
        <v>0</v>
      </c>
      <c r="I1051" s="119">
        <f t="shared" si="455"/>
        <v>0</v>
      </c>
      <c r="J1051" s="119">
        <f t="shared" si="455"/>
        <v>0</v>
      </c>
      <c r="K1051" s="119">
        <f t="shared" si="455"/>
        <v>0</v>
      </c>
      <c r="L1051" s="119">
        <f t="shared" si="455"/>
        <v>0</v>
      </c>
      <c r="M1051" s="119">
        <f t="shared" si="455"/>
        <v>0</v>
      </c>
      <c r="N1051" s="1917">
        <f t="shared" si="455"/>
        <v>0</v>
      </c>
      <c r="Q1051" s="3987"/>
    </row>
    <row r="1052" spans="2:17" s="124" customFormat="1" x14ac:dyDescent="0.25">
      <c r="B1052" s="9"/>
      <c r="C1052" s="1307" t="s">
        <v>2974</v>
      </c>
      <c r="D1052" s="2614">
        <f t="shared" si="455"/>
        <v>0</v>
      </c>
      <c r="E1052" s="119">
        <f t="shared" si="455"/>
        <v>0</v>
      </c>
      <c r="F1052" s="119">
        <f t="shared" si="455"/>
        <v>0</v>
      </c>
      <c r="G1052" s="119">
        <f t="shared" si="455"/>
        <v>0</v>
      </c>
      <c r="H1052" s="119">
        <f t="shared" si="455"/>
        <v>0</v>
      </c>
      <c r="I1052" s="119">
        <f t="shared" si="455"/>
        <v>0</v>
      </c>
      <c r="J1052" s="119">
        <f t="shared" si="455"/>
        <v>0</v>
      </c>
      <c r="K1052" s="119">
        <f t="shared" si="455"/>
        <v>0</v>
      </c>
      <c r="L1052" s="119">
        <f t="shared" si="455"/>
        <v>0</v>
      </c>
      <c r="M1052" s="119">
        <f t="shared" si="455"/>
        <v>0</v>
      </c>
      <c r="N1052" s="1917">
        <f t="shared" si="455"/>
        <v>0</v>
      </c>
      <c r="Q1052" s="3987"/>
    </row>
    <row r="1053" spans="2:17" s="124" customFormat="1" x14ac:dyDescent="0.25">
      <c r="B1053" s="9"/>
      <c r="C1053" s="1307" t="s">
        <v>2804</v>
      </c>
      <c r="D1053" s="2614">
        <f t="shared" si="455"/>
        <v>424</v>
      </c>
      <c r="E1053" s="119">
        <f t="shared" si="455"/>
        <v>1926.6000000000001</v>
      </c>
      <c r="F1053" s="119">
        <f t="shared" si="455"/>
        <v>3429.2000000000003</v>
      </c>
      <c r="G1053" s="119">
        <f t="shared" si="455"/>
        <v>4931.8</v>
      </c>
      <c r="H1053" s="119">
        <f t="shared" si="455"/>
        <v>6434.4000000000005</v>
      </c>
      <c r="I1053" s="119">
        <f t="shared" si="455"/>
        <v>7937</v>
      </c>
      <c r="J1053" s="119">
        <f t="shared" si="455"/>
        <v>7937</v>
      </c>
      <c r="K1053" s="119">
        <f t="shared" si="455"/>
        <v>7937</v>
      </c>
      <c r="L1053" s="119">
        <f t="shared" si="455"/>
        <v>7937</v>
      </c>
      <c r="M1053" s="119">
        <f t="shared" si="455"/>
        <v>7937</v>
      </c>
      <c r="N1053" s="1917">
        <f t="shared" si="455"/>
        <v>7937</v>
      </c>
      <c r="Q1053" s="3987"/>
    </row>
    <row r="1054" spans="2:17" s="124" customFormat="1" x14ac:dyDescent="0.25">
      <c r="B1054" s="9"/>
      <c r="C1054" s="1307" t="s">
        <v>2805</v>
      </c>
      <c r="D1054" s="2614">
        <f t="shared" si="455"/>
        <v>4642</v>
      </c>
      <c r="E1054" s="119">
        <f t="shared" si="455"/>
        <v>5301</v>
      </c>
      <c r="F1054" s="119">
        <f t="shared" si="455"/>
        <v>5960</v>
      </c>
      <c r="G1054" s="119">
        <f t="shared" si="455"/>
        <v>6619</v>
      </c>
      <c r="H1054" s="119">
        <f t="shared" si="455"/>
        <v>7278.0000000000009</v>
      </c>
      <c r="I1054" s="119">
        <f t="shared" si="455"/>
        <v>7937</v>
      </c>
      <c r="J1054" s="119">
        <f t="shared" si="455"/>
        <v>7937</v>
      </c>
      <c r="K1054" s="119">
        <f t="shared" si="455"/>
        <v>7937</v>
      </c>
      <c r="L1054" s="119">
        <f t="shared" si="455"/>
        <v>7937</v>
      </c>
      <c r="M1054" s="119">
        <f t="shared" si="455"/>
        <v>7937</v>
      </c>
      <c r="N1054" s="1917">
        <f t="shared" si="455"/>
        <v>7937</v>
      </c>
      <c r="Q1054" s="3987"/>
    </row>
    <row r="1055" spans="2:17" s="124" customFormat="1" x14ac:dyDescent="0.25">
      <c r="B1055" s="9"/>
      <c r="C1055" s="1307" t="s">
        <v>2977</v>
      </c>
      <c r="D1055" s="2614">
        <f>D991</f>
        <v>0</v>
      </c>
      <c r="E1055" s="119">
        <f t="shared" ref="E1055:N1055" si="456">E991</f>
        <v>0</v>
      </c>
      <c r="F1055" s="119">
        <f t="shared" si="456"/>
        <v>0</v>
      </c>
      <c r="G1055" s="119">
        <f t="shared" si="456"/>
        <v>0</v>
      </c>
      <c r="H1055" s="119">
        <f t="shared" si="456"/>
        <v>0</v>
      </c>
      <c r="I1055" s="119">
        <f t="shared" si="456"/>
        <v>0</v>
      </c>
      <c r="J1055" s="119">
        <f t="shared" si="456"/>
        <v>0</v>
      </c>
      <c r="K1055" s="119">
        <f t="shared" si="456"/>
        <v>0</v>
      </c>
      <c r="L1055" s="119">
        <f t="shared" si="456"/>
        <v>0</v>
      </c>
      <c r="M1055" s="119">
        <f t="shared" si="456"/>
        <v>0</v>
      </c>
      <c r="N1055" s="1917">
        <f t="shared" si="456"/>
        <v>0</v>
      </c>
      <c r="Q1055" s="3987"/>
    </row>
    <row r="1056" spans="2:17" s="124" customFormat="1" x14ac:dyDescent="0.25">
      <c r="B1056" s="9"/>
      <c r="C1056" s="1242" t="s">
        <v>2801</v>
      </c>
      <c r="D1056" s="2881">
        <f>IFERROR(D1050/D$991,0)</f>
        <v>0</v>
      </c>
      <c r="E1056" s="1922">
        <f t="shared" ref="E1056:N1056" si="457">IFERROR(E1050/E$991,0)</f>
        <v>0</v>
      </c>
      <c r="F1056" s="1922">
        <f t="shared" si="457"/>
        <v>0</v>
      </c>
      <c r="G1056" s="1922">
        <f t="shared" si="457"/>
        <v>0</v>
      </c>
      <c r="H1056" s="1922">
        <f t="shared" si="457"/>
        <v>0</v>
      </c>
      <c r="I1056" s="1922">
        <f t="shared" si="457"/>
        <v>0</v>
      </c>
      <c r="J1056" s="1922">
        <f t="shared" si="457"/>
        <v>0</v>
      </c>
      <c r="K1056" s="1922">
        <f t="shared" si="457"/>
        <v>0</v>
      </c>
      <c r="L1056" s="1922">
        <f t="shared" si="457"/>
        <v>0</v>
      </c>
      <c r="M1056" s="1922">
        <f t="shared" si="457"/>
        <v>0</v>
      </c>
      <c r="N1056" s="1923">
        <f t="shared" si="457"/>
        <v>0</v>
      </c>
      <c r="Q1056" s="3987"/>
    </row>
    <row r="1057" spans="1:17" s="124" customFormat="1" x14ac:dyDescent="0.25">
      <c r="B1057" s="9"/>
      <c r="C1057" s="1916" t="s">
        <v>2802</v>
      </c>
      <c r="D1057" s="2882">
        <f>IFERROR(D1051/D$991,0)</f>
        <v>0</v>
      </c>
      <c r="E1057" s="1918">
        <f t="shared" ref="E1057:N1057" si="458">IFERROR(E1051/E$991,0)</f>
        <v>0</v>
      </c>
      <c r="F1057" s="1918">
        <f t="shared" si="458"/>
        <v>0</v>
      </c>
      <c r="G1057" s="1918">
        <f t="shared" si="458"/>
        <v>0</v>
      </c>
      <c r="H1057" s="1918">
        <f t="shared" si="458"/>
        <v>0</v>
      </c>
      <c r="I1057" s="1918">
        <f t="shared" si="458"/>
        <v>0</v>
      </c>
      <c r="J1057" s="1918">
        <f t="shared" si="458"/>
        <v>0</v>
      </c>
      <c r="K1057" s="1918">
        <f t="shared" si="458"/>
        <v>0</v>
      </c>
      <c r="L1057" s="1918">
        <f t="shared" si="458"/>
        <v>0</v>
      </c>
      <c r="M1057" s="1918">
        <f t="shared" si="458"/>
        <v>0</v>
      </c>
      <c r="N1057" s="1919">
        <f t="shared" si="458"/>
        <v>0</v>
      </c>
      <c r="Q1057" s="3987"/>
    </row>
    <row r="1058" spans="1:17" s="124" customFormat="1" x14ac:dyDescent="0.25">
      <c r="B1058" s="9"/>
      <c r="C1058" s="1916" t="s">
        <v>2974</v>
      </c>
      <c r="D1058" s="2882">
        <f>IFERROR(D1052/D$991,0)</f>
        <v>0</v>
      </c>
      <c r="E1058" s="1918">
        <f t="shared" ref="E1058:N1058" si="459">IFERROR(E1052/E$991,0)</f>
        <v>0</v>
      </c>
      <c r="F1058" s="1918">
        <f t="shared" si="459"/>
        <v>0</v>
      </c>
      <c r="G1058" s="1918">
        <f t="shared" si="459"/>
        <v>0</v>
      </c>
      <c r="H1058" s="1918">
        <f t="shared" si="459"/>
        <v>0</v>
      </c>
      <c r="I1058" s="1918">
        <f t="shared" si="459"/>
        <v>0</v>
      </c>
      <c r="J1058" s="1918">
        <f t="shared" si="459"/>
        <v>0</v>
      </c>
      <c r="K1058" s="1918">
        <f t="shared" si="459"/>
        <v>0</v>
      </c>
      <c r="L1058" s="1918">
        <f t="shared" si="459"/>
        <v>0</v>
      </c>
      <c r="M1058" s="1918">
        <f t="shared" si="459"/>
        <v>0</v>
      </c>
      <c r="N1058" s="1919">
        <f t="shared" si="459"/>
        <v>0</v>
      </c>
      <c r="Q1058" s="3987"/>
    </row>
    <row r="1059" spans="1:17" s="124" customFormat="1" x14ac:dyDescent="0.25">
      <c r="B1059" s="9"/>
      <c r="C1059" s="1916" t="s">
        <v>2804</v>
      </c>
      <c r="D1059" s="2882">
        <f>IFERROR(D1053/D$991,0)</f>
        <v>0</v>
      </c>
      <c r="E1059" s="1918">
        <f t="shared" ref="E1059:N1059" si="460">IFERROR(E1053/E$991,0)</f>
        <v>0</v>
      </c>
      <c r="F1059" s="1918">
        <f t="shared" si="460"/>
        <v>0</v>
      </c>
      <c r="G1059" s="1918">
        <f t="shared" si="460"/>
        <v>0</v>
      </c>
      <c r="H1059" s="1918">
        <f t="shared" si="460"/>
        <v>0</v>
      </c>
      <c r="I1059" s="1918">
        <f t="shared" si="460"/>
        <v>0</v>
      </c>
      <c r="J1059" s="1918">
        <f t="shared" si="460"/>
        <v>0</v>
      </c>
      <c r="K1059" s="1918">
        <f t="shared" si="460"/>
        <v>0</v>
      </c>
      <c r="L1059" s="1918">
        <f t="shared" si="460"/>
        <v>0</v>
      </c>
      <c r="M1059" s="1918">
        <f t="shared" si="460"/>
        <v>0</v>
      </c>
      <c r="N1059" s="1919">
        <f t="shared" si="460"/>
        <v>0</v>
      </c>
      <c r="Q1059" s="3987"/>
    </row>
    <row r="1060" spans="1:17" s="124" customFormat="1" x14ac:dyDescent="0.25">
      <c r="B1060" s="9"/>
      <c r="C1060" s="1916" t="s">
        <v>2805</v>
      </c>
      <c r="D1060" s="2882">
        <f>IFERROR(D1054/D$991,0)</f>
        <v>0</v>
      </c>
      <c r="E1060" s="1918">
        <f t="shared" ref="E1060:N1060" si="461">IFERROR(E1054/E$991,0)</f>
        <v>0</v>
      </c>
      <c r="F1060" s="1918">
        <f t="shared" si="461"/>
        <v>0</v>
      </c>
      <c r="G1060" s="1918">
        <f t="shared" si="461"/>
        <v>0</v>
      </c>
      <c r="H1060" s="1918">
        <f t="shared" si="461"/>
        <v>0</v>
      </c>
      <c r="I1060" s="1918">
        <f t="shared" si="461"/>
        <v>0</v>
      </c>
      <c r="J1060" s="1918">
        <f t="shared" si="461"/>
        <v>0</v>
      </c>
      <c r="K1060" s="1918">
        <f t="shared" si="461"/>
        <v>0</v>
      </c>
      <c r="L1060" s="1918">
        <f t="shared" si="461"/>
        <v>0</v>
      </c>
      <c r="M1060" s="1918">
        <f t="shared" si="461"/>
        <v>0</v>
      </c>
      <c r="N1060" s="1919">
        <f t="shared" si="461"/>
        <v>0</v>
      </c>
      <c r="Q1060" s="3987"/>
    </row>
    <row r="1061" spans="1:17" ht="15.75" thickBot="1" x14ac:dyDescent="0.3">
      <c r="C1061" s="1240" t="s">
        <v>582</v>
      </c>
      <c r="D1061" s="2883">
        <v>1</v>
      </c>
      <c r="E1061" s="1230">
        <v>1</v>
      </c>
      <c r="F1061" s="1230">
        <v>1</v>
      </c>
      <c r="G1061" s="1230">
        <v>1</v>
      </c>
      <c r="H1061" s="1230">
        <v>1</v>
      </c>
      <c r="I1061" s="1230">
        <v>1</v>
      </c>
      <c r="J1061" s="1230">
        <v>1</v>
      </c>
      <c r="K1061" s="1230">
        <v>1</v>
      </c>
      <c r="L1061" s="1230">
        <v>1</v>
      </c>
      <c r="M1061" s="1230">
        <v>1</v>
      </c>
      <c r="N1061" s="1231">
        <v>1</v>
      </c>
    </row>
    <row r="1062" spans="1:17" x14ac:dyDescent="0.25">
      <c r="C1062" s="2887" t="s">
        <v>1409</v>
      </c>
      <c r="D1062" s="2615"/>
      <c r="E1062" s="1920"/>
      <c r="F1062" s="1920"/>
      <c r="G1062" s="1920"/>
      <c r="H1062" s="1920"/>
      <c r="I1062" s="1920"/>
      <c r="J1062" s="1920"/>
      <c r="K1062" s="1920"/>
      <c r="L1062" s="1920"/>
      <c r="M1062" s="1920"/>
      <c r="N1062" s="1921"/>
    </row>
    <row r="1063" spans="1:17" x14ac:dyDescent="0.25">
      <c r="C1063" s="1236" t="s">
        <v>2801</v>
      </c>
      <c r="D1063" s="2616">
        <f t="shared" ref="D1063:N1063" si="462">E423</f>
        <v>0</v>
      </c>
      <c r="E1063" s="2616">
        <f t="shared" si="462"/>
        <v>0</v>
      </c>
      <c r="F1063" s="2616">
        <f t="shared" si="462"/>
        <v>0</v>
      </c>
      <c r="G1063" s="2616">
        <f t="shared" si="462"/>
        <v>0</v>
      </c>
      <c r="H1063" s="2616">
        <f t="shared" si="462"/>
        <v>0</v>
      </c>
      <c r="I1063" s="2616">
        <f t="shared" si="462"/>
        <v>0</v>
      </c>
      <c r="J1063" s="2616">
        <f t="shared" si="462"/>
        <v>0</v>
      </c>
      <c r="K1063" s="2616">
        <f t="shared" si="462"/>
        <v>0</v>
      </c>
      <c r="L1063" s="2616">
        <f t="shared" si="462"/>
        <v>0</v>
      </c>
      <c r="M1063" s="2616">
        <f t="shared" si="462"/>
        <v>0</v>
      </c>
      <c r="N1063" s="2423">
        <f t="shared" si="462"/>
        <v>0</v>
      </c>
      <c r="O1063" s="27"/>
    </row>
    <row r="1064" spans="1:17" x14ac:dyDescent="0.25">
      <c r="A1064" s="27"/>
      <c r="B1064" s="27"/>
      <c r="C1064" s="1307" t="s">
        <v>2802</v>
      </c>
      <c r="D1064" s="2616">
        <f t="shared" ref="D1064:N1064" si="463">E479-D1063</f>
        <v>0</v>
      </c>
      <c r="E1064" s="2100">
        <f t="shared" si="463"/>
        <v>0</v>
      </c>
      <c r="F1064" s="2100">
        <f t="shared" si="463"/>
        <v>0</v>
      </c>
      <c r="G1064" s="2100">
        <f t="shared" si="463"/>
        <v>0</v>
      </c>
      <c r="H1064" s="2100">
        <f t="shared" si="463"/>
        <v>0</v>
      </c>
      <c r="I1064" s="2100">
        <f t="shared" si="463"/>
        <v>0</v>
      </c>
      <c r="J1064" s="2100">
        <f t="shared" si="463"/>
        <v>0</v>
      </c>
      <c r="K1064" s="2100">
        <f t="shared" si="463"/>
        <v>0</v>
      </c>
      <c r="L1064" s="2100">
        <f t="shared" si="463"/>
        <v>0</v>
      </c>
      <c r="M1064" s="2100">
        <f t="shared" si="463"/>
        <v>0</v>
      </c>
      <c r="N1064" s="2423">
        <f t="shared" si="463"/>
        <v>0</v>
      </c>
      <c r="O1064" s="27"/>
    </row>
    <row r="1065" spans="1:17" x14ac:dyDescent="0.25">
      <c r="C1065" s="1307" t="s">
        <v>2803</v>
      </c>
      <c r="D1065" s="2616">
        <f t="shared" ref="D1065:N1065" si="464">E371</f>
        <v>0</v>
      </c>
      <c r="E1065" s="2100">
        <f t="shared" si="464"/>
        <v>0</v>
      </c>
      <c r="F1065" s="2100">
        <f t="shared" si="464"/>
        <v>0</v>
      </c>
      <c r="G1065" s="2100">
        <f t="shared" si="464"/>
        <v>0</v>
      </c>
      <c r="H1065" s="2100">
        <f t="shared" si="464"/>
        <v>0</v>
      </c>
      <c r="I1065" s="2100">
        <f t="shared" si="464"/>
        <v>0</v>
      </c>
      <c r="J1065" s="2100">
        <f t="shared" si="464"/>
        <v>0</v>
      </c>
      <c r="K1065" s="2100">
        <f t="shared" si="464"/>
        <v>0</v>
      </c>
      <c r="L1065" s="2100">
        <f t="shared" si="464"/>
        <v>0</v>
      </c>
      <c r="M1065" s="2100">
        <f t="shared" si="464"/>
        <v>0</v>
      </c>
      <c r="N1065" s="2423">
        <f t="shared" si="464"/>
        <v>0</v>
      </c>
      <c r="O1065" s="27"/>
    </row>
    <row r="1066" spans="1:17" x14ac:dyDescent="0.25">
      <c r="C1066" s="1307" t="s">
        <v>2804</v>
      </c>
      <c r="D1066" s="2616">
        <f t="shared" ref="D1066:N1066" si="465">E319</f>
        <v>0</v>
      </c>
      <c r="E1066" s="2100">
        <f t="shared" si="465"/>
        <v>71.2</v>
      </c>
      <c r="F1066" s="2100">
        <f t="shared" si="465"/>
        <v>142.4</v>
      </c>
      <c r="G1066" s="2100">
        <f t="shared" si="465"/>
        <v>213.60000000000002</v>
      </c>
      <c r="H1066" s="2100">
        <f t="shared" si="465"/>
        <v>284.8</v>
      </c>
      <c r="I1066" s="2100">
        <f t="shared" si="465"/>
        <v>356</v>
      </c>
      <c r="J1066" s="2100">
        <f t="shared" si="465"/>
        <v>356</v>
      </c>
      <c r="K1066" s="2100">
        <f t="shared" si="465"/>
        <v>356</v>
      </c>
      <c r="L1066" s="2100">
        <f t="shared" si="465"/>
        <v>356</v>
      </c>
      <c r="M1066" s="2100">
        <f t="shared" si="465"/>
        <v>356</v>
      </c>
      <c r="N1066" s="2423">
        <f t="shared" si="465"/>
        <v>356</v>
      </c>
      <c r="O1066" s="27"/>
    </row>
    <row r="1067" spans="1:17" x14ac:dyDescent="0.25">
      <c r="C1067" s="1307" t="s">
        <v>2805</v>
      </c>
      <c r="D1067" s="2613">
        <f t="shared" ref="D1067:N1067" si="466">E257+E259</f>
        <v>191</v>
      </c>
      <c r="E1067" s="597">
        <f t="shared" si="466"/>
        <v>152.80000000000001</v>
      </c>
      <c r="F1067" s="597">
        <f t="shared" si="466"/>
        <v>114.6</v>
      </c>
      <c r="G1067" s="597">
        <f t="shared" si="466"/>
        <v>76.399999999999991</v>
      </c>
      <c r="H1067" s="597">
        <f t="shared" si="466"/>
        <v>38.199999999999989</v>
      </c>
      <c r="I1067" s="597">
        <f t="shared" si="466"/>
        <v>0</v>
      </c>
      <c r="J1067" s="597">
        <f t="shared" si="466"/>
        <v>0</v>
      </c>
      <c r="K1067" s="597">
        <f t="shared" si="466"/>
        <v>0</v>
      </c>
      <c r="L1067" s="597">
        <f t="shared" si="466"/>
        <v>0</v>
      </c>
      <c r="M1067" s="597">
        <f t="shared" si="466"/>
        <v>0</v>
      </c>
      <c r="N1067" s="652">
        <f t="shared" si="466"/>
        <v>0</v>
      </c>
    </row>
    <row r="1068" spans="1:17" x14ac:dyDescent="0.25">
      <c r="A1068" s="27"/>
      <c r="C1068" s="2875" t="s">
        <v>2801</v>
      </c>
      <c r="D1068" s="2884">
        <f>D1063</f>
        <v>0</v>
      </c>
      <c r="E1068" s="2188">
        <f t="shared" ref="E1068:N1068" si="467">E1063</f>
        <v>0</v>
      </c>
      <c r="F1068" s="2188">
        <f t="shared" si="467"/>
        <v>0</v>
      </c>
      <c r="G1068" s="2188">
        <f t="shared" si="467"/>
        <v>0</v>
      </c>
      <c r="H1068" s="2188">
        <f t="shared" si="467"/>
        <v>0</v>
      </c>
      <c r="I1068" s="2188">
        <f t="shared" si="467"/>
        <v>0</v>
      </c>
      <c r="J1068" s="2188">
        <f t="shared" si="467"/>
        <v>0</v>
      </c>
      <c r="K1068" s="2188">
        <f t="shared" si="467"/>
        <v>0</v>
      </c>
      <c r="L1068" s="2188">
        <f t="shared" si="467"/>
        <v>0</v>
      </c>
      <c r="M1068" s="2188">
        <f t="shared" si="467"/>
        <v>0</v>
      </c>
      <c r="N1068" s="2885">
        <f t="shared" si="467"/>
        <v>0</v>
      </c>
      <c r="O1068" s="27"/>
    </row>
    <row r="1069" spans="1:17" x14ac:dyDescent="0.25">
      <c r="A1069" s="27"/>
      <c r="C1069" s="1307" t="s">
        <v>2802</v>
      </c>
      <c r="D1069" s="2616">
        <f t="shared" ref="D1069:N1071" si="468">D1068+D1064</f>
        <v>0</v>
      </c>
      <c r="E1069" s="2100">
        <f t="shared" si="468"/>
        <v>0</v>
      </c>
      <c r="F1069" s="2100">
        <f t="shared" si="468"/>
        <v>0</v>
      </c>
      <c r="G1069" s="2100">
        <f t="shared" si="468"/>
        <v>0</v>
      </c>
      <c r="H1069" s="2100">
        <f t="shared" si="468"/>
        <v>0</v>
      </c>
      <c r="I1069" s="2100">
        <f t="shared" si="468"/>
        <v>0</v>
      </c>
      <c r="J1069" s="2100">
        <f t="shared" si="468"/>
        <v>0</v>
      </c>
      <c r="K1069" s="2100">
        <f t="shared" si="468"/>
        <v>0</v>
      </c>
      <c r="L1069" s="2100">
        <f t="shared" si="468"/>
        <v>0</v>
      </c>
      <c r="M1069" s="2100">
        <f t="shared" si="468"/>
        <v>0</v>
      </c>
      <c r="N1069" s="2423">
        <f t="shared" si="468"/>
        <v>0</v>
      </c>
      <c r="O1069" s="27"/>
    </row>
    <row r="1070" spans="1:17" x14ac:dyDescent="0.25">
      <c r="A1070" s="27"/>
      <c r="C1070" s="1307" t="s">
        <v>2803</v>
      </c>
      <c r="D1070" s="2616">
        <f t="shared" si="468"/>
        <v>0</v>
      </c>
      <c r="E1070" s="2100">
        <f t="shared" si="468"/>
        <v>0</v>
      </c>
      <c r="F1070" s="2100">
        <f t="shared" si="468"/>
        <v>0</v>
      </c>
      <c r="G1070" s="2100">
        <f t="shared" si="468"/>
        <v>0</v>
      </c>
      <c r="H1070" s="2100">
        <f t="shared" si="468"/>
        <v>0</v>
      </c>
      <c r="I1070" s="2100">
        <f t="shared" si="468"/>
        <v>0</v>
      </c>
      <c r="J1070" s="2100">
        <f t="shared" si="468"/>
        <v>0</v>
      </c>
      <c r="K1070" s="2100">
        <f t="shared" si="468"/>
        <v>0</v>
      </c>
      <c r="L1070" s="2100">
        <f t="shared" si="468"/>
        <v>0</v>
      </c>
      <c r="M1070" s="2100">
        <f t="shared" si="468"/>
        <v>0</v>
      </c>
      <c r="N1070" s="2423">
        <f t="shared" si="468"/>
        <v>0</v>
      </c>
      <c r="O1070" s="27"/>
    </row>
    <row r="1071" spans="1:17" x14ac:dyDescent="0.25">
      <c r="A1071" s="27"/>
      <c r="C1071" s="1307" t="s">
        <v>2804</v>
      </c>
      <c r="D1071" s="2616">
        <f t="shared" si="468"/>
        <v>0</v>
      </c>
      <c r="E1071" s="2100">
        <f t="shared" si="468"/>
        <v>71.2</v>
      </c>
      <c r="F1071" s="2100">
        <f t="shared" si="468"/>
        <v>142.4</v>
      </c>
      <c r="G1071" s="2100">
        <f t="shared" si="468"/>
        <v>213.60000000000002</v>
      </c>
      <c r="H1071" s="2100">
        <f t="shared" si="468"/>
        <v>284.8</v>
      </c>
      <c r="I1071" s="2100">
        <f t="shared" si="468"/>
        <v>356</v>
      </c>
      <c r="J1071" s="2100">
        <f t="shared" si="468"/>
        <v>356</v>
      </c>
      <c r="K1071" s="2100">
        <f t="shared" si="468"/>
        <v>356</v>
      </c>
      <c r="L1071" s="2100">
        <f t="shared" si="468"/>
        <v>356</v>
      </c>
      <c r="M1071" s="2100">
        <f t="shared" si="468"/>
        <v>356</v>
      </c>
      <c r="N1071" s="2423">
        <f t="shared" si="468"/>
        <v>356</v>
      </c>
      <c r="O1071" s="27"/>
    </row>
    <row r="1072" spans="1:17" s="124" customFormat="1" x14ac:dyDescent="0.25">
      <c r="B1072" s="9"/>
      <c r="C1072" s="1307" t="s">
        <v>2805</v>
      </c>
      <c r="D1072" s="2614">
        <f>D1071+D1067</f>
        <v>191</v>
      </c>
      <c r="E1072" s="119">
        <f t="shared" ref="E1072:N1072" si="469">E1071+E1067</f>
        <v>224</v>
      </c>
      <c r="F1072" s="119">
        <f t="shared" si="469"/>
        <v>257</v>
      </c>
      <c r="G1072" s="119">
        <f t="shared" si="469"/>
        <v>290</v>
      </c>
      <c r="H1072" s="119">
        <f t="shared" si="469"/>
        <v>323</v>
      </c>
      <c r="I1072" s="119">
        <f t="shared" si="469"/>
        <v>356</v>
      </c>
      <c r="J1072" s="119">
        <f t="shared" si="469"/>
        <v>356</v>
      </c>
      <c r="K1072" s="119">
        <f t="shared" si="469"/>
        <v>356</v>
      </c>
      <c r="L1072" s="119">
        <f t="shared" si="469"/>
        <v>356</v>
      </c>
      <c r="M1072" s="119">
        <f t="shared" si="469"/>
        <v>356</v>
      </c>
      <c r="N1072" s="1917">
        <f t="shared" si="469"/>
        <v>356</v>
      </c>
      <c r="Q1072" s="3987"/>
    </row>
    <row r="1073" spans="2:22" s="124" customFormat="1" x14ac:dyDescent="0.25">
      <c r="B1073" s="9"/>
      <c r="C1073" s="2419" t="s">
        <v>2977</v>
      </c>
      <c r="D1073" s="2278">
        <f>D1019</f>
        <v>0</v>
      </c>
      <c r="E1073" s="2278">
        <f t="shared" ref="E1073:N1073" si="470">E1019</f>
        <v>0</v>
      </c>
      <c r="F1073" s="2278">
        <f t="shared" si="470"/>
        <v>0</v>
      </c>
      <c r="G1073" s="2278">
        <f t="shared" si="470"/>
        <v>0</v>
      </c>
      <c r="H1073" s="2278">
        <f t="shared" si="470"/>
        <v>0</v>
      </c>
      <c r="I1073" s="2278">
        <f t="shared" si="470"/>
        <v>0</v>
      </c>
      <c r="J1073" s="2278">
        <f t="shared" si="470"/>
        <v>0</v>
      </c>
      <c r="K1073" s="2278">
        <f t="shared" si="470"/>
        <v>0</v>
      </c>
      <c r="L1073" s="2278">
        <f t="shared" si="470"/>
        <v>0</v>
      </c>
      <c r="M1073" s="2278">
        <f t="shared" si="470"/>
        <v>0</v>
      </c>
      <c r="N1073" s="2278">
        <f t="shared" si="470"/>
        <v>0</v>
      </c>
      <c r="Q1073" s="3987"/>
    </row>
    <row r="1074" spans="2:22" x14ac:dyDescent="0.25">
      <c r="C1074" s="1916" t="s">
        <v>2805</v>
      </c>
      <c r="D1074" s="2886">
        <f t="shared" ref="D1074:N1074" si="471">IFERROR(D1072/D$1019,0)</f>
        <v>0</v>
      </c>
      <c r="E1074" s="1228">
        <f t="shared" si="471"/>
        <v>0</v>
      </c>
      <c r="F1074" s="1228">
        <f t="shared" si="471"/>
        <v>0</v>
      </c>
      <c r="G1074" s="1228">
        <f t="shared" si="471"/>
        <v>0</v>
      </c>
      <c r="H1074" s="1228">
        <f t="shared" si="471"/>
        <v>0</v>
      </c>
      <c r="I1074" s="1228">
        <f t="shared" si="471"/>
        <v>0</v>
      </c>
      <c r="J1074" s="1228">
        <f t="shared" si="471"/>
        <v>0</v>
      </c>
      <c r="K1074" s="1228">
        <f t="shared" si="471"/>
        <v>0</v>
      </c>
      <c r="L1074" s="1228">
        <f t="shared" si="471"/>
        <v>0</v>
      </c>
      <c r="M1074" s="1228">
        <f t="shared" si="471"/>
        <v>0</v>
      </c>
      <c r="N1074" s="1229">
        <f t="shared" si="471"/>
        <v>0</v>
      </c>
    </row>
    <row r="1075" spans="2:22" x14ac:dyDescent="0.25">
      <c r="C1075" s="1239" t="s">
        <v>2804</v>
      </c>
      <c r="D1075" s="2886">
        <f t="shared" ref="D1075:N1075" si="472">IFERROR(D1071/D$1019,0)</f>
        <v>0</v>
      </c>
      <c r="E1075" s="1228">
        <f t="shared" si="472"/>
        <v>0</v>
      </c>
      <c r="F1075" s="1228">
        <f t="shared" si="472"/>
        <v>0</v>
      </c>
      <c r="G1075" s="1228">
        <f t="shared" si="472"/>
        <v>0</v>
      </c>
      <c r="H1075" s="1228">
        <f t="shared" si="472"/>
        <v>0</v>
      </c>
      <c r="I1075" s="1228">
        <f t="shared" si="472"/>
        <v>0</v>
      </c>
      <c r="J1075" s="1228">
        <f t="shared" si="472"/>
        <v>0</v>
      </c>
      <c r="K1075" s="1228">
        <f t="shared" si="472"/>
        <v>0</v>
      </c>
      <c r="L1075" s="1228">
        <f t="shared" si="472"/>
        <v>0</v>
      </c>
      <c r="M1075" s="1228">
        <f t="shared" si="472"/>
        <v>0</v>
      </c>
      <c r="N1075" s="1229">
        <f t="shared" si="472"/>
        <v>0</v>
      </c>
    </row>
    <row r="1076" spans="2:22" x14ac:dyDescent="0.25">
      <c r="C1076" s="1239" t="s">
        <v>2803</v>
      </c>
      <c r="D1076" s="2886">
        <f t="shared" ref="D1076:N1076" si="473">IFERROR(D1070/D$1019,0)</f>
        <v>0</v>
      </c>
      <c r="E1076" s="1228">
        <f t="shared" si="473"/>
        <v>0</v>
      </c>
      <c r="F1076" s="1228">
        <f t="shared" si="473"/>
        <v>0</v>
      </c>
      <c r="G1076" s="1228">
        <f t="shared" si="473"/>
        <v>0</v>
      </c>
      <c r="H1076" s="1228">
        <f t="shared" si="473"/>
        <v>0</v>
      </c>
      <c r="I1076" s="1228">
        <f t="shared" si="473"/>
        <v>0</v>
      </c>
      <c r="J1076" s="1228">
        <f t="shared" si="473"/>
        <v>0</v>
      </c>
      <c r="K1076" s="1228">
        <f t="shared" si="473"/>
        <v>0</v>
      </c>
      <c r="L1076" s="1228">
        <f t="shared" si="473"/>
        <v>0</v>
      </c>
      <c r="M1076" s="1228">
        <f t="shared" si="473"/>
        <v>0</v>
      </c>
      <c r="N1076" s="1229">
        <f t="shared" si="473"/>
        <v>0</v>
      </c>
    </row>
    <row r="1077" spans="2:22" x14ac:dyDescent="0.25">
      <c r="C1077" s="1239" t="s">
        <v>2802</v>
      </c>
      <c r="D1077" s="2886">
        <f t="shared" ref="D1077:N1077" si="474">IFERROR(D1069/D$1019,0)</f>
        <v>0</v>
      </c>
      <c r="E1077" s="1228">
        <f t="shared" si="474"/>
        <v>0</v>
      </c>
      <c r="F1077" s="1228">
        <f t="shared" si="474"/>
        <v>0</v>
      </c>
      <c r="G1077" s="1228">
        <f t="shared" si="474"/>
        <v>0</v>
      </c>
      <c r="H1077" s="1228">
        <f t="shared" si="474"/>
        <v>0</v>
      </c>
      <c r="I1077" s="1228">
        <f t="shared" si="474"/>
        <v>0</v>
      </c>
      <c r="J1077" s="1228">
        <f t="shared" si="474"/>
        <v>0</v>
      </c>
      <c r="K1077" s="1228">
        <f t="shared" si="474"/>
        <v>0</v>
      </c>
      <c r="L1077" s="1228">
        <f t="shared" si="474"/>
        <v>0</v>
      </c>
      <c r="M1077" s="1228">
        <f t="shared" si="474"/>
        <v>0</v>
      </c>
      <c r="N1077" s="1229">
        <f t="shared" si="474"/>
        <v>0</v>
      </c>
    </row>
    <row r="1078" spans="2:22" x14ac:dyDescent="0.25">
      <c r="C1078" s="1239" t="s">
        <v>2801</v>
      </c>
      <c r="D1078" s="2886">
        <f t="shared" ref="D1078:N1078" si="475">IFERROR(D1068/D$1019,0)</f>
        <v>0</v>
      </c>
      <c r="E1078" s="1228">
        <f t="shared" si="475"/>
        <v>0</v>
      </c>
      <c r="F1078" s="1228">
        <f t="shared" si="475"/>
        <v>0</v>
      </c>
      <c r="G1078" s="1228">
        <f t="shared" si="475"/>
        <v>0</v>
      </c>
      <c r="H1078" s="1228">
        <f t="shared" si="475"/>
        <v>0</v>
      </c>
      <c r="I1078" s="1228">
        <f t="shared" si="475"/>
        <v>0</v>
      </c>
      <c r="J1078" s="1228">
        <f t="shared" si="475"/>
        <v>0</v>
      </c>
      <c r="K1078" s="1228">
        <f t="shared" si="475"/>
        <v>0</v>
      </c>
      <c r="L1078" s="1228">
        <f t="shared" si="475"/>
        <v>0</v>
      </c>
      <c r="M1078" s="1228">
        <f t="shared" si="475"/>
        <v>0</v>
      </c>
      <c r="N1078" s="1229">
        <f t="shared" si="475"/>
        <v>0</v>
      </c>
    </row>
    <row r="1079" spans="2:22" ht="15.75" thickBot="1" x14ac:dyDescent="0.3">
      <c r="C1079" s="1240" t="s">
        <v>582</v>
      </c>
      <c r="D1079" s="2883">
        <v>1</v>
      </c>
      <c r="E1079" s="1230">
        <v>1</v>
      </c>
      <c r="F1079" s="1230">
        <v>1</v>
      </c>
      <c r="G1079" s="1230">
        <v>1</v>
      </c>
      <c r="H1079" s="1230">
        <v>1</v>
      </c>
      <c r="I1079" s="1230">
        <v>1</v>
      </c>
      <c r="J1079" s="1230">
        <v>1</v>
      </c>
      <c r="K1079" s="1230">
        <v>1</v>
      </c>
      <c r="L1079" s="1230">
        <v>1</v>
      </c>
      <c r="M1079" s="1230">
        <v>1</v>
      </c>
      <c r="N1079" s="1231">
        <v>1</v>
      </c>
    </row>
    <row r="1080" spans="2:22" x14ac:dyDescent="0.25">
      <c r="C1080" s="2887" t="s">
        <v>2841</v>
      </c>
      <c r="D1080" s="2897"/>
      <c r="E1080" s="2897"/>
      <c r="F1080" s="2897"/>
      <c r="G1080" s="2897"/>
      <c r="H1080" s="2897"/>
      <c r="I1080" s="2897"/>
      <c r="J1080" s="2897"/>
      <c r="K1080" s="2897"/>
      <c r="L1080" s="2897"/>
      <c r="M1080" s="2897"/>
      <c r="N1080" s="653"/>
    </row>
    <row r="1081" spans="2:22" s="124" customFormat="1" x14ac:dyDescent="0.25">
      <c r="B1081" s="9"/>
      <c r="C1081" s="1307" t="s">
        <v>2851</v>
      </c>
      <c r="D1081" s="2912">
        <f t="shared" ref="D1081:N1081" si="476">E581</f>
        <v>0</v>
      </c>
      <c r="E1081" s="2912">
        <f t="shared" si="476"/>
        <v>0</v>
      </c>
      <c r="F1081" s="2912">
        <f t="shared" si="476"/>
        <v>0</v>
      </c>
      <c r="G1081" s="2912">
        <f t="shared" si="476"/>
        <v>0</v>
      </c>
      <c r="H1081" s="2912">
        <f t="shared" si="476"/>
        <v>0</v>
      </c>
      <c r="I1081" s="2912">
        <f t="shared" si="476"/>
        <v>0</v>
      </c>
      <c r="J1081" s="2912">
        <f t="shared" si="476"/>
        <v>0</v>
      </c>
      <c r="K1081" s="457">
        <f t="shared" si="476"/>
        <v>0</v>
      </c>
      <c r="L1081" s="457">
        <f t="shared" si="476"/>
        <v>0</v>
      </c>
      <c r="M1081" s="457">
        <f t="shared" si="476"/>
        <v>0</v>
      </c>
      <c r="N1081" s="2913">
        <f t="shared" si="476"/>
        <v>0</v>
      </c>
      <c r="Q1081" s="3987"/>
      <c r="R1081" s="27"/>
      <c r="S1081" s="27"/>
      <c r="T1081" s="27"/>
      <c r="U1081" s="27"/>
      <c r="V1081" s="27"/>
    </row>
    <row r="1082" spans="2:22" s="124" customFormat="1" x14ac:dyDescent="0.25">
      <c r="B1082" s="9"/>
      <c r="C1082" s="1307" t="s">
        <v>2852</v>
      </c>
      <c r="D1082" s="2914">
        <f t="shared" ref="D1082:N1082" si="477">E606</f>
        <v>0</v>
      </c>
      <c r="E1082" s="2914">
        <f t="shared" si="477"/>
        <v>0</v>
      </c>
      <c r="F1082" s="2914">
        <f t="shared" si="477"/>
        <v>0</v>
      </c>
      <c r="G1082" s="2914">
        <f t="shared" si="477"/>
        <v>0</v>
      </c>
      <c r="H1082" s="2914">
        <f t="shared" si="477"/>
        <v>0</v>
      </c>
      <c r="I1082" s="2914">
        <f t="shared" si="477"/>
        <v>0</v>
      </c>
      <c r="J1082" s="2914">
        <f t="shared" si="477"/>
        <v>0</v>
      </c>
      <c r="K1082" s="174">
        <f t="shared" si="477"/>
        <v>0</v>
      </c>
      <c r="L1082" s="174">
        <f t="shared" si="477"/>
        <v>0</v>
      </c>
      <c r="M1082" s="174">
        <f t="shared" si="477"/>
        <v>0</v>
      </c>
      <c r="N1082" s="2915">
        <f t="shared" si="477"/>
        <v>0</v>
      </c>
      <c r="Q1082" s="3987"/>
      <c r="R1082" s="27"/>
      <c r="S1082" s="27"/>
      <c r="T1082" s="27"/>
      <c r="U1082" s="27"/>
      <c r="V1082" s="27"/>
    </row>
    <row r="1083" spans="2:22" s="124" customFormat="1" x14ac:dyDescent="0.25">
      <c r="B1083" s="9"/>
      <c r="C1083" s="1307" t="s">
        <v>1314</v>
      </c>
      <c r="D1083" s="2914">
        <f t="shared" ref="D1083:N1083" si="478">(E694+E701+E736+E743)-(E712/$D$712)</f>
        <v>0</v>
      </c>
      <c r="E1083" s="2914">
        <f t="shared" si="478"/>
        <v>0</v>
      </c>
      <c r="F1083" s="2914">
        <f t="shared" si="478"/>
        <v>0</v>
      </c>
      <c r="G1083" s="2914">
        <f t="shared" si="478"/>
        <v>0</v>
      </c>
      <c r="H1083" s="2914">
        <f t="shared" si="478"/>
        <v>0</v>
      </c>
      <c r="I1083" s="2914">
        <f t="shared" si="478"/>
        <v>0</v>
      </c>
      <c r="J1083" s="2914">
        <f t="shared" si="478"/>
        <v>0</v>
      </c>
      <c r="K1083" s="174">
        <f t="shared" si="478"/>
        <v>0</v>
      </c>
      <c r="L1083" s="174">
        <f t="shared" si="478"/>
        <v>0</v>
      </c>
      <c r="M1083" s="174">
        <f t="shared" si="478"/>
        <v>0</v>
      </c>
      <c r="N1083" s="2915">
        <f t="shared" si="478"/>
        <v>0</v>
      </c>
      <c r="Q1083" s="3987"/>
    </row>
    <row r="1084" spans="2:22" s="124" customFormat="1" x14ac:dyDescent="0.25">
      <c r="B1084" s="9"/>
      <c r="C1084" s="1307" t="s">
        <v>2843</v>
      </c>
      <c r="D1084" s="2914">
        <f t="shared" ref="D1084:N1084" si="479">(E737+E744+E695+E702)-(E713/$D$712)</f>
        <v>0</v>
      </c>
      <c r="E1084" s="2914">
        <f t="shared" si="479"/>
        <v>0</v>
      </c>
      <c r="F1084" s="2914">
        <f t="shared" si="479"/>
        <v>0</v>
      </c>
      <c r="G1084" s="2914">
        <f t="shared" si="479"/>
        <v>0</v>
      </c>
      <c r="H1084" s="2914">
        <f t="shared" si="479"/>
        <v>0</v>
      </c>
      <c r="I1084" s="2914">
        <f t="shared" si="479"/>
        <v>0</v>
      </c>
      <c r="J1084" s="2914">
        <f t="shared" si="479"/>
        <v>0</v>
      </c>
      <c r="K1084" s="174">
        <f t="shared" si="479"/>
        <v>0</v>
      </c>
      <c r="L1084" s="174">
        <f t="shared" si="479"/>
        <v>0</v>
      </c>
      <c r="M1084" s="174">
        <f t="shared" si="479"/>
        <v>0</v>
      </c>
      <c r="N1084" s="2915">
        <f t="shared" si="479"/>
        <v>0</v>
      </c>
      <c r="Q1084" s="3987"/>
    </row>
    <row r="1085" spans="2:22" s="124" customFormat="1" ht="15.75" thickBot="1" x14ac:dyDescent="0.3">
      <c r="B1085" s="9"/>
      <c r="C1085" s="1307" t="s">
        <v>2844</v>
      </c>
      <c r="D1085" s="2914">
        <f t="shared" ref="D1085:N1085" si="480">(E738+E746+E696+E704)-(E714/$D$712)</f>
        <v>0</v>
      </c>
      <c r="E1085" s="2914">
        <f t="shared" si="480"/>
        <v>0</v>
      </c>
      <c r="F1085" s="2914">
        <f t="shared" si="480"/>
        <v>0</v>
      </c>
      <c r="G1085" s="2914">
        <f t="shared" si="480"/>
        <v>0</v>
      </c>
      <c r="H1085" s="2914">
        <f t="shared" si="480"/>
        <v>0</v>
      </c>
      <c r="I1085" s="2914">
        <f t="shared" si="480"/>
        <v>0</v>
      </c>
      <c r="J1085" s="2914">
        <f t="shared" si="480"/>
        <v>0</v>
      </c>
      <c r="K1085" s="174">
        <f t="shared" si="480"/>
        <v>0</v>
      </c>
      <c r="L1085" s="174">
        <f t="shared" si="480"/>
        <v>0</v>
      </c>
      <c r="M1085" s="174">
        <f t="shared" si="480"/>
        <v>0</v>
      </c>
      <c r="N1085" s="2915">
        <f t="shared" si="480"/>
        <v>0</v>
      </c>
      <c r="Q1085" s="3987"/>
    </row>
    <row r="1086" spans="2:22" x14ac:dyDescent="0.25">
      <c r="C1086" s="2898" t="s">
        <v>2848</v>
      </c>
      <c r="D1086" s="2899"/>
      <c r="E1086" s="2900"/>
      <c r="F1086" s="2900"/>
      <c r="G1086" s="2900"/>
      <c r="H1086" s="2900"/>
      <c r="I1086" s="2900"/>
      <c r="J1086" s="2900"/>
      <c r="K1086" s="2900"/>
      <c r="L1086" s="2900"/>
      <c r="M1086" s="2900"/>
      <c r="N1086" s="2901"/>
    </row>
    <row r="1087" spans="2:22" x14ac:dyDescent="0.25">
      <c r="C1087" s="2902" t="s">
        <v>1167</v>
      </c>
      <c r="D1087" s="2613">
        <f t="shared" ref="D1087:N1087" si="481">E647*$M$624</f>
        <v>0</v>
      </c>
      <c r="E1087" s="597">
        <f t="shared" si="481"/>
        <v>0</v>
      </c>
      <c r="F1087" s="597">
        <f t="shared" si="481"/>
        <v>0</v>
      </c>
      <c r="G1087" s="597">
        <f t="shared" si="481"/>
        <v>0</v>
      </c>
      <c r="H1087" s="597">
        <f t="shared" si="481"/>
        <v>0</v>
      </c>
      <c r="I1087" s="597">
        <f t="shared" si="481"/>
        <v>0</v>
      </c>
      <c r="J1087" s="597">
        <f t="shared" si="481"/>
        <v>0</v>
      </c>
      <c r="K1087" s="597">
        <f t="shared" si="481"/>
        <v>0</v>
      </c>
      <c r="L1087" s="597">
        <f t="shared" si="481"/>
        <v>0</v>
      </c>
      <c r="M1087" s="597">
        <f t="shared" si="481"/>
        <v>0</v>
      </c>
      <c r="N1087" s="652">
        <f t="shared" si="481"/>
        <v>0</v>
      </c>
    </row>
    <row r="1088" spans="2:22" x14ac:dyDescent="0.25">
      <c r="C1088" s="2903" t="s">
        <v>1158</v>
      </c>
      <c r="D1088" s="2616">
        <f t="shared" ref="D1088:N1088" si="482">E673*$M$624</f>
        <v>0</v>
      </c>
      <c r="E1088" s="2100">
        <f t="shared" si="482"/>
        <v>0</v>
      </c>
      <c r="F1088" s="2100">
        <f t="shared" si="482"/>
        <v>0</v>
      </c>
      <c r="G1088" s="2100">
        <f t="shared" si="482"/>
        <v>0</v>
      </c>
      <c r="H1088" s="2100">
        <f t="shared" si="482"/>
        <v>0</v>
      </c>
      <c r="I1088" s="2100">
        <f t="shared" si="482"/>
        <v>0</v>
      </c>
      <c r="J1088" s="2100">
        <f t="shared" si="482"/>
        <v>0</v>
      </c>
      <c r="K1088" s="2100">
        <f t="shared" si="482"/>
        <v>0</v>
      </c>
      <c r="L1088" s="2100">
        <f t="shared" si="482"/>
        <v>0</v>
      </c>
      <c r="M1088" s="2100">
        <f t="shared" si="482"/>
        <v>0</v>
      </c>
      <c r="N1088" s="2423">
        <f t="shared" si="482"/>
        <v>0</v>
      </c>
    </row>
    <row r="1089" spans="1:17" x14ac:dyDescent="0.25">
      <c r="C1089" s="2903" t="s">
        <v>1142</v>
      </c>
      <c r="D1089" s="2616">
        <f t="shared" ref="D1089:N1089" si="483">(E752+E760+E768)*$M$624</f>
        <v>0</v>
      </c>
      <c r="E1089" s="2100">
        <f t="shared" si="483"/>
        <v>0</v>
      </c>
      <c r="F1089" s="2100">
        <f t="shared" si="483"/>
        <v>0</v>
      </c>
      <c r="G1089" s="2100">
        <f t="shared" si="483"/>
        <v>0</v>
      </c>
      <c r="H1089" s="2100">
        <f t="shared" si="483"/>
        <v>0</v>
      </c>
      <c r="I1089" s="2100">
        <f t="shared" si="483"/>
        <v>0</v>
      </c>
      <c r="J1089" s="2100">
        <f t="shared" si="483"/>
        <v>0</v>
      </c>
      <c r="K1089" s="2100">
        <f t="shared" si="483"/>
        <v>0</v>
      </c>
      <c r="L1089" s="2100">
        <f t="shared" si="483"/>
        <v>0</v>
      </c>
      <c r="M1089" s="2100">
        <f t="shared" si="483"/>
        <v>0</v>
      </c>
      <c r="N1089" s="2423">
        <f t="shared" si="483"/>
        <v>0</v>
      </c>
    </row>
    <row r="1090" spans="1:17" x14ac:dyDescent="0.25">
      <c r="C1090" s="2903" t="s">
        <v>2845</v>
      </c>
      <c r="D1090" s="2616">
        <f t="shared" ref="D1090:N1090" si="484">(E761+E769+(E713/$D$712))*$M$624</f>
        <v>0</v>
      </c>
      <c r="E1090" s="2616">
        <f t="shared" si="484"/>
        <v>0</v>
      </c>
      <c r="F1090" s="2616">
        <f t="shared" si="484"/>
        <v>0</v>
      </c>
      <c r="G1090" s="2616">
        <f t="shared" si="484"/>
        <v>0</v>
      </c>
      <c r="H1090" s="2616">
        <f t="shared" si="484"/>
        <v>0</v>
      </c>
      <c r="I1090" s="2616">
        <f t="shared" si="484"/>
        <v>0</v>
      </c>
      <c r="J1090" s="2616">
        <f t="shared" si="484"/>
        <v>0</v>
      </c>
      <c r="K1090" s="2616">
        <f t="shared" si="484"/>
        <v>0</v>
      </c>
      <c r="L1090" s="2616">
        <f t="shared" si="484"/>
        <v>0</v>
      </c>
      <c r="M1090" s="2616">
        <f t="shared" si="484"/>
        <v>0</v>
      </c>
      <c r="N1090" s="2423">
        <f t="shared" si="484"/>
        <v>0</v>
      </c>
    </row>
    <row r="1091" spans="1:17" ht="15.75" thickBot="1" x14ac:dyDescent="0.3">
      <c r="C1091" s="2904" t="s">
        <v>1143</v>
      </c>
      <c r="D1091" s="2905">
        <f t="shared" ref="D1091:N1091" si="485">((E714/$D$712)+E762+E771)*$M$624</f>
        <v>0</v>
      </c>
      <c r="E1091" s="2905">
        <f t="shared" si="485"/>
        <v>0</v>
      </c>
      <c r="F1091" s="2905">
        <f t="shared" si="485"/>
        <v>0</v>
      </c>
      <c r="G1091" s="2905">
        <f t="shared" si="485"/>
        <v>0</v>
      </c>
      <c r="H1091" s="2905">
        <f t="shared" si="485"/>
        <v>0</v>
      </c>
      <c r="I1091" s="2905">
        <f t="shared" si="485"/>
        <v>0</v>
      </c>
      <c r="J1091" s="2905">
        <f t="shared" si="485"/>
        <v>0</v>
      </c>
      <c r="K1091" s="2905">
        <f t="shared" si="485"/>
        <v>0</v>
      </c>
      <c r="L1091" s="2905">
        <f t="shared" si="485"/>
        <v>0</v>
      </c>
      <c r="M1091" s="2905">
        <f t="shared" si="485"/>
        <v>0</v>
      </c>
      <c r="N1091" s="2906">
        <f t="shared" si="485"/>
        <v>0</v>
      </c>
    </row>
    <row r="1092" spans="1:17" x14ac:dyDescent="0.25">
      <c r="C1092" s="1241" t="s">
        <v>572</v>
      </c>
      <c r="D1092" s="2604"/>
      <c r="E1092" s="658"/>
      <c r="F1092" s="658"/>
      <c r="G1092" s="658"/>
      <c r="H1092" s="658"/>
      <c r="I1092" s="658"/>
      <c r="J1092" s="658"/>
      <c r="K1092" s="658"/>
      <c r="L1092" s="658"/>
      <c r="M1092" s="658"/>
      <c r="N1092" s="659"/>
      <c r="O1092" s="10"/>
    </row>
    <row r="1093" spans="1:17" x14ac:dyDescent="0.25">
      <c r="C1093" s="1236" t="s">
        <v>493</v>
      </c>
      <c r="D1093" s="2605">
        <f>SUM('PIP finance'!F191:F207)</f>
        <v>0</v>
      </c>
      <c r="E1093" s="122">
        <f>SUM('PIP finance'!G191:G207)</f>
        <v>57</v>
      </c>
      <c r="F1093" s="122">
        <f>SUM('PIP finance'!H191:H207)</f>
        <v>60.989999999999995</v>
      </c>
      <c r="G1093" s="122">
        <f>SUM('PIP finance'!I191:I207)</f>
        <v>0</v>
      </c>
      <c r="H1093" s="122">
        <f>SUM('PIP finance'!J191:J207)</f>
        <v>0</v>
      </c>
      <c r="I1093" s="122">
        <f>SUM('PIP finance'!K191:K207)</f>
        <v>0</v>
      </c>
      <c r="J1093" s="122">
        <f>SUM('PIP finance'!L191:L207)</f>
        <v>0</v>
      </c>
      <c r="K1093" s="122">
        <f>SUM('PIP finance'!M191:M207)</f>
        <v>0</v>
      </c>
      <c r="L1093" s="122">
        <f>SUM('PIP finance'!N191:N207)</f>
        <v>0</v>
      </c>
      <c r="M1093" s="122">
        <f>SUM('PIP finance'!O191:O207)</f>
        <v>0</v>
      </c>
      <c r="N1093" s="1308">
        <f>SUM('PIP finance'!P191:P207)</f>
        <v>0</v>
      </c>
    </row>
    <row r="1094" spans="1:17" x14ac:dyDescent="0.25">
      <c r="C1094" s="1236" t="s">
        <v>494</v>
      </c>
      <c r="D1094" s="2605">
        <f>SUM('PIP finance'!F239:F255)</f>
        <v>0</v>
      </c>
      <c r="E1094" s="122">
        <f>SUM('PIP finance'!G239:G255)</f>
        <v>1.35</v>
      </c>
      <c r="F1094" s="122">
        <f>SUM('PIP finance'!H239:H255)</f>
        <v>14.458500000000001</v>
      </c>
      <c r="G1094" s="122">
        <f>SUM('PIP finance'!I239:I255)</f>
        <v>20.316318750000001</v>
      </c>
      <c r="H1094" s="122">
        <f>SUM('PIP finance'!J239:J255)</f>
        <v>21.332134687500002</v>
      </c>
      <c r="I1094" s="122">
        <f>SUM('PIP finance'!K239:K255)</f>
        <v>22.398741421875005</v>
      </c>
      <c r="J1094" s="122">
        <f>SUM('PIP finance'!L239:L255)</f>
        <v>23.518678492968757</v>
      </c>
      <c r="K1094" s="122">
        <f>SUM('PIP finance'!M239:M255)</f>
        <v>24.694612417617194</v>
      </c>
      <c r="L1094" s="122">
        <f>SUM('PIP finance'!N239:N255)</f>
        <v>25.929343038498054</v>
      </c>
      <c r="M1094" s="122">
        <f>SUM('PIP finance'!O239:O255)</f>
        <v>27.225810190422962</v>
      </c>
      <c r="N1094" s="1308">
        <f>SUM('PIP finance'!P239:P255)</f>
        <v>28.587100699944109</v>
      </c>
    </row>
    <row r="1095" spans="1:17" s="124" customFormat="1" ht="15.75" thickBot="1" x14ac:dyDescent="0.3">
      <c r="B1095" s="9"/>
      <c r="C1095" s="2911" t="s">
        <v>495</v>
      </c>
      <c r="D1095" s="5253">
        <f>SUM('PIP finance'!F287:F303)+(E944-E936)+(E909-E906)+(E900-E899)</f>
        <v>0</v>
      </c>
      <c r="E1095" s="5254">
        <f>SUM('PIP finance'!G287:G303)+(F944-F936)+(F909-F906)+(F900-F899)</f>
        <v>0.70666666666666667</v>
      </c>
      <c r="F1095" s="5254">
        <f>SUM('PIP finance'!H287:H303)+(G944-G936)+(G909-G906)+(G900-G899)</f>
        <v>0.72786666666666677</v>
      </c>
      <c r="G1095" s="5254">
        <f>SUM('PIP finance'!I287:I303)+(H944-H936)+(H909-H906)+(H900-H899)</f>
        <v>0.74970266666666685</v>
      </c>
      <c r="H1095" s="5254">
        <f>SUM('PIP finance'!J287:J303)+(I944-I936)+(I909-I906)+(I900-I899)</f>
        <v>8.9818516976666665</v>
      </c>
      <c r="I1095" s="5254">
        <f>SUM('PIP finance'!K287:K303)+(J944-J936)+(J909-J906)+(J900-J899)</f>
        <v>9.2513072485966674</v>
      </c>
      <c r="J1095" s="5254">
        <f>SUM('PIP finance'!L287:L303)+(K944-K936)+(K909-K906)+(K900-K899)</f>
        <v>0</v>
      </c>
      <c r="K1095" s="5254">
        <f>SUM('PIP finance'!M287:M303)+(L944-L936)+(L909-L906)+(L900-L899)</f>
        <v>0</v>
      </c>
      <c r="L1095" s="5254">
        <f>SUM('PIP finance'!N287:N303)+(M944-M936)+(M909-M906)+(M900-M899)</f>
        <v>0</v>
      </c>
      <c r="M1095" s="5254">
        <f>SUM('PIP finance'!O287:O303)+(N944-N936)+(N909-N906)+(N900-N899)</f>
        <v>0</v>
      </c>
      <c r="N1095" s="5255">
        <f>SUM('PIP finance'!P287:P303)+(O944-O936)+(O909-O906)+(O900-O899)</f>
        <v>0</v>
      </c>
      <c r="Q1095" s="3987"/>
    </row>
    <row r="1096" spans="1:17" ht="15.75" thickBot="1" x14ac:dyDescent="0.3">
      <c r="D1096" s="2910"/>
      <c r="E1096" s="2910"/>
      <c r="F1096" s="2910"/>
      <c r="G1096" s="2910"/>
      <c r="H1096" s="2910"/>
      <c r="I1096" s="2910"/>
      <c r="J1096" s="2910"/>
      <c r="K1096" s="2910"/>
      <c r="L1096" s="2910"/>
      <c r="M1096" s="2910"/>
      <c r="N1096" s="2910"/>
      <c r="O1096" s="2910"/>
    </row>
    <row r="1097" spans="1:17" ht="15.75" thickBot="1" x14ac:dyDescent="0.3">
      <c r="C1097" s="644" t="s">
        <v>583</v>
      </c>
      <c r="D1097" s="2603">
        <f>D1098</f>
        <v>2014</v>
      </c>
      <c r="E1097" s="543">
        <f t="shared" ref="E1097:N1097" si="486">E1098</f>
        <v>2015</v>
      </c>
      <c r="F1097" s="543">
        <f t="shared" si="486"/>
        <v>2016</v>
      </c>
      <c r="G1097" s="543">
        <f t="shared" si="486"/>
        <v>2017</v>
      </c>
      <c r="H1097" s="543">
        <f t="shared" si="486"/>
        <v>2018</v>
      </c>
      <c r="I1097" s="543">
        <f t="shared" si="486"/>
        <v>2019</v>
      </c>
      <c r="J1097" s="543">
        <f t="shared" si="486"/>
        <v>2020</v>
      </c>
      <c r="K1097" s="543">
        <f t="shared" si="486"/>
        <v>2021</v>
      </c>
      <c r="L1097" s="543">
        <f t="shared" si="486"/>
        <v>2022</v>
      </c>
      <c r="M1097" s="543">
        <f t="shared" si="486"/>
        <v>2023</v>
      </c>
      <c r="N1097" s="544">
        <f t="shared" si="486"/>
        <v>2024</v>
      </c>
    </row>
    <row r="1098" spans="1:17" ht="15.75" thickBot="1" x14ac:dyDescent="0.3">
      <c r="C1098" s="644" t="s">
        <v>583</v>
      </c>
      <c r="D1098" s="2603">
        <f t="shared" ref="D1098:N1098" si="487">D983</f>
        <v>2014</v>
      </c>
      <c r="E1098" s="543">
        <f t="shared" si="487"/>
        <v>2015</v>
      </c>
      <c r="F1098" s="543">
        <f t="shared" si="487"/>
        <v>2016</v>
      </c>
      <c r="G1098" s="543">
        <f t="shared" si="487"/>
        <v>2017</v>
      </c>
      <c r="H1098" s="543">
        <f t="shared" si="487"/>
        <v>2018</v>
      </c>
      <c r="I1098" s="543">
        <f t="shared" si="487"/>
        <v>2019</v>
      </c>
      <c r="J1098" s="543">
        <f t="shared" si="487"/>
        <v>2020</v>
      </c>
      <c r="K1098" s="543">
        <f t="shared" si="487"/>
        <v>2021</v>
      </c>
      <c r="L1098" s="543">
        <f t="shared" si="487"/>
        <v>2022</v>
      </c>
      <c r="M1098" s="543">
        <f t="shared" si="487"/>
        <v>2023</v>
      </c>
      <c r="N1098" s="544">
        <f t="shared" si="487"/>
        <v>2024</v>
      </c>
    </row>
    <row r="1099" spans="1:17" x14ac:dyDescent="0.25">
      <c r="C1099" s="1241" t="s">
        <v>572</v>
      </c>
      <c r="D1099" s="2620"/>
      <c r="E1099" s="658"/>
      <c r="F1099" s="658"/>
      <c r="G1099" s="658"/>
      <c r="H1099" s="658"/>
      <c r="I1099" s="658"/>
      <c r="J1099" s="658"/>
      <c r="K1099" s="658"/>
      <c r="L1099" s="658"/>
      <c r="M1099" s="658"/>
      <c r="N1099" s="659"/>
      <c r="O1099" s="10"/>
    </row>
    <row r="1100" spans="1:17" x14ac:dyDescent="0.25">
      <c r="C1100" s="2902" t="s">
        <v>493</v>
      </c>
      <c r="D1100" s="2611">
        <f>SUM('PIP finance'!F209:F213)</f>
        <v>0</v>
      </c>
      <c r="E1100" s="550">
        <f>SUM('PIP finance'!G209:G213)</f>
        <v>0</v>
      </c>
      <c r="F1100" s="550">
        <f>SUM('PIP finance'!H209:H213)</f>
        <v>0</v>
      </c>
      <c r="G1100" s="550">
        <f>SUM('PIP finance'!I209:I213)</f>
        <v>0</v>
      </c>
      <c r="H1100" s="550">
        <f>SUM('PIP finance'!J209:J213)</f>
        <v>0</v>
      </c>
      <c r="I1100" s="550">
        <f>SUM('PIP finance'!K209:K213)</f>
        <v>0</v>
      </c>
      <c r="J1100" s="550">
        <f>SUM('PIP finance'!L209:L213)</f>
        <v>0</v>
      </c>
      <c r="K1100" s="550">
        <f>SUM('PIP finance'!M209:M213)</f>
        <v>0</v>
      </c>
      <c r="L1100" s="550">
        <f>SUM('PIP finance'!N209:N213)</f>
        <v>0</v>
      </c>
      <c r="M1100" s="550">
        <f>SUM('PIP finance'!O209:O213)</f>
        <v>0</v>
      </c>
      <c r="N1100" s="641">
        <f>SUM('PIP finance'!P209:P213)</f>
        <v>0</v>
      </c>
    </row>
    <row r="1101" spans="1:17" x14ac:dyDescent="0.25">
      <c r="C1101" s="2902" t="s">
        <v>494</v>
      </c>
      <c r="D1101" s="2611">
        <f>SUM('PIP finance'!F257:F261)</f>
        <v>0</v>
      </c>
      <c r="E1101" s="550">
        <f>SUM('PIP finance'!G257:G261)</f>
        <v>0</v>
      </c>
      <c r="F1101" s="550">
        <f>SUM('PIP finance'!H257:H261)</f>
        <v>0</v>
      </c>
      <c r="G1101" s="550">
        <f>SUM('PIP finance'!I257:I261)</f>
        <v>0</v>
      </c>
      <c r="H1101" s="550">
        <f>SUM('PIP finance'!J257:J261)</f>
        <v>0</v>
      </c>
      <c r="I1101" s="550">
        <f>SUM('PIP finance'!K257:K261)</f>
        <v>0</v>
      </c>
      <c r="J1101" s="550">
        <f>SUM('PIP finance'!L257:L261)</f>
        <v>0</v>
      </c>
      <c r="K1101" s="550">
        <f>SUM('PIP finance'!M257:M261)</f>
        <v>0</v>
      </c>
      <c r="L1101" s="550">
        <f>SUM('PIP finance'!N257:N261)</f>
        <v>0</v>
      </c>
      <c r="M1101" s="550">
        <f>SUM('PIP finance'!O257:O261)</f>
        <v>0</v>
      </c>
      <c r="N1101" s="641">
        <f>SUM('PIP finance'!P257:P261)</f>
        <v>0</v>
      </c>
    </row>
    <row r="1102" spans="1:17" ht="15.75" thickBot="1" x14ac:dyDescent="0.3">
      <c r="C1102" s="2909" t="s">
        <v>495</v>
      </c>
      <c r="D1102" s="2621">
        <f>SUM('PIP finance'!F305:F309)</f>
        <v>0</v>
      </c>
      <c r="E1102" s="1397">
        <f>SUM('PIP finance'!G305:G309)</f>
        <v>0</v>
      </c>
      <c r="F1102" s="1397">
        <f>SUM('PIP finance'!H305:H309)</f>
        <v>0</v>
      </c>
      <c r="G1102" s="1397">
        <f>SUM('PIP finance'!I305:I309)</f>
        <v>0</v>
      </c>
      <c r="H1102" s="1397">
        <f>SUM('PIP finance'!J305:J309)</f>
        <v>0</v>
      </c>
      <c r="I1102" s="1397">
        <f>SUM('PIP finance'!K305:K309)</f>
        <v>0</v>
      </c>
      <c r="J1102" s="1397">
        <f>SUM('PIP finance'!L305:L309)</f>
        <v>0</v>
      </c>
      <c r="K1102" s="1397">
        <f>SUM('PIP finance'!M305:M309)</f>
        <v>0</v>
      </c>
      <c r="L1102" s="1397">
        <f>SUM('PIP finance'!N305:N309)</f>
        <v>0</v>
      </c>
      <c r="M1102" s="1397">
        <f>SUM('PIP finance'!O305:O309)</f>
        <v>0</v>
      </c>
      <c r="N1102" s="1398">
        <f>SUM('PIP finance'!P305:P309)</f>
        <v>0</v>
      </c>
    </row>
    <row r="1103" spans="1:17" ht="15.75" thickBot="1" x14ac:dyDescent="0.3">
      <c r="D1103" s="2526"/>
    </row>
    <row r="1104" spans="1:17" s="48" customFormat="1" x14ac:dyDescent="0.25">
      <c r="A1104" s="9"/>
      <c r="B1104" s="9"/>
      <c r="C1104" s="644" t="s">
        <v>601</v>
      </c>
      <c r="D1104" s="2622">
        <f>D1043</f>
        <v>2014</v>
      </c>
      <c r="E1104" s="629">
        <f t="shared" ref="E1104:N1104" si="488">E1043</f>
        <v>2015</v>
      </c>
      <c r="F1104" s="629">
        <f t="shared" si="488"/>
        <v>2016</v>
      </c>
      <c r="G1104" s="629">
        <f t="shared" si="488"/>
        <v>2017</v>
      </c>
      <c r="H1104" s="629">
        <f t="shared" si="488"/>
        <v>2018</v>
      </c>
      <c r="I1104" s="629">
        <f t="shared" si="488"/>
        <v>2019</v>
      </c>
      <c r="J1104" s="629">
        <f t="shared" si="488"/>
        <v>2020</v>
      </c>
      <c r="K1104" s="629">
        <f t="shared" si="488"/>
        <v>2021</v>
      </c>
      <c r="L1104" s="629">
        <f t="shared" si="488"/>
        <v>2022</v>
      </c>
      <c r="M1104" s="629">
        <f t="shared" si="488"/>
        <v>2023</v>
      </c>
      <c r="N1104" s="630">
        <f t="shared" si="488"/>
        <v>2024</v>
      </c>
      <c r="O1104" s="365"/>
      <c r="P1104" s="68"/>
      <c r="Q1104" s="3999"/>
    </row>
    <row r="1105" spans="1:17" s="51" customFormat="1" x14ac:dyDescent="0.25">
      <c r="A1105" s="143"/>
      <c r="B1105" s="9"/>
      <c r="C1105" s="2907" t="s">
        <v>467</v>
      </c>
      <c r="D1105" s="2613">
        <f>'Financial Projections'!J148</f>
        <v>0</v>
      </c>
      <c r="E1105" s="597">
        <f>'Financial Projections'!K44</f>
        <v>1.4133333333333336</v>
      </c>
      <c r="F1105" s="597">
        <f>'Financial Projections'!L44</f>
        <v>1.4345333333333334</v>
      </c>
      <c r="G1105" s="597">
        <f>'Financial Projections'!M44</f>
        <v>1.4563693333333336</v>
      </c>
      <c r="H1105" s="597">
        <f>'Financial Projections'!N44</f>
        <v>18.845451697666668</v>
      </c>
      <c r="I1105" s="597">
        <f>'Financial Projections'!O44</f>
        <v>19.114907248596666</v>
      </c>
      <c r="J1105" s="597">
        <f>'Financial Projections'!P44</f>
        <v>0</v>
      </c>
      <c r="K1105" s="597">
        <f>'Financial Projections'!Q44</f>
        <v>0</v>
      </c>
      <c r="L1105" s="597">
        <f>'Financial Projections'!R44</f>
        <v>0</v>
      </c>
      <c r="M1105" s="597">
        <f>'Financial Projections'!S44</f>
        <v>0</v>
      </c>
      <c r="N1105" s="652">
        <f>'Financial Projections'!T44</f>
        <v>0</v>
      </c>
      <c r="O1105" s="143"/>
      <c r="Q1105" s="3999"/>
    </row>
    <row r="1106" spans="1:17" s="51" customFormat="1" ht="15.75" thickBot="1" x14ac:dyDescent="0.3">
      <c r="A1106" s="143"/>
      <c r="B1106" s="9"/>
      <c r="C1106" s="2908" t="s">
        <v>190</v>
      </c>
      <c r="D1106" s="2619">
        <f t="shared" ref="D1106:N1106" si="489">E922</f>
        <v>0</v>
      </c>
      <c r="E1106" s="656">
        <f t="shared" si="489"/>
        <v>131.72021256666667</v>
      </c>
      <c r="F1106" s="656">
        <f t="shared" si="489"/>
        <v>152.56697319500003</v>
      </c>
      <c r="G1106" s="656">
        <f t="shared" si="489"/>
        <v>166.61095310475005</v>
      </c>
      <c r="H1106" s="656">
        <f t="shared" si="489"/>
        <v>174.94150075998755</v>
      </c>
      <c r="I1106" s="656">
        <f t="shared" si="489"/>
        <v>183.68857579798697</v>
      </c>
      <c r="J1106" s="656">
        <f t="shared" si="489"/>
        <v>192.8730045878863</v>
      </c>
      <c r="K1106" s="656">
        <f t="shared" si="489"/>
        <v>202.51665481728062</v>
      </c>
      <c r="L1106" s="656">
        <f t="shared" si="489"/>
        <v>212.64248755814467</v>
      </c>
      <c r="M1106" s="656">
        <f t="shared" si="489"/>
        <v>223.27461193605191</v>
      </c>
      <c r="N1106" s="657">
        <f t="shared" si="489"/>
        <v>234.43834253285451</v>
      </c>
      <c r="O1106" s="143"/>
      <c r="Q1106" s="3999"/>
    </row>
    <row r="1107" spans="1:17" x14ac:dyDescent="0.25">
      <c r="D1107" s="2526"/>
      <c r="O1107" s="27"/>
    </row>
    <row r="1108" spans="1:17" s="48" customFormat="1" ht="21.75" customHeight="1" x14ac:dyDescent="0.25">
      <c r="A1108" s="381"/>
      <c r="B1108" s="381"/>
      <c r="C1108" s="383" t="s">
        <v>642</v>
      </c>
      <c r="D1108" s="2602"/>
      <c r="E1108" s="381"/>
      <c r="F1108" s="381"/>
      <c r="G1108" s="381"/>
      <c r="H1108" s="381"/>
      <c r="I1108" s="381"/>
      <c r="J1108" s="381"/>
      <c r="K1108" s="381"/>
      <c r="L1108" s="381"/>
      <c r="M1108" s="381"/>
      <c r="N1108" s="381"/>
      <c r="O1108" s="9"/>
      <c r="Q1108" s="3999"/>
    </row>
    <row r="1110" spans="1:17" x14ac:dyDescent="0.25">
      <c r="C1110" s="2674" t="s">
        <v>668</v>
      </c>
      <c r="D1110" s="2554" t="s">
        <v>27</v>
      </c>
      <c r="E1110" s="1291" t="s">
        <v>645</v>
      </c>
      <c r="F1110" s="163"/>
    </row>
    <row r="1111" spans="1:17" x14ac:dyDescent="0.25">
      <c r="C1111" s="1243" t="s">
        <v>2971</v>
      </c>
      <c r="D1111" s="2607">
        <f>D1007</f>
        <v>0</v>
      </c>
      <c r="E1111" s="1292">
        <f>D985</f>
        <v>0</v>
      </c>
      <c r="F1111" s="163"/>
      <c r="J1111" s="77"/>
    </row>
    <row r="1112" spans="1:17" x14ac:dyDescent="0.25">
      <c r="C1112" s="1243" t="s">
        <v>2975</v>
      </c>
      <c r="D1112" s="2607">
        <f>D1008</f>
        <v>0</v>
      </c>
      <c r="E1112" s="1292">
        <f>D986</f>
        <v>424</v>
      </c>
      <c r="F1112" s="163"/>
      <c r="J1112" s="77"/>
    </row>
    <row r="1113" spans="1:17" x14ac:dyDescent="0.25">
      <c r="C1113" s="1243" t="s">
        <v>2972</v>
      </c>
      <c r="D1113" s="2607">
        <f>D1009</f>
        <v>191</v>
      </c>
      <c r="E1113" s="1292">
        <f>D987</f>
        <v>4218</v>
      </c>
      <c r="F1113" s="163"/>
      <c r="J1113" s="77"/>
    </row>
    <row r="1114" spans="1:17" x14ac:dyDescent="0.25">
      <c r="C1114" s="1243" t="s">
        <v>1699</v>
      </c>
      <c r="D1114" s="2607">
        <f>D1011</f>
        <v>156</v>
      </c>
      <c r="E1114" s="1292">
        <f>D989</f>
        <v>2236</v>
      </c>
      <c r="F1114" s="163"/>
      <c r="J1114" s="77"/>
    </row>
    <row r="1115" spans="1:17" x14ac:dyDescent="0.25">
      <c r="C1115" s="1243" t="s">
        <v>1698</v>
      </c>
      <c r="D1115" s="2607">
        <f>D1012</f>
        <v>0</v>
      </c>
      <c r="E1115" s="1292">
        <f>D990</f>
        <v>0</v>
      </c>
      <c r="F1115" s="163"/>
      <c r="J1115" s="77"/>
    </row>
    <row r="1116" spans="1:17" x14ac:dyDescent="0.25">
      <c r="C1116" s="1244" t="s">
        <v>669</v>
      </c>
      <c r="D1116" s="2623">
        <f>MAX(D1117-SUM(D1111:D1115),0)</f>
        <v>0</v>
      </c>
      <c r="E1116" s="1292">
        <f>MAX(E1117-SUM(E1111:E1115),0)</f>
        <v>0</v>
      </c>
      <c r="F1116" s="163"/>
      <c r="J1116" s="77"/>
    </row>
    <row r="1117" spans="1:17" x14ac:dyDescent="0.25">
      <c r="C1117" s="1289" t="s">
        <v>647</v>
      </c>
      <c r="D1117" s="2624">
        <f>Population!F30</f>
        <v>0</v>
      </c>
      <c r="E1117" s="1293">
        <f>Population!E31</f>
        <v>0</v>
      </c>
      <c r="F1117" s="163"/>
      <c r="J1117" s="1162"/>
    </row>
    <row r="1118" spans="1:17" x14ac:dyDescent="0.25">
      <c r="C1118" s="163"/>
      <c r="D1118" s="2625"/>
      <c r="E1118" s="163"/>
      <c r="F1118" s="163"/>
    </row>
    <row r="1119" spans="1:17" x14ac:dyDescent="0.25">
      <c r="C1119" s="2675" t="s">
        <v>2858</v>
      </c>
      <c r="D1119" s="2554" t="s">
        <v>2853</v>
      </c>
      <c r="E1119" s="1291" t="s">
        <v>2854</v>
      </c>
      <c r="F1119" s="163"/>
    </row>
    <row r="1120" spans="1:17" x14ac:dyDescent="0.25">
      <c r="C1120" s="1243" t="s">
        <v>2838</v>
      </c>
      <c r="D1120" s="2607">
        <f>D1029</f>
        <v>45</v>
      </c>
      <c r="E1120" s="1292">
        <f>D1034</f>
        <v>0</v>
      </c>
      <c r="F1120" s="163"/>
    </row>
    <row r="1121" spans="1:15" x14ac:dyDescent="0.25">
      <c r="C1121" s="1243" t="s">
        <v>2839</v>
      </c>
      <c r="D1121" s="2607">
        <f>D1030</f>
        <v>0</v>
      </c>
      <c r="E1121" s="1292">
        <f>D1035</f>
        <v>0</v>
      </c>
      <c r="F1121" s="163"/>
    </row>
    <row r="1122" spans="1:15" x14ac:dyDescent="0.25">
      <c r="C1122" s="1288" t="s">
        <v>2840</v>
      </c>
      <c r="D1122" s="2610">
        <f>D1031</f>
        <v>220</v>
      </c>
      <c r="E1122" s="1294">
        <f>D1036</f>
        <v>22</v>
      </c>
      <c r="F1122" s="163"/>
    </row>
    <row r="1123" spans="1:15" x14ac:dyDescent="0.25">
      <c r="C1123" s="162"/>
      <c r="E1123" s="162"/>
      <c r="F1123" s="163"/>
    </row>
    <row r="1124" spans="1:15" x14ac:dyDescent="0.25">
      <c r="C1124" s="2675" t="s">
        <v>1413</v>
      </c>
      <c r="D1124" s="2554" t="s">
        <v>27</v>
      </c>
      <c r="E1124" s="1291" t="s">
        <v>645</v>
      </c>
      <c r="F1124" s="163"/>
    </row>
    <row r="1125" spans="1:15" x14ac:dyDescent="0.25">
      <c r="C1125" s="1243" t="s">
        <v>1410</v>
      </c>
      <c r="D1125" s="2607">
        <f>D1063</f>
        <v>0</v>
      </c>
      <c r="E1125" s="1292">
        <f>D1045</f>
        <v>0</v>
      </c>
      <c r="F1125" s="163"/>
    </row>
    <row r="1126" spans="1:15" x14ac:dyDescent="0.25">
      <c r="C1126" s="1243" t="s">
        <v>1411</v>
      </c>
      <c r="D1126" s="2607">
        <f>D1066</f>
        <v>0</v>
      </c>
      <c r="E1126" s="1292">
        <f>D1048</f>
        <v>424</v>
      </c>
      <c r="F1126" s="163"/>
    </row>
    <row r="1127" spans="1:15" x14ac:dyDescent="0.25">
      <c r="C1127" s="1243" t="s">
        <v>1697</v>
      </c>
      <c r="D1127" s="2607">
        <f>D1067</f>
        <v>191</v>
      </c>
      <c r="E1127" s="1292">
        <f>D1049</f>
        <v>4218</v>
      </c>
      <c r="F1127" s="163"/>
    </row>
    <row r="1128" spans="1:15" x14ac:dyDescent="0.25">
      <c r="C1128" s="1288" t="s">
        <v>669</v>
      </c>
      <c r="D1128" s="2610">
        <f>D1117-D1125-D1126-D1127</f>
        <v>-191</v>
      </c>
      <c r="E1128" s="1294">
        <f>E1117-E1125-E1126-E1127</f>
        <v>-4642</v>
      </c>
      <c r="F1128" s="163"/>
    </row>
    <row r="1129" spans="1:15" x14ac:dyDescent="0.25">
      <c r="D1129" s="2625"/>
      <c r="E1129" s="163"/>
      <c r="F1129" s="163"/>
    </row>
    <row r="1130" spans="1:15" x14ac:dyDescent="0.25">
      <c r="C1130" s="565" t="s">
        <v>1567</v>
      </c>
      <c r="D1130" s="2626">
        <f>'WSS Profile'!G36</f>
        <v>0</v>
      </c>
      <c r="E1130" s="1295"/>
      <c r="F1130" s="183"/>
      <c r="G1130" s="597"/>
      <c r="H1130" s="597"/>
      <c r="I1130" s="1162"/>
      <c r="J1130" s="1162"/>
      <c r="K1130" s="1162"/>
      <c r="L1130" s="1162"/>
      <c r="M1130" s="1162"/>
    </row>
    <row r="1131" spans="1:15" x14ac:dyDescent="0.25">
      <c r="C1131" s="601" t="s">
        <v>604</v>
      </c>
      <c r="D1131" s="2627">
        <f>'WSS Profile'!G228</f>
        <v>0</v>
      </c>
      <c r="E1131" s="1296">
        <f>D1130-D1131</f>
        <v>0</v>
      </c>
      <c r="F1131" s="183"/>
      <c r="G1131" s="597"/>
      <c r="H1131" s="597"/>
      <c r="I1131" s="1162"/>
      <c r="J1131" s="1162"/>
      <c r="K1131" s="1162"/>
      <c r="L1131" s="1162"/>
      <c r="M1131" s="1162"/>
    </row>
    <row r="1132" spans="1:15" x14ac:dyDescent="0.25">
      <c r="C1132" s="603" t="s">
        <v>1568</v>
      </c>
      <c r="D1132" s="2628">
        <f>'WSS Profile'!G37</f>
        <v>0</v>
      </c>
      <c r="E1132" s="1297">
        <f>D1130-D1132</f>
        <v>0</v>
      </c>
      <c r="F1132" s="348"/>
      <c r="G1132" s="597"/>
      <c r="H1132" s="597"/>
      <c r="I1132" s="1162"/>
      <c r="J1132" s="1162"/>
      <c r="K1132" s="1162"/>
      <c r="L1132" s="1162"/>
      <c r="M1132" s="1162"/>
    </row>
    <row r="1133" spans="1:15" x14ac:dyDescent="0.25">
      <c r="A1133" s="27"/>
      <c r="B1133" s="27"/>
      <c r="C1133" s="48"/>
      <c r="D1133" s="2514"/>
      <c r="E1133" s="77"/>
      <c r="F1133" s="119"/>
      <c r="G1133" s="2100"/>
      <c r="H1133" s="2100"/>
      <c r="I1133" s="48"/>
      <c r="J1133" s="48"/>
      <c r="K1133" s="48"/>
      <c r="L1133" s="48"/>
      <c r="M1133" s="48"/>
      <c r="N1133" s="27"/>
      <c r="O1133" s="27"/>
    </row>
    <row r="1134" spans="1:15" x14ac:dyDescent="0.25">
      <c r="C1134" s="565" t="s">
        <v>644</v>
      </c>
      <c r="D1134" s="2630" t="s">
        <v>688</v>
      </c>
      <c r="E1134" s="1299" t="s">
        <v>681</v>
      </c>
      <c r="F1134" s="1300"/>
      <c r="G1134" s="597"/>
      <c r="H1134" s="597"/>
      <c r="I1134" s="1162"/>
      <c r="J1134" s="1162"/>
      <c r="K1134" s="1162"/>
      <c r="L1134" s="1162"/>
      <c r="M1134" s="1162"/>
    </row>
    <row r="1135" spans="1:15" x14ac:dyDescent="0.25">
      <c r="C1135" s="568" t="s">
        <v>646</v>
      </c>
      <c r="D1135" s="2631">
        <f>'WSS Profile'!F235</f>
        <v>0</v>
      </c>
      <c r="E1135" s="348">
        <f>F1135-D1135</f>
        <v>0</v>
      </c>
      <c r="F1135" s="1301">
        <f>Population!E30</f>
        <v>0</v>
      </c>
      <c r="G1135" s="597"/>
      <c r="H1135" s="597"/>
      <c r="I1135" s="1162"/>
      <c r="J1135" s="1162"/>
      <c r="K1135" s="1162"/>
      <c r="L1135" s="1162"/>
      <c r="M1135" s="1162"/>
    </row>
    <row r="1136" spans="1:15" x14ac:dyDescent="0.25">
      <c r="C1136" s="569" t="s">
        <v>645</v>
      </c>
      <c r="D1136" s="2612">
        <f>'WSS Profile'!F234</f>
        <v>0</v>
      </c>
      <c r="E1136" s="1215">
        <f>F1136-D1136</f>
        <v>0</v>
      </c>
      <c r="F1136" s="1302">
        <f>Population!E31</f>
        <v>0</v>
      </c>
      <c r="G1136" s="598"/>
      <c r="H1136" s="597"/>
      <c r="I1136" s="1162"/>
      <c r="J1136" s="1162"/>
      <c r="K1136" s="1162"/>
      <c r="L1136" s="1162"/>
      <c r="M1136" s="1162"/>
    </row>
    <row r="1137" spans="3:14" x14ac:dyDescent="0.25">
      <c r="G1137" s="598"/>
      <c r="H1137" s="597"/>
      <c r="I1137" s="1162"/>
      <c r="J1137" s="1162"/>
      <c r="K1137" s="1162"/>
      <c r="L1137" s="1162"/>
      <c r="M1137" s="1162"/>
    </row>
    <row r="1138" spans="3:14" x14ac:dyDescent="0.25">
      <c r="C1138" s="2675" t="s">
        <v>892</v>
      </c>
      <c r="D1138" s="2554"/>
      <c r="E1138" s="1291"/>
      <c r="F1138" s="183"/>
      <c r="G1138" s="2675" t="s">
        <v>1395</v>
      </c>
      <c r="H1138" s="549" t="s">
        <v>2855</v>
      </c>
      <c r="I1138" s="1162"/>
      <c r="J1138" s="547"/>
      <c r="K1138" s="2933" t="s">
        <v>1412</v>
      </c>
      <c r="L1138" s="1290" t="s">
        <v>681</v>
      </c>
      <c r="M1138" s="548" t="s">
        <v>1168</v>
      </c>
      <c r="N1138" s="1291"/>
    </row>
    <row r="1139" spans="3:14" x14ac:dyDescent="0.25">
      <c r="C1139" s="1243" t="s">
        <v>673</v>
      </c>
      <c r="D1139" s="439">
        <f>D1081</f>
        <v>0</v>
      </c>
      <c r="E1139" s="2923"/>
      <c r="G1139" s="1243" t="s">
        <v>673</v>
      </c>
      <c r="H1139" s="1033">
        <f>D1087</f>
        <v>0</v>
      </c>
      <c r="I1139" s="1162"/>
      <c r="J1139" s="1243" t="s">
        <v>1443</v>
      </c>
      <c r="K1139" s="2917">
        <f>E810</f>
        <v>0</v>
      </c>
      <c r="L1139" s="2917">
        <f>E809-K1139</f>
        <v>0</v>
      </c>
      <c r="M1139" s="440">
        <f>E690</f>
        <v>0</v>
      </c>
      <c r="N1139" s="2923" t="s">
        <v>19</v>
      </c>
    </row>
    <row r="1140" spans="3:14" x14ac:dyDescent="0.25">
      <c r="C1140" s="1243" t="s">
        <v>501</v>
      </c>
      <c r="D1140" s="2914">
        <f>D1082</f>
        <v>0</v>
      </c>
      <c r="E1140" s="2932">
        <f>E607</f>
        <v>0</v>
      </c>
      <c r="G1140" s="1243" t="s">
        <v>501</v>
      </c>
      <c r="H1140" s="1033">
        <f>D1088</f>
        <v>0</v>
      </c>
      <c r="I1140" s="1162"/>
      <c r="J1140" s="1243" t="s">
        <v>1444</v>
      </c>
      <c r="K1140" s="2917">
        <f>E813</f>
        <v>0</v>
      </c>
      <c r="L1140" s="2917">
        <f>E812-K1140</f>
        <v>0</v>
      </c>
      <c r="M1140" s="440">
        <f>E708+E734</f>
        <v>0</v>
      </c>
      <c r="N1140" s="2923" t="s">
        <v>19</v>
      </c>
    </row>
    <row r="1141" spans="3:14" x14ac:dyDescent="0.25">
      <c r="C1141" s="1243" t="s">
        <v>592</v>
      </c>
      <c r="D1141" s="439">
        <f>D1083</f>
        <v>0</v>
      </c>
      <c r="E1141" s="2923"/>
      <c r="G1141" s="1243" t="s">
        <v>592</v>
      </c>
      <c r="H1141" s="1033">
        <f>D1089</f>
        <v>0</v>
      </c>
      <c r="I1141" s="1162"/>
      <c r="J1141" s="1288" t="s">
        <v>1445</v>
      </c>
      <c r="K1141" s="2924">
        <f>E816*M624</f>
        <v>0</v>
      </c>
      <c r="L1141" s="2924">
        <f>(E815*M624)-K1141</f>
        <v>0</v>
      </c>
      <c r="M1141" s="617">
        <f>((E712/D712)+E758)*M624</f>
        <v>0</v>
      </c>
      <c r="N1141" s="1293" t="s">
        <v>1160</v>
      </c>
    </row>
    <row r="1142" spans="3:14" x14ac:dyDescent="0.25">
      <c r="C1142" s="1288" t="s">
        <v>1412</v>
      </c>
      <c r="D1142" s="2629">
        <f>D1085</f>
        <v>0</v>
      </c>
      <c r="E1142" s="1293"/>
      <c r="G1142" s="1288" t="s">
        <v>1412</v>
      </c>
      <c r="H1142" s="1058">
        <f>D1091</f>
        <v>0</v>
      </c>
      <c r="I1142" s="1162"/>
      <c r="J1142" s="27"/>
      <c r="K1142" s="27"/>
      <c r="L1142" s="27"/>
      <c r="M1142" s="27"/>
      <c r="N1142" s="27"/>
    </row>
    <row r="1143" spans="3:14" x14ac:dyDescent="0.25">
      <c r="E1143" s="183"/>
      <c r="G1143" s="27"/>
      <c r="H1143" s="27"/>
      <c r="I1143" s="1162"/>
      <c r="J1143" s="27"/>
      <c r="K1143" s="27"/>
      <c r="L1143" s="27"/>
      <c r="M1143" s="27"/>
      <c r="N1143" s="27"/>
    </row>
    <row r="1144" spans="3:14" x14ac:dyDescent="0.25">
      <c r="C1144" s="1162"/>
      <c r="D1144" s="2511"/>
      <c r="E1144" s="183"/>
      <c r="H1144" s="1162"/>
      <c r="I1144" s="183"/>
      <c r="J1144" s="183"/>
      <c r="K1144" s="183"/>
      <c r="L1144" s="183"/>
      <c r="M1144" s="183"/>
    </row>
    <row r="1145" spans="3:14" ht="30" x14ac:dyDescent="0.25">
      <c r="C1145" s="2675" t="s">
        <v>2857</v>
      </c>
      <c r="D1145" s="2925" t="s">
        <v>693</v>
      </c>
      <c r="E1145" s="2926" t="s">
        <v>692</v>
      </c>
      <c r="F1145" s="183"/>
      <c r="G1145" s="183"/>
      <c r="H1145" s="183"/>
      <c r="I1145" s="183"/>
      <c r="J1145" s="183"/>
      <c r="K1145" s="183"/>
      <c r="L1145" s="183"/>
      <c r="M1145" s="1162"/>
    </row>
    <row r="1146" spans="3:14" x14ac:dyDescent="0.25">
      <c r="C1146" s="2927" t="s">
        <v>663</v>
      </c>
      <c r="D1146" s="2631">
        <f>'Finance info'!J80</f>
        <v>0</v>
      </c>
      <c r="E1146" s="1301">
        <f>'Finance info'!I80</f>
        <v>0</v>
      </c>
      <c r="F1146" s="183"/>
      <c r="G1146" s="183"/>
      <c r="H1146" s="2922"/>
      <c r="I1146" s="183"/>
      <c r="J1146" s="183"/>
      <c r="K1146" s="183"/>
      <c r="L1146" s="183"/>
      <c r="M1146" s="1162"/>
    </row>
    <row r="1147" spans="3:14" x14ac:dyDescent="0.25">
      <c r="C1147" s="2928" t="s">
        <v>662</v>
      </c>
      <c r="D1147" s="2612">
        <f>'Finance info'!J87</f>
        <v>0</v>
      </c>
      <c r="E1147" s="1302">
        <f>'Finance info'!I87</f>
        <v>0</v>
      </c>
      <c r="F1147" s="183"/>
      <c r="G1147" s="183"/>
      <c r="H1147" s="183"/>
      <c r="I1147" s="183"/>
      <c r="J1147" s="183"/>
      <c r="K1147" s="183"/>
      <c r="L1147" s="183"/>
      <c r="M1147" s="1162"/>
    </row>
    <row r="1148" spans="3:14" x14ac:dyDescent="0.25">
      <c r="C1148" s="1005"/>
      <c r="D1148" s="2929"/>
      <c r="E1148" s="183"/>
      <c r="F1148" s="183"/>
      <c r="G1148" s="183"/>
      <c r="H1148" s="183"/>
      <c r="I1148" s="183"/>
      <c r="J1148" s="183"/>
      <c r="K1148" s="183"/>
      <c r="L1148" s="183"/>
      <c r="M1148" s="1162"/>
    </row>
    <row r="1149" spans="3:14" ht="30" x14ac:dyDescent="0.25">
      <c r="C1149" s="2675" t="s">
        <v>211</v>
      </c>
      <c r="D1149" s="2930"/>
      <c r="E1149" s="1304" t="s">
        <v>666</v>
      </c>
      <c r="F1149" s="1304" t="s">
        <v>494</v>
      </c>
      <c r="G1149" s="1304" t="s">
        <v>667</v>
      </c>
      <c r="H1149" s="1304" t="s">
        <v>660</v>
      </c>
      <c r="I1149" s="1304" t="s">
        <v>505</v>
      </c>
      <c r="J1149" s="1304" t="s">
        <v>49</v>
      </c>
      <c r="K1149" s="2931" t="s">
        <v>26</v>
      </c>
      <c r="L1149" s="183"/>
      <c r="M1149" s="1162"/>
    </row>
    <row r="1150" spans="3:14" x14ac:dyDescent="0.25">
      <c r="C1150" s="2927" t="s">
        <v>664</v>
      </c>
      <c r="D1150" s="6018">
        <f>'Finance info'!J56</f>
        <v>108</v>
      </c>
      <c r="E1150" s="6019"/>
      <c r="F1150" s="6019"/>
      <c r="G1150" s="6019"/>
      <c r="H1150" s="6019"/>
      <c r="I1150" s="6020"/>
      <c r="J1150" s="6020"/>
      <c r="K1150" s="6021"/>
      <c r="L1150" s="183"/>
      <c r="M1150" s="1162"/>
    </row>
    <row r="1151" spans="3:14" x14ac:dyDescent="0.25">
      <c r="C1151" s="2928" t="s">
        <v>540</v>
      </c>
      <c r="D1151" s="6022"/>
      <c r="E1151" s="6023"/>
      <c r="F1151" s="6023"/>
      <c r="G1151" s="6023"/>
      <c r="H1151" s="6023"/>
      <c r="I1151" s="6024">
        <f>'Finance info'!J52</f>
        <v>0</v>
      </c>
      <c r="J1151" s="6024"/>
      <c r="K1151" s="6025">
        <f>'Finance info'!J53</f>
        <v>0</v>
      </c>
      <c r="L1151" s="183"/>
      <c r="M1151" s="1162"/>
    </row>
    <row r="1152" spans="3:14" ht="15" customHeight="1" x14ac:dyDescent="0.25">
      <c r="C1152" s="183"/>
      <c r="D1152" s="2511"/>
      <c r="E1152" s="183"/>
      <c r="F1152" s="183"/>
      <c r="G1152" s="183"/>
      <c r="H1152" s="183"/>
      <c r="I1152" s="183"/>
      <c r="J1152" s="183"/>
      <c r="K1152" s="183"/>
      <c r="L1152" s="183"/>
      <c r="M1152" s="1162"/>
    </row>
    <row r="1154" spans="2:16" x14ac:dyDescent="0.25">
      <c r="B1154" s="676" t="s">
        <v>3874</v>
      </c>
      <c r="C1154" s="3"/>
      <c r="D1154" s="6075"/>
      <c r="E1154" s="3"/>
      <c r="F1154" s="3"/>
      <c r="G1154" s="3"/>
      <c r="H1154" s="3"/>
      <c r="I1154" s="3"/>
      <c r="J1154" s="3"/>
      <c r="K1154" s="3"/>
      <c r="L1154" s="3"/>
      <c r="M1154" s="3"/>
      <c r="N1154" s="3"/>
      <c r="O1154" s="3"/>
      <c r="P1154" s="3"/>
    </row>
    <row r="1155" spans="2:16" x14ac:dyDescent="0.25">
      <c r="B1155" s="9" t="s">
        <v>3875</v>
      </c>
      <c r="E1155" s="6076"/>
      <c r="F1155" s="6076"/>
      <c r="G1155" s="6076"/>
      <c r="H1155" s="6076"/>
      <c r="I1155" s="6076"/>
      <c r="J1155" s="6076"/>
      <c r="K1155" s="6076"/>
      <c r="L1155" s="6076"/>
      <c r="M1155" s="6076"/>
      <c r="N1155" s="6076"/>
      <c r="O1155" s="6076"/>
    </row>
    <row r="1156" spans="2:16" x14ac:dyDescent="0.25">
      <c r="B1156" s="6077" t="s">
        <v>3876</v>
      </c>
      <c r="C1156" s="9" t="s">
        <v>3877</v>
      </c>
      <c r="E1156" s="24">
        <f t="shared" ref="E1156:O1156" si="490">SUM(E294:E295)</f>
        <v>424</v>
      </c>
      <c r="F1156" s="24">
        <f t="shared" si="490"/>
        <v>424</v>
      </c>
      <c r="G1156" s="24">
        <f t="shared" si="490"/>
        <v>424</v>
      </c>
      <c r="H1156" s="24">
        <f t="shared" si="490"/>
        <v>424</v>
      </c>
      <c r="I1156" s="24">
        <f t="shared" si="490"/>
        <v>424</v>
      </c>
      <c r="J1156" s="24">
        <f t="shared" si="490"/>
        <v>424</v>
      </c>
      <c r="K1156" s="24">
        <f t="shared" si="490"/>
        <v>424</v>
      </c>
      <c r="L1156" s="24">
        <f t="shared" si="490"/>
        <v>424</v>
      </c>
      <c r="M1156" s="24">
        <f t="shared" si="490"/>
        <v>424</v>
      </c>
      <c r="N1156" s="24">
        <f t="shared" si="490"/>
        <v>424</v>
      </c>
      <c r="O1156" s="24">
        <f t="shared" si="490"/>
        <v>424</v>
      </c>
    </row>
    <row r="1157" spans="2:16" x14ac:dyDescent="0.25">
      <c r="B1157" s="6078" t="s">
        <v>3876</v>
      </c>
      <c r="C1157" s="9" t="s">
        <v>3878</v>
      </c>
      <c r="E1157" s="24">
        <f>SUM($E$29:E30)</f>
        <v>0</v>
      </c>
      <c r="F1157" s="24">
        <f>SUM($E$29:F30)</f>
        <v>659</v>
      </c>
      <c r="G1157" s="24">
        <f>SUM($E$29:G30)</f>
        <v>1318</v>
      </c>
      <c r="H1157" s="24">
        <f>SUM($E$29:H30)</f>
        <v>1977</v>
      </c>
      <c r="I1157" s="24">
        <f>SUM($E$29:I30)</f>
        <v>2636</v>
      </c>
      <c r="J1157" s="24">
        <f>SUM($E$29:J30)</f>
        <v>3295</v>
      </c>
      <c r="K1157" s="24">
        <f>SUM($E$29:K30)</f>
        <v>3295</v>
      </c>
      <c r="L1157" s="24">
        <f>SUM($E$29:L30)</f>
        <v>3295</v>
      </c>
      <c r="M1157" s="24">
        <f>SUM($E$29:M30)</f>
        <v>3295</v>
      </c>
      <c r="N1157" s="24">
        <f>SUM($E$29:N30)</f>
        <v>3295</v>
      </c>
      <c r="O1157" s="24">
        <f>SUM($E$29:O30)</f>
        <v>3295</v>
      </c>
      <c r="P1157" s="27" t="s">
        <v>3879</v>
      </c>
    </row>
    <row r="1158" spans="2:16" x14ac:dyDescent="0.25">
      <c r="B1158" s="6077" t="s">
        <v>3876</v>
      </c>
      <c r="C1158" s="9" t="s">
        <v>3880</v>
      </c>
      <c r="E1158" s="24">
        <f t="shared" ref="E1158:O1158" si="491">SUM(E304:E305)</f>
        <v>0</v>
      </c>
      <c r="F1158" s="24">
        <f t="shared" si="491"/>
        <v>843.6</v>
      </c>
      <c r="G1158" s="24">
        <f t="shared" si="491"/>
        <v>1687.2</v>
      </c>
      <c r="H1158" s="24">
        <f t="shared" si="491"/>
        <v>2530.7999999999997</v>
      </c>
      <c r="I1158" s="24">
        <f t="shared" si="491"/>
        <v>3374.4</v>
      </c>
      <c r="J1158" s="24">
        <f t="shared" si="491"/>
        <v>4218</v>
      </c>
      <c r="K1158" s="24">
        <f t="shared" si="491"/>
        <v>4218</v>
      </c>
      <c r="L1158" s="24">
        <f t="shared" si="491"/>
        <v>4218</v>
      </c>
      <c r="M1158" s="24">
        <f t="shared" si="491"/>
        <v>4218</v>
      </c>
      <c r="N1158" s="24">
        <f t="shared" si="491"/>
        <v>4218</v>
      </c>
      <c r="O1158" s="24">
        <f t="shared" si="491"/>
        <v>4218</v>
      </c>
    </row>
    <row r="1159" spans="2:16" x14ac:dyDescent="0.25">
      <c r="B1159" s="6077" t="s">
        <v>1520</v>
      </c>
      <c r="C1159" s="9" t="s">
        <v>3881</v>
      </c>
      <c r="E1159" s="10">
        <f t="shared" ref="E1159:O1159" si="492">SUM(E395:E396)</f>
        <v>0</v>
      </c>
      <c r="F1159" s="10">
        <f t="shared" si="492"/>
        <v>0</v>
      </c>
      <c r="G1159" s="10">
        <f t="shared" si="492"/>
        <v>0</v>
      </c>
      <c r="H1159" s="10">
        <f t="shared" si="492"/>
        <v>0</v>
      </c>
      <c r="I1159" s="10">
        <f t="shared" si="492"/>
        <v>0</v>
      </c>
      <c r="J1159" s="10">
        <f t="shared" si="492"/>
        <v>0</v>
      </c>
      <c r="K1159" s="10">
        <f t="shared" si="492"/>
        <v>0</v>
      </c>
      <c r="L1159" s="10">
        <f t="shared" si="492"/>
        <v>0</v>
      </c>
      <c r="M1159" s="10">
        <f t="shared" si="492"/>
        <v>0</v>
      </c>
      <c r="N1159" s="10">
        <f t="shared" si="492"/>
        <v>0</v>
      </c>
      <c r="O1159" s="10">
        <f t="shared" si="492"/>
        <v>0</v>
      </c>
    </row>
    <row r="1160" spans="2:16" x14ac:dyDescent="0.25">
      <c r="B1160" s="9" t="s">
        <v>3882</v>
      </c>
    </row>
    <row r="1161" spans="2:16" x14ac:dyDescent="0.25">
      <c r="B1161" s="6077" t="s">
        <v>3876</v>
      </c>
      <c r="C1161" s="9" t="s">
        <v>3883</v>
      </c>
      <c r="E1161" s="24">
        <f t="shared" ref="E1161:O1161" si="493">SUM(E75:E76)</f>
        <v>0</v>
      </c>
      <c r="F1161" s="24">
        <f t="shared" si="493"/>
        <v>0</v>
      </c>
      <c r="G1161" s="24">
        <f t="shared" si="493"/>
        <v>0</v>
      </c>
      <c r="H1161" s="24">
        <f t="shared" si="493"/>
        <v>0</v>
      </c>
      <c r="I1161" s="24">
        <f t="shared" si="493"/>
        <v>0</v>
      </c>
      <c r="J1161" s="24">
        <f t="shared" si="493"/>
        <v>0</v>
      </c>
      <c r="K1161" s="24">
        <f t="shared" si="493"/>
        <v>0</v>
      </c>
      <c r="L1161" s="24">
        <f t="shared" si="493"/>
        <v>0</v>
      </c>
      <c r="M1161" s="24">
        <f t="shared" si="493"/>
        <v>0</v>
      </c>
      <c r="N1161" s="24">
        <f t="shared" si="493"/>
        <v>0</v>
      </c>
      <c r="O1161" s="24">
        <f t="shared" si="493"/>
        <v>0</v>
      </c>
    </row>
    <row r="1162" spans="2:16" ht="22.5" x14ac:dyDescent="0.25">
      <c r="B1162" s="6077" t="s">
        <v>1520</v>
      </c>
      <c r="C1162" s="9" t="s">
        <v>3881</v>
      </c>
      <c r="D1162" s="6079" t="s">
        <v>3884</v>
      </c>
    </row>
    <row r="1163" spans="2:16" x14ac:dyDescent="0.25">
      <c r="B1163" s="9" t="s">
        <v>3885</v>
      </c>
    </row>
    <row r="1164" spans="2:16" x14ac:dyDescent="0.25">
      <c r="B1164" s="6077" t="s">
        <v>3876</v>
      </c>
      <c r="C1164" s="9" t="s">
        <v>3886</v>
      </c>
      <c r="E1164" s="24">
        <f t="shared" ref="E1164:O1164" si="494">E123+E140</f>
        <v>39.81818181818182</v>
      </c>
      <c r="F1164" s="24">
        <f t="shared" si="494"/>
        <v>42.545454545454547</v>
      </c>
      <c r="G1164" s="24">
        <f t="shared" si="494"/>
        <v>45.272727272727273</v>
      </c>
      <c r="H1164" s="24">
        <f t="shared" si="494"/>
        <v>48</v>
      </c>
      <c r="I1164" s="24">
        <f t="shared" si="494"/>
        <v>48</v>
      </c>
      <c r="J1164" s="24">
        <f t="shared" si="494"/>
        <v>48</v>
      </c>
      <c r="K1164" s="24">
        <f t="shared" si="494"/>
        <v>48</v>
      </c>
      <c r="L1164" s="24">
        <f t="shared" si="494"/>
        <v>48</v>
      </c>
      <c r="M1164" s="24">
        <f t="shared" si="494"/>
        <v>48</v>
      </c>
      <c r="N1164" s="24">
        <f t="shared" si="494"/>
        <v>48</v>
      </c>
      <c r="O1164" s="24">
        <f t="shared" si="494"/>
        <v>48</v>
      </c>
      <c r="P1164" s="356" t="s">
        <v>2797</v>
      </c>
    </row>
    <row r="1165" spans="2:16" x14ac:dyDescent="0.25">
      <c r="B1165" s="6077" t="s">
        <v>3876</v>
      </c>
      <c r="C1165" s="9" t="s">
        <v>3887</v>
      </c>
      <c r="E1165" s="24">
        <f t="shared" ref="E1165:O1165" si="495">SUM(E152:E153,E155:E156)</f>
        <v>0</v>
      </c>
      <c r="F1165" s="24">
        <f t="shared" si="495"/>
        <v>0</v>
      </c>
      <c r="G1165" s="24">
        <f t="shared" si="495"/>
        <v>0</v>
      </c>
      <c r="H1165" s="24">
        <f t="shared" si="495"/>
        <v>0</v>
      </c>
      <c r="I1165" s="24">
        <f t="shared" si="495"/>
        <v>0</v>
      </c>
      <c r="J1165" s="24">
        <f t="shared" si="495"/>
        <v>0</v>
      </c>
      <c r="K1165" s="24">
        <f t="shared" si="495"/>
        <v>0</v>
      </c>
      <c r="L1165" s="24">
        <f t="shared" si="495"/>
        <v>0</v>
      </c>
      <c r="M1165" s="24">
        <f t="shared" si="495"/>
        <v>0</v>
      </c>
      <c r="N1165" s="24">
        <f t="shared" si="495"/>
        <v>0</v>
      </c>
      <c r="O1165" s="24">
        <f t="shared" si="495"/>
        <v>0</v>
      </c>
    </row>
    <row r="1166" spans="2:16" ht="22.5" x14ac:dyDescent="0.25">
      <c r="B1166" s="6077" t="s">
        <v>1520</v>
      </c>
      <c r="C1166" s="9" t="s">
        <v>3881</v>
      </c>
      <c r="D1166" s="6079" t="s">
        <v>3888</v>
      </c>
    </row>
    <row r="1167" spans="2:16" x14ac:dyDescent="0.25">
      <c r="B1167" s="9" t="s">
        <v>3889</v>
      </c>
    </row>
    <row r="1168" spans="2:16" x14ac:dyDescent="0.25">
      <c r="B1168" s="6077" t="s">
        <v>3876</v>
      </c>
      <c r="C1168" s="9" t="s">
        <v>3877</v>
      </c>
      <c r="E1168" s="24">
        <f t="shared" ref="E1168:O1168" si="496">E193</f>
        <v>4</v>
      </c>
      <c r="F1168" s="24">
        <f t="shared" si="496"/>
        <v>4</v>
      </c>
      <c r="G1168" s="24">
        <f t="shared" si="496"/>
        <v>4</v>
      </c>
      <c r="H1168" s="24">
        <f t="shared" si="496"/>
        <v>4</v>
      </c>
      <c r="I1168" s="24">
        <f t="shared" si="496"/>
        <v>4</v>
      </c>
      <c r="J1168" s="24">
        <f t="shared" si="496"/>
        <v>4</v>
      </c>
      <c r="K1168" s="24">
        <f t="shared" si="496"/>
        <v>4</v>
      </c>
      <c r="L1168" s="24">
        <f t="shared" si="496"/>
        <v>4</v>
      </c>
      <c r="M1168" s="24">
        <f t="shared" si="496"/>
        <v>4</v>
      </c>
      <c r="N1168" s="24">
        <f t="shared" si="496"/>
        <v>4</v>
      </c>
      <c r="O1168" s="24">
        <f t="shared" si="496"/>
        <v>4</v>
      </c>
    </row>
    <row r="1169" spans="1:15" x14ac:dyDescent="0.25">
      <c r="B1169" s="6077" t="s">
        <v>3876</v>
      </c>
      <c r="C1169" s="9" t="s">
        <v>3890</v>
      </c>
      <c r="E1169" s="24">
        <f t="shared" ref="E1169:O1169" si="497">E199</f>
        <v>0</v>
      </c>
      <c r="F1169" s="24">
        <f t="shared" si="497"/>
        <v>1</v>
      </c>
      <c r="G1169" s="24">
        <f t="shared" si="497"/>
        <v>2</v>
      </c>
      <c r="H1169" s="24">
        <f t="shared" si="497"/>
        <v>3</v>
      </c>
      <c r="I1169" s="24">
        <f t="shared" si="497"/>
        <v>3</v>
      </c>
      <c r="J1169" s="24">
        <f t="shared" si="497"/>
        <v>3</v>
      </c>
      <c r="K1169" s="24">
        <f t="shared" si="497"/>
        <v>3</v>
      </c>
      <c r="L1169" s="24">
        <f t="shared" si="497"/>
        <v>3</v>
      </c>
      <c r="M1169" s="24">
        <f t="shared" si="497"/>
        <v>3</v>
      </c>
      <c r="N1169" s="24">
        <f t="shared" si="497"/>
        <v>3</v>
      </c>
      <c r="O1169" s="24">
        <f t="shared" si="497"/>
        <v>3</v>
      </c>
    </row>
    <row r="1170" spans="1:15" ht="22.5" x14ac:dyDescent="0.25">
      <c r="B1170" s="6077" t="s">
        <v>1520</v>
      </c>
      <c r="C1170" s="9" t="s">
        <v>3881</v>
      </c>
      <c r="D1170" s="6079" t="s">
        <v>3891</v>
      </c>
    </row>
    <row r="1171" spans="1:15" x14ac:dyDescent="0.25">
      <c r="B1171" s="9" t="s">
        <v>16</v>
      </c>
    </row>
    <row r="1172" spans="1:15" x14ac:dyDescent="0.25">
      <c r="B1172" s="6077" t="s">
        <v>3876</v>
      </c>
      <c r="C1172" s="9" t="s">
        <v>3877</v>
      </c>
      <c r="E1172" s="24">
        <f>SUM(E1156,E1164,E1168)</f>
        <v>467.81818181818181</v>
      </c>
      <c r="F1172" s="24">
        <f t="shared" ref="F1172:N1172" si="498">SUM(F1156,F1164,F1168)</f>
        <v>470.54545454545456</v>
      </c>
      <c r="G1172" s="24">
        <f t="shared" si="498"/>
        <v>473.27272727272725</v>
      </c>
      <c r="H1172" s="24">
        <f t="shared" si="498"/>
        <v>476</v>
      </c>
      <c r="I1172" s="24">
        <f t="shared" si="498"/>
        <v>476</v>
      </c>
      <c r="J1172" s="24">
        <f t="shared" si="498"/>
        <v>476</v>
      </c>
      <c r="K1172" s="24">
        <f t="shared" si="498"/>
        <v>476</v>
      </c>
      <c r="L1172" s="24">
        <f t="shared" si="498"/>
        <v>476</v>
      </c>
      <c r="M1172" s="24">
        <f t="shared" si="498"/>
        <v>476</v>
      </c>
      <c r="N1172" s="24">
        <f t="shared" si="498"/>
        <v>476</v>
      </c>
      <c r="O1172" s="24">
        <f>SUM(O1156,O1164,O1168)</f>
        <v>476</v>
      </c>
    </row>
    <row r="1173" spans="1:15" x14ac:dyDescent="0.25">
      <c r="B1173" s="6077" t="s">
        <v>3876</v>
      </c>
      <c r="C1173" s="9" t="s">
        <v>3892</v>
      </c>
      <c r="E1173" s="6080">
        <f t="shared" ref="E1173:N1173" si="499">SUM(E1157,E1158,E1161,E1165,E1169)</f>
        <v>0</v>
      </c>
      <c r="F1173" s="6080">
        <f t="shared" si="499"/>
        <v>1503.6</v>
      </c>
      <c r="G1173" s="6080">
        <f t="shared" si="499"/>
        <v>3007.2</v>
      </c>
      <c r="H1173" s="6080">
        <f t="shared" si="499"/>
        <v>4510.7999999999993</v>
      </c>
      <c r="I1173" s="6080">
        <f t="shared" si="499"/>
        <v>6013.4</v>
      </c>
      <c r="J1173" s="6080">
        <f t="shared" si="499"/>
        <v>7516</v>
      </c>
      <c r="K1173" s="6080">
        <f t="shared" si="499"/>
        <v>7516</v>
      </c>
      <c r="L1173" s="6080">
        <f t="shared" si="499"/>
        <v>7516</v>
      </c>
      <c r="M1173" s="6080">
        <f t="shared" si="499"/>
        <v>7516</v>
      </c>
      <c r="N1173" s="6080">
        <f t="shared" si="499"/>
        <v>7516</v>
      </c>
      <c r="O1173" s="6080">
        <f>SUM(O1157,O1158,O1161,O1165,O1169)</f>
        <v>7516</v>
      </c>
    </row>
    <row r="1174" spans="1:15" x14ac:dyDescent="0.25">
      <c r="B1174" s="6077" t="s">
        <v>1520</v>
      </c>
      <c r="C1174" s="9" t="s">
        <v>3881</v>
      </c>
      <c r="E1174" s="10">
        <f t="shared" ref="E1174:N1174" si="500">E1159</f>
        <v>0</v>
      </c>
      <c r="F1174" s="10">
        <f t="shared" si="500"/>
        <v>0</v>
      </c>
      <c r="G1174" s="10">
        <f t="shared" si="500"/>
        <v>0</v>
      </c>
      <c r="H1174" s="10">
        <f t="shared" si="500"/>
        <v>0</v>
      </c>
      <c r="I1174" s="10">
        <f t="shared" si="500"/>
        <v>0</v>
      </c>
      <c r="J1174" s="10">
        <f t="shared" si="500"/>
        <v>0</v>
      </c>
      <c r="K1174" s="10">
        <f t="shared" si="500"/>
        <v>0</v>
      </c>
      <c r="L1174" s="10">
        <f t="shared" si="500"/>
        <v>0</v>
      </c>
      <c r="M1174" s="10">
        <f t="shared" si="500"/>
        <v>0</v>
      </c>
      <c r="N1174" s="10">
        <f t="shared" si="500"/>
        <v>0</v>
      </c>
      <c r="O1174" s="10">
        <f>O1159</f>
        <v>0</v>
      </c>
    </row>
    <row r="1175" spans="1:15" ht="15" customHeight="1" x14ac:dyDescent="0.25">
      <c r="C1175" s="63" t="s">
        <v>3893</v>
      </c>
      <c r="E1175" s="6080">
        <f>SUM(E1172:E1173)-E1174</f>
        <v>467.81818181818181</v>
      </c>
      <c r="F1175" s="6080">
        <f t="shared" ref="F1175:N1175" si="501">SUM(F1172:F1173)-F1174</f>
        <v>1974.1454545454544</v>
      </c>
      <c r="G1175" s="6080">
        <f t="shared" si="501"/>
        <v>3480.4727272727268</v>
      </c>
      <c r="H1175" s="6080">
        <f t="shared" si="501"/>
        <v>4986.7999999999993</v>
      </c>
      <c r="I1175" s="6080">
        <f t="shared" si="501"/>
        <v>6489.4</v>
      </c>
      <c r="J1175" s="6080">
        <f t="shared" si="501"/>
        <v>7992</v>
      </c>
      <c r="K1175" s="6080">
        <f t="shared" si="501"/>
        <v>7992</v>
      </c>
      <c r="L1175" s="6080">
        <f t="shared" si="501"/>
        <v>7992</v>
      </c>
      <c r="M1175" s="6080">
        <f t="shared" si="501"/>
        <v>7992</v>
      </c>
      <c r="N1175" s="6080">
        <f t="shared" si="501"/>
        <v>7992</v>
      </c>
      <c r="O1175" s="6080">
        <f>SUM(O1172:O1173)-O1174</f>
        <v>7992</v>
      </c>
    </row>
    <row r="1176" spans="1:15" x14ac:dyDescent="0.25">
      <c r="C1176" s="63" t="s">
        <v>3894</v>
      </c>
      <c r="E1176" s="24">
        <f>SUM(E1156,E1157,E1158,E1161)-SUM(E1159,E1162)</f>
        <v>424</v>
      </c>
      <c r="F1176" s="24">
        <f t="shared" ref="F1176:O1176" si="502">SUM(F1156,F1157,F1158,F1161)-SUM(F1159,F1162)</f>
        <v>1926.6</v>
      </c>
      <c r="G1176" s="24">
        <f t="shared" si="502"/>
        <v>3429.2</v>
      </c>
      <c r="H1176" s="24">
        <f t="shared" si="502"/>
        <v>4931.7999999999993</v>
      </c>
      <c r="I1176" s="24">
        <f t="shared" si="502"/>
        <v>6434.4</v>
      </c>
      <c r="J1176" s="24">
        <f t="shared" si="502"/>
        <v>7937</v>
      </c>
      <c r="K1176" s="24">
        <f t="shared" si="502"/>
        <v>7937</v>
      </c>
      <c r="L1176" s="24">
        <f t="shared" si="502"/>
        <v>7937</v>
      </c>
      <c r="M1176" s="24">
        <f t="shared" si="502"/>
        <v>7937</v>
      </c>
      <c r="N1176" s="24">
        <f t="shared" si="502"/>
        <v>7937</v>
      </c>
      <c r="O1176" s="24">
        <f t="shared" si="502"/>
        <v>7937</v>
      </c>
    </row>
    <row r="1179" spans="1:15" ht="15.75" thickBot="1" x14ac:dyDescent="0.3"/>
    <row r="1180" spans="1:15" x14ac:dyDescent="0.25">
      <c r="C1180" s="644" t="s">
        <v>3403</v>
      </c>
      <c r="E1180" s="2603">
        <f>'WS calcu'!E$3</f>
        <v>2014</v>
      </c>
      <c r="F1180" s="543">
        <f>'WS calcu'!F$3</f>
        <v>2015</v>
      </c>
      <c r="G1180" s="543">
        <f>'WS calcu'!G$3</f>
        <v>2016</v>
      </c>
      <c r="H1180" s="543">
        <f>'WS calcu'!H$3</f>
        <v>2017</v>
      </c>
      <c r="I1180" s="543">
        <f>'WS calcu'!I$3</f>
        <v>2018</v>
      </c>
      <c r="J1180" s="543">
        <f>'WS calcu'!J$3</f>
        <v>2019</v>
      </c>
      <c r="K1180" s="543">
        <f>'WS calcu'!K$3</f>
        <v>2020</v>
      </c>
      <c r="L1180" s="543">
        <f>'WS calcu'!L$3</f>
        <v>2021</v>
      </c>
      <c r="M1180" s="543">
        <f>'WS calcu'!M$3</f>
        <v>2022</v>
      </c>
      <c r="N1180" s="543">
        <f>'WS calcu'!N$3</f>
        <v>2023</v>
      </c>
      <c r="O1180" s="544">
        <f>'WS calcu'!O$3</f>
        <v>2024</v>
      </c>
    </row>
    <row r="1181" spans="1:15" x14ac:dyDescent="0.25">
      <c r="A1181" s="27"/>
      <c r="B1181" s="27"/>
      <c r="C1181" s="5630" t="s">
        <v>615</v>
      </c>
      <c r="D1181" s="5631"/>
      <c r="E1181" s="5632"/>
      <c r="F1181" s="5633"/>
      <c r="G1181" s="5633"/>
      <c r="H1181" s="5633"/>
      <c r="I1181" s="5633"/>
      <c r="J1181" s="5633"/>
      <c r="K1181" s="5633"/>
      <c r="L1181" s="5633"/>
      <c r="M1181" s="5633"/>
      <c r="N1181" s="5633"/>
      <c r="O1181" s="5633"/>
    </row>
    <row r="1182" spans="1:15" x14ac:dyDescent="0.25">
      <c r="C1182" s="63" t="s">
        <v>3404</v>
      </c>
      <c r="E1182" s="162"/>
      <c r="F1182" s="162"/>
      <c r="G1182" s="162"/>
      <c r="H1182" s="162"/>
    </row>
    <row r="1183" spans="1:15" x14ac:dyDescent="0.25">
      <c r="C1183" s="5622" t="s">
        <v>3395</v>
      </c>
      <c r="D1183" s="182" t="s">
        <v>3895</v>
      </c>
      <c r="E1183" s="9">
        <f t="shared" ref="E1183:O1183" si="503">IF(OR(STEmptyingChargingMode5,STEmptyingChargingMode6),1,0)</f>
        <v>0</v>
      </c>
      <c r="F1183" s="9">
        <f t="shared" si="503"/>
        <v>0</v>
      </c>
      <c r="G1183" s="9">
        <f t="shared" si="503"/>
        <v>0</v>
      </c>
      <c r="H1183" s="9">
        <f t="shared" si="503"/>
        <v>0</v>
      </c>
      <c r="I1183" s="9">
        <f t="shared" si="503"/>
        <v>0</v>
      </c>
      <c r="J1183" s="9">
        <f t="shared" si="503"/>
        <v>0</v>
      </c>
      <c r="K1183" s="9">
        <f t="shared" si="503"/>
        <v>0</v>
      </c>
      <c r="L1183" s="9">
        <f t="shared" si="503"/>
        <v>0</v>
      </c>
      <c r="M1183" s="9">
        <f t="shared" si="503"/>
        <v>0</v>
      </c>
      <c r="N1183" s="9">
        <f t="shared" si="503"/>
        <v>0</v>
      </c>
      <c r="O1183" s="9">
        <f t="shared" si="503"/>
        <v>0</v>
      </c>
    </row>
    <row r="1184" spans="1:15" x14ac:dyDescent="0.25">
      <c r="C1184" s="5622"/>
      <c r="D1184" s="182" t="s">
        <v>3058</v>
      </c>
      <c r="E1184" s="9">
        <f t="shared" ref="E1184:O1184" si="504">E1183*STEmptyingChargeLevyAtEmptying</f>
        <v>0</v>
      </c>
      <c r="F1184" s="9">
        <f t="shared" si="504"/>
        <v>0</v>
      </c>
      <c r="G1184" s="9">
        <f t="shared" si="504"/>
        <v>0</v>
      </c>
      <c r="H1184" s="9">
        <f t="shared" si="504"/>
        <v>0</v>
      </c>
      <c r="I1184" s="9">
        <f t="shared" si="504"/>
        <v>0</v>
      </c>
      <c r="J1184" s="9">
        <f t="shared" si="504"/>
        <v>0</v>
      </c>
      <c r="K1184" s="9">
        <f t="shared" si="504"/>
        <v>0</v>
      </c>
      <c r="L1184" s="9">
        <f t="shared" si="504"/>
        <v>0</v>
      </c>
      <c r="M1184" s="9">
        <f t="shared" si="504"/>
        <v>0</v>
      </c>
      <c r="N1184" s="9">
        <f t="shared" si="504"/>
        <v>0</v>
      </c>
      <c r="O1184" s="9">
        <f t="shared" si="504"/>
        <v>0</v>
      </c>
    </row>
    <row r="1185" spans="3:33" x14ac:dyDescent="0.25">
      <c r="C1185" s="5622" t="s">
        <v>3385</v>
      </c>
      <c r="D1185" s="182" t="s">
        <v>3895</v>
      </c>
      <c r="E1185" s="162">
        <f t="shared" ref="E1185:O1185" si="505">IF(STEmptyingChargingMode7,1,0)</f>
        <v>0</v>
      </c>
      <c r="F1185" s="162">
        <f t="shared" si="505"/>
        <v>0</v>
      </c>
      <c r="G1185" s="162">
        <f t="shared" si="505"/>
        <v>0</v>
      </c>
      <c r="H1185" s="162">
        <f t="shared" si="505"/>
        <v>0</v>
      </c>
      <c r="I1185" s="162">
        <f t="shared" si="505"/>
        <v>0</v>
      </c>
      <c r="J1185" s="162">
        <f t="shared" si="505"/>
        <v>0</v>
      </c>
      <c r="K1185" s="162">
        <f t="shared" si="505"/>
        <v>0</v>
      </c>
      <c r="L1185" s="162">
        <f t="shared" si="505"/>
        <v>0</v>
      </c>
      <c r="M1185" s="162">
        <f t="shared" si="505"/>
        <v>0</v>
      </c>
      <c r="N1185" s="162">
        <f t="shared" si="505"/>
        <v>0</v>
      </c>
      <c r="O1185" s="162">
        <f t="shared" si="505"/>
        <v>0</v>
      </c>
    </row>
    <row r="1186" spans="3:33" x14ac:dyDescent="0.25">
      <c r="C1186" s="5622"/>
      <c r="D1186" s="182" t="s">
        <v>3058</v>
      </c>
      <c r="E1186" s="162">
        <f t="shared" ref="E1186:O1186" si="506">E1185*STEmptyingChargeLevyAnnual</f>
        <v>0</v>
      </c>
      <c r="F1186" s="162">
        <f t="shared" si="506"/>
        <v>0</v>
      </c>
      <c r="G1186" s="162">
        <f t="shared" si="506"/>
        <v>0</v>
      </c>
      <c r="H1186" s="162">
        <f t="shared" si="506"/>
        <v>0</v>
      </c>
      <c r="I1186" s="162">
        <f t="shared" si="506"/>
        <v>0</v>
      </c>
      <c r="J1186" s="162">
        <f t="shared" si="506"/>
        <v>0</v>
      </c>
      <c r="K1186" s="162">
        <f t="shared" si="506"/>
        <v>0</v>
      </c>
      <c r="L1186" s="162">
        <f t="shared" si="506"/>
        <v>0</v>
      </c>
      <c r="M1186" s="162">
        <f t="shared" si="506"/>
        <v>0</v>
      </c>
      <c r="N1186" s="162">
        <f t="shared" si="506"/>
        <v>0</v>
      </c>
      <c r="O1186" s="162">
        <f t="shared" si="506"/>
        <v>0</v>
      </c>
    </row>
    <row r="1187" spans="3:33" x14ac:dyDescent="0.25">
      <c r="C1187" s="9" t="s">
        <v>3405</v>
      </c>
    </row>
    <row r="1188" spans="3:33" x14ac:dyDescent="0.25">
      <c r="C1188" s="5622" t="s">
        <v>3489</v>
      </c>
      <c r="E1188" s="24">
        <f>E1156</f>
        <v>424</v>
      </c>
      <c r="F1188" s="24">
        <f t="shared" ref="F1188:O1188" si="507">F1156</f>
        <v>424</v>
      </c>
      <c r="G1188" s="24">
        <f t="shared" si="507"/>
        <v>424</v>
      </c>
      <c r="H1188" s="24">
        <f t="shared" si="507"/>
        <v>424</v>
      </c>
      <c r="I1188" s="24">
        <f t="shared" si="507"/>
        <v>424</v>
      </c>
      <c r="J1188" s="24">
        <f t="shared" si="507"/>
        <v>424</v>
      </c>
      <c r="K1188" s="24">
        <f t="shared" si="507"/>
        <v>424</v>
      </c>
      <c r="L1188" s="24">
        <f t="shared" si="507"/>
        <v>424</v>
      </c>
      <c r="M1188" s="24">
        <f t="shared" si="507"/>
        <v>424</v>
      </c>
      <c r="N1188" s="24">
        <f t="shared" si="507"/>
        <v>424</v>
      </c>
      <c r="O1188" s="24">
        <f t="shared" si="507"/>
        <v>424</v>
      </c>
    </row>
    <row r="1189" spans="3:33" x14ac:dyDescent="0.25">
      <c r="C1189" s="5622" t="s">
        <v>3395</v>
      </c>
      <c r="D1189" s="182" t="s">
        <v>3406</v>
      </c>
      <c r="E1189" s="1101">
        <f t="shared" ref="E1189:O1189" si="508">_ULBemptierTruckDailyTrips*$M$623</f>
        <v>300</v>
      </c>
      <c r="F1189" s="1101">
        <f t="shared" si="508"/>
        <v>300</v>
      </c>
      <c r="G1189" s="1101">
        <f t="shared" si="508"/>
        <v>300</v>
      </c>
      <c r="H1189" s="1101">
        <f t="shared" si="508"/>
        <v>300</v>
      </c>
      <c r="I1189" s="1101">
        <f t="shared" si="508"/>
        <v>300</v>
      </c>
      <c r="J1189" s="1101">
        <f t="shared" si="508"/>
        <v>300</v>
      </c>
      <c r="K1189" s="1101">
        <f t="shared" si="508"/>
        <v>300</v>
      </c>
      <c r="L1189" s="1101">
        <f t="shared" si="508"/>
        <v>300</v>
      </c>
      <c r="M1189" s="1101">
        <f t="shared" si="508"/>
        <v>300</v>
      </c>
      <c r="N1189" s="1101">
        <f t="shared" si="508"/>
        <v>300</v>
      </c>
      <c r="O1189" s="1101">
        <f t="shared" si="508"/>
        <v>300</v>
      </c>
    </row>
    <row r="1190" spans="3:33" x14ac:dyDescent="0.25">
      <c r="C1190" s="5622" t="s">
        <v>3385</v>
      </c>
      <c r="D1190" s="182" t="s">
        <v>3407</v>
      </c>
      <c r="E1190" s="9">
        <f>Population!E41</f>
        <v>0</v>
      </c>
      <c r="F1190" s="9">
        <f>Population!F41</f>
        <v>0</v>
      </c>
      <c r="G1190" s="9">
        <f>Population!G41</f>
        <v>0</v>
      </c>
      <c r="H1190" s="9">
        <f>Population!H41</f>
        <v>0</v>
      </c>
      <c r="I1190" s="9">
        <f>Population!I41</f>
        <v>0</v>
      </c>
      <c r="J1190" s="9">
        <f>Population!J41</f>
        <v>0</v>
      </c>
      <c r="K1190" s="9">
        <f>Population!K41</f>
        <v>0</v>
      </c>
      <c r="L1190" s="9">
        <f>Population!L41</f>
        <v>0</v>
      </c>
      <c r="M1190" s="9">
        <f>Population!M41</f>
        <v>0</v>
      </c>
      <c r="N1190" s="9">
        <f>Population!N41</f>
        <v>0</v>
      </c>
      <c r="O1190" s="9">
        <f>Population!O41</f>
        <v>0</v>
      </c>
    </row>
    <row r="1192" spans="3:33" x14ac:dyDescent="0.25">
      <c r="C1192" s="63" t="s">
        <v>3409</v>
      </c>
      <c r="E1192" s="6091">
        <f>SUM(PRODUCT(E1183,E1184,E1189),PRODUCT(E1185,E1186,E1190))/CurrencyMultiplier</f>
        <v>0</v>
      </c>
      <c r="F1192" s="6091">
        <f>SUM(PRODUCT(F1183,F1184,F1189),PRODUCT(F1185,F1186,F1190))/CurrencyMultiplier</f>
        <v>0</v>
      </c>
      <c r="G1192" s="6091">
        <f>SUM(PRODUCT(G1183,G1184,G1189),PRODUCT(G1185,G1186,G1190))/CurrencyMultiplier</f>
        <v>0</v>
      </c>
      <c r="H1192" s="6091">
        <f>SUM(PRODUCT(H1183,H1184,H1189),PRODUCT(H1185,H1186,H1190))/CurrencyMultiplier</f>
        <v>0</v>
      </c>
      <c r="I1192" s="6091">
        <f>SUM(PRODUCT(I1183,I1184,I1189),PRODUCT(I1185,I1186,I1190))/CurrencyMultiplier</f>
        <v>0</v>
      </c>
      <c r="J1192" s="6091">
        <f>SUM(PRODUCT(J1183,J1184,J1189),PRODUCT(J1185,J1186,J1190))/CurrencyMultiplier</f>
        <v>0</v>
      </c>
      <c r="K1192" s="6091">
        <f>SUM(PRODUCT(K1183,K1184,K1189),PRODUCT(K1185,K1186,K1190))/CurrencyMultiplier</f>
        <v>0</v>
      </c>
      <c r="L1192" s="6091">
        <f>SUM(PRODUCT(L1183,L1184,L1189),PRODUCT(L1185,L1186,L1190))/CurrencyMultiplier</f>
        <v>0</v>
      </c>
      <c r="M1192" s="6091">
        <f>SUM(PRODUCT(M1183,M1184,M1189),PRODUCT(M1185,M1186,M1190))/CurrencyMultiplier</f>
        <v>0</v>
      </c>
      <c r="N1192" s="6091">
        <f>SUM(PRODUCT(N1183,N1184,N1189),PRODUCT(N1185,N1186,N1190))/CurrencyMultiplier</f>
        <v>0</v>
      </c>
      <c r="O1192" s="6091">
        <f>SUM(PRODUCT(O1183,O1184,O1189),PRODUCT(O1185,O1186,O1190))/CurrencyMultiplier</f>
        <v>0</v>
      </c>
    </row>
    <row r="1194" spans="3:33" x14ac:dyDescent="0.25">
      <c r="C1194" s="5630" t="s">
        <v>3908</v>
      </c>
      <c r="D1194" s="5631"/>
      <c r="E1194" s="5634"/>
      <c r="F1194" s="5634"/>
      <c r="G1194" s="5634"/>
      <c r="H1194" s="5634"/>
      <c r="I1194" s="5634"/>
      <c r="J1194" s="5634"/>
      <c r="K1194" s="5634"/>
      <c r="L1194" s="5634"/>
      <c r="M1194" s="5634"/>
      <c r="N1194" s="5634"/>
      <c r="O1194" s="5634"/>
    </row>
    <row r="1195" spans="3:33" x14ac:dyDescent="0.25">
      <c r="C1195" s="63" t="s">
        <v>3404</v>
      </c>
      <c r="D1195" s="27"/>
      <c r="E1195" s="27"/>
      <c r="F1195" s="27"/>
      <c r="G1195" s="27"/>
      <c r="H1195" s="27"/>
      <c r="I1195" s="27"/>
      <c r="J1195" s="27"/>
      <c r="K1195" s="27"/>
      <c r="L1195" s="27"/>
      <c r="M1195" s="27"/>
      <c r="N1195" s="27"/>
      <c r="O1195" s="27"/>
    </row>
    <row r="1196" spans="3:33" x14ac:dyDescent="0.25">
      <c r="C1196" s="5622" t="s">
        <v>3395</v>
      </c>
      <c r="D1196" s="182" t="s">
        <v>3895</v>
      </c>
      <c r="E1196" s="27">
        <f t="shared" ref="E1196:O1196" si="509">IF(OR(STEmptyingChargingMode1,STEmptyingChargingMode4),0,IF(STEmptyingChargingMode2,(E$1180&gt;=STLevyAtEmptyingStart)*1,IF(STEmptyingChargingMode3,AND(E$1180&gt;=STLevyAtEmptyingStart,E$1180&lt;STLevyAnnualStart)*1,IF(STEmptyingChargingMode5,1,IF(STEmptyingChargingMode6,(E$1180&lt;STLevyAnnualStart)*1,0)))))</f>
        <v>0</v>
      </c>
      <c r="F1196" s="27">
        <f t="shared" si="509"/>
        <v>1</v>
      </c>
      <c r="G1196" s="27">
        <f t="shared" si="509"/>
        <v>1</v>
      </c>
      <c r="H1196" s="27">
        <f t="shared" si="509"/>
        <v>1</v>
      </c>
      <c r="I1196" s="27">
        <f t="shared" si="509"/>
        <v>1</v>
      </c>
      <c r="J1196" s="27">
        <f t="shared" si="509"/>
        <v>1</v>
      </c>
      <c r="K1196" s="27">
        <f t="shared" si="509"/>
        <v>0</v>
      </c>
      <c r="L1196" s="27">
        <f t="shared" si="509"/>
        <v>0</v>
      </c>
      <c r="M1196" s="27">
        <f t="shared" si="509"/>
        <v>0</v>
      </c>
      <c r="N1196" s="27">
        <f t="shared" si="509"/>
        <v>0</v>
      </c>
      <c r="O1196" s="27">
        <f t="shared" si="509"/>
        <v>0</v>
      </c>
      <c r="P1196" s="3987"/>
    </row>
    <row r="1197" spans="3:33" x14ac:dyDescent="0.25">
      <c r="C1197" s="27"/>
      <c r="D1197" s="182" t="s">
        <v>3058</v>
      </c>
      <c r="E1197" s="5635">
        <f t="shared" ref="E1197:O1197" si="510">E1196*STEmptyingChargeLevyAtEmptying</f>
        <v>0</v>
      </c>
      <c r="F1197" s="5635">
        <f t="shared" si="510"/>
        <v>500</v>
      </c>
      <c r="G1197" s="5635">
        <f t="shared" si="510"/>
        <v>500</v>
      </c>
      <c r="H1197" s="5635">
        <f t="shared" si="510"/>
        <v>500</v>
      </c>
      <c r="I1197" s="5635">
        <f t="shared" si="510"/>
        <v>500</v>
      </c>
      <c r="J1197" s="5635">
        <f t="shared" si="510"/>
        <v>500</v>
      </c>
      <c r="K1197" s="5635">
        <f t="shared" si="510"/>
        <v>0</v>
      </c>
      <c r="L1197" s="5635">
        <f t="shared" si="510"/>
        <v>0</v>
      </c>
      <c r="M1197" s="5635">
        <f t="shared" si="510"/>
        <v>0</v>
      </c>
      <c r="N1197" s="5635">
        <f t="shared" si="510"/>
        <v>0</v>
      </c>
      <c r="O1197" s="5635">
        <f t="shared" si="510"/>
        <v>0</v>
      </c>
      <c r="P1197" s="3987"/>
      <c r="T1197" s="5715" t="s">
        <v>3492</v>
      </c>
      <c r="U1197" s="5720">
        <f>M621</f>
        <v>3</v>
      </c>
      <c r="V1197" s="5714"/>
      <c r="W1197" s="5714"/>
      <c r="X1197" s="5714"/>
      <c r="Y1197" s="5714"/>
      <c r="Z1197" s="5714"/>
      <c r="AA1197" s="5714"/>
      <c r="AB1197" s="5714"/>
      <c r="AC1197" s="5714"/>
      <c r="AD1197" s="5714"/>
    </row>
    <row r="1198" spans="3:33" x14ac:dyDescent="0.25">
      <c r="C1198" s="5622" t="s">
        <v>3385</v>
      </c>
      <c r="D1198" s="182" t="s">
        <v>3895</v>
      </c>
      <c r="E1198" s="27">
        <f t="shared" ref="E1198:O1198" si="511">IF(OR(STEmptyingChargingMode1,STEmptyingChargingMode2,STEmptyingChargingMode5),0,IF(OR(STEmptyingChargingMode3,STEmptyingChargingMode4,STEmptyingChargingMode6),(E$1180&gt;=STLevyAnnualStart)*1,IF(STEmptyingChargingMode7,1,0)))</f>
        <v>0</v>
      </c>
      <c r="F1198" s="27">
        <f t="shared" si="511"/>
        <v>0</v>
      </c>
      <c r="G1198" s="27">
        <f t="shared" si="511"/>
        <v>0</v>
      </c>
      <c r="H1198" s="27">
        <f t="shared" si="511"/>
        <v>0</v>
      </c>
      <c r="I1198" s="27">
        <f t="shared" si="511"/>
        <v>0</v>
      </c>
      <c r="J1198" s="27">
        <f t="shared" si="511"/>
        <v>0</v>
      </c>
      <c r="K1198" s="27">
        <f t="shared" si="511"/>
        <v>1</v>
      </c>
      <c r="L1198" s="27">
        <f t="shared" si="511"/>
        <v>1</v>
      </c>
      <c r="M1198" s="27">
        <f t="shared" si="511"/>
        <v>1</v>
      </c>
      <c r="N1198" s="27">
        <f t="shared" si="511"/>
        <v>1</v>
      </c>
      <c r="O1198" s="27">
        <f t="shared" si="511"/>
        <v>1</v>
      </c>
      <c r="P1198" s="3987"/>
      <c r="T1198" s="5716" t="s">
        <v>68</v>
      </c>
      <c r="U1198" s="5714">
        <f t="shared" ref="U1198:AE1198" si="512">E1180</f>
        <v>2014</v>
      </c>
      <c r="V1198" s="5714">
        <f t="shared" si="512"/>
        <v>2015</v>
      </c>
      <c r="W1198" s="5714">
        <f t="shared" si="512"/>
        <v>2016</v>
      </c>
      <c r="X1198" s="5714">
        <f t="shared" si="512"/>
        <v>2017</v>
      </c>
      <c r="Y1198" s="5714">
        <f t="shared" si="512"/>
        <v>2018</v>
      </c>
      <c r="Z1198" s="5714">
        <f t="shared" si="512"/>
        <v>2019</v>
      </c>
      <c r="AA1198" s="5714">
        <f t="shared" si="512"/>
        <v>2020</v>
      </c>
      <c r="AB1198" s="5714">
        <f t="shared" si="512"/>
        <v>2021</v>
      </c>
      <c r="AC1198" s="5714">
        <f t="shared" si="512"/>
        <v>2022</v>
      </c>
      <c r="AD1198" s="5714">
        <f t="shared" si="512"/>
        <v>2023</v>
      </c>
      <c r="AE1198" s="5714">
        <f t="shared" si="512"/>
        <v>2024</v>
      </c>
    </row>
    <row r="1199" spans="3:33" x14ac:dyDescent="0.25">
      <c r="C1199" s="27"/>
      <c r="D1199" s="182" t="s">
        <v>3058</v>
      </c>
      <c r="E1199" s="162">
        <f t="shared" ref="E1199:O1199" si="513">E1198*STEmptyingChargeLevyAnnual</f>
        <v>0</v>
      </c>
      <c r="F1199" s="162">
        <f t="shared" si="513"/>
        <v>0</v>
      </c>
      <c r="G1199" s="162">
        <f t="shared" si="513"/>
        <v>0</v>
      </c>
      <c r="H1199" s="162">
        <f t="shared" si="513"/>
        <v>0</v>
      </c>
      <c r="I1199" s="162">
        <f t="shared" si="513"/>
        <v>0</v>
      </c>
      <c r="J1199" s="162">
        <f t="shared" si="513"/>
        <v>0</v>
      </c>
      <c r="K1199" s="162">
        <f t="shared" si="513"/>
        <v>100</v>
      </c>
      <c r="L1199" s="162">
        <f t="shared" si="513"/>
        <v>100</v>
      </c>
      <c r="M1199" s="162">
        <f t="shared" si="513"/>
        <v>100</v>
      </c>
      <c r="N1199" s="162">
        <f t="shared" si="513"/>
        <v>100</v>
      </c>
      <c r="O1199" s="162">
        <f t="shared" si="513"/>
        <v>100</v>
      </c>
      <c r="P1199" s="3987"/>
      <c r="S1199" s="3"/>
      <c r="T1199" s="5715" t="s">
        <v>3491</v>
      </c>
      <c r="U1199" s="5717">
        <f>E1203</f>
        <v>0</v>
      </c>
      <c r="V1199" s="5717">
        <f t="shared" ref="V1199:AD1199" si="514">F1203</f>
        <v>1502.6</v>
      </c>
      <c r="W1199" s="5717">
        <f t="shared" si="514"/>
        <v>1502.6</v>
      </c>
      <c r="X1199" s="5717">
        <f t="shared" si="514"/>
        <v>1502.5999999999995</v>
      </c>
      <c r="Y1199" s="5717">
        <f t="shared" si="514"/>
        <v>1502.6000000000004</v>
      </c>
      <c r="Z1199" s="5717">
        <f t="shared" si="514"/>
        <v>1502.6000000000004</v>
      </c>
      <c r="AA1199" s="5717">
        <f t="shared" si="514"/>
        <v>0</v>
      </c>
      <c r="AB1199" s="5717">
        <f t="shared" si="514"/>
        <v>0</v>
      </c>
      <c r="AC1199" s="5717">
        <f t="shared" si="514"/>
        <v>0</v>
      </c>
      <c r="AD1199" s="5717">
        <f t="shared" si="514"/>
        <v>0</v>
      </c>
      <c r="AE1199" s="5717">
        <f>O1203</f>
        <v>0</v>
      </c>
    </row>
    <row r="1200" spans="3:33" x14ac:dyDescent="0.25">
      <c r="C1200" s="9" t="s">
        <v>3405</v>
      </c>
      <c r="E1200" s="162"/>
      <c r="F1200" s="162"/>
      <c r="G1200" s="162"/>
      <c r="H1200" s="162"/>
      <c r="P1200" s="3987"/>
      <c r="T1200" s="5714">
        <v>1</v>
      </c>
      <c r="U1200" s="5714">
        <f>IF(COLUMNS($U$1199:U$1199)-$U$1197*$T1200&lt;=0,0,INDEX($U$1199:U$1199,,COLUMNS($U$1199:U$1199)-$U$1197*$T1200))</f>
        <v>0</v>
      </c>
      <c r="V1200" s="5714">
        <f>IF(COLUMNS($U$1199:V$1199)-$U$1197*$T1200&lt;=0,0,INDEX($U$1199:V$1199,,COLUMNS($U$1199:V$1199)-$U$1197*$T1200))</f>
        <v>0</v>
      </c>
      <c r="W1200" s="5714">
        <f>IF(COLUMNS($U$1199:W$1199)-$U$1197*$T1200&lt;=0,0,INDEX($U$1199:W$1199,,COLUMNS($U$1199:W$1199)-$U$1197*$T1200))</f>
        <v>0</v>
      </c>
      <c r="X1200" s="5714">
        <f>IF(COLUMNS($U$1199:X$1199)-$U$1197*$T1200&lt;=0,0,INDEX($U$1199:X$1199,,COLUMNS($U$1199:X$1199)-$U$1197*$T1200))</f>
        <v>0</v>
      </c>
      <c r="Y1200" s="5714">
        <f>IF(COLUMNS($U$1199:Y$1199)-$U$1197*$T1200&lt;=0,0,INDEX($U$1199:Y$1199,,COLUMNS($U$1199:Y$1199)-$U$1197*$T1200))</f>
        <v>1502.6</v>
      </c>
      <c r="Z1200" s="5714">
        <f>IF(COLUMNS($U$1199:Z$1199)-$U$1197*$T1200&lt;=0,0,INDEX($U$1199:Z$1199,,COLUMNS($U$1199:Z$1199)-$U$1197*$T1200))</f>
        <v>1502.6</v>
      </c>
      <c r="AA1200" s="5714">
        <f>IF(COLUMNS($U$1199:AA$1199)-$U$1197*$T1200&lt;=0,0,INDEX($U$1199:AA$1199,,COLUMNS($U$1199:AA$1199)-$U$1197*$T1200))</f>
        <v>1502.5999999999995</v>
      </c>
      <c r="AB1200" s="5714">
        <f>IF(COLUMNS($U$1199:AB$1199)-$U$1197*$T1200&lt;=0,0,INDEX($U$1199:AB$1199,,COLUMNS($U$1199:AB$1199)-$U$1197*$T1200))</f>
        <v>1502.6000000000004</v>
      </c>
      <c r="AC1200" s="5714">
        <f>IF(COLUMNS($U$1199:AC$1199)-$U$1197*$T1200&lt;=0,0,INDEX($U$1199:AC$1199,,COLUMNS($U$1199:AC$1199)-$U$1197*$T1200))</f>
        <v>1502.6000000000004</v>
      </c>
      <c r="AD1200" s="5714">
        <f>IF(COLUMNS($U$1199:AD$1199)-$U$1197*$T1200&lt;=0,0,INDEX($U$1199:AD$1199,,COLUMNS($U$1199:AD$1199)-$U$1197*$T1200))</f>
        <v>0</v>
      </c>
      <c r="AE1200" s="5714">
        <f>IF(COLUMNS($U$1199:AE$1199)-$U$1197*$T1200&lt;=0,0,INDEX($U$1199:AE$1199,,COLUMNS($U$1199:AE$1199)-$U$1197*$T1200))</f>
        <v>0</v>
      </c>
      <c r="AG1200" s="27" t="s">
        <v>3896</v>
      </c>
    </row>
    <row r="1201" spans="3:39" x14ac:dyDescent="0.25">
      <c r="C1201" s="5636" t="s">
        <v>3489</v>
      </c>
      <c r="E1201" s="24">
        <f>E1176</f>
        <v>424</v>
      </c>
      <c r="F1201" s="24">
        <f t="shared" ref="F1201:O1201" si="515">F1176</f>
        <v>1926.6</v>
      </c>
      <c r="G1201" s="24">
        <f t="shared" si="515"/>
        <v>3429.2</v>
      </c>
      <c r="H1201" s="24">
        <f t="shared" si="515"/>
        <v>4931.7999999999993</v>
      </c>
      <c r="I1201" s="24">
        <f t="shared" si="515"/>
        <v>6434.4</v>
      </c>
      <c r="J1201" s="24">
        <f t="shared" si="515"/>
        <v>7937</v>
      </c>
      <c r="K1201" s="24">
        <f t="shared" si="515"/>
        <v>7937</v>
      </c>
      <c r="L1201" s="24">
        <f t="shared" si="515"/>
        <v>7937</v>
      </c>
      <c r="M1201" s="24">
        <f t="shared" si="515"/>
        <v>7937</v>
      </c>
      <c r="N1201" s="24">
        <f t="shared" si="515"/>
        <v>7937</v>
      </c>
      <c r="O1201" s="24">
        <f t="shared" si="515"/>
        <v>7937</v>
      </c>
      <c r="P1201" s="3987"/>
      <c r="T1201" s="5714">
        <v>2</v>
      </c>
      <c r="U1201" s="5714">
        <f>IF(COLUMNS($U$1199:U$1199)-$U$1197*$T1201&lt;=0,0,INDEX($U$1199:U$1199,,COLUMNS($U$1199:U$1199)-$U$1197*$T1201))</f>
        <v>0</v>
      </c>
      <c r="V1201" s="5714">
        <f>IF(COLUMNS($U$1199:V$1199)-$U$1197*$T1201&lt;=0,0,INDEX($U$1199:V$1199,,COLUMNS($U$1199:V$1199)-$U$1197*$T1201))</f>
        <v>0</v>
      </c>
      <c r="W1201" s="5714">
        <f>IF(COLUMNS($U$1199:W$1199)-$U$1197*$T1201&lt;=0,0,INDEX($U$1199:W$1199,,COLUMNS($U$1199:W$1199)-$U$1197*$T1201))</f>
        <v>0</v>
      </c>
      <c r="X1201" s="5714">
        <f>IF(COLUMNS($U$1199:X$1199)-$U$1197*$T1201&lt;=0,0,INDEX($U$1199:X$1199,,COLUMNS($U$1199:X$1199)-$U$1197*$T1201))</f>
        <v>0</v>
      </c>
      <c r="Y1201" s="5714">
        <f>IF(COLUMNS($U$1199:Y$1199)-$U$1197*$T1201&lt;=0,0,INDEX($U$1199:Y$1199,,COLUMNS($U$1199:Y$1199)-$U$1197*$T1201))</f>
        <v>0</v>
      </c>
      <c r="Z1201" s="5714">
        <f>IF(COLUMNS($U$1199:Z$1199)-$U$1197*$T1201&lt;=0,0,INDEX($U$1199:Z$1199,,COLUMNS($U$1199:Z$1199)-$U$1197*$T1201))</f>
        <v>0</v>
      </c>
      <c r="AA1201" s="5714">
        <f>IF(COLUMNS($U$1199:AA$1199)-$U$1197*$T1201&lt;=0,0,INDEX($U$1199:AA$1199,,COLUMNS($U$1199:AA$1199)-$U$1197*$T1201))</f>
        <v>0</v>
      </c>
      <c r="AB1201" s="5714">
        <f>IF(COLUMNS($U$1199:AB$1199)-$U$1197*$T1201&lt;=0,0,INDEX($U$1199:AB$1199,,COLUMNS($U$1199:AB$1199)-$U$1197*$T1201))</f>
        <v>1502.6</v>
      </c>
      <c r="AC1201" s="5714">
        <f>IF(COLUMNS($U$1199:AC$1199)-$U$1197*$T1201&lt;=0,0,INDEX($U$1199:AC$1199,,COLUMNS($U$1199:AC$1199)-$U$1197*$T1201))</f>
        <v>1502.6</v>
      </c>
      <c r="AD1201" s="5714">
        <f>IF(COLUMNS($U$1199:AD$1199)-$U$1197*$T1201&lt;=0,0,INDEX($U$1199:AD$1199,,COLUMNS($U$1199:AD$1199)-$U$1197*$T1201))</f>
        <v>1502.5999999999995</v>
      </c>
      <c r="AE1201" s="5714">
        <f>IF(COLUMNS($U$1199:AE$1199)-$U$1197*$T1201&lt;=0,0,INDEX($U$1199:AE$1199,,COLUMNS($U$1199:AE$1199)-$U$1197*$T1201))</f>
        <v>1502.6000000000004</v>
      </c>
      <c r="AG1201" s="6081" t="s">
        <v>3897</v>
      </c>
      <c r="AH1201" s="6082"/>
      <c r="AI1201" s="6082"/>
      <c r="AJ1201" s="6082"/>
      <c r="AM1201" s="6083"/>
    </row>
    <row r="1202" spans="3:39" x14ac:dyDescent="0.25">
      <c r="C1202" s="5622" t="s">
        <v>3486</v>
      </c>
      <c r="E1202" s="24">
        <f>E1188</f>
        <v>424</v>
      </c>
      <c r="F1202" s="24">
        <f t="shared" ref="F1202:O1202" si="516">F1188</f>
        <v>424</v>
      </c>
      <c r="G1202" s="24">
        <f t="shared" si="516"/>
        <v>424</v>
      </c>
      <c r="H1202" s="24">
        <f t="shared" si="516"/>
        <v>424</v>
      </c>
      <c r="I1202" s="24">
        <f t="shared" si="516"/>
        <v>424</v>
      </c>
      <c r="J1202" s="24">
        <f t="shared" si="516"/>
        <v>424</v>
      </c>
      <c r="K1202" s="24">
        <f t="shared" si="516"/>
        <v>424</v>
      </c>
      <c r="L1202" s="24">
        <f t="shared" si="516"/>
        <v>424</v>
      </c>
      <c r="M1202" s="24">
        <f t="shared" si="516"/>
        <v>424</v>
      </c>
      <c r="N1202" s="24">
        <f t="shared" si="516"/>
        <v>424</v>
      </c>
      <c r="O1202" s="24">
        <f t="shared" si="516"/>
        <v>424</v>
      </c>
      <c r="P1202" s="3987"/>
      <c r="T1202" s="5714">
        <v>3</v>
      </c>
      <c r="U1202" s="5714">
        <f>IF(COLUMNS($U$1199:U$1199)-$U$1197*$T1202&lt;=0,0,INDEX($U$1199:U$1199,,COLUMNS($U$1199:U$1199)-$U$1197*$T1202))</f>
        <v>0</v>
      </c>
      <c r="V1202" s="5714">
        <f>IF(COLUMNS($U$1199:V$1199)-$U$1197*$T1202&lt;=0,0,INDEX($U$1199:V$1199,,COLUMNS($U$1199:V$1199)-$U$1197*$T1202))</f>
        <v>0</v>
      </c>
      <c r="W1202" s="5714">
        <f>IF(COLUMNS($U$1199:W$1199)-$U$1197*$T1202&lt;=0,0,INDEX($U$1199:W$1199,,COLUMNS($U$1199:W$1199)-$U$1197*$T1202))</f>
        <v>0</v>
      </c>
      <c r="X1202" s="5714">
        <f>IF(COLUMNS($U$1199:X$1199)-$U$1197*$T1202&lt;=0,0,INDEX($U$1199:X$1199,,COLUMNS($U$1199:X$1199)-$U$1197*$T1202))</f>
        <v>0</v>
      </c>
      <c r="Y1202" s="5714">
        <f>IF(COLUMNS($U$1199:Y$1199)-$U$1197*$T1202&lt;=0,0,INDEX($U$1199:Y$1199,,COLUMNS($U$1199:Y$1199)-$U$1197*$T1202))</f>
        <v>0</v>
      </c>
      <c r="Z1202" s="5714">
        <f>IF(COLUMNS($U$1199:Z$1199)-$U$1197*$T1202&lt;=0,0,INDEX($U$1199:Z$1199,,COLUMNS($U$1199:Z$1199)-$U$1197*$T1202))</f>
        <v>0</v>
      </c>
      <c r="AA1202" s="5714">
        <f>IF(COLUMNS($U$1199:AA$1199)-$U$1197*$T1202&lt;=0,0,INDEX($U$1199:AA$1199,,COLUMNS($U$1199:AA$1199)-$U$1197*$T1202))</f>
        <v>0</v>
      </c>
      <c r="AB1202" s="5714">
        <f>IF(COLUMNS($U$1199:AB$1199)-$U$1197*$T1202&lt;=0,0,INDEX($U$1199:AB$1199,,COLUMNS($U$1199:AB$1199)-$U$1197*$T1202))</f>
        <v>0</v>
      </c>
      <c r="AC1202" s="5714">
        <f>IF(COLUMNS($U$1199:AC$1199)-$U$1197*$T1202&lt;=0,0,INDEX($U$1199:AC$1199,,COLUMNS($U$1199:AC$1199)-$U$1197*$T1202))</f>
        <v>0</v>
      </c>
      <c r="AD1202" s="5714">
        <f>IF(COLUMNS($U$1199:AD$1199)-$U$1197*$T1202&lt;=0,0,INDEX($U$1199:AD$1199,,COLUMNS($U$1199:AD$1199)-$U$1197*$T1202))</f>
        <v>0</v>
      </c>
      <c r="AE1202" s="5714">
        <f>IF(COLUMNS($U$1199:AE$1199)-$U$1197*$T1202&lt;=0,0,INDEX($U$1199:AE$1199,,COLUMNS($U$1199:AE$1199)-$U$1197*$T1202))</f>
        <v>1502.6</v>
      </c>
      <c r="AG1202" s="6084"/>
      <c r="AH1202" s="6085"/>
      <c r="AI1202" s="6085" t="s">
        <v>3898</v>
      </c>
      <c r="AJ1202" s="6085" t="s">
        <v>3899</v>
      </c>
      <c r="AK1202" s="6085" t="s">
        <v>3900</v>
      </c>
      <c r="AL1202" s="6085"/>
      <c r="AM1202" s="6086"/>
    </row>
    <row r="1203" spans="3:39" x14ac:dyDescent="0.25">
      <c r="C1203" s="5622" t="s">
        <v>3491</v>
      </c>
      <c r="D1203" s="6092" t="s">
        <v>3909</v>
      </c>
      <c r="E1203" s="24">
        <f>E1201-E1202</f>
        <v>0</v>
      </c>
      <c r="F1203" s="24">
        <f t="shared" ref="F1203" si="517">F1201-F1202</f>
        <v>1502.6</v>
      </c>
      <c r="G1203" s="24">
        <f>G1201-G1202-F1203</f>
        <v>1502.6</v>
      </c>
      <c r="H1203" s="24">
        <f>H1201-H1202-SUM(F1203:G1203)</f>
        <v>1502.5999999999995</v>
      </c>
      <c r="I1203" s="24">
        <f>I1201-I1202-SUM(F1203:H1203)</f>
        <v>1502.6000000000004</v>
      </c>
      <c r="J1203" s="24">
        <f>J1201-J1202-SUM(F1203:I1203)</f>
        <v>1502.6000000000004</v>
      </c>
      <c r="K1203" s="24">
        <f>K1201-K1202-SUM(F1203:J1203)</f>
        <v>0</v>
      </c>
      <c r="L1203" s="24">
        <f>L1201-L1202-SUM(F1203:K1203)</f>
        <v>0</v>
      </c>
      <c r="M1203" s="24">
        <f>M1201-M1202-SUM(F1203:L1203)</f>
        <v>0</v>
      </c>
      <c r="N1203" s="24">
        <f>N1201-N1202-SUM(F1203:M1203)</f>
        <v>0</v>
      </c>
      <c r="O1203" s="24">
        <f>O1201-O1202-SUM(F1203:N1203)</f>
        <v>0</v>
      </c>
      <c r="P1203" s="3987"/>
      <c r="Q1203" s="3995"/>
      <c r="R1203" s="3995"/>
      <c r="T1203" s="5714">
        <v>4</v>
      </c>
      <c r="U1203" s="5714">
        <f>IF(COLUMNS($U$1199:U$1199)-$U$1197*$T1203&lt;=0,0,INDEX($U$1199:U$1199,,COLUMNS($U$1199:U$1199)-$U$1197*$T1203))</f>
        <v>0</v>
      </c>
      <c r="V1203" s="5714">
        <f>IF(COLUMNS($U$1199:V$1199)-$U$1197*$T1203&lt;=0,0,INDEX($U$1199:V$1199,,COLUMNS($U$1199:V$1199)-$U$1197*$T1203))</f>
        <v>0</v>
      </c>
      <c r="W1203" s="5714">
        <f>IF(COLUMNS($U$1199:W$1199)-$U$1197*$T1203&lt;=0,0,INDEX($U$1199:W$1199,,COLUMNS($U$1199:W$1199)-$U$1197*$T1203))</f>
        <v>0</v>
      </c>
      <c r="X1203" s="5714">
        <f>IF(COLUMNS($U$1199:X$1199)-$U$1197*$T1203&lt;=0,0,INDEX($U$1199:X$1199,,COLUMNS($U$1199:X$1199)-$U$1197*$T1203))</f>
        <v>0</v>
      </c>
      <c r="Y1203" s="5714">
        <f>IF(COLUMNS($U$1199:Y$1199)-$U$1197*$T1203&lt;=0,0,INDEX($U$1199:Y$1199,,COLUMNS($U$1199:Y$1199)-$U$1197*$T1203))</f>
        <v>0</v>
      </c>
      <c r="Z1203" s="5714">
        <f>IF(COLUMNS($U$1199:Z$1199)-$U$1197*$T1203&lt;=0,0,INDEX($U$1199:Z$1199,,COLUMNS($U$1199:Z$1199)-$U$1197*$T1203))</f>
        <v>0</v>
      </c>
      <c r="AA1203" s="5714">
        <f>IF(COLUMNS($U$1199:AA$1199)-$U$1197*$T1203&lt;=0,0,INDEX($U$1199:AA$1199,,COLUMNS($U$1199:AA$1199)-$U$1197*$T1203))</f>
        <v>0</v>
      </c>
      <c r="AB1203" s="5714">
        <f>IF(COLUMNS($U$1199:AB$1199)-$U$1197*$T1203&lt;=0,0,INDEX($U$1199:AB$1199,,COLUMNS($U$1199:AB$1199)-$U$1197*$T1203))</f>
        <v>0</v>
      </c>
      <c r="AC1203" s="5714">
        <f>IF(COLUMNS($U$1199:AC$1199)-$U$1197*$T1203&lt;=0,0,INDEX($U$1199:AC$1199,,COLUMNS($U$1199:AC$1199)-$U$1197*$T1203))</f>
        <v>0</v>
      </c>
      <c r="AD1203" s="5714">
        <f>IF(COLUMNS($U$1199:AD$1199)-$U$1197*$T1203&lt;=0,0,INDEX($U$1199:AD$1199,,COLUMNS($U$1199:AD$1199)-$U$1197*$T1203))</f>
        <v>0</v>
      </c>
      <c r="AE1203" s="5714">
        <f>IF(COLUMNS($U$1199:AE$1199)-$U$1197*$T1203&lt;=0,0,INDEX($U$1199:AE$1199,,COLUMNS($U$1199:AE$1199)-$U$1197*$T1203))</f>
        <v>0</v>
      </c>
      <c r="AG1203" s="6087" t="s">
        <v>615</v>
      </c>
      <c r="AH1203" s="6088">
        <v>1</v>
      </c>
      <c r="AI1203" s="6088" t="s">
        <v>3901</v>
      </c>
      <c r="AJ1203" s="6088"/>
      <c r="AK1203" s="6088"/>
      <c r="AL1203" s="6088" t="str">
        <f t="shared" ref="AL1203:AL1209" si="518">"STChargingMode"&amp;AH1203</f>
        <v>STChargingMode1</v>
      </c>
      <c r="AM1203" s="6089" t="b">
        <f>AND(STulbChargingCurrentMode="-",ISBLANK(STLevyAtEmptyingStart),ISBLANK(STLevyAnnualStart))</f>
        <v>0</v>
      </c>
    </row>
    <row r="1204" spans="3:39" x14ac:dyDescent="0.25">
      <c r="C1204" s="5639" t="s">
        <v>3414</v>
      </c>
      <c r="E1204" s="5641"/>
      <c r="F1204" s="5713"/>
      <c r="G1204" s="5713"/>
      <c r="H1204" s="5713"/>
      <c r="I1204" s="5713"/>
      <c r="J1204" s="5713"/>
      <c r="K1204" s="5713"/>
      <c r="L1204" s="5713"/>
      <c r="M1204" s="5713"/>
      <c r="N1204" s="5713"/>
      <c r="O1204" s="5713"/>
      <c r="P1204" s="3987"/>
      <c r="Q1204" s="3995"/>
      <c r="R1204" s="3995"/>
      <c r="T1204" s="5714">
        <v>5</v>
      </c>
      <c r="U1204" s="5714">
        <f>IF(COLUMNS($U$1199:U$1199)-$U$1197*$T1204&lt;=0,0,INDEX($U$1199:U$1199,,COLUMNS($U$1199:U$1199)-$U$1197*$T1204))</f>
        <v>0</v>
      </c>
      <c r="V1204" s="5714">
        <f>IF(COLUMNS($U$1199:V$1199)-$U$1197*$T1204&lt;=0,0,INDEX($U$1199:V$1199,,COLUMNS($U$1199:V$1199)-$U$1197*$T1204))</f>
        <v>0</v>
      </c>
      <c r="W1204" s="5714">
        <f>IF(COLUMNS($U$1199:W$1199)-$U$1197*$T1204&lt;=0,0,INDEX($U$1199:W$1199,,COLUMNS($U$1199:W$1199)-$U$1197*$T1204))</f>
        <v>0</v>
      </c>
      <c r="X1204" s="5714">
        <f>IF(COLUMNS($U$1199:X$1199)-$U$1197*$T1204&lt;=0,0,INDEX($U$1199:X$1199,,COLUMNS($U$1199:X$1199)-$U$1197*$T1204))</f>
        <v>0</v>
      </c>
      <c r="Y1204" s="5714">
        <f>IF(COLUMNS($U$1199:Y$1199)-$U$1197*$T1204&lt;=0,0,INDEX($U$1199:Y$1199,,COLUMNS($U$1199:Y$1199)-$U$1197*$T1204))</f>
        <v>0</v>
      </c>
      <c r="Z1204" s="5714">
        <f>IF(COLUMNS($U$1199:Z$1199)-$U$1197*$T1204&lt;=0,0,INDEX($U$1199:Z$1199,,COLUMNS($U$1199:Z$1199)-$U$1197*$T1204))</f>
        <v>0</v>
      </c>
      <c r="AA1204" s="5714">
        <f>IF(COLUMNS($U$1199:AA$1199)-$U$1197*$T1204&lt;=0,0,INDEX($U$1199:AA$1199,,COLUMNS($U$1199:AA$1199)-$U$1197*$T1204))</f>
        <v>0</v>
      </c>
      <c r="AB1204" s="5714">
        <f>IF(COLUMNS($U$1199:AB$1199)-$U$1197*$T1204&lt;=0,0,INDEX($U$1199:AB$1199,,COLUMNS($U$1199:AB$1199)-$U$1197*$T1204))</f>
        <v>0</v>
      </c>
      <c r="AC1204" s="5714">
        <f>IF(COLUMNS($U$1199:AC$1199)-$U$1197*$T1204&lt;=0,0,INDEX($U$1199:AC$1199,,COLUMNS($U$1199:AC$1199)-$U$1197*$T1204))</f>
        <v>0</v>
      </c>
      <c r="AD1204" s="5714">
        <f>IF(COLUMNS($U$1199:AD$1199)-$U$1197*$T1204&lt;=0,0,INDEX($U$1199:AD$1199,,COLUMNS($U$1199:AD$1199)-$U$1197*$T1204))</f>
        <v>0</v>
      </c>
      <c r="AE1204" s="5714">
        <f>IF(COLUMNS($U$1199:AE$1199)-$U$1197*$T1204&lt;=0,0,INDEX($U$1199:AE$1199,,COLUMNS($U$1199:AE$1199)-$U$1197*$T1204))</f>
        <v>0</v>
      </c>
      <c r="AG1204" s="6087"/>
      <c r="AH1204" s="6088">
        <v>2</v>
      </c>
      <c r="AI1204" s="6088" t="s">
        <v>3901</v>
      </c>
      <c r="AJ1204" s="6088" t="s">
        <v>3902</v>
      </c>
      <c r="AK1204" s="6088" t="s">
        <v>3903</v>
      </c>
      <c r="AL1204" s="6088" t="str">
        <f t="shared" si="518"/>
        <v>STChargingMode2</v>
      </c>
      <c r="AM1204" s="6089" t="b">
        <f>AND(STulbChargingCurrentMode="-",NOT(ISBLANK(STLevyAtEmptyingStart)),ISBLANK(STLevyAnnualStart))</f>
        <v>0</v>
      </c>
    </row>
    <row r="1205" spans="3:39" x14ac:dyDescent="0.25">
      <c r="C1205" s="5622" t="s">
        <v>3410</v>
      </c>
      <c r="E1205" s="127">
        <f>$M$623*SUM(ROUNDUP('WW Plan'!$H$233,0),PRODUCT('WW Plan'!$H$237,(E$1180&gt;='WW Plan'!$H$231)*1,('WW Plan'!$E$231="Activate")*1))</f>
        <v>300</v>
      </c>
      <c r="F1205" s="127">
        <f>$M$623*SUM(ROUNDUP('WW Plan'!$H$233,0),PRODUCT('WW Plan'!$H$237,(F$1180&gt;='WW Plan'!$H$231)*1,('WW Plan'!$E$231="Activate")*1))</f>
        <v>1200</v>
      </c>
      <c r="G1205" s="127">
        <f>$M$623*SUM(ROUNDUP('WW Plan'!$H$233,0),PRODUCT('WW Plan'!$H$237,(G$1180&gt;='WW Plan'!$H$231)*1,('WW Plan'!$E$231="Activate")*1))</f>
        <v>1200</v>
      </c>
      <c r="H1205" s="127">
        <f>$M$623*SUM(ROUNDUP('WW Plan'!$H$233,0),PRODUCT('WW Plan'!$H$237,(H$1180&gt;='WW Plan'!$H$231)*1,('WW Plan'!$E$231="Activate")*1))</f>
        <v>1200</v>
      </c>
      <c r="I1205" s="127">
        <f>$M$623*SUM(ROUNDUP('WW Plan'!$H$233,0),PRODUCT('WW Plan'!$H$237,(I$1180&gt;='WW Plan'!$H$231)*1,('WW Plan'!$E$231="Activate")*1))</f>
        <v>1200</v>
      </c>
      <c r="J1205" s="127">
        <f>$M$623*SUM(ROUNDUP('WW Plan'!$H$233,0),PRODUCT('WW Plan'!$H$237,(J$1180&gt;='WW Plan'!$H$231)*1,('WW Plan'!$E$231="Activate")*1))</f>
        <v>1200</v>
      </c>
      <c r="K1205" s="127">
        <f>$M$623*SUM(ROUNDUP('WW Plan'!$H$233,0),PRODUCT('WW Plan'!$H$237,(K$1180&gt;='WW Plan'!$H$231)*1,('WW Plan'!$E$231="Activate")*1))</f>
        <v>1200</v>
      </c>
      <c r="L1205" s="127">
        <f>$M$623*SUM(ROUNDUP('WW Plan'!$H$233,0),PRODUCT('WW Plan'!$H$237,(L$1180&gt;='WW Plan'!$H$231)*1,('WW Plan'!$E$231="Activate")*1))</f>
        <v>1200</v>
      </c>
      <c r="M1205" s="127">
        <f>$M$623*SUM(ROUNDUP('WW Plan'!$H$233,0),PRODUCT('WW Plan'!$H$237,(M$1180&gt;='WW Plan'!$H$231)*1,('WW Plan'!$E$231="Activate")*1))</f>
        <v>1200</v>
      </c>
      <c r="N1205" s="127">
        <f>$M$623*SUM(ROUNDUP('WW Plan'!$H$233,0),PRODUCT('WW Plan'!$H$237,(N$1180&gt;='WW Plan'!$H$231)*1,('WW Plan'!$E$231="Activate")*1))</f>
        <v>1200</v>
      </c>
      <c r="O1205" s="127">
        <f>$M$623*SUM(ROUNDUP('WW Plan'!$H$233,0),PRODUCT('WW Plan'!$H$237,(O$1180&gt;='WW Plan'!$H$231)*1,('WW Plan'!$E$231="Activate")*1))</f>
        <v>1200</v>
      </c>
      <c r="P1205" s="3987"/>
      <c r="T1205" s="5714">
        <v>6</v>
      </c>
      <c r="U1205" s="5714">
        <f>IF(COLUMNS($U$1199:U$1199)-$U$1197*$T1205&lt;=0,0,INDEX($U$1199:U$1199,,COLUMNS($U$1199:U$1199)-$U$1197*$T1205))</f>
        <v>0</v>
      </c>
      <c r="V1205" s="5714">
        <f>IF(COLUMNS($U$1199:V$1199)-$U$1197*$T1205&lt;=0,0,INDEX($U$1199:V$1199,,COLUMNS($U$1199:V$1199)-$U$1197*$T1205))</f>
        <v>0</v>
      </c>
      <c r="W1205" s="5714">
        <f>IF(COLUMNS($U$1199:W$1199)-$U$1197*$T1205&lt;=0,0,INDEX($U$1199:W$1199,,COLUMNS($U$1199:W$1199)-$U$1197*$T1205))</f>
        <v>0</v>
      </c>
      <c r="X1205" s="5714">
        <f>IF(COLUMNS($U$1199:X$1199)-$U$1197*$T1205&lt;=0,0,INDEX($U$1199:X$1199,,COLUMNS($U$1199:X$1199)-$U$1197*$T1205))</f>
        <v>0</v>
      </c>
      <c r="Y1205" s="5714">
        <f>IF(COLUMNS($U$1199:Y$1199)-$U$1197*$T1205&lt;=0,0,INDEX($U$1199:Y$1199,,COLUMNS($U$1199:Y$1199)-$U$1197*$T1205))</f>
        <v>0</v>
      </c>
      <c r="Z1205" s="5714">
        <f>IF(COLUMNS($U$1199:Z$1199)-$U$1197*$T1205&lt;=0,0,INDEX($U$1199:Z$1199,,COLUMNS($U$1199:Z$1199)-$U$1197*$T1205))</f>
        <v>0</v>
      </c>
      <c r="AA1205" s="5714">
        <f>IF(COLUMNS($U$1199:AA$1199)-$U$1197*$T1205&lt;=0,0,INDEX($U$1199:AA$1199,,COLUMNS($U$1199:AA$1199)-$U$1197*$T1205))</f>
        <v>0</v>
      </c>
      <c r="AB1205" s="5714">
        <f>IF(COLUMNS($U$1199:AB$1199)-$U$1197*$T1205&lt;=0,0,INDEX($U$1199:AB$1199,,COLUMNS($U$1199:AB$1199)-$U$1197*$T1205))</f>
        <v>0</v>
      </c>
      <c r="AC1205" s="5714">
        <f>IF(COLUMNS($U$1199:AC$1199)-$U$1197*$T1205&lt;=0,0,INDEX($U$1199:AC$1199,,COLUMNS($U$1199:AC$1199)-$U$1197*$T1205))</f>
        <v>0</v>
      </c>
      <c r="AD1205" s="5714">
        <f>IF(COLUMNS($U$1199:AD$1199)-$U$1197*$T1205&lt;=0,0,INDEX($U$1199:AD$1199,,COLUMNS($U$1199:AD$1199)-$U$1197*$T1205))</f>
        <v>0</v>
      </c>
      <c r="AE1205" s="5714">
        <f>IF(COLUMNS($U$1199:AE$1199)-$U$1197*$T1205&lt;=0,0,INDEX($U$1199:AE$1199,,COLUMNS($U$1199:AE$1199)-$U$1197*$T1205))</f>
        <v>0</v>
      </c>
      <c r="AG1205" s="6087"/>
      <c r="AH1205" s="6088">
        <v>3</v>
      </c>
      <c r="AI1205" s="6088" t="s">
        <v>3901</v>
      </c>
      <c r="AJ1205" s="6088" t="s">
        <v>3902</v>
      </c>
      <c r="AK1205" s="6088" t="s">
        <v>3904</v>
      </c>
      <c r="AL1205" s="6088" t="str">
        <f t="shared" si="518"/>
        <v>STChargingMode3</v>
      </c>
      <c r="AM1205" s="6089" t="b">
        <f>AND(STulbChargingCurrentMode="-",NOT(ISBLANK(STLevyAtEmptyingStart)),NOT(ISBLANK(STLevyAnnualStart)))</f>
        <v>1</v>
      </c>
    </row>
    <row r="1206" spans="3:39" x14ac:dyDescent="0.25">
      <c r="C1206" s="5622" t="s">
        <v>3411</v>
      </c>
      <c r="E1206" s="127">
        <f>$M$623*PRODUCT('WW Plan'!$H$312,'WW Plan'!$H$314,(E1180&gt;='WW Plan'!$H$308)*1,('WW Plan'!$E$308="Activate")*1)</f>
        <v>0</v>
      </c>
      <c r="F1206" s="127">
        <f>$M$623*PRODUCT('WW Plan'!$H$312,'WW Plan'!$H$314,(F1180&gt;='WW Plan'!$H$308)*1,('WW Plan'!$E$308="Activate")*1)</f>
        <v>0</v>
      </c>
      <c r="G1206" s="127">
        <f>$M$623*PRODUCT('WW Plan'!$H$312,'WW Plan'!$H$314,(G1180&gt;='WW Plan'!$H$308)*1,('WW Plan'!$E$308="Activate")*1)</f>
        <v>1800</v>
      </c>
      <c r="H1206" s="127">
        <f>$M$623*PRODUCT('WW Plan'!$H$312,'WW Plan'!$H$314,(H1180&gt;='WW Plan'!$H$308)*1,('WW Plan'!$E$308="Activate")*1)</f>
        <v>1800</v>
      </c>
      <c r="I1206" s="127">
        <f>$M$623*PRODUCT('WW Plan'!$H$312,'WW Plan'!$H$314,(I1180&gt;='WW Plan'!$H$308)*1,('WW Plan'!$E$308="Activate")*1)</f>
        <v>1800</v>
      </c>
      <c r="J1206" s="127">
        <f>$M$623*PRODUCT('WW Plan'!$H$312,'WW Plan'!$H$314,(J1180&gt;='WW Plan'!$H$308)*1,('WW Plan'!$E$308="Activate")*1)</f>
        <v>1800</v>
      </c>
      <c r="K1206" s="127">
        <f>$M$623*PRODUCT('WW Plan'!$H$312,'WW Plan'!$H$314,(K1180&gt;='WW Plan'!$H$308)*1,('WW Plan'!$E$308="Activate")*1)</f>
        <v>1800</v>
      </c>
      <c r="L1206" s="127">
        <f>$M$623*PRODUCT('WW Plan'!$H$312,'WW Plan'!$H$314,(L1180&gt;='WW Plan'!$H$308)*1,('WW Plan'!$E$308="Activate")*1)</f>
        <v>1800</v>
      </c>
      <c r="M1206" s="127">
        <f>$M$623*PRODUCT('WW Plan'!$H$312,'WW Plan'!$H$314,(M1180&gt;='WW Plan'!$H$308)*1,('WW Plan'!$E$308="Activate")*1)</f>
        <v>1800</v>
      </c>
      <c r="N1206" s="127">
        <f>$M$623*PRODUCT('WW Plan'!$H$312,'WW Plan'!$H$314,(N1180&gt;='WW Plan'!$H$308)*1,('WW Plan'!$E$308="Activate")*1)</f>
        <v>1800</v>
      </c>
      <c r="O1206" s="127">
        <f>$M$623*PRODUCT('WW Plan'!$H$312,'WW Plan'!$H$314,(O1180&gt;='WW Plan'!$H$308)*1,('WW Plan'!$E$308="Activate")*1)</f>
        <v>1800</v>
      </c>
      <c r="P1206" s="3987"/>
      <c r="S1206" s="3995"/>
      <c r="T1206" s="5714">
        <v>7</v>
      </c>
      <c r="U1206" s="5714">
        <f>IF(COLUMNS($U$1199:U$1199)-$U$1197*$T1206&lt;=0,0,INDEX($U$1199:U$1199,,COLUMNS($U$1199:U$1199)-$U$1197*$T1206))</f>
        <v>0</v>
      </c>
      <c r="V1206" s="5714">
        <f>IF(COLUMNS($U$1199:V$1199)-$U$1197*$T1206&lt;=0,0,INDEX($U$1199:V$1199,,COLUMNS($U$1199:V$1199)-$U$1197*$T1206))</f>
        <v>0</v>
      </c>
      <c r="W1206" s="5714">
        <f>IF(COLUMNS($U$1199:W$1199)-$U$1197*$T1206&lt;=0,0,INDEX($U$1199:W$1199,,COLUMNS($U$1199:W$1199)-$U$1197*$T1206))</f>
        <v>0</v>
      </c>
      <c r="X1206" s="5714">
        <f>IF(COLUMNS($U$1199:X$1199)-$U$1197*$T1206&lt;=0,0,INDEX($U$1199:X$1199,,COLUMNS($U$1199:X$1199)-$U$1197*$T1206))</f>
        <v>0</v>
      </c>
      <c r="Y1206" s="5714">
        <f>IF(COLUMNS($U$1199:Y$1199)-$U$1197*$T1206&lt;=0,0,INDEX($U$1199:Y$1199,,COLUMNS($U$1199:Y$1199)-$U$1197*$T1206))</f>
        <v>0</v>
      </c>
      <c r="Z1206" s="5714">
        <f>IF(COLUMNS($U$1199:Z$1199)-$U$1197*$T1206&lt;=0,0,INDEX($U$1199:Z$1199,,COLUMNS($U$1199:Z$1199)-$U$1197*$T1206))</f>
        <v>0</v>
      </c>
      <c r="AA1206" s="5714">
        <f>IF(COLUMNS($U$1199:AA$1199)-$U$1197*$T1206&lt;=0,0,INDEX($U$1199:AA$1199,,COLUMNS($U$1199:AA$1199)-$U$1197*$T1206))</f>
        <v>0</v>
      </c>
      <c r="AB1206" s="5714">
        <f>IF(COLUMNS($U$1199:AB$1199)-$U$1197*$T1206&lt;=0,0,INDEX($U$1199:AB$1199,,COLUMNS($U$1199:AB$1199)-$U$1197*$T1206))</f>
        <v>0</v>
      </c>
      <c r="AC1206" s="5714">
        <f>IF(COLUMNS($U$1199:AC$1199)-$U$1197*$T1206&lt;=0,0,INDEX($U$1199:AC$1199,,COLUMNS($U$1199:AC$1199)-$U$1197*$T1206))</f>
        <v>0</v>
      </c>
      <c r="AD1206" s="5714">
        <f>IF(COLUMNS($U$1199:AD$1199)-$U$1197*$T1206&lt;=0,0,INDEX($U$1199:AD$1199,,COLUMNS($U$1199:AD$1199)-$U$1197*$T1206))</f>
        <v>0</v>
      </c>
      <c r="AE1206" s="5714">
        <f>IF(COLUMNS($U$1199:AE$1199)-$U$1197*$T1206&lt;=0,0,INDEX($U$1199:AE$1199,,COLUMNS($U$1199:AE$1199)-$U$1197*$T1206))</f>
        <v>0</v>
      </c>
      <c r="AG1206" s="6087"/>
      <c r="AH1206" s="6088">
        <v>4</v>
      </c>
      <c r="AI1206" s="6088" t="s">
        <v>3901</v>
      </c>
      <c r="AJ1206" s="6088" t="s">
        <v>3904</v>
      </c>
      <c r="AK1206" s="6088"/>
      <c r="AL1206" s="6088" t="str">
        <f t="shared" si="518"/>
        <v>STChargingMode4</v>
      </c>
      <c r="AM1206" s="6089" t="b">
        <f>AND(STulbChargingCurrentMode="-",AND(ISBLANK(STLevyAtEmptyingStart),NOT(ISBLANK(STLevyAnnualStart))))</f>
        <v>0</v>
      </c>
    </row>
    <row r="1207" spans="3:39" x14ac:dyDescent="0.25">
      <c r="C1207" s="5622" t="s">
        <v>16</v>
      </c>
      <c r="E1207" s="24">
        <f>E1205+E1206</f>
        <v>300</v>
      </c>
      <c r="F1207" s="24">
        <f t="shared" ref="F1207:O1207" si="519">F1205+F1206</f>
        <v>1200</v>
      </c>
      <c r="G1207" s="24">
        <f t="shared" si="519"/>
        <v>3000</v>
      </c>
      <c r="H1207" s="24">
        <f t="shared" si="519"/>
        <v>3000</v>
      </c>
      <c r="I1207" s="24">
        <f t="shared" si="519"/>
        <v>3000</v>
      </c>
      <c r="J1207" s="24">
        <f t="shared" si="519"/>
        <v>3000</v>
      </c>
      <c r="K1207" s="24">
        <f t="shared" si="519"/>
        <v>3000</v>
      </c>
      <c r="L1207" s="24">
        <f t="shared" si="519"/>
        <v>3000</v>
      </c>
      <c r="M1207" s="24">
        <f t="shared" si="519"/>
        <v>3000</v>
      </c>
      <c r="N1207" s="24">
        <f t="shared" si="519"/>
        <v>3000</v>
      </c>
      <c r="O1207" s="24">
        <f t="shared" si="519"/>
        <v>3000</v>
      </c>
      <c r="P1207" s="3987"/>
      <c r="S1207" s="3995"/>
      <c r="T1207" s="5714">
        <v>8</v>
      </c>
      <c r="U1207" s="5714">
        <f>IF(COLUMNS($U$1199:U$1199)-$U$1197*$T1207&lt;=0,0,INDEX($U$1199:U$1199,,COLUMNS($U$1199:U$1199)-$U$1197*$T1207))</f>
        <v>0</v>
      </c>
      <c r="V1207" s="5714">
        <f>IF(COLUMNS($U$1199:V$1199)-$U$1197*$T1207&lt;=0,0,INDEX($U$1199:V$1199,,COLUMNS($U$1199:V$1199)-$U$1197*$T1207))</f>
        <v>0</v>
      </c>
      <c r="W1207" s="5714">
        <f>IF(COLUMNS($U$1199:W$1199)-$U$1197*$T1207&lt;=0,0,INDEX($U$1199:W$1199,,COLUMNS($U$1199:W$1199)-$U$1197*$T1207))</f>
        <v>0</v>
      </c>
      <c r="X1207" s="5714">
        <f>IF(COLUMNS($U$1199:X$1199)-$U$1197*$T1207&lt;=0,0,INDEX($U$1199:X$1199,,COLUMNS($U$1199:X$1199)-$U$1197*$T1207))</f>
        <v>0</v>
      </c>
      <c r="Y1207" s="5714">
        <f>IF(COLUMNS($U$1199:Y$1199)-$U$1197*$T1207&lt;=0,0,INDEX($U$1199:Y$1199,,COLUMNS($U$1199:Y$1199)-$U$1197*$T1207))</f>
        <v>0</v>
      </c>
      <c r="Z1207" s="5714">
        <f>IF(COLUMNS($U$1199:Z$1199)-$U$1197*$T1207&lt;=0,0,INDEX($U$1199:Z$1199,,COLUMNS($U$1199:Z$1199)-$U$1197*$T1207))</f>
        <v>0</v>
      </c>
      <c r="AA1207" s="5714">
        <f>IF(COLUMNS($U$1199:AA$1199)-$U$1197*$T1207&lt;=0,0,INDEX($U$1199:AA$1199,,COLUMNS($U$1199:AA$1199)-$U$1197*$T1207))</f>
        <v>0</v>
      </c>
      <c r="AB1207" s="5714">
        <f>IF(COLUMNS($U$1199:AB$1199)-$U$1197*$T1207&lt;=0,0,INDEX($U$1199:AB$1199,,COLUMNS($U$1199:AB$1199)-$U$1197*$T1207))</f>
        <v>0</v>
      </c>
      <c r="AC1207" s="5714">
        <f>IF(COLUMNS($U$1199:AC$1199)-$U$1197*$T1207&lt;=0,0,INDEX($U$1199:AC$1199,,COLUMNS($U$1199:AC$1199)-$U$1197*$T1207))</f>
        <v>0</v>
      </c>
      <c r="AD1207" s="5714">
        <f>IF(COLUMNS($U$1199:AD$1199)-$U$1197*$T1207&lt;=0,0,INDEX($U$1199:AD$1199,,COLUMNS($U$1199:AD$1199)-$U$1197*$T1207))</f>
        <v>0</v>
      </c>
      <c r="AE1207" s="5714">
        <f>IF(COLUMNS($U$1199:AE$1199)-$U$1197*$T1207&lt;=0,0,INDEX($U$1199:AE$1199,,COLUMNS($U$1199:AE$1199)-$U$1197*$T1207))</f>
        <v>0</v>
      </c>
      <c r="AG1207" s="6087" t="s">
        <v>615</v>
      </c>
      <c r="AH1207" s="6088">
        <v>5</v>
      </c>
      <c r="AI1207" s="6088" t="s">
        <v>3902</v>
      </c>
      <c r="AJ1207" s="6088"/>
      <c r="AK1207" s="6088" t="s">
        <v>3903</v>
      </c>
      <c r="AL1207" s="6088" t="str">
        <f t="shared" si="518"/>
        <v>STChargingMode5</v>
      </c>
      <c r="AM1207" s="6089" t="b">
        <f>AND(STulbChargingCurrentMode="At the time of emptying",ISBLANK(STLevyAtEmptyingStart),ISBLANK(STLevyAnnualStart))</f>
        <v>0</v>
      </c>
    </row>
    <row r="1208" spans="3:39" x14ac:dyDescent="0.25">
      <c r="C1208" s="5639" t="s">
        <v>3415</v>
      </c>
      <c r="E1208" s="24"/>
      <c r="F1208" s="24"/>
      <c r="G1208" s="24"/>
      <c r="H1208" s="24"/>
      <c r="I1208" s="24"/>
      <c r="J1208" s="24"/>
      <c r="K1208" s="24"/>
      <c r="L1208" s="24"/>
      <c r="M1208" s="24"/>
      <c r="N1208" s="24"/>
      <c r="O1208" s="24"/>
      <c r="P1208" s="3987"/>
      <c r="T1208" s="5714">
        <v>9</v>
      </c>
      <c r="U1208" s="5714">
        <f>IF(COLUMNS($U$1199:U$1199)-$U$1197*$T1208&lt;=0,0,INDEX($U$1199:U$1199,,COLUMNS($U$1199:U$1199)-$U$1197*$T1208))</f>
        <v>0</v>
      </c>
      <c r="V1208" s="5714">
        <f>IF(COLUMNS($U$1199:V$1199)-$U$1197*$T1208&lt;=0,0,INDEX($U$1199:V$1199,,COLUMNS($U$1199:V$1199)-$U$1197*$T1208))</f>
        <v>0</v>
      </c>
      <c r="W1208" s="5714">
        <f>IF(COLUMNS($U$1199:W$1199)-$U$1197*$T1208&lt;=0,0,INDEX($U$1199:W$1199,,COLUMNS($U$1199:W$1199)-$U$1197*$T1208))</f>
        <v>0</v>
      </c>
      <c r="X1208" s="5714">
        <f>IF(COLUMNS($U$1199:X$1199)-$U$1197*$T1208&lt;=0,0,INDEX($U$1199:X$1199,,COLUMNS($U$1199:X$1199)-$U$1197*$T1208))</f>
        <v>0</v>
      </c>
      <c r="Y1208" s="5714">
        <f>IF(COLUMNS($U$1199:Y$1199)-$U$1197*$T1208&lt;=0,0,INDEX($U$1199:Y$1199,,COLUMNS($U$1199:Y$1199)-$U$1197*$T1208))</f>
        <v>0</v>
      </c>
      <c r="Z1208" s="5714">
        <f>IF(COLUMNS($U$1199:Z$1199)-$U$1197*$T1208&lt;=0,0,INDEX($U$1199:Z$1199,,COLUMNS($U$1199:Z$1199)-$U$1197*$T1208))</f>
        <v>0</v>
      </c>
      <c r="AA1208" s="5714">
        <f>IF(COLUMNS($U$1199:AA$1199)-$U$1197*$T1208&lt;=0,0,INDEX($U$1199:AA$1199,,COLUMNS($U$1199:AA$1199)-$U$1197*$T1208))</f>
        <v>0</v>
      </c>
      <c r="AB1208" s="5714">
        <f>IF(COLUMNS($U$1199:AB$1199)-$U$1197*$T1208&lt;=0,0,INDEX($U$1199:AB$1199,,COLUMNS($U$1199:AB$1199)-$U$1197*$T1208))</f>
        <v>0</v>
      </c>
      <c r="AC1208" s="5714">
        <f>IF(COLUMNS($U$1199:AC$1199)-$U$1197*$T1208&lt;=0,0,INDEX($U$1199:AC$1199,,COLUMNS($U$1199:AC$1199)-$U$1197*$T1208))</f>
        <v>0</v>
      </c>
      <c r="AD1208" s="5714">
        <f>IF(COLUMNS($U$1199:AD$1199)-$U$1197*$T1208&lt;=0,0,INDEX($U$1199:AD$1199,,COLUMNS($U$1199:AD$1199)-$U$1197*$T1208))</f>
        <v>0</v>
      </c>
      <c r="AE1208" s="5714">
        <f>IF(COLUMNS($U$1199:AE$1199)-$U$1197*$T1208&lt;=0,0,INDEX($U$1199:AE$1199,,COLUMNS($U$1199:AE$1199)-$U$1197*$T1208))</f>
        <v>0</v>
      </c>
      <c r="AG1208" s="6087"/>
      <c r="AH1208" s="6088">
        <v>6</v>
      </c>
      <c r="AI1208" s="6088" t="s">
        <v>3902</v>
      </c>
      <c r="AJ1208" s="6088"/>
      <c r="AK1208" s="6088" t="s">
        <v>3904</v>
      </c>
      <c r="AL1208" s="6088" t="str">
        <f t="shared" si="518"/>
        <v>STChargingMode6</v>
      </c>
      <c r="AM1208" s="6089" t="b">
        <f>AND(STulbChargingCurrentMode="At the time of emptying",ISBLANK(STLevyAtEmptyingStart),NOT(ISBLANK(STLevyAnnualStart)))</f>
        <v>0</v>
      </c>
    </row>
    <row r="1209" spans="3:39" x14ac:dyDescent="0.25">
      <c r="C1209" s="5622" t="s">
        <v>3490</v>
      </c>
      <c r="D1209" s="182" t="s">
        <v>615</v>
      </c>
      <c r="E1209" s="5635"/>
      <c r="F1209" s="5635">
        <f t="shared" ref="F1209:O1209" si="520">F1202/$M$621</f>
        <v>141.33333333333334</v>
      </c>
      <c r="G1209" s="5635">
        <f t="shared" si="520"/>
        <v>141.33333333333334</v>
      </c>
      <c r="H1209" s="5635">
        <f t="shared" si="520"/>
        <v>141.33333333333334</v>
      </c>
      <c r="I1209" s="5635">
        <f t="shared" si="520"/>
        <v>141.33333333333334</v>
      </c>
      <c r="J1209" s="5635">
        <f t="shared" si="520"/>
        <v>141.33333333333334</v>
      </c>
      <c r="K1209" s="5635">
        <f t="shared" si="520"/>
        <v>141.33333333333334</v>
      </c>
      <c r="L1209" s="5635">
        <f t="shared" si="520"/>
        <v>141.33333333333334</v>
      </c>
      <c r="M1209" s="5635">
        <f t="shared" si="520"/>
        <v>141.33333333333334</v>
      </c>
      <c r="N1209" s="5635">
        <f t="shared" si="520"/>
        <v>141.33333333333334</v>
      </c>
      <c r="O1209" s="5635">
        <f t="shared" si="520"/>
        <v>141.33333333333334</v>
      </c>
      <c r="P1209" s="3987"/>
      <c r="T1209" s="5718" t="s">
        <v>3494</v>
      </c>
      <c r="U1209" s="5714"/>
      <c r="V1209" s="5714"/>
      <c r="W1209" s="5714"/>
      <c r="X1209" s="5714"/>
      <c r="Y1209" s="5714"/>
      <c r="Z1209" s="5714"/>
      <c r="AA1209" s="5714"/>
      <c r="AB1209" s="5714"/>
      <c r="AC1209" s="5714"/>
      <c r="AD1209" s="5714"/>
      <c r="AE1209" s="5714"/>
      <c r="AG1209" s="6087" t="s">
        <v>615</v>
      </c>
      <c r="AH1209" s="6088">
        <v>7</v>
      </c>
      <c r="AI1209" s="6088" t="s">
        <v>3904</v>
      </c>
      <c r="AJ1209" s="6088" t="s">
        <v>3905</v>
      </c>
      <c r="AK1209" s="6088"/>
      <c r="AL1209" s="6088" t="str">
        <f t="shared" si="518"/>
        <v>STChargingMode7</v>
      </c>
      <c r="AM1209" s="6089" t="b">
        <f>AND(STulbChargingCurrentMode="Annual charge for scheduled emptying",ISBLANK(STLevyAtEmptyingStart),ISBLANK(STLevyAnnualStart))</f>
        <v>0</v>
      </c>
    </row>
    <row r="1210" spans="3:39" x14ac:dyDescent="0.25">
      <c r="C1210" s="5622"/>
      <c r="D1210" s="182" t="s">
        <v>1471</v>
      </c>
      <c r="E1210" s="5635"/>
      <c r="F1210" s="5635">
        <f>V1210</f>
        <v>0</v>
      </c>
      <c r="G1210" s="5635">
        <f t="shared" ref="G1210:O1210" si="521">W1210</f>
        <v>0</v>
      </c>
      <c r="H1210" s="5635">
        <f t="shared" si="521"/>
        <v>0</v>
      </c>
      <c r="I1210" s="5635">
        <f t="shared" si="521"/>
        <v>1502.6</v>
      </c>
      <c r="J1210" s="5635">
        <f t="shared" si="521"/>
        <v>1502.6</v>
      </c>
      <c r="K1210" s="5635">
        <f t="shared" si="521"/>
        <v>1502.5999999999995</v>
      </c>
      <c r="L1210" s="5635">
        <f t="shared" si="521"/>
        <v>3005.2000000000003</v>
      </c>
      <c r="M1210" s="5635">
        <f t="shared" si="521"/>
        <v>3005.2000000000003</v>
      </c>
      <c r="N1210" s="5635">
        <f t="shared" si="521"/>
        <v>1502.5999999999995</v>
      </c>
      <c r="O1210" s="5635">
        <f t="shared" si="521"/>
        <v>3005.2000000000003</v>
      </c>
      <c r="P1210" s="3987"/>
      <c r="T1210" s="5719" t="s">
        <v>3493</v>
      </c>
      <c r="U1210" s="5719">
        <f>SUM(U1200:U1208)</f>
        <v>0</v>
      </c>
      <c r="V1210" s="5719">
        <f t="shared" ref="V1210:AE1210" si="522">SUM(V1200:V1208)</f>
        <v>0</v>
      </c>
      <c r="W1210" s="5719">
        <f t="shared" si="522"/>
        <v>0</v>
      </c>
      <c r="X1210" s="5719">
        <f t="shared" si="522"/>
        <v>0</v>
      </c>
      <c r="Y1210" s="5719">
        <f t="shared" si="522"/>
        <v>1502.6</v>
      </c>
      <c r="Z1210" s="5719">
        <f t="shared" si="522"/>
        <v>1502.6</v>
      </c>
      <c r="AA1210" s="5719">
        <f t="shared" si="522"/>
        <v>1502.5999999999995</v>
      </c>
      <c r="AB1210" s="5719">
        <f t="shared" si="522"/>
        <v>3005.2000000000003</v>
      </c>
      <c r="AC1210" s="5719">
        <f t="shared" si="522"/>
        <v>3005.2000000000003</v>
      </c>
      <c r="AD1210" s="5719">
        <f>SUM(AD1200:AD1208)</f>
        <v>1502.5999999999995</v>
      </c>
      <c r="AE1210" s="5719">
        <f t="shared" si="522"/>
        <v>3005.2000000000003</v>
      </c>
    </row>
    <row r="1211" spans="3:39" x14ac:dyDescent="0.25">
      <c r="C1211" s="5622"/>
      <c r="D1211" s="182" t="s">
        <v>16</v>
      </c>
      <c r="E1211" s="5635"/>
      <c r="F1211" s="5635">
        <f t="shared" ref="F1211:N1211" si="523">F1209+F1210</f>
        <v>141.33333333333334</v>
      </c>
      <c r="G1211" s="5635">
        <f t="shared" si="523"/>
        <v>141.33333333333334</v>
      </c>
      <c r="H1211" s="5635">
        <f t="shared" si="523"/>
        <v>141.33333333333334</v>
      </c>
      <c r="I1211" s="5635">
        <f t="shared" si="523"/>
        <v>1643.9333333333332</v>
      </c>
      <c r="J1211" s="5635">
        <f t="shared" si="523"/>
        <v>1643.9333333333332</v>
      </c>
      <c r="K1211" s="5635">
        <f t="shared" si="523"/>
        <v>1643.9333333333327</v>
      </c>
      <c r="L1211" s="5635">
        <f t="shared" si="523"/>
        <v>3146.5333333333338</v>
      </c>
      <c r="M1211" s="5635">
        <f t="shared" si="523"/>
        <v>3146.5333333333338</v>
      </c>
      <c r="N1211" s="5635">
        <f t="shared" si="523"/>
        <v>1643.9333333333327</v>
      </c>
      <c r="O1211" s="5635">
        <f>O1209+O1210</f>
        <v>3146.5333333333338</v>
      </c>
      <c r="P1211" s="3987"/>
    </row>
    <row r="1212" spans="3:39" x14ac:dyDescent="0.25">
      <c r="C1212" s="5622" t="s">
        <v>3385</v>
      </c>
      <c r="D1212" s="182" t="s">
        <v>87</v>
      </c>
      <c r="E1212" s="5635"/>
      <c r="F1212" s="5712"/>
      <c r="G1212" s="5712"/>
      <c r="H1212" s="5712"/>
      <c r="I1212" s="5712"/>
      <c r="J1212" s="5712"/>
      <c r="K1212" s="5712"/>
      <c r="L1212" s="5712"/>
      <c r="M1212" s="5712"/>
      <c r="N1212" s="5712"/>
      <c r="O1212" s="5712">
        <f>IF(COUNT($F$1203:O$1203)-$M$621&gt;0,INDEX($F$1203:O$1203,,COUNT($F$1203:O$1203)-$M$621),0)</f>
        <v>0</v>
      </c>
      <c r="P1212" s="3987"/>
    </row>
    <row r="1213" spans="3:39" x14ac:dyDescent="0.25">
      <c r="D1213" s="182" t="s">
        <v>3407</v>
      </c>
      <c r="E1213" s="9">
        <f>Population!E41</f>
        <v>0</v>
      </c>
      <c r="F1213" s="9">
        <f>Population!F41</f>
        <v>0</v>
      </c>
      <c r="G1213" s="9">
        <f>Population!G41</f>
        <v>0</v>
      </c>
      <c r="H1213" s="9">
        <f>Population!H41</f>
        <v>0</v>
      </c>
      <c r="I1213" s="9">
        <f>Population!I41</f>
        <v>0</v>
      </c>
      <c r="J1213" s="9">
        <f>Population!J41</f>
        <v>0</v>
      </c>
      <c r="K1213" s="9">
        <f>Population!K41</f>
        <v>0</v>
      </c>
      <c r="L1213" s="9">
        <f>Population!L41</f>
        <v>0</v>
      </c>
      <c r="M1213" s="9">
        <f>Population!M41</f>
        <v>0</v>
      </c>
      <c r="N1213" s="9">
        <f>Population!N41</f>
        <v>0</v>
      </c>
      <c r="O1213" s="9">
        <f>Population!O41</f>
        <v>0</v>
      </c>
    </row>
    <row r="1214" spans="3:39" x14ac:dyDescent="0.25">
      <c r="C1214" s="5622"/>
      <c r="D1214" s="2574" t="s">
        <v>87</v>
      </c>
    </row>
    <row r="1215" spans="3:39" x14ac:dyDescent="0.25">
      <c r="C1215" s="5622"/>
      <c r="D1215" s="2574"/>
      <c r="S1215" s="6095" t="s">
        <v>3910</v>
      </c>
      <c r="T1215" s="6096"/>
      <c r="U1215" s="6096"/>
      <c r="V1215" s="6096"/>
      <c r="W1215" s="6096"/>
      <c r="X1215" s="6096"/>
      <c r="Y1215" s="6096"/>
      <c r="Z1215" s="6096"/>
      <c r="AA1215" s="6096"/>
      <c r="AB1215" s="6096"/>
      <c r="AC1215" s="6096"/>
      <c r="AD1215" s="6096"/>
      <c r="AE1215" s="6097"/>
      <c r="AL1215" s="6090" t="s">
        <v>3906</v>
      </c>
      <c r="AM1215" s="27">
        <f>IF(STulbChargingCurrentMode="At the time of emptying",STulbChargingCurrentRate,STLevyAtEmptying)</f>
        <v>500</v>
      </c>
    </row>
    <row r="1216" spans="3:39" ht="15.75" x14ac:dyDescent="0.25">
      <c r="C1216" s="9" t="s">
        <v>3409</v>
      </c>
      <c r="D1216" s="182" t="s">
        <v>16</v>
      </c>
      <c r="E1216" s="5637">
        <f>(E1196*E1197*E1209+(E1198*E1199*E1213))/CurrencyMultiplier</f>
        <v>0</v>
      </c>
      <c r="F1216" s="6093">
        <f>PRODUCT(SUM(PRODUCT(MIN(F1211,F1207),F1196,F1197)+PRODUCT(F1198,F1199,F1213)),1/CurrencyMultiplier)</f>
        <v>0.70666666666666678</v>
      </c>
      <c r="G1216" s="6093">
        <f>PRODUCT(SUM(PRODUCT(MIN(G1211,G1207),G1196,G1197)+PRODUCT(G1198,G1199,G1213)),1/CurrencyMultiplier)</f>
        <v>0.70666666666666678</v>
      </c>
      <c r="H1216" s="6093">
        <f>PRODUCT(SUM(PRODUCT(MIN(H1211,H1207),H1196,H1197)+PRODUCT(H1198,H1199,H1213)),1/CurrencyMultiplier)</f>
        <v>0.70666666666666678</v>
      </c>
      <c r="I1216" s="6093">
        <f>PRODUCT(SUM(PRODUCT(MIN(I1211,I1207),I1196,I1197)+PRODUCT(I1198,I1199,I1213)),1/CurrencyMultiplier)</f>
        <v>8.2196666666666669</v>
      </c>
      <c r="J1216" s="6093">
        <f>PRODUCT(SUM(PRODUCT(MIN(J1211,J1207),J1196,J1197)+PRODUCT(J1198,J1199,J1213)),1/CurrencyMultiplier)</f>
        <v>8.2196666666666669</v>
      </c>
      <c r="K1216" s="6093">
        <f>PRODUCT(SUM(PRODUCT(MIN(K1211,K1207),K1196,K1197)+PRODUCT(K1198,K1199,K1213)),1/CurrencyMultiplier)</f>
        <v>0</v>
      </c>
      <c r="L1216" s="6093">
        <f>PRODUCT(SUM(PRODUCT(MIN(L1211,L1207),L1196,L1197)+PRODUCT(L1198,L1199,L1213)),1/CurrencyMultiplier)</f>
        <v>0</v>
      </c>
      <c r="M1216" s="6093">
        <f>PRODUCT(SUM(PRODUCT(MIN(M1211,M1207),M1196,M1197)+PRODUCT(M1198,M1199,M1213)),1/CurrencyMultiplier)</f>
        <v>0</v>
      </c>
      <c r="N1216" s="6093">
        <f>PRODUCT(SUM(PRODUCT(MIN(N1211,N1207),N1196,N1197)+PRODUCT(N1198,N1199,N1213)),1/CurrencyMultiplier)</f>
        <v>0</v>
      </c>
      <c r="O1216" s="6093">
        <f>PRODUCT(SUM(PRODUCT(MIN(O1211,O1207),O1196,O1197)+PRODUCT(O1198,O1199,O1213)),1/CurrencyMultiplier)</f>
        <v>0</v>
      </c>
      <c r="S1216" s="3537" t="s">
        <v>3400</v>
      </c>
      <c r="T1216" s="5611"/>
      <c r="U1216" s="5611"/>
      <c r="V1216" s="5611"/>
      <c r="W1216" s="5611"/>
      <c r="X1216" s="5611"/>
      <c r="Y1216" s="5611"/>
      <c r="Z1216" s="5611"/>
      <c r="AA1216" s="5611"/>
      <c r="AB1216" s="5611"/>
      <c r="AC1216" s="5611"/>
      <c r="AD1216" s="48"/>
      <c r="AE1216" s="5612"/>
      <c r="AL1216" s="6090" t="s">
        <v>3907</v>
      </c>
      <c r="AM1216" s="27">
        <f>IF(STulbChargingCurrentMode="Annual charge for scheduled emptying",STulbChargingCurrentRate,STLevyAnnual)</f>
        <v>100</v>
      </c>
    </row>
    <row r="1217" spans="3:31" x14ac:dyDescent="0.2">
      <c r="D1217" s="182" t="s">
        <v>3412</v>
      </c>
      <c r="F1217" s="6094">
        <f>F1205/F1207*F1216</f>
        <v>0.70666666666666678</v>
      </c>
      <c r="G1217" s="6094">
        <f t="shared" ref="G1217:O1217" si="524">G1205/G1207*G1216</f>
        <v>0.28266666666666673</v>
      </c>
      <c r="H1217" s="6094">
        <f t="shared" si="524"/>
        <v>0.28266666666666673</v>
      </c>
      <c r="I1217" s="6094">
        <f t="shared" si="524"/>
        <v>3.2878666666666669</v>
      </c>
      <c r="J1217" s="6094">
        <f t="shared" si="524"/>
        <v>3.2878666666666669</v>
      </c>
      <c r="K1217" s="6094">
        <f t="shared" si="524"/>
        <v>0</v>
      </c>
      <c r="L1217" s="6094">
        <f t="shared" si="524"/>
        <v>0</v>
      </c>
      <c r="M1217" s="6094">
        <f t="shared" si="524"/>
        <v>0</v>
      </c>
      <c r="N1217" s="6094">
        <f t="shared" si="524"/>
        <v>0</v>
      </c>
      <c r="O1217" s="6094">
        <f t="shared" si="524"/>
        <v>0</v>
      </c>
      <c r="S1217" s="7252" t="s">
        <v>1925</v>
      </c>
      <c r="T1217" s="7253"/>
      <c r="U1217" s="6098"/>
      <c r="V1217" s="3945">
        <v>2015</v>
      </c>
      <c r="W1217" s="3942">
        <v>2016</v>
      </c>
      <c r="X1217" s="3942">
        <v>2017</v>
      </c>
      <c r="Y1217" s="3942">
        <v>2018</v>
      </c>
      <c r="Z1217" s="3943">
        <v>2019</v>
      </c>
      <c r="AA1217" s="3943">
        <v>2020</v>
      </c>
      <c r="AB1217" s="3943">
        <v>2021</v>
      </c>
      <c r="AC1217" s="3943">
        <v>2022</v>
      </c>
      <c r="AD1217" s="3943">
        <v>2023</v>
      </c>
      <c r="AE1217" s="3944">
        <v>2024</v>
      </c>
    </row>
    <row r="1218" spans="3:31" x14ac:dyDescent="0.25">
      <c r="D1218" s="182" t="s">
        <v>3413</v>
      </c>
      <c r="F1218" s="6094">
        <f>F1206/F1207*F1216</f>
        <v>0</v>
      </c>
      <c r="G1218" s="6094">
        <f t="shared" ref="G1218:O1218" si="525">G1206/G1207*G1216</f>
        <v>0.42400000000000004</v>
      </c>
      <c r="H1218" s="6094">
        <f t="shared" si="525"/>
        <v>0.42400000000000004</v>
      </c>
      <c r="I1218" s="6094">
        <f t="shared" si="525"/>
        <v>4.9318</v>
      </c>
      <c r="J1218" s="6094">
        <f t="shared" si="525"/>
        <v>4.9318</v>
      </c>
      <c r="K1218" s="6094">
        <f t="shared" si="525"/>
        <v>0</v>
      </c>
      <c r="L1218" s="6094">
        <f t="shared" si="525"/>
        <v>0</v>
      </c>
      <c r="M1218" s="6094">
        <f t="shared" si="525"/>
        <v>0</v>
      </c>
      <c r="N1218" s="6094">
        <f t="shared" si="525"/>
        <v>0</v>
      </c>
      <c r="O1218" s="6094">
        <f t="shared" si="525"/>
        <v>0</v>
      </c>
      <c r="S1218" s="7254"/>
      <c r="T1218" s="7255"/>
      <c r="U1218" s="6098"/>
      <c r="V1218" s="6099">
        <f>'Financing Plan'!F215</f>
        <v>0</v>
      </c>
      <c r="W1218" s="6099">
        <f>'Financing Plan'!G215</f>
        <v>0</v>
      </c>
      <c r="X1218" s="6099">
        <f>'Financing Plan'!H215</f>
        <v>0</v>
      </c>
      <c r="Y1218" s="6099">
        <f>'Financing Plan'!I215</f>
        <v>0.2</v>
      </c>
      <c r="Z1218" s="6099">
        <f>'Financing Plan'!J215</f>
        <v>0</v>
      </c>
      <c r="AA1218" s="6099">
        <f>'Financing Plan'!K215</f>
        <v>0</v>
      </c>
      <c r="AB1218" s="6099">
        <f>'Financing Plan'!L215</f>
        <v>0.2</v>
      </c>
      <c r="AC1218" s="6099">
        <f>'Financing Plan'!M215</f>
        <v>0</v>
      </c>
      <c r="AD1218" s="6099">
        <f>'Financing Plan'!N215</f>
        <v>0</v>
      </c>
      <c r="AE1218" s="6099">
        <f>'Financing Plan'!O215</f>
        <v>0</v>
      </c>
    </row>
    <row r="1219" spans="3:31" x14ac:dyDescent="0.25">
      <c r="F1219" s="5629"/>
      <c r="G1219" s="5629"/>
      <c r="H1219" s="5629"/>
      <c r="I1219" s="5629"/>
      <c r="J1219" s="5629"/>
      <c r="K1219" s="5629"/>
      <c r="L1219" s="5629"/>
      <c r="M1219" s="5629"/>
      <c r="N1219" s="5629"/>
      <c r="O1219" s="5629"/>
      <c r="S1219" s="7256"/>
      <c r="T1219" s="7257"/>
      <c r="U1219" s="6100">
        <v>0</v>
      </c>
      <c r="V1219" s="570">
        <f>IF(V1218=0,U1219,V1218)</f>
        <v>0</v>
      </c>
      <c r="W1219" s="570">
        <f t="shared" ref="W1219:AE1219" si="526">IF(W1218=0,V1219,W1218)</f>
        <v>0</v>
      </c>
      <c r="X1219" s="570">
        <f t="shared" si="526"/>
        <v>0</v>
      </c>
      <c r="Y1219" s="570">
        <f t="shared" si="526"/>
        <v>0.2</v>
      </c>
      <c r="Z1219" s="570">
        <f t="shared" si="526"/>
        <v>0.2</v>
      </c>
      <c r="AA1219" s="570">
        <f t="shared" si="526"/>
        <v>0.2</v>
      </c>
      <c r="AB1219" s="570">
        <f t="shared" si="526"/>
        <v>0.2</v>
      </c>
      <c r="AC1219" s="570">
        <f t="shared" si="526"/>
        <v>0.2</v>
      </c>
      <c r="AD1219" s="6109">
        <f t="shared" si="526"/>
        <v>0.2</v>
      </c>
      <c r="AE1219" s="618">
        <f t="shared" si="526"/>
        <v>0.2</v>
      </c>
    </row>
    <row r="1220" spans="3:31" x14ac:dyDescent="0.25">
      <c r="C1220" s="5630" t="s">
        <v>3911</v>
      </c>
      <c r="D1220" s="5631"/>
      <c r="E1220" s="5634"/>
      <c r="F1220" s="5634"/>
      <c r="G1220" s="5634"/>
      <c r="H1220" s="5634"/>
      <c r="I1220" s="5634"/>
      <c r="J1220" s="5634"/>
      <c r="K1220" s="5634"/>
      <c r="L1220" s="5634"/>
      <c r="M1220" s="5634"/>
      <c r="N1220" s="5634"/>
      <c r="O1220" s="5634"/>
    </row>
    <row r="1221" spans="3:31" x14ac:dyDescent="0.25">
      <c r="C1221" s="63" t="s">
        <v>3404</v>
      </c>
    </row>
    <row r="1222" spans="3:31" x14ac:dyDescent="0.25">
      <c r="C1222" s="5622" t="s">
        <v>3395</v>
      </c>
      <c r="D1222" s="182" t="s">
        <v>3895</v>
      </c>
      <c r="E1222" s="9">
        <f t="shared" ref="E1222:O1222" si="527">IF(OR(STEmptyingChargingMode1,STEmptyingChargingMode4),0,IF(STEmptyingChargingMode2,(E$1180&gt;=STLevyAtEmptyingStart)*1,IF(STEmptyingChargingMode3,AND(E$1180&gt;=STLevyAtEmptyingStart,E$1180&lt;STLevyAnnualStart)*1,IF(STEmptyingChargingMode5,1,IF(STEmptyingChargingMode6,(E$1180&lt;STLevyAnnualStart)*1,0)))))</f>
        <v>0</v>
      </c>
      <c r="F1222" s="9">
        <f t="shared" si="527"/>
        <v>1</v>
      </c>
      <c r="G1222" s="9">
        <f t="shared" si="527"/>
        <v>1</v>
      </c>
      <c r="H1222" s="9">
        <f t="shared" si="527"/>
        <v>1</v>
      </c>
      <c r="I1222" s="9">
        <f t="shared" si="527"/>
        <v>1</v>
      </c>
      <c r="J1222" s="9">
        <f t="shared" si="527"/>
        <v>1</v>
      </c>
      <c r="K1222" s="9">
        <f t="shared" si="527"/>
        <v>0</v>
      </c>
      <c r="L1222" s="9">
        <f t="shared" si="527"/>
        <v>0</v>
      </c>
      <c r="M1222" s="9">
        <f t="shared" si="527"/>
        <v>0</v>
      </c>
      <c r="N1222" s="9">
        <f t="shared" si="527"/>
        <v>0</v>
      </c>
      <c r="O1222" s="9">
        <f t="shared" si="527"/>
        <v>0</v>
      </c>
    </row>
    <row r="1223" spans="3:31" x14ac:dyDescent="0.25">
      <c r="D1223" s="182" t="s">
        <v>3058</v>
      </c>
      <c r="E1223" s="9">
        <f t="shared" ref="E1223:O1223" si="528">E1222*STEmptyingChargeLevyAtEmptying*(1+U$1219)</f>
        <v>0</v>
      </c>
      <c r="F1223" s="9">
        <f t="shared" si="528"/>
        <v>500</v>
      </c>
      <c r="G1223" s="9">
        <f t="shared" si="528"/>
        <v>500</v>
      </c>
      <c r="H1223" s="9">
        <f t="shared" si="528"/>
        <v>500</v>
      </c>
      <c r="I1223" s="9">
        <f t="shared" si="528"/>
        <v>600</v>
      </c>
      <c r="J1223" s="9">
        <f t="shared" si="528"/>
        <v>600</v>
      </c>
      <c r="K1223" s="9">
        <f t="shared" si="528"/>
        <v>0</v>
      </c>
      <c r="L1223" s="9">
        <f t="shared" si="528"/>
        <v>0</v>
      </c>
      <c r="M1223" s="9">
        <f t="shared" si="528"/>
        <v>0</v>
      </c>
      <c r="N1223" s="9">
        <f t="shared" si="528"/>
        <v>0</v>
      </c>
      <c r="O1223" s="9">
        <f t="shared" si="528"/>
        <v>0</v>
      </c>
    </row>
    <row r="1224" spans="3:31" x14ac:dyDescent="0.25">
      <c r="C1224" s="5622"/>
      <c r="D1224" s="182" t="s">
        <v>3895</v>
      </c>
      <c r="E1224" s="9">
        <f t="shared" ref="E1224:O1224" si="529">IF(OR(STEmptyingChargingMode1,STEmptyingChargingMode2,STEmptyingChargingMode5),0,IF(OR(STEmptyingChargingMode3,STEmptyingChargingMode4,STEmptyingChargingMode6),(E$1180&gt;=STLevyAnnualStart)*1,IF(STEmptyingChargingMode7,1,0)))</f>
        <v>0</v>
      </c>
      <c r="F1224" s="9">
        <f t="shared" si="529"/>
        <v>0</v>
      </c>
      <c r="G1224" s="9">
        <f t="shared" si="529"/>
        <v>0</v>
      </c>
      <c r="H1224" s="9">
        <f t="shared" si="529"/>
        <v>0</v>
      </c>
      <c r="I1224" s="9">
        <f t="shared" si="529"/>
        <v>0</v>
      </c>
      <c r="J1224" s="9">
        <f t="shared" si="529"/>
        <v>0</v>
      </c>
      <c r="K1224" s="9">
        <f t="shared" si="529"/>
        <v>1</v>
      </c>
      <c r="L1224" s="9">
        <f t="shared" si="529"/>
        <v>1</v>
      </c>
      <c r="M1224" s="9">
        <f t="shared" si="529"/>
        <v>1</v>
      </c>
      <c r="N1224" s="9">
        <f t="shared" si="529"/>
        <v>1</v>
      </c>
      <c r="O1224" s="9">
        <f t="shared" si="529"/>
        <v>1</v>
      </c>
    </row>
    <row r="1225" spans="3:31" x14ac:dyDescent="0.25">
      <c r="C1225" s="5622" t="s">
        <v>3385</v>
      </c>
      <c r="D1225" s="182" t="s">
        <v>3058</v>
      </c>
      <c r="E1225" s="9">
        <f t="shared" ref="E1225:O1225" si="530">E1224*STEmptyingChargeLevyAnnual*(1+U$1219)</f>
        <v>0</v>
      </c>
      <c r="F1225" s="9">
        <f t="shared" si="530"/>
        <v>0</v>
      </c>
      <c r="G1225" s="9">
        <f t="shared" si="530"/>
        <v>0</v>
      </c>
      <c r="H1225" s="9">
        <f t="shared" si="530"/>
        <v>0</v>
      </c>
      <c r="I1225" s="9">
        <f t="shared" si="530"/>
        <v>0</v>
      </c>
      <c r="J1225" s="9">
        <f t="shared" si="530"/>
        <v>0</v>
      </c>
      <c r="K1225" s="9">
        <f t="shared" si="530"/>
        <v>120</v>
      </c>
      <c r="L1225" s="9">
        <f t="shared" si="530"/>
        <v>120</v>
      </c>
      <c r="M1225" s="9">
        <f t="shared" si="530"/>
        <v>120</v>
      </c>
      <c r="N1225" s="9">
        <f t="shared" si="530"/>
        <v>120</v>
      </c>
      <c r="O1225" s="9">
        <f t="shared" si="530"/>
        <v>120</v>
      </c>
    </row>
    <row r="1226" spans="3:31" x14ac:dyDescent="0.25">
      <c r="C1226" s="9" t="s">
        <v>3405</v>
      </c>
    </row>
    <row r="1227" spans="3:31" x14ac:dyDescent="0.25">
      <c r="C1227" s="5636" t="s">
        <v>3489</v>
      </c>
      <c r="E1227" s="24">
        <f t="shared" ref="E1227:O1227" si="531">E1176</f>
        <v>424</v>
      </c>
      <c r="F1227" s="24">
        <f t="shared" si="531"/>
        <v>1926.6</v>
      </c>
      <c r="G1227" s="24">
        <f t="shared" si="531"/>
        <v>3429.2</v>
      </c>
      <c r="H1227" s="24">
        <f t="shared" si="531"/>
        <v>4931.7999999999993</v>
      </c>
      <c r="I1227" s="24">
        <f t="shared" si="531"/>
        <v>6434.4</v>
      </c>
      <c r="J1227" s="24">
        <f t="shared" si="531"/>
        <v>7937</v>
      </c>
      <c r="K1227" s="24">
        <f t="shared" si="531"/>
        <v>7937</v>
      </c>
      <c r="L1227" s="24">
        <f t="shared" si="531"/>
        <v>7937</v>
      </c>
      <c r="M1227" s="24">
        <f t="shared" si="531"/>
        <v>7937</v>
      </c>
      <c r="N1227" s="24">
        <f t="shared" si="531"/>
        <v>7937</v>
      </c>
      <c r="O1227" s="24">
        <f t="shared" si="531"/>
        <v>7937</v>
      </c>
    </row>
    <row r="1228" spans="3:31" x14ac:dyDescent="0.25">
      <c r="C1228" s="5622" t="s">
        <v>3486</v>
      </c>
      <c r="E1228" s="24">
        <f t="shared" ref="E1228:O1228" si="532">E1188</f>
        <v>424</v>
      </c>
      <c r="F1228" s="24">
        <f t="shared" si="532"/>
        <v>424</v>
      </c>
      <c r="G1228" s="24">
        <f t="shared" si="532"/>
        <v>424</v>
      </c>
      <c r="H1228" s="24">
        <f t="shared" si="532"/>
        <v>424</v>
      </c>
      <c r="I1228" s="24">
        <f t="shared" si="532"/>
        <v>424</v>
      </c>
      <c r="J1228" s="24">
        <f t="shared" si="532"/>
        <v>424</v>
      </c>
      <c r="K1228" s="24">
        <f t="shared" si="532"/>
        <v>424</v>
      </c>
      <c r="L1228" s="24">
        <f t="shared" si="532"/>
        <v>424</v>
      </c>
      <c r="M1228" s="24">
        <f t="shared" si="532"/>
        <v>424</v>
      </c>
      <c r="N1228" s="24">
        <f t="shared" si="532"/>
        <v>424</v>
      </c>
      <c r="O1228" s="24">
        <f t="shared" si="532"/>
        <v>424</v>
      </c>
    </row>
    <row r="1229" spans="3:31" x14ac:dyDescent="0.25">
      <c r="C1229" s="5622" t="s">
        <v>3491</v>
      </c>
      <c r="D1229" s="6092" t="s">
        <v>3909</v>
      </c>
      <c r="E1229" s="24">
        <f>E1227-E1228</f>
        <v>0</v>
      </c>
      <c r="F1229" s="24">
        <f>F1227-F1228</f>
        <v>1502.6</v>
      </c>
      <c r="G1229" s="24">
        <f>G1227-G1228-F1229</f>
        <v>1502.6</v>
      </c>
      <c r="H1229" s="24">
        <f>H1227-H1228-SUM(F1229:G1229)</f>
        <v>1502.5999999999995</v>
      </c>
      <c r="I1229" s="24">
        <f>I1227-I1228-SUM(F1229:H1229)</f>
        <v>1502.6000000000004</v>
      </c>
      <c r="J1229" s="24">
        <f>J1227-J1228-SUM(F1229:I1229)</f>
        <v>1502.6000000000004</v>
      </c>
      <c r="K1229" s="24">
        <f>K1227-K1228-SUM(F1229:J1229)</f>
        <v>0</v>
      </c>
      <c r="L1229" s="24">
        <f>L1227-L1228-SUM(F1229:K1229)</f>
        <v>0</v>
      </c>
      <c r="M1229" s="24">
        <f>M1227-M1228-SUM(F1229:L1229)</f>
        <v>0</v>
      </c>
      <c r="N1229" s="24">
        <f>N1227-N1228-SUM(F1229:M1229)</f>
        <v>0</v>
      </c>
      <c r="O1229" s="24">
        <f>O1227-O1228-SUM(F1229:N1229)</f>
        <v>0</v>
      </c>
    </row>
    <row r="1230" spans="3:31" x14ac:dyDescent="0.25">
      <c r="C1230" s="5639" t="s">
        <v>3414</v>
      </c>
    </row>
    <row r="1231" spans="3:31" x14ac:dyDescent="0.25">
      <c r="C1231" s="5622" t="s">
        <v>3410</v>
      </c>
      <c r="E1231" s="127">
        <f>$M$623*SUM(ROUNDUP('WW Plan'!$H$233,0),PRODUCT('WW Plan'!$H$237,(E$1180&gt;='WW Plan'!$H$231)*1,('WW Plan'!$E$231="Activate")*1))</f>
        <v>300</v>
      </c>
      <c r="F1231" s="127">
        <f>$M$623*SUM(ROUNDUP('WW Plan'!$H$233,0),PRODUCT('WW Plan'!$H$237,(F$1180&gt;='WW Plan'!$H$231)*1,('WW Plan'!$E$231="Activate")*1))</f>
        <v>1200</v>
      </c>
      <c r="G1231" s="127">
        <f>$M$623*SUM(ROUNDUP('WW Plan'!$H$233,0),PRODUCT('WW Plan'!$H$237,(G$1180&gt;='WW Plan'!$H$231)*1,('WW Plan'!$E$231="Activate")*1))</f>
        <v>1200</v>
      </c>
      <c r="H1231" s="127">
        <f>$M$623*SUM(ROUNDUP('WW Plan'!$H$233,0),PRODUCT('WW Plan'!$H$237,(H$1180&gt;='WW Plan'!$H$231)*1,('WW Plan'!$E$231="Activate")*1))</f>
        <v>1200</v>
      </c>
      <c r="I1231" s="127">
        <f>$M$623*SUM(ROUNDUP('WW Plan'!$H$233,0),PRODUCT('WW Plan'!$H$237,(I$1180&gt;='WW Plan'!$H$231)*1,('WW Plan'!$E$231="Activate")*1))</f>
        <v>1200</v>
      </c>
      <c r="J1231" s="127">
        <f>$M$623*SUM(ROUNDUP('WW Plan'!$H$233,0),PRODUCT('WW Plan'!$H$237,(J$1180&gt;='WW Plan'!$H$231)*1,('WW Plan'!$E$231="Activate")*1))</f>
        <v>1200</v>
      </c>
      <c r="K1231" s="127">
        <f>$M$623*SUM(ROUNDUP('WW Plan'!$H$233,0),PRODUCT('WW Plan'!$H$237,(K$1180&gt;='WW Plan'!$H$231)*1,('WW Plan'!$E$231="Activate")*1))</f>
        <v>1200</v>
      </c>
      <c r="L1231" s="127">
        <f>$M$623*SUM(ROUNDUP('WW Plan'!$H$233,0),PRODUCT('WW Plan'!$H$237,(L$1180&gt;='WW Plan'!$H$231)*1,('WW Plan'!$E$231="Activate")*1))</f>
        <v>1200</v>
      </c>
      <c r="M1231" s="127">
        <f>$M$623*SUM(ROUNDUP('WW Plan'!$H$233,0),PRODUCT('WW Plan'!$H$237,(M$1180&gt;='WW Plan'!$H$231)*1,('WW Plan'!$E$231="Activate")*1))</f>
        <v>1200</v>
      </c>
      <c r="N1231" s="127">
        <f>$M$623*SUM(ROUNDUP('WW Plan'!$H$233,0),PRODUCT('WW Plan'!$H$237,(N$1180&gt;='WW Plan'!$H$231)*1,('WW Plan'!$E$231="Activate")*1))</f>
        <v>1200</v>
      </c>
      <c r="O1231" s="127">
        <f>$M$623*SUM(ROUNDUP('WW Plan'!$H$233,0),PRODUCT('WW Plan'!$H$237,(O$1180&gt;='WW Plan'!$H$231)*1,('WW Plan'!$E$231="Activate")*1))</f>
        <v>1200</v>
      </c>
    </row>
    <row r="1232" spans="3:31" x14ac:dyDescent="0.25">
      <c r="C1232" s="5622" t="s">
        <v>3411</v>
      </c>
      <c r="E1232" s="9">
        <f>$M$623*PRODUCT('WW Plan'!$H$312,'WW Plan'!$H$314,(E$1180&gt;='WW Plan'!$H$308)*1,('WW Plan'!$E$308="Activate")*1)</f>
        <v>0</v>
      </c>
      <c r="F1232" s="9">
        <f>$M$623*PRODUCT('WW Plan'!$H$312,'WW Plan'!$H$314,(F$1180&gt;='WW Plan'!$H$308)*1,('WW Plan'!$E$308="Activate")*1)</f>
        <v>0</v>
      </c>
      <c r="G1232" s="9">
        <f>$M$623*PRODUCT('WW Plan'!$H$312,'WW Plan'!$H$314,(G$1180&gt;='WW Plan'!$H$308)*1,('WW Plan'!$E$308="Activate")*1)</f>
        <v>1800</v>
      </c>
      <c r="H1232" s="9">
        <f>$M$623*PRODUCT('WW Plan'!$H$312,'WW Plan'!$H$314,(H$1180&gt;='WW Plan'!$H$308)*1,('WW Plan'!$E$308="Activate")*1)</f>
        <v>1800</v>
      </c>
      <c r="I1232" s="9">
        <f>$M$623*PRODUCT('WW Plan'!$H$312,'WW Plan'!$H$314,(I$1180&gt;='WW Plan'!$H$308)*1,('WW Plan'!$E$308="Activate")*1)</f>
        <v>1800</v>
      </c>
      <c r="J1232" s="9">
        <f>$M$623*PRODUCT('WW Plan'!$H$312,'WW Plan'!$H$314,(J$1180&gt;='WW Plan'!$H$308)*1,('WW Plan'!$E$308="Activate")*1)</f>
        <v>1800</v>
      </c>
      <c r="K1232" s="9">
        <f>$M$623*PRODUCT('WW Plan'!$H$312,'WW Plan'!$H$314,(K$1180&gt;='WW Plan'!$H$308)*1,('WW Plan'!$E$308="Activate")*1)</f>
        <v>1800</v>
      </c>
      <c r="L1232" s="9">
        <f>$M$623*PRODUCT('WW Plan'!$H$312,'WW Plan'!$H$314,(L$1180&gt;='WW Plan'!$H$308)*1,('WW Plan'!$E$308="Activate")*1)</f>
        <v>1800</v>
      </c>
      <c r="M1232" s="9">
        <f>$M$623*PRODUCT('WW Plan'!$H$312,'WW Plan'!$H$314,(M$1180&gt;='WW Plan'!$H$308)*1,('WW Plan'!$E$308="Activate")*1)</f>
        <v>1800</v>
      </c>
      <c r="N1232" s="9">
        <f>$M$623*PRODUCT('WW Plan'!$H$312,'WW Plan'!$H$314,(N$1180&gt;='WW Plan'!$H$308)*1,('WW Plan'!$E$308="Activate")*1)</f>
        <v>1800</v>
      </c>
      <c r="O1232" s="9">
        <f>$M$623*PRODUCT('WW Plan'!$H$312,'WW Plan'!$H$314,(O$1180&gt;='WW Plan'!$H$308)*1,('WW Plan'!$E$308="Activate")*1)</f>
        <v>1800</v>
      </c>
    </row>
    <row r="1233" spans="3:15" x14ac:dyDescent="0.25">
      <c r="C1233" s="5622" t="s">
        <v>16</v>
      </c>
      <c r="E1233" s="9">
        <f>E1231+E1232</f>
        <v>300</v>
      </c>
      <c r="F1233" s="9">
        <f t="shared" ref="F1233:O1233" si="533">F1231+F1232</f>
        <v>1200</v>
      </c>
      <c r="G1233" s="9">
        <f t="shared" si="533"/>
        <v>3000</v>
      </c>
      <c r="H1233" s="9">
        <f t="shared" si="533"/>
        <v>3000</v>
      </c>
      <c r="I1233" s="9">
        <f t="shared" si="533"/>
        <v>3000</v>
      </c>
      <c r="J1233" s="9">
        <f t="shared" si="533"/>
        <v>3000</v>
      </c>
      <c r="K1233" s="9">
        <f t="shared" si="533"/>
        <v>3000</v>
      </c>
      <c r="L1233" s="9">
        <f t="shared" si="533"/>
        <v>3000</v>
      </c>
      <c r="M1233" s="9">
        <f t="shared" si="533"/>
        <v>3000</v>
      </c>
      <c r="N1233" s="9">
        <f t="shared" si="533"/>
        <v>3000</v>
      </c>
      <c r="O1233" s="9">
        <f t="shared" si="533"/>
        <v>3000</v>
      </c>
    </row>
    <row r="1234" spans="3:15" x14ac:dyDescent="0.25">
      <c r="C1234" s="5639" t="s">
        <v>3415</v>
      </c>
    </row>
    <row r="1235" spans="3:15" x14ac:dyDescent="0.25">
      <c r="C1235" s="5818" t="s">
        <v>3490</v>
      </c>
      <c r="D1235" s="182" t="s">
        <v>615</v>
      </c>
      <c r="E1235" s="5635"/>
      <c r="F1235" s="5635">
        <f t="shared" ref="F1235:O1235" si="534">F1228/$M$621</f>
        <v>141.33333333333334</v>
      </c>
      <c r="G1235" s="5635">
        <f t="shared" si="534"/>
        <v>141.33333333333334</v>
      </c>
      <c r="H1235" s="5635">
        <f t="shared" si="534"/>
        <v>141.33333333333334</v>
      </c>
      <c r="I1235" s="5635">
        <f t="shared" si="534"/>
        <v>141.33333333333334</v>
      </c>
      <c r="J1235" s="5635">
        <f t="shared" si="534"/>
        <v>141.33333333333334</v>
      </c>
      <c r="K1235" s="5635">
        <f t="shared" si="534"/>
        <v>141.33333333333334</v>
      </c>
      <c r="L1235" s="5635">
        <f t="shared" si="534"/>
        <v>141.33333333333334</v>
      </c>
      <c r="M1235" s="5635">
        <f t="shared" si="534"/>
        <v>141.33333333333334</v>
      </c>
      <c r="N1235" s="5635">
        <f t="shared" si="534"/>
        <v>141.33333333333334</v>
      </c>
      <c r="O1235" s="5635">
        <f t="shared" si="534"/>
        <v>141.33333333333334</v>
      </c>
    </row>
    <row r="1236" spans="3:15" x14ac:dyDescent="0.25">
      <c r="C1236" s="5622"/>
      <c r="D1236" s="182" t="s">
        <v>1471</v>
      </c>
      <c r="E1236" s="5635"/>
      <c r="F1236" s="5635">
        <f>V$1210</f>
        <v>0</v>
      </c>
      <c r="G1236" s="5635">
        <f t="shared" ref="G1236:O1236" si="535">W$1210</f>
        <v>0</v>
      </c>
      <c r="H1236" s="5635">
        <f t="shared" si="535"/>
        <v>0</v>
      </c>
      <c r="I1236" s="5635">
        <f t="shared" si="535"/>
        <v>1502.6</v>
      </c>
      <c r="J1236" s="5635">
        <f t="shared" si="535"/>
        <v>1502.6</v>
      </c>
      <c r="K1236" s="5635">
        <f t="shared" si="535"/>
        <v>1502.5999999999995</v>
      </c>
      <c r="L1236" s="5635">
        <f t="shared" si="535"/>
        <v>3005.2000000000003</v>
      </c>
      <c r="M1236" s="5635">
        <f t="shared" si="535"/>
        <v>3005.2000000000003</v>
      </c>
      <c r="N1236" s="5635">
        <f t="shared" si="535"/>
        <v>1502.5999999999995</v>
      </c>
      <c r="O1236" s="5635">
        <f t="shared" si="535"/>
        <v>3005.2000000000003</v>
      </c>
    </row>
    <row r="1237" spans="3:15" x14ac:dyDescent="0.25">
      <c r="C1237" s="5622"/>
      <c r="D1237" s="182" t="s">
        <v>16</v>
      </c>
      <c r="E1237" s="5635"/>
      <c r="F1237" s="5635">
        <f t="shared" ref="F1237:N1237" si="536">F1235+F1236</f>
        <v>141.33333333333334</v>
      </c>
      <c r="G1237" s="5635">
        <f t="shared" si="536"/>
        <v>141.33333333333334</v>
      </c>
      <c r="H1237" s="5635">
        <f t="shared" si="536"/>
        <v>141.33333333333334</v>
      </c>
      <c r="I1237" s="5635">
        <f t="shared" si="536"/>
        <v>1643.9333333333332</v>
      </c>
      <c r="J1237" s="5635">
        <f t="shared" si="536"/>
        <v>1643.9333333333332</v>
      </c>
      <c r="K1237" s="5635">
        <f t="shared" si="536"/>
        <v>1643.9333333333327</v>
      </c>
      <c r="L1237" s="5635">
        <f t="shared" si="536"/>
        <v>3146.5333333333338</v>
      </c>
      <c r="M1237" s="5635">
        <f t="shared" si="536"/>
        <v>3146.5333333333338</v>
      </c>
      <c r="N1237" s="5635">
        <f t="shared" si="536"/>
        <v>1643.9333333333327</v>
      </c>
      <c r="O1237" s="5635">
        <f>O1235+O1236</f>
        <v>3146.5333333333338</v>
      </c>
    </row>
    <row r="1238" spans="3:15" x14ac:dyDescent="0.25">
      <c r="C1238" s="5622" t="s">
        <v>3385</v>
      </c>
      <c r="D1238" s="182" t="s">
        <v>87</v>
      </c>
      <c r="E1238" s="5635"/>
      <c r="F1238" s="5712"/>
      <c r="G1238" s="5712"/>
      <c r="H1238" s="5712"/>
      <c r="I1238" s="5712"/>
      <c r="J1238" s="5712"/>
      <c r="K1238" s="5712"/>
      <c r="L1238" s="5712"/>
      <c r="M1238" s="5712"/>
      <c r="N1238" s="5712"/>
      <c r="O1238" s="5712">
        <f>IF(COUNT($F$1203:O$1203)-$M$621&gt;0,INDEX($F$1203:O$1203,,COUNT($F$1203:O$1203)-$M$621),0)</f>
        <v>0</v>
      </c>
    </row>
    <row r="1239" spans="3:15" x14ac:dyDescent="0.25">
      <c r="D1239" s="182" t="s">
        <v>3407</v>
      </c>
      <c r="E1239" s="9">
        <f>Population!E$41</f>
        <v>0</v>
      </c>
      <c r="F1239" s="9">
        <f>Population!F$41</f>
        <v>0</v>
      </c>
      <c r="G1239" s="9">
        <f>Population!G$41</f>
        <v>0</v>
      </c>
      <c r="H1239" s="9">
        <f>Population!H$41</f>
        <v>0</v>
      </c>
      <c r="I1239" s="9">
        <f>Population!I$41</f>
        <v>0</v>
      </c>
      <c r="J1239" s="9">
        <f>Population!J$41</f>
        <v>0</v>
      </c>
      <c r="K1239" s="9">
        <f>Population!K$41</f>
        <v>0</v>
      </c>
      <c r="L1239" s="9">
        <f>Population!L$41</f>
        <v>0</v>
      </c>
      <c r="M1239" s="9">
        <f>Population!M$41</f>
        <v>0</v>
      </c>
      <c r="N1239" s="9">
        <f>Population!N$41</f>
        <v>0</v>
      </c>
      <c r="O1239" s="9">
        <f>Population!O$41</f>
        <v>0</v>
      </c>
    </row>
    <row r="1240" spans="3:15" x14ac:dyDescent="0.25">
      <c r="C1240" s="5622"/>
      <c r="D1240" s="2574" t="s">
        <v>87</v>
      </c>
    </row>
    <row r="1242" spans="3:15" x14ac:dyDescent="0.25">
      <c r="C1242" s="9" t="s">
        <v>3409</v>
      </c>
      <c r="D1242" s="182" t="s">
        <v>16</v>
      </c>
      <c r="E1242" s="6101">
        <f>(E1222*E1223*E1235+(E1224*E1225*E1239))/CurrencyMultiplier</f>
        <v>0</v>
      </c>
      <c r="F1242" s="6093">
        <f>PRODUCT(SUM(PRODUCT(MIN(F1237,F1233),F1222,F1223)+PRODUCT(F1224,F1225,F1239)),1/CurrencyMultiplier)</f>
        <v>0.70666666666666678</v>
      </c>
      <c r="G1242" s="6093">
        <f>PRODUCT(SUM(PRODUCT(MIN(G1237,G1233),G1222,G1223)+PRODUCT(G1224,G1225,G1239)),1/CurrencyMultiplier)</f>
        <v>0.70666666666666678</v>
      </c>
      <c r="H1242" s="6093">
        <f>PRODUCT(SUM(PRODUCT(MIN(H1237,H1233),H1222,H1223)+PRODUCT(H1224,H1225,H1239)),1/CurrencyMultiplier)</f>
        <v>0.70666666666666678</v>
      </c>
      <c r="I1242" s="6093">
        <f>PRODUCT(SUM(PRODUCT(MIN(I1237,I1233),I1222,I1223)+PRODUCT(I1224,I1225,I1239)),1/CurrencyMultiplier)</f>
        <v>9.8635999999999999</v>
      </c>
      <c r="J1242" s="6093">
        <f>PRODUCT(SUM(PRODUCT(MIN(J1237,J1233),J1222,J1223)+PRODUCT(J1224,J1225,J1239)),1/CurrencyMultiplier)</f>
        <v>9.8635999999999999</v>
      </c>
      <c r="K1242" s="6093">
        <f>PRODUCT(SUM(PRODUCT(MIN(K1237,K1233),K1222,K1223)+PRODUCT(K1224,K1225,K1239)),1/CurrencyMultiplier)</f>
        <v>0</v>
      </c>
      <c r="L1242" s="6093">
        <f>PRODUCT(SUM(PRODUCT(MIN(L1237,L1233),L1222,L1223)+PRODUCT(L1224,L1225,L1239)),1/CurrencyMultiplier)</f>
        <v>0</v>
      </c>
      <c r="M1242" s="6093">
        <f>PRODUCT(SUM(PRODUCT(MIN(M1237,M1233),M1222,M1223)+PRODUCT(M1224,M1225,M1239)),1/CurrencyMultiplier)</f>
        <v>0</v>
      </c>
      <c r="N1242" s="6093">
        <f>PRODUCT(SUM(PRODUCT(MIN(N1237,N1233),N1222,N1223)+PRODUCT(N1224,N1225,N1239)),1/CurrencyMultiplier)</f>
        <v>0</v>
      </c>
      <c r="O1242" s="6093">
        <f>PRODUCT(SUM(PRODUCT(MIN(O1237,O1233),O1222,O1223)+PRODUCT(O1224,O1225,O1239)),1/CurrencyMultiplier)</f>
        <v>0</v>
      </c>
    </row>
    <row r="1243" spans="3:15" x14ac:dyDescent="0.25">
      <c r="D1243" s="182" t="s">
        <v>3412</v>
      </c>
      <c r="F1243" s="6094">
        <f t="shared" ref="F1243:O1243" si="537">F1231/F1233*F1242</f>
        <v>0.70666666666666678</v>
      </c>
      <c r="G1243" s="6094">
        <f t="shared" si="537"/>
        <v>0.28266666666666673</v>
      </c>
      <c r="H1243" s="6094">
        <f t="shared" si="537"/>
        <v>0.28266666666666673</v>
      </c>
      <c r="I1243" s="6094">
        <f t="shared" si="537"/>
        <v>3.9454400000000001</v>
      </c>
      <c r="J1243" s="6094">
        <f t="shared" si="537"/>
        <v>3.9454400000000001</v>
      </c>
      <c r="K1243" s="6094">
        <f t="shared" si="537"/>
        <v>0</v>
      </c>
      <c r="L1243" s="6094">
        <f t="shared" si="537"/>
        <v>0</v>
      </c>
      <c r="M1243" s="6094">
        <f t="shared" si="537"/>
        <v>0</v>
      </c>
      <c r="N1243" s="6094">
        <f t="shared" si="537"/>
        <v>0</v>
      </c>
      <c r="O1243" s="6094">
        <f t="shared" si="537"/>
        <v>0</v>
      </c>
    </row>
    <row r="1244" spans="3:15" x14ac:dyDescent="0.25">
      <c r="D1244" s="182" t="s">
        <v>3413</v>
      </c>
      <c r="F1244" s="6094">
        <f t="shared" ref="F1244:O1244" si="538">F1232/F1233*F1242</f>
        <v>0</v>
      </c>
      <c r="G1244" s="6094">
        <f t="shared" si="538"/>
        <v>0.42400000000000004</v>
      </c>
      <c r="H1244" s="6094">
        <f t="shared" si="538"/>
        <v>0.42400000000000004</v>
      </c>
      <c r="I1244" s="6094">
        <f t="shared" si="538"/>
        <v>5.9181599999999994</v>
      </c>
      <c r="J1244" s="6094">
        <f t="shared" si="538"/>
        <v>5.9181599999999994</v>
      </c>
      <c r="K1244" s="6094">
        <f t="shared" si="538"/>
        <v>0</v>
      </c>
      <c r="L1244" s="6094">
        <f t="shared" si="538"/>
        <v>0</v>
      </c>
      <c r="M1244" s="6094">
        <f t="shared" si="538"/>
        <v>0</v>
      </c>
      <c r="N1244" s="6094">
        <f t="shared" si="538"/>
        <v>0</v>
      </c>
      <c r="O1244" s="6094">
        <f t="shared" si="538"/>
        <v>0</v>
      </c>
    </row>
    <row r="1251" spans="2:16" x14ac:dyDescent="0.25">
      <c r="B1251" s="672"/>
      <c r="C1251" s="672"/>
      <c r="D1251" s="6102"/>
      <c r="E1251" s="672"/>
      <c r="F1251" s="672"/>
      <c r="G1251" s="672"/>
      <c r="H1251" s="672"/>
      <c r="I1251" s="672"/>
      <c r="J1251" s="672"/>
      <c r="K1251" s="672"/>
      <c r="L1251" s="672"/>
      <c r="M1251" s="672"/>
      <c r="N1251" s="672"/>
      <c r="O1251" s="672"/>
      <c r="P1251" s="672"/>
    </row>
    <row r="1252" spans="2:16" x14ac:dyDescent="0.25">
      <c r="B1252" s="672"/>
      <c r="C1252" s="9" t="s">
        <v>3407</v>
      </c>
      <c r="E1252" s="9">
        <f>Population!E41</f>
        <v>0</v>
      </c>
      <c r="F1252" s="9">
        <f>Population!F41</f>
        <v>0</v>
      </c>
      <c r="G1252" s="9">
        <f>Population!G41</f>
        <v>0</v>
      </c>
      <c r="H1252" s="9">
        <f>Population!H41</f>
        <v>0</v>
      </c>
      <c r="I1252" s="9">
        <f>Population!I41</f>
        <v>0</v>
      </c>
      <c r="J1252" s="9">
        <f>Population!J41</f>
        <v>0</v>
      </c>
      <c r="K1252" s="9">
        <f>Population!K41</f>
        <v>0</v>
      </c>
      <c r="L1252" s="9">
        <f>Population!L41</f>
        <v>0</v>
      </c>
      <c r="M1252" s="9">
        <f>Population!M41</f>
        <v>0</v>
      </c>
      <c r="N1252" s="9">
        <f>Population!N41</f>
        <v>0</v>
      </c>
      <c r="O1252" s="9">
        <f>Population!O41</f>
        <v>0</v>
      </c>
      <c r="P1252" s="672"/>
    </row>
    <row r="1254" spans="2:16" x14ac:dyDescent="0.25">
      <c r="C1254" s="9" t="s">
        <v>3604</v>
      </c>
      <c r="D1254" s="182" t="s">
        <v>3607</v>
      </c>
    </row>
    <row r="1255" spans="2:16" x14ac:dyDescent="0.25">
      <c r="D1255" s="182" t="s">
        <v>3605</v>
      </c>
    </row>
    <row r="1256" spans="2:16" x14ac:dyDescent="0.25">
      <c r="D1256" s="182" t="s">
        <v>2761</v>
      </c>
    </row>
    <row r="1257" spans="2:16" x14ac:dyDescent="0.25">
      <c r="D1257" s="182" t="s">
        <v>148</v>
      </c>
    </row>
    <row r="1259" spans="2:16" x14ac:dyDescent="0.25">
      <c r="C1259" s="9" t="s">
        <v>3606</v>
      </c>
      <c r="D1259" s="182" t="s">
        <v>3607</v>
      </c>
      <c r="E1259" s="24">
        <f t="shared" ref="E1259:O1259" si="539">E246+E247</f>
        <v>4218</v>
      </c>
      <c r="F1259" s="24">
        <f t="shared" si="539"/>
        <v>3374.4</v>
      </c>
      <c r="G1259" s="24">
        <f t="shared" si="539"/>
        <v>2530.7999999999997</v>
      </c>
      <c r="H1259" s="24">
        <f t="shared" si="539"/>
        <v>1687.2000000000003</v>
      </c>
      <c r="I1259" s="24">
        <f t="shared" si="539"/>
        <v>843.60000000000014</v>
      </c>
      <c r="J1259" s="24">
        <f t="shared" si="539"/>
        <v>0</v>
      </c>
      <c r="K1259" s="24">
        <f t="shared" si="539"/>
        <v>0</v>
      </c>
      <c r="L1259" s="24">
        <f t="shared" si="539"/>
        <v>0</v>
      </c>
      <c r="M1259" s="24">
        <f t="shared" si="539"/>
        <v>0</v>
      </c>
      <c r="N1259" s="24">
        <f t="shared" si="539"/>
        <v>0</v>
      </c>
      <c r="O1259" s="24">
        <f t="shared" si="539"/>
        <v>0</v>
      </c>
    </row>
    <row r="1260" spans="2:16" x14ac:dyDescent="0.25">
      <c r="D1260" s="182" t="s">
        <v>3605</v>
      </c>
    </row>
    <row r="1261" spans="2:16" x14ac:dyDescent="0.25">
      <c r="D1261" s="182" t="s">
        <v>2761</v>
      </c>
    </row>
    <row r="1262" spans="2:16" x14ac:dyDescent="0.25">
      <c r="D1262" s="182" t="s">
        <v>148</v>
      </c>
    </row>
  </sheetData>
  <mergeCells count="45">
    <mergeCell ref="D165:D166"/>
    <mergeCell ref="B163:B164"/>
    <mergeCell ref="C163:C164"/>
    <mergeCell ref="G237:I237"/>
    <mergeCell ref="D238:F238"/>
    <mergeCell ref="G238:I238"/>
    <mergeCell ref="D237:F237"/>
    <mergeCell ref="B165:B166"/>
    <mergeCell ref="C165:C166"/>
    <mergeCell ref="D383:D384"/>
    <mergeCell ref="C667:C669"/>
    <mergeCell ref="C294:C295"/>
    <mergeCell ref="C296:C297"/>
    <mergeCell ref="C291:C292"/>
    <mergeCell ref="C298:C299"/>
    <mergeCell ref="C312:C313"/>
    <mergeCell ref="C359:C360"/>
    <mergeCell ref="C310:C311"/>
    <mergeCell ref="C318:C319"/>
    <mergeCell ref="B958:B959"/>
    <mergeCell ref="C956:C957"/>
    <mergeCell ref="C951:C952"/>
    <mergeCell ref="C954:C955"/>
    <mergeCell ref="C958:C959"/>
    <mergeCell ref="C250:C251"/>
    <mergeCell ref="C676:C678"/>
    <mergeCell ref="B951:B952"/>
    <mergeCell ref="B954:B955"/>
    <mergeCell ref="B956:B957"/>
    <mergeCell ref="S1217:T1219"/>
    <mergeCell ref="C59:C60"/>
    <mergeCell ref="C61:C62"/>
    <mergeCell ref="B947:B948"/>
    <mergeCell ref="B949:B950"/>
    <mergeCell ref="C947:C948"/>
    <mergeCell ref="C949:C950"/>
    <mergeCell ref="B152:B154"/>
    <mergeCell ref="C152:C154"/>
    <mergeCell ref="B155:B157"/>
    <mergeCell ref="C155:C157"/>
    <mergeCell ref="B158:B160"/>
    <mergeCell ref="C158:C160"/>
    <mergeCell ref="B161:B162"/>
    <mergeCell ref="C161:C162"/>
    <mergeCell ref="C679:C681"/>
  </mergeCells>
  <conditionalFormatting sqref="V1218:AE1218">
    <cfRule type="expression" dxfId="29" priority="1">
      <formula>AND($I$210="No",OR($I$212&gt;=V1217,$I$212=""))</formula>
    </cfRule>
    <cfRule type="expression" dxfId="28" priority="2">
      <formula>AND($I$210="Yes",OR($I$213&gt;=V1217,$I$213=""))</formula>
    </cfRule>
  </conditionalFormatting>
  <pageMargins left="0.7" right="0.7" top="0.75" bottom="0.75" header="0.3" footer="0.3"/>
  <pageSetup paperSize="9" orientation="portrait" verticalDpi="0"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1" tint="4.9989318521683403E-2"/>
  </sheetPr>
  <dimension ref="A1:AC926"/>
  <sheetViews>
    <sheetView showGridLines="0" topLeftCell="A856" zoomScale="85" zoomScaleNormal="85" zoomScalePageLayoutView="80" workbookViewId="0">
      <selection activeCell="O252" sqref="O252"/>
    </sheetView>
  </sheetViews>
  <sheetFormatPr defaultColWidth="9.140625" defaultRowHeight="15" x14ac:dyDescent="0.25"/>
  <cols>
    <col min="1" max="1" width="4.5703125" style="4070" customWidth="1"/>
    <col min="2" max="2" width="7.5703125" style="4071" customWidth="1"/>
    <col min="3" max="3" width="48" style="4071" customWidth="1"/>
    <col min="4" max="4" width="19" style="4086" customWidth="1"/>
    <col min="5" max="5" width="12" style="4087" customWidth="1"/>
    <col min="6" max="14" width="12" style="4071" customWidth="1"/>
    <col min="15" max="15" width="14.28515625" style="4071" customWidth="1"/>
    <col min="16" max="16" width="13.7109375" style="4071" customWidth="1"/>
    <col min="17" max="17" width="13.7109375" style="4070" customWidth="1"/>
    <col min="18" max="18" width="14.28515625" style="4070" customWidth="1"/>
    <col min="19" max="19" width="11.7109375" style="4070" customWidth="1"/>
    <col min="20" max="20" width="14.5703125" style="4070" customWidth="1"/>
    <col min="21" max="21" width="11.28515625" style="4070" bestFit="1" customWidth="1"/>
    <col min="22" max="22" width="12.7109375" style="4070" bestFit="1" customWidth="1"/>
    <col min="23" max="26" width="11.28515625" style="4070" bestFit="1" customWidth="1"/>
    <col min="27" max="27" width="7.28515625" style="4070" customWidth="1"/>
    <col min="28" max="28" width="11.28515625" style="4070" bestFit="1" customWidth="1"/>
    <col min="29" max="29" width="7.28515625" style="4070" customWidth="1"/>
    <col min="30" max="31" width="11.28515625" style="4070" bestFit="1" customWidth="1"/>
    <col min="32" max="32" width="12.7109375" style="4070" bestFit="1" customWidth="1"/>
    <col min="33" max="16384" width="9.140625" style="4070"/>
  </cols>
  <sheetData>
    <row r="1" spans="2:23" x14ac:dyDescent="0.25">
      <c r="C1" s="4071" t="s">
        <v>447</v>
      </c>
      <c r="F1" s="4088">
        <v>1</v>
      </c>
      <c r="G1" s="4088">
        <v>1</v>
      </c>
      <c r="H1" s="4088">
        <f>G1*(1+'Finance info'!$F$20)</f>
        <v>1.07</v>
      </c>
      <c r="I1" s="4088">
        <f>H1*(1+'Finance info'!$F$20)</f>
        <v>1.1449</v>
      </c>
      <c r="J1" s="4088">
        <f>I1*(1+'Finance info'!$F$20)</f>
        <v>1.2250430000000001</v>
      </c>
      <c r="K1" s="4088">
        <f>J1*(1+'Finance info'!$F$20)</f>
        <v>1.3107960100000002</v>
      </c>
      <c r="L1" s="4088">
        <f>K1*(1+'Finance info'!$F$20)</f>
        <v>1.4025517307000004</v>
      </c>
      <c r="M1" s="4088">
        <f>L1*(1+'Finance info'!$F$20)</f>
        <v>1.5007303518490005</v>
      </c>
      <c r="N1" s="4088">
        <f>M1*(1+'Finance info'!$F$20)</f>
        <v>1.6057814764784306</v>
      </c>
      <c r="O1" s="4088">
        <f>N1*(1+'Finance info'!$F$20)</f>
        <v>1.7181861798319209</v>
      </c>
      <c r="P1" s="4088">
        <f>O1*(1+'Finance info'!$F$20)</f>
        <v>1.8384592124201555</v>
      </c>
    </row>
    <row r="2" spans="2:23" x14ac:dyDescent="0.25">
      <c r="C2" s="4071" t="s">
        <v>448</v>
      </c>
      <c r="F2" s="4088">
        <v>1</v>
      </c>
      <c r="G2" s="4088">
        <v>1</v>
      </c>
      <c r="H2" s="4088">
        <f>G2*(1+'Finance info'!$F$21)</f>
        <v>1.05</v>
      </c>
      <c r="I2" s="4088">
        <f>H2*(1+'Finance info'!$F$21)</f>
        <v>1.1025</v>
      </c>
      <c r="J2" s="4088">
        <f>I2*(1+'Finance info'!$F$21)</f>
        <v>1.1576250000000001</v>
      </c>
      <c r="K2" s="4088">
        <f>J2*(1+'Finance info'!$F$21)</f>
        <v>1.2155062500000002</v>
      </c>
      <c r="L2" s="4088">
        <f>K2*(1+'Finance info'!$F$21)</f>
        <v>1.2762815625000004</v>
      </c>
      <c r="M2" s="4088">
        <f>L2*(1+'Finance info'!$F$21)</f>
        <v>1.3400956406250004</v>
      </c>
      <c r="N2" s="4088">
        <f>M2*(1+'Finance info'!$F$21)</f>
        <v>1.4071004226562505</v>
      </c>
      <c r="O2" s="4088">
        <f>N2*(1+'Finance info'!$F$21)</f>
        <v>1.477455443789063</v>
      </c>
      <c r="P2" s="4088">
        <f>O2*(1+'Finance info'!$F$21)</f>
        <v>1.5513282159785162</v>
      </c>
    </row>
    <row r="3" spans="2:23" x14ac:dyDescent="0.25">
      <c r="C3" s="4071" t="s">
        <v>454</v>
      </c>
      <c r="F3" s="4088">
        <v>1</v>
      </c>
      <c r="G3" s="4088">
        <v>1</v>
      </c>
      <c r="H3" s="4088">
        <f>G3*(1+'Finance info'!$F$22)</f>
        <v>1.03</v>
      </c>
      <c r="I3" s="4088">
        <f>H3*(1+'Finance info'!$F$22)</f>
        <v>1.0609</v>
      </c>
      <c r="J3" s="4088">
        <f>I3*(1+'Finance info'!$F$22)</f>
        <v>1.092727</v>
      </c>
      <c r="K3" s="4088">
        <f>J3*(1+'Finance info'!$F$22)</f>
        <v>1.1255088100000001</v>
      </c>
      <c r="L3" s="4088">
        <f>K3*(1+'Finance info'!$F$22)</f>
        <v>1.1592740743000001</v>
      </c>
      <c r="M3" s="4088">
        <f>L3*(1+'Finance info'!$F$22)</f>
        <v>1.1940522965290001</v>
      </c>
      <c r="N3" s="4088">
        <f>M3*(1+'Finance info'!$F$22)</f>
        <v>1.2298738654248702</v>
      </c>
      <c r="O3" s="4088">
        <f>N3*(1+'Finance info'!$F$22)</f>
        <v>1.2667700813876164</v>
      </c>
      <c r="P3" s="4088">
        <f>O3*(1+'Finance info'!$F$22)</f>
        <v>1.3047731838292449</v>
      </c>
    </row>
    <row r="4" spans="2:23" x14ac:dyDescent="0.25">
      <c r="F4" s="4088"/>
      <c r="G4" s="4088"/>
      <c r="H4" s="4088"/>
      <c r="I4" s="4088"/>
      <c r="J4" s="4088"/>
      <c r="K4" s="4088"/>
      <c r="L4" s="4088"/>
      <c r="M4" s="4088"/>
      <c r="N4" s="4088"/>
      <c r="O4" s="4088"/>
      <c r="P4" s="4088"/>
    </row>
    <row r="5" spans="2:23" s="4093" customFormat="1" ht="23.25" x14ac:dyDescent="0.25">
      <c r="B5" s="4089"/>
      <c r="C5" s="4090" t="s">
        <v>84</v>
      </c>
      <c r="D5" s="4091"/>
      <c r="E5" s="4092"/>
      <c r="F5" s="4092"/>
      <c r="G5" s="4092"/>
      <c r="H5" s="4092"/>
      <c r="I5" s="4092"/>
      <c r="J5" s="4092"/>
      <c r="K5" s="4092"/>
      <c r="L5" s="4092"/>
      <c r="M5" s="4092"/>
      <c r="N5" s="4092"/>
      <c r="O5" s="4092"/>
      <c r="P5" s="4092"/>
    </row>
    <row r="6" spans="2:23" s="4097" customFormat="1" ht="21.75" thickBot="1" x14ac:dyDescent="0.3">
      <c r="B6" s="4094"/>
      <c r="C6" s="4095" t="s">
        <v>449</v>
      </c>
      <c r="D6" s="4096" t="s">
        <v>783</v>
      </c>
      <c r="E6" s="1647"/>
      <c r="F6" s="1647"/>
      <c r="G6" s="1647"/>
      <c r="H6" s="1647"/>
      <c r="I6" s="1647"/>
      <c r="J6" s="1647"/>
      <c r="K6" s="1647"/>
      <c r="L6" s="1647"/>
      <c r="M6" s="1647"/>
      <c r="N6" s="1647"/>
      <c r="O6" s="1647"/>
      <c r="P6" s="1647"/>
    </row>
    <row r="7" spans="2:23" ht="15.75" thickBot="1" x14ac:dyDescent="0.3">
      <c r="B7" s="4098" t="s">
        <v>3</v>
      </c>
      <c r="C7" s="4098" t="s">
        <v>4</v>
      </c>
      <c r="D7" s="4099" t="s">
        <v>444</v>
      </c>
      <c r="E7" s="4100" t="s">
        <v>16</v>
      </c>
      <c r="F7" s="4098">
        <f>'WS calcu'!E$3</f>
        <v>2014</v>
      </c>
      <c r="G7" s="4098">
        <f>'WS calcu'!F$3</f>
        <v>2015</v>
      </c>
      <c r="H7" s="4098">
        <f>'WS calcu'!G$3</f>
        <v>2016</v>
      </c>
      <c r="I7" s="4098">
        <f>'WS calcu'!H$3</f>
        <v>2017</v>
      </c>
      <c r="J7" s="4098">
        <f>'WS calcu'!I$3</f>
        <v>2018</v>
      </c>
      <c r="K7" s="4098">
        <f>'WS calcu'!J$3</f>
        <v>2019</v>
      </c>
      <c r="L7" s="4098">
        <f>'WS calcu'!K$3</f>
        <v>2020</v>
      </c>
      <c r="M7" s="4098">
        <f>'WS calcu'!L$3</f>
        <v>2021</v>
      </c>
      <c r="N7" s="4098">
        <f>'WS calcu'!M$3</f>
        <v>2022</v>
      </c>
      <c r="O7" s="4098">
        <f>'WS calcu'!N$3</f>
        <v>2023</v>
      </c>
      <c r="P7" s="4098">
        <f>'WS calcu'!O$3</f>
        <v>2024</v>
      </c>
      <c r="Q7" s="4101">
        <f>NPV(0.1,F9:P9)</f>
        <v>0</v>
      </c>
    </row>
    <row r="8" spans="2:23" ht="15" customHeight="1" x14ac:dyDescent="0.2">
      <c r="B8" s="4102" t="s">
        <v>2</v>
      </c>
      <c r="C8" s="4103" t="s">
        <v>455</v>
      </c>
      <c r="D8" s="4104"/>
      <c r="E8" s="4105"/>
      <c r="F8" s="4106"/>
      <c r="G8" s="4107">
        <f>IF('WS Plan'!$E$22="Activate",IF(AND(G$7&gt;='WS Plan'!$G$22,G$7&lt;'WS Plan'!$H$22+1),'WS Plan'!$H$24/('WS Plan'!$H$22+1-'WS Plan'!$G$22),0),0)</f>
        <v>0</v>
      </c>
      <c r="H8" s="4107">
        <f>IF('WS Plan'!$E$22="Activate",IF(AND(H$7&gt;='WS Plan'!$G$22,H$7&lt;'WS Plan'!$H$22+1),'WS Plan'!$H$24/('WS Plan'!$H$22+1-'WS Plan'!$G$22),0),0)</f>
        <v>0</v>
      </c>
      <c r="I8" s="4107">
        <f>IF('WS Plan'!$E$22="Activate",IF(AND(I$7&gt;='WS Plan'!$G$22,I$7&lt;'WS Plan'!$H$22+1),'WS Plan'!$H$24/('WS Plan'!$H$22+1-'WS Plan'!$G$22),0),0)</f>
        <v>0</v>
      </c>
      <c r="J8" s="4107">
        <f>IF('WS Plan'!$E$22="Activate",IF(AND(J$7&gt;='WS Plan'!$G$22,J$7&lt;'WS Plan'!$H$22+1),'WS Plan'!$H$24/('WS Plan'!$H$22+1-'WS Plan'!$G$22),0),0)</f>
        <v>0</v>
      </c>
      <c r="K8" s="4107">
        <f>IF('WS Plan'!$E$22="Activate",IF(AND(K$7&gt;='WS Plan'!$G$22,K$7&lt;'WS Plan'!$H$22+1),'WS Plan'!$H$24/('WS Plan'!$H$22+1-'WS Plan'!$G$22),0),0)</f>
        <v>0</v>
      </c>
      <c r="L8" s="4107">
        <f>IF('WS Plan'!$E$22="Activate",IF(AND(L$7&gt;='WS Plan'!$G$22,L$7&lt;'WS Plan'!$H$22+1),'WS Plan'!$H$24/('WS Plan'!$H$22+1-'WS Plan'!$G$22),0),0)</f>
        <v>0</v>
      </c>
      <c r="M8" s="4107">
        <f>IF('WS Plan'!$E$22="Activate",IF(AND(M$7&gt;='WS Plan'!$G$22,M$7&lt;'WS Plan'!$H$22+1),'WS Plan'!$H$24/('WS Plan'!$H$22+1-'WS Plan'!$G$22),0),0)</f>
        <v>0</v>
      </c>
      <c r="N8" s="4107">
        <f>IF('WS Plan'!$E$22="Activate",IF(AND(N$7&gt;='WS Plan'!$G$22,N$7&lt;'WS Plan'!$H$22+1),'WS Plan'!$H$24/('WS Plan'!$H$22+1-'WS Plan'!$G$22),0),0)</f>
        <v>0</v>
      </c>
      <c r="O8" s="4107">
        <f>IF('WS Plan'!$E$22="Activate",IF(AND(O$7&gt;='WS Plan'!$G$22,O$7&lt;'WS Plan'!$H$22+1),'WS Plan'!$H$24/('WS Plan'!$H$22+1-'WS Plan'!$G$22),0),0)</f>
        <v>0</v>
      </c>
      <c r="P8" s="4107">
        <f>IF('WS Plan'!$E$22="Activate",IF(AND(P$7&gt;='WS Plan'!$G$22,P$7&lt;'WS Plan'!$H$22+1),'WS Plan'!$H$24/('WS Plan'!$H$22+1-'WS Plan'!$G$22),0),0)</f>
        <v>0</v>
      </c>
      <c r="Q8" s="4108" t="s">
        <v>1374</v>
      </c>
      <c r="R8" s="4109" t="s">
        <v>1377</v>
      </c>
      <c r="S8" s="4109" t="s">
        <v>1240</v>
      </c>
      <c r="T8" s="4109" t="s">
        <v>1378</v>
      </c>
      <c r="U8" s="4109" t="s">
        <v>1277</v>
      </c>
      <c r="V8" s="4109" t="s">
        <v>1278</v>
      </c>
    </row>
    <row r="9" spans="2:23" s="4118" customFormat="1" x14ac:dyDescent="0.25">
      <c r="B9" s="4110" t="s">
        <v>3159</v>
      </c>
      <c r="C9" s="4111" t="str">
        <f>'WS Plan'!F22</f>
        <v xml:space="preserve">Household survey to assess water supply services </v>
      </c>
      <c r="D9" s="4112"/>
      <c r="E9" s="5731">
        <f>SUM($F9:$P9)</f>
        <v>0</v>
      </c>
      <c r="F9" s="4113"/>
      <c r="G9" s="4114">
        <f>(IF('WS Plan'!$E$22="Activate",IF(AND(G$7&gt;='WS Plan'!$G$22,G$7&lt;'WS Plan'!$H$22+1),G8,0),0)*Population!F$31*'WS Plan'!$H$26*G$1)/'General info'!$G$44</f>
        <v>0</v>
      </c>
      <c r="H9" s="4114">
        <f>(IF('WS Plan'!$E$22="Activate",IF(AND(H$7&gt;='WS Plan'!$G$22,H$7&lt;'WS Plan'!$H$22+1),H8,0),0)*Population!G$31*'WS Plan'!$H$26*H$1)/'General info'!$G$44</f>
        <v>0</v>
      </c>
      <c r="I9" s="4114">
        <f>(IF('WS Plan'!$E$22="Activate",IF(AND(I$7&gt;='WS Plan'!$G$22,I$7&lt;'WS Plan'!$H$22+1),I8,0),0)*Population!H$31*'WS Plan'!$H$26*I$1)/'General info'!$G$44</f>
        <v>0</v>
      </c>
      <c r="J9" s="4114">
        <f>(IF('WS Plan'!$E$22="Activate",IF(AND(J$7&gt;='WS Plan'!$G$22,J$7&lt;'WS Plan'!$H$22+1),J8,0),0)*Population!I$31*'WS Plan'!$H$26*J$1)/'General info'!$G$44</f>
        <v>0</v>
      </c>
      <c r="K9" s="4114">
        <f>(IF('WS Plan'!$E$22="Activate",IF(AND(K$7&gt;='WS Plan'!$G$22,K$7&lt;'WS Plan'!$H$22+1),K8,0),0)*Population!J$31*'WS Plan'!$H$26*K$1)/'General info'!$G$44</f>
        <v>0</v>
      </c>
      <c r="L9" s="4114">
        <f>(IF('WS Plan'!$E$22="Activate",IF(AND(L$7&gt;='WS Plan'!$G$22,L$7&lt;'WS Plan'!$H$22+1),L8,0),0)*Population!K$31*'WS Plan'!$H$26*L$1)/'General info'!$G$44</f>
        <v>0</v>
      </c>
      <c r="M9" s="4114">
        <f>(IF('WS Plan'!$E$22="Activate",IF(AND(M$7&gt;='WS Plan'!$G$22,M$7&lt;'WS Plan'!$H$22+1),M8,0),0)*Population!L$31*'WS Plan'!$H$26*M$1)/'General info'!$G$44</f>
        <v>0</v>
      </c>
      <c r="N9" s="4114">
        <f>(IF('WS Plan'!$E$22="Activate",IF(AND(N$7&gt;='WS Plan'!$G$22,N$7&lt;'WS Plan'!$H$22+1),N8,0),0)*Population!M$31*'WS Plan'!$H$26*N$1)/'General info'!$G$44</f>
        <v>0</v>
      </c>
      <c r="O9" s="4114">
        <f>(IF('WS Plan'!$E$22="Activate",IF(AND(O$7&gt;='WS Plan'!$G$22,O$7&lt;'WS Plan'!$H$22+1),O8,0),0)*Population!N$31*'WS Plan'!$H$26*O$1)/'General info'!$G$44</f>
        <v>0</v>
      </c>
      <c r="P9" s="4114">
        <f>(IF('WS Plan'!$E$22="Activate",IF(AND(P$7&gt;='WS Plan'!$G$22,P$7&lt;'WS Plan'!$H$22+1),P8,0),0)*Population!O$31*'WS Plan'!$H$26*P$1)/'General info'!$G$44</f>
        <v>0</v>
      </c>
      <c r="Q9" s="4115">
        <f ca="1">IFERROR(VLOOKUP(C9,'Action Plan finance'!$C$56:$AB$175,20,FALSE),0)</f>
        <v>0</v>
      </c>
      <c r="R9" s="4116">
        <f ca="1">IFERROR(VLOOKUP(C9,'Action Plan finance'!$C$56:$AB$175,21,FALSE),0)</f>
        <v>0</v>
      </c>
      <c r="S9" s="4116">
        <f ca="1">IFERROR(VLOOKUP(C9,'Action Plan finance'!$C$56:$AB$175,22,FALSE),0)</f>
        <v>0</v>
      </c>
      <c r="T9" s="4116">
        <f ca="1">IFERROR(VLOOKUP(C9,'Action Plan finance'!$C$56:$AB$175,23,FALSE),0)</f>
        <v>0</v>
      </c>
      <c r="U9" s="4116"/>
      <c r="V9" s="4116">
        <f ca="1">IFERROR(VLOOKUP(C9,'Action Plan finance'!$C$56:$AB$175,25,FALSE),0)</f>
        <v>0</v>
      </c>
      <c r="W9" s="4117"/>
    </row>
    <row r="10" spans="2:23" x14ac:dyDescent="0.25">
      <c r="B10" s="4110" t="s">
        <v>3160</v>
      </c>
      <c r="C10" s="4111" t="str">
        <f>'WS Plan'!F28</f>
        <v>Computerise water supply records</v>
      </c>
      <c r="D10" s="5733">
        <f>IF('WS Plan'!$E$28="Activate",'WS Plan'!$H$29,0)</f>
        <v>0</v>
      </c>
      <c r="E10" s="5731">
        <f>SUM($F10:$P10)</f>
        <v>0</v>
      </c>
      <c r="F10" s="4121"/>
      <c r="G10" s="4121">
        <f>IF('WS Plan'!$E$28="Activate",IF(AND(G7&gt;='WS Plan'!$G$28,G7&lt;'WS Plan'!$H$28+1),'WS Plan'!$H$29/('WS Plan'!$H$28+1-'WS Plan'!$G$28),0),0)*G$1/'General info'!$G$44</f>
        <v>0</v>
      </c>
      <c r="H10" s="4121">
        <f>IF('WS Plan'!$E$28="Activate",IF(AND(H7&gt;='WS Plan'!$G$28,H7&lt;'WS Plan'!$H$28+1),'WS Plan'!$H$29/('WS Plan'!$H$28+1-'WS Plan'!$G$28),0),0)*H$1/'General info'!$G$44</f>
        <v>0</v>
      </c>
      <c r="I10" s="4121">
        <f>IF('WS Plan'!$E$28="Activate",IF(AND(I7&gt;='WS Plan'!$G$28,I7&lt;'WS Plan'!$H$28+1),'WS Plan'!$H$29/('WS Plan'!$H$28+1-'WS Plan'!$G$28),0),0)*I$1/'General info'!$G$44</f>
        <v>0</v>
      </c>
      <c r="J10" s="4121">
        <f>IF('WS Plan'!$E$28="Activate",IF(AND(J7&gt;='WS Plan'!$G$28,J7&lt;'WS Plan'!$H$28+1),'WS Plan'!$H$29/('WS Plan'!$H$28+1-'WS Plan'!$G$28),0),0)*J$1/'General info'!$G$44</f>
        <v>0</v>
      </c>
      <c r="K10" s="4121">
        <f>IF('WS Plan'!$E$28="Activate",IF(AND(K7&gt;='WS Plan'!$G$28,K7&lt;'WS Plan'!$H$28+1),'WS Plan'!$H$29/('WS Plan'!$H$28+1-'WS Plan'!$G$28),0),0)*K$1/'General info'!$G$44</f>
        <v>0</v>
      </c>
      <c r="L10" s="4121">
        <f>IF('WS Plan'!$E$28="Activate",IF(AND(L7&gt;='WS Plan'!$G$28,L7&lt;'WS Plan'!$H$28+1),'WS Plan'!$H$29/('WS Plan'!$H$28+1-'WS Plan'!$G$28),0),0)*L$1/'General info'!$G$44</f>
        <v>0</v>
      </c>
      <c r="M10" s="4121">
        <f>IF('WS Plan'!$E$28="Activate",IF(AND(M7&gt;='WS Plan'!$G$28,M7&lt;'WS Plan'!$H$28+1),'WS Plan'!$H$29/('WS Plan'!$H$28+1-'WS Plan'!$G$28),0),0)*M$1/'General info'!$G$44</f>
        <v>0</v>
      </c>
      <c r="N10" s="4121">
        <f>IF('WS Plan'!$E$28="Activate",IF(AND(N7&gt;='WS Plan'!$G$28,N7&lt;'WS Plan'!$H$28+1),'WS Plan'!$H$29/('WS Plan'!$H$28+1-'WS Plan'!$G$28),0),0)*N$1/'General info'!$G$44</f>
        <v>0</v>
      </c>
      <c r="O10" s="4121">
        <f>IF('WS Plan'!$E$28="Activate",IF(AND(O7&gt;='WS Plan'!$G$28,O7&lt;'WS Plan'!$H$28+1),'WS Plan'!$H$29/('WS Plan'!$H$28+1-'WS Plan'!$G$28),0),0)*O$1/'General info'!$G$44</f>
        <v>0</v>
      </c>
      <c r="P10" s="4121">
        <f>IF('WS Plan'!$E$28="Activate",IF(AND(P7&gt;='WS Plan'!$G$28,P7&lt;'WS Plan'!$H$28+1),'WS Plan'!$H$29/('WS Plan'!$H$28+1-'WS Plan'!$G$28),0),0)*P$1/'General info'!$G$44</f>
        <v>0</v>
      </c>
      <c r="Q10" s="4115">
        <f ca="1">IFERROR(VLOOKUP(C10,'Action Plan finance'!$C$56:$AB$175,20,FALSE),0)</f>
        <v>0</v>
      </c>
      <c r="R10" s="4116">
        <f ca="1">IFERROR(VLOOKUP(C10,'Action Plan finance'!$C$56:$AB$175,21,FALSE),0)</f>
        <v>0</v>
      </c>
      <c r="S10" s="4116">
        <f ca="1">IFERROR(VLOOKUP(C10,'Action Plan finance'!$C$56:$AB$175,22,FALSE),0)</f>
        <v>0</v>
      </c>
      <c r="T10" s="4116">
        <f ca="1">IFERROR(VLOOKUP(C10,'Action Plan finance'!$C$56:$AB$175,23,FALSE),0)</f>
        <v>0</v>
      </c>
      <c r="U10" s="4116"/>
      <c r="V10" s="4116">
        <f ca="1">IFERROR(VLOOKUP(C10,'Action Plan finance'!$C$56:$AB$175,25,FALSE),0)</f>
        <v>0</v>
      </c>
    </row>
    <row r="11" spans="2:23" ht="30" x14ac:dyDescent="0.25">
      <c r="B11" s="4110" t="s">
        <v>3161</v>
      </c>
      <c r="C11" s="4111" t="str">
        <f>'WS Plan'!F34</f>
        <v>Process improvement for new water supply connection applications</v>
      </c>
      <c r="D11" s="4112"/>
      <c r="E11" s="5735"/>
      <c r="F11" s="4113"/>
      <c r="G11" s="4114"/>
      <c r="H11" s="4114"/>
      <c r="I11" s="4114"/>
      <c r="J11" s="4114"/>
      <c r="K11" s="4114"/>
      <c r="L11" s="4114"/>
      <c r="M11" s="4114"/>
      <c r="N11" s="4114"/>
      <c r="O11" s="4114"/>
      <c r="P11" s="4114"/>
      <c r="Q11" s="4115">
        <f ca="1">IFERROR(VLOOKUP(C11,'Action Plan finance'!$C$56:$AB$175,20,FALSE),0)</f>
        <v>0</v>
      </c>
      <c r="R11" s="4116">
        <f ca="1">IFERROR(VLOOKUP(C11,'Action Plan finance'!$C$56:$AB$175,21,FALSE),0)</f>
        <v>0</v>
      </c>
      <c r="S11" s="4116">
        <f ca="1">IFERROR(VLOOKUP(C11,'Action Plan finance'!$C$56:$AB$175,22,FALSE),0)</f>
        <v>0</v>
      </c>
      <c r="T11" s="4116">
        <f ca="1">IFERROR(VLOOKUP(C11,'Action Plan finance'!$C$56:$AB$175,23,FALSE),0)</f>
        <v>0</v>
      </c>
      <c r="U11" s="4116"/>
      <c r="V11" s="4116">
        <f ca="1">IFERROR(VLOOKUP(C11,'Action Plan finance'!$C$56:$AB$175,25,FALSE),0)</f>
        <v>0</v>
      </c>
    </row>
    <row r="12" spans="2:23" ht="30" x14ac:dyDescent="0.25">
      <c r="B12" s="4110" t="s">
        <v>3162</v>
      </c>
      <c r="C12" s="4111" t="str">
        <f>'WS Plan'!F35</f>
        <v>Policy for providing individual water connections in slums</v>
      </c>
      <c r="D12" s="4119"/>
      <c r="E12" s="5736"/>
      <c r="F12" s="4121"/>
      <c r="G12" s="4122"/>
      <c r="H12" s="4122"/>
      <c r="I12" s="4122"/>
      <c r="J12" s="4122"/>
      <c r="K12" s="4122"/>
      <c r="L12" s="4122"/>
      <c r="M12" s="4122"/>
      <c r="N12" s="4122"/>
      <c r="O12" s="4122"/>
      <c r="P12" s="4122"/>
      <c r="Q12" s="4115">
        <f ca="1">IFERROR(VLOOKUP(C12,'Action Plan finance'!$C$56:$AB$175,20,FALSE),0)</f>
        <v>0</v>
      </c>
      <c r="R12" s="4116">
        <f ca="1">IFERROR(VLOOKUP(C12,'Action Plan finance'!$C$56:$AB$175,21,FALSE),0)</f>
        <v>0</v>
      </c>
      <c r="S12" s="4116">
        <f ca="1">IFERROR(VLOOKUP(C12,'Action Plan finance'!$C$56:$AB$175,22,FALSE),0)</f>
        <v>0</v>
      </c>
      <c r="T12" s="4116">
        <f ca="1">IFERROR(VLOOKUP(C12,'Action Plan finance'!$C$56:$AB$175,23,FALSE),0)</f>
        <v>0</v>
      </c>
      <c r="U12" s="4116"/>
      <c r="V12" s="4116">
        <f ca="1">IFERROR(VLOOKUP(C12,'Action Plan finance'!$C$56:$AB$175,25,FALSE),0)</f>
        <v>0</v>
      </c>
    </row>
    <row r="13" spans="2:23" x14ac:dyDescent="0.25">
      <c r="B13" s="4110" t="s">
        <v>3163</v>
      </c>
      <c r="C13" s="4123" t="str">
        <f>'WS Plan'!F39</f>
        <v>Regularise unauthorised water supply connections</v>
      </c>
      <c r="D13" s="4119"/>
      <c r="E13" s="5737">
        <f>SUM($F13:$P13)</f>
        <v>0</v>
      </c>
      <c r="F13" s="4121"/>
      <c r="G13" s="4121"/>
      <c r="H13" s="4121"/>
      <c r="I13" s="4121"/>
      <c r="J13" s="4121"/>
      <c r="K13" s="4121"/>
      <c r="L13" s="4121"/>
      <c r="M13" s="4121"/>
      <c r="N13" s="4121"/>
      <c r="O13" s="4121"/>
      <c r="P13" s="4121"/>
      <c r="Q13" s="4115">
        <f ca="1">IFERROR(VLOOKUP(C13,'Action Plan finance'!$C$56:$AB$175,20,FALSE),0)</f>
        <v>0</v>
      </c>
      <c r="R13" s="4116">
        <f ca="1">IFERROR(VLOOKUP(C13,'Action Plan finance'!$C$56:$AB$175,21,FALSE),0)</f>
        <v>0</v>
      </c>
      <c r="S13" s="4116">
        <f ca="1">IFERROR(VLOOKUP(C13,'Action Plan finance'!$C$56:$AB$175,22,FALSE),0)</f>
        <v>0</v>
      </c>
      <c r="T13" s="4116">
        <f ca="1">IFERROR(VLOOKUP(C13,'Action Plan finance'!$C$56:$AB$175,23,FALSE),0)</f>
        <v>0</v>
      </c>
      <c r="U13" s="4116"/>
      <c r="V13" s="4116">
        <f ca="1">IFERROR(VLOOKUP(C13,'Action Plan finance'!$C$56:$AB$175,25,FALSE),0)</f>
        <v>0</v>
      </c>
    </row>
    <row r="14" spans="2:23" ht="30" x14ac:dyDescent="0.25">
      <c r="B14" s="4110" t="s">
        <v>3164</v>
      </c>
      <c r="C14" s="4123" t="str">
        <f>'WS Plan'!F44</f>
        <v>Increase connections using existing water supply distribution network</v>
      </c>
      <c r="D14" s="4119"/>
      <c r="E14" s="5737">
        <f>SUM($F14:$P14)</f>
        <v>0</v>
      </c>
      <c r="F14" s="4121"/>
      <c r="G14" s="4121"/>
      <c r="H14" s="4121"/>
      <c r="I14" s="4121"/>
      <c r="J14" s="4121"/>
      <c r="K14" s="4121"/>
      <c r="L14" s="4121"/>
      <c r="M14" s="4121"/>
      <c r="N14" s="4121"/>
      <c r="O14" s="4121"/>
      <c r="P14" s="4121"/>
      <c r="Q14" s="4115">
        <f ca="1">IFERROR(VLOOKUP(C14,'Action Plan finance'!$C$56:$AB$175,20,FALSE),0)</f>
        <v>0</v>
      </c>
      <c r="R14" s="4116">
        <f ca="1">IFERROR(VLOOKUP(C14,'Action Plan finance'!$C$56:$AB$175,21,FALSE),0)</f>
        <v>0</v>
      </c>
      <c r="S14" s="4116">
        <f ca="1">IFERROR(VLOOKUP(C14,'Action Plan finance'!$C$56:$AB$175,22,FALSE),0)</f>
        <v>0</v>
      </c>
      <c r="T14" s="4116">
        <f ca="1">IFERROR(VLOOKUP(C14,'Action Plan finance'!$C$56:$AB$175,23,FALSE),0)</f>
        <v>0</v>
      </c>
      <c r="U14" s="4116"/>
      <c r="V14" s="4116">
        <f ca="1">IFERROR(VLOOKUP(C14,'Action Plan finance'!$C$56:$AB$175,25,FALSE),0)</f>
        <v>0</v>
      </c>
    </row>
    <row r="15" spans="2:23" ht="30" x14ac:dyDescent="0.25">
      <c r="B15" s="4110" t="s">
        <v>3165</v>
      </c>
      <c r="C15" s="4123" t="str">
        <f>'WS Plan'!F49</f>
        <v>Convert stand posts/public taps into group connections</v>
      </c>
      <c r="D15" s="4119"/>
      <c r="E15" s="5737">
        <f>SUM($F15:$P15)</f>
        <v>0</v>
      </c>
      <c r="F15" s="4121"/>
      <c r="G15" s="4121"/>
      <c r="H15" s="4121"/>
      <c r="I15" s="4121"/>
      <c r="J15" s="4121"/>
      <c r="K15" s="4121"/>
      <c r="L15" s="4121"/>
      <c r="M15" s="4121"/>
      <c r="N15" s="4121"/>
      <c r="O15" s="4121"/>
      <c r="P15" s="4121"/>
      <c r="Q15" s="4115">
        <f ca="1">IFERROR(VLOOKUP(C15,'Action Plan finance'!$C$56:$AB$175,20,FALSE),0)</f>
        <v>0</v>
      </c>
      <c r="R15" s="4116">
        <f ca="1">IFERROR(VLOOKUP(C15,'Action Plan finance'!$C$56:$AB$175,21,FALSE),0)</f>
        <v>0</v>
      </c>
      <c r="S15" s="4116">
        <f ca="1">IFERROR(VLOOKUP(C15,'Action Plan finance'!$C$56:$AB$175,22,FALSE),0)</f>
        <v>0</v>
      </c>
      <c r="T15" s="4116">
        <f ca="1">IFERROR(VLOOKUP(C15,'Action Plan finance'!$C$56:$AB$175,23,FALSE),0)</f>
        <v>0</v>
      </c>
      <c r="U15" s="4116"/>
      <c r="V15" s="4116">
        <f ca="1">IFERROR(VLOOKUP(C15,'Action Plan finance'!$C$56:$AB$175,25,FALSE),0)</f>
        <v>0</v>
      </c>
    </row>
    <row r="16" spans="2:23" x14ac:dyDescent="0.25">
      <c r="B16" s="4110" t="s">
        <v>3166</v>
      </c>
      <c r="C16" s="4123" t="str">
        <f>'WS Plan'!F55</f>
        <v>Lay new water supply distribution network</v>
      </c>
      <c r="D16" s="4119">
        <f>IF('WS Plan'!$E$55="Activate",'WS Plan'!$H$62*'WS Plan'!$H$59,0)</f>
        <v>0</v>
      </c>
      <c r="E16" s="5731">
        <f>SUM($F16:$P16)</f>
        <v>0</v>
      </c>
      <c r="F16" s="4121"/>
      <c r="G16" s="4121">
        <f>IF('WS Plan'!$E$55="Activate",IF(AND('PIP finance'!G7&gt;='WS Plan'!$G$55,'PIP finance'!G7&lt;'WS Plan'!$H$55+1),$D$16/(('WS Plan'!$H$55+1-'WS Plan'!$G$55)*'General info'!$G$44),0),0)*G$1</f>
        <v>0</v>
      </c>
      <c r="H16" s="4121">
        <f>IF('WS Plan'!$E$55="Activate",IF(AND('PIP finance'!H7&gt;='WS Plan'!$G$55,'PIP finance'!H7&lt;'WS Plan'!$H$55+1),$D$16/(('WS Plan'!$H$55+1-'WS Plan'!$G$55)*'General info'!$G$44),0),0)*H$1</f>
        <v>0</v>
      </c>
      <c r="I16" s="4121">
        <f>IF('WS Plan'!$E$55="Activate",IF(AND('PIP finance'!I7&gt;='WS Plan'!$G$55,'PIP finance'!I7&lt;'WS Plan'!$H$55+1),$D$16/(('WS Plan'!$H$55+1-'WS Plan'!$G$55)*'General info'!$G$44),0),0)*I$1</f>
        <v>0</v>
      </c>
      <c r="J16" s="4121">
        <f>IF('WS Plan'!$E$55="Activate",IF(AND('PIP finance'!J7&gt;='WS Plan'!$G$55,'PIP finance'!J7&lt;'WS Plan'!$H$55+1),$D$16/(('WS Plan'!$H$55+1-'WS Plan'!$G$55)*'General info'!$G$44),0),0)*J$1</f>
        <v>0</v>
      </c>
      <c r="K16" s="4121">
        <f>IF('WS Plan'!$E$55="Activate",IF(AND('PIP finance'!K7&gt;='WS Plan'!$G$55,'PIP finance'!K7&lt;'WS Plan'!$H$55+1),$D$16/(('WS Plan'!$H$55+1-'WS Plan'!$G$55)*'General info'!$G$44),0),0)*K$1</f>
        <v>0</v>
      </c>
      <c r="L16" s="4121">
        <f>IF('WS Plan'!$E$55="Activate",IF(AND('PIP finance'!L7&gt;='WS Plan'!$G$55,'PIP finance'!L7&lt;'WS Plan'!$H$55+1),$D$16/(('WS Plan'!$H$55+1-'WS Plan'!$G$55)*'General info'!$G$44),0),0)*L$1</f>
        <v>0</v>
      </c>
      <c r="M16" s="4121">
        <f>IF('WS Plan'!$E$55="Activate",IF(AND('PIP finance'!M7&gt;='WS Plan'!$G$55,'PIP finance'!M7&lt;'WS Plan'!$H$55+1),$D$16/(('WS Plan'!$H$55+1-'WS Plan'!$G$55)*'General info'!$G$44),0),0)*M$1</f>
        <v>0</v>
      </c>
      <c r="N16" s="4121">
        <f>IF('WS Plan'!$E$55="Activate",IF(AND('PIP finance'!N7&gt;='WS Plan'!$G$55,'PIP finance'!N7&lt;'WS Plan'!$H$55+1),$D$16/(('WS Plan'!$H$55+1-'WS Plan'!$G$55)*'General info'!$G$44),0),0)*N$1</f>
        <v>0</v>
      </c>
      <c r="O16" s="4121">
        <f>IF('WS Plan'!$E$55="Activate",IF(AND('PIP finance'!O7&gt;='WS Plan'!$G$55,'PIP finance'!O7&lt;'WS Plan'!$H$55+1),$D$16/(('WS Plan'!$H$55+1-'WS Plan'!$G$55)*'General info'!$G$44),0),0)*O$1</f>
        <v>0</v>
      </c>
      <c r="P16" s="4121">
        <f>IF('WS Plan'!$E$55="Activate",IF(AND('PIP finance'!P7&gt;='WS Plan'!$G$55,'PIP finance'!P7&lt;'WS Plan'!$H$55+1),$D$16/(('WS Plan'!$H$55+1-'WS Plan'!$G$55)*'General info'!$G$44),0),0)*P$1</f>
        <v>0</v>
      </c>
      <c r="Q16" s="4115">
        <f ca="1">IFERROR(VLOOKUP(C16,'Action Plan finance'!$C$56:$AB$175,20,FALSE),0)</f>
        <v>0</v>
      </c>
      <c r="R16" s="4116">
        <f ca="1">IFERROR(VLOOKUP(C16,'Action Plan finance'!$C$56:$AB$175,21,FALSE),0)</f>
        <v>0</v>
      </c>
      <c r="S16" s="4116">
        <f ca="1">IFERROR(VLOOKUP(C16,'Action Plan finance'!$C$56:$AB$175,22,FALSE),0)</f>
        <v>0</v>
      </c>
      <c r="T16" s="4116">
        <f ca="1">IFERROR(VLOOKUP(C16,'Action Plan finance'!$C$56:$AB$175,23,FALSE),0)</f>
        <v>0</v>
      </c>
      <c r="U16" s="4116"/>
      <c r="V16" s="4116">
        <f ca="1">IFERROR(VLOOKUP(C16,'Action Plan finance'!$C$56:$AB$175,25,FALSE),0)</f>
        <v>0</v>
      </c>
    </row>
    <row r="17" spans="2:22" ht="30" x14ac:dyDescent="0.25">
      <c r="B17" s="4110" t="s">
        <v>3167</v>
      </c>
      <c r="C17" s="4123" t="str">
        <f>'WS Plan'!F64</f>
        <v>Lay internal infrastructure of water supply lines in slums</v>
      </c>
      <c r="D17" s="4119">
        <f>IF('WS Plan'!$E$64="Activate",'WS Plan'!$H$68*'WS Plan'!$H$69,0)</f>
        <v>0</v>
      </c>
      <c r="E17" s="5731">
        <f>SUM($F17:$P17)</f>
        <v>0</v>
      </c>
      <c r="F17" s="4124"/>
      <c r="G17" s="4124">
        <f>IF('WS Plan'!$E$64="Activate",IF(AND('PIP finance'!G7&gt;='WS Plan'!$G$64,'PIP finance'!G7&lt;'WS Plan'!$H$64+1),$D$17/(('WS Plan'!$H$64+1-'WS Plan'!$G$64)*'General info'!$G$44),0),0)*'PIP finance'!G$1</f>
        <v>0</v>
      </c>
      <c r="H17" s="4124">
        <f>IF('WS Plan'!$E$64="Activate",IF(AND('PIP finance'!H7&gt;='WS Plan'!$G$64,'PIP finance'!H7&lt;'WS Plan'!$H$64+1),$D$17/(('WS Plan'!$H$64+1-'WS Plan'!$G$64)*'General info'!$G$44),0),0)*'PIP finance'!H$1</f>
        <v>0</v>
      </c>
      <c r="I17" s="4124">
        <f>IF('WS Plan'!$E$64="Activate",IF(AND('PIP finance'!I7&gt;='WS Plan'!$G$64,'PIP finance'!I7&lt;'WS Plan'!$H$64+1),$D$17/(('WS Plan'!$H$64+1-'WS Plan'!$G$64)*'General info'!$G$44),0),0)*'PIP finance'!I$1</f>
        <v>0</v>
      </c>
      <c r="J17" s="4124">
        <f>IF('WS Plan'!$E$64="Activate",IF(AND('PIP finance'!J7&gt;='WS Plan'!$G$64,'PIP finance'!J7&lt;'WS Plan'!$H$64+1),$D$17/(('WS Plan'!$H$64+1-'WS Plan'!$G$64)*'General info'!$G$44),0),0)*'PIP finance'!J$1</f>
        <v>0</v>
      </c>
      <c r="K17" s="4124">
        <f>IF('WS Plan'!$E$64="Activate",IF(AND('PIP finance'!K7&gt;='WS Plan'!$G$64,'PIP finance'!K7&lt;'WS Plan'!$H$64+1),$D$17/(('WS Plan'!$H$64+1-'WS Plan'!$G$64)*'General info'!$G$44),0),0)*'PIP finance'!K$1</f>
        <v>0</v>
      </c>
      <c r="L17" s="4124">
        <f>IF('WS Plan'!$E$64="Activate",IF(AND('PIP finance'!L7&gt;='WS Plan'!$G$64,'PIP finance'!L7&lt;'WS Plan'!$H$64+1),$D$17/(('WS Plan'!$H$64+1-'WS Plan'!$G$64)*'General info'!$G$44),0),0)*'PIP finance'!L$1</f>
        <v>0</v>
      </c>
      <c r="M17" s="4124">
        <f>IF('WS Plan'!$E$64="Activate",IF(AND('PIP finance'!M7&gt;='WS Plan'!$G$64,'PIP finance'!M7&lt;'WS Plan'!$H$64+1),$D$17/(('WS Plan'!$H$64+1-'WS Plan'!$G$64)*'General info'!$G$44),0),0)*'PIP finance'!M$1</f>
        <v>0</v>
      </c>
      <c r="N17" s="4124">
        <f>IF('WS Plan'!$E$64="Activate",IF(AND('PIP finance'!N7&gt;='WS Plan'!$G$64,'PIP finance'!N7&lt;'WS Plan'!$H$64+1),$D$17/(('WS Plan'!$H$64+1-'WS Plan'!$G$64)*'General info'!$G$44),0),0)*'PIP finance'!N$1</f>
        <v>0</v>
      </c>
      <c r="O17" s="4124">
        <f>IF('WS Plan'!$E$64="Activate",IF(AND('PIP finance'!O7&gt;='WS Plan'!$G$64,'PIP finance'!O7&lt;'WS Plan'!$H$64+1),$D$17/(('WS Plan'!$H$64+1-'WS Plan'!$G$64)*'General info'!$G$44),0),0)*'PIP finance'!O$1</f>
        <v>0</v>
      </c>
      <c r="P17" s="4124">
        <f>IF('WS Plan'!$E$64="Activate",IF(AND('PIP finance'!P7&gt;='WS Plan'!$G$64,'PIP finance'!P7&lt;'WS Plan'!$H$64+1),$D$17/(('WS Plan'!$H$64+1-'WS Plan'!$G$64)*'General info'!$G$44),0),0)*'PIP finance'!P$1</f>
        <v>0</v>
      </c>
      <c r="Q17" s="4115">
        <f ca="1">IFERROR(VLOOKUP(C17,'Action Plan finance'!$C$56:$AB$175,20,FALSE),0)</f>
        <v>0</v>
      </c>
      <c r="R17" s="4116">
        <f ca="1">IFERROR(VLOOKUP(C17,'Action Plan finance'!$C$56:$AB$175,21,FALSE),0)</f>
        <v>0</v>
      </c>
      <c r="S17" s="4116">
        <f ca="1">IFERROR(VLOOKUP(C17,'Action Plan finance'!$C$56:$AB$175,22,FALSE),0)</f>
        <v>0</v>
      </c>
      <c r="T17" s="4116">
        <f ca="1">IFERROR(VLOOKUP(C17,'Action Plan finance'!$C$56:$AB$175,23,FALSE),0)</f>
        <v>0</v>
      </c>
      <c r="U17" s="4116"/>
      <c r="V17" s="4116">
        <f ca="1">IFERROR(VLOOKUP(C17,'Action Plan finance'!$C$56:$AB$175,25,FALSE),0)</f>
        <v>0</v>
      </c>
    </row>
    <row r="18" spans="2:22" x14ac:dyDescent="0.25">
      <c r="B18" s="4125" t="s">
        <v>8</v>
      </c>
      <c r="C18" s="4126" t="s">
        <v>742</v>
      </c>
      <c r="D18" s="4127"/>
      <c r="E18" s="4128"/>
      <c r="F18" s="4106"/>
      <c r="G18" s="4106"/>
      <c r="H18" s="4106"/>
      <c r="I18" s="4106"/>
      <c r="J18" s="4106"/>
      <c r="K18" s="4106"/>
      <c r="L18" s="4106"/>
      <c r="M18" s="4106"/>
      <c r="N18" s="4106"/>
      <c r="O18" s="4106"/>
      <c r="P18" s="4106"/>
      <c r="Q18" s="4115">
        <f ca="1">IFERROR(VLOOKUP(C18,'Action Plan finance'!$C$56:$AB$175,20,FALSE),0)</f>
        <v>0</v>
      </c>
      <c r="R18" s="4116">
        <f ca="1">IFERROR(VLOOKUP(C18,'Action Plan finance'!$C$56:$AB$175,21,FALSE),0)</f>
        <v>0</v>
      </c>
      <c r="S18" s="4116">
        <f ca="1">IFERROR(VLOOKUP(C18,'Action Plan finance'!$C$56:$AB$175,22,FALSE),0)</f>
        <v>0</v>
      </c>
      <c r="T18" s="4116">
        <f ca="1">IFERROR(VLOOKUP(C18,'Action Plan finance'!$C$56:$AB$175,23,FALSE),0)</f>
        <v>0</v>
      </c>
      <c r="U18" s="4116"/>
      <c r="V18" s="4116">
        <f ca="1">IFERROR(VLOOKUP(C18,'Action Plan finance'!$C$56:$AB$175,25,FALSE),0)</f>
        <v>0</v>
      </c>
    </row>
    <row r="19" spans="2:22" x14ac:dyDescent="0.25">
      <c r="B19" s="4110" t="s">
        <v>3168</v>
      </c>
      <c r="C19" s="4130" t="str">
        <f>'WS Plan'!F76</f>
        <v>Improve water supply quality surveillance</v>
      </c>
      <c r="D19" s="4131"/>
      <c r="E19" s="4120"/>
      <c r="F19" s="4121"/>
      <c r="G19" s="4121"/>
      <c r="H19" s="4121"/>
      <c r="I19" s="4121"/>
      <c r="J19" s="4121"/>
      <c r="K19" s="4121"/>
      <c r="L19" s="4121"/>
      <c r="M19" s="4121"/>
      <c r="N19" s="4121"/>
      <c r="O19" s="4121"/>
      <c r="P19" s="4121"/>
      <c r="Q19" s="4115">
        <f ca="1">IFERROR(VLOOKUP(C19,'Action Plan finance'!$C$56:$AB$175,20,FALSE),0)</f>
        <v>0</v>
      </c>
      <c r="R19" s="4116">
        <f ca="1">IFERROR(VLOOKUP(C19,'Action Plan finance'!$C$56:$AB$175,21,FALSE),0)</f>
        <v>0</v>
      </c>
      <c r="S19" s="4116">
        <f ca="1">IFERROR(VLOOKUP(C19,'Action Plan finance'!$C$56:$AB$175,22,FALSE),0)</f>
        <v>0</v>
      </c>
      <c r="T19" s="4116">
        <f ca="1">IFERROR(VLOOKUP(C19,'Action Plan finance'!$C$56:$AB$175,23,FALSE),0)</f>
        <v>0</v>
      </c>
      <c r="U19" s="4116"/>
      <c r="V19" s="4116">
        <f ca="1">IFERROR(VLOOKUP(C19,'Action Plan finance'!$C$56:$AB$175,25,FALSE),0)</f>
        <v>0</v>
      </c>
    </row>
    <row r="20" spans="2:22" x14ac:dyDescent="0.25">
      <c r="B20" s="4110" t="s">
        <v>3169</v>
      </c>
      <c r="C20" s="4130" t="str">
        <f>'WS Plan'!F80</f>
        <v>Increase continuity of water supply services</v>
      </c>
      <c r="D20" s="4132">
        <f>'WS Plan'!H85</f>
        <v>0</v>
      </c>
      <c r="E20" s="5731">
        <f t="shared" ref="E20:E29" si="0">SUM($F20:$P20)</f>
        <v>0</v>
      </c>
      <c r="F20" s="4121"/>
      <c r="G20" s="4124">
        <f>IF('WS Plan'!$E$80="Activate",IF(AND('PIP finance'!G$7&gt;='WS Plan'!$G$80,'PIP finance'!G$7&lt;'WS Plan'!$H$80+1),'WS Plan'!$H$85/(('WS Plan'!$H$80+1-'WS Plan'!$G$80)*'General info'!$G$44),0),0)*G$1</f>
        <v>0</v>
      </c>
      <c r="H20" s="4124">
        <f>IF('WS Plan'!$E$80="Activate",IF(AND('PIP finance'!H$7&gt;='WS Plan'!$G$80,'PIP finance'!H$7&lt;'WS Plan'!$H$80+1),'WS Plan'!$H$85/(('WS Plan'!$H$80+1-'WS Plan'!$G$80)*'General info'!$G$44),0),0)*H$1</f>
        <v>0</v>
      </c>
      <c r="I20" s="4124">
        <f>IF('WS Plan'!$E$80="Activate",IF(AND('PIP finance'!I$7&gt;='WS Plan'!$G$80,'PIP finance'!I$7&lt;'WS Plan'!$H$80+1),'WS Plan'!$H$85/(('WS Plan'!$H$80+1-'WS Plan'!$G$80)*'General info'!$G$44),0),0)*I$1</f>
        <v>0</v>
      </c>
      <c r="J20" s="4124">
        <f>IF('WS Plan'!$E$80="Activate",IF(AND('PIP finance'!J$7&gt;='WS Plan'!$G$80,'PIP finance'!J$7&lt;'WS Plan'!$H$80+1),'WS Plan'!$H$85/(('WS Plan'!$H$80+1-'WS Plan'!$G$80)*'General info'!$G$44),0),0)*J$1</f>
        <v>0</v>
      </c>
      <c r="K20" s="4124">
        <f>IF('WS Plan'!$E$80="Activate",IF(AND('PIP finance'!K$7&gt;='WS Plan'!$G$80,'PIP finance'!K$7&lt;'WS Plan'!$H$80+1),'WS Plan'!$H$85/(('WS Plan'!$H$80+1-'WS Plan'!$G$80)*'General info'!$G$44),0),0)*K$1</f>
        <v>0</v>
      </c>
      <c r="L20" s="4124">
        <f>IF('WS Plan'!$E$80="Activate",IF(AND('PIP finance'!L$7&gt;='WS Plan'!$G$80,'PIP finance'!L$7&lt;'WS Plan'!$H$80+1),'WS Plan'!$H$85/(('WS Plan'!$H$80+1-'WS Plan'!$G$80)*'General info'!$G$44),0),0)*L$1</f>
        <v>0</v>
      </c>
      <c r="M20" s="4124">
        <f>IF('WS Plan'!$E$80="Activate",IF(AND('PIP finance'!M$7&gt;='WS Plan'!$G$80,'PIP finance'!M$7&lt;'WS Plan'!$H$80+1),'WS Plan'!$H$85/(('WS Plan'!$H$80+1-'WS Plan'!$G$80)*'General info'!$G$44),0),0)*M$1</f>
        <v>0</v>
      </c>
      <c r="N20" s="4124">
        <f>IF('WS Plan'!$E$80="Activate",IF(AND('PIP finance'!N$7&gt;='WS Plan'!$G$80,'PIP finance'!N$7&lt;'WS Plan'!$H$80+1),'WS Plan'!$H$85/(('WS Plan'!$H$80+1-'WS Plan'!$G$80)*'General info'!$G$44),0),0)*N$1</f>
        <v>0</v>
      </c>
      <c r="O20" s="4124">
        <f>IF('WS Plan'!$E$80="Activate",IF(AND('PIP finance'!O$7&gt;='WS Plan'!$G$80,'PIP finance'!O$7&lt;'WS Plan'!$H$80+1),'WS Plan'!$H$85/(('WS Plan'!$H$80+1-'WS Plan'!$G$80)*'General info'!$G$44),0),0)*O$1</f>
        <v>0</v>
      </c>
      <c r="P20" s="4124">
        <f>IF('WS Plan'!$E$80="Activate",IF(AND('PIP finance'!P$7&gt;='WS Plan'!$G$80,'PIP finance'!P$7&lt;'WS Plan'!$H$80+1),'WS Plan'!$H$85/(('WS Plan'!$H$80+1-'WS Plan'!$G$80)*'General info'!$G$44),0),0)*P$1</f>
        <v>0</v>
      </c>
      <c r="Q20" s="4115">
        <f ca="1">IFERROR(VLOOKUP(C20,'Action Plan finance'!$C$56:$AB$175,20,FALSE),0)</f>
        <v>0</v>
      </c>
      <c r="R20" s="4116">
        <f ca="1">IFERROR(VLOOKUP(C20,'Action Plan finance'!$C$56:$AB$175,21,FALSE),0)</f>
        <v>0</v>
      </c>
      <c r="S20" s="4116">
        <f ca="1">IFERROR(VLOOKUP(C20,'Action Plan finance'!$C$56:$AB$175,22,FALSE),0)</f>
        <v>0</v>
      </c>
      <c r="T20" s="4116">
        <f ca="1">IFERROR(VLOOKUP(C20,'Action Plan finance'!$C$56:$AB$175,23,FALSE),0)</f>
        <v>0</v>
      </c>
      <c r="U20" s="4116"/>
      <c r="V20" s="4116">
        <f ca="1">IFERROR(VLOOKUP(C20,'Action Plan finance'!$C$56:$AB$175,25,FALSE),0)</f>
        <v>0</v>
      </c>
    </row>
    <row r="21" spans="2:22" ht="30" x14ac:dyDescent="0.25">
      <c r="B21" s="4110" t="s">
        <v>3170</v>
      </c>
      <c r="C21" s="4123" t="str">
        <f>'WS Plan'!F87</f>
        <v>Repair existing water treatment plant to improve water quality</v>
      </c>
      <c r="D21" s="4132">
        <f>IF('WS Plan'!$E$87="Activate",'WS Plan'!$H$92,0)</f>
        <v>0</v>
      </c>
      <c r="E21" s="5731">
        <f t="shared" si="0"/>
        <v>0</v>
      </c>
      <c r="F21" s="4121"/>
      <c r="G21" s="4121">
        <f>IF('WS Plan'!$E$87="Activate",IF(AND('PIP finance'!G$7&gt;='WS Plan'!$G$87,'PIP finance'!G$7&lt;'WS Plan'!$H$87+1),'WS Plan'!$H$92/(('WS Plan'!$H$87+1-'WS Plan'!$G$87)*'General info'!$G$44),0),0)*G$1</f>
        <v>0</v>
      </c>
      <c r="H21" s="4121">
        <f>IF('WS Plan'!$E$87="Activate",IF(AND('PIP finance'!H$7&gt;='WS Plan'!$G$87,'PIP finance'!H$7&lt;'WS Plan'!$H$87+1),'WS Plan'!$H$92/(('WS Plan'!$H$87+1-'WS Plan'!$G$87)*'General info'!$G$44),0),0)*H$1</f>
        <v>0</v>
      </c>
      <c r="I21" s="4121">
        <f>IF('WS Plan'!$E$87="Activate",IF(AND('PIP finance'!I$7&gt;='WS Plan'!$G$87,'PIP finance'!I$7&lt;'WS Plan'!$H$87+1),'WS Plan'!$H$92/(('WS Plan'!$H$87+1-'WS Plan'!$G$87)*'General info'!$G$44),0),0)*I$1</f>
        <v>0</v>
      </c>
      <c r="J21" s="4121">
        <f>IF('WS Plan'!$E$87="Activate",IF(AND('PIP finance'!J$7&gt;='WS Plan'!$G$87,'PIP finance'!J$7&lt;'WS Plan'!$H$87+1),'WS Plan'!$H$92/(('WS Plan'!$H$87+1-'WS Plan'!$G$87)*'General info'!$G$44),0),0)*J$1</f>
        <v>0</v>
      </c>
      <c r="K21" s="4121">
        <f>IF('WS Plan'!$E$87="Activate",IF(AND('PIP finance'!K$7&gt;='WS Plan'!$G$87,'PIP finance'!K$7&lt;'WS Plan'!$H$87+1),'WS Plan'!$H$92/(('WS Plan'!$H$87+1-'WS Plan'!$G$87)*'General info'!$G$44),0),0)*K$1</f>
        <v>0</v>
      </c>
      <c r="L21" s="4121">
        <f>IF('WS Plan'!$E$87="Activate",IF(AND('PIP finance'!L$7&gt;='WS Plan'!$G$87,'PIP finance'!L$7&lt;'WS Plan'!$H$87+1),'WS Plan'!$H$92/(('WS Plan'!$H$87+1-'WS Plan'!$G$87)*'General info'!$G$44),0),0)*L$1</f>
        <v>0</v>
      </c>
      <c r="M21" s="4121">
        <f>IF('WS Plan'!$E$87="Activate",IF(AND('PIP finance'!M$7&gt;='WS Plan'!$G$87,'PIP finance'!M$7&lt;'WS Plan'!$H$87+1),'WS Plan'!$H$92/(('WS Plan'!$H$87+1-'WS Plan'!$G$87)*'General info'!$G$44),0),0)*M$1</f>
        <v>0</v>
      </c>
      <c r="N21" s="4121">
        <f>IF('WS Plan'!$E$87="Activate",IF(AND('PIP finance'!N$7&gt;='WS Plan'!$G$87,'PIP finance'!N$7&lt;'WS Plan'!$H$87+1),'WS Plan'!$H$92/(('WS Plan'!$H$87+1-'WS Plan'!$G$87)*'General info'!$G$44),0),0)*N$1</f>
        <v>0</v>
      </c>
      <c r="O21" s="4121">
        <f>IF('WS Plan'!$E$87="Activate",IF(AND('PIP finance'!O$7&gt;='WS Plan'!$G$87,'PIP finance'!O$7&lt;'WS Plan'!$H$87+1),'WS Plan'!$H$92/(('WS Plan'!$H$87+1-'WS Plan'!$G$87)*'General info'!$G$44),0),0)*O$1</f>
        <v>0</v>
      </c>
      <c r="P21" s="4121">
        <f>IF('WS Plan'!$E$87="Activate",IF(AND('PIP finance'!P$7&gt;='WS Plan'!$G$87,'PIP finance'!P$7&lt;'WS Plan'!$H$87+1),'WS Plan'!$H$92/(('WS Plan'!$H$87+1-'WS Plan'!$G$87)*'General info'!$G$44),0),0)*P$1</f>
        <v>0</v>
      </c>
      <c r="Q21" s="4115">
        <f ca="1">IFERROR(VLOOKUP(C21,'Action Plan finance'!$C$56:$AB$175,20,FALSE),0)</f>
        <v>0</v>
      </c>
      <c r="R21" s="4116">
        <f ca="1">IFERROR(VLOOKUP(C21,'Action Plan finance'!$C$56:$AB$175,21,FALSE),0)</f>
        <v>0</v>
      </c>
      <c r="S21" s="4116">
        <f ca="1">IFERROR(VLOOKUP(C21,'Action Plan finance'!$C$56:$AB$175,22,FALSE),0)</f>
        <v>0</v>
      </c>
      <c r="T21" s="4116">
        <f ca="1">IFERROR(VLOOKUP(C21,'Action Plan finance'!$C$56:$AB$175,23,FALSE),0)</f>
        <v>0</v>
      </c>
      <c r="U21" s="4116"/>
      <c r="V21" s="4116">
        <f ca="1">IFERROR(VLOOKUP(C21,'Action Plan finance'!$C$56:$AB$175,25,FALSE),0)</f>
        <v>0</v>
      </c>
    </row>
    <row r="22" spans="2:22" s="4118" customFormat="1" x14ac:dyDescent="0.25">
      <c r="B22" s="4110" t="s">
        <v>3171</v>
      </c>
      <c r="C22" s="4123" t="str">
        <f>'WS Plan'!F94</f>
        <v>Treatment of untreated supply ground water</v>
      </c>
      <c r="D22" s="4134"/>
      <c r="E22" s="5742"/>
      <c r="F22" s="4113"/>
      <c r="G22" s="4113"/>
      <c r="H22" s="4113"/>
      <c r="I22" s="4113"/>
      <c r="J22" s="4113"/>
      <c r="K22" s="4113"/>
      <c r="L22" s="4113"/>
      <c r="M22" s="4113"/>
      <c r="N22" s="4113"/>
      <c r="O22" s="4113"/>
      <c r="P22" s="4113"/>
      <c r="Q22" s="4115">
        <f ca="1">IFERROR(VLOOKUP(C22,'Action Plan finance'!$C$56:$AB$175,20,FALSE),0)</f>
        <v>0</v>
      </c>
      <c r="R22" s="4116">
        <f ca="1">IFERROR(VLOOKUP(C22,'Action Plan finance'!$C$56:$AB$175,21,FALSE),0)</f>
        <v>0</v>
      </c>
      <c r="S22" s="4116">
        <f ca="1">IFERROR(VLOOKUP(C22,'Action Plan finance'!$C$56:$AB$175,22,FALSE),0)</f>
        <v>0</v>
      </c>
      <c r="T22" s="4116">
        <f ca="1">IFERROR(VLOOKUP(C22,'Action Plan finance'!$C$56:$AB$175,23,FALSE),0)</f>
        <v>0</v>
      </c>
      <c r="U22" s="4116"/>
      <c r="V22" s="4116">
        <f ca="1">IFERROR(VLOOKUP(C22,'Action Plan finance'!$C$56:$AB$175,25,FALSE),0)</f>
        <v>0</v>
      </c>
    </row>
    <row r="23" spans="2:22" x14ac:dyDescent="0.25">
      <c r="B23" s="4110" t="s">
        <v>3172</v>
      </c>
      <c r="C23" s="4123" t="str">
        <f>'WS Plan'!F103</f>
        <v>Augment water supply - Own surface water</v>
      </c>
      <c r="D23" s="4131">
        <f>IF('WS Plan'!$E$103="Activate",'WS Plan'!$H$106*'WS Plan'!$H$104,0)</f>
        <v>0</v>
      </c>
      <c r="E23" s="5731">
        <f t="shared" si="0"/>
        <v>0</v>
      </c>
      <c r="F23" s="4121"/>
      <c r="G23" s="4121">
        <f>IF('WS Plan'!$E$103="Activate",IF(AND('PIP finance'!G7&gt;='WS Plan'!$G$103,'PIP finance'!G7&lt;'WS Plan'!$H$103+1),$D$23/('WS Plan'!$H$103+1-'WS Plan'!$G$103),0),0)*G$1/'General info'!$G$44</f>
        <v>0</v>
      </c>
      <c r="H23" s="4121">
        <f>IF('WS Plan'!$E$103="Activate",IF(AND('PIP finance'!H7&gt;='WS Plan'!$G$103,'PIP finance'!H7&lt;'WS Plan'!$H$103+1),$D$23/('WS Plan'!$H$103+1-'WS Plan'!$G$103),0),0)*H$1/'General info'!$G$44</f>
        <v>0</v>
      </c>
      <c r="I23" s="4121">
        <f>IF('WS Plan'!$E$103="Activate",IF(AND('PIP finance'!I7&gt;='WS Plan'!$G$103,'PIP finance'!I7&lt;'WS Plan'!$H$103+1),$D$23/('WS Plan'!$H$103+1-'WS Plan'!$G$103),0),0)*I$1/'General info'!$G$44</f>
        <v>0</v>
      </c>
      <c r="J23" s="4121">
        <f>IF('WS Plan'!$E$103="Activate",IF(AND('PIP finance'!J7&gt;='WS Plan'!$G$103,'PIP finance'!J7&lt;'WS Plan'!$H$103+1),$D$23/('WS Plan'!$H$103+1-'WS Plan'!$G$103),0),0)*J$1/'General info'!$G$44</f>
        <v>0</v>
      </c>
      <c r="K23" s="4121">
        <f>IF('WS Plan'!$E$103="Activate",IF(AND('PIP finance'!K7&gt;='WS Plan'!$G$103,'PIP finance'!K7&lt;'WS Plan'!$H$103+1),$D$23/('WS Plan'!$H$103+1-'WS Plan'!$G$103),0),0)*K$1/'General info'!$G$44</f>
        <v>0</v>
      </c>
      <c r="L23" s="4121">
        <f>IF('WS Plan'!$E$103="Activate",IF(AND('PIP finance'!L7&gt;='WS Plan'!$G$103,'PIP finance'!L7&lt;'WS Plan'!$H$103+1),$D$23/('WS Plan'!$H$103+1-'WS Plan'!$G$103),0),0)*L$1/'General info'!$G$44</f>
        <v>0</v>
      </c>
      <c r="M23" s="4121">
        <f>IF('WS Plan'!$E$103="Activate",IF(AND('PIP finance'!M7&gt;='WS Plan'!$G$103,'PIP finance'!M7&lt;'WS Plan'!$H$103+1),$D$23/('WS Plan'!$H$103+1-'WS Plan'!$G$103),0),0)*M$1/'General info'!$G$44</f>
        <v>0</v>
      </c>
      <c r="N23" s="4121">
        <f>IF('WS Plan'!$E$103="Activate",IF(AND('PIP finance'!N7&gt;='WS Plan'!$G$103,'PIP finance'!N7&lt;'WS Plan'!$H$103+1),$D$23/('WS Plan'!$H$103+1-'WS Plan'!$G$103),0),0)*N$1/'General info'!$G$44</f>
        <v>0</v>
      </c>
      <c r="O23" s="4121">
        <f>IF('WS Plan'!$E$103="Activate",IF(AND('PIP finance'!O7&gt;='WS Plan'!$G$103,'PIP finance'!O7&lt;'WS Plan'!$H$103+1),$D$23/('WS Plan'!$H$103+1-'WS Plan'!$G$103),0),0)*O$1/'General info'!$G$44</f>
        <v>0</v>
      </c>
      <c r="P23" s="4121">
        <f>IF('WS Plan'!$E$103="Activate",IF(AND('PIP finance'!P7&gt;='WS Plan'!$G$103,'PIP finance'!P7&lt;'WS Plan'!$H$103+1),$D$23/('WS Plan'!$H$103+1-'WS Plan'!$G$103),0),0)*P$1/'General info'!$G$44</f>
        <v>0</v>
      </c>
      <c r="Q23" s="4115">
        <f ca="1">IFERROR(VLOOKUP(C23,'Action Plan finance'!$C$56:$AB$175,20,FALSE),0)</f>
        <v>0</v>
      </c>
      <c r="R23" s="4116">
        <f ca="1">IFERROR(VLOOKUP(C23,'Action Plan finance'!$C$56:$AB$175,21,FALSE),0)</f>
        <v>0</v>
      </c>
      <c r="S23" s="4116">
        <f ca="1">IFERROR(VLOOKUP(C23,'Action Plan finance'!$C$56:$AB$175,22,FALSE),0)</f>
        <v>0</v>
      </c>
      <c r="T23" s="4116">
        <f ca="1">IFERROR(VLOOKUP(C23,'Action Plan finance'!$C$56:$AB$175,23,FALSE),0)</f>
        <v>0</v>
      </c>
      <c r="U23" s="4116"/>
      <c r="V23" s="4116">
        <f ca="1">IFERROR(VLOOKUP(C23,'Action Plan finance'!$C$56:$AB$175,25,FALSE),0)</f>
        <v>0</v>
      </c>
    </row>
    <row r="24" spans="2:22" x14ac:dyDescent="0.25">
      <c r="B24" s="4110" t="s">
        <v>3173</v>
      </c>
      <c r="C24" s="4123" t="str">
        <f>'WS Plan'!F108</f>
        <v>Augment water supply - Ground water</v>
      </c>
      <c r="D24" s="4131">
        <f>IF('WS Plan'!$E$108="Activate",'WS Plan'!$H$109*'WS Plan'!$H$111,0)</f>
        <v>0</v>
      </c>
      <c r="E24" s="5731">
        <f t="shared" si="0"/>
        <v>0</v>
      </c>
      <c r="F24" s="4121"/>
      <c r="G24" s="4121">
        <f>IF('WS Plan'!$E$108="Activate",IF(AND('PIP finance'!G$7&gt;='WS Plan'!$G$108,'PIP finance'!G$7&lt;'WS Plan'!$H$108+1),$D$24/('WS Plan'!$H$108+1-'WS Plan'!$G$108),0),0)*G$1/'General info'!$G$44</f>
        <v>0</v>
      </c>
      <c r="H24" s="4121">
        <f>IF('WS Plan'!$E$108="Activate",IF(AND('PIP finance'!H$7&gt;='WS Plan'!$G$108,'PIP finance'!H$7&lt;'WS Plan'!$H$108+1),$D$24/('WS Plan'!$H$108+1-'WS Plan'!$G$108),0),0)*H$1/'General info'!$G$44</f>
        <v>0</v>
      </c>
      <c r="I24" s="4121">
        <f>IF('WS Plan'!$E$108="Activate",IF(AND('PIP finance'!I$7&gt;='WS Plan'!$G$108,'PIP finance'!I$7&lt;'WS Plan'!$H$108+1),$D$24/('WS Plan'!$H$108+1-'WS Plan'!$G$108),0),0)*I$1/'General info'!$G$44</f>
        <v>0</v>
      </c>
      <c r="J24" s="4121">
        <f>IF('WS Plan'!$E$108="Activate",IF(AND('PIP finance'!J$7&gt;='WS Plan'!$G$108,'PIP finance'!J$7&lt;'WS Plan'!$H$108+1),$D$24/('WS Plan'!$H$108+1-'WS Plan'!$G$108),0),0)*J$1/'General info'!$G$44</f>
        <v>0</v>
      </c>
      <c r="K24" s="4121">
        <f>IF('WS Plan'!$E$108="Activate",IF(AND('PIP finance'!K$7&gt;='WS Plan'!$G$108,'PIP finance'!K$7&lt;'WS Plan'!$H$108+1),$D$24/('WS Plan'!$H$108+1-'WS Plan'!$G$108),0),0)*K$1/'General info'!$G$44</f>
        <v>0</v>
      </c>
      <c r="L24" s="4121">
        <f>IF('WS Plan'!$E$108="Activate",IF(AND('PIP finance'!L$7&gt;='WS Plan'!$G$108,'PIP finance'!L$7&lt;'WS Plan'!$H$108+1),$D$24/('WS Plan'!$H$108+1-'WS Plan'!$G$108),0),0)*L$1/'General info'!$G$44</f>
        <v>0</v>
      </c>
      <c r="M24" s="4121">
        <f>IF('WS Plan'!$E$108="Activate",IF(AND('PIP finance'!M$7&gt;='WS Plan'!$G$108,'PIP finance'!M$7&lt;'WS Plan'!$H$108+1),$D$24/('WS Plan'!$H$108+1-'WS Plan'!$G$108),0),0)*M$1/'General info'!$G$44</f>
        <v>0</v>
      </c>
      <c r="N24" s="4121">
        <f>IF('WS Plan'!$E$108="Activate",IF(AND('PIP finance'!N$7&gt;='WS Plan'!$G$108,'PIP finance'!N$7&lt;'WS Plan'!$H$108+1),$D$24/('WS Plan'!$H$108+1-'WS Plan'!$G$108),0),0)*N$1/'General info'!$G$44</f>
        <v>0</v>
      </c>
      <c r="O24" s="4121">
        <f>IF('WS Plan'!$E$108="Activate",IF(AND('PIP finance'!O$7&gt;='WS Plan'!$G$108,'PIP finance'!O$7&lt;'WS Plan'!$H$108+1),$D$24/('WS Plan'!$H$108+1-'WS Plan'!$G$108),0),0)*O$1/'General info'!$G$44</f>
        <v>0</v>
      </c>
      <c r="P24" s="4121">
        <f>IF('WS Plan'!$E$108="Activate",IF(AND('PIP finance'!P$7&gt;='WS Plan'!$G$108,'PIP finance'!P$7&lt;'WS Plan'!$H$108+1),$D$24/('WS Plan'!$H$108+1-'WS Plan'!$G$108),0),0)*P$1/'General info'!$G$44</f>
        <v>0</v>
      </c>
      <c r="Q24" s="4115">
        <f ca="1">IFERROR(VLOOKUP(C24,'Action Plan finance'!$C$56:$AB$175,20,FALSE),0)</f>
        <v>0</v>
      </c>
      <c r="R24" s="4116">
        <f ca="1">IFERROR(VLOOKUP(C24,'Action Plan finance'!$C$56:$AB$175,21,FALSE),0)</f>
        <v>0</v>
      </c>
      <c r="S24" s="4116">
        <f ca="1">IFERROR(VLOOKUP(C24,'Action Plan finance'!$C$56:$AB$175,22,FALSE),0)</f>
        <v>0</v>
      </c>
      <c r="T24" s="4116">
        <f ca="1">IFERROR(VLOOKUP(C24,'Action Plan finance'!$C$56:$AB$175,23,FALSE),0)</f>
        <v>0</v>
      </c>
      <c r="U24" s="4116"/>
      <c r="V24" s="4116">
        <f ca="1">IFERROR(VLOOKUP(C24,'Action Plan finance'!$C$56:$AB$175,25,FALSE),0)</f>
        <v>0</v>
      </c>
    </row>
    <row r="25" spans="2:22" ht="30" x14ac:dyDescent="0.25">
      <c r="B25" s="4110" t="s">
        <v>3174</v>
      </c>
      <c r="C25" s="4123" t="str">
        <f>'WS Plan'!F113</f>
        <v xml:space="preserve">Augment water supply - Buy additional treated bulk water </v>
      </c>
      <c r="D25" s="4131">
        <f>IF('WS Plan'!$E$113="Activate",'WS Plan'!$H$116,0)</f>
        <v>0</v>
      </c>
      <c r="E25" s="5731">
        <f t="shared" si="0"/>
        <v>0</v>
      </c>
      <c r="F25" s="4121"/>
      <c r="G25" s="4121">
        <f>IF('WS Plan'!$E$113="Activate",IF(AND('PIP finance'!G$7&gt;='WS Plan'!$G$113,'PIP finance'!G$7&lt;'WS Plan'!$H$113+1),$D$25/('WS Plan'!$H$113+1-'WS Plan'!$G$113),0),0)*G$1/'General info'!$G$44</f>
        <v>0</v>
      </c>
      <c r="H25" s="4121">
        <f>IF('WS Plan'!$E$113="Activate",IF(AND('PIP finance'!H$7&gt;='WS Plan'!$G$113,'PIP finance'!H$7&lt;'WS Plan'!$H$113+1),$D$25/('WS Plan'!$H$113+1-'WS Plan'!$G$113),0),0)*H$1/'General info'!$G$44</f>
        <v>0</v>
      </c>
      <c r="I25" s="4121">
        <f>IF('WS Plan'!$E$113="Activate",IF(AND('PIP finance'!I$7&gt;='WS Plan'!$G$113,'PIP finance'!I$7&lt;'WS Plan'!$H$113+1),$D$25/('WS Plan'!$H$113+1-'WS Plan'!$G$113),0),0)*I$1/'General info'!$G$44</f>
        <v>0</v>
      </c>
      <c r="J25" s="4121">
        <f>IF('WS Plan'!$E$113="Activate",IF(AND('PIP finance'!J$7&gt;='WS Plan'!$G$113,'PIP finance'!J$7&lt;'WS Plan'!$H$113+1),$D$25/('WS Plan'!$H$113+1-'WS Plan'!$G$113),0),0)*J$1/'General info'!$G$44</f>
        <v>0</v>
      </c>
      <c r="K25" s="4121">
        <f>IF('WS Plan'!$E$113="Activate",IF(AND('PIP finance'!K$7&gt;='WS Plan'!$G$113,'PIP finance'!K$7&lt;'WS Plan'!$H$113+1),$D$25/('WS Plan'!$H$113+1-'WS Plan'!$G$113),0),0)*K$1/'General info'!$G$44</f>
        <v>0</v>
      </c>
      <c r="L25" s="4121">
        <f>IF('WS Plan'!$E$113="Activate",IF(AND('PIP finance'!L$7&gt;='WS Plan'!$G$113,'PIP finance'!L$7&lt;'WS Plan'!$H$113+1),$D$25/('WS Plan'!$H$113+1-'WS Plan'!$G$113),0),0)*L$1/'General info'!$G$44</f>
        <v>0</v>
      </c>
      <c r="M25" s="4121">
        <f>IF('WS Plan'!$E$113="Activate",IF(AND('PIP finance'!M$7&gt;='WS Plan'!$G$113,'PIP finance'!M$7&lt;'WS Plan'!$H$113+1),$D$25/('WS Plan'!$H$113+1-'WS Plan'!$G$113),0),0)*M$1/'General info'!$G$44</f>
        <v>0</v>
      </c>
      <c r="N25" s="4121">
        <f>IF('WS Plan'!$E$113="Activate",IF(AND('PIP finance'!N$7&gt;='WS Plan'!$G$113,'PIP finance'!N$7&lt;'WS Plan'!$H$113+1),$D$25/('WS Plan'!$H$113+1-'WS Plan'!$G$113),0),0)*N$1/'General info'!$G$44</f>
        <v>0</v>
      </c>
      <c r="O25" s="4121">
        <f>IF('WS Plan'!$E$113="Activate",IF(AND('PIP finance'!O$7&gt;='WS Plan'!$G$113,'PIP finance'!O$7&lt;'WS Plan'!$H$113+1),$D$25/('WS Plan'!$H$113+1-'WS Plan'!$G$113),0),0)*O$1/'General info'!$G$44</f>
        <v>0</v>
      </c>
      <c r="P25" s="4121">
        <f>IF('WS Plan'!$E$113="Activate",IF(AND('PIP finance'!P$7&gt;='WS Plan'!$G$113,'PIP finance'!P$7&lt;'WS Plan'!$H$113+1),$D$25/('WS Plan'!$H$113+1-'WS Plan'!$G$113),0),0)*P$1/'General info'!$G$44</f>
        <v>0</v>
      </c>
      <c r="Q25" s="4115">
        <f ca="1">IFERROR(VLOOKUP(C25,'Action Plan finance'!$C$56:$AB$175,20,FALSE),0)</f>
        <v>0</v>
      </c>
      <c r="R25" s="4116">
        <f ca="1">IFERROR(VLOOKUP(C25,'Action Plan finance'!$C$56:$AB$175,21,FALSE),0)</f>
        <v>0</v>
      </c>
      <c r="S25" s="4116">
        <f ca="1">IFERROR(VLOOKUP(C25,'Action Plan finance'!$C$56:$AB$175,22,FALSE),0)</f>
        <v>0</v>
      </c>
      <c r="T25" s="4116">
        <f ca="1">IFERROR(VLOOKUP(C25,'Action Plan finance'!$C$56:$AB$175,23,FALSE),0)</f>
        <v>0</v>
      </c>
      <c r="U25" s="4116"/>
      <c r="V25" s="4116">
        <f ca="1">IFERROR(VLOOKUP(C25,'Action Plan finance'!$C$56:$AB$175,25,FALSE),0)</f>
        <v>0</v>
      </c>
    </row>
    <row r="26" spans="2:22" ht="30" x14ac:dyDescent="0.25">
      <c r="B26" s="4110" t="s">
        <v>3175</v>
      </c>
      <c r="C26" s="4123" t="str">
        <f>'WS Plan'!F119</f>
        <v xml:space="preserve">Augment water supply - Buy additional raw bulk water </v>
      </c>
      <c r="D26" s="4131">
        <f>IF('WS Plan'!$E$119="Activate",'WS Plan'!$H$122,0)</f>
        <v>0</v>
      </c>
      <c r="E26" s="5731">
        <f t="shared" si="0"/>
        <v>0</v>
      </c>
      <c r="F26" s="4121"/>
      <c r="G26" s="4121">
        <f>IF('WS Plan'!$E$119="Activate",IF(AND('PIP finance'!G$7&gt;='WS Plan'!$G$119,'PIP finance'!G$7&lt;'WS Plan'!$H$119+1),$D$26/('WS Plan'!$H$119+1-'WS Plan'!$G$119),0),0)*G$1/'General info'!$G$44</f>
        <v>0</v>
      </c>
      <c r="H26" s="4121">
        <f>IF('WS Plan'!$E$119="Activate",IF(AND('PIP finance'!H$7&gt;='WS Plan'!$G$119,'PIP finance'!H$7&lt;'WS Plan'!$H$119+1),$D$26/('WS Plan'!$H$119+1-'WS Plan'!$G$119),0),0)*H$1/'General info'!$G$44</f>
        <v>0</v>
      </c>
      <c r="I26" s="4121">
        <f>IF('WS Plan'!$E$119="Activate",IF(AND('PIP finance'!I$7&gt;='WS Plan'!$G$119,'PIP finance'!I$7&lt;'WS Plan'!$H$119+1),$D$26/('WS Plan'!$H$119+1-'WS Plan'!$G$119),0),0)*I$1/'General info'!$G$44</f>
        <v>0</v>
      </c>
      <c r="J26" s="4121">
        <f>IF('WS Plan'!$E$119="Activate",IF(AND('PIP finance'!J$7&gt;='WS Plan'!$G$119,'PIP finance'!J$7&lt;'WS Plan'!$H$119+1),$D$26/('WS Plan'!$H$119+1-'WS Plan'!$G$119),0),0)*J$1/'General info'!$G$44</f>
        <v>0</v>
      </c>
      <c r="K26" s="4121">
        <f>IF('WS Plan'!$E$119="Activate",IF(AND('PIP finance'!K$7&gt;='WS Plan'!$G$119,'PIP finance'!K$7&lt;'WS Plan'!$H$119+1),$D$26/('WS Plan'!$H$119+1-'WS Plan'!$G$119),0),0)*K$1/'General info'!$G$44</f>
        <v>0</v>
      </c>
      <c r="L26" s="4121">
        <f>IF('WS Plan'!$E$119="Activate",IF(AND('PIP finance'!L$7&gt;='WS Plan'!$G$119,'PIP finance'!L$7&lt;'WS Plan'!$H$119+1),$D$26/('WS Plan'!$H$119+1-'WS Plan'!$G$119),0),0)*L$1/'General info'!$G$44</f>
        <v>0</v>
      </c>
      <c r="M26" s="4121">
        <f>IF('WS Plan'!$E$119="Activate",IF(AND('PIP finance'!M$7&gt;='WS Plan'!$G$119,'PIP finance'!M$7&lt;'WS Plan'!$H$119+1),$D$26/('WS Plan'!$H$119+1-'WS Plan'!$G$119),0),0)*M$1/'General info'!$G$44</f>
        <v>0</v>
      </c>
      <c r="N26" s="4121">
        <f>IF('WS Plan'!$E$119="Activate",IF(AND('PIP finance'!N$7&gt;='WS Plan'!$G$119,'PIP finance'!N$7&lt;'WS Plan'!$H$119+1),$D$26/('WS Plan'!$H$119+1-'WS Plan'!$G$119),0),0)*N$1/'General info'!$G$44</f>
        <v>0</v>
      </c>
      <c r="O26" s="4121">
        <f>IF('WS Plan'!$E$119="Activate",IF(AND('PIP finance'!O$7&gt;='WS Plan'!$G$119,'PIP finance'!O$7&lt;'WS Plan'!$H$119+1),$D$26/('WS Plan'!$H$119+1-'WS Plan'!$G$119),0),0)*O$1/'General info'!$G$44</f>
        <v>0</v>
      </c>
      <c r="P26" s="4121">
        <f>IF('WS Plan'!$E$119="Activate",IF(AND('PIP finance'!P$7&gt;='WS Plan'!$G$119,'PIP finance'!P$7&lt;'WS Plan'!$H$119+1),$D$26/('WS Plan'!$H$119+1-'WS Plan'!$G$119),0),0)*P$1/'General info'!$G$44</f>
        <v>0</v>
      </c>
      <c r="Q26" s="4115">
        <f ca="1">IFERROR(VLOOKUP(C26,'Action Plan finance'!$C$56:$AB$175,20,FALSE),0)</f>
        <v>0</v>
      </c>
      <c r="R26" s="4116">
        <f ca="1">IFERROR(VLOOKUP(C26,'Action Plan finance'!$C$56:$AB$175,21,FALSE),0)</f>
        <v>0</v>
      </c>
      <c r="S26" s="4116">
        <f ca="1">IFERROR(VLOOKUP(C26,'Action Plan finance'!$C$56:$AB$175,22,FALSE),0)</f>
        <v>0</v>
      </c>
      <c r="T26" s="4116">
        <f ca="1">IFERROR(VLOOKUP(C26,'Action Plan finance'!$C$56:$AB$175,23,FALSE),0)</f>
        <v>0</v>
      </c>
      <c r="U26" s="4116"/>
      <c r="V26" s="4116">
        <f ca="1">IFERROR(VLOOKUP(C26,'Action Plan finance'!$C$56:$AB$175,25,FALSE),0)</f>
        <v>0</v>
      </c>
    </row>
    <row r="27" spans="2:22" ht="30" x14ac:dyDescent="0.25">
      <c r="B27" s="4110" t="s">
        <v>3177</v>
      </c>
      <c r="C27" s="4111" t="str">
        <f>'WS Plan'!F125</f>
        <v>Expand/replace water supply transmission network</v>
      </c>
      <c r="D27" s="4131">
        <f>IF('WS Plan'!$E$125="Activate",'WS Plan'!$H$126*'WS Plan'!$H$127,0)</f>
        <v>0</v>
      </c>
      <c r="E27" s="5731">
        <f t="shared" si="0"/>
        <v>0</v>
      </c>
      <c r="F27" s="4135"/>
      <c r="G27" s="4135">
        <f>IF('WS Plan'!$E$125="Activate",IF(AND('PIP finance'!G7&gt;='WS Plan'!$G$125,'PIP finance'!G7&lt;'WS Plan'!$H$125+1),$D$27/('WS Plan'!$H$125+1-'WS Plan'!$G$125),0),0)*G$1/'General info'!$G$44</f>
        <v>0</v>
      </c>
      <c r="H27" s="4135">
        <f>IF('WS Plan'!$E$125="Activate",IF(AND('PIP finance'!H7&gt;='WS Plan'!$G$125,'PIP finance'!H7&lt;'WS Plan'!$H$125+1),$D$27/('WS Plan'!$H$125+1-'WS Plan'!$G$125),0),0)*H$1/'General info'!$G$44</f>
        <v>0</v>
      </c>
      <c r="I27" s="4135">
        <f>IF('WS Plan'!$E$125="Activate",IF(AND('PIP finance'!I7&gt;='WS Plan'!$G$125,'PIP finance'!I7&lt;'WS Plan'!$H$125+1),$D$27/('WS Plan'!$H$125+1-'WS Plan'!$G$125),0),0)*I$1/'General info'!$G$44</f>
        <v>0</v>
      </c>
      <c r="J27" s="4135">
        <f>IF('WS Plan'!$E$125="Activate",IF(AND('PIP finance'!J7&gt;='WS Plan'!$G$125,'PIP finance'!J7&lt;'WS Plan'!$H$125+1),$D$27/('WS Plan'!$H$125+1-'WS Plan'!$G$125),0),0)*J$1/'General info'!$G$44</f>
        <v>0</v>
      </c>
      <c r="K27" s="4135">
        <f>IF('WS Plan'!$E$125="Activate",IF(AND('PIP finance'!K7&gt;='WS Plan'!$G$125,'PIP finance'!K7&lt;'WS Plan'!$H$125+1),$D$27/('WS Plan'!$H$125+1-'WS Plan'!$G$125),0),0)*K$1/'General info'!$G$44</f>
        <v>0</v>
      </c>
      <c r="L27" s="4135">
        <f>IF('WS Plan'!$E$125="Activate",IF(AND('PIP finance'!L7&gt;='WS Plan'!$G$125,'PIP finance'!L7&lt;'WS Plan'!$H$125+1),$D$27/('WS Plan'!$H$125+1-'WS Plan'!$G$125),0),0)*L$1/'General info'!$G$44</f>
        <v>0</v>
      </c>
      <c r="M27" s="4135">
        <f>IF('WS Plan'!$E$125="Activate",IF(AND('PIP finance'!M7&gt;='WS Plan'!$G$125,'PIP finance'!M7&lt;'WS Plan'!$H$125+1),$D$27/('WS Plan'!$H$125+1-'WS Plan'!$G$125),0),0)*M$1/'General info'!$G$44</f>
        <v>0</v>
      </c>
      <c r="N27" s="4135">
        <f>IF('WS Plan'!$E$125="Activate",IF(AND('PIP finance'!N7&gt;='WS Plan'!$G$125,'PIP finance'!N7&lt;'WS Plan'!$H$125+1),$D$27/('WS Plan'!$H$125+1-'WS Plan'!$G$125),0),0)*N$1/'General info'!$G$44</f>
        <v>0</v>
      </c>
      <c r="O27" s="4135">
        <f>IF('WS Plan'!$E$125="Activate",IF(AND('PIP finance'!O7&gt;='WS Plan'!$G$125,'PIP finance'!O7&lt;'WS Plan'!$H$125+1),$D$27/('WS Plan'!$H$125+1-'WS Plan'!$G$125),0),0)*O$1/'General info'!$G$44</f>
        <v>0</v>
      </c>
      <c r="P27" s="4135">
        <f>IF('WS Plan'!$E$125="Activate",IF(AND('PIP finance'!P7&gt;='WS Plan'!$G$125,'PIP finance'!P7&lt;'WS Plan'!$H$125+1),$D$27/('WS Plan'!$H$125+1-'WS Plan'!$G$125),0),0)*P$1/'General info'!$G$44</f>
        <v>0</v>
      </c>
      <c r="Q27" s="4115">
        <f ca="1">IFERROR(VLOOKUP(C27,'Action Plan finance'!$C$56:$AB$175,20,FALSE),0)</f>
        <v>0</v>
      </c>
      <c r="R27" s="4116">
        <f ca="1">IFERROR(VLOOKUP(C27,'Action Plan finance'!$C$56:$AB$175,21,FALSE),0)</f>
        <v>0</v>
      </c>
      <c r="S27" s="4116">
        <f ca="1">IFERROR(VLOOKUP(C27,'Action Plan finance'!$C$56:$AB$175,22,FALSE),0)</f>
        <v>0</v>
      </c>
      <c r="T27" s="4116">
        <f ca="1">IFERROR(VLOOKUP(C27,'Action Plan finance'!$C$56:$AB$175,23,FALSE),0)</f>
        <v>0</v>
      </c>
      <c r="U27" s="4116"/>
      <c r="V27" s="4116">
        <f ca="1">IFERROR(VLOOKUP(C27,'Action Plan finance'!$C$56:$AB$175,25,FALSE),0)</f>
        <v>0</v>
      </c>
    </row>
    <row r="28" spans="2:22" x14ac:dyDescent="0.25">
      <c r="B28" s="4110" t="s">
        <v>3176</v>
      </c>
      <c r="C28" s="4111" t="str">
        <f>'WS Plan'!F129</f>
        <v>Construct/augment water treatment plant</v>
      </c>
      <c r="D28" s="4132">
        <f>IF('WS Plan'!$E$129="Activate",'WS Plan'!$H$133*'WS Plan'!$H$132,0)</f>
        <v>0</v>
      </c>
      <c r="E28" s="5731">
        <f t="shared" si="0"/>
        <v>0</v>
      </c>
      <c r="F28" s="4121"/>
      <c r="G28" s="4121">
        <f>IF('WS Plan'!$E$129="Activate",IF(AND('PIP finance'!G$7&gt;='WS Plan'!$G$129,'PIP finance'!G$7&lt;'WS Plan'!$H$129+1),$D$28/('WS Plan'!$H$129+1-'WS Plan'!$G$129),0),0)*G$1/'General info'!$G$44</f>
        <v>0</v>
      </c>
      <c r="H28" s="4121">
        <f>IF('WS Plan'!$E$129="Activate",IF(AND('PIP finance'!H$7&gt;='WS Plan'!$G$129,'PIP finance'!H$7&lt;'WS Plan'!$H$129+1),$D$28/('WS Plan'!$H$129+1-'WS Plan'!$G$129),0),0)*H$1/'General info'!$G$44</f>
        <v>0</v>
      </c>
      <c r="I28" s="4121">
        <f>IF('WS Plan'!$E$129="Activate",IF(AND('PIP finance'!I$7&gt;='WS Plan'!$G$129,'PIP finance'!I$7&lt;'WS Plan'!$H$129+1),$D$28/('WS Plan'!$H$129+1-'WS Plan'!$G$129),0),0)*I$1/'General info'!$G$44</f>
        <v>0</v>
      </c>
      <c r="J28" s="4121">
        <f>IF('WS Plan'!$E$129="Activate",IF(AND('PIP finance'!J$7&gt;='WS Plan'!$G$129,'PIP finance'!J$7&lt;'WS Plan'!$H$129+1),$D$28/('WS Plan'!$H$129+1-'WS Plan'!$G$129),0),0)*J$1/'General info'!$G$44</f>
        <v>0</v>
      </c>
      <c r="K28" s="4121">
        <f>IF('WS Plan'!$E$129="Activate",IF(AND('PIP finance'!K$7&gt;='WS Plan'!$G$129,'PIP finance'!K$7&lt;'WS Plan'!$H$129+1),$D$28/('WS Plan'!$H$129+1-'WS Plan'!$G$129),0),0)*K$1/'General info'!$G$44</f>
        <v>0</v>
      </c>
      <c r="L28" s="4121">
        <f>IF('WS Plan'!$E$129="Activate",IF(AND('PIP finance'!L$7&gt;='WS Plan'!$G$129,'PIP finance'!L$7&lt;'WS Plan'!$H$129+1),$D$28/('WS Plan'!$H$129+1-'WS Plan'!$G$129),0),0)*L$1/'General info'!$G$44</f>
        <v>0</v>
      </c>
      <c r="M28" s="4121">
        <f>IF('WS Plan'!$E$129="Activate",IF(AND('PIP finance'!M$7&gt;='WS Plan'!$G$129,'PIP finance'!M$7&lt;'WS Plan'!$H$129+1),$D$28/('WS Plan'!$H$129+1-'WS Plan'!$G$129),0),0)*M$1/'General info'!$G$44</f>
        <v>0</v>
      </c>
      <c r="N28" s="4121">
        <f>IF('WS Plan'!$E$129="Activate",IF(AND('PIP finance'!N$7&gt;='WS Plan'!$G$129,'PIP finance'!N$7&lt;'WS Plan'!$H$129+1),$D$28/('WS Plan'!$H$129+1-'WS Plan'!$G$129),0),0)*N$1/'General info'!$G$44</f>
        <v>0</v>
      </c>
      <c r="O28" s="4121">
        <f>IF('WS Plan'!$E$129="Activate",IF(AND('PIP finance'!O$7&gt;='WS Plan'!$G$129,'PIP finance'!O$7&lt;'WS Plan'!$H$129+1),$D$28/('WS Plan'!$H$129+1-'WS Plan'!$G$129),0),0)*O$1/'General info'!$G$44</f>
        <v>0</v>
      </c>
      <c r="P28" s="4121">
        <f>IF('WS Plan'!$E$129="Activate",IF(AND('PIP finance'!P$7&gt;='WS Plan'!$G$129,'PIP finance'!P$7&lt;'WS Plan'!$H$129+1),$D$28/('WS Plan'!$H$129+1-'WS Plan'!$G$129),0),0)*P$1/'General info'!$G$44</f>
        <v>0</v>
      </c>
      <c r="Q28" s="4115">
        <f ca="1">IFERROR(VLOOKUP(C28,'Action Plan finance'!$C$56:$AB$175,20,FALSE),0)</f>
        <v>0</v>
      </c>
      <c r="R28" s="4116">
        <f ca="1">IFERROR(VLOOKUP(C28,'Action Plan finance'!$C$56:$AB$175,21,FALSE),0)</f>
        <v>0</v>
      </c>
      <c r="S28" s="4116">
        <f ca="1">IFERROR(VLOOKUP(C28,'Action Plan finance'!$C$56:$AB$175,22,FALSE),0)</f>
        <v>0</v>
      </c>
      <c r="T28" s="4116">
        <f ca="1">IFERROR(VLOOKUP(C28,'Action Plan finance'!$C$56:$AB$175,23,FALSE),0)</f>
        <v>0</v>
      </c>
      <c r="U28" s="4116"/>
      <c r="V28" s="4116">
        <f ca="1">IFERROR(VLOOKUP(C28,'Action Plan finance'!$C$56:$AB$175,25,FALSE),0)</f>
        <v>0</v>
      </c>
    </row>
    <row r="29" spans="2:22" x14ac:dyDescent="0.25">
      <c r="B29" s="4110" t="s">
        <v>3178</v>
      </c>
      <c r="C29" s="4123" t="str">
        <f>'WS Plan'!F135</f>
        <v>Construct/augment water storage capacity</v>
      </c>
      <c r="D29" s="4131">
        <f>IF('WS Plan'!$E$135="Activate",'WS Plan'!$H$139*'WS Plan'!$H$138,0)</f>
        <v>0</v>
      </c>
      <c r="E29" s="5731">
        <f t="shared" si="0"/>
        <v>0</v>
      </c>
      <c r="F29" s="4124"/>
      <c r="G29" s="4124">
        <f>IF('WS Plan'!$E$135="Activate",IF(AND('PIP finance'!G7&gt;='WS Plan'!$G$135,'PIP finance'!G7&lt;'WS Plan'!$H$135+1),$D$29/('WS Plan'!$H$135+1-'WS Plan'!$G$135),0),0)*G$1/'General info'!$G$44</f>
        <v>0</v>
      </c>
      <c r="H29" s="4124">
        <f>IF('WS Plan'!$E$135="Activate",IF(AND('PIP finance'!H7&gt;='WS Plan'!$G$135,'PIP finance'!H7&lt;'WS Plan'!$H$135+1),$D$29/('WS Plan'!$H$135+1-'WS Plan'!$G$135),0),0)*H$1/'General info'!$G$44</f>
        <v>0</v>
      </c>
      <c r="I29" s="4124">
        <f>IF('WS Plan'!$E$135="Activate",IF(AND('PIP finance'!I7&gt;='WS Plan'!$G$135,'PIP finance'!I7&lt;'WS Plan'!$H$135+1),$D$29/('WS Plan'!$H$135+1-'WS Plan'!$G$135),0),0)*I$1/'General info'!$G$44</f>
        <v>0</v>
      </c>
      <c r="J29" s="4124">
        <f>IF('WS Plan'!$E$135="Activate",IF(AND('PIP finance'!J7&gt;='WS Plan'!$G$135,'PIP finance'!J7&lt;'WS Plan'!$H$135+1),$D$29/('WS Plan'!$H$135+1-'WS Plan'!$G$135),0),0)*J$1/'General info'!$G$44</f>
        <v>0</v>
      </c>
      <c r="K29" s="4124">
        <f>IF('WS Plan'!$E$135="Activate",IF(AND('PIP finance'!K7&gt;='WS Plan'!$G$135,'PIP finance'!K7&lt;'WS Plan'!$H$135+1),$D$29/('WS Plan'!$H$135+1-'WS Plan'!$G$135),0),0)*K$1/'General info'!$G$44</f>
        <v>0</v>
      </c>
      <c r="L29" s="4124">
        <f>IF('WS Plan'!$E$135="Activate",IF(AND('PIP finance'!L7&gt;='WS Plan'!$G$135,'PIP finance'!L7&lt;'WS Plan'!$H$135+1),$D$29/('WS Plan'!$H$135+1-'WS Plan'!$G$135),0),0)*L$1/'General info'!$G$44</f>
        <v>0</v>
      </c>
      <c r="M29" s="4124">
        <f>IF('WS Plan'!$E$135="Activate",IF(AND('PIP finance'!M7&gt;='WS Plan'!$G$135,'PIP finance'!M7&lt;'WS Plan'!$H$135+1),$D$29/('WS Plan'!$H$135+1-'WS Plan'!$G$135),0),0)*M$1/'General info'!$G$44</f>
        <v>0</v>
      </c>
      <c r="N29" s="4124">
        <f>IF('WS Plan'!$E$135="Activate",IF(AND('PIP finance'!N7&gt;='WS Plan'!$G$135,'PIP finance'!N7&lt;'WS Plan'!$H$135+1),$D$29/('WS Plan'!$H$135+1-'WS Plan'!$G$135),0),0)*N$1/'General info'!$G$44</f>
        <v>0</v>
      </c>
      <c r="O29" s="4124">
        <f>IF('WS Plan'!$E$135="Activate",IF(AND('PIP finance'!O7&gt;='WS Plan'!$G$135,'PIP finance'!O7&lt;'WS Plan'!$H$135+1),$D$29/('WS Plan'!$H$135+1-'WS Plan'!$G$135),0),0)*O$1/'General info'!$G$44</f>
        <v>0</v>
      </c>
      <c r="P29" s="4124">
        <f>IF('WS Plan'!$E$135="Activate",IF(AND('PIP finance'!P7&gt;='WS Plan'!$G$135,'PIP finance'!P7&lt;'WS Plan'!$H$135+1),$D$29/('WS Plan'!$H$135+1-'WS Plan'!$G$135),0),0)*P$1/'General info'!$G$44</f>
        <v>0</v>
      </c>
      <c r="Q29" s="4115">
        <f ca="1">IFERROR(VLOOKUP(C29,'Action Plan finance'!$C$56:$AB$175,20,FALSE),0)</f>
        <v>0</v>
      </c>
      <c r="R29" s="4116">
        <f ca="1">IFERROR(VLOOKUP(C29,'Action Plan finance'!$C$56:$AB$175,21,FALSE),0)</f>
        <v>0</v>
      </c>
      <c r="S29" s="4116">
        <f ca="1">IFERROR(VLOOKUP(C29,'Action Plan finance'!$C$56:$AB$175,22,FALSE),0)</f>
        <v>0</v>
      </c>
      <c r="T29" s="4116">
        <f ca="1">IFERROR(VLOOKUP(C29,'Action Plan finance'!$C$56:$AB$175,23,FALSE),0)</f>
        <v>0</v>
      </c>
      <c r="U29" s="4116"/>
      <c r="V29" s="4116">
        <f ca="1">IFERROR(VLOOKUP(C29,'Action Plan finance'!$C$56:$AB$175,25,FALSE),0)</f>
        <v>0</v>
      </c>
    </row>
    <row r="30" spans="2:22" x14ac:dyDescent="0.25">
      <c r="B30" s="4125" t="s">
        <v>10</v>
      </c>
      <c r="C30" s="4136" t="s">
        <v>456</v>
      </c>
      <c r="D30" s="4127"/>
      <c r="E30" s="4128"/>
      <c r="F30" s="4106"/>
      <c r="G30" s="4106"/>
      <c r="H30" s="4106"/>
      <c r="I30" s="4106"/>
      <c r="J30" s="4106"/>
      <c r="K30" s="4106"/>
      <c r="L30" s="4106"/>
      <c r="M30" s="4106"/>
      <c r="N30" s="4106"/>
      <c r="O30" s="4106"/>
      <c r="P30" s="4106"/>
      <c r="Q30" s="4115">
        <f ca="1">IFERROR(VLOOKUP(C30,'Action Plan finance'!$C$56:$AB$175,20,FALSE),0)</f>
        <v>0</v>
      </c>
      <c r="R30" s="4116">
        <f ca="1">IFERROR(VLOOKUP(C30,'Action Plan finance'!$C$56:$AB$175,21,FALSE),0)</f>
        <v>0</v>
      </c>
      <c r="S30" s="4116">
        <f ca="1">IFERROR(VLOOKUP(C30,'Action Plan finance'!$C$56:$AB$175,22,FALSE),0)</f>
        <v>0</v>
      </c>
      <c r="T30" s="4116">
        <f ca="1">IFERROR(VLOOKUP(C30,'Action Plan finance'!$C$56:$AB$175,23,FALSE),0)</f>
        <v>0</v>
      </c>
      <c r="U30" s="4116"/>
      <c r="V30" s="4116">
        <f ca="1">IFERROR(VLOOKUP(C30,'Action Plan finance'!$C$56:$AB$175,25,FALSE),0)</f>
        <v>0</v>
      </c>
    </row>
    <row r="31" spans="2:22" x14ac:dyDescent="0.25">
      <c r="B31" s="4110" t="s">
        <v>3179</v>
      </c>
      <c r="C31" s="4111" t="str">
        <f>'WS Plan'!F147</f>
        <v>Conduct water audit</v>
      </c>
      <c r="D31" s="4131">
        <f>IF('WS Plan'!$E$147="Activate",'WS Plan'!$H$148,0)</f>
        <v>0</v>
      </c>
      <c r="E31" s="5731">
        <f t="shared" ref="E31:E36" si="1">SUM($F31:$P31)</f>
        <v>0</v>
      </c>
      <c r="F31" s="4121"/>
      <c r="G31" s="4121">
        <f>IF('WS Plan'!$E$147="Activate",IF(AND(G7&gt;='WS Plan'!$G$147,G7&lt;'WS Plan'!$H$147+1),'WS Plan'!$H$148/('WS Plan'!$H$147+1-'WS Plan'!$G$147),0),0)*G$1/'General info'!$G$44</f>
        <v>0</v>
      </c>
      <c r="H31" s="4121">
        <f>IF('WS Plan'!$E$147="Activate",IF(AND(H7&gt;='WS Plan'!$G$147,H7&lt;'WS Plan'!$H$147+1),'WS Plan'!$H$148/('WS Plan'!$H$147+1-'WS Plan'!$G$147),0),0)*H$1/'General info'!$G$44</f>
        <v>0</v>
      </c>
      <c r="I31" s="4121">
        <f>IF('WS Plan'!$E$147="Activate",IF(AND(I7&gt;='WS Plan'!$G$147,I7&lt;'WS Plan'!$H$147+1),'WS Plan'!$H$148/('WS Plan'!$H$147+1-'WS Plan'!$G$147),0),0)*I$1/'General info'!$G$44</f>
        <v>0</v>
      </c>
      <c r="J31" s="4121">
        <f>IF('WS Plan'!$E$147="Activate",IF(AND(J7&gt;='WS Plan'!$G$147,J7&lt;'WS Plan'!$H$147+1),'WS Plan'!$H$148/('WS Plan'!$H$147+1-'WS Plan'!$G$147),0),0)*J$1/'General info'!$G$44</f>
        <v>0</v>
      </c>
      <c r="K31" s="4121">
        <f>IF('WS Plan'!$E$147="Activate",IF(AND(K7&gt;='WS Plan'!$G$147,K7&lt;'WS Plan'!$H$147+1),'WS Plan'!$H$148/('WS Plan'!$H$147+1-'WS Plan'!$G$147),0),0)*K$1/'General info'!$G$44</f>
        <v>0</v>
      </c>
      <c r="L31" s="4121">
        <f>IF('WS Plan'!$E$147="Activate",IF(AND(L7&gt;='WS Plan'!$G$147,L7&lt;'WS Plan'!$H$147+1),'WS Plan'!$H$148/('WS Plan'!$H$147+1-'WS Plan'!$G$147),0),0)*L$1/'General info'!$G$44</f>
        <v>0</v>
      </c>
      <c r="M31" s="4121">
        <f>IF('WS Plan'!$E$147="Activate",IF(AND(M7&gt;='WS Plan'!$G$147,M7&lt;'WS Plan'!$H$147+1),'WS Plan'!$H$148/('WS Plan'!$H$147+1-'WS Plan'!$G$147),0),0)*M$1/'General info'!$G$44</f>
        <v>0</v>
      </c>
      <c r="N31" s="4121">
        <f>IF('WS Plan'!$E$147="Activate",IF(AND(N7&gt;='WS Plan'!$G$147,N7&lt;'WS Plan'!$H$147+1),'WS Plan'!$H$148/('WS Plan'!$H$147+1-'WS Plan'!$G$147),0),0)*N$1/'General info'!$G$44</f>
        <v>0</v>
      </c>
      <c r="O31" s="4121">
        <f>IF('WS Plan'!$E$147="Activate",IF(AND(O7&gt;='WS Plan'!$G$147,O7&lt;'WS Plan'!$H$147+1),'WS Plan'!$H$148/('WS Plan'!$H$147+1-'WS Plan'!$G$147),0),0)*O$1/'General info'!$G$44</f>
        <v>0</v>
      </c>
      <c r="P31" s="4121">
        <f>IF('WS Plan'!$E$147="Activate",IF(AND(P7&gt;='WS Plan'!$G$147,P7&lt;'WS Plan'!$H$147+1),'WS Plan'!$H$148/('WS Plan'!$H$147+1-'WS Plan'!$G$147),0),0)*P$1/'General info'!$G$44</f>
        <v>0</v>
      </c>
      <c r="Q31" s="4115">
        <f ca="1">IFERROR(VLOOKUP(C31,'Action Plan finance'!$C$56:$AB$175,20,FALSE),0)</f>
        <v>0</v>
      </c>
      <c r="R31" s="4116">
        <f ca="1">IFERROR(VLOOKUP(C31,'Action Plan finance'!$C$56:$AB$175,21,FALSE),0)</f>
        <v>0</v>
      </c>
      <c r="S31" s="4116">
        <f ca="1">IFERROR(VLOOKUP(C31,'Action Plan finance'!$C$56:$AB$175,22,FALSE),0)</f>
        <v>0</v>
      </c>
      <c r="T31" s="4116">
        <f ca="1">IFERROR(VLOOKUP(C31,'Action Plan finance'!$C$56:$AB$175,23,FALSE),0)</f>
        <v>0</v>
      </c>
      <c r="U31" s="4116"/>
      <c r="V31" s="4116">
        <f ca="1">IFERROR(VLOOKUP(C31,'Action Plan finance'!$C$56:$AB$175,25,FALSE),0)</f>
        <v>0</v>
      </c>
    </row>
    <row r="32" spans="2:22" x14ac:dyDescent="0.25">
      <c r="B32" s="4110" t="s">
        <v>3180</v>
      </c>
      <c r="C32" s="4111" t="str">
        <f>'WS Plan'!F149</f>
        <v>Conduct energy audit</v>
      </c>
      <c r="D32" s="4131">
        <f>IF('WS Plan'!$E$149="Activate",'WS Plan'!$H$150,0)</f>
        <v>0</v>
      </c>
      <c r="E32" s="5731">
        <f t="shared" si="1"/>
        <v>0</v>
      </c>
      <c r="F32" s="4121"/>
      <c r="G32" s="4121">
        <f>IF('WS Plan'!$E$149="Activate",IF(AND(G$7&gt;='WS Plan'!$G$149,G$7&lt;'WS Plan'!$H$149+1),'WS Plan'!$H$150/('WS Plan'!$H$149+1-'WS Plan'!$G$149),0),0)*G$1/'General info'!$G$44</f>
        <v>0</v>
      </c>
      <c r="H32" s="4121">
        <f>IF('WS Plan'!$E$149="Activate",IF(AND(H$7&gt;='WS Plan'!$G$149,H$7&lt;'WS Plan'!$H$149+1),'WS Plan'!$H$150/('WS Plan'!$H$149+1-'WS Plan'!$G$149),0),0)*H$1/'General info'!$G$44</f>
        <v>0</v>
      </c>
      <c r="I32" s="4121">
        <f>IF('WS Plan'!$E$149="Activate",IF(AND(I$7&gt;='WS Plan'!$G$149,I$7&lt;'WS Plan'!$H$149+1),'WS Plan'!$H$150/('WS Plan'!$H$149+1-'WS Plan'!$G$149),0),0)*I$1/'General info'!$G$44</f>
        <v>0</v>
      </c>
      <c r="J32" s="4121">
        <f>IF('WS Plan'!$E$149="Activate",IF(AND(J$7&gt;='WS Plan'!$G$149,J$7&lt;'WS Plan'!$H$149+1),'WS Plan'!$H$150/('WS Plan'!$H$149+1-'WS Plan'!$G$149),0),0)*J$1/'General info'!$G$44</f>
        <v>0</v>
      </c>
      <c r="K32" s="4121">
        <f>IF('WS Plan'!$E$149="Activate",IF(AND(K$7&gt;='WS Plan'!$G$149,K$7&lt;'WS Plan'!$H$149+1),'WS Plan'!$H$150/('WS Plan'!$H$149+1-'WS Plan'!$G$149),0),0)*K$1/'General info'!$G$44</f>
        <v>0</v>
      </c>
      <c r="L32" s="4121">
        <f>IF('WS Plan'!$E$149="Activate",IF(AND(L$7&gt;='WS Plan'!$G$149,L$7&lt;'WS Plan'!$H$149+1),'WS Plan'!$H$150/('WS Plan'!$H$149+1-'WS Plan'!$G$149),0),0)*L$1/'General info'!$G$44</f>
        <v>0</v>
      </c>
      <c r="M32" s="4121">
        <f>IF('WS Plan'!$E$149="Activate",IF(AND(M$7&gt;='WS Plan'!$G$149,M$7&lt;'WS Plan'!$H$149+1),'WS Plan'!$H$150/('WS Plan'!$H$149+1-'WS Plan'!$G$149),0),0)*M$1/'General info'!$G$44</f>
        <v>0</v>
      </c>
      <c r="N32" s="4121">
        <f>IF('WS Plan'!$E$149="Activate",IF(AND(N$7&gt;='WS Plan'!$G$149,N$7&lt;'WS Plan'!$H$149+1),'WS Plan'!$H$150/('WS Plan'!$H$149+1-'WS Plan'!$G$149),0),0)*N$1/'General info'!$G$44</f>
        <v>0</v>
      </c>
      <c r="O32" s="4121">
        <f>IF('WS Plan'!$E$149="Activate",IF(AND(O$7&gt;='WS Plan'!$G$149,O$7&lt;'WS Plan'!$H$149+1),'WS Plan'!$H$150/('WS Plan'!$H$149+1-'WS Plan'!$G$149),0),0)*O$1/'General info'!$G$44</f>
        <v>0</v>
      </c>
      <c r="P32" s="4121">
        <f>IF('WS Plan'!$E$149="Activate",IF(AND(P$7&gt;='WS Plan'!$G$149,P$7&lt;'WS Plan'!$H$149+1),'WS Plan'!$H$150/('WS Plan'!$H$149+1-'WS Plan'!$G$149),0),0)*P$1/'General info'!$G$44</f>
        <v>0</v>
      </c>
      <c r="Q32" s="4115">
        <f ca="1">IFERROR(VLOOKUP(C32,'Action Plan finance'!$C$56:$AB$175,20,FALSE),0)</f>
        <v>0</v>
      </c>
      <c r="R32" s="4116">
        <f ca="1">IFERROR(VLOOKUP(C32,'Action Plan finance'!$C$56:$AB$175,21,FALSE),0)</f>
        <v>0</v>
      </c>
      <c r="S32" s="4116">
        <f ca="1">IFERROR(VLOOKUP(C32,'Action Plan finance'!$C$56:$AB$175,22,FALSE),0)</f>
        <v>0</v>
      </c>
      <c r="T32" s="4116">
        <f ca="1">IFERROR(VLOOKUP(C32,'Action Plan finance'!$C$56:$AB$175,23,FALSE),0)</f>
        <v>0</v>
      </c>
      <c r="U32" s="4116"/>
      <c r="V32" s="4116">
        <f ca="1">IFERROR(VLOOKUP(C32,'Action Plan finance'!$C$56:$AB$175,25,FALSE),0)</f>
        <v>0</v>
      </c>
    </row>
    <row r="33" spans="2:22" x14ac:dyDescent="0.25">
      <c r="B33" s="4110" t="s">
        <v>3181</v>
      </c>
      <c r="C33" s="4111" t="str">
        <f>'WS Plan'!F151</f>
        <v>Install bulk flow meters</v>
      </c>
      <c r="D33" s="4131">
        <f>IF('WS Plan'!$E$151="Activate",'WS Plan'!$H$152*'WS Plan'!$H$153/'General info'!G44,0)</f>
        <v>0</v>
      </c>
      <c r="E33" s="5731">
        <f t="shared" si="1"/>
        <v>0</v>
      </c>
      <c r="F33" s="4121"/>
      <c r="G33" s="4121">
        <f>IF('WS Plan'!$E$151="Activate",IF(AND(G7&gt;='WS Plan'!$G$151,G7&lt;'WS Plan'!$H$151+1),$D$33/('WS Plan'!$H$151+1-'WS Plan'!$G$151),0),0)*G$1</f>
        <v>0</v>
      </c>
      <c r="H33" s="4121">
        <f>IF('WS Plan'!$E$151="Activate",IF(AND(H7&gt;='WS Plan'!$G$151,H7&lt;'WS Plan'!$H$151+1),$D$33/('WS Plan'!$H$151+1-'WS Plan'!$G$151),0),0)*H$1</f>
        <v>0</v>
      </c>
      <c r="I33" s="4121">
        <f>IF('WS Plan'!$E$151="Activate",IF(AND(I7&gt;='WS Plan'!$G$151,I7&lt;'WS Plan'!$H$151+1),$D$33/('WS Plan'!$H$151+1-'WS Plan'!$G$151),0),0)*I$1</f>
        <v>0</v>
      </c>
      <c r="J33" s="4121">
        <f>IF('WS Plan'!$E$151="Activate",IF(AND(J7&gt;='WS Plan'!$G$151,J7&lt;'WS Plan'!$H$151+1),$D$33/('WS Plan'!$H$151+1-'WS Plan'!$G$151),0),0)*J$1</f>
        <v>0</v>
      </c>
      <c r="K33" s="4121">
        <f>IF('WS Plan'!$E$151="Activate",IF(AND(K7&gt;='WS Plan'!$G$151,K7&lt;'WS Plan'!$H$151+1),$D$33/('WS Plan'!$H$151+1-'WS Plan'!$G$151),0),0)*K$1</f>
        <v>0</v>
      </c>
      <c r="L33" s="4121">
        <f>IF('WS Plan'!$E$151="Activate",IF(AND(L7&gt;='WS Plan'!$G$151,L7&lt;'WS Plan'!$H$151+1),$D$33/('WS Plan'!$H$151+1-'WS Plan'!$G$151),0),0)*L$1</f>
        <v>0</v>
      </c>
      <c r="M33" s="4121">
        <f>IF('WS Plan'!$E$151="Activate",IF(AND(M7&gt;='WS Plan'!$G$151,M7&lt;'WS Plan'!$H$151+1),$D$33/('WS Plan'!$H$151+1-'WS Plan'!$G$151),0),0)*M$1</f>
        <v>0</v>
      </c>
      <c r="N33" s="4121">
        <f>IF('WS Plan'!$E$151="Activate",IF(AND(N7&gt;='WS Plan'!$G$151,N7&lt;'WS Plan'!$H$151+1),$D$33/('WS Plan'!$H$151+1-'WS Plan'!$G$151),0),0)*N$1</f>
        <v>0</v>
      </c>
      <c r="O33" s="4121">
        <f>IF('WS Plan'!$E$151="Activate",IF(AND(O7&gt;='WS Plan'!$G$151,O7&lt;'WS Plan'!$H$151+1),$D$33/('WS Plan'!$H$151+1-'WS Plan'!$G$151),0),0)*O$1</f>
        <v>0</v>
      </c>
      <c r="P33" s="4121">
        <f>IF('WS Plan'!$E$151="Activate",IF(AND(P7&gt;='WS Plan'!$G$151,P7&lt;'WS Plan'!$H$151+1),$D$33/('WS Plan'!$H$151+1-'WS Plan'!$G$151),0),0)*P$1</f>
        <v>0</v>
      </c>
      <c r="Q33" s="4115">
        <f ca="1">IFERROR(VLOOKUP(C33,'Action Plan finance'!$C$56:$AB$175,20,FALSE),0)</f>
        <v>0</v>
      </c>
      <c r="R33" s="4116">
        <f ca="1">IFERROR(VLOOKUP(C33,'Action Plan finance'!$C$56:$AB$175,21,FALSE),0)</f>
        <v>0</v>
      </c>
      <c r="S33" s="4116">
        <f ca="1">IFERROR(VLOOKUP(C33,'Action Plan finance'!$C$56:$AB$175,22,FALSE),0)</f>
        <v>0</v>
      </c>
      <c r="T33" s="4116">
        <f ca="1">IFERROR(VLOOKUP(C33,'Action Plan finance'!$C$56:$AB$175,23,FALSE),0)</f>
        <v>0</v>
      </c>
      <c r="U33" s="4116"/>
      <c r="V33" s="4116">
        <f ca="1">IFERROR(VLOOKUP(C33,'Action Plan finance'!$C$56:$AB$175,25,FALSE),0)</f>
        <v>0</v>
      </c>
    </row>
    <row r="34" spans="2:22" x14ac:dyDescent="0.25">
      <c r="B34" s="4110" t="s">
        <v>3182</v>
      </c>
      <c r="C34" s="4111" t="str">
        <f>'WS Plan'!F155</f>
        <v>Map water supply and wastewater network</v>
      </c>
      <c r="D34" s="4131">
        <f>IF('WS Plan'!$E$155="Activate",'WS Plan'!$H$157,0)</f>
        <v>0</v>
      </c>
      <c r="E34" s="5731">
        <f t="shared" si="1"/>
        <v>0</v>
      </c>
      <c r="F34" s="4121"/>
      <c r="G34" s="4121">
        <f>IF('WS Plan'!$E$155="Activate",IF(AND(G$7&gt;='WS Plan'!$G$155,G$7&lt;'WS Plan'!$H$155+1),$D$34/('WS Plan'!$H$155+1-'WS Plan'!$G$155),0),0)*G$1/'General info'!$G$44</f>
        <v>0</v>
      </c>
      <c r="H34" s="4121">
        <f>IF('WS Plan'!$E$155="Activate",IF(AND(H$7&gt;='WS Plan'!$G$155,H$7&lt;'WS Plan'!$H$155+1),$D$34/('WS Plan'!$H$155+1-'WS Plan'!$G$155),0),0)*H$1/'General info'!$G$44</f>
        <v>0</v>
      </c>
      <c r="I34" s="4121">
        <f>IF('WS Plan'!$E$155="Activate",IF(AND(I$7&gt;='WS Plan'!$G$155,I$7&lt;'WS Plan'!$H$155+1),$D$34/('WS Plan'!$H$155+1-'WS Plan'!$G$155),0),0)*I$1/'General info'!$G$44</f>
        <v>0</v>
      </c>
      <c r="J34" s="4121">
        <f>IF('WS Plan'!$E$155="Activate",IF(AND(J$7&gt;='WS Plan'!$G$155,J$7&lt;'WS Plan'!$H$155+1),$D$34/('WS Plan'!$H$155+1-'WS Plan'!$G$155),0),0)*J$1/'General info'!$G$44</f>
        <v>0</v>
      </c>
      <c r="K34" s="4121">
        <f>IF('WS Plan'!$E$155="Activate",IF(AND(K$7&gt;='WS Plan'!$G$155,K$7&lt;'WS Plan'!$H$155+1),$D$34/('WS Plan'!$H$155+1-'WS Plan'!$G$155),0),0)*K$1/'General info'!$G$44</f>
        <v>0</v>
      </c>
      <c r="L34" s="4121">
        <f>IF('WS Plan'!$E$155="Activate",IF(AND(L$7&gt;='WS Plan'!$G$155,L$7&lt;'WS Plan'!$H$155+1),$D$34/('WS Plan'!$H$155+1-'WS Plan'!$G$155),0),0)*L$1/'General info'!$G$44</f>
        <v>0</v>
      </c>
      <c r="M34" s="4121">
        <f>IF('WS Plan'!$E$155="Activate",IF(AND(M$7&gt;='WS Plan'!$G$155,M$7&lt;'WS Plan'!$H$155+1),$D$34/('WS Plan'!$H$155+1-'WS Plan'!$G$155),0),0)*M$1/'General info'!$G$44</f>
        <v>0</v>
      </c>
      <c r="N34" s="4121">
        <f>IF('WS Plan'!$E$155="Activate",IF(AND(N$7&gt;='WS Plan'!$G$155,N$7&lt;'WS Plan'!$H$155+1),$D$34/('WS Plan'!$H$155+1-'WS Plan'!$G$155),0),0)*N$1/'General info'!$G$44</f>
        <v>0</v>
      </c>
      <c r="O34" s="4121">
        <f>IF('WS Plan'!$E$155="Activate",IF(AND(O$7&gt;='WS Plan'!$G$155,O$7&lt;'WS Plan'!$H$155+1),$D$34/('WS Plan'!$H$155+1-'WS Plan'!$G$155),0),0)*O$1/'General info'!$G$44</f>
        <v>0</v>
      </c>
      <c r="P34" s="4121">
        <f>IF('WS Plan'!$E$155="Activate",IF(AND(P$7&gt;='WS Plan'!$G$155,P$7&lt;'WS Plan'!$H$155+1),$D$34/('WS Plan'!$H$155+1-'WS Plan'!$G$155),0),0)*P$1/'General info'!$G$44</f>
        <v>0</v>
      </c>
      <c r="Q34" s="4115">
        <f ca="1">IFERROR(VLOOKUP(C34,'Action Plan finance'!$C$56:$AB$175,20,FALSE),0)</f>
        <v>0</v>
      </c>
      <c r="R34" s="4116">
        <f ca="1">IFERROR(VLOOKUP(C34,'Action Plan finance'!$C$56:$AB$175,21,FALSE),0)</f>
        <v>0</v>
      </c>
      <c r="S34" s="4116">
        <f ca="1">IFERROR(VLOOKUP(C34,'Action Plan finance'!$C$56:$AB$175,22,FALSE),0)</f>
        <v>0</v>
      </c>
      <c r="T34" s="4116">
        <f ca="1">IFERROR(VLOOKUP(C34,'Action Plan finance'!$C$56:$AB$175,23,FALSE),0)</f>
        <v>0</v>
      </c>
      <c r="U34" s="4116"/>
      <c r="V34" s="4116">
        <f ca="1">IFERROR(VLOOKUP(C34,'Action Plan finance'!$C$56:$AB$175,25,FALSE),0)</f>
        <v>0</v>
      </c>
    </row>
    <row r="35" spans="2:22" x14ac:dyDescent="0.25">
      <c r="B35" s="4110" t="s">
        <v>3183</v>
      </c>
      <c r="C35" s="4111" t="str">
        <f>'WS Plan'!F159</f>
        <v>Conduct Hydraulic modelling</v>
      </c>
      <c r="D35" s="4131">
        <f>IF('WS Plan'!$E$159="Activate",'WS Plan'!$H$160,0)</f>
        <v>0</v>
      </c>
      <c r="E35" s="5731">
        <f t="shared" si="1"/>
        <v>0</v>
      </c>
      <c r="F35" s="4121"/>
      <c r="G35" s="4121">
        <f>IF('WS Plan'!$E$159="Activate",IF(AND(G7&gt;='WS Plan'!$G$159,G7&lt;'WS Plan'!$H$159+1),'WS Plan'!$H$160/('WS Plan'!$H$159+1-'WS Plan'!$G$159),0),0)*G$1/'General info'!$G$44</f>
        <v>0</v>
      </c>
      <c r="H35" s="4121">
        <f>IF('WS Plan'!$E$159="Activate",IF(AND(H7&gt;='WS Plan'!$G$159,H7&lt;'WS Plan'!$H$159+1),'WS Plan'!$H$160/('WS Plan'!$H$159+1-'WS Plan'!$G$159),0),0)*H$1/'General info'!$G$44</f>
        <v>0</v>
      </c>
      <c r="I35" s="4121">
        <f>IF('WS Plan'!$E$159="Activate",IF(AND(I7&gt;='WS Plan'!$G$159,I7&lt;'WS Plan'!$H$159+1),'WS Plan'!$H$160/('WS Plan'!$H$159+1-'WS Plan'!$G$159),0),0)*I$1/'General info'!$G$44</f>
        <v>0</v>
      </c>
      <c r="J35" s="4121">
        <f>IF('WS Plan'!$E$159="Activate",IF(AND(J7&gt;='WS Plan'!$G$159,J7&lt;'WS Plan'!$H$159+1),'WS Plan'!$H$160/('WS Plan'!$H$159+1-'WS Plan'!$G$159),0),0)*J$1/'General info'!$G$44</f>
        <v>0</v>
      </c>
      <c r="K35" s="4121">
        <f>IF('WS Plan'!$E$159="Activate",IF(AND(K7&gt;='WS Plan'!$G$159,K7&lt;'WS Plan'!$H$159+1),'WS Plan'!$H$160/('WS Plan'!$H$159+1-'WS Plan'!$G$159),0),0)*K$1/'General info'!$G$44</f>
        <v>0</v>
      </c>
      <c r="L35" s="4121">
        <f>IF('WS Plan'!$E$159="Activate",IF(AND(L7&gt;='WS Plan'!$G$159,L7&lt;'WS Plan'!$H$159+1),'WS Plan'!$H$160/('WS Plan'!$H$159+1-'WS Plan'!$G$159),0),0)*L$1/'General info'!$G$44</f>
        <v>0</v>
      </c>
      <c r="M35" s="4121">
        <f>IF('WS Plan'!$E$159="Activate",IF(AND(M7&gt;='WS Plan'!$G$159,M7&lt;'WS Plan'!$H$159+1),'WS Plan'!$H$160/('WS Plan'!$H$159+1-'WS Plan'!$G$159),0),0)*M$1/'General info'!$G$44</f>
        <v>0</v>
      </c>
      <c r="N35" s="4121">
        <f>IF('WS Plan'!$E$159="Activate",IF(AND(N7&gt;='WS Plan'!$G$159,N7&lt;'WS Plan'!$H$159+1),'WS Plan'!$H$160/('WS Plan'!$H$159+1-'WS Plan'!$G$159),0),0)*N$1/'General info'!$G$44</f>
        <v>0</v>
      </c>
      <c r="O35" s="4121">
        <f>IF('WS Plan'!$E$159="Activate",IF(AND(O7&gt;='WS Plan'!$G$159,O7&lt;'WS Plan'!$H$159+1),'WS Plan'!$H$160/('WS Plan'!$H$159+1-'WS Plan'!$G$159),0),0)*O$1/'General info'!$G$44</f>
        <v>0</v>
      </c>
      <c r="P35" s="4121">
        <f>IF('WS Plan'!$E$159="Activate",IF(AND(P7&gt;='WS Plan'!$G$159,P7&lt;'WS Plan'!$H$159+1),'WS Plan'!$H$160/('WS Plan'!$H$159+1-'WS Plan'!$G$159),0),0)*P$1/'General info'!$G$44</f>
        <v>0</v>
      </c>
      <c r="Q35" s="4115">
        <f ca="1">IFERROR(VLOOKUP(C35,'Action Plan finance'!$C$56:$AB$175,20,FALSE),0)</f>
        <v>0</v>
      </c>
      <c r="R35" s="4116">
        <f ca="1">IFERROR(VLOOKUP(C35,'Action Plan finance'!$C$56:$AB$175,21,FALSE),0)</f>
        <v>0</v>
      </c>
      <c r="S35" s="4116">
        <f ca="1">IFERROR(VLOOKUP(C35,'Action Plan finance'!$C$56:$AB$175,22,FALSE),0)</f>
        <v>0</v>
      </c>
      <c r="T35" s="4116">
        <f ca="1">IFERROR(VLOOKUP(C35,'Action Plan finance'!$C$56:$AB$175,23,FALSE),0)</f>
        <v>0</v>
      </c>
      <c r="U35" s="4116"/>
      <c r="V35" s="4116">
        <f ca="1">IFERROR(VLOOKUP(C35,'Action Plan finance'!$C$56:$AB$175,25,FALSE),0)</f>
        <v>0</v>
      </c>
    </row>
    <row r="36" spans="2:22" x14ac:dyDescent="0.25">
      <c r="B36" s="4110" t="s">
        <v>3184</v>
      </c>
      <c r="C36" s="4111" t="str">
        <f>'WS Plan'!F161</f>
        <v>Conduct Utilities survey (asset mapping)</v>
      </c>
      <c r="D36" s="4131">
        <f>IF('WS Plan'!$E$161="Activate",'WS Plan'!$H$163,0)</f>
        <v>0</v>
      </c>
      <c r="E36" s="5731">
        <f t="shared" si="1"/>
        <v>0</v>
      </c>
      <c r="F36" s="4121"/>
      <c r="G36" s="4121">
        <f>IF('WS Plan'!$E$161="Activate",IF(AND(G$7&gt;='WS Plan'!$G$161,G$7&lt;'WS Plan'!$H$161+1),$D$36/('WS Plan'!$H$161+1-'WS Plan'!$G$161),0),0)*G$1/'General info'!$G$44</f>
        <v>0</v>
      </c>
      <c r="H36" s="4121">
        <f>IF('WS Plan'!$E$161="Activate",IF(AND(H$7&gt;='WS Plan'!$G$161,H$7&lt;'WS Plan'!$H$161+1),$D$36/('WS Plan'!$H$161+1-'WS Plan'!$G$161),0),0)*H$1/'General info'!$G$44</f>
        <v>0</v>
      </c>
      <c r="I36" s="4121">
        <f>IF('WS Plan'!$E$161="Activate",IF(AND(I$7&gt;='WS Plan'!$G$161,I$7&lt;'WS Plan'!$H$161+1),$D$36/('WS Plan'!$H$161+1-'WS Plan'!$G$161),0),0)*I$1/'General info'!$G$44</f>
        <v>0</v>
      </c>
      <c r="J36" s="4121">
        <f>IF('WS Plan'!$E$161="Activate",IF(AND(J$7&gt;='WS Plan'!$G$161,J$7&lt;'WS Plan'!$H$161+1),$D$36/('WS Plan'!$H$161+1-'WS Plan'!$G$161),0),0)*J$1/'General info'!$G$44</f>
        <v>0</v>
      </c>
      <c r="K36" s="4121">
        <f>IF('WS Plan'!$E$161="Activate",IF(AND(K$7&gt;='WS Plan'!$G$161,K$7&lt;'WS Plan'!$H$161+1),$D$36/('WS Plan'!$H$161+1-'WS Plan'!$G$161),0),0)*K$1/'General info'!$G$44</f>
        <v>0</v>
      </c>
      <c r="L36" s="4121">
        <f>IF('WS Plan'!$E$161="Activate",IF(AND(L$7&gt;='WS Plan'!$G$161,L$7&lt;'WS Plan'!$H$161+1),$D$36/('WS Plan'!$H$161+1-'WS Plan'!$G$161),0),0)*L$1/'General info'!$G$44</f>
        <v>0</v>
      </c>
      <c r="M36" s="4121">
        <f>IF('WS Plan'!$E$161="Activate",IF(AND(M$7&gt;='WS Plan'!$G$161,M$7&lt;'WS Plan'!$H$161+1),$D$36/('WS Plan'!$H$161+1-'WS Plan'!$G$161),0),0)*M$1/'General info'!$G$44</f>
        <v>0</v>
      </c>
      <c r="N36" s="4121">
        <f>IF('WS Plan'!$E$161="Activate",IF(AND(N$7&gt;='WS Plan'!$G$161,N$7&lt;'WS Plan'!$H$161+1),$D$36/('WS Plan'!$H$161+1-'WS Plan'!$G$161),0),0)*N$1/'General info'!$G$44</f>
        <v>0</v>
      </c>
      <c r="O36" s="4121">
        <f>IF('WS Plan'!$E$161="Activate",IF(AND(O$7&gt;='WS Plan'!$G$161,O$7&lt;'WS Plan'!$H$161+1),$D$36/('WS Plan'!$H$161+1-'WS Plan'!$G$161),0),0)*O$1/'General info'!$G$44</f>
        <v>0</v>
      </c>
      <c r="P36" s="4121">
        <f>IF('WS Plan'!$E$161="Activate",IF(AND(P$7&gt;='WS Plan'!$G$161,P$7&lt;'WS Plan'!$H$161+1),$D$36/('WS Plan'!$H$161+1-'WS Plan'!$G$161),0),0)*P$1/'General info'!$G$44</f>
        <v>0</v>
      </c>
      <c r="Q36" s="4115">
        <f ca="1">IFERROR(VLOOKUP(C36,'Action Plan finance'!$C$56:$AB$175,20,FALSE),0)</f>
        <v>0</v>
      </c>
      <c r="R36" s="4116">
        <f ca="1">IFERROR(VLOOKUP(C36,'Action Plan finance'!$C$56:$AB$175,21,FALSE),0)</f>
        <v>0</v>
      </c>
      <c r="S36" s="4116">
        <f ca="1">IFERROR(VLOOKUP(C36,'Action Plan finance'!$C$56:$AB$175,22,FALSE),0)</f>
        <v>0</v>
      </c>
      <c r="T36" s="4116">
        <f ca="1">IFERROR(VLOOKUP(C36,'Action Plan finance'!$C$56:$AB$175,23,FALSE),0)</f>
        <v>0</v>
      </c>
      <c r="U36" s="4116"/>
      <c r="V36" s="4116">
        <f ca="1">IFERROR(VLOOKUP(C36,'Action Plan finance'!$C$56:$AB$175,25,FALSE),0)</f>
        <v>0</v>
      </c>
    </row>
    <row r="37" spans="2:22" ht="30" x14ac:dyDescent="0.25">
      <c r="B37" s="4110" t="s">
        <v>3185</v>
      </c>
      <c r="C37" s="4111" t="str">
        <f>'WS Plan'!F168</f>
        <v>Improve processes for regular checking of water losses</v>
      </c>
      <c r="D37" s="4131"/>
      <c r="E37" s="4120"/>
      <c r="F37" s="4121"/>
      <c r="G37" s="4121"/>
      <c r="H37" s="4121"/>
      <c r="I37" s="4121"/>
      <c r="J37" s="4121"/>
      <c r="K37" s="4121"/>
      <c r="L37" s="4121"/>
      <c r="M37" s="4121"/>
      <c r="N37" s="4121"/>
      <c r="O37" s="4121"/>
      <c r="P37" s="4121"/>
      <c r="Q37" s="4115">
        <f ca="1">IFERROR(VLOOKUP(C37,'Action Plan finance'!$C$56:$AB$175,20,FALSE),0)</f>
        <v>0</v>
      </c>
      <c r="R37" s="4116">
        <f ca="1">IFERROR(VLOOKUP(C37,'Action Plan finance'!$C$56:$AB$175,21,FALSE),0)</f>
        <v>0</v>
      </c>
      <c r="S37" s="4116">
        <f ca="1">IFERROR(VLOOKUP(C37,'Action Plan finance'!$C$56:$AB$175,22,FALSE),0)</f>
        <v>0</v>
      </c>
      <c r="T37" s="4116">
        <f ca="1">IFERROR(VLOOKUP(C37,'Action Plan finance'!$C$56:$AB$175,23,FALSE),0)</f>
        <v>0</v>
      </c>
      <c r="U37" s="4116"/>
      <c r="V37" s="4116">
        <f ca="1">IFERROR(VLOOKUP(C37,'Action Plan finance'!$C$56:$AB$175,25,FALSE),0)</f>
        <v>0</v>
      </c>
    </row>
    <row r="38" spans="2:22" x14ac:dyDescent="0.25">
      <c r="B38" s="4110" t="s">
        <v>3186</v>
      </c>
      <c r="C38" s="4111" t="str">
        <f>'WS Plan'!F169</f>
        <v>Policy to introduce universal consumer meters</v>
      </c>
      <c r="D38" s="4131"/>
      <c r="E38" s="4120"/>
      <c r="F38" s="4121"/>
      <c r="G38" s="4121"/>
      <c r="H38" s="4121"/>
      <c r="I38" s="4121"/>
      <c r="J38" s="4121"/>
      <c r="K38" s="4121"/>
      <c r="L38" s="4121"/>
      <c r="M38" s="4121"/>
      <c r="N38" s="4121"/>
      <c r="O38" s="4121"/>
      <c r="P38" s="4121"/>
      <c r="Q38" s="4115">
        <f ca="1">IFERROR(VLOOKUP(C38,'Action Plan finance'!$C$56:$AB$175,20,FALSE),0)</f>
        <v>0</v>
      </c>
      <c r="R38" s="4116">
        <f ca="1">IFERROR(VLOOKUP(C38,'Action Plan finance'!$C$56:$AB$175,21,FALSE),0)</f>
        <v>0</v>
      </c>
      <c r="S38" s="4116">
        <f ca="1">IFERROR(VLOOKUP(C38,'Action Plan finance'!$C$56:$AB$175,22,FALSE),0)</f>
        <v>0</v>
      </c>
      <c r="T38" s="4116">
        <f ca="1">IFERROR(VLOOKUP(C38,'Action Plan finance'!$C$56:$AB$175,23,FALSE),0)</f>
        <v>0</v>
      </c>
      <c r="U38" s="4116"/>
      <c r="V38" s="4116">
        <f ca="1">IFERROR(VLOOKUP(C38,'Action Plan finance'!$C$56:$AB$175,25,FALSE),0)</f>
        <v>0</v>
      </c>
    </row>
    <row r="39" spans="2:22" ht="30" x14ac:dyDescent="0.25">
      <c r="B39" s="4110" t="s">
        <v>3187</v>
      </c>
      <c r="C39" s="4130" t="str">
        <f>'WS Plan'!F170</f>
        <v>Improve processes for management of consumer complaints</v>
      </c>
      <c r="D39" s="4131"/>
      <c r="E39" s="4120"/>
      <c r="F39" s="4121"/>
      <c r="G39" s="4121"/>
      <c r="H39" s="4121"/>
      <c r="I39" s="4121"/>
      <c r="J39" s="4121"/>
      <c r="K39" s="4121"/>
      <c r="L39" s="4121"/>
      <c r="M39" s="4121"/>
      <c r="N39" s="4121"/>
      <c r="O39" s="4121"/>
      <c r="P39" s="4121"/>
      <c r="Q39" s="4115">
        <f ca="1">IFERROR(VLOOKUP(C39,'Action Plan finance'!$C$56:$AB$175,20,FALSE),0)</f>
        <v>0</v>
      </c>
      <c r="R39" s="4116">
        <f ca="1">IFERROR(VLOOKUP(C39,'Action Plan finance'!$C$56:$AB$175,21,FALSE),0)</f>
        <v>0</v>
      </c>
      <c r="S39" s="4116">
        <f ca="1">IFERROR(VLOOKUP(C39,'Action Plan finance'!$C$56:$AB$175,22,FALSE),0)</f>
        <v>0</v>
      </c>
      <c r="T39" s="4116">
        <f ca="1">IFERROR(VLOOKUP(C39,'Action Plan finance'!$C$56:$AB$175,23,FALSE),0)</f>
        <v>0</v>
      </c>
      <c r="U39" s="4116"/>
      <c r="V39" s="4116">
        <f ca="1">IFERROR(VLOOKUP(C39,'Action Plan finance'!$C$56:$AB$175,25,FALSE),0)</f>
        <v>0</v>
      </c>
    </row>
    <row r="40" spans="2:22" x14ac:dyDescent="0.25">
      <c r="B40" s="4110" t="s">
        <v>3188</v>
      </c>
      <c r="C40" s="4111" t="str">
        <f>'WS Plan'!F174</f>
        <v>Reduce losses in trunk main transmission network</v>
      </c>
      <c r="D40" s="4137">
        <f>IF('WS Plan'!$E$174="Activate",'WS Plan'!$H$177,0)</f>
        <v>0</v>
      </c>
      <c r="E40" s="5731">
        <f t="shared" ref="E40:E47" si="2">SUM($F40:$P40)</f>
        <v>0</v>
      </c>
      <c r="F40" s="4121"/>
      <c r="G40" s="4121">
        <f>IF('WS Plan'!$E$174="Activate",IF(AND('PIP finance'!G7&gt;='WS Plan'!$G$174,'PIP finance'!G7&lt;'WS Plan'!$H$174+1),$D$40/('WS Plan'!$H$174+1-'WS Plan'!$G$174),0),0)*G$1/'General info'!$G$44</f>
        <v>0</v>
      </c>
      <c r="H40" s="4121">
        <f>IF('WS Plan'!$E$174="Activate",IF(AND('PIP finance'!H7&gt;='WS Plan'!$G$174,'PIP finance'!H7&lt;'WS Plan'!$H$174+1),$D$40/('WS Plan'!$H$174+1-'WS Plan'!$G$174),0),0)*H$1/'General info'!$G$44</f>
        <v>0</v>
      </c>
      <c r="I40" s="4121">
        <f>IF('WS Plan'!$E$174="Activate",IF(AND('PIP finance'!I7&gt;='WS Plan'!$G$174,'PIP finance'!I7&lt;'WS Plan'!$H$174+1),$D$40/('WS Plan'!$H$174+1-'WS Plan'!$G$174),0),0)*I$1/'General info'!$G$44</f>
        <v>0</v>
      </c>
      <c r="J40" s="4121">
        <f>IF('WS Plan'!$E$174="Activate",IF(AND('PIP finance'!J7&gt;='WS Plan'!$G$174,'PIP finance'!J7&lt;'WS Plan'!$H$174+1),$D$40/('WS Plan'!$H$174+1-'WS Plan'!$G$174),0),0)*J$1/'General info'!$G$44</f>
        <v>0</v>
      </c>
      <c r="K40" s="4121">
        <f>IF('WS Plan'!$E$174="Activate",IF(AND('PIP finance'!K7&gt;='WS Plan'!$G$174,'PIP finance'!K7&lt;'WS Plan'!$H$174+1),$D$40/('WS Plan'!$H$174+1-'WS Plan'!$G$174),0),0)*K$1/'General info'!$G$44</f>
        <v>0</v>
      </c>
      <c r="L40" s="4121">
        <f>IF('WS Plan'!$E$174="Activate",IF(AND('PIP finance'!L7&gt;='WS Plan'!$G$174,'PIP finance'!L7&lt;'WS Plan'!$H$174+1),$D$40/('WS Plan'!$H$174+1-'WS Plan'!$G$174),0),0)*L$1/'General info'!$G$44</f>
        <v>0</v>
      </c>
      <c r="M40" s="4121">
        <f>IF('WS Plan'!$E$174="Activate",IF(AND('PIP finance'!M7&gt;='WS Plan'!$G$174,'PIP finance'!M7&lt;'WS Plan'!$H$174+1),$D$40/('WS Plan'!$H$174+1-'WS Plan'!$G$174),0),0)*M$1/'General info'!$G$44</f>
        <v>0</v>
      </c>
      <c r="N40" s="4121">
        <f>IF('WS Plan'!$E$174="Activate",IF(AND('PIP finance'!N7&gt;='WS Plan'!$G$174,'PIP finance'!N7&lt;'WS Plan'!$H$174+1),$D$40/('WS Plan'!$H$174+1-'WS Plan'!$G$174),0),0)*N$1/'General info'!$G$44</f>
        <v>0</v>
      </c>
      <c r="O40" s="4121">
        <f>IF('WS Plan'!$E$174="Activate",IF(AND('PIP finance'!O7&gt;='WS Plan'!$G$174,'PIP finance'!O7&lt;'WS Plan'!$H$174+1),$D$40/('WS Plan'!$H$174+1-'WS Plan'!$G$174),0),0)*O$1/'General info'!$G$44</f>
        <v>0</v>
      </c>
      <c r="P40" s="4121">
        <f>IF('WS Plan'!$E$174="Activate",IF(AND('PIP finance'!P7&gt;='WS Plan'!$G$174,'PIP finance'!P7&lt;'WS Plan'!$H$174+1),$D$40/('WS Plan'!$H$174+1-'WS Plan'!$G$174),0),0)*P$1/'General info'!$G$44</f>
        <v>0</v>
      </c>
      <c r="Q40" s="4115">
        <f ca="1">IFERROR(VLOOKUP(C40,'Action Plan finance'!$C$56:$AB$175,20,FALSE),0)</f>
        <v>0</v>
      </c>
      <c r="R40" s="4116">
        <f ca="1">IFERROR(VLOOKUP(C40,'Action Plan finance'!$C$56:$AB$175,21,FALSE),0)</f>
        <v>0</v>
      </c>
      <c r="S40" s="4116">
        <f ca="1">IFERROR(VLOOKUP(C40,'Action Plan finance'!$C$56:$AB$175,22,FALSE),0)</f>
        <v>0</v>
      </c>
      <c r="T40" s="4116">
        <f ca="1">IFERROR(VLOOKUP(C40,'Action Plan finance'!$C$56:$AB$175,23,FALSE),0)</f>
        <v>0</v>
      </c>
      <c r="U40" s="4116"/>
      <c r="V40" s="4116">
        <f ca="1">IFERROR(VLOOKUP(C40,'Action Plan finance'!$C$56:$AB$175,25,FALSE),0)</f>
        <v>0</v>
      </c>
    </row>
    <row r="41" spans="2:22" x14ac:dyDescent="0.25">
      <c r="B41" s="4110" t="s">
        <v>3189</v>
      </c>
      <c r="C41" s="4130" t="str">
        <f>'WS Plan'!F178</f>
        <v>Reduce losses at water treatment plant</v>
      </c>
      <c r="D41" s="4131">
        <f>IF('WS Plan'!$E$178="Activate",'WS Plan'!$H$181,0)</f>
        <v>0</v>
      </c>
      <c r="E41" s="5731">
        <f t="shared" si="2"/>
        <v>0</v>
      </c>
      <c r="F41" s="4124"/>
      <c r="G41" s="4124">
        <f>IF('WS Plan'!$E$178="Activate",IF(AND(G$7&gt;='WS Plan'!$G$178,G$7&lt;'WS Plan'!$H$178+1),$D$41/('WS Plan'!$H$178+1-'WS Plan'!$G$178),0),0)*G$1/'General info'!$G$44</f>
        <v>0</v>
      </c>
      <c r="H41" s="4124">
        <f>IF('WS Plan'!$E$178="Activate",IF(AND(H$7&gt;='WS Plan'!$G$178,H$7&lt;'WS Plan'!$H$178+1),$D$41/('WS Plan'!$H$178+1-'WS Plan'!$G$178),0),0)*H$1/'General info'!$G$44</f>
        <v>0</v>
      </c>
      <c r="I41" s="4124">
        <f>IF('WS Plan'!$E$178="Activate",IF(AND(I$7&gt;='WS Plan'!$G$178,I$7&lt;'WS Plan'!$H$178+1),$D$41/('WS Plan'!$H$178+1-'WS Plan'!$G$178),0),0)*I$1/'General info'!$G$44</f>
        <v>0</v>
      </c>
      <c r="J41" s="4124">
        <f>IF('WS Plan'!$E$178="Activate",IF(AND(J$7&gt;='WS Plan'!$G$178,J$7&lt;'WS Plan'!$H$178+1),$D$41/('WS Plan'!$H$178+1-'WS Plan'!$G$178),0),0)*J$1/'General info'!$G$44</f>
        <v>0</v>
      </c>
      <c r="K41" s="4124">
        <f>IF('WS Plan'!$E$178="Activate",IF(AND(K$7&gt;='WS Plan'!$G$178,K$7&lt;'WS Plan'!$H$178+1),$D$41/('WS Plan'!$H$178+1-'WS Plan'!$G$178),0),0)*K$1/'General info'!$G$44</f>
        <v>0</v>
      </c>
      <c r="L41" s="4124">
        <f>IF('WS Plan'!$E$178="Activate",IF(AND(L$7&gt;='WS Plan'!$G$178,L$7&lt;'WS Plan'!$H$178+1),$D$41/('WS Plan'!$H$178+1-'WS Plan'!$G$178),0),0)*L$1/'General info'!$G$44</f>
        <v>0</v>
      </c>
      <c r="M41" s="4124">
        <f>IF('WS Plan'!$E$178="Activate",IF(AND(M$7&gt;='WS Plan'!$G$178,M$7&lt;'WS Plan'!$H$178+1),$D$41/('WS Plan'!$H$178+1-'WS Plan'!$G$178),0),0)*M$1/'General info'!$G$44</f>
        <v>0</v>
      </c>
      <c r="N41" s="4124">
        <f>IF('WS Plan'!$E$178="Activate",IF(AND(N$7&gt;='WS Plan'!$G$178,N$7&lt;'WS Plan'!$H$178+1),$D$41/('WS Plan'!$H$178+1-'WS Plan'!$G$178),0),0)*N$1/'General info'!$G$44</f>
        <v>0</v>
      </c>
      <c r="O41" s="4124">
        <f>IF('WS Plan'!$E$178="Activate",IF(AND(O$7&gt;='WS Plan'!$G$178,O$7&lt;'WS Plan'!$H$178+1),$D$41/('WS Plan'!$H$178+1-'WS Plan'!$G$178),0),0)*O$1/'General info'!$G$44</f>
        <v>0</v>
      </c>
      <c r="P41" s="4124">
        <f>IF('WS Plan'!$E$178="Activate",IF(AND(P$7&gt;='WS Plan'!$G$178,P$7&lt;'WS Plan'!$H$178+1),$D$41/('WS Plan'!$H$178+1-'WS Plan'!$G$178),0),0)*P$1/'General info'!$G$44</f>
        <v>0</v>
      </c>
      <c r="Q41" s="4115">
        <f ca="1">IFERROR(VLOOKUP(C41,'Action Plan finance'!$C$56:$AB$175,20,FALSE),0)</f>
        <v>0</v>
      </c>
      <c r="R41" s="4116">
        <f ca="1">IFERROR(VLOOKUP(C41,'Action Plan finance'!$C$56:$AB$175,21,FALSE),0)</f>
        <v>0</v>
      </c>
      <c r="S41" s="4116">
        <f ca="1">IFERROR(VLOOKUP(C41,'Action Plan finance'!$C$56:$AB$175,22,FALSE),0)</f>
        <v>0</v>
      </c>
      <c r="T41" s="4116">
        <f ca="1">IFERROR(VLOOKUP(C41,'Action Plan finance'!$C$56:$AB$175,23,FALSE),0)</f>
        <v>0</v>
      </c>
      <c r="U41" s="4116"/>
      <c r="V41" s="4116">
        <f ca="1">IFERROR(VLOOKUP(C41,'Action Plan finance'!$C$56:$AB$175,25,FALSE),0)</f>
        <v>0</v>
      </c>
    </row>
    <row r="42" spans="2:22" ht="30" x14ac:dyDescent="0.25">
      <c r="B42" s="4110" t="s">
        <v>3190</v>
      </c>
      <c r="C42" s="4130" t="str">
        <f>'WS Plan'!F182</f>
        <v>Reduce losses in treated water transmission network</v>
      </c>
      <c r="D42" s="4131">
        <f>IF('WS Plan'!$E$182="Activate",'WS Plan'!H185,0)</f>
        <v>0</v>
      </c>
      <c r="E42" s="5731">
        <f t="shared" si="2"/>
        <v>0</v>
      </c>
      <c r="F42" s="4124"/>
      <c r="G42" s="4124">
        <f>IF('WS Plan'!$E$182="Activate",IF(AND('PIP finance'!G7&gt;='WS Plan'!$G$182,'PIP finance'!G7&lt;'WS Plan'!$H$182+1),$D$42/('WS Plan'!$H$182+1-'WS Plan'!$G$182),0),0)*G$1/'General info'!$G$44</f>
        <v>0</v>
      </c>
      <c r="H42" s="4124">
        <f>IF('WS Plan'!$E$182="Activate",IF(AND('PIP finance'!H7&gt;='WS Plan'!$G$182,'PIP finance'!H7&lt;'WS Plan'!$H$182+1),$D$42/('WS Plan'!$H$182+1-'WS Plan'!$G$182),0),0)*H$1/'General info'!$G$44</f>
        <v>0</v>
      </c>
      <c r="I42" s="4124">
        <f>IF('WS Plan'!$E$182="Activate",IF(AND('PIP finance'!I7&gt;='WS Plan'!$G$182,'PIP finance'!I7&lt;'WS Plan'!$H$182+1),$D$42/('WS Plan'!$H$182+1-'WS Plan'!$G$182),0),0)*I$1/'General info'!$G$44</f>
        <v>0</v>
      </c>
      <c r="J42" s="4124">
        <f>IF('WS Plan'!$E$182="Activate",IF(AND('PIP finance'!J7&gt;='WS Plan'!$G$182,'PIP finance'!J7&lt;'WS Plan'!$H$182+1),$D$42/('WS Plan'!$H$182+1-'WS Plan'!$G$182),0),0)*J$1/'General info'!$G$44</f>
        <v>0</v>
      </c>
      <c r="K42" s="4124">
        <f>IF('WS Plan'!$E$182="Activate",IF(AND('PIP finance'!K7&gt;='WS Plan'!$G$182,'PIP finance'!K7&lt;'WS Plan'!$H$182+1),$D$42/('WS Plan'!$H$182+1-'WS Plan'!$G$182),0),0)*K$1/'General info'!$G$44</f>
        <v>0</v>
      </c>
      <c r="L42" s="4124">
        <f>IF('WS Plan'!$E$182="Activate",IF(AND('PIP finance'!L7&gt;='WS Plan'!$G$182,'PIP finance'!L7&lt;'WS Plan'!$H$182+1),$D$42/('WS Plan'!$H$182+1-'WS Plan'!$G$182),0),0)*L$1/'General info'!$G$44</f>
        <v>0</v>
      </c>
      <c r="M42" s="4124">
        <f>IF('WS Plan'!$E$182="Activate",IF(AND('PIP finance'!M7&gt;='WS Plan'!$G$182,'PIP finance'!M7&lt;'WS Plan'!$H$182+1),$D$42/('WS Plan'!$H$182+1-'WS Plan'!$G$182),0),0)*M$1/'General info'!$G$44</f>
        <v>0</v>
      </c>
      <c r="N42" s="4124">
        <f>IF('WS Plan'!$E$182="Activate",IF(AND('PIP finance'!N7&gt;='WS Plan'!$G$182,'PIP finance'!N7&lt;'WS Plan'!$H$182+1),$D$42/('WS Plan'!$H$182+1-'WS Plan'!$G$182),0),0)*N$1/'General info'!$G$44</f>
        <v>0</v>
      </c>
      <c r="O42" s="4124">
        <f>IF('WS Plan'!$E$182="Activate",IF(AND('PIP finance'!O7&gt;='WS Plan'!$G$182,'PIP finance'!O7&lt;'WS Plan'!$H$182+1),$D$42/('WS Plan'!$H$182+1-'WS Plan'!$G$182),0),0)*O$1/'General info'!$G$44</f>
        <v>0</v>
      </c>
      <c r="P42" s="4124">
        <f>IF('WS Plan'!$E$182="Activate",IF(AND('PIP finance'!P7&gt;='WS Plan'!$G$182,'PIP finance'!P7&lt;'WS Plan'!$H$182+1),$D$42/('WS Plan'!$H$182+1-'WS Plan'!$G$182),0),0)*P$1/'General info'!$G$44</f>
        <v>0</v>
      </c>
      <c r="Q42" s="4115">
        <f ca="1">IFERROR(VLOOKUP(C42,'Action Plan finance'!$C$56:$AB$175,20,FALSE),0)</f>
        <v>0</v>
      </c>
      <c r="R42" s="4116">
        <f ca="1">IFERROR(VLOOKUP(C42,'Action Plan finance'!$C$56:$AB$175,21,FALSE),0)</f>
        <v>0</v>
      </c>
      <c r="S42" s="4116">
        <f ca="1">IFERROR(VLOOKUP(C42,'Action Plan finance'!$C$56:$AB$175,22,FALSE),0)</f>
        <v>0</v>
      </c>
      <c r="T42" s="4116">
        <f ca="1">IFERROR(VLOOKUP(C42,'Action Plan finance'!$C$56:$AB$175,23,FALSE),0)</f>
        <v>0</v>
      </c>
      <c r="U42" s="4116"/>
      <c r="V42" s="4116">
        <f ca="1">IFERROR(VLOOKUP(C42,'Action Plan finance'!$C$56:$AB$175,25,FALSE),0)</f>
        <v>0</v>
      </c>
    </row>
    <row r="43" spans="2:22" x14ac:dyDescent="0.25">
      <c r="B43" s="4110" t="s">
        <v>3191</v>
      </c>
      <c r="C43" s="4130" t="str">
        <f>'WS Plan'!F189</f>
        <v>Refurbishment of water storage reservoirs</v>
      </c>
      <c r="D43" s="4131">
        <f>IF('WS Plan'!$E$189="Activate",'WS Plan'!$H$191,0)</f>
        <v>0</v>
      </c>
      <c r="E43" s="5731">
        <f t="shared" si="2"/>
        <v>0</v>
      </c>
      <c r="F43" s="4124"/>
      <c r="G43" s="4124">
        <f>IF('WS Plan'!$E$189="Activate",IF(AND('PIP finance'!G$7&gt;='WS Plan'!$G$189,'PIP finance'!G$7&lt;'WS Plan'!$H$189+1),$D$43/('WS Plan'!$H$189+1-'WS Plan'!$G$189),0),0)*G$1/'General info'!$G$44</f>
        <v>0</v>
      </c>
      <c r="H43" s="4124">
        <f>IF('WS Plan'!$E$189="Activate",IF(AND('PIP finance'!H$7&gt;='WS Plan'!$G$189,'PIP finance'!H$7&lt;'WS Plan'!$H$189+1),$D$43/('WS Plan'!$H$189+1-'WS Plan'!$G$189),0),0)*H$1/'General info'!$G$44</f>
        <v>0</v>
      </c>
      <c r="I43" s="4124">
        <f>IF('WS Plan'!$E$189="Activate",IF(AND('PIP finance'!I$7&gt;='WS Plan'!$G$189,'PIP finance'!I$7&lt;'WS Plan'!$H$189+1),$D$43/('WS Plan'!$H$189+1-'WS Plan'!$G$189),0),0)*I$1/'General info'!$G$44</f>
        <v>0</v>
      </c>
      <c r="J43" s="4124">
        <f>IF('WS Plan'!$E$189="Activate",IF(AND('PIP finance'!J$7&gt;='WS Plan'!$G$189,'PIP finance'!J$7&lt;'WS Plan'!$H$189+1),$D$43/('WS Plan'!$H$189+1-'WS Plan'!$G$189),0),0)*J$1/'General info'!$G$44</f>
        <v>0</v>
      </c>
      <c r="K43" s="4124">
        <f>IF('WS Plan'!$E$189="Activate",IF(AND('PIP finance'!K$7&gt;='WS Plan'!$G$189,'PIP finance'!K$7&lt;'WS Plan'!$H$189+1),$D$43/('WS Plan'!$H$189+1-'WS Plan'!$G$189),0),0)*K$1/'General info'!$G$44</f>
        <v>0</v>
      </c>
      <c r="L43" s="4124">
        <f>IF('WS Plan'!$E$189="Activate",IF(AND('PIP finance'!L$7&gt;='WS Plan'!$G$189,'PIP finance'!L$7&lt;'WS Plan'!$H$189+1),$D$43/('WS Plan'!$H$189+1-'WS Plan'!$G$189),0),0)*L$1/'General info'!$G$44</f>
        <v>0</v>
      </c>
      <c r="M43" s="4124">
        <f>IF('WS Plan'!$E$189="Activate",IF(AND('PIP finance'!M$7&gt;='WS Plan'!$G$189,'PIP finance'!M$7&lt;'WS Plan'!$H$189+1),$D$43/('WS Plan'!$H$189+1-'WS Plan'!$G$189),0),0)*M$1/'General info'!$G$44</f>
        <v>0</v>
      </c>
      <c r="N43" s="4124">
        <f>IF('WS Plan'!$E$189="Activate",IF(AND('PIP finance'!N$7&gt;='WS Plan'!$G$189,'PIP finance'!N$7&lt;'WS Plan'!$H$189+1),$D$43/('WS Plan'!$H$189+1-'WS Plan'!$G$189),0),0)*N$1/'General info'!$G$44</f>
        <v>0</v>
      </c>
      <c r="O43" s="4124">
        <f>IF('WS Plan'!$E$189="Activate",IF(AND('PIP finance'!O$7&gt;='WS Plan'!$G$189,'PIP finance'!O$7&lt;'WS Plan'!$H$189+1),$D$43/('WS Plan'!$H$189+1-'WS Plan'!$G$189),0),0)*O$1/'General info'!$G$44</f>
        <v>0</v>
      </c>
      <c r="P43" s="4124">
        <f>IF('WS Plan'!$E$189="Activate",IF(AND('PIP finance'!P$7&gt;='WS Plan'!$G$189,'PIP finance'!P$7&lt;'WS Plan'!$H$189+1),$D$43/('WS Plan'!$H$189+1-'WS Plan'!$G$189),0),0)*P$1/'General info'!$G$44</f>
        <v>0</v>
      </c>
      <c r="Q43" s="4115">
        <f ca="1">IFERROR(VLOOKUP(C43,'Action Plan finance'!$C$56:$AB$175,20,FALSE),0)</f>
        <v>0</v>
      </c>
      <c r="R43" s="4116">
        <f ca="1">IFERROR(VLOOKUP(C43,'Action Plan finance'!$C$56:$AB$175,21,FALSE),0)</f>
        <v>0</v>
      </c>
      <c r="S43" s="4116">
        <f ca="1">IFERROR(VLOOKUP(C43,'Action Plan finance'!$C$56:$AB$175,22,FALSE),0)</f>
        <v>0</v>
      </c>
      <c r="T43" s="4116">
        <f ca="1">IFERROR(VLOOKUP(C43,'Action Plan finance'!$C$56:$AB$175,23,FALSE),0)</f>
        <v>0</v>
      </c>
      <c r="U43" s="4116"/>
      <c r="V43" s="4116">
        <f ca="1">IFERROR(VLOOKUP(C43,'Action Plan finance'!$C$56:$AB$175,25,FALSE),0)</f>
        <v>0</v>
      </c>
    </row>
    <row r="44" spans="2:22" x14ac:dyDescent="0.25">
      <c r="B44" s="4110" t="s">
        <v>3192</v>
      </c>
      <c r="C44" s="4130" t="str">
        <f>'WS Plan'!F192</f>
        <v>Improvement in water supply distribution network</v>
      </c>
      <c r="D44" s="4131">
        <f>IF('WS Plan'!$E$192="Activate",'WS Plan'!$H$194,0)</f>
        <v>0</v>
      </c>
      <c r="E44" s="5731">
        <f t="shared" si="2"/>
        <v>0</v>
      </c>
      <c r="F44" s="4124"/>
      <c r="G44" s="4124">
        <f>IF('WS Plan'!$E$192="Activate",IF(AND(G$7&gt;='WS Plan'!$G$192,G$7&lt;'WS Plan'!$H$192+1),$D$44/('WS Plan'!$H$192+1-'WS Plan'!$G$192),0),0)*G$1/'General info'!$G$44</f>
        <v>0</v>
      </c>
      <c r="H44" s="4124">
        <f>IF('WS Plan'!$E$192="Activate",IF(AND(H$7&gt;='WS Plan'!$G$192,H$7&lt;'WS Plan'!$H$192+1),$D$44/('WS Plan'!$H$192+1-'WS Plan'!$G$192),0),0)*H$1/'General info'!$G$44</f>
        <v>0</v>
      </c>
      <c r="I44" s="4124">
        <f>IF('WS Plan'!$E$192="Activate",IF(AND(I$7&gt;='WS Plan'!$G$192,I$7&lt;'WS Plan'!$H$192+1),$D$44/('WS Plan'!$H$192+1-'WS Plan'!$G$192),0),0)*I$1/'General info'!$G$44</f>
        <v>0</v>
      </c>
      <c r="J44" s="4124">
        <f>IF('WS Plan'!$E$192="Activate",IF(AND(J$7&gt;='WS Plan'!$G$192,J$7&lt;'WS Plan'!$H$192+1),$D$44/('WS Plan'!$H$192+1-'WS Plan'!$G$192),0),0)*J$1/'General info'!$G$44</f>
        <v>0</v>
      </c>
      <c r="K44" s="4124">
        <f>IF('WS Plan'!$E$192="Activate",IF(AND(K$7&gt;='WS Plan'!$G$192,K$7&lt;'WS Plan'!$H$192+1),$D$44/('WS Plan'!$H$192+1-'WS Plan'!$G$192),0),0)*K$1/'General info'!$G$44</f>
        <v>0</v>
      </c>
      <c r="L44" s="4124">
        <f>IF('WS Plan'!$E$192="Activate",IF(AND(L$7&gt;='WS Plan'!$G$192,L$7&lt;'WS Plan'!$H$192+1),$D$44/('WS Plan'!$H$192+1-'WS Plan'!$G$192),0),0)*L$1/'General info'!$G$44</f>
        <v>0</v>
      </c>
      <c r="M44" s="4124">
        <f>IF('WS Plan'!$E$192="Activate",IF(AND(M$7&gt;='WS Plan'!$G$192,M$7&lt;'WS Plan'!$H$192+1),$D$44/('WS Plan'!$H$192+1-'WS Plan'!$G$192),0),0)*M$1/'General info'!$G$44</f>
        <v>0</v>
      </c>
      <c r="N44" s="4124">
        <f>IF('WS Plan'!$E$192="Activate",IF(AND(N$7&gt;='WS Plan'!$G$192,N$7&lt;'WS Plan'!$H$192+1),$D$44/('WS Plan'!$H$192+1-'WS Plan'!$G$192),0),0)*N$1/'General info'!$G$44</f>
        <v>0</v>
      </c>
      <c r="O44" s="4124">
        <f>IF('WS Plan'!$E$192="Activate",IF(AND(O$7&gt;='WS Plan'!$G$192,O$7&lt;'WS Plan'!$H$192+1),$D$44/('WS Plan'!$H$192+1-'WS Plan'!$G$192),0),0)*O$1/'General info'!$G$44</f>
        <v>0</v>
      </c>
      <c r="P44" s="4124">
        <f>IF('WS Plan'!$E$192="Activate",IF(AND(P$7&gt;='WS Plan'!$G$192,P$7&lt;'WS Plan'!$H$192+1),$D$44/('WS Plan'!$H$192+1-'WS Plan'!$G$192),0),0)*P$1/'General info'!$G$44</f>
        <v>0</v>
      </c>
      <c r="Q44" s="4115">
        <f ca="1">IFERROR(VLOOKUP(C44,'Action Plan finance'!$C$56:$AB$175,20,FALSE),0)</f>
        <v>0</v>
      </c>
      <c r="R44" s="4116">
        <f ca="1">IFERROR(VLOOKUP(C44,'Action Plan finance'!$C$56:$AB$175,21,FALSE),0)</f>
        <v>0</v>
      </c>
      <c r="S44" s="4116">
        <f ca="1">IFERROR(VLOOKUP(C44,'Action Plan finance'!$C$56:$AB$175,22,FALSE),0)</f>
        <v>0</v>
      </c>
      <c r="T44" s="4116">
        <f ca="1">IFERROR(VLOOKUP(C44,'Action Plan finance'!$C$56:$AB$175,23,FALSE),0)</f>
        <v>0</v>
      </c>
      <c r="U44" s="4116"/>
      <c r="V44" s="4116">
        <f ca="1">IFERROR(VLOOKUP(C44,'Action Plan finance'!$C$56:$AB$175,25,FALSE),0)</f>
        <v>0</v>
      </c>
    </row>
    <row r="45" spans="2:22" x14ac:dyDescent="0.25">
      <c r="B45" s="4110" t="s">
        <v>3193</v>
      </c>
      <c r="C45" s="4130" t="str">
        <f>'WS Plan'!F195</f>
        <v>Plugging of leakages at valves</v>
      </c>
      <c r="D45" s="4131">
        <f>IF('WS Plan'!$E$195="Activate",'WS Plan'!$H$197,0)</f>
        <v>0</v>
      </c>
      <c r="E45" s="5731">
        <f t="shared" si="2"/>
        <v>0</v>
      </c>
      <c r="F45" s="4124"/>
      <c r="G45" s="4124">
        <f>IF('WS Plan'!$E$195="Activate",IF(AND('PIP finance'!G$7&gt;='WS Plan'!$G$195,'PIP finance'!G$7&lt;'WS Plan'!$H$195+1),$D$45/('WS Plan'!$H$195+1-'WS Plan'!$G$195),0),0)*G$1/'General info'!$G$44</f>
        <v>0</v>
      </c>
      <c r="H45" s="4124">
        <f>IF('WS Plan'!$E$195="Activate",IF(AND('PIP finance'!H$7&gt;='WS Plan'!$G$195,'PIP finance'!H$7&lt;'WS Plan'!$H$195+1),$D$45/('WS Plan'!$H$195+1-'WS Plan'!$G$195),0),0)*H$1/'General info'!$G$44</f>
        <v>0</v>
      </c>
      <c r="I45" s="4124">
        <f>IF('WS Plan'!$E$195="Activate",IF(AND('PIP finance'!I$7&gt;='WS Plan'!$G$195,'PIP finance'!I$7&lt;'WS Plan'!$H$195+1),$D$45/('WS Plan'!$H$195+1-'WS Plan'!$G$195),0),0)*I$1/'General info'!$G$44</f>
        <v>0</v>
      </c>
      <c r="J45" s="4124">
        <f>IF('WS Plan'!$E$195="Activate",IF(AND('PIP finance'!J$7&gt;='WS Plan'!$G$195,'PIP finance'!J$7&lt;'WS Plan'!$H$195+1),$D$45/('WS Plan'!$H$195+1-'WS Plan'!$G$195),0),0)*J$1/'General info'!$G$44</f>
        <v>0</v>
      </c>
      <c r="K45" s="4124">
        <f>IF('WS Plan'!$E$195="Activate",IF(AND('PIP finance'!K$7&gt;='WS Plan'!$G$195,'PIP finance'!K$7&lt;'WS Plan'!$H$195+1),$D$45/('WS Plan'!$H$195+1-'WS Plan'!$G$195),0),0)*K$1/'General info'!$G$44</f>
        <v>0</v>
      </c>
      <c r="L45" s="4124">
        <f>IF('WS Plan'!$E$195="Activate",IF(AND('PIP finance'!L$7&gt;='WS Plan'!$G$195,'PIP finance'!L$7&lt;'WS Plan'!$H$195+1),$D$45/('WS Plan'!$H$195+1-'WS Plan'!$G$195),0),0)*L$1/'General info'!$G$44</f>
        <v>0</v>
      </c>
      <c r="M45" s="4124">
        <f>IF('WS Plan'!$E$195="Activate",IF(AND('PIP finance'!M$7&gt;='WS Plan'!$G$195,'PIP finance'!M$7&lt;'WS Plan'!$H$195+1),$D$45/('WS Plan'!$H$195+1-'WS Plan'!$G$195),0),0)*M$1/'General info'!$G$44</f>
        <v>0</v>
      </c>
      <c r="N45" s="4124">
        <f>IF('WS Plan'!$E$195="Activate",IF(AND('PIP finance'!N$7&gt;='WS Plan'!$G$195,'PIP finance'!N$7&lt;'WS Plan'!$H$195+1),$D$45/('WS Plan'!$H$195+1-'WS Plan'!$G$195),0),0)*N$1/'General info'!$G$44</f>
        <v>0</v>
      </c>
      <c r="O45" s="4124">
        <f>IF('WS Plan'!$E$195="Activate",IF(AND('PIP finance'!O$7&gt;='WS Plan'!$G$195,'PIP finance'!O$7&lt;'WS Plan'!$H$195+1),$D$45/('WS Plan'!$H$195+1-'WS Plan'!$G$195),0),0)*O$1/'General info'!$G$44</f>
        <v>0</v>
      </c>
      <c r="P45" s="4124">
        <f>IF('WS Plan'!$E$195="Activate",IF(AND('PIP finance'!P$7&gt;='WS Plan'!$G$195,'PIP finance'!P$7&lt;'WS Plan'!$H$195+1),$D$45/('WS Plan'!$H$195+1-'WS Plan'!$G$195),0),0)*P$1/'General info'!$G$44</f>
        <v>0</v>
      </c>
      <c r="Q45" s="4115">
        <f ca="1">IFERROR(VLOOKUP(C45,'Action Plan finance'!$C$56:$AB$175,20,FALSE),0)</f>
        <v>0</v>
      </c>
      <c r="R45" s="4116">
        <f ca="1">IFERROR(VLOOKUP(C45,'Action Plan finance'!$C$56:$AB$175,21,FALSE),0)</f>
        <v>0</v>
      </c>
      <c r="S45" s="4116">
        <f ca="1">IFERROR(VLOOKUP(C45,'Action Plan finance'!$C$56:$AB$175,22,FALSE),0)</f>
        <v>0</v>
      </c>
      <c r="T45" s="4116">
        <f ca="1">IFERROR(VLOOKUP(C45,'Action Plan finance'!$C$56:$AB$175,23,FALSE),0)</f>
        <v>0</v>
      </c>
      <c r="U45" s="4116"/>
      <c r="V45" s="4116">
        <f ca="1">IFERROR(VLOOKUP(C45,'Action Plan finance'!$C$56:$AB$175,25,FALSE),0)</f>
        <v>0</v>
      </c>
    </row>
    <row r="46" spans="2:22" x14ac:dyDescent="0.25">
      <c r="B46" s="4110" t="s">
        <v>3194</v>
      </c>
      <c r="C46" s="4130" t="str">
        <f>'WS Plan'!F198</f>
        <v>Replacement of service line connections</v>
      </c>
      <c r="D46" s="4131" t="b">
        <f>IF('WS Plan'!$E$198="Activate",('WS Plan'!$H$201*'WS Plan'!$H$199))</f>
        <v>0</v>
      </c>
      <c r="E46" s="5731">
        <f t="shared" si="2"/>
        <v>0</v>
      </c>
      <c r="F46" s="4124"/>
      <c r="G46" s="4124">
        <f>IF('WS Plan'!$E$198="Activate",IF(AND('PIP finance'!G$7&gt;='WS Plan'!$G$198,'PIP finance'!G$7&lt;'WS Plan'!$H$198+1),$D$46/('WS Plan'!$H$198+1-'WS Plan'!$G$198),0),0)*G$1/'General info'!$G$44</f>
        <v>0</v>
      </c>
      <c r="H46" s="4124">
        <f>IF('WS Plan'!$E$198="Activate",IF(AND('PIP finance'!H$7&gt;='WS Plan'!$G$198,'PIP finance'!H$7&lt;'WS Plan'!$H$198+1),$D$46/('WS Plan'!$H$198+1-'WS Plan'!$G$198),0),0)*H$1/'General info'!$G$44</f>
        <v>0</v>
      </c>
      <c r="I46" s="4124">
        <f>IF('WS Plan'!$E$198="Activate",IF(AND('PIP finance'!I$7&gt;='WS Plan'!$G$198,'PIP finance'!I$7&lt;'WS Plan'!$H$198+1),$D$46/('WS Plan'!$H$198+1-'WS Plan'!$G$198),0),0)*I$1/'General info'!$G$44</f>
        <v>0</v>
      </c>
      <c r="J46" s="4124">
        <f>IF('WS Plan'!$E$198="Activate",IF(AND('PIP finance'!J$7&gt;='WS Plan'!$G$198,'PIP finance'!J$7&lt;'WS Plan'!$H$198+1),$D$46/('WS Plan'!$H$198+1-'WS Plan'!$G$198),0),0)*J$1/'General info'!$G$44</f>
        <v>0</v>
      </c>
      <c r="K46" s="4124">
        <f>IF('WS Plan'!$E$198="Activate",IF(AND('PIP finance'!K$7&gt;='WS Plan'!$G$198,'PIP finance'!K$7&lt;'WS Plan'!$H$198+1),$D$46/('WS Plan'!$H$198+1-'WS Plan'!$G$198),0),0)*K$1/'General info'!$G$44</f>
        <v>0</v>
      </c>
      <c r="L46" s="4124">
        <f>IF('WS Plan'!$E$198="Activate",IF(AND('PIP finance'!L$7&gt;='WS Plan'!$G$198,'PIP finance'!L$7&lt;'WS Plan'!$H$198+1),$D$46/('WS Plan'!$H$198+1-'WS Plan'!$G$198),0),0)*L$1/'General info'!$G$44</f>
        <v>0</v>
      </c>
      <c r="M46" s="4124">
        <f>IF('WS Plan'!$E$198="Activate",IF(AND('PIP finance'!M$7&gt;='WS Plan'!$G$198,'PIP finance'!M$7&lt;'WS Plan'!$H$198+1),$D$46/('WS Plan'!$H$198+1-'WS Plan'!$G$198),0),0)*M$1/'General info'!$G$44</f>
        <v>0</v>
      </c>
      <c r="N46" s="4124">
        <f>IF('WS Plan'!$E$198="Activate",IF(AND('PIP finance'!N$7&gt;='WS Plan'!$G$198,'PIP finance'!N$7&lt;'WS Plan'!$H$198+1),$D$46/('WS Plan'!$H$198+1-'WS Plan'!$G$198),0),0)*N$1/'General info'!$G$44</f>
        <v>0</v>
      </c>
      <c r="O46" s="4124">
        <f>IF('WS Plan'!$E$198="Activate",IF(AND('PIP finance'!O$7&gt;='WS Plan'!$G$198,'PIP finance'!O$7&lt;'WS Plan'!$H$198+1),$D$46/('WS Plan'!$H$198+1-'WS Plan'!$G$198),0),0)*O$1/'General info'!$G$44</f>
        <v>0</v>
      </c>
      <c r="P46" s="4124">
        <f>IF('WS Plan'!$E$198="Activate",IF(AND('PIP finance'!P$7&gt;='WS Plan'!$G$198,'PIP finance'!P$7&lt;'WS Plan'!$H$198+1),$D$46/('WS Plan'!$H$198+1-'WS Plan'!$G$198),0),0)*P$1/'General info'!$G$44</f>
        <v>0</v>
      </c>
      <c r="Q46" s="4115">
        <f ca="1">IFERROR(VLOOKUP(C46,'Action Plan finance'!$C$56:$AB$175,20,FALSE),0)</f>
        <v>0</v>
      </c>
      <c r="R46" s="4116">
        <f ca="1">IFERROR(VLOOKUP(C46,'Action Plan finance'!$C$56:$AB$175,21,FALSE),0)</f>
        <v>0</v>
      </c>
      <c r="S46" s="4116">
        <f ca="1">IFERROR(VLOOKUP(C46,'Action Plan finance'!$C$56:$AB$175,22,FALSE),0)</f>
        <v>0</v>
      </c>
      <c r="T46" s="4116">
        <f ca="1">IFERROR(VLOOKUP(C46,'Action Plan finance'!$C$56:$AB$175,23,FALSE),0)</f>
        <v>0</v>
      </c>
      <c r="U46" s="4116"/>
      <c r="V46" s="4116">
        <f ca="1">IFERROR(VLOOKUP(C46,'Action Plan finance'!$C$56:$AB$175,25,FALSE),0)</f>
        <v>0</v>
      </c>
    </row>
    <row r="47" spans="2:22" x14ac:dyDescent="0.25">
      <c r="B47" s="4110" t="s">
        <v>3195</v>
      </c>
      <c r="C47" s="4130" t="str">
        <f>'WS Plan'!F202</f>
        <v>Reduce free water supply</v>
      </c>
      <c r="D47" s="4132"/>
      <c r="E47" s="4120">
        <f t="shared" si="2"/>
        <v>0</v>
      </c>
      <c r="F47" s="4121"/>
      <c r="G47" s="4121"/>
      <c r="H47" s="4121"/>
      <c r="I47" s="4121"/>
      <c r="J47" s="4121"/>
      <c r="K47" s="4121"/>
      <c r="L47" s="4121"/>
      <c r="M47" s="4121"/>
      <c r="N47" s="4121"/>
      <c r="O47" s="4121"/>
      <c r="P47" s="4121"/>
      <c r="Q47" s="4115">
        <f ca="1">IFERROR(VLOOKUP(C47,'Action Plan finance'!$C$56:$AB$175,20,FALSE),0)</f>
        <v>0</v>
      </c>
      <c r="R47" s="4116">
        <f ca="1">IFERROR(VLOOKUP(C47,'Action Plan finance'!$C$56:$AB$175,21,FALSE),0)</f>
        <v>0</v>
      </c>
      <c r="S47" s="4116">
        <f ca="1">IFERROR(VLOOKUP(C47,'Action Plan finance'!$C$56:$AB$175,22,FALSE),0)</f>
        <v>0</v>
      </c>
      <c r="T47" s="4116">
        <f ca="1">IFERROR(VLOOKUP(C47,'Action Plan finance'!$C$56:$AB$175,23,FALSE),0)</f>
        <v>0</v>
      </c>
      <c r="U47" s="4116"/>
      <c r="V47" s="4116">
        <f ca="1">IFERROR(VLOOKUP(C47,'Action Plan finance'!$C$56:$AB$175,25,FALSE),0)</f>
        <v>0</v>
      </c>
    </row>
    <row r="48" spans="2:22" ht="30" x14ac:dyDescent="0.25">
      <c r="B48" s="4110" t="s">
        <v>3196</v>
      </c>
      <c r="C48" s="4130" t="str">
        <f>'WS Plan'!F206</f>
        <v>Repair non-functional metered water supply connections</v>
      </c>
      <c r="D48" s="5750">
        <f>IF('WS Plan'!$E$206="Activate",('WS Plan'!$H$213*SUM('WS Plan'!$H$208:$H$212)/'General info'!G44)*'WS Plan'!$H$214,0)</f>
        <v>0</v>
      </c>
      <c r="E48" s="5731">
        <f>SUM($F48:$P48)</f>
        <v>0</v>
      </c>
      <c r="F48" s="4135"/>
      <c r="G48" s="4135">
        <f>'WS calcu'!F306*G$1</f>
        <v>0</v>
      </c>
      <c r="H48" s="4135">
        <f>'WS calcu'!G306*H$1</f>
        <v>0</v>
      </c>
      <c r="I48" s="4135">
        <f>'WS calcu'!H306*I$1</f>
        <v>0</v>
      </c>
      <c r="J48" s="4135">
        <f>'WS calcu'!I306*J$1</f>
        <v>0</v>
      </c>
      <c r="K48" s="4135">
        <f>'WS calcu'!J306*K$1</f>
        <v>0</v>
      </c>
      <c r="L48" s="4135">
        <f>'WS calcu'!K306*L$1</f>
        <v>0</v>
      </c>
      <c r="M48" s="4135">
        <f>'WS calcu'!L306*M$1</f>
        <v>0</v>
      </c>
      <c r="N48" s="4135">
        <f>'WS calcu'!M306*N$1</f>
        <v>0</v>
      </c>
      <c r="O48" s="4135">
        <f>'WS calcu'!N306*O$1</f>
        <v>0</v>
      </c>
      <c r="P48" s="4135">
        <f>'WS calcu'!O306*P$1</f>
        <v>0</v>
      </c>
      <c r="Q48" s="4115">
        <f ca="1">IFERROR(VLOOKUP(C48,'Action Plan finance'!$C$56:$AB$175,20,FALSE),0)</f>
        <v>0</v>
      </c>
      <c r="R48" s="4116">
        <f ca="1">IFERROR(VLOOKUP(C48,'Action Plan finance'!$C$56:$AB$175,21,FALSE),0)</f>
        <v>0</v>
      </c>
      <c r="S48" s="4116">
        <f ca="1">IFERROR(VLOOKUP(C48,'Action Plan finance'!$C$56:$AB$175,22,FALSE),0)</f>
        <v>0</v>
      </c>
      <c r="T48" s="4116">
        <f ca="1">IFERROR(VLOOKUP(C48,'Action Plan finance'!$C$56:$AB$175,23,FALSE),0)</f>
        <v>0</v>
      </c>
      <c r="U48" s="4138">
        <f>IFERROR('WS calcu'!P307/'WS calcu'!P306,0)</f>
        <v>0</v>
      </c>
      <c r="V48" s="4116">
        <f ca="1">IFERROR(VLOOKUP(C48,'Action Plan finance'!$C$56:$AB$175,25,FALSE),0)</f>
        <v>0</v>
      </c>
    </row>
    <row r="49" spans="2:22" x14ac:dyDescent="0.25">
      <c r="B49" s="4110" t="s">
        <v>3197</v>
      </c>
      <c r="C49" s="4130" t="str">
        <f>'WS Plan'!F215</f>
        <v>Improve consumer grievance redressal system</v>
      </c>
      <c r="D49" s="4131">
        <f>IF('WS Plan'!$E$215="Activate",'WS Plan'!$H$218,0)</f>
        <v>0</v>
      </c>
      <c r="E49" s="5731">
        <f>SUM($F49:$P49)</f>
        <v>0</v>
      </c>
      <c r="F49" s="4124"/>
      <c r="G49" s="4124">
        <f>IF('WS Plan'!$E$215="Activate",IF(AND('PIP finance'!G$7&gt;='WS Plan'!$G$215,'PIP finance'!G$7&lt;'WS Plan'!$H$215+1),'WS Plan'!$H$218/('WS Plan'!$H$215+1-'WS Plan'!$G$215),0),0)*G$1/'General info'!$G$44</f>
        <v>0</v>
      </c>
      <c r="H49" s="4124">
        <f>IF('WS Plan'!$E$215="Activate",IF(AND('PIP finance'!H$7&gt;='WS Plan'!$G$215,'PIP finance'!H$7&lt;'WS Plan'!$H$215+1),'WS Plan'!$H$218/('WS Plan'!$H$215+1-'WS Plan'!$G$215),0),0)*H$1/'General info'!$G$44</f>
        <v>0</v>
      </c>
      <c r="I49" s="4124">
        <f>IF('WS Plan'!$E$215="Activate",IF(AND('PIP finance'!I$7&gt;='WS Plan'!$G$215,'PIP finance'!I$7&lt;'WS Plan'!$H$215+1),'WS Plan'!$H$218/('WS Plan'!$H$215+1-'WS Plan'!$G$215),0),0)*I$1/'General info'!$G$44</f>
        <v>0</v>
      </c>
      <c r="J49" s="4124">
        <f>IF('WS Plan'!$E$215="Activate",IF(AND('PIP finance'!J$7&gt;='WS Plan'!$G$215,'PIP finance'!J$7&lt;'WS Plan'!$H$215+1),'WS Plan'!$H$218/('WS Plan'!$H$215+1-'WS Plan'!$G$215),0),0)*J$1/'General info'!$G$44</f>
        <v>0</v>
      </c>
      <c r="K49" s="4124">
        <f>IF('WS Plan'!$E$215="Activate",IF(AND('PIP finance'!K$7&gt;='WS Plan'!$G$215,'PIP finance'!K$7&lt;'WS Plan'!$H$215+1),'WS Plan'!$H$218/('WS Plan'!$H$215+1-'WS Plan'!$G$215),0),0)*K$1/'General info'!$G$44</f>
        <v>0</v>
      </c>
      <c r="L49" s="4124">
        <f>IF('WS Plan'!$E$215="Activate",IF(AND('PIP finance'!L$7&gt;='WS Plan'!$G$215,'PIP finance'!L$7&lt;'WS Plan'!$H$215+1),'WS Plan'!$H$218/('WS Plan'!$H$215+1-'WS Plan'!$G$215),0),0)*L$1/'General info'!$G$44</f>
        <v>0</v>
      </c>
      <c r="M49" s="4124">
        <f>IF('WS Plan'!$E$215="Activate",IF(AND('PIP finance'!M$7&gt;='WS Plan'!$G$215,'PIP finance'!M$7&lt;'WS Plan'!$H$215+1),'WS Plan'!$H$218/('WS Plan'!$H$215+1-'WS Plan'!$G$215),0),0)*M$1/'General info'!$G$44</f>
        <v>0</v>
      </c>
      <c r="N49" s="4124">
        <f>IF('WS Plan'!$E$215="Activate",IF(AND('PIP finance'!N$7&gt;='WS Plan'!$G$215,'PIP finance'!N$7&lt;'WS Plan'!$H$215+1),'WS Plan'!$H$218/('WS Plan'!$H$215+1-'WS Plan'!$G$215),0),0)*N$1/'General info'!$G$44</f>
        <v>0</v>
      </c>
      <c r="O49" s="4124">
        <f>IF('WS Plan'!$E$215="Activate",IF(AND('PIP finance'!O$7&gt;='WS Plan'!$G$215,'PIP finance'!O$7&lt;'WS Plan'!$H$215+1),'WS Plan'!$H$218/('WS Plan'!$H$215+1-'WS Plan'!$G$215),0),0)*O$1/'General info'!$G$44</f>
        <v>0</v>
      </c>
      <c r="P49" s="4124">
        <f>IF('WS Plan'!$E$215="Activate",IF(AND('PIP finance'!P$7&gt;='WS Plan'!$G$215,'PIP finance'!P$7&lt;'WS Plan'!$H$215+1),'WS Plan'!$H$218/('WS Plan'!$H$215+1-'WS Plan'!$G$215),0),0)*P$1/'General info'!$G$44</f>
        <v>0</v>
      </c>
      <c r="Q49" s="4115">
        <f ca="1">IFERROR(VLOOKUP(C49,'Action Plan finance'!$C$56:$AB$175,20,FALSE),0)</f>
        <v>0</v>
      </c>
      <c r="R49" s="4116">
        <f ca="1">IFERROR(VLOOKUP(C49,'Action Plan finance'!$C$56:$AB$175,21,FALSE),0)</f>
        <v>0</v>
      </c>
      <c r="S49" s="4116">
        <f ca="1">IFERROR(VLOOKUP(C49,'Action Plan finance'!$C$56:$AB$175,22,FALSE),0)</f>
        <v>0</v>
      </c>
      <c r="T49" s="4116">
        <f ca="1">IFERROR(VLOOKUP(C49,'Action Plan finance'!$C$56:$AB$175,23,FALSE),0)</f>
        <v>0</v>
      </c>
      <c r="U49" s="4116"/>
      <c r="V49" s="4116">
        <f ca="1">IFERROR(VLOOKUP(C49,'Action Plan finance'!$C$56:$AB$175,25,FALSE),0)</f>
        <v>0</v>
      </c>
    </row>
    <row r="50" spans="2:22" x14ac:dyDescent="0.25">
      <c r="B50" s="4110" t="s">
        <v>3198</v>
      </c>
      <c r="C50" s="4111" t="str">
        <f>'WS Plan'!F222</f>
        <v>Metering of consumer water supply connections</v>
      </c>
      <c r="D50" s="4131">
        <f>SUM('WS calcu'!F304:O304)</f>
        <v>0</v>
      </c>
      <c r="E50" s="5731">
        <f>SUM($F50:$P50)</f>
        <v>0</v>
      </c>
      <c r="F50" s="4121"/>
      <c r="G50" s="4121">
        <f>'WS calcu'!F305*'PIP finance'!G$1</f>
        <v>0</v>
      </c>
      <c r="H50" s="4121">
        <f>'WS calcu'!G305*'PIP finance'!H$1</f>
        <v>0</v>
      </c>
      <c r="I50" s="4121">
        <f>'WS calcu'!H305*'PIP finance'!I$1</f>
        <v>0</v>
      </c>
      <c r="J50" s="4121">
        <f>'WS calcu'!I305*'PIP finance'!J$1</f>
        <v>0</v>
      </c>
      <c r="K50" s="4121">
        <f>'WS calcu'!J305*'PIP finance'!K$1</f>
        <v>0</v>
      </c>
      <c r="L50" s="4121">
        <f>'WS calcu'!K305*'PIP finance'!L$1</f>
        <v>0</v>
      </c>
      <c r="M50" s="4121">
        <f>'WS calcu'!L305*'PIP finance'!M$1</f>
        <v>0</v>
      </c>
      <c r="N50" s="4121">
        <f>'WS calcu'!M305*'PIP finance'!N$1</f>
        <v>0</v>
      </c>
      <c r="O50" s="4121">
        <f>'WS calcu'!N305*'PIP finance'!O$1</f>
        <v>0</v>
      </c>
      <c r="P50" s="4121">
        <f>'WS calcu'!O305*'PIP finance'!P$1</f>
        <v>0</v>
      </c>
      <c r="Q50" s="4115">
        <f ca="1">IFERROR(VLOOKUP(C50,'Action Plan finance'!$C$56:$AB$175,20,FALSE),0)</f>
        <v>0</v>
      </c>
      <c r="R50" s="4116">
        <f ca="1">IFERROR(VLOOKUP(C50,'Action Plan finance'!$C$56:$AB$175,21,FALSE),0)</f>
        <v>0</v>
      </c>
      <c r="S50" s="4116">
        <f ca="1">IFERROR(VLOOKUP(C50,'Action Plan finance'!$C$56:$AB$175,22,FALSE),0)</f>
        <v>0</v>
      </c>
      <c r="T50" s="4116">
        <f ca="1">IFERROR(VLOOKUP(C50,'Action Plan finance'!$C$56:$AB$175,23,FALSE),0)</f>
        <v>0</v>
      </c>
      <c r="U50" s="4138">
        <f>IFERROR('WS calcu'!P304/'WS calcu'!P305,0)</f>
        <v>0</v>
      </c>
      <c r="V50" s="4116">
        <f ca="1">IFERROR(VLOOKUP(C50,'Action Plan finance'!$C$56:$AB$175,25,FALSE),0)</f>
        <v>0</v>
      </c>
    </row>
    <row r="51" spans="2:22" x14ac:dyDescent="0.25">
      <c r="B51" s="4102" t="s">
        <v>12</v>
      </c>
      <c r="C51" s="4126" t="s">
        <v>457</v>
      </c>
      <c r="D51" s="4127"/>
      <c r="E51" s="4128"/>
      <c r="F51" s="4106"/>
      <c r="G51" s="4106"/>
      <c r="H51" s="4106"/>
      <c r="I51" s="4106"/>
      <c r="J51" s="4106"/>
      <c r="K51" s="4106"/>
      <c r="L51" s="4106"/>
      <c r="M51" s="4106"/>
      <c r="N51" s="4106"/>
      <c r="O51" s="4106"/>
      <c r="P51" s="4106"/>
      <c r="Q51" s="4115">
        <f ca="1">IFERROR(VLOOKUP(C51,'Action Plan finance'!$C$56:$AB$175,20,FALSE),0)</f>
        <v>0</v>
      </c>
      <c r="R51" s="4116">
        <f ca="1">IFERROR(VLOOKUP(C51,'Action Plan finance'!$C$56:$AB$175,21,FALSE),0)</f>
        <v>0</v>
      </c>
      <c r="S51" s="4116">
        <f ca="1">IFERROR(VLOOKUP(C51,'Action Plan finance'!$C$56:$AB$175,22,FALSE),0)</f>
        <v>0</v>
      </c>
      <c r="T51" s="4116">
        <f ca="1">IFERROR(VLOOKUP(C51,'Action Plan finance'!$C$56:$AB$175,23,FALSE),0)</f>
        <v>0</v>
      </c>
      <c r="U51" s="4116"/>
      <c r="V51" s="4116">
        <f ca="1">IFERROR(VLOOKUP(C51,'Action Plan finance'!$C$56:$AB$175,25,FALSE),0)</f>
        <v>0</v>
      </c>
    </row>
    <row r="52" spans="2:22" x14ac:dyDescent="0.25">
      <c r="B52" s="4110" t="s">
        <v>3199</v>
      </c>
      <c r="C52" s="4123" t="str">
        <f>'WS Plan'!F258</f>
        <v>Improve billing and collection of water supply bills</v>
      </c>
      <c r="D52" s="4131"/>
      <c r="E52" s="4120"/>
      <c r="F52" s="4124"/>
      <c r="G52" s="4124"/>
      <c r="H52" s="4124"/>
      <c r="I52" s="4124"/>
      <c r="J52" s="4124"/>
      <c r="K52" s="4124"/>
      <c r="L52" s="4124"/>
      <c r="M52" s="4124"/>
      <c r="N52" s="4124"/>
      <c r="O52" s="4124"/>
      <c r="P52" s="4124"/>
      <c r="Q52" s="4115">
        <f ca="1">IFERROR(VLOOKUP(C52,'Action Plan finance'!$C$56:$AB$175,20,FALSE),0)</f>
        <v>0</v>
      </c>
      <c r="R52" s="4116">
        <f ca="1">IFERROR(VLOOKUP(C52,'Action Plan finance'!$C$56:$AB$175,21,FALSE),0)</f>
        <v>0</v>
      </c>
      <c r="S52" s="4116">
        <f ca="1">IFERROR(VLOOKUP(C52,'Action Plan finance'!$C$56:$AB$175,22,FALSE),0)</f>
        <v>0</v>
      </c>
      <c r="T52" s="4116">
        <f ca="1">IFERROR(VLOOKUP(C52,'Action Plan finance'!$C$56:$AB$175,23,FALSE),0)</f>
        <v>0</v>
      </c>
      <c r="U52" s="4116"/>
      <c r="V52" s="4116">
        <f ca="1">IFERROR(VLOOKUP(C52,'Action Plan finance'!$C$56:$AB$175,25,FALSE),0)</f>
        <v>0</v>
      </c>
    </row>
    <row r="53" spans="2:22" ht="30" x14ac:dyDescent="0.25">
      <c r="B53" s="4110" t="s">
        <v>3200</v>
      </c>
      <c r="C53" s="4123" t="str">
        <f>'WS Plan'!F262</f>
        <v>Improve collection efficiency of water supply charges and taxes</v>
      </c>
      <c r="D53" s="4131">
        <f>IF('WS Plan'!$E$262="Activate",'WS Plan'!$H$267,0)</f>
        <v>0</v>
      </c>
      <c r="E53" s="5731">
        <f>SUM($F53:$P53)</f>
        <v>0</v>
      </c>
      <c r="F53" s="4124"/>
      <c r="G53" s="4124">
        <f>IF('WS Plan'!$E$262="Activate",IF(AND('PIP finance'!G$7&gt;='WS Plan'!$G$262,'PIP finance'!G$7&lt;'WS Plan'!$H$262+1),'WS Plan'!$H$267/('WS Plan'!$H$262+1-'WS Plan'!$G$262),0),0)*G$1/'General info'!$G$44</f>
        <v>0</v>
      </c>
      <c r="H53" s="4124">
        <f>IF('WS Plan'!$E$262="Activate",IF(AND('PIP finance'!H$7&gt;='WS Plan'!$G$262,'PIP finance'!H$7&lt;'WS Plan'!$H$262+1),'WS Plan'!$H$267/('WS Plan'!$H$262+1-'WS Plan'!$G$262),0),0)*H$1/'General info'!$G$44</f>
        <v>0</v>
      </c>
      <c r="I53" s="4124">
        <f>IF('WS Plan'!$E$262="Activate",IF(AND('PIP finance'!I$7&gt;='WS Plan'!$G$262,'PIP finance'!I$7&lt;'WS Plan'!$H$262+1),'WS Plan'!$H$267/('WS Plan'!$H$262+1-'WS Plan'!$G$262),0),0)*I$1/'General info'!$G$44</f>
        <v>0</v>
      </c>
      <c r="J53" s="4124">
        <f>IF('WS Plan'!$E$262="Activate",IF(AND('PIP finance'!J$7&gt;='WS Plan'!$G$262,'PIP finance'!J$7&lt;'WS Plan'!$H$262+1),'WS Plan'!$H$267/('WS Plan'!$H$262+1-'WS Plan'!$G$262),0),0)*J$1/'General info'!$G$44</f>
        <v>0</v>
      </c>
      <c r="K53" s="4124">
        <f>IF('WS Plan'!$E$262="Activate",IF(AND('PIP finance'!K$7&gt;='WS Plan'!$G$262,'PIP finance'!K$7&lt;'WS Plan'!$H$262+1),'WS Plan'!$H$267/('WS Plan'!$H$262+1-'WS Plan'!$G$262),0),0)*K$1/'General info'!$G$44</f>
        <v>0</v>
      </c>
      <c r="L53" s="4124">
        <f>IF('WS Plan'!$E$262="Activate",IF(AND('PIP finance'!L$7&gt;='WS Plan'!$G$262,'PIP finance'!L$7&lt;'WS Plan'!$H$262+1),'WS Plan'!$H$267/('WS Plan'!$H$262+1-'WS Plan'!$G$262),0),0)*L$1/'General info'!$G$44</f>
        <v>0</v>
      </c>
      <c r="M53" s="4124">
        <f>IF('WS Plan'!$E$262="Activate",IF(AND('PIP finance'!M$7&gt;='WS Plan'!$G$262,'PIP finance'!M$7&lt;'WS Plan'!$H$262+1),'WS Plan'!$H$267/('WS Plan'!$H$262+1-'WS Plan'!$G$262),0),0)*M$1/'General info'!$G$44</f>
        <v>0</v>
      </c>
      <c r="N53" s="4124">
        <f>IF('WS Plan'!$E$262="Activate",IF(AND('PIP finance'!N$7&gt;='WS Plan'!$G$262,'PIP finance'!N$7&lt;'WS Plan'!$H$262+1),'WS Plan'!$H$267/('WS Plan'!$H$262+1-'WS Plan'!$G$262),0),0)*N$1/'General info'!$G$44</f>
        <v>0</v>
      </c>
      <c r="O53" s="4124">
        <f>IF('WS Plan'!$E$262="Activate",IF(AND('PIP finance'!O$7&gt;='WS Plan'!$G$262,'PIP finance'!O$7&lt;'WS Plan'!$H$262+1),'WS Plan'!$H$267/('WS Plan'!$H$262+1-'WS Plan'!$G$262),0),0)*O$1/'General info'!$G$44</f>
        <v>0</v>
      </c>
      <c r="P53" s="4124">
        <f>IF('WS Plan'!$E$262="Activate",IF(AND('PIP finance'!P$7&gt;='WS Plan'!$G$262,'PIP finance'!P$7&lt;'WS Plan'!$H$262+1),'WS Plan'!$H$267/('WS Plan'!$H$262+1-'WS Plan'!$G$262),0),0)*P$1/'General info'!$G$44</f>
        <v>0</v>
      </c>
      <c r="Q53" s="4115">
        <f ca="1">IFERROR(VLOOKUP(C53,'Action Plan finance'!$C$56:$AB$175,20,FALSE),0)</f>
        <v>0</v>
      </c>
      <c r="R53" s="4116">
        <f ca="1">IFERROR(VLOOKUP(C53,'Action Plan finance'!$C$56:$AB$175,21,FALSE),0)</f>
        <v>0</v>
      </c>
      <c r="S53" s="4116">
        <f ca="1">IFERROR(VLOOKUP(C53,'Action Plan finance'!$C$56:$AB$175,22,FALSE),0)</f>
        <v>0</v>
      </c>
      <c r="T53" s="4116">
        <f ca="1">IFERROR(VLOOKUP(C53,'Action Plan finance'!$C$56:$AB$175,23,FALSE),0)</f>
        <v>0</v>
      </c>
      <c r="U53" s="4116"/>
      <c r="V53" s="4116">
        <f ca="1">IFERROR(VLOOKUP(C53,'Action Plan finance'!$C$56:$AB$175,25,FALSE),0)</f>
        <v>0</v>
      </c>
    </row>
    <row r="54" spans="2:22" x14ac:dyDescent="0.25">
      <c r="B54" s="4110" t="s">
        <v>3201</v>
      </c>
      <c r="C54" s="4123" t="str">
        <f>'WS Plan'!F268</f>
        <v>Replace pumping machinery</v>
      </c>
      <c r="D54" s="4131">
        <f>IF('WS Plan'!$E$268="Activate",'WS Plan'!$H$273,0)</f>
        <v>0</v>
      </c>
      <c r="E54" s="5731">
        <f>SUM($F54:$P54)</f>
        <v>0</v>
      </c>
      <c r="F54" s="4139"/>
      <c r="G54" s="4124">
        <f>IF('WS Plan'!$E$268="Activate",IF(AND('PIP finance'!G7&gt;='WS Plan'!$G$268,'PIP finance'!G7&lt;'WS Plan'!$H$268+1),'WS Plan'!$H$273/('WS Plan'!$H$268+1-'WS Plan'!$G$268),0),0)*G$1/'General info'!$G$44</f>
        <v>0</v>
      </c>
      <c r="H54" s="4124">
        <f>IF('WS Plan'!$E$268="Activate",IF(AND('PIP finance'!H7&gt;='WS Plan'!$G$268,'PIP finance'!H7&lt;'WS Plan'!$H$268+1),'WS Plan'!$H$273/('WS Plan'!$H$268+1-'WS Plan'!$G$268),0),0)*H$1/'General info'!$G$44</f>
        <v>0</v>
      </c>
      <c r="I54" s="4124">
        <f>IF('WS Plan'!$E$268="Activate",IF(AND('PIP finance'!I7&gt;='WS Plan'!$G$268,'PIP finance'!I7&lt;'WS Plan'!$H$268+1),'WS Plan'!$H$273/('WS Plan'!$H$268+1-'WS Plan'!$G$268),0),0)*I$1/'General info'!$G$44</f>
        <v>0</v>
      </c>
      <c r="J54" s="4124">
        <f>IF('WS Plan'!$E$268="Activate",IF(AND('PIP finance'!J7&gt;='WS Plan'!$G$268,'PIP finance'!J7&lt;'WS Plan'!$H$268+1),'WS Plan'!$H$273/('WS Plan'!$H$268+1-'WS Plan'!$G$268),0),0)*J$1/'General info'!$G$44</f>
        <v>0</v>
      </c>
      <c r="K54" s="4124">
        <f>IF('WS Plan'!$E$268="Activate",IF(AND('PIP finance'!K7&gt;='WS Plan'!$G$268,'PIP finance'!K7&lt;'WS Plan'!$H$268+1),'WS Plan'!$H$273/('WS Plan'!$H$268+1-'WS Plan'!$G$268),0),0)*K$1/'General info'!$G$44</f>
        <v>0</v>
      </c>
      <c r="L54" s="4124">
        <f>IF('WS Plan'!$E$268="Activate",IF(AND('PIP finance'!L7&gt;='WS Plan'!$G$268,'PIP finance'!L7&lt;'WS Plan'!$H$268+1),'WS Plan'!$H$273/('WS Plan'!$H$268+1-'WS Plan'!$G$268),0),0)*L$1/'General info'!$G$44</f>
        <v>0</v>
      </c>
      <c r="M54" s="4124">
        <f>IF('WS Plan'!$E$268="Activate",IF(AND('PIP finance'!M7&gt;='WS Plan'!$G$268,'PIP finance'!M7&lt;'WS Plan'!$H$268+1),'WS Plan'!$H$273/('WS Plan'!$H$268+1-'WS Plan'!$G$268),0),0)*M$1/'General info'!$G$44</f>
        <v>0</v>
      </c>
      <c r="N54" s="4124">
        <f>IF('WS Plan'!$E$268="Activate",IF(AND('PIP finance'!N7&gt;='WS Plan'!$G$268,'PIP finance'!N7&lt;'WS Plan'!$H$268+1),'WS Plan'!$H$273/('WS Plan'!$H$268+1-'WS Plan'!$G$268),0),0)*N$1/'General info'!$G$44</f>
        <v>0</v>
      </c>
      <c r="O54" s="4124">
        <f>IF('WS Plan'!$E$268="Activate",IF(AND('PIP finance'!O7&gt;='WS Plan'!$G$268,'PIP finance'!O7&lt;'WS Plan'!$H$268+1),'WS Plan'!$H$273/('WS Plan'!$H$268+1-'WS Plan'!$G$268),0),0)*O$1/'General info'!$G$44</f>
        <v>0</v>
      </c>
      <c r="P54" s="4124">
        <f>IF('WS Plan'!$E$268="Activate",IF(AND('PIP finance'!P7&gt;='WS Plan'!$G$268,'PIP finance'!P7&lt;'WS Plan'!$H$268+1),'WS Plan'!$H$273/('WS Plan'!$H$268+1-'WS Plan'!$G$268),0),0)*P$1/'General info'!$G$44</f>
        <v>0</v>
      </c>
      <c r="Q54" s="4115">
        <f ca="1">IFERROR(VLOOKUP(C54,'Action Plan finance'!$C$56:$AB$175,20,FALSE),0)</f>
        <v>0</v>
      </c>
      <c r="R54" s="4116">
        <f ca="1">IFERROR(VLOOKUP(C54,'Action Plan finance'!$C$56:$AB$175,21,FALSE),0)</f>
        <v>0</v>
      </c>
      <c r="S54" s="4116">
        <f ca="1">IFERROR(VLOOKUP(C54,'Action Plan finance'!$C$56:$AB$175,22,FALSE),0)</f>
        <v>0</v>
      </c>
      <c r="T54" s="4116">
        <f ca="1">IFERROR(VLOOKUP(C54,'Action Plan finance'!$C$56:$AB$175,23,FALSE),0)</f>
        <v>0</v>
      </c>
      <c r="U54" s="4116"/>
      <c r="V54" s="4116">
        <f ca="1">IFERROR(VLOOKUP(C54,'Action Plan finance'!$C$56:$AB$175,25,FALSE),0)</f>
        <v>0</v>
      </c>
    </row>
    <row r="55" spans="2:22" ht="30" x14ac:dyDescent="0.25">
      <c r="B55" s="4110" t="s">
        <v>3202</v>
      </c>
      <c r="C55" s="4123" t="str">
        <f>'WS Plan'!F274</f>
        <v>Other measures to optimise power and energy expenses</v>
      </c>
      <c r="D55" s="4131">
        <f>IF('WS Plan'!$E$274="Activate",'WS Plan'!$H$276,0)</f>
        <v>0</v>
      </c>
      <c r="E55" s="5731">
        <f>SUM($F55:$P55)</f>
        <v>0</v>
      </c>
      <c r="F55" s="4139"/>
      <c r="G55" s="4135">
        <f>IF('WS Plan'!$E$274="Activate",IF(AND('PIP finance'!G7&gt;='WS Plan'!$G$274,'PIP finance'!G7&lt;'WS Plan'!$H$274+1),'WS Plan'!$H$276/('WS Plan'!$H$274+1-'WS Plan'!$G$274),0),0)*G$1/'General info'!$G$44</f>
        <v>0</v>
      </c>
      <c r="H55" s="4135">
        <f>IF('WS Plan'!$E$274="Activate",IF(AND('PIP finance'!H7&gt;='WS Plan'!$G$274,'PIP finance'!H7&lt;'WS Plan'!$H$274+1),'WS Plan'!$H$276/('WS Plan'!$H$274+1-'WS Plan'!$G$274),0),0)*H$1/'General info'!$G$44</f>
        <v>0</v>
      </c>
      <c r="I55" s="4135">
        <f>IF('WS Plan'!$E$274="Activate",IF(AND('PIP finance'!I7&gt;='WS Plan'!$G$274,'PIP finance'!I7&lt;'WS Plan'!$H$274+1),'WS Plan'!$H$276/('WS Plan'!$H$274+1-'WS Plan'!$G$274),0),0)*I$1/'General info'!$G$44</f>
        <v>0</v>
      </c>
      <c r="J55" s="4135">
        <f>IF('WS Plan'!$E$274="Activate",IF(AND('PIP finance'!J7&gt;='WS Plan'!$G$274,'PIP finance'!J7&lt;'WS Plan'!$H$274+1),'WS Plan'!$H$276/('WS Plan'!$H$274+1-'WS Plan'!$G$274),0),0)*J$1/'General info'!$G$44</f>
        <v>0</v>
      </c>
      <c r="K55" s="4135">
        <f>IF('WS Plan'!$E$274="Activate",IF(AND('PIP finance'!K7&gt;='WS Plan'!$G$274,'PIP finance'!K7&lt;'WS Plan'!$H$274+1),'WS Plan'!$H$276/('WS Plan'!$H$274+1-'WS Plan'!$G$274),0),0)*K$1/'General info'!$G$44</f>
        <v>0</v>
      </c>
      <c r="L55" s="4135">
        <f>IF('WS Plan'!$E$274="Activate",IF(AND('PIP finance'!L7&gt;='WS Plan'!$G$274,'PIP finance'!L7&lt;'WS Plan'!$H$274+1),'WS Plan'!$H$276/('WS Plan'!$H$274+1-'WS Plan'!$G$274),0),0)*L$1/'General info'!$G$44</f>
        <v>0</v>
      </c>
      <c r="M55" s="4135">
        <f>IF('WS Plan'!$E$274="Activate",IF(AND('PIP finance'!M7&gt;='WS Plan'!$G$274,'PIP finance'!M7&lt;'WS Plan'!$H$274+1),'WS Plan'!$H$276/('WS Plan'!$H$274+1-'WS Plan'!$G$274),0),0)*M$1/'General info'!$G$44</f>
        <v>0</v>
      </c>
      <c r="N55" s="4135">
        <f>IF('WS Plan'!$E$274="Activate",IF(AND('PIP finance'!N7&gt;='WS Plan'!$G$274,'PIP finance'!N7&lt;'WS Plan'!$H$274+1),'WS Plan'!$H$276/('WS Plan'!$H$274+1-'WS Plan'!$G$274),0),0)*N$1/'General info'!$G$44</f>
        <v>0</v>
      </c>
      <c r="O55" s="4135">
        <f>IF('WS Plan'!$E$274="Activate",IF(AND('PIP finance'!O7&gt;='WS Plan'!$G$274,'PIP finance'!O7&lt;'WS Plan'!$H$274+1),'WS Plan'!$H$276/('WS Plan'!$H$274+1-'WS Plan'!$G$274),0),0)*O$1/'General info'!$G$44</f>
        <v>0</v>
      </c>
      <c r="P55" s="4135">
        <f>IF('WS Plan'!$E$274="Activate",IF(AND('PIP finance'!P7&gt;='WS Plan'!$G$274,'PIP finance'!P7&lt;'WS Plan'!$H$274+1),'WS Plan'!$H$276/('WS Plan'!$H$274+1-'WS Plan'!$G$274),0),0)*P$1/'General info'!$G$44</f>
        <v>0</v>
      </c>
      <c r="Q55" s="4115">
        <f ca="1">IFERROR(VLOOKUP(C55,'Action Plan finance'!$C$56:$AB$175,20,FALSE),0)</f>
        <v>0</v>
      </c>
      <c r="R55" s="4116">
        <f ca="1">IFERROR(VLOOKUP(C55,'Action Plan finance'!$C$56:$AB$175,21,FALSE),0)</f>
        <v>0</v>
      </c>
      <c r="S55" s="4116">
        <f ca="1">IFERROR(VLOOKUP(C55,'Action Plan finance'!$C$56:$AB$175,22,FALSE),0)</f>
        <v>0</v>
      </c>
      <c r="T55" s="4116">
        <f ca="1">IFERROR(VLOOKUP(C55,'Action Plan finance'!$C$56:$AB$175,23,FALSE),0)</f>
        <v>0</v>
      </c>
      <c r="U55" s="4116"/>
      <c r="V55" s="4116">
        <f ca="1">IFERROR(VLOOKUP(C55,'Action Plan finance'!$C$56:$AB$175,25,FALSE),0)</f>
        <v>0</v>
      </c>
    </row>
    <row r="56" spans="2:22" x14ac:dyDescent="0.25">
      <c r="B56" s="4102" t="s">
        <v>13</v>
      </c>
      <c r="C56" s="4126" t="s">
        <v>458</v>
      </c>
      <c r="D56" s="4127"/>
      <c r="E56" s="4128"/>
      <c r="F56" s="4106"/>
      <c r="G56" s="4106"/>
      <c r="H56" s="4106"/>
      <c r="I56" s="4106"/>
      <c r="J56" s="4106"/>
      <c r="K56" s="4106"/>
      <c r="L56" s="4106"/>
      <c r="M56" s="4106"/>
      <c r="N56" s="4106"/>
      <c r="O56" s="4106"/>
      <c r="P56" s="4106"/>
      <c r="Q56" s="4115">
        <f ca="1">IFERROR(VLOOKUP(C56,'Action Plan finance'!$C$56:$AB$175,20,FALSE),0)</f>
        <v>0</v>
      </c>
      <c r="R56" s="4116">
        <f ca="1">IFERROR(VLOOKUP(C56,'Action Plan finance'!$C$56:$AB$175,21,FALSE),0)</f>
        <v>0</v>
      </c>
      <c r="S56" s="4116">
        <f ca="1">IFERROR(VLOOKUP(C56,'Action Plan finance'!$C$56:$AB$175,22,FALSE),0)</f>
        <v>0</v>
      </c>
      <c r="T56" s="4116">
        <f ca="1">IFERROR(VLOOKUP(C56,'Action Plan finance'!$C$56:$AB$175,23,FALSE),0)</f>
        <v>0</v>
      </c>
      <c r="U56" s="4116"/>
      <c r="V56" s="4116">
        <f ca="1">IFERROR(VLOOKUP(C56,'Action Plan finance'!$C$56:$AB$175,25,FALSE),0)</f>
        <v>0</v>
      </c>
    </row>
    <row r="57" spans="2:22" x14ac:dyDescent="0.25">
      <c r="B57" s="4129"/>
      <c r="C57" s="4111" t="str">
        <f>'WS Plan'!F283</f>
        <v>WS Customised action 1</v>
      </c>
      <c r="D57" s="4140">
        <f>IF('WS Plan'!$E$283="Activate",'WS Plan'!$H$287,0)</f>
        <v>0</v>
      </c>
      <c r="E57" s="5731">
        <f>SUM($F57:$P57)</f>
        <v>0</v>
      </c>
      <c r="F57" s="4124"/>
      <c r="G57" s="4124">
        <f>IF('WS Plan'!$E$283="Activate",IF(AND('PIP finance'!G7&gt;='WS Plan'!$G$283,'PIP finance'!G7&lt;'WS Plan'!$H$283+1),'WS Plan'!$H$287/('WS Plan'!$H$283+1-'WS Plan'!$G$283),0),0)*G1/'General info'!$G$44</f>
        <v>0</v>
      </c>
      <c r="H57" s="4124">
        <f>IF('WS Plan'!$E$283="Activate",IF(AND('PIP finance'!H7&gt;='WS Plan'!$G$283,'PIP finance'!H7&lt;'WS Plan'!$H$283+1),'WS Plan'!$H$287/('WS Plan'!$H$283+1-'WS Plan'!$G$283),0),0)*H1/'General info'!$G$44</f>
        <v>0</v>
      </c>
      <c r="I57" s="4124">
        <f>IF('WS Plan'!$E$283="Activate",IF(AND('PIP finance'!I7&gt;='WS Plan'!$G$283,'PIP finance'!I7&lt;'WS Plan'!$H$283+1),'WS Plan'!$H$287/('WS Plan'!$H$283+1-'WS Plan'!$G$283),0),0)*I1/'General info'!$G$44</f>
        <v>0</v>
      </c>
      <c r="J57" s="4124">
        <f>IF('WS Plan'!$E$283="Activate",IF(AND('PIP finance'!J7&gt;='WS Plan'!$G$283,'PIP finance'!J7&lt;'WS Plan'!$H$283+1),'WS Plan'!$H$287/('WS Plan'!$H$283+1-'WS Plan'!$G$283),0),0)*J1/'General info'!$G$44</f>
        <v>0</v>
      </c>
      <c r="K57" s="4124">
        <f>IF('WS Plan'!$E$283="Activate",IF(AND('PIP finance'!K7&gt;='WS Plan'!$G$283,'PIP finance'!K7&lt;'WS Plan'!$H$283+1),'WS Plan'!$H$287/('WS Plan'!$H$283+1-'WS Plan'!$G$283),0),0)*K1/'General info'!$G$44</f>
        <v>0</v>
      </c>
      <c r="L57" s="4124">
        <f>IF('WS Plan'!$E$283="Activate",IF(AND('PIP finance'!L7&gt;='WS Plan'!$G$283,'PIP finance'!L7&lt;'WS Plan'!$H$283+1),'WS Plan'!$H$287/('WS Plan'!$H$283+1-'WS Plan'!$G$283),0),0)*L1/'General info'!$G$44</f>
        <v>0</v>
      </c>
      <c r="M57" s="4124">
        <f>IF('WS Plan'!$E$283="Activate",IF(AND('PIP finance'!M7&gt;='WS Plan'!$G$283,'PIP finance'!M7&lt;'WS Plan'!$H$283+1),'WS Plan'!$H$287/('WS Plan'!$H$283+1-'WS Plan'!$G$283),0),0)*M1/'General info'!$G$44</f>
        <v>0</v>
      </c>
      <c r="N57" s="4124">
        <f>IF('WS Plan'!$E$283="Activate",IF(AND('PIP finance'!N7&gt;='WS Plan'!$G$283,'PIP finance'!N7&lt;'WS Plan'!$H$283+1),'WS Plan'!$H$287/('WS Plan'!$H$283+1-'WS Plan'!$G$283),0),0)*N1/'General info'!$G$44</f>
        <v>0</v>
      </c>
      <c r="O57" s="4124">
        <f>IF('WS Plan'!$E$283="Activate",IF(AND('PIP finance'!O7&gt;='WS Plan'!$G$283,'PIP finance'!O7&lt;'WS Plan'!$H$283+1),'WS Plan'!$H$287/('WS Plan'!$H$283+1-'WS Plan'!$G$283),0),0)*O1/'General info'!$G$44</f>
        <v>0</v>
      </c>
      <c r="P57" s="4124">
        <f>IF('WS Plan'!$E$283="Activate",IF(AND('PIP finance'!P7&gt;='WS Plan'!$G$283,'PIP finance'!P7&lt;'WS Plan'!$H$283+1),'WS Plan'!$H$287/('WS Plan'!$H$283+1-'WS Plan'!$G$283),0),0)*P1/'General info'!$G$44</f>
        <v>0</v>
      </c>
      <c r="Q57" s="4115">
        <f ca="1">IFERROR(VLOOKUP(C57,'Action Plan finance'!$C$56:$AB$175,20,FALSE),0)</f>
        <v>0</v>
      </c>
      <c r="R57" s="4116">
        <f ca="1">IFERROR(VLOOKUP(C57,'Action Plan finance'!$C$56:$AB$175,21,FALSE),0)</f>
        <v>0</v>
      </c>
      <c r="S57" s="4116">
        <f ca="1">IFERROR(VLOOKUP(C57,'Action Plan finance'!$C$56:$AB$175,22,FALSE),0)</f>
        <v>0</v>
      </c>
      <c r="T57" s="4116">
        <f ca="1">IFERROR(VLOOKUP(C57,'Action Plan finance'!$C$56:$AB$175,23,FALSE),0)</f>
        <v>0</v>
      </c>
      <c r="U57" s="4116"/>
      <c r="V57" s="4116">
        <f ca="1">IFERROR(VLOOKUP(C57,'Action Plan finance'!$C$56:$AB$175,25,FALSE),0)</f>
        <v>0</v>
      </c>
    </row>
    <row r="58" spans="2:22" x14ac:dyDescent="0.25">
      <c r="B58" s="4129"/>
      <c r="C58" s="4111" t="str">
        <f>'WS Plan'!F290</f>
        <v>WS Customised action 2</v>
      </c>
      <c r="D58" s="4140">
        <f>IF('WS Plan'!$E$290="Activate",'WS Plan'!$H$294,0)</f>
        <v>0</v>
      </c>
      <c r="E58" s="5731">
        <f>SUM($F58:$P58)</f>
        <v>0</v>
      </c>
      <c r="F58" s="4124"/>
      <c r="G58" s="4124">
        <f>IF('WS Plan'!$E$290="Activate",IF(AND('PIP finance'!G7&gt;='WS Plan'!$G$290,'PIP finance'!G7&lt;'WS Plan'!$H$290+1),'WS Plan'!$H$294/('WS Plan'!$H$290+1-'WS Plan'!$G$290),0),0)*G1/'General info'!$G$44</f>
        <v>0</v>
      </c>
      <c r="H58" s="4124">
        <f>IF('WS Plan'!$E$290="Activate",IF(AND('PIP finance'!H7&gt;='WS Plan'!$G$290,'PIP finance'!H7&lt;'WS Plan'!$H$290+1),'WS Plan'!$H$294/('WS Plan'!$H$290+1-'WS Plan'!$G$290),0),0)*H1/'General info'!$G$44</f>
        <v>0</v>
      </c>
      <c r="I58" s="4124">
        <f>IF('WS Plan'!$E$290="Activate",IF(AND('PIP finance'!I7&gt;='WS Plan'!$G$290,'PIP finance'!I7&lt;'WS Plan'!$H$290+1),'WS Plan'!$H$294/('WS Plan'!$H$290+1-'WS Plan'!$G$290),0),0)*I1/'General info'!$G$44</f>
        <v>0</v>
      </c>
      <c r="J58" s="4124">
        <f>IF('WS Plan'!$E$290="Activate",IF(AND('PIP finance'!J7&gt;='WS Plan'!$G$290,'PIP finance'!J7&lt;'WS Plan'!$H$290+1),'WS Plan'!$H$294/('WS Plan'!$H$290+1-'WS Plan'!$G$290),0),0)*J1/'General info'!$G$44</f>
        <v>0</v>
      </c>
      <c r="K58" s="4124">
        <f>IF('WS Plan'!$E$290="Activate",IF(AND('PIP finance'!K7&gt;='WS Plan'!$G$290,'PIP finance'!K7&lt;'WS Plan'!$H$290+1),'WS Plan'!$H$294/('WS Plan'!$H$290+1-'WS Plan'!$G$290),0),0)*K1/'General info'!$G$44</f>
        <v>0</v>
      </c>
      <c r="L58" s="4124">
        <f>IF('WS Plan'!$E$290="Activate",IF(AND('PIP finance'!L7&gt;='WS Plan'!$G$290,'PIP finance'!L7&lt;'WS Plan'!$H$290+1),'WS Plan'!$H$294/('WS Plan'!$H$290+1-'WS Plan'!$G$290),0),0)*L1/'General info'!$G$44</f>
        <v>0</v>
      </c>
      <c r="M58" s="4124">
        <f>IF('WS Plan'!$E$290="Activate",IF(AND('PIP finance'!M7&gt;='WS Plan'!$G$290,'PIP finance'!M7&lt;'WS Plan'!$H$290+1),'WS Plan'!$H$294/('WS Plan'!$H$290+1-'WS Plan'!$G$290),0),0)*M1/'General info'!$G$44</f>
        <v>0</v>
      </c>
      <c r="N58" s="4124">
        <f>IF('WS Plan'!$E$290="Activate",IF(AND('PIP finance'!N7&gt;='WS Plan'!$G$290,'PIP finance'!N7&lt;'WS Plan'!$H$290+1),'WS Plan'!$H$294/('WS Plan'!$H$290+1-'WS Plan'!$G$290),0),0)*N1/'General info'!$G$44</f>
        <v>0</v>
      </c>
      <c r="O58" s="4124">
        <f>IF('WS Plan'!$E$290="Activate",IF(AND('PIP finance'!O7&gt;='WS Plan'!$G$290,'PIP finance'!O7&lt;'WS Plan'!$H$290+1),'WS Plan'!$H$294/('WS Plan'!$H$290+1-'WS Plan'!$G$290),0),0)*O1/'General info'!$G$44</f>
        <v>0</v>
      </c>
      <c r="P58" s="4124">
        <f>IF('WS Plan'!$E$290="Activate",IF(AND('PIP finance'!P7&gt;='WS Plan'!$G$290,'PIP finance'!P7&lt;'WS Plan'!$H$290+1),'WS Plan'!$H$294/('WS Plan'!$H$290+1-'WS Plan'!$G$290),0),0)*P1/'General info'!$G$44</f>
        <v>0</v>
      </c>
      <c r="Q58" s="4115">
        <f ca="1">IFERROR(VLOOKUP(C58,'Action Plan finance'!$C$56:$AB$175,20,FALSE),0)</f>
        <v>0</v>
      </c>
      <c r="R58" s="4116">
        <f ca="1">IFERROR(VLOOKUP(C58,'Action Plan finance'!$C$56:$AB$175,21,FALSE),0)</f>
        <v>0</v>
      </c>
      <c r="S58" s="4116">
        <f ca="1">IFERROR(VLOOKUP(C58,'Action Plan finance'!$C$56:$AB$175,22,FALSE),0)</f>
        <v>0</v>
      </c>
      <c r="T58" s="4116">
        <f ca="1">IFERROR(VLOOKUP(C58,'Action Plan finance'!$C$56:$AB$175,23,FALSE),0)</f>
        <v>0</v>
      </c>
      <c r="U58" s="4116"/>
      <c r="V58" s="4116">
        <f ca="1">IFERROR(VLOOKUP(C58,'Action Plan finance'!$C$56:$AB$175,25,FALSE),0)</f>
        <v>0</v>
      </c>
    </row>
    <row r="59" spans="2:22" s="4148" customFormat="1" x14ac:dyDescent="0.25">
      <c r="B59" s="4141"/>
      <c r="C59" s="4142" t="s">
        <v>144</v>
      </c>
      <c r="D59" s="4143"/>
      <c r="E59" s="4144">
        <f>SUM(E9:E58)</f>
        <v>0</v>
      </c>
      <c r="F59" s="4145">
        <f t="shared" ref="F59:P59" si="3">SUM(F9:F58)</f>
        <v>0</v>
      </c>
      <c r="G59" s="4145">
        <f t="shared" si="3"/>
        <v>0</v>
      </c>
      <c r="H59" s="4145">
        <f t="shared" si="3"/>
        <v>0</v>
      </c>
      <c r="I59" s="4145">
        <f t="shared" si="3"/>
        <v>0</v>
      </c>
      <c r="J59" s="4145">
        <f t="shared" si="3"/>
        <v>0</v>
      </c>
      <c r="K59" s="4145">
        <f t="shared" si="3"/>
        <v>0</v>
      </c>
      <c r="L59" s="4145">
        <f t="shared" si="3"/>
        <v>0</v>
      </c>
      <c r="M59" s="4145">
        <f t="shared" si="3"/>
        <v>0</v>
      </c>
      <c r="N59" s="4145">
        <f t="shared" si="3"/>
        <v>0</v>
      </c>
      <c r="O59" s="4145">
        <f t="shared" si="3"/>
        <v>0</v>
      </c>
      <c r="P59" s="4145">
        <f t="shared" si="3"/>
        <v>0</v>
      </c>
      <c r="Q59" s="4146"/>
      <c r="R59" s="4116"/>
      <c r="S59" s="4116"/>
      <c r="T59" s="4116"/>
      <c r="U59" s="4116"/>
      <c r="V59" s="4147"/>
    </row>
    <row r="61" spans="2:22" s="4097" customFormat="1" ht="21.75" thickBot="1" x14ac:dyDescent="0.3">
      <c r="B61" s="4094"/>
      <c r="C61" s="4095" t="s">
        <v>470</v>
      </c>
      <c r="D61" s="4096" t="s">
        <v>494</v>
      </c>
      <c r="E61" s="1647"/>
      <c r="F61" s="1647"/>
      <c r="G61" s="1647"/>
      <c r="H61" s="1647"/>
      <c r="I61" s="1647"/>
      <c r="J61" s="1647"/>
      <c r="K61" s="1647"/>
      <c r="L61" s="1647"/>
      <c r="M61" s="1647"/>
      <c r="N61" s="1647"/>
      <c r="O61" s="1647"/>
      <c r="P61" s="1647"/>
    </row>
    <row r="62" spans="2:22" ht="15.75" thickBot="1" x14ac:dyDescent="0.3">
      <c r="B62" s="4098" t="s">
        <v>3</v>
      </c>
      <c r="C62" s="4098" t="s">
        <v>4</v>
      </c>
      <c r="D62" s="4099" t="s">
        <v>463</v>
      </c>
      <c r="E62" s="4100" t="s">
        <v>16</v>
      </c>
      <c r="F62" s="4098">
        <f>F$7</f>
        <v>2014</v>
      </c>
      <c r="G62" s="4098">
        <f t="shared" ref="G62:P62" si="4">G$7</f>
        <v>2015</v>
      </c>
      <c r="H62" s="4098">
        <f t="shared" si="4"/>
        <v>2016</v>
      </c>
      <c r="I62" s="4098">
        <f t="shared" si="4"/>
        <v>2017</v>
      </c>
      <c r="J62" s="4098">
        <f t="shared" si="4"/>
        <v>2018</v>
      </c>
      <c r="K62" s="4098">
        <f t="shared" si="4"/>
        <v>2019</v>
      </c>
      <c r="L62" s="4098">
        <f t="shared" si="4"/>
        <v>2020</v>
      </c>
      <c r="M62" s="4098">
        <f t="shared" si="4"/>
        <v>2021</v>
      </c>
      <c r="N62" s="4098">
        <f t="shared" si="4"/>
        <v>2022</v>
      </c>
      <c r="O62" s="4098">
        <f t="shared" si="4"/>
        <v>2023</v>
      </c>
      <c r="P62" s="4098">
        <f t="shared" si="4"/>
        <v>2024</v>
      </c>
    </row>
    <row r="63" spans="2:22" x14ac:dyDescent="0.25">
      <c r="B63" s="4102" t="s">
        <v>2</v>
      </c>
      <c r="C63" s="4103" t="s">
        <v>455</v>
      </c>
      <c r="D63" s="4127"/>
      <c r="E63" s="4105"/>
      <c r="F63" s="4106"/>
      <c r="G63" s="4106"/>
      <c r="H63" s="4106"/>
      <c r="I63" s="4106"/>
      <c r="J63" s="4106"/>
      <c r="K63" s="4106"/>
      <c r="L63" s="4106"/>
      <c r="M63" s="4106"/>
      <c r="N63" s="4106"/>
      <c r="O63" s="4106"/>
      <c r="P63" s="4106"/>
    </row>
    <row r="64" spans="2:22" s="4151" customFormat="1" x14ac:dyDescent="0.25">
      <c r="B64" s="4110" t="s">
        <v>3159</v>
      </c>
      <c r="C64" s="4149" t="str">
        <f t="shared" ref="C64:C91" si="5">C9</f>
        <v xml:space="preserve">Household survey to assess water supply services </v>
      </c>
      <c r="D64" s="4119">
        <f>IF('WS Plan'!$E$22="Activate",'WS Plan'!$H$27,0)</f>
        <v>0</v>
      </c>
      <c r="E64" s="5731">
        <f>SUM($F64:$P64)</f>
        <v>0</v>
      </c>
      <c r="F64" s="4113"/>
      <c r="G64" s="4150">
        <f>IFERROR(IF('WS Plan'!$E$22="Activate",IF(G$7&gt;'WS Plan'!$H$22,IF(MOD(G$7-'WS Plan'!$H$22,'WS Plan'!$H$25)=0,'WS Plan'!$H$27,0),0))*G$2/'General info'!$G$44,0)</f>
        <v>0</v>
      </c>
      <c r="H64" s="4150">
        <f>IFERROR(IF('WS Plan'!$E$22="Activate",IF(H$7&gt;'WS Plan'!$H$22,IF(MOD(H$7-'WS Plan'!$H$22,'WS Plan'!$H$25)=0,'WS Plan'!$H$27,0),0))*H$2/'General info'!$G$44,0)</f>
        <v>0</v>
      </c>
      <c r="I64" s="4150">
        <f>IFERROR(IF('WS Plan'!$E$22="Activate",IF(I$7&gt;'WS Plan'!$H$22,IF(MOD(I$7-'WS Plan'!$H$22,'WS Plan'!$H$25)=0,'WS Plan'!$H$27,0),0))*I$2/'General info'!$G$44,0)</f>
        <v>0</v>
      </c>
      <c r="J64" s="4150">
        <f>IFERROR(IF('WS Plan'!$E$22="Activate",IF(J$7&gt;'WS Plan'!$H$22,IF(MOD(J$7-'WS Plan'!$H$22,'WS Plan'!$H$25)=0,'WS Plan'!$H$27,0),0))*J$2/'General info'!$G$44,0)</f>
        <v>0</v>
      </c>
      <c r="K64" s="4150">
        <f>IFERROR(IF('WS Plan'!$E$22="Activate",IF(K$7&gt;'WS Plan'!$H$22,IF(MOD(K$7-'WS Plan'!$H$22,'WS Plan'!$H$25)=0,'WS Plan'!$H$27,0),0))*K$2/'General info'!$G$44,0)</f>
        <v>0</v>
      </c>
      <c r="L64" s="4150">
        <f>IFERROR(IF('WS Plan'!$E$22="Activate",IF(L$7&gt;'WS Plan'!$H$22,IF(MOD(L$7-'WS Plan'!$H$22,'WS Plan'!$H$25)=0,'WS Plan'!$H$27,0),0))*L$2/'General info'!$G$44,0)</f>
        <v>0</v>
      </c>
      <c r="M64" s="4150">
        <f>IFERROR(IF('WS Plan'!$E$22="Activate",IF(M$7&gt;'WS Plan'!$H$22,IF(MOD(M$7-'WS Plan'!$H$22,'WS Plan'!$H$25)=0,'WS Plan'!$H$27,0),0))*M$2/'General info'!$G$44,0)</f>
        <v>0</v>
      </c>
      <c r="N64" s="4150">
        <f>IFERROR(IF('WS Plan'!$E$22="Activate",IF(N$7&gt;'WS Plan'!$H$22,IF(MOD(N$7-'WS Plan'!$H$22,'WS Plan'!$H$25)=0,'WS Plan'!$H$27,0),0))*N$2/'General info'!$G$44,0)</f>
        <v>0</v>
      </c>
      <c r="O64" s="4150">
        <f>IFERROR(IF('WS Plan'!$E$22="Activate",IF(O$7&gt;'WS Plan'!$H$22,IF(MOD(O$7-'WS Plan'!$H$22,'WS Plan'!$H$25)=0,'WS Plan'!$H$27,0),0))*O$2/'General info'!$G$44,0)</f>
        <v>0</v>
      </c>
      <c r="P64" s="4150">
        <f>IFERROR(IF('WS Plan'!$E$22="Activate",IF(P$7&gt;'WS Plan'!$H$22,IF(MOD(P$7-'WS Plan'!$H$22,'WS Plan'!$H$25)=0,'WS Plan'!$H$27,0),0))*P$2/'General info'!$G$44,0)</f>
        <v>0</v>
      </c>
    </row>
    <row r="65" spans="2:17" s="4151" customFormat="1" x14ac:dyDescent="0.25">
      <c r="B65" s="4110" t="s">
        <v>3160</v>
      </c>
      <c r="C65" s="4149" t="str">
        <f t="shared" si="5"/>
        <v>Computerise water supply records</v>
      </c>
      <c r="D65" s="4119">
        <f>IF('WS Plan'!$E$28="Activate",'WS Plan'!$H$30,0)</f>
        <v>0</v>
      </c>
      <c r="E65" s="5731">
        <f>SUM($F65:$P65)</f>
        <v>0</v>
      </c>
      <c r="F65" s="4113"/>
      <c r="G65" s="4113">
        <f>IF('WS Plan'!$E$28="Activate",IF(G$7&gt;'WS Plan'!$H$28,$D$65,0),0)*G$2/'General info'!$G$44</f>
        <v>0</v>
      </c>
      <c r="H65" s="4113">
        <f>IF('WS Plan'!$E$28="Activate",IF(H$7&gt;'WS Plan'!$H$28,$D$65,0),0)*H$2/'General info'!$G$44</f>
        <v>0</v>
      </c>
      <c r="I65" s="4113">
        <f>IF('WS Plan'!$E$28="Activate",IF(I$7&gt;'WS Plan'!$H$28,$D$65,0),0)*I$2/'General info'!$G$44</f>
        <v>0</v>
      </c>
      <c r="J65" s="4113">
        <f>IF('WS Plan'!$E$28="Activate",IF(J$7&gt;'WS Plan'!$H$28,$D$65,0),0)*J$2/'General info'!$G$44</f>
        <v>0</v>
      </c>
      <c r="K65" s="4113">
        <f>IF('WS Plan'!$E$28="Activate",IF(K$7&gt;'WS Plan'!$H$28,$D$65,0),0)*K$2/'General info'!$G$44</f>
        <v>0</v>
      </c>
      <c r="L65" s="4113">
        <f>IF('WS Plan'!$E$28="Activate",IF(L$7&gt;'WS Plan'!$H$28,$D$65,0),0)*L$2/'General info'!$G$44</f>
        <v>0</v>
      </c>
      <c r="M65" s="4113">
        <f>IF('WS Plan'!$E$28="Activate",IF(M$7&gt;'WS Plan'!$H$28,$D$65,0),0)*M$2/'General info'!$G$44</f>
        <v>0</v>
      </c>
      <c r="N65" s="4113">
        <f>IF('WS Plan'!$E$28="Activate",IF(N$7&gt;'WS Plan'!$H$28,$D$65,0),0)*N$2/'General info'!$G$44</f>
        <v>0</v>
      </c>
      <c r="O65" s="4113">
        <f>IF('WS Plan'!$E$28="Activate",IF(O$7&gt;'WS Plan'!$H$28,$D$65,0),0)*O$2/'General info'!$G$44</f>
        <v>0</v>
      </c>
      <c r="P65" s="4113">
        <f>IF('WS Plan'!$E$28="Activate",IF(P$7&gt;'WS Plan'!$H$28,$D$65,0),0)*P$2/'General info'!$G$44</f>
        <v>0</v>
      </c>
    </row>
    <row r="66" spans="2:17" ht="30" x14ac:dyDescent="0.25">
      <c r="B66" s="4110" t="s">
        <v>3161</v>
      </c>
      <c r="C66" s="4111" t="str">
        <f t="shared" si="5"/>
        <v>Process improvement for new water supply connection applications</v>
      </c>
      <c r="D66" s="4119"/>
      <c r="E66" s="5736"/>
      <c r="F66" s="4121"/>
      <c r="G66" s="4122"/>
      <c r="H66" s="4122"/>
      <c r="I66" s="4122"/>
      <c r="J66" s="4122"/>
      <c r="K66" s="4122"/>
      <c r="L66" s="4122"/>
      <c r="M66" s="4122"/>
      <c r="N66" s="4122"/>
      <c r="O66" s="4122"/>
      <c r="P66" s="4122"/>
    </row>
    <row r="67" spans="2:17" ht="30" x14ac:dyDescent="0.25">
      <c r="B67" s="4110" t="s">
        <v>3162</v>
      </c>
      <c r="C67" s="4111" t="str">
        <f t="shared" si="5"/>
        <v>Policy for providing individual water connections in slums</v>
      </c>
      <c r="D67" s="4119"/>
      <c r="E67" s="5736"/>
      <c r="F67" s="4121"/>
      <c r="G67" s="4122"/>
      <c r="H67" s="4122"/>
      <c r="I67" s="4122"/>
      <c r="J67" s="4122"/>
      <c r="K67" s="4122"/>
      <c r="L67" s="4122"/>
      <c r="M67" s="4122"/>
      <c r="N67" s="4122"/>
      <c r="O67" s="4122"/>
      <c r="P67" s="4122"/>
    </row>
    <row r="68" spans="2:17" x14ac:dyDescent="0.25">
      <c r="B68" s="4110" t="s">
        <v>3163</v>
      </c>
      <c r="C68" s="1725" t="str">
        <f t="shared" si="5"/>
        <v>Regularise unauthorised water supply connections</v>
      </c>
      <c r="D68" s="4119"/>
      <c r="E68" s="5737"/>
      <c r="F68" s="4121"/>
      <c r="G68" s="4121"/>
      <c r="H68" s="4121"/>
      <c r="I68" s="4121"/>
      <c r="J68" s="4121"/>
      <c r="K68" s="4121"/>
      <c r="L68" s="4121"/>
      <c r="M68" s="4121"/>
      <c r="N68" s="4121"/>
      <c r="O68" s="4121"/>
      <c r="P68" s="4121"/>
    </row>
    <row r="69" spans="2:17" ht="30" x14ac:dyDescent="0.25">
      <c r="B69" s="4110" t="s">
        <v>3164</v>
      </c>
      <c r="C69" s="1725" t="str">
        <f t="shared" si="5"/>
        <v>Increase connections using existing water supply distribution network</v>
      </c>
      <c r="D69" s="4119"/>
      <c r="E69" s="5737"/>
      <c r="F69" s="4121"/>
      <c r="G69" s="4121"/>
      <c r="H69" s="4121"/>
      <c r="I69" s="4121"/>
      <c r="J69" s="4121"/>
      <c r="K69" s="4121"/>
      <c r="L69" s="4121"/>
      <c r="M69" s="4121"/>
      <c r="N69" s="4121"/>
      <c r="O69" s="4121"/>
      <c r="P69" s="4121"/>
    </row>
    <row r="70" spans="2:17" ht="30" x14ac:dyDescent="0.25">
      <c r="B70" s="4110" t="s">
        <v>3165</v>
      </c>
      <c r="C70" s="4152" t="str">
        <f t="shared" si="5"/>
        <v>Convert stand posts/public taps into group connections</v>
      </c>
      <c r="D70" s="4119"/>
      <c r="E70" s="5737"/>
      <c r="F70" s="4121"/>
      <c r="G70" s="4121"/>
      <c r="H70" s="4121"/>
      <c r="I70" s="4121"/>
      <c r="J70" s="4121"/>
      <c r="K70" s="4121"/>
      <c r="L70" s="4121"/>
      <c r="M70" s="4121"/>
      <c r="N70" s="4121"/>
      <c r="O70" s="4121"/>
      <c r="P70" s="4121"/>
    </row>
    <row r="71" spans="2:17" x14ac:dyDescent="0.25">
      <c r="B71" s="4110" t="s">
        <v>3166</v>
      </c>
      <c r="C71" s="1725" t="str">
        <f t="shared" si="5"/>
        <v>Lay new water supply distribution network</v>
      </c>
      <c r="D71" s="4153">
        <f>IF('WS Plan'!$E$55="Activate",'WS Plan'!$H$63,0)</f>
        <v>0</v>
      </c>
      <c r="E71" s="5737">
        <f>SUM($F71:$P71)</f>
        <v>0</v>
      </c>
      <c r="F71" s="4154"/>
      <c r="G71" s="4135">
        <f>IF('WS Plan'!$E$55="Activate",IF(G$62&gt;'WS Plan'!$H$55,$D$71*SUM('PIP finance'!$F$16:G16),0),0)*G$2</f>
        <v>0</v>
      </c>
      <c r="H71" s="4135">
        <f>IF('WS Plan'!$E$55="Activate",IF(H$62&gt;'WS Plan'!$H$55,$D$71*SUM('PIP finance'!$F$16:H16),0),0)*H$2</f>
        <v>0</v>
      </c>
      <c r="I71" s="4135">
        <f>IF('WS Plan'!$E$55="Activate",IF(I$62&gt;'WS Plan'!$H$55,$D$71*SUM('PIP finance'!$F$16:I16),0),0)*I$2</f>
        <v>0</v>
      </c>
      <c r="J71" s="4135">
        <f>IF('WS Plan'!$E$55="Activate",IF(J$62&gt;'WS Plan'!$H$55,$D$71*SUM('PIP finance'!$F$16:J16),0),0)*J$2</f>
        <v>0</v>
      </c>
      <c r="K71" s="4135">
        <f>IF('WS Plan'!$E$55="Activate",IF(K$62&gt;'WS Plan'!$H$55,$D$71*SUM('PIP finance'!$F$16:K16),0),0)*K$2</f>
        <v>0</v>
      </c>
      <c r="L71" s="4135">
        <f>IF('WS Plan'!$E$55="Activate",IF(L$62&gt;'WS Plan'!$H$55,$D$71*SUM('PIP finance'!$F$16:L16),0),0)*L$2</f>
        <v>0</v>
      </c>
      <c r="M71" s="4135">
        <f>IF('WS Plan'!$E$55="Activate",IF(M$62&gt;'WS Plan'!$H$55,$D$71*SUM('PIP finance'!$F$16:M16),0),0)*M$2</f>
        <v>0</v>
      </c>
      <c r="N71" s="4135">
        <f>IF('WS Plan'!$E$55="Activate",IF(N$62&gt;'WS Plan'!$H$55,$D$71*SUM('PIP finance'!$F$16:N16),0),0)*N$2</f>
        <v>0</v>
      </c>
      <c r="O71" s="4135">
        <f>IF('WS Plan'!$E$55="Activate",IF(O$62&gt;'WS Plan'!$H$55,$D$71*SUM('PIP finance'!$F$16:O16),0),0)*O$2</f>
        <v>0</v>
      </c>
      <c r="P71" s="4135">
        <f>IF('WS Plan'!$E$55="Activate",IF(P$62&gt;'WS Plan'!$H$55,$D$71*SUM('PIP finance'!$F$16:P16),0),0)*P$2</f>
        <v>0</v>
      </c>
      <c r="Q71" s="4155"/>
    </row>
    <row r="72" spans="2:17" ht="30" x14ac:dyDescent="0.25">
      <c r="B72" s="4110" t="s">
        <v>3167</v>
      </c>
      <c r="C72" s="1725" t="str">
        <f t="shared" si="5"/>
        <v>Lay internal infrastructure of water supply lines in slums</v>
      </c>
      <c r="D72" s="4153">
        <f>IF('WS Plan'!$E$64="Activate",'WS Plan'!$H$70,0)</f>
        <v>0</v>
      </c>
      <c r="E72" s="5737">
        <f>SUM($F72:$P72)</f>
        <v>0</v>
      </c>
      <c r="F72" s="4154"/>
      <c r="G72" s="4135">
        <f>IF('WS Plan'!$E$64="Activate",IF(G$62&gt;'WS Plan'!$G$64,$D$72*SUM('PIP finance'!$F$17:G17),0),0)*G$2</f>
        <v>0</v>
      </c>
      <c r="H72" s="4135">
        <f>IF('WS Plan'!$E$64="Activate",IF(H$62&gt;'WS Plan'!$G$64,$D$72*SUM('PIP finance'!$F$17:H17),0),0)*H$2</f>
        <v>0</v>
      </c>
      <c r="I72" s="4135">
        <f>IF('WS Plan'!$E$64="Activate",IF(I$62&gt;'WS Plan'!$G$64,$D$72*SUM('PIP finance'!$F$17:I17),0),0)*I$2</f>
        <v>0</v>
      </c>
      <c r="J72" s="4135">
        <f>IF('WS Plan'!$E$64="Activate",IF(J$62&gt;'WS Plan'!$G$64,$D$72*SUM('PIP finance'!$F$17:J17),0),0)*J$2</f>
        <v>0</v>
      </c>
      <c r="K72" s="4135">
        <f>IF('WS Plan'!$E$64="Activate",IF(K$62&gt;'WS Plan'!$G$64,$D$72*SUM('PIP finance'!$F$17:K17),0),0)*K$2</f>
        <v>0</v>
      </c>
      <c r="L72" s="4135">
        <f>IF('WS Plan'!$E$64="Activate",IF(L$62&gt;'WS Plan'!$G$64,$D$72*SUM('PIP finance'!$F$17:L17),0),0)*L$2</f>
        <v>0</v>
      </c>
      <c r="M72" s="4135">
        <f>IF('WS Plan'!$E$64="Activate",IF(M$62&gt;'WS Plan'!$G$64,$D$72*SUM('PIP finance'!$F$17:M17),0),0)*M$2</f>
        <v>0</v>
      </c>
      <c r="N72" s="4135">
        <f>IF('WS Plan'!$E$64="Activate",IF(N$62&gt;'WS Plan'!$G$64,$D$72*SUM('PIP finance'!$F$17:N17),0),0)*N$2</f>
        <v>0</v>
      </c>
      <c r="O72" s="4135">
        <f>IF('WS Plan'!$E$64="Activate",IF(O$62&gt;'WS Plan'!$G$64,$D$72*SUM('PIP finance'!$F$17:O17),0),0)*O$2</f>
        <v>0</v>
      </c>
      <c r="P72" s="4135">
        <f>IF('WS Plan'!$E$64="Activate",IF(P$62&gt;'WS Plan'!$G$64,$D$72*SUM('PIP finance'!$F$17:P17),0),0)*P$2</f>
        <v>0</v>
      </c>
      <c r="Q72" s="4155"/>
    </row>
    <row r="73" spans="2:17" x14ac:dyDescent="0.25">
      <c r="B73" s="4125" t="s">
        <v>8</v>
      </c>
      <c r="C73" s="4156" t="str">
        <f t="shared" si="5"/>
        <v>Service levels &amp; quality</v>
      </c>
      <c r="D73" s="4127"/>
      <c r="E73" s="4128"/>
      <c r="F73" s="4106"/>
      <c r="G73" s="4106"/>
      <c r="H73" s="4106"/>
      <c r="I73" s="4106"/>
      <c r="J73" s="4106"/>
      <c r="K73" s="4106"/>
      <c r="L73" s="4106"/>
      <c r="M73" s="4106"/>
      <c r="N73" s="4106"/>
      <c r="O73" s="4106"/>
      <c r="P73" s="4106"/>
    </row>
    <row r="74" spans="2:17" x14ac:dyDescent="0.25">
      <c r="B74" s="4110" t="s">
        <v>3168</v>
      </c>
      <c r="C74" s="4123" t="str">
        <f t="shared" si="5"/>
        <v>Improve water supply quality surveillance</v>
      </c>
      <c r="D74" s="4132"/>
      <c r="E74" s="4120"/>
      <c r="F74" s="4154"/>
      <c r="G74" s="4135"/>
      <c r="H74" s="4135"/>
      <c r="I74" s="4135"/>
      <c r="J74" s="4135"/>
      <c r="K74" s="4135"/>
      <c r="L74" s="4135"/>
      <c r="M74" s="4135"/>
      <c r="N74" s="4135"/>
      <c r="O74" s="4135"/>
      <c r="P74" s="4135"/>
    </row>
    <row r="75" spans="2:17" x14ac:dyDescent="0.25">
      <c r="B75" s="4110" t="s">
        <v>3169</v>
      </c>
      <c r="C75" s="4130" t="str">
        <f t="shared" si="5"/>
        <v>Increase continuity of water supply services</v>
      </c>
      <c r="D75" s="4157">
        <f>'WS Plan'!H86</f>
        <v>0</v>
      </c>
      <c r="E75" s="4120"/>
      <c r="F75" s="4154"/>
      <c r="G75" s="4135">
        <f>IF('WS Plan'!$E$80="Activate",IF(G$62&gt;'WS Plan'!$H$80,$D$75*SUM('PIP finance'!$F$20:G20),0),0)*G$2</f>
        <v>0</v>
      </c>
      <c r="H75" s="4135">
        <f>IF('WS Plan'!$E$80="Activate",IF(H$62&gt;'WS Plan'!$H$80,$D$75*SUM('PIP finance'!$F$20:H20),0),0)*H$2</f>
        <v>0</v>
      </c>
      <c r="I75" s="4135">
        <f>IF('WS Plan'!$E$80="Activate",IF(I$62&gt;'WS Plan'!$H$80,$D$75*SUM('PIP finance'!$F$20:I20),0),0)*I$2</f>
        <v>0</v>
      </c>
      <c r="J75" s="4135">
        <f>IF('WS Plan'!$E$80="Activate",IF(J$62&gt;'WS Plan'!$H$80,$D$75*SUM('PIP finance'!$F$20:J20),0),0)*J$2</f>
        <v>0</v>
      </c>
      <c r="K75" s="4135">
        <f>IF('WS Plan'!$E$80="Activate",IF(K$62&gt;'WS Plan'!$H$80,$D$75*SUM('PIP finance'!$F$20:K20),0),0)*K$2</f>
        <v>0</v>
      </c>
      <c r="L75" s="4135">
        <f>IF('WS Plan'!$E$80="Activate",IF(L$62&gt;'WS Plan'!$H$80,$D$75*SUM('PIP finance'!$F$20:L20),0),0)*L$2</f>
        <v>0</v>
      </c>
      <c r="M75" s="4135">
        <f>IF('WS Plan'!$E$80="Activate",IF(M$62&gt;'WS Plan'!$H$80,$D$75*SUM('PIP finance'!$F$20:M20),0),0)*M$2</f>
        <v>0</v>
      </c>
      <c r="N75" s="4135">
        <f>IF('WS Plan'!$E$80="Activate",IF(N$62&gt;'WS Plan'!$H$80,$D$75*SUM('PIP finance'!$F$20:N20),0),0)*N$2</f>
        <v>0</v>
      </c>
      <c r="O75" s="4135">
        <f>IF('WS Plan'!$E$80="Activate",IF(O$62&gt;'WS Plan'!$H$80,$D$75*SUM('PIP finance'!$F$20:O20),0),0)*O$2</f>
        <v>0</v>
      </c>
      <c r="P75" s="4135">
        <f>IF('WS Plan'!$E$80="Activate",IF(P$62&gt;'WS Plan'!$H$80,$D$75*SUM('PIP finance'!$F$20:P20),0),0)*P$2</f>
        <v>0</v>
      </c>
    </row>
    <row r="76" spans="2:17" ht="30" x14ac:dyDescent="0.25">
      <c r="B76" s="4110" t="s">
        <v>3170</v>
      </c>
      <c r="C76" s="4123" t="str">
        <f t="shared" si="5"/>
        <v>Repair existing water treatment plant to improve water quality</v>
      </c>
      <c r="D76" s="4158">
        <f>IF('WS Plan'!$E$87="Activate",'WS Plan'!$H$93,0)</f>
        <v>0</v>
      </c>
      <c r="E76" s="5731">
        <f t="shared" ref="E76:E84" si="6">SUM($F76:$P76)</f>
        <v>0</v>
      </c>
      <c r="F76" s="4154"/>
      <c r="G76" s="4135">
        <f>IF('WS Plan'!$E$87="Activate",IF(G$62&gt;='WS Plan'!$G$87,$D76,0),0)*G$2/'General info'!$G$44</f>
        <v>0</v>
      </c>
      <c r="H76" s="4135">
        <f>IF('WS Plan'!$E$87="Activate",IF(H$62&gt;='WS Plan'!$G$87,$D76,0),0)*H$2/'General info'!$G$44</f>
        <v>0</v>
      </c>
      <c r="I76" s="4135">
        <f>IF('WS Plan'!$E$87="Activate",IF(I$62&gt;='WS Plan'!$G$87,$D76,0),0)*I$2/'General info'!$G$44</f>
        <v>0</v>
      </c>
      <c r="J76" s="4135">
        <f>IF('WS Plan'!$E$87="Activate",IF(J$62&gt;='WS Plan'!$G$87,$D76,0),0)*J$2/'General info'!$G$44</f>
        <v>0</v>
      </c>
      <c r="K76" s="4135">
        <f>IF('WS Plan'!$E$87="Activate",IF(K$62&gt;='WS Plan'!$G$87,$D76,0),0)*K$2/'General info'!$G$44</f>
        <v>0</v>
      </c>
      <c r="L76" s="4135">
        <f>IF('WS Plan'!$E$87="Activate",IF(L$62&gt;='WS Plan'!$G$87,$D76,0),0)*L$2/'General info'!$G$44</f>
        <v>0</v>
      </c>
      <c r="M76" s="4135">
        <f>IF('WS Plan'!$E$87="Activate",IF(M$62&gt;='WS Plan'!$G$87,$D76,0),0)*M$2/'General info'!$G$44</f>
        <v>0</v>
      </c>
      <c r="N76" s="4135">
        <f>IF('WS Plan'!$E$87="Activate",IF(N$62&gt;='WS Plan'!$G$87,$D76,0),0)*N$2/'General info'!$G$44</f>
        <v>0</v>
      </c>
      <c r="O76" s="4135">
        <f>IF('WS Plan'!$E$87="Activate",IF(O$62&gt;='WS Plan'!$G$87,$D76,0),0)*O$2/'General info'!$G$44</f>
        <v>0</v>
      </c>
      <c r="P76" s="4135">
        <f>IF('WS Plan'!$E$87="Activate",IF(P$62&gt;='WS Plan'!$G$87,$D76,0),0)*P$2/'General info'!$G$44</f>
        <v>0</v>
      </c>
    </row>
    <row r="77" spans="2:17" x14ac:dyDescent="0.25">
      <c r="B77" s="4110" t="s">
        <v>3171</v>
      </c>
      <c r="C77" s="1725" t="str">
        <f t="shared" si="5"/>
        <v>Treatment of untreated supply ground water</v>
      </c>
      <c r="D77" s="4159">
        <f>IF('WS Plan'!$E$94="Activate",'WS Plan'!$H$97,0)</f>
        <v>0</v>
      </c>
      <c r="E77" s="5731">
        <f t="shared" si="6"/>
        <v>0</v>
      </c>
      <c r="F77" s="4154"/>
      <c r="G77" s="4135">
        <f>IF('WS Plan'!$E$94="Activate",IF(G$62&gt;='WS Plan'!$G$94,$D77*'WS Plan'!$H$96,0),0)*G$2/'General info'!$G$44</f>
        <v>0</v>
      </c>
      <c r="H77" s="4135">
        <f>IF('WS Plan'!$E$94="Activate",IF(H$62&gt;='WS Plan'!$G$94,$D77*'WS Plan'!$H$96,0),0)*H$2/'General info'!$G$44</f>
        <v>0</v>
      </c>
      <c r="I77" s="4135">
        <f>IF('WS Plan'!$E$94="Activate",IF(I$62&gt;='WS Plan'!$G$94,$D77*'WS Plan'!$H$96,0),0)*I$2/'General info'!$G$44</f>
        <v>0</v>
      </c>
      <c r="J77" s="4135">
        <f>IF('WS Plan'!$E$94="Activate",IF(J$62&gt;='WS Plan'!$G$94,$D77*'WS Plan'!$H$96,0),0)*J$2/'General info'!$G$44</f>
        <v>0</v>
      </c>
      <c r="K77" s="4135">
        <f>IF('WS Plan'!$E$94="Activate",IF(K$62&gt;='WS Plan'!$G$94,$D77*'WS Plan'!$H$96,0),0)*K$2/'General info'!$G$44</f>
        <v>0</v>
      </c>
      <c r="L77" s="4135">
        <f>IF('WS Plan'!$E$94="Activate",IF(L$62&gt;='WS Plan'!$G$94,$D77*'WS Plan'!$H$96,0),0)*L$2/'General info'!$G$44</f>
        <v>0</v>
      </c>
      <c r="M77" s="4135">
        <f>IF('WS Plan'!$E$94="Activate",IF(M$62&gt;='WS Plan'!$G$94,$D77*'WS Plan'!$H$96,0),0)*M$2/'General info'!$G$44</f>
        <v>0</v>
      </c>
      <c r="N77" s="4135">
        <f>IF('WS Plan'!$E$94="Activate",IF(N$62&gt;='WS Plan'!$G$94,$D77*'WS Plan'!$H$96,0),0)*N$2/'General info'!$G$44</f>
        <v>0</v>
      </c>
      <c r="O77" s="4135">
        <f>IF('WS Plan'!$E$94="Activate",IF(O$62&gt;='WS Plan'!$G$94,$D77*'WS Plan'!$H$96,0),0)*O$2/'General info'!$G$44</f>
        <v>0</v>
      </c>
      <c r="P77" s="4135">
        <f>IF('WS Plan'!$E$94="Activate",IF(P$62&gt;='WS Plan'!$G$94,$D77*'WS Plan'!$H$96,0),0)*P$2/'General info'!$G$44</f>
        <v>0</v>
      </c>
    </row>
    <row r="78" spans="2:17" x14ac:dyDescent="0.25">
      <c r="B78" s="4110" t="s">
        <v>3172</v>
      </c>
      <c r="C78" s="1725" t="str">
        <f t="shared" si="5"/>
        <v>Augment water supply - Own surface water</v>
      </c>
      <c r="D78" s="4160">
        <f>IF('WS Plan'!$E$103="Activate",'WS Plan'!$H$107,0)</f>
        <v>0</v>
      </c>
      <c r="E78" s="5731">
        <f t="shared" si="6"/>
        <v>0</v>
      </c>
      <c r="F78" s="4161"/>
      <c r="G78" s="4135">
        <f>IF('WS Plan'!$E$103="Activate",IF(G$62&gt;'WS Plan'!$H$103,$D$78*SUM('PIP finance'!$F23:G$23),0),0)*G$2</f>
        <v>0</v>
      </c>
      <c r="H78" s="4135">
        <f>IF('WS Plan'!$E$103="Activate",IF(H$62&gt;'WS Plan'!$H$103,$D$78*SUM('PIP finance'!$F23:H$23),0),0)*H$2</f>
        <v>0</v>
      </c>
      <c r="I78" s="4135">
        <f>IF('WS Plan'!$E$103="Activate",IF(I$62&gt;'WS Plan'!$H$103,$D$78*SUM('PIP finance'!$F23:I$23),0),0)*I$2</f>
        <v>0</v>
      </c>
      <c r="J78" s="4135">
        <f>IF('WS Plan'!$E$103="Activate",IF(J$62&gt;'WS Plan'!$H$103,$D$78*SUM('PIP finance'!$F23:J$23),0),0)*J$2</f>
        <v>0</v>
      </c>
      <c r="K78" s="4135">
        <f>IF('WS Plan'!$E$103="Activate",IF(K$62&gt;'WS Plan'!$H$103,$D$78*SUM('PIP finance'!$F23:K$23),0),0)*K$2</f>
        <v>0</v>
      </c>
      <c r="L78" s="4135">
        <f>IF('WS Plan'!$E$103="Activate",IF(L$62&gt;'WS Plan'!$H$103,$D$78*SUM('PIP finance'!$F23:L$23),0),0)*L$2</f>
        <v>0</v>
      </c>
      <c r="M78" s="4135">
        <f>IF('WS Plan'!$E$103="Activate",IF(M$62&gt;'WS Plan'!$H$103,$D$78*SUM('PIP finance'!$F23:M$23),0),0)*M$2</f>
        <v>0</v>
      </c>
      <c r="N78" s="4135">
        <f>IF('WS Plan'!$E$103="Activate",IF(N$62&gt;'WS Plan'!$H$103,$D$78*SUM('PIP finance'!$F23:N$23),0),0)*N$2</f>
        <v>0</v>
      </c>
      <c r="O78" s="4135">
        <f>IF('WS Plan'!$E$103="Activate",IF(O$62&gt;'WS Plan'!$H$103,$D$78*SUM('PIP finance'!$F23:O$23),0),0)*O$2</f>
        <v>0</v>
      </c>
      <c r="P78" s="4135">
        <f>IF('WS Plan'!$E$103="Activate",IF(P$62&gt;'WS Plan'!$H$103,$D$78*SUM('PIP finance'!$F23:P$23),0),0)*P$2</f>
        <v>0</v>
      </c>
    </row>
    <row r="79" spans="2:17" x14ac:dyDescent="0.25">
      <c r="B79" s="4110" t="s">
        <v>3173</v>
      </c>
      <c r="C79" s="1725" t="str">
        <f t="shared" si="5"/>
        <v>Augment water supply - Ground water</v>
      </c>
      <c r="D79" s="4160">
        <f>IF('WS Plan'!$E$108="Activate",'WS Plan'!$H$112,0)</f>
        <v>0</v>
      </c>
      <c r="E79" s="5731">
        <f t="shared" si="6"/>
        <v>0</v>
      </c>
      <c r="F79" s="4161"/>
      <c r="G79" s="4135">
        <f>IF('WS Plan'!$E$108="Activate",IF(G$62&gt;'WS Plan'!$H$108,$D$79*SUM('PIP finance'!$F$24:G24),0),0)*G$2</f>
        <v>0</v>
      </c>
      <c r="H79" s="4135">
        <f>IF('WS Plan'!$E$108="Activate",IF(H$62&gt;'WS Plan'!$H$108,$D$79*SUM('PIP finance'!$F$24:H24),0),0)*H$2</f>
        <v>0</v>
      </c>
      <c r="I79" s="4135">
        <f>IF('WS Plan'!$E$108="Activate",IF(I$62&gt;'WS Plan'!$H$108,$D$79*SUM('PIP finance'!$F$24:I24),0),0)*I$2</f>
        <v>0</v>
      </c>
      <c r="J79" s="4135">
        <f>IF('WS Plan'!$E$108="Activate",IF(J$62&gt;'WS Plan'!$H$108,$D$79*SUM('PIP finance'!$F$24:J24),0),0)*J$2</f>
        <v>0</v>
      </c>
      <c r="K79" s="4135">
        <f>IF('WS Plan'!$E$108="Activate",IF(K$62&gt;'WS Plan'!$H$108,$D$79*SUM('PIP finance'!$F$24:K24),0),0)*K$2</f>
        <v>0</v>
      </c>
      <c r="L79" s="4135">
        <f>IF('WS Plan'!$E$108="Activate",IF(L$62&gt;'WS Plan'!$H$108,$D$79*SUM('PIP finance'!$F$24:L24),0),0)*L$2</f>
        <v>0</v>
      </c>
      <c r="M79" s="4135">
        <f>IF('WS Plan'!$E$108="Activate",IF(M$62&gt;'WS Plan'!$H$108,$D$79*SUM('PIP finance'!$F$24:M24),0),0)*M$2</f>
        <v>0</v>
      </c>
      <c r="N79" s="4135">
        <f>IF('WS Plan'!$E$108="Activate",IF(N$62&gt;'WS Plan'!$H$108,$D$79*SUM('PIP finance'!$F$24:N24),0),0)*N$2</f>
        <v>0</v>
      </c>
      <c r="O79" s="4135">
        <f>IF('WS Plan'!$E$108="Activate",IF(O$62&gt;'WS Plan'!$H$108,$D$79*SUM('PIP finance'!$F$24:O24),0),0)*O$2</f>
        <v>0</v>
      </c>
      <c r="P79" s="4135">
        <f>IF('WS Plan'!$E$108="Activate",IF(P$62&gt;'WS Plan'!$H$108,$D$79*SUM('PIP finance'!$F$24:P24),0),0)*P$2</f>
        <v>0</v>
      </c>
    </row>
    <row r="80" spans="2:17" ht="30" x14ac:dyDescent="0.25">
      <c r="B80" s="4110" t="s">
        <v>3174</v>
      </c>
      <c r="C80" s="1725" t="str">
        <f t="shared" si="5"/>
        <v xml:space="preserve">Augment water supply - Buy additional treated bulk water </v>
      </c>
      <c r="D80" s="4160">
        <f>IF('WS Plan'!$E$113="Activate",'WS Plan'!$H$117,0)</f>
        <v>0</v>
      </c>
      <c r="E80" s="5731">
        <f t="shared" si="6"/>
        <v>0</v>
      </c>
      <c r="F80" s="4161"/>
      <c r="G80" s="4135">
        <f>(IF('WS Plan'!$E$113="Activate",IF(G$62&gt;'WS Plan'!$H$113,$D$80*SUM('PIP finance'!$F$25:G25),0),0)*G$2)+(('WS calcu'!F6-'WS calcu'!$E$6)*'WS Plan'!$H$118*365*G$2/'General info'!$G$44)</f>
        <v>0</v>
      </c>
      <c r="H80" s="4135">
        <f>(IF('WS Plan'!$E$113="Activate",IF(H$62&gt;'WS Plan'!$H$113,$D$80*SUM('PIP finance'!$F$25:H25),0),0)*H$2)+(('WS calcu'!G6-'WS calcu'!$E$6)*'WS Plan'!$H$118*365*H$2/'General info'!$G$44)</f>
        <v>0</v>
      </c>
      <c r="I80" s="4135">
        <f>(IF('WS Plan'!$E$113="Activate",IF(I$62&gt;'WS Plan'!$H$113,$D$80*SUM('PIP finance'!$F$25:I25),0),0)*I$2)+(('WS calcu'!H6-'WS calcu'!$E$6)*'WS Plan'!$H$118*365*I$2/'General info'!$G$44)</f>
        <v>0</v>
      </c>
      <c r="J80" s="4135">
        <f>(IF('WS Plan'!$E$113="Activate",IF(J$62&gt;'WS Plan'!$H$113,$D$80*SUM('PIP finance'!$F$25:J25),0),0)*J$2)+(('WS calcu'!I6-'WS calcu'!$E$6)*'WS Plan'!$H$118*365*J$2/'General info'!$G$44)</f>
        <v>0</v>
      </c>
      <c r="K80" s="4135">
        <f>(IF('WS Plan'!$E$113="Activate",IF(K$62&gt;'WS Plan'!$H$113,$D$80*SUM('PIP finance'!$F$25:K25),0),0)*K$2)+(('WS calcu'!J6-'WS calcu'!$E$6)*'WS Plan'!$H$118*365*K$2/'General info'!$G$44)</f>
        <v>0</v>
      </c>
      <c r="L80" s="4135">
        <f>(IF('WS Plan'!$E$113="Activate",IF(L$62&gt;'WS Plan'!$H$113,$D$80*SUM('PIP finance'!$F$25:L25),0),0)*L$2)+(('WS calcu'!K6-'WS calcu'!$E$6)*'WS Plan'!$H$118*365*L$2/'General info'!$G$44)</f>
        <v>0</v>
      </c>
      <c r="M80" s="4135">
        <f>(IF('WS Plan'!$E$113="Activate",IF(M$62&gt;'WS Plan'!$H$113,$D$80*SUM('PIP finance'!$F$25:M25),0),0)*M$2)+(('WS calcu'!L6-'WS calcu'!$E$6)*'WS Plan'!$H$118*365*M$2/'General info'!$G$44)</f>
        <v>0</v>
      </c>
      <c r="N80" s="4135">
        <f>(IF('WS Plan'!$E$113="Activate",IF(N$62&gt;'WS Plan'!$H$113,$D$80*SUM('PIP finance'!$F$25:N25),0),0)*N$2)+(('WS calcu'!M6-'WS calcu'!$E$6)*'WS Plan'!$H$118*365*N$2/'General info'!$G$44)</f>
        <v>0</v>
      </c>
      <c r="O80" s="4135">
        <f>(IF('WS Plan'!$E$113="Activate",IF(O$62&gt;'WS Plan'!$H$113,$D$80*SUM('PIP finance'!$F$25:O25),0),0)*O$2)+(('WS calcu'!N6-'WS calcu'!$E$6)*'WS Plan'!$H$118*365*O$2/'General info'!$G$44)</f>
        <v>0</v>
      </c>
      <c r="P80" s="4135">
        <f>(IF('WS Plan'!$E$113="Activate",IF(P$62&gt;'WS Plan'!$H$113,$D$80*SUM('PIP finance'!$F$25:P25),0),0)*P$2)+(('WS calcu'!O6-'WS calcu'!$E$6)*'WS Plan'!$H$118*365*P$2/'General info'!$G$44)</f>
        <v>0</v>
      </c>
    </row>
    <row r="81" spans="2:16" ht="30" x14ac:dyDescent="0.25">
      <c r="B81" s="4110" t="s">
        <v>3175</v>
      </c>
      <c r="C81" s="1725" t="str">
        <f t="shared" si="5"/>
        <v xml:space="preserve">Augment water supply - Buy additional raw bulk water </v>
      </c>
      <c r="D81" s="4160">
        <f>IF('WS Plan'!$E$119="Activate",'WS Plan'!$H$123,0)</f>
        <v>0</v>
      </c>
      <c r="E81" s="5731">
        <f t="shared" si="6"/>
        <v>0</v>
      </c>
      <c r="F81" s="4161"/>
      <c r="G81" s="4135">
        <f>(IF('WS Plan'!$E$119="Activate",IF(G$62&gt;'WS Plan'!$H$119,$D$81*SUM('PIP finance'!$F$26:G26),0),0)*G$2)+(('WS calcu'!F5-'WS calcu'!$E$5)*'WS Plan'!$H$124*365*G$2/'General info'!$G$44)</f>
        <v>0</v>
      </c>
      <c r="H81" s="4135">
        <f>(IF('WS Plan'!$E$119="Activate",IF(H$62&gt;'WS Plan'!$H$119,$D$81*SUM('PIP finance'!$F$26:H26),0),0)*H$2)+(('WS calcu'!G5-'WS calcu'!$E$5)*'WS Plan'!$H$124*365*H$2/'General info'!$G$44)</f>
        <v>0</v>
      </c>
      <c r="I81" s="4135">
        <f>(IF('WS Plan'!$E$119="Activate",IF(I$62&gt;'WS Plan'!$H$119,$D$81*SUM('PIP finance'!$F$26:I26),0),0)*I$2)+(('WS calcu'!H5-'WS calcu'!$E$5)*'WS Plan'!$H$124*365*I$2/'General info'!$G$44)</f>
        <v>0</v>
      </c>
      <c r="J81" s="4135">
        <f>(IF('WS Plan'!$E$119="Activate",IF(J$62&gt;'WS Plan'!$H$119,$D$81*SUM('PIP finance'!$F$26:J26),0),0)*J$2)+(('WS calcu'!I5-'WS calcu'!$E$5)*'WS Plan'!$H$124*365*J$2/'General info'!$G$44)</f>
        <v>0</v>
      </c>
      <c r="K81" s="4135">
        <f>(IF('WS Plan'!$E$119="Activate",IF(K$62&gt;'WS Plan'!$H$119,$D$81*SUM('PIP finance'!$F$26:K26),0),0)*K$2)+(('WS calcu'!J5-'WS calcu'!$E$5)*'WS Plan'!$H$124*365*K$2/'General info'!$G$44)</f>
        <v>0</v>
      </c>
      <c r="L81" s="4135">
        <f>(IF('WS Plan'!$E$119="Activate",IF(L$62&gt;'WS Plan'!$H$119,$D$81*SUM('PIP finance'!$F$26:L26),0),0)*L$2)+(('WS calcu'!K5-'WS calcu'!$E$5)*'WS Plan'!$H$124*365*L$2/'General info'!$G$44)</f>
        <v>0</v>
      </c>
      <c r="M81" s="4135">
        <f>(IF('WS Plan'!$E$119="Activate",IF(M$62&gt;'WS Plan'!$H$119,$D$81*SUM('PIP finance'!$F$26:M26),0),0)*M$2)+(('WS calcu'!L5-'WS calcu'!$E$5)*'WS Plan'!$H$124*365*M$2/'General info'!$G$44)</f>
        <v>0</v>
      </c>
      <c r="N81" s="4135">
        <f>(IF('WS Plan'!$E$119="Activate",IF(N$62&gt;'WS Plan'!$H$119,$D$81*SUM('PIP finance'!$F$26:N26),0),0)*N$2)+(('WS calcu'!M5-'WS calcu'!$E$5)*'WS Plan'!$H$124*365*N$2/'General info'!$G$44)</f>
        <v>0</v>
      </c>
      <c r="O81" s="4135">
        <f>(IF('WS Plan'!$E$119="Activate",IF(O$62&gt;'WS Plan'!$H$119,$D$81*SUM('PIP finance'!$F$26:O26),0),0)*O$2)+(('WS calcu'!N5-'WS calcu'!$E$5)*'WS Plan'!$H$124*365*O$2/'General info'!$G$44)</f>
        <v>0</v>
      </c>
      <c r="P81" s="4135">
        <f>(IF('WS Plan'!$E$119="Activate",IF(P$62&gt;'WS Plan'!$H$119,$D$81*SUM('PIP finance'!$F$26:P26),0),0)*P$2)+(('WS calcu'!O5-'WS calcu'!$E$5)*'WS Plan'!$H$124*365*P$2/'General info'!$G$44)</f>
        <v>0</v>
      </c>
    </row>
    <row r="82" spans="2:16" x14ac:dyDescent="0.25">
      <c r="B82" s="4110" t="s">
        <v>3177</v>
      </c>
      <c r="C82" s="4149" t="str">
        <f t="shared" si="5"/>
        <v>Expand/replace water supply transmission network</v>
      </c>
      <c r="D82" s="4160">
        <f>IF('WS Plan'!$E$125="Activate",'WS Plan'!$H$128,0)</f>
        <v>0</v>
      </c>
      <c r="E82" s="5731">
        <f t="shared" si="6"/>
        <v>0</v>
      </c>
      <c r="F82" s="4161"/>
      <c r="G82" s="4135">
        <f>IF('WS Plan'!$E$125="Activate",IF(G$62&gt;'WS Plan'!$H$125+1,$D82*SUM($F27:G$27),0),0)*G$2</f>
        <v>0</v>
      </c>
      <c r="H82" s="4135">
        <f>IF('WS Plan'!$E$125="Activate",IF(H$62&gt;'WS Plan'!$H$125+1,$D82*SUM($F27:H$27),0),0)*H$2</f>
        <v>0</v>
      </c>
      <c r="I82" s="4135">
        <f>IF('WS Plan'!$E$125="Activate",IF(I$62&gt;'WS Plan'!$H$125+1,$D82*SUM($F27:I$27),0),0)*I$2</f>
        <v>0</v>
      </c>
      <c r="J82" s="4135">
        <f>IF('WS Plan'!$E$125="Activate",IF(J$62&gt;'WS Plan'!$H$125+1,$D82*SUM($F27:J$27),0),0)*J$2</f>
        <v>0</v>
      </c>
      <c r="K82" s="4135">
        <f>IF('WS Plan'!$E$125="Activate",IF(K$62&gt;'WS Plan'!$H$125+1,$D82*SUM($F27:K$27),0),0)*K$2</f>
        <v>0</v>
      </c>
      <c r="L82" s="4135">
        <f>IF('WS Plan'!$E$125="Activate",IF(L$62&gt;'WS Plan'!$H$125+1,$D82*SUM($F27:L$27),0),0)*L$2</f>
        <v>0</v>
      </c>
      <c r="M82" s="4135">
        <f>IF('WS Plan'!$E$125="Activate",IF(M$62&gt;'WS Plan'!$H$125+1,$D82*SUM($F27:M$27),0),0)*M$2</f>
        <v>0</v>
      </c>
      <c r="N82" s="4135">
        <f>IF('WS Plan'!$E$125="Activate",IF(N$62&gt;'WS Plan'!$H$125+1,$D82*SUM($F27:N$27),0),0)*N$2</f>
        <v>0</v>
      </c>
      <c r="O82" s="4135">
        <f>IF('WS Plan'!$E$125="Activate",IF(O$62&gt;'WS Plan'!$H$125+1,$D82*SUM($F27:O$27),0),0)*O$2</f>
        <v>0</v>
      </c>
      <c r="P82" s="4135">
        <f>IF('WS Plan'!$E$125="Activate",IF(P$62&gt;'WS Plan'!$H$125+1,$D82*SUM($F27:P$27),0),0)*P$2</f>
        <v>0</v>
      </c>
    </row>
    <row r="83" spans="2:16" s="4151" customFormat="1" x14ac:dyDescent="0.25">
      <c r="B83" s="4110" t="s">
        <v>3176</v>
      </c>
      <c r="C83" s="4111" t="str">
        <f t="shared" si="5"/>
        <v>Construct/augment water treatment plant</v>
      </c>
      <c r="D83" s="4160">
        <f>IF('WS Plan'!$E$129="Activate",'WS Plan'!$H$134,0)</f>
        <v>0</v>
      </c>
      <c r="E83" s="5731">
        <f t="shared" si="6"/>
        <v>0</v>
      </c>
      <c r="F83" s="4163"/>
      <c r="G83" s="4113">
        <f>IF('WS Plan'!$E$129="Activate",IF(G$62&gt;'WS Plan'!$H$129,$D83*SUM($F$28:G28),0),0)*G$2</f>
        <v>0</v>
      </c>
      <c r="H83" s="4113">
        <f>IF('WS Plan'!$E$129="Activate",IF(H$62&gt;'WS Plan'!$H$129,$D83*SUM($F$28:H28),0),0)*H$2</f>
        <v>0</v>
      </c>
      <c r="I83" s="4113">
        <f>IF('WS Plan'!$E$129="Activate",IF(I$62&gt;'WS Plan'!$H$129,$D83*SUM($F$28:I28),0),0)*I$2</f>
        <v>0</v>
      </c>
      <c r="J83" s="4113">
        <f>IF('WS Plan'!$E$129="Activate",IF(J$62&gt;'WS Plan'!$H$129,$D83*SUM($F$28:J28),0),0)*J$2</f>
        <v>0</v>
      </c>
      <c r="K83" s="4113">
        <f>IF('WS Plan'!$E$129="Activate",IF(K$62&gt;'WS Plan'!$H$129,$D83*SUM($F$28:K28),0),0)*K$2</f>
        <v>0</v>
      </c>
      <c r="L83" s="4113">
        <f>IF('WS Plan'!$E$129="Activate",IF(L$62&gt;'WS Plan'!$H$129,$D83*SUM($F$28:L28),0),0)*L$2</f>
        <v>0</v>
      </c>
      <c r="M83" s="4113">
        <f>IF('WS Plan'!$E$129="Activate",IF(M$62&gt;'WS Plan'!$H$129,$D83*SUM($F$28:M28),0),0)*M$2</f>
        <v>0</v>
      </c>
      <c r="N83" s="4113">
        <f>IF('WS Plan'!$E$129="Activate",IF(N$62&gt;'WS Plan'!$H$129,$D83*SUM($F$28:N28),0),0)*N$2</f>
        <v>0</v>
      </c>
      <c r="O83" s="4113">
        <f>IF('WS Plan'!$E$129="Activate",IF(O$62&gt;'WS Plan'!$H$129,$D83*SUM($F$28:O28),0),0)*O$2</f>
        <v>0</v>
      </c>
      <c r="P83" s="4113">
        <f>IF('WS Plan'!$E$129="Activate",IF(P$62&gt;'WS Plan'!$H$129,$D83*SUM($F$28:P28),0),0)*P$2</f>
        <v>0</v>
      </c>
    </row>
    <row r="84" spans="2:16" s="4151" customFormat="1" x14ac:dyDescent="0.25">
      <c r="B84" s="4110" t="s">
        <v>3178</v>
      </c>
      <c r="C84" s="4123" t="str">
        <f t="shared" si="5"/>
        <v>Construct/augment water storage capacity</v>
      </c>
      <c r="D84" s="4160">
        <f>IF('WS Plan'!$E$135="Activate",'WS Plan'!$H$140,0)</f>
        <v>0</v>
      </c>
      <c r="E84" s="5731">
        <f t="shared" si="6"/>
        <v>0</v>
      </c>
      <c r="F84" s="4163"/>
      <c r="G84" s="4113">
        <f>IF('WS Plan'!$E$135="Activate",IF(G$62&gt;'WS Plan'!$H$135,$D$84*SUM('PIP finance'!$F$29:G29),0),0)*G$2</f>
        <v>0</v>
      </c>
      <c r="H84" s="4113">
        <f>IF('WS Plan'!$E$135="Activate",IF(H$62&gt;'WS Plan'!$H$135,$D$84*SUM('PIP finance'!$F$29:H29),0),0)*H$2</f>
        <v>0</v>
      </c>
      <c r="I84" s="4113">
        <f>IF('WS Plan'!$E$135="Activate",IF(I$62&gt;'WS Plan'!$H$135,$D$84*SUM('PIP finance'!$F$29:I29),0),0)*I$2</f>
        <v>0</v>
      </c>
      <c r="J84" s="4113">
        <f>IF('WS Plan'!$E$135="Activate",IF(J$62&gt;'WS Plan'!$H$135,$D$84*SUM('PIP finance'!$F$29:J29),0),0)*J$2</f>
        <v>0</v>
      </c>
      <c r="K84" s="4113">
        <f>IF('WS Plan'!$E$135="Activate",IF(K$62&gt;'WS Plan'!$H$135,$D$84*SUM('PIP finance'!$F$29:K29),0),0)*K$2</f>
        <v>0</v>
      </c>
      <c r="L84" s="4113">
        <f>IF('WS Plan'!$E$135="Activate",IF(L$62&gt;'WS Plan'!$H$135,$D$84*SUM('PIP finance'!$F$29:L29),0),0)*L$2</f>
        <v>0</v>
      </c>
      <c r="M84" s="4113">
        <f>IF('WS Plan'!$E$135="Activate",IF(M$62&gt;'WS Plan'!$H$135,$D$84*SUM('PIP finance'!$F$29:M29),0),0)*M$2</f>
        <v>0</v>
      </c>
      <c r="N84" s="4113">
        <f>IF('WS Plan'!$E$135="Activate",IF(N$62&gt;'WS Plan'!$H$135,$D$84*SUM('PIP finance'!$F$29:N29),0),0)*N$2</f>
        <v>0</v>
      </c>
      <c r="O84" s="4113">
        <f>IF('WS Plan'!$E$135="Activate",IF(O$62&gt;'WS Plan'!$H$135,$D$84*SUM('PIP finance'!$F$29:O29),0),0)*O$2</f>
        <v>0</v>
      </c>
      <c r="P84" s="4113">
        <f>IF('WS Plan'!$E$135="Activate",IF(P$62&gt;'WS Plan'!$H$135,$D$84*SUM('PIP finance'!$F$29:P29),0),0)*P$2</f>
        <v>0</v>
      </c>
    </row>
    <row r="85" spans="2:16" x14ac:dyDescent="0.25">
      <c r="B85" s="4125" t="s">
        <v>10</v>
      </c>
      <c r="C85" s="4164" t="str">
        <f t="shared" si="5"/>
        <v>Efficiency of services</v>
      </c>
      <c r="D85" s="4127"/>
      <c r="E85" s="4128"/>
      <c r="F85" s="4106"/>
      <c r="G85" s="4106"/>
      <c r="H85" s="4106"/>
      <c r="I85" s="4106"/>
      <c r="J85" s="4106"/>
      <c r="K85" s="4106"/>
      <c r="L85" s="4106"/>
      <c r="M85" s="4106"/>
      <c r="N85" s="4106"/>
      <c r="O85" s="4106"/>
      <c r="P85" s="4106"/>
    </row>
    <row r="86" spans="2:16" s="4151" customFormat="1" x14ac:dyDescent="0.25">
      <c r="B86" s="4110" t="s">
        <v>3179</v>
      </c>
      <c r="C86" s="4149" t="str">
        <f t="shared" si="5"/>
        <v>Conduct water audit</v>
      </c>
      <c r="D86" s="4131"/>
      <c r="E86" s="4120">
        <f t="shared" ref="E86:E91" si="7">SUM($F86:$P86)</f>
        <v>0</v>
      </c>
      <c r="F86" s="4113"/>
      <c r="G86" s="4113"/>
      <c r="H86" s="4113"/>
      <c r="I86" s="4113"/>
      <c r="J86" s="4113"/>
      <c r="K86" s="4113"/>
      <c r="L86" s="4113"/>
      <c r="M86" s="4113"/>
      <c r="N86" s="4113"/>
      <c r="O86" s="4113"/>
      <c r="P86" s="4113"/>
    </row>
    <row r="87" spans="2:16" s="4151" customFormat="1" x14ac:dyDescent="0.25">
      <c r="B87" s="4110" t="s">
        <v>3180</v>
      </c>
      <c r="C87" s="4149" t="str">
        <f t="shared" si="5"/>
        <v>Conduct energy audit</v>
      </c>
      <c r="D87" s="4131"/>
      <c r="E87" s="4120">
        <f t="shared" si="7"/>
        <v>0</v>
      </c>
      <c r="F87" s="4113"/>
      <c r="G87" s="4113"/>
      <c r="H87" s="4113"/>
      <c r="I87" s="4113"/>
      <c r="J87" s="4113"/>
      <c r="K87" s="4113"/>
      <c r="L87" s="4113"/>
      <c r="M87" s="4113"/>
      <c r="N87" s="4113"/>
      <c r="O87" s="4113"/>
      <c r="P87" s="4113"/>
    </row>
    <row r="88" spans="2:16" x14ac:dyDescent="0.25">
      <c r="B88" s="4110" t="s">
        <v>3181</v>
      </c>
      <c r="C88" s="4149" t="str">
        <f t="shared" si="5"/>
        <v>Install bulk flow meters</v>
      </c>
      <c r="D88" s="4165">
        <f>IF('WS Plan'!$E$151="Activate",'WS Plan'!$H$154,0)</f>
        <v>0</v>
      </c>
      <c r="E88" s="5731">
        <f t="shared" si="7"/>
        <v>0</v>
      </c>
      <c r="F88" s="4154"/>
      <c r="G88" s="4135">
        <f>IF('WS Plan'!$E$151="Activate",IF(G$62&gt;'WS Plan'!$G$151+1,$D$88*SUM('PIP finance'!$F$33:G33),0),0)*G$2</f>
        <v>0</v>
      </c>
      <c r="H88" s="4135">
        <f>IF('WS Plan'!$E$151="Activate",IF(H$62&gt;'WS Plan'!$G$151+1,$D$88*SUM('PIP finance'!$F$33:H33),0),0)*H$2</f>
        <v>0</v>
      </c>
      <c r="I88" s="4135">
        <f>IF('WS Plan'!$E$151="Activate",IF(I$62&gt;'WS Plan'!$G$151+1,$D$88*SUM('PIP finance'!$F$33:I33),0),0)*I$2</f>
        <v>0</v>
      </c>
      <c r="J88" s="4135">
        <f>IF('WS Plan'!$E$151="Activate",IF(J$62&gt;'WS Plan'!$G$151+1,$D$88*SUM('PIP finance'!$F$33:J33),0),0)*J$2</f>
        <v>0</v>
      </c>
      <c r="K88" s="4135">
        <f>IF('WS Plan'!$E$151="Activate",IF(K$62&gt;'WS Plan'!$G$151+1,$D$88*SUM('PIP finance'!$F$33:K33),0),0)*K$2</f>
        <v>0</v>
      </c>
      <c r="L88" s="4135">
        <f>IF('WS Plan'!$E$151="Activate",IF(L$62&gt;'WS Plan'!$G$151+1,$D$88*SUM('PIP finance'!$F$33:L33),0),0)*L$2</f>
        <v>0</v>
      </c>
      <c r="M88" s="4135">
        <f>IF('WS Plan'!$E$151="Activate",IF(M$62&gt;'WS Plan'!$G$151+1,$D$88*SUM('PIP finance'!$F$33:M33),0),0)*M$2</f>
        <v>0</v>
      </c>
      <c r="N88" s="4135">
        <f>IF('WS Plan'!$E$151="Activate",IF(N$62&gt;'WS Plan'!$G$151+1,$D$88*SUM('PIP finance'!$F$33:N33),0),0)*N$2</f>
        <v>0</v>
      </c>
      <c r="O88" s="4135">
        <f>IF('WS Plan'!$E$151="Activate",IF(O$62&gt;'WS Plan'!$G$151+1,$D$88*SUM('PIP finance'!$F$33:O33),0),0)*O$2</f>
        <v>0</v>
      </c>
      <c r="P88" s="4135">
        <f>IF('WS Plan'!$E$151="Activate",IF(P$62&gt;'WS Plan'!$G$151+1,$D$88*SUM('PIP finance'!$F$33:P33),0),0)*P$2</f>
        <v>0</v>
      </c>
    </row>
    <row r="89" spans="2:16" s="4151" customFormat="1" x14ac:dyDescent="0.25">
      <c r="B89" s="4110" t="s">
        <v>3182</v>
      </c>
      <c r="C89" s="4149" t="str">
        <f t="shared" si="5"/>
        <v>Map water supply and wastewater network</v>
      </c>
      <c r="D89" s="4131">
        <f>IF('WS Plan'!$E$155="Activate",'WS Plan'!$H$158,0)</f>
        <v>0</v>
      </c>
      <c r="E89" s="5731">
        <f t="shared" si="7"/>
        <v>0</v>
      </c>
      <c r="F89" s="4113"/>
      <c r="G89" s="4113">
        <f>IFERROR(IF('WS Plan'!$E$155="Activate",IF(G7&gt;'WS Plan'!$H$155,IF(MOD(G7-'WS Plan'!$H$155,'WS Plan'!$H$156)=0,'WS Plan'!$H$158,0),0))*G$2/'General info'!$G$44,0)</f>
        <v>0</v>
      </c>
      <c r="H89" s="4113">
        <f>IFERROR(IF('WS Plan'!$E$155="Activate",IF(H7&gt;'WS Plan'!$H$155,IF(MOD(H7-'WS Plan'!$H$155,'WS Plan'!$H$156)=0,'WS Plan'!$H$158,0),0))*H$2/'General info'!$G$44,0)</f>
        <v>0</v>
      </c>
      <c r="I89" s="4113">
        <f>IFERROR(IF('WS Plan'!$E$155="Activate",IF(I7&gt;'WS Plan'!$H$155,IF(MOD(I7-'WS Plan'!$H$155,'WS Plan'!$H$156)=0,'WS Plan'!$H$158,0),0))*I$2/'General info'!$G$44,0)</f>
        <v>0</v>
      </c>
      <c r="J89" s="4113">
        <f>IFERROR(IF('WS Plan'!$E$155="Activate",IF(J7&gt;'WS Plan'!$H$155,IF(MOD(J7-'WS Plan'!$H$155,'WS Plan'!$H$156)=0,'WS Plan'!$H$158,0),0))*J$2/'General info'!$G$44,0)</f>
        <v>0</v>
      </c>
      <c r="K89" s="4113">
        <f>IFERROR(IF('WS Plan'!$E$155="Activate",IF(K7&gt;'WS Plan'!$H$155,IF(MOD(K7-'WS Plan'!$H$155,'WS Plan'!$H$156)=0,'WS Plan'!$H$158,0),0))*K$2/'General info'!$G$44,0)</f>
        <v>0</v>
      </c>
      <c r="L89" s="4113">
        <f>IFERROR(IF('WS Plan'!$E$155="Activate",IF(L7&gt;'WS Plan'!$H$155,IF(MOD(L7-'WS Plan'!$H$155,'WS Plan'!$H$156)=0,'WS Plan'!$H$158,0),0))*L$2/'General info'!$G$44,0)</f>
        <v>0</v>
      </c>
      <c r="M89" s="4113">
        <f>IFERROR(IF('WS Plan'!$E$155="Activate",IF(M7&gt;'WS Plan'!$H$155,IF(MOD(M7-'WS Plan'!$H$155,'WS Plan'!$H$156)=0,'WS Plan'!$H$158,0),0))*M$2/'General info'!$G$44,0)</f>
        <v>0</v>
      </c>
      <c r="N89" s="4113">
        <f>IFERROR(IF('WS Plan'!$E$155="Activate",IF(N7&gt;'WS Plan'!$H$155,IF(MOD(N7-'WS Plan'!$H$155,'WS Plan'!$H$156)=0,'WS Plan'!$H$158,0),0))*N$2/'General info'!$G$44,0)</f>
        <v>0</v>
      </c>
      <c r="O89" s="4113">
        <f>IFERROR(IF('WS Plan'!$E$155="Activate",IF(O7&gt;'WS Plan'!$H$155,IF(MOD(O7-'WS Plan'!$H$155,'WS Plan'!$H$156)=0,'WS Plan'!$H$158,0),0))*O$2/'General info'!$G$44,0)</f>
        <v>0</v>
      </c>
      <c r="P89" s="4113">
        <f>IFERROR(IF('WS Plan'!$E$155="Activate",IF(P7&gt;'WS Plan'!$H$155,IF(MOD(P7-'WS Plan'!$H$155,'WS Plan'!$H$156)=0,'WS Plan'!$H$158,0),0))*P$2/'General info'!$G$44,0)</f>
        <v>0</v>
      </c>
    </row>
    <row r="90" spans="2:16" s="4151" customFormat="1" x14ac:dyDescent="0.25">
      <c r="B90" s="4110" t="s">
        <v>3183</v>
      </c>
      <c r="C90" s="4149" t="str">
        <f t="shared" si="5"/>
        <v>Conduct Hydraulic modelling</v>
      </c>
      <c r="D90" s="4131"/>
      <c r="E90" s="4120">
        <f t="shared" si="7"/>
        <v>0</v>
      </c>
      <c r="F90" s="4113"/>
      <c r="G90" s="4113"/>
      <c r="H90" s="4113"/>
      <c r="I90" s="4113"/>
      <c r="J90" s="4113"/>
      <c r="K90" s="4113"/>
      <c r="L90" s="4113"/>
      <c r="M90" s="4113"/>
      <c r="N90" s="4113"/>
      <c r="O90" s="4113"/>
      <c r="P90" s="4113"/>
    </row>
    <row r="91" spans="2:16" s="4151" customFormat="1" x14ac:dyDescent="0.25">
      <c r="B91" s="4110" t="s">
        <v>3184</v>
      </c>
      <c r="C91" s="4149" t="str">
        <f t="shared" si="5"/>
        <v>Conduct Utilities survey (asset mapping)</v>
      </c>
      <c r="D91" s="4131">
        <f>IF('WS Plan'!$E$161="Activate",'WS Plan'!$H$164,0)</f>
        <v>0</v>
      </c>
      <c r="E91" s="5731">
        <f t="shared" si="7"/>
        <v>0</v>
      </c>
      <c r="F91" s="4113"/>
      <c r="G91" s="4113">
        <f>IFERROR(IF('WS Plan'!$E$161="Activate",IF(G7&gt;'WS Plan'!$H$161,IF(MOD(G7-'WS Plan'!$H$161,'WS Plan'!$H$162)=0,'WS Plan'!$H$164,0),0))*G$2/'General info'!$G$44,0)</f>
        <v>0</v>
      </c>
      <c r="H91" s="4113">
        <f>IFERROR(IF('WS Plan'!$E$161="Activate",IF(H7&gt;'WS Plan'!$H$161,IF(MOD(H7-'WS Plan'!$H$161,'WS Plan'!$H$162)=0,'WS Plan'!$H$164,0),0))*H$2/'General info'!$G$44,0)</f>
        <v>0</v>
      </c>
      <c r="I91" s="4113">
        <f>IFERROR(IF('WS Plan'!$E$161="Activate",IF(I7&gt;'WS Plan'!$H$161,IF(MOD(I7-'WS Plan'!$H$161,'WS Plan'!$H$162)=0,'WS Plan'!$H$164,0),0))*I$2/'General info'!$G$44,0)</f>
        <v>0</v>
      </c>
      <c r="J91" s="4113">
        <f>IFERROR(IF('WS Plan'!$E$161="Activate",IF(J7&gt;'WS Plan'!$H$161,IF(MOD(J7-'WS Plan'!$H$161,'WS Plan'!$H$162)=0,'WS Plan'!$H$164,0),0))*J$2/'General info'!$G$44,0)</f>
        <v>0</v>
      </c>
      <c r="K91" s="4113">
        <f>IFERROR(IF('WS Plan'!$E$161="Activate",IF(K7&gt;'WS Plan'!$H$161,IF(MOD(K7-'WS Plan'!$H$161,'WS Plan'!$H$162)=0,'WS Plan'!$H$164,0),0))*K$2/'General info'!$G$44,0)</f>
        <v>0</v>
      </c>
      <c r="L91" s="4113">
        <f>IFERROR(IF('WS Plan'!$E$161="Activate",IF(L7&gt;'WS Plan'!$H$161,IF(MOD(L7-'WS Plan'!$H$161,'WS Plan'!$H$162)=0,'WS Plan'!$H$164,0),0))*L$2/'General info'!$G$44,0)</f>
        <v>0</v>
      </c>
      <c r="M91" s="4113">
        <f>IFERROR(IF('WS Plan'!$E$161="Activate",IF(M7&gt;'WS Plan'!$H$161,IF(MOD(M7-'WS Plan'!$H$161,'WS Plan'!$H$162)=0,'WS Plan'!$H$164,0),0))*M$2/'General info'!$G$44,0)</f>
        <v>0</v>
      </c>
      <c r="N91" s="4113">
        <f>IFERROR(IF('WS Plan'!$E$161="Activate",IF(N7&gt;'WS Plan'!$H$161,IF(MOD(N7-'WS Plan'!$H$161,'WS Plan'!$H$162)=0,'WS Plan'!$H$164,0),0))*N$2/'General info'!$G$44,0)</f>
        <v>0</v>
      </c>
      <c r="O91" s="4113">
        <f>IFERROR(IF('WS Plan'!$E$161="Activate",IF(O7&gt;'WS Plan'!$H$161,IF(MOD(O7-'WS Plan'!$H$161,'WS Plan'!$H$162)=0,'WS Plan'!$H$164,0),0))*O$2/'General info'!$G$44,0)</f>
        <v>0</v>
      </c>
      <c r="P91" s="4113">
        <f>IFERROR(IF('WS Plan'!$E$161="Activate",IF(P7&gt;'WS Plan'!$H$161,IF(MOD(P7-'WS Plan'!$H$161,'WS Plan'!$H$162)=0,'WS Plan'!$H$164,0),0))*P$2/'General info'!$G$44,0)</f>
        <v>0</v>
      </c>
    </row>
    <row r="92" spans="2:16" ht="30" x14ac:dyDescent="0.25">
      <c r="B92" s="4110" t="s">
        <v>3185</v>
      </c>
      <c r="C92" s="4149" t="str">
        <f t="shared" ref="C92:C105" si="8">C37</f>
        <v>Improve processes for regular checking of water losses</v>
      </c>
      <c r="D92" s="4165"/>
      <c r="E92" s="4120"/>
      <c r="F92" s="4154"/>
      <c r="G92" s="4135"/>
      <c r="H92" s="4135"/>
      <c r="I92" s="4135"/>
      <c r="J92" s="4135"/>
      <c r="K92" s="4135"/>
      <c r="L92" s="4135"/>
      <c r="M92" s="4135"/>
      <c r="N92" s="4135"/>
      <c r="O92" s="4135"/>
      <c r="P92" s="4135"/>
    </row>
    <row r="93" spans="2:16" x14ac:dyDescent="0.25">
      <c r="B93" s="4110" t="s">
        <v>3186</v>
      </c>
      <c r="C93" s="4149" t="str">
        <f t="shared" si="8"/>
        <v>Policy to introduce universal consumer meters</v>
      </c>
      <c r="D93" s="4165"/>
      <c r="E93" s="4120"/>
      <c r="F93" s="4154"/>
      <c r="G93" s="4135"/>
      <c r="H93" s="4135"/>
      <c r="I93" s="4135"/>
      <c r="J93" s="4135"/>
      <c r="K93" s="4135"/>
      <c r="L93" s="4135"/>
      <c r="M93" s="4135"/>
      <c r="N93" s="4135"/>
      <c r="O93" s="4135"/>
      <c r="P93" s="4135"/>
    </row>
    <row r="94" spans="2:16" ht="30" x14ac:dyDescent="0.25">
      <c r="B94" s="4110" t="s">
        <v>3187</v>
      </c>
      <c r="C94" s="4130" t="str">
        <f t="shared" si="8"/>
        <v>Improve processes for management of consumer complaints</v>
      </c>
      <c r="D94" s="4132"/>
      <c r="E94" s="4120"/>
      <c r="F94" s="4154"/>
      <c r="G94" s="4135"/>
      <c r="H94" s="4135"/>
      <c r="I94" s="4135"/>
      <c r="J94" s="4135"/>
      <c r="K94" s="4135"/>
      <c r="L94" s="4135"/>
      <c r="M94" s="4135"/>
      <c r="N94" s="4135"/>
      <c r="O94" s="4135"/>
      <c r="P94" s="4135"/>
    </row>
    <row r="95" spans="2:16" x14ac:dyDescent="0.25">
      <c r="B95" s="4110" t="s">
        <v>3188</v>
      </c>
      <c r="C95" s="4149" t="str">
        <f t="shared" si="8"/>
        <v>Reduce losses in trunk main transmission network</v>
      </c>
      <c r="D95" s="4132"/>
      <c r="E95" s="4120"/>
      <c r="F95" s="4121"/>
      <c r="G95" s="4121"/>
      <c r="H95" s="4121"/>
      <c r="I95" s="4121"/>
      <c r="J95" s="4121"/>
      <c r="K95" s="4121"/>
      <c r="L95" s="4121"/>
      <c r="M95" s="4121"/>
      <c r="N95" s="4121"/>
      <c r="O95" s="4121"/>
      <c r="P95" s="4121"/>
    </row>
    <row r="96" spans="2:16" x14ac:dyDescent="0.25">
      <c r="B96" s="4110" t="s">
        <v>3189</v>
      </c>
      <c r="C96" s="4166" t="str">
        <f t="shared" si="8"/>
        <v>Reduce losses at water treatment plant</v>
      </c>
      <c r="D96" s="4131"/>
      <c r="E96" s="4120"/>
      <c r="F96" s="4124"/>
      <c r="G96" s="4124"/>
      <c r="H96" s="4124"/>
      <c r="I96" s="4124"/>
      <c r="J96" s="4124"/>
      <c r="K96" s="4124"/>
      <c r="L96" s="4124"/>
      <c r="M96" s="4124"/>
      <c r="N96" s="4124"/>
      <c r="O96" s="4124"/>
      <c r="P96" s="4124"/>
    </row>
    <row r="97" spans="2:16" ht="30" x14ac:dyDescent="0.25">
      <c r="B97" s="4110" t="s">
        <v>3190</v>
      </c>
      <c r="C97" s="4166" t="str">
        <f t="shared" si="8"/>
        <v>Reduce losses in treated water transmission network</v>
      </c>
      <c r="D97" s="4131"/>
      <c r="E97" s="4120"/>
      <c r="F97" s="4124"/>
      <c r="G97" s="4124"/>
      <c r="H97" s="4124"/>
      <c r="I97" s="4124"/>
      <c r="J97" s="4124"/>
      <c r="K97" s="4124"/>
      <c r="L97" s="4124"/>
      <c r="M97" s="4124"/>
      <c r="N97" s="4124"/>
      <c r="O97" s="4124"/>
      <c r="P97" s="4124"/>
    </row>
    <row r="98" spans="2:16" x14ac:dyDescent="0.25">
      <c r="B98" s="4110" t="s">
        <v>3191</v>
      </c>
      <c r="C98" s="4167" t="str">
        <f t="shared" si="8"/>
        <v>Refurbishment of water storage reservoirs</v>
      </c>
      <c r="D98" s="4131"/>
      <c r="E98" s="4120"/>
      <c r="F98" s="4124"/>
      <c r="G98" s="4124"/>
      <c r="H98" s="4124"/>
      <c r="I98" s="4124"/>
      <c r="J98" s="4124"/>
      <c r="K98" s="4124"/>
      <c r="L98" s="4124"/>
      <c r="M98" s="4124"/>
      <c r="N98" s="4124"/>
      <c r="O98" s="4124"/>
      <c r="P98" s="4124"/>
    </row>
    <row r="99" spans="2:16" x14ac:dyDescent="0.25">
      <c r="B99" s="4110" t="s">
        <v>3192</v>
      </c>
      <c r="C99" s="4166" t="str">
        <f t="shared" si="8"/>
        <v>Improvement in water supply distribution network</v>
      </c>
      <c r="D99" s="4131"/>
      <c r="E99" s="4120"/>
      <c r="F99" s="4124"/>
      <c r="G99" s="4124"/>
      <c r="H99" s="4124"/>
      <c r="I99" s="4124"/>
      <c r="J99" s="4124"/>
      <c r="K99" s="4124"/>
      <c r="L99" s="4124"/>
      <c r="M99" s="4124"/>
      <c r="N99" s="4124"/>
      <c r="O99" s="4124"/>
      <c r="P99" s="4124"/>
    </row>
    <row r="100" spans="2:16" x14ac:dyDescent="0.25">
      <c r="B100" s="4110" t="s">
        <v>3193</v>
      </c>
      <c r="C100" s="4167" t="str">
        <f t="shared" si="8"/>
        <v>Plugging of leakages at valves</v>
      </c>
      <c r="D100" s="4131"/>
      <c r="E100" s="4120"/>
      <c r="F100" s="4124"/>
      <c r="G100" s="4124"/>
      <c r="H100" s="4124"/>
      <c r="I100" s="4124"/>
      <c r="J100" s="4124"/>
      <c r="K100" s="4124"/>
      <c r="L100" s="4124"/>
      <c r="M100" s="4124"/>
      <c r="N100" s="4124"/>
      <c r="O100" s="4124"/>
      <c r="P100" s="4124"/>
    </row>
    <row r="101" spans="2:16" x14ac:dyDescent="0.25">
      <c r="B101" s="4110" t="s">
        <v>3194</v>
      </c>
      <c r="C101" s="4167" t="str">
        <f t="shared" si="8"/>
        <v>Replacement of service line connections</v>
      </c>
      <c r="D101" s="4131"/>
      <c r="E101" s="4120"/>
      <c r="F101" s="4124"/>
      <c r="G101" s="4124"/>
      <c r="H101" s="4124"/>
      <c r="I101" s="4124"/>
      <c r="J101" s="4124"/>
      <c r="K101" s="4124"/>
      <c r="L101" s="4124"/>
      <c r="M101" s="4124"/>
      <c r="N101" s="4124"/>
      <c r="O101" s="4124"/>
      <c r="P101" s="4124"/>
    </row>
    <row r="102" spans="2:16" x14ac:dyDescent="0.25">
      <c r="B102" s="4110" t="s">
        <v>3195</v>
      </c>
      <c r="C102" s="4167" t="str">
        <f t="shared" si="8"/>
        <v>Reduce free water supply</v>
      </c>
      <c r="D102" s="4132"/>
      <c r="E102" s="4120"/>
      <c r="F102" s="4121"/>
      <c r="G102" s="4121"/>
      <c r="H102" s="4121"/>
      <c r="I102" s="4121"/>
      <c r="J102" s="4121"/>
      <c r="K102" s="4121"/>
      <c r="L102" s="4121"/>
      <c r="M102" s="4121"/>
      <c r="N102" s="4121"/>
      <c r="O102" s="4121"/>
      <c r="P102" s="4121"/>
    </row>
    <row r="103" spans="2:16" ht="30" x14ac:dyDescent="0.25">
      <c r="B103" s="4110" t="s">
        <v>3196</v>
      </c>
      <c r="C103" s="4167" t="str">
        <f t="shared" si="8"/>
        <v>Repair non-functional metered water supply connections</v>
      </c>
      <c r="D103" s="4131"/>
      <c r="E103" s="4120">
        <f>SUM($F103:$P103)</f>
        <v>0</v>
      </c>
      <c r="F103" s="1632"/>
      <c r="G103" s="4135"/>
      <c r="H103" s="4135"/>
      <c r="I103" s="4135"/>
      <c r="J103" s="4135"/>
      <c r="K103" s="4135"/>
      <c r="L103" s="4135"/>
      <c r="M103" s="4135"/>
      <c r="N103" s="4135"/>
      <c r="O103" s="4135"/>
      <c r="P103" s="4135"/>
    </row>
    <row r="104" spans="2:16" s="4151" customFormat="1" x14ac:dyDescent="0.25">
      <c r="B104" s="4110" t="s">
        <v>3197</v>
      </c>
      <c r="C104" s="4167" t="str">
        <f t="shared" si="8"/>
        <v>Improve consumer grievance redressal system</v>
      </c>
      <c r="D104" s="4131"/>
      <c r="E104" s="4120">
        <f>SUM($F104:$P104)</f>
        <v>0</v>
      </c>
      <c r="F104" s="4134"/>
      <c r="G104" s="4134"/>
      <c r="H104" s="4134"/>
      <c r="I104" s="4134"/>
      <c r="J104" s="4134"/>
      <c r="K104" s="4134"/>
      <c r="L104" s="4134"/>
      <c r="M104" s="4134"/>
      <c r="N104" s="4134"/>
      <c r="O104" s="4134"/>
      <c r="P104" s="4134"/>
    </row>
    <row r="105" spans="2:16" x14ac:dyDescent="0.25">
      <c r="B105" s="4110" t="s">
        <v>3198</v>
      </c>
      <c r="C105" s="4149" t="str">
        <f t="shared" si="8"/>
        <v>Metering of consumer water supply connections</v>
      </c>
      <c r="D105" s="4165"/>
      <c r="E105" s="4120"/>
      <c r="F105" s="4154"/>
      <c r="G105" s="4135"/>
      <c r="H105" s="4135"/>
      <c r="I105" s="4135"/>
      <c r="J105" s="4135"/>
      <c r="K105" s="4135"/>
      <c r="L105" s="4135"/>
      <c r="M105" s="4135"/>
      <c r="N105" s="4135"/>
      <c r="O105" s="4135"/>
      <c r="P105" s="4135"/>
    </row>
    <row r="106" spans="2:16" s="4151" customFormat="1" x14ac:dyDescent="0.25">
      <c r="B106" s="4102" t="s">
        <v>12</v>
      </c>
      <c r="C106" s="4126" t="str">
        <f t="shared" ref="C106:C113" si="9">C51</f>
        <v>Financial sustainaibility</v>
      </c>
      <c r="D106" s="4169"/>
      <c r="E106" s="4170"/>
      <c r="F106" s="4170"/>
      <c r="G106" s="4170"/>
      <c r="H106" s="4170"/>
      <c r="I106" s="4170"/>
      <c r="J106" s="4170"/>
      <c r="K106" s="4170"/>
      <c r="L106" s="4170"/>
      <c r="M106" s="4170"/>
      <c r="N106" s="4170"/>
      <c r="O106" s="4170"/>
      <c r="P106" s="4170"/>
    </row>
    <row r="107" spans="2:16" s="4151" customFormat="1" x14ac:dyDescent="0.25">
      <c r="B107" s="4110" t="s">
        <v>3199</v>
      </c>
      <c r="C107" s="4123" t="str">
        <f t="shared" si="9"/>
        <v>Improve billing and collection of water supply bills</v>
      </c>
      <c r="D107" s="4111"/>
      <c r="E107" s="4113"/>
      <c r="F107" s="4134"/>
      <c r="G107" s="4134"/>
      <c r="H107" s="4134"/>
      <c r="I107" s="4134"/>
      <c r="J107" s="4134"/>
      <c r="K107" s="4134"/>
      <c r="L107" s="4134"/>
      <c r="M107" s="4134"/>
      <c r="N107" s="4134"/>
      <c r="O107" s="4134"/>
      <c r="P107" s="4134"/>
    </row>
    <row r="108" spans="2:16" s="4151" customFormat="1" ht="30" x14ac:dyDescent="0.25">
      <c r="B108" s="4110" t="s">
        <v>3200</v>
      </c>
      <c r="C108" s="4123" t="str">
        <f t="shared" si="9"/>
        <v>Improve collection efficiency of water supply charges and taxes</v>
      </c>
      <c r="D108" s="4111"/>
      <c r="E108" s="4113"/>
      <c r="F108" s="4134"/>
      <c r="G108" s="4134"/>
      <c r="H108" s="4134"/>
      <c r="I108" s="4134"/>
      <c r="J108" s="4134"/>
      <c r="K108" s="4134"/>
      <c r="L108" s="4134"/>
      <c r="M108" s="4134"/>
      <c r="N108" s="4134"/>
      <c r="O108" s="4134"/>
      <c r="P108" s="4134"/>
    </row>
    <row r="109" spans="2:16" s="4151" customFormat="1" x14ac:dyDescent="0.25">
      <c r="B109" s="4110" t="s">
        <v>3201</v>
      </c>
      <c r="C109" s="4123" t="str">
        <f t="shared" si="9"/>
        <v>Replace pumping machinery</v>
      </c>
      <c r="D109" s="4111"/>
      <c r="E109" s="4113"/>
      <c r="F109" s="4113"/>
      <c r="G109" s="4134"/>
      <c r="H109" s="4134"/>
      <c r="I109" s="4134"/>
      <c r="J109" s="4134"/>
      <c r="K109" s="4134"/>
      <c r="L109" s="4134"/>
      <c r="M109" s="4134"/>
      <c r="N109" s="4134"/>
      <c r="O109" s="4134"/>
      <c r="P109" s="4134"/>
    </row>
    <row r="110" spans="2:16" s="4151" customFormat="1" ht="30" x14ac:dyDescent="0.25">
      <c r="B110" s="4110" t="s">
        <v>3202</v>
      </c>
      <c r="C110" s="4123" t="str">
        <f t="shared" si="9"/>
        <v>Other measures to optimise power and energy expenses</v>
      </c>
      <c r="D110" s="4111"/>
      <c r="E110" s="4113"/>
      <c r="F110" s="4113"/>
      <c r="G110" s="4113"/>
      <c r="H110" s="4113"/>
      <c r="I110" s="4113"/>
      <c r="J110" s="4113"/>
      <c r="K110" s="4113"/>
      <c r="L110" s="4113"/>
      <c r="M110" s="4113"/>
      <c r="N110" s="4113"/>
      <c r="O110" s="4113"/>
      <c r="P110" s="4113"/>
    </row>
    <row r="111" spans="2:16" s="4151" customFormat="1" x14ac:dyDescent="0.25">
      <c r="B111" s="4168" t="s">
        <v>13</v>
      </c>
      <c r="C111" s="4126" t="str">
        <f t="shared" si="9"/>
        <v>Generic actions</v>
      </c>
      <c r="D111" s="4169"/>
      <c r="E111" s="4170"/>
      <c r="F111" s="4170"/>
      <c r="G111" s="4170"/>
      <c r="H111" s="4170"/>
      <c r="I111" s="4170"/>
      <c r="J111" s="4170"/>
      <c r="K111" s="4170"/>
      <c r="L111" s="4170"/>
      <c r="M111" s="4170"/>
      <c r="N111" s="4170"/>
      <c r="O111" s="4170"/>
      <c r="P111" s="4170"/>
    </row>
    <row r="112" spans="2:16" s="4151" customFormat="1" x14ac:dyDescent="0.25">
      <c r="B112" s="4162"/>
      <c r="C112" s="4111" t="str">
        <f t="shared" si="9"/>
        <v>WS Customised action 1</v>
      </c>
      <c r="D112" s="4171">
        <f>IF('WS Plan'!$E$283="Activate",'WS Plan'!$H$288,0)</f>
        <v>0</v>
      </c>
      <c r="E112" s="5752">
        <f>SUM($F112:$P112)</f>
        <v>0</v>
      </c>
      <c r="F112" s="4134"/>
      <c r="G112" s="4113">
        <f>IF('WS Plan'!$E$283="Activate",IF(G$62&gt;'WS Plan'!$H$283,$D$112*SUM('PIP finance'!$F$57:G57),0),0)*G$2</f>
        <v>0</v>
      </c>
      <c r="H112" s="4113">
        <f>IF('WS Plan'!$E$283="Activate",IF(H$62&gt;'WS Plan'!$H$283,$D$112*SUM('PIP finance'!$F$57:H57),0),0)*H$2</f>
        <v>0</v>
      </c>
      <c r="I112" s="4113">
        <f>IF('WS Plan'!$E$283="Activate",IF(I$62&gt;'WS Plan'!$H$283,$D$112*SUM('PIP finance'!$F$57:I57),0),0)*I$2</f>
        <v>0</v>
      </c>
      <c r="J112" s="4113">
        <f>IF('WS Plan'!$E$283="Activate",IF(J$62&gt;'WS Plan'!$H$283,$D$112*SUM('PIP finance'!$F$57:J57),0),0)*J$2</f>
        <v>0</v>
      </c>
      <c r="K112" s="4113">
        <f>IF('WS Plan'!$E$283="Activate",IF(K$62&gt;'WS Plan'!$H$283,$D$112*SUM('PIP finance'!$F$57:K57),0),0)*K$2</f>
        <v>0</v>
      </c>
      <c r="L112" s="4113">
        <f>IF('WS Plan'!$E$283="Activate",IF(L$62&gt;'WS Plan'!$H$283,$D$112*SUM('PIP finance'!$F$57:L57),0),0)*L$2</f>
        <v>0</v>
      </c>
      <c r="M112" s="4113">
        <f>IF('WS Plan'!$E$283="Activate",IF(M$62&gt;'WS Plan'!$H$283,$D$112*SUM('PIP finance'!$F$57:M57),0),0)*M$2</f>
        <v>0</v>
      </c>
      <c r="N112" s="4113">
        <f>IF('WS Plan'!$E$283="Activate",IF(N$62&gt;'WS Plan'!$H$283,$D$112*SUM('PIP finance'!$F$57:N57),0),0)*N$2</f>
        <v>0</v>
      </c>
      <c r="O112" s="4113">
        <f>IF('WS Plan'!$E$283="Activate",IF(O$62&gt;'WS Plan'!$H$283,$D$112*SUM('PIP finance'!$F$57:O57),0),0)*O$2</f>
        <v>0</v>
      </c>
      <c r="P112" s="4113">
        <f>IF('WS Plan'!$E$283="Activate",IF(P$62&gt;'WS Plan'!$H$283,$D$112*SUM('PIP finance'!$F$57:P57),0),0)*P$2</f>
        <v>0</v>
      </c>
    </row>
    <row r="113" spans="2:16" s="4151" customFormat="1" x14ac:dyDescent="0.25">
      <c r="B113" s="4162"/>
      <c r="C113" s="4111" t="str">
        <f t="shared" si="9"/>
        <v>WS Customised action 2</v>
      </c>
      <c r="D113" s="4171">
        <f>IF('WS Plan'!$E$290="Activate",'WS Plan'!$H$295,0)</f>
        <v>0</v>
      </c>
      <c r="E113" s="5752">
        <f>SUM($F113:$P113)</f>
        <v>0</v>
      </c>
      <c r="F113" s="4134"/>
      <c r="G113" s="4113">
        <f>IF('WS Plan'!$E$290="Activate",IF(G$62&gt;'WS Plan'!$H$290,$D$113*SUM('PIP finance'!$F$58:G58),0),0)*G$2</f>
        <v>0</v>
      </c>
      <c r="H113" s="4113">
        <f>IF('WS Plan'!$E$290="Activate",IF(H$62&gt;'WS Plan'!$H$290,$D$113*SUM('PIP finance'!$F$58:H58),0),0)*H$2</f>
        <v>0</v>
      </c>
      <c r="I113" s="4113">
        <f>IF('WS Plan'!$E$290="Activate",IF(I$62&gt;'WS Plan'!$H$290,$D$113*SUM('PIP finance'!$F$58:I58),0),0)*I$2</f>
        <v>0</v>
      </c>
      <c r="J113" s="4113">
        <f>IF('WS Plan'!$E$290="Activate",IF(J$62&gt;'WS Plan'!$H$290,$D$113*SUM('PIP finance'!$F$58:J58),0),0)*J$2</f>
        <v>0</v>
      </c>
      <c r="K113" s="4113">
        <f>IF('WS Plan'!$E$290="Activate",IF(K$62&gt;'WS Plan'!$H$290,$D$113*SUM('PIP finance'!$F$58:K58),0),0)*K$2</f>
        <v>0</v>
      </c>
      <c r="L113" s="4113">
        <f>IF('WS Plan'!$E$290="Activate",IF(L$62&gt;'WS Plan'!$H$290,$D$113*SUM('PIP finance'!$F$58:L58),0),0)*L$2</f>
        <v>0</v>
      </c>
      <c r="M113" s="4113">
        <f>IF('WS Plan'!$E$290="Activate",IF(M$62&gt;'WS Plan'!$H$290,$D$113*SUM('PIP finance'!$F$58:M58),0),0)*M$2</f>
        <v>0</v>
      </c>
      <c r="N113" s="4113">
        <f>IF('WS Plan'!$E$290="Activate",IF(N$62&gt;'WS Plan'!$H$290,$D$113*SUM('PIP finance'!$F$58:N58),0),0)*N$2</f>
        <v>0</v>
      </c>
      <c r="O113" s="4113">
        <f>IF('WS Plan'!$E$290="Activate",IF(O$62&gt;'WS Plan'!$H$290,$D$113*SUM('PIP finance'!$F$58:O58),0),0)*O$2</f>
        <v>0</v>
      </c>
      <c r="P113" s="4113">
        <f>IF('WS Plan'!$E$290="Activate",IF(P$62&gt;'WS Plan'!$H$290,$D$113*SUM('PIP finance'!$F$58:P58),0),0)*P$2</f>
        <v>0</v>
      </c>
    </row>
    <row r="114" spans="2:16" s="4148" customFormat="1" x14ac:dyDescent="0.25">
      <c r="B114" s="4141"/>
      <c r="C114" s="4142" t="s">
        <v>459</v>
      </c>
      <c r="D114" s="4143"/>
      <c r="E114" s="4144">
        <f>SUM(E63:E113)</f>
        <v>0</v>
      </c>
      <c r="F114" s="4145"/>
      <c r="G114" s="4145">
        <f>SUM(G63:G113)</f>
        <v>0</v>
      </c>
      <c r="H114" s="4145">
        <f t="shared" ref="H114:P114" si="10">SUM(H63:H113)</f>
        <v>0</v>
      </c>
      <c r="I114" s="4145">
        <f t="shared" si="10"/>
        <v>0</v>
      </c>
      <c r="J114" s="4145">
        <f t="shared" si="10"/>
        <v>0</v>
      </c>
      <c r="K114" s="4145">
        <f t="shared" si="10"/>
        <v>0</v>
      </c>
      <c r="L114" s="4145">
        <f t="shared" si="10"/>
        <v>0</v>
      </c>
      <c r="M114" s="4145">
        <f t="shared" si="10"/>
        <v>0</v>
      </c>
      <c r="N114" s="4145">
        <f t="shared" si="10"/>
        <v>0</v>
      </c>
      <c r="O114" s="4145">
        <f t="shared" si="10"/>
        <v>0</v>
      </c>
      <c r="P114" s="4145">
        <f t="shared" si="10"/>
        <v>0</v>
      </c>
    </row>
    <row r="115" spans="2:16" s="4173" customFormat="1" x14ac:dyDescent="0.25">
      <c r="B115" s="4076"/>
      <c r="C115" s="4076"/>
      <c r="D115" s="4172"/>
      <c r="E115" s="4076"/>
      <c r="F115" s="4076"/>
      <c r="G115" s="4076"/>
      <c r="H115" s="4076"/>
      <c r="I115" s="4076"/>
      <c r="J115" s="4076"/>
      <c r="K115" s="4076"/>
      <c r="L115" s="4076"/>
      <c r="M115" s="4076"/>
      <c r="N115" s="4076"/>
      <c r="O115" s="4076"/>
      <c r="P115" s="4076"/>
    </row>
    <row r="116" spans="2:16" s="4097" customFormat="1" ht="21.75" thickBot="1" x14ac:dyDescent="0.3">
      <c r="B116" s="4094"/>
      <c r="C116" s="4095" t="s">
        <v>464</v>
      </c>
      <c r="D116" s="4096" t="s">
        <v>782</v>
      </c>
      <c r="E116" s="1647"/>
      <c r="F116" s="1647"/>
      <c r="G116" s="1647"/>
      <c r="H116" s="1647"/>
      <c r="I116" s="1647"/>
      <c r="J116" s="1647"/>
      <c r="K116" s="1647"/>
      <c r="L116" s="1647"/>
      <c r="M116" s="1647"/>
      <c r="N116" s="1647"/>
      <c r="O116" s="1647"/>
      <c r="P116" s="1647"/>
    </row>
    <row r="117" spans="2:16" ht="15.75" thickBot="1" x14ac:dyDescent="0.3">
      <c r="B117" s="4098" t="s">
        <v>3</v>
      </c>
      <c r="C117" s="4098" t="s">
        <v>4</v>
      </c>
      <c r="D117" s="4099" t="s">
        <v>444</v>
      </c>
      <c r="E117" s="4100" t="s">
        <v>16</v>
      </c>
      <c r="F117" s="4098">
        <f>F$7</f>
        <v>2014</v>
      </c>
      <c r="G117" s="4098">
        <f t="shared" ref="G117:P117" si="11">G$7</f>
        <v>2015</v>
      </c>
      <c r="H117" s="4098">
        <f t="shared" si="11"/>
        <v>2016</v>
      </c>
      <c r="I117" s="4098">
        <f t="shared" si="11"/>
        <v>2017</v>
      </c>
      <c r="J117" s="4098">
        <f t="shared" si="11"/>
        <v>2018</v>
      </c>
      <c r="K117" s="4098">
        <f t="shared" si="11"/>
        <v>2019</v>
      </c>
      <c r="L117" s="4098">
        <f t="shared" si="11"/>
        <v>2020</v>
      </c>
      <c r="M117" s="4098">
        <f t="shared" si="11"/>
        <v>2021</v>
      </c>
      <c r="N117" s="4098">
        <f t="shared" si="11"/>
        <v>2022</v>
      </c>
      <c r="O117" s="4098">
        <f t="shared" si="11"/>
        <v>2023</v>
      </c>
      <c r="P117" s="4098">
        <f t="shared" si="11"/>
        <v>2024</v>
      </c>
    </row>
    <row r="118" spans="2:16" x14ac:dyDescent="0.25">
      <c r="B118" s="4102" t="s">
        <v>2</v>
      </c>
      <c r="C118" s="4103" t="s">
        <v>455</v>
      </c>
      <c r="D118" s="4127"/>
      <c r="E118" s="4105"/>
      <c r="F118" s="4106"/>
      <c r="G118" s="4106"/>
      <c r="H118" s="4106"/>
      <c r="I118" s="4106"/>
      <c r="J118" s="4106"/>
      <c r="K118" s="4106"/>
      <c r="L118" s="4106"/>
      <c r="M118" s="4106"/>
      <c r="N118" s="4106"/>
      <c r="O118" s="4106"/>
      <c r="P118" s="4106"/>
    </row>
    <row r="119" spans="2:16" x14ac:dyDescent="0.25">
      <c r="B119" s="4110" t="s">
        <v>3159</v>
      </c>
      <c r="C119" s="4149" t="str">
        <f t="shared" ref="C119:C146" si="12">C9</f>
        <v xml:space="preserve">Household survey to assess water supply services </v>
      </c>
      <c r="D119" s="4119"/>
      <c r="E119" s="5737"/>
      <c r="F119" s="4121"/>
      <c r="G119" s="4121"/>
      <c r="H119" s="4121"/>
      <c r="I119" s="4121"/>
      <c r="J119" s="4121"/>
      <c r="K119" s="4121"/>
      <c r="L119" s="4121"/>
      <c r="M119" s="4121"/>
      <c r="N119" s="4121"/>
      <c r="O119" s="4121"/>
      <c r="P119" s="4121"/>
    </row>
    <row r="120" spans="2:16" x14ac:dyDescent="0.25">
      <c r="B120" s="4110" t="s">
        <v>3160</v>
      </c>
      <c r="C120" s="4149" t="str">
        <f t="shared" si="12"/>
        <v>Computerise water supply records</v>
      </c>
      <c r="D120" s="4119"/>
      <c r="E120" s="5737"/>
      <c r="F120" s="4124"/>
      <c r="G120" s="4124"/>
      <c r="H120" s="4124"/>
      <c r="I120" s="4124"/>
      <c r="J120" s="4124"/>
      <c r="K120" s="4124"/>
      <c r="L120" s="4124"/>
      <c r="M120" s="4124"/>
      <c r="N120" s="4124"/>
      <c r="O120" s="4124"/>
      <c r="P120" s="4124"/>
    </row>
    <row r="121" spans="2:16" ht="30" x14ac:dyDescent="0.25">
      <c r="B121" s="4110" t="s">
        <v>3161</v>
      </c>
      <c r="C121" s="4149" t="str">
        <f t="shared" si="12"/>
        <v>Process improvement for new water supply connection applications</v>
      </c>
      <c r="D121" s="4119"/>
      <c r="E121" s="5737"/>
      <c r="F121" s="4121"/>
      <c r="G121" s="4121"/>
      <c r="H121" s="4121"/>
      <c r="I121" s="4121"/>
      <c r="J121" s="4121"/>
      <c r="K121" s="4121"/>
      <c r="L121" s="4121"/>
      <c r="M121" s="4121"/>
      <c r="N121" s="4121"/>
      <c r="O121" s="4121"/>
      <c r="P121" s="4121"/>
    </row>
    <row r="122" spans="2:16" ht="30" x14ac:dyDescent="0.25">
      <c r="B122" s="4110" t="s">
        <v>3162</v>
      </c>
      <c r="C122" s="4149" t="str">
        <f t="shared" si="12"/>
        <v>Policy for providing individual water connections in slums</v>
      </c>
      <c r="D122" s="4119"/>
      <c r="E122" s="5737"/>
      <c r="F122" s="4121"/>
      <c r="G122" s="4121"/>
      <c r="H122" s="4121"/>
      <c r="I122" s="4121"/>
      <c r="J122" s="4121"/>
      <c r="K122" s="4121"/>
      <c r="L122" s="4121"/>
      <c r="M122" s="4121"/>
      <c r="N122" s="4121"/>
      <c r="O122" s="4121"/>
      <c r="P122" s="4121"/>
    </row>
    <row r="123" spans="2:16" x14ac:dyDescent="0.25">
      <c r="B123" s="4110" t="s">
        <v>3163</v>
      </c>
      <c r="C123" s="1725" t="str">
        <f t="shared" si="12"/>
        <v>Regularise unauthorised water supply connections</v>
      </c>
      <c r="D123" s="5734"/>
      <c r="E123" s="4120">
        <f t="shared" ref="E123:E128" si="13">SUM($F123:$P123)</f>
        <v>0</v>
      </c>
      <c r="F123" s="4121"/>
      <c r="G123" s="4121">
        <f>IF('WS Plan'!$E$39="Activate",'WS Plan'!$H$43*'WS calcu'!E$62*'PIP finance'!G$3/'General info'!$G$44,0)</f>
        <v>0</v>
      </c>
      <c r="H123" s="4121">
        <f>IF('WS Plan'!$E$39="Activate",'WS Plan'!$H$43*'WS calcu'!F$62*'PIP finance'!H$3/'General info'!$G$44,0)</f>
        <v>0</v>
      </c>
      <c r="I123" s="4121">
        <f>IF('WS Plan'!$E$39="Activate",'WS Plan'!$H$43*'WS calcu'!G$62*'PIP finance'!I$3/'General info'!$G$44,0)</f>
        <v>0</v>
      </c>
      <c r="J123" s="4121">
        <f>IF('WS Plan'!$E$39="Activate",'WS Plan'!$H$43*'WS calcu'!H$62*'PIP finance'!J$3/'General info'!$G$44,0)</f>
        <v>0</v>
      </c>
      <c r="K123" s="4121">
        <f>IF('WS Plan'!$E$39="Activate",'WS Plan'!$H$43*'WS calcu'!I$62*'PIP finance'!K$3/'General info'!$G$44,0)</f>
        <v>0</v>
      </c>
      <c r="L123" s="4121">
        <f>IF('WS Plan'!$E$39="Activate",'WS Plan'!$H$43*'WS calcu'!J$62*'PIP finance'!L$3/'General info'!$G$44,0)</f>
        <v>0</v>
      </c>
      <c r="M123" s="4121">
        <f>IF('WS Plan'!$E$39="Activate",'WS Plan'!$H$43*'WS calcu'!K$62*'PIP finance'!M$3/'General info'!$G$44,0)</f>
        <v>0</v>
      </c>
      <c r="N123" s="4121">
        <f>IF('WS Plan'!$E$39="Activate",'WS Plan'!$H$43*'WS calcu'!L$62*'PIP finance'!N$3/'General info'!$G$44,0)</f>
        <v>0</v>
      </c>
      <c r="O123" s="4121">
        <f>IF('WS Plan'!$E$39="Activate",'WS Plan'!$H$43*'WS calcu'!M$62*'PIP finance'!O$3/'General info'!$G$44,0)</f>
        <v>0</v>
      </c>
      <c r="P123" s="4121">
        <f>IF('WS Plan'!$E$39="Activate",'WS Plan'!$H$43*'WS calcu'!N$62*'PIP finance'!P$3/'General info'!$G$44,0)</f>
        <v>0</v>
      </c>
    </row>
    <row r="124" spans="2:16" ht="30" x14ac:dyDescent="0.25">
      <c r="B124" s="4110" t="s">
        <v>3164</v>
      </c>
      <c r="C124" s="1725" t="str">
        <f t="shared" si="12"/>
        <v>Increase connections using existing water supply distribution network</v>
      </c>
      <c r="D124" s="4119"/>
      <c r="E124" s="4120">
        <f t="shared" si="13"/>
        <v>0</v>
      </c>
      <c r="F124" s="4121"/>
      <c r="G124" s="5739" t="s">
        <v>3506</v>
      </c>
      <c r="H124" s="5738"/>
      <c r="I124" s="5738"/>
      <c r="J124" s="5738"/>
      <c r="K124" s="5738"/>
      <c r="L124" s="5738"/>
      <c r="M124" s="5738"/>
      <c r="N124" s="5738"/>
      <c r="O124" s="5738"/>
      <c r="P124" s="5738"/>
    </row>
    <row r="125" spans="2:16" ht="30" x14ac:dyDescent="0.25">
      <c r="B125" s="4110" t="s">
        <v>3165</v>
      </c>
      <c r="C125" s="4152" t="str">
        <f t="shared" si="12"/>
        <v>Convert stand posts/public taps into group connections</v>
      </c>
      <c r="D125" s="4119"/>
      <c r="E125" s="4120">
        <f t="shared" si="13"/>
        <v>0</v>
      </c>
      <c r="F125" s="4121"/>
      <c r="G125" s="5739" t="s">
        <v>3506</v>
      </c>
      <c r="H125" s="5738"/>
      <c r="I125" s="5738"/>
      <c r="J125" s="5738"/>
      <c r="K125" s="5738"/>
      <c r="L125" s="5738"/>
      <c r="M125" s="5738"/>
      <c r="N125" s="5738"/>
      <c r="O125" s="5738"/>
      <c r="P125" s="5738"/>
    </row>
    <row r="126" spans="2:16" x14ac:dyDescent="0.25">
      <c r="B126" s="4110" t="s">
        <v>3166</v>
      </c>
      <c r="C126" s="1725" t="str">
        <f t="shared" si="12"/>
        <v>Lay new water supply distribution network</v>
      </c>
      <c r="D126" s="4174"/>
      <c r="E126" s="4120">
        <f t="shared" si="13"/>
        <v>0</v>
      </c>
      <c r="F126" s="4135"/>
      <c r="G126" s="4135"/>
      <c r="H126" s="4135"/>
      <c r="I126" s="4135"/>
      <c r="J126" s="4135"/>
      <c r="K126" s="4135"/>
      <c r="L126" s="4135"/>
      <c r="M126" s="4135"/>
      <c r="N126" s="4135"/>
      <c r="O126" s="4135"/>
      <c r="P126" s="4135"/>
    </row>
    <row r="127" spans="2:16" ht="30" x14ac:dyDescent="0.25">
      <c r="B127" s="4110" t="s">
        <v>3167</v>
      </c>
      <c r="C127" s="1725" t="str">
        <f t="shared" si="12"/>
        <v>Lay internal infrastructure of water supply lines in slums</v>
      </c>
      <c r="D127" s="4119"/>
      <c r="E127" s="4120">
        <f t="shared" si="13"/>
        <v>0</v>
      </c>
      <c r="F127" s="4124"/>
      <c r="G127" s="4124"/>
      <c r="H127" s="4124"/>
      <c r="I127" s="4124"/>
      <c r="J127" s="4124"/>
      <c r="K127" s="4124"/>
      <c r="L127" s="4124"/>
      <c r="M127" s="4124"/>
      <c r="N127" s="4124"/>
      <c r="O127" s="4124"/>
      <c r="P127" s="4124"/>
    </row>
    <row r="128" spans="2:16" x14ac:dyDescent="0.25">
      <c r="B128" s="4125" t="s">
        <v>8</v>
      </c>
      <c r="C128" s="4156" t="str">
        <f t="shared" si="12"/>
        <v>Service levels &amp; quality</v>
      </c>
      <c r="D128" s="4127"/>
      <c r="E128" s="4128">
        <f t="shared" si="13"/>
        <v>0</v>
      </c>
      <c r="F128" s="4106"/>
      <c r="G128" s="4106"/>
      <c r="H128" s="4106"/>
      <c r="I128" s="4106"/>
      <c r="J128" s="4106"/>
      <c r="K128" s="4106"/>
      <c r="L128" s="4106"/>
      <c r="M128" s="4106"/>
      <c r="N128" s="4106"/>
      <c r="O128" s="4106"/>
      <c r="P128" s="4106"/>
    </row>
    <row r="129" spans="2:16" x14ac:dyDescent="0.25">
      <c r="B129" s="4110" t="s">
        <v>3168</v>
      </c>
      <c r="C129" s="4123" t="str">
        <f t="shared" si="12"/>
        <v>Improve water supply quality surveillance</v>
      </c>
      <c r="D129" s="4132"/>
      <c r="E129" s="5737"/>
      <c r="F129" s="4121"/>
      <c r="G129" s="4121"/>
      <c r="H129" s="4121"/>
      <c r="I129" s="4121"/>
      <c r="J129" s="4121"/>
      <c r="K129" s="4121"/>
      <c r="L129" s="4121"/>
      <c r="M129" s="4121"/>
      <c r="N129" s="4121"/>
      <c r="O129" s="4121"/>
      <c r="P129" s="4121"/>
    </row>
    <row r="130" spans="2:16" x14ac:dyDescent="0.25">
      <c r="B130" s="4110" t="s">
        <v>3169</v>
      </c>
      <c r="C130" s="4123" t="str">
        <f t="shared" si="12"/>
        <v>Increase continuity of water supply services</v>
      </c>
      <c r="D130" s="4132"/>
      <c r="E130" s="5737"/>
      <c r="F130" s="4121"/>
      <c r="G130" s="4121"/>
      <c r="H130" s="4121"/>
      <c r="I130" s="4121"/>
      <c r="J130" s="4121"/>
      <c r="K130" s="4121"/>
      <c r="L130" s="4121"/>
      <c r="M130" s="4121"/>
      <c r="N130" s="4121"/>
      <c r="O130" s="4121"/>
      <c r="P130" s="4121"/>
    </row>
    <row r="131" spans="2:16" ht="30" x14ac:dyDescent="0.25">
      <c r="B131" s="4110" t="s">
        <v>3170</v>
      </c>
      <c r="C131" s="4123" t="str">
        <f t="shared" si="12"/>
        <v>Repair existing water treatment plant to improve water quality</v>
      </c>
      <c r="D131" s="4132"/>
      <c r="E131" s="4120">
        <f>SUM($F131:$P131)</f>
        <v>0</v>
      </c>
      <c r="F131" s="4121"/>
      <c r="G131" s="4121"/>
      <c r="H131" s="4121"/>
      <c r="I131" s="4121"/>
      <c r="J131" s="4121"/>
      <c r="K131" s="4121"/>
      <c r="L131" s="4121"/>
      <c r="M131" s="4121"/>
      <c r="N131" s="4121"/>
      <c r="O131" s="4121"/>
      <c r="P131" s="4121"/>
    </row>
    <row r="132" spans="2:16" x14ac:dyDescent="0.25">
      <c r="B132" s="4110" t="s">
        <v>3171</v>
      </c>
      <c r="C132" s="1725" t="str">
        <f t="shared" si="12"/>
        <v>Treatment of untreated supply ground water</v>
      </c>
      <c r="D132" s="4132"/>
      <c r="E132" s="4120"/>
      <c r="F132" s="4121"/>
      <c r="G132" s="4121"/>
      <c r="H132" s="4121"/>
      <c r="I132" s="4121"/>
      <c r="J132" s="4121"/>
      <c r="K132" s="4121"/>
      <c r="L132" s="4121"/>
      <c r="M132" s="4121"/>
      <c r="N132" s="4121"/>
      <c r="O132" s="4121"/>
      <c r="P132" s="4121"/>
    </row>
    <row r="133" spans="2:16" s="4118" customFormat="1" x14ac:dyDescent="0.25">
      <c r="B133" s="4110" t="s">
        <v>3172</v>
      </c>
      <c r="C133" s="1725" t="str">
        <f t="shared" si="12"/>
        <v>Augment water supply - Own surface water</v>
      </c>
      <c r="D133" s="4160"/>
      <c r="E133" s="4175"/>
      <c r="F133" s="4176"/>
      <c r="G133" s="4175"/>
      <c r="H133" s="4175"/>
      <c r="I133" s="4175"/>
      <c r="J133" s="4175"/>
      <c r="K133" s="4175"/>
      <c r="L133" s="4175"/>
      <c r="M133" s="4175"/>
      <c r="N133" s="4175"/>
      <c r="O133" s="4175"/>
      <c r="P133" s="4175"/>
    </row>
    <row r="134" spans="2:16" s="4118" customFormat="1" x14ac:dyDescent="0.25">
      <c r="B134" s="4110" t="s">
        <v>3173</v>
      </c>
      <c r="C134" s="1725" t="str">
        <f t="shared" si="12"/>
        <v>Augment water supply - Ground water</v>
      </c>
      <c r="D134" s="4160"/>
      <c r="E134" s="4175"/>
      <c r="F134" s="4176"/>
      <c r="G134" s="4175"/>
      <c r="H134" s="4175"/>
      <c r="I134" s="4175"/>
      <c r="J134" s="4175"/>
      <c r="K134" s="4175"/>
      <c r="L134" s="4175"/>
      <c r="M134" s="4175"/>
      <c r="N134" s="4175"/>
      <c r="O134" s="4175"/>
      <c r="P134" s="4175"/>
    </row>
    <row r="135" spans="2:16" s="4118" customFormat="1" ht="30" x14ac:dyDescent="0.25">
      <c r="B135" s="4110" t="s">
        <v>3174</v>
      </c>
      <c r="C135" s="1725" t="str">
        <f t="shared" si="12"/>
        <v xml:space="preserve">Augment water supply - Buy additional treated bulk water </v>
      </c>
      <c r="D135" s="4160"/>
      <c r="E135" s="4175"/>
      <c r="F135" s="4176"/>
      <c r="G135" s="4175"/>
      <c r="H135" s="4175"/>
      <c r="I135" s="4175"/>
      <c r="J135" s="4175"/>
      <c r="K135" s="4175"/>
      <c r="L135" s="4175"/>
      <c r="M135" s="4175"/>
      <c r="N135" s="4175"/>
      <c r="O135" s="4175"/>
      <c r="P135" s="4175"/>
    </row>
    <row r="136" spans="2:16" s="4118" customFormat="1" ht="30" x14ac:dyDescent="0.25">
      <c r="B136" s="4110" t="s">
        <v>3175</v>
      </c>
      <c r="C136" s="1725" t="str">
        <f t="shared" si="12"/>
        <v xml:space="preserve">Augment water supply - Buy additional raw bulk water </v>
      </c>
      <c r="D136" s="4160"/>
      <c r="E136" s="4175"/>
      <c r="F136" s="4176"/>
      <c r="G136" s="4175"/>
      <c r="H136" s="4175"/>
      <c r="I136" s="4175"/>
      <c r="J136" s="4175"/>
      <c r="K136" s="4175"/>
      <c r="L136" s="4175"/>
      <c r="M136" s="4175"/>
      <c r="N136" s="4175"/>
      <c r="O136" s="4175"/>
      <c r="P136" s="4175"/>
    </row>
    <row r="137" spans="2:16" x14ac:dyDescent="0.25">
      <c r="B137" s="4110" t="s">
        <v>3177</v>
      </c>
      <c r="C137" s="4149" t="str">
        <f t="shared" si="12"/>
        <v>Expand/replace water supply transmission network</v>
      </c>
      <c r="D137" s="4131"/>
      <c r="E137" s="4120">
        <f>SUM($F137:$P137)</f>
        <v>0</v>
      </c>
      <c r="F137" s="4135"/>
      <c r="G137" s="4135"/>
      <c r="H137" s="4135"/>
      <c r="I137" s="4135"/>
      <c r="J137" s="4135"/>
      <c r="K137" s="4135"/>
      <c r="L137" s="4135"/>
      <c r="M137" s="4135"/>
      <c r="N137" s="4135"/>
      <c r="O137" s="4135"/>
      <c r="P137" s="4135"/>
    </row>
    <row r="138" spans="2:16" x14ac:dyDescent="0.25">
      <c r="B138" s="4110" t="s">
        <v>3176</v>
      </c>
      <c r="C138" s="4149" t="str">
        <f t="shared" si="12"/>
        <v>Construct/augment water treatment plant</v>
      </c>
      <c r="D138" s="4132"/>
      <c r="E138" s="4120">
        <f>SUM($F138:$P138)</f>
        <v>0</v>
      </c>
      <c r="F138" s="4121"/>
      <c r="G138" s="4121"/>
      <c r="H138" s="4121"/>
      <c r="I138" s="4121"/>
      <c r="J138" s="4121"/>
      <c r="K138" s="4121"/>
      <c r="L138" s="4121"/>
      <c r="M138" s="4121"/>
      <c r="N138" s="4121"/>
      <c r="O138" s="4121"/>
      <c r="P138" s="4121"/>
    </row>
    <row r="139" spans="2:16" x14ac:dyDescent="0.25">
      <c r="B139" s="4110" t="s">
        <v>3178</v>
      </c>
      <c r="C139" s="1725" t="str">
        <f t="shared" si="12"/>
        <v>Construct/augment water storage capacity</v>
      </c>
      <c r="D139" s="4131"/>
      <c r="E139" s="4120">
        <f>SUM($F139:$P139)</f>
        <v>0</v>
      </c>
      <c r="F139" s="4124"/>
      <c r="G139" s="4124"/>
      <c r="H139" s="4124"/>
      <c r="I139" s="4124"/>
      <c r="J139" s="4124"/>
      <c r="K139" s="4124"/>
      <c r="L139" s="4124"/>
      <c r="M139" s="4124"/>
      <c r="N139" s="4124"/>
      <c r="O139" s="4124"/>
      <c r="P139" s="4124"/>
    </row>
    <row r="140" spans="2:16" x14ac:dyDescent="0.25">
      <c r="B140" s="4125" t="s">
        <v>10</v>
      </c>
      <c r="C140" s="4164" t="str">
        <f t="shared" si="12"/>
        <v>Efficiency of services</v>
      </c>
      <c r="D140" s="4127"/>
      <c r="E140" s="4128">
        <f>SUM($F140:$P140)</f>
        <v>0</v>
      </c>
      <c r="F140" s="4106"/>
      <c r="G140" s="4106"/>
      <c r="H140" s="4106"/>
      <c r="I140" s="4106"/>
      <c r="J140" s="4106"/>
      <c r="K140" s="4106"/>
      <c r="L140" s="4106"/>
      <c r="M140" s="4106"/>
      <c r="N140" s="4106"/>
      <c r="O140" s="4106"/>
      <c r="P140" s="4106"/>
    </row>
    <row r="141" spans="2:16" x14ac:dyDescent="0.25">
      <c r="B141" s="4110" t="s">
        <v>3179</v>
      </c>
      <c r="C141" s="4149" t="str">
        <f t="shared" si="12"/>
        <v>Conduct water audit</v>
      </c>
      <c r="D141" s="4137"/>
      <c r="E141" s="4120"/>
      <c r="F141" s="4121"/>
      <c r="G141" s="4121"/>
      <c r="H141" s="4121"/>
      <c r="I141" s="4121"/>
      <c r="J141" s="4121"/>
      <c r="K141" s="4121"/>
      <c r="L141" s="4121"/>
      <c r="M141" s="4121"/>
      <c r="N141" s="4121"/>
      <c r="O141" s="4121"/>
      <c r="P141" s="4121"/>
    </row>
    <row r="142" spans="2:16" x14ac:dyDescent="0.25">
      <c r="B142" s="4110" t="s">
        <v>3180</v>
      </c>
      <c r="C142" s="4149" t="str">
        <f t="shared" si="12"/>
        <v>Conduct energy audit</v>
      </c>
      <c r="D142" s="4137"/>
      <c r="E142" s="4120"/>
      <c r="F142" s="4121"/>
      <c r="G142" s="4121"/>
      <c r="H142" s="4121"/>
      <c r="I142" s="4121"/>
      <c r="J142" s="4121"/>
      <c r="K142" s="4121"/>
      <c r="L142" s="4121"/>
      <c r="M142" s="4121"/>
      <c r="N142" s="4121"/>
      <c r="O142" s="4121"/>
      <c r="P142" s="4121"/>
    </row>
    <row r="143" spans="2:16" x14ac:dyDescent="0.25">
      <c r="B143" s="4110" t="s">
        <v>3181</v>
      </c>
      <c r="C143" s="4149" t="str">
        <f t="shared" si="12"/>
        <v>Install bulk flow meters</v>
      </c>
      <c r="D143" s="4131"/>
      <c r="E143" s="4120">
        <f>SUM($F143:$P143)</f>
        <v>0</v>
      </c>
      <c r="F143" s="4121"/>
      <c r="G143" s="4121"/>
      <c r="H143" s="4121"/>
      <c r="I143" s="4121"/>
      <c r="J143" s="4121"/>
      <c r="K143" s="4121"/>
      <c r="L143" s="4121"/>
      <c r="M143" s="4121"/>
      <c r="N143" s="4121"/>
      <c r="O143" s="4121"/>
      <c r="P143" s="4121"/>
    </row>
    <row r="144" spans="2:16" x14ac:dyDescent="0.25">
      <c r="B144" s="4110" t="s">
        <v>3182</v>
      </c>
      <c r="C144" s="4149" t="str">
        <f t="shared" si="12"/>
        <v>Map water supply and wastewater network</v>
      </c>
      <c r="D144" s="4131"/>
      <c r="E144" s="4120"/>
      <c r="F144" s="4121"/>
      <c r="G144" s="4121"/>
      <c r="H144" s="4121"/>
      <c r="I144" s="4121"/>
      <c r="J144" s="4121"/>
      <c r="K144" s="4121"/>
      <c r="L144" s="4121"/>
      <c r="M144" s="4121"/>
      <c r="N144" s="4121"/>
      <c r="O144" s="4121"/>
      <c r="P144" s="4121"/>
    </row>
    <row r="145" spans="2:16" x14ac:dyDescent="0.25">
      <c r="B145" s="4110" t="s">
        <v>3183</v>
      </c>
      <c r="C145" s="4149" t="str">
        <f t="shared" si="12"/>
        <v>Conduct Hydraulic modelling</v>
      </c>
      <c r="D145" s="4131"/>
      <c r="E145" s="4120"/>
      <c r="F145" s="4121"/>
      <c r="G145" s="4121"/>
      <c r="H145" s="4121"/>
      <c r="I145" s="4121"/>
      <c r="J145" s="4121"/>
      <c r="K145" s="4121"/>
      <c r="L145" s="4121"/>
      <c r="M145" s="4121"/>
      <c r="N145" s="4121"/>
      <c r="O145" s="4121"/>
      <c r="P145" s="4121"/>
    </row>
    <row r="146" spans="2:16" x14ac:dyDescent="0.25">
      <c r="B146" s="4110" t="s">
        <v>3184</v>
      </c>
      <c r="C146" s="4149" t="str">
        <f t="shared" si="12"/>
        <v>Conduct Utilities survey (asset mapping)</v>
      </c>
      <c r="D146" s="4131"/>
      <c r="E146" s="4120"/>
      <c r="F146" s="4121"/>
      <c r="G146" s="4121"/>
      <c r="H146" s="4121"/>
      <c r="I146" s="4121"/>
      <c r="J146" s="4121"/>
      <c r="K146" s="4121"/>
      <c r="L146" s="4121"/>
      <c r="M146" s="4121"/>
      <c r="N146" s="4121"/>
      <c r="O146" s="4121"/>
      <c r="P146" s="4121"/>
    </row>
    <row r="147" spans="2:16" ht="30" x14ac:dyDescent="0.25">
      <c r="B147" s="4110" t="s">
        <v>3185</v>
      </c>
      <c r="C147" s="4149" t="str">
        <f t="shared" ref="C147:C160" si="14">C37</f>
        <v>Improve processes for regular checking of water losses</v>
      </c>
      <c r="D147" s="4131"/>
      <c r="E147" s="4120"/>
      <c r="F147" s="4121"/>
      <c r="G147" s="4121"/>
      <c r="H147" s="4121"/>
      <c r="I147" s="4121"/>
      <c r="J147" s="4121"/>
      <c r="K147" s="4121"/>
      <c r="L147" s="4121"/>
      <c r="M147" s="4121"/>
      <c r="N147" s="4121"/>
      <c r="O147" s="4121"/>
      <c r="P147" s="4121"/>
    </row>
    <row r="148" spans="2:16" x14ac:dyDescent="0.25">
      <c r="B148" s="4110" t="s">
        <v>3186</v>
      </c>
      <c r="C148" s="4149" t="str">
        <f t="shared" si="14"/>
        <v>Policy to introduce universal consumer meters</v>
      </c>
      <c r="D148" s="4131"/>
      <c r="E148" s="4120"/>
      <c r="F148" s="4121"/>
      <c r="G148" s="4121"/>
      <c r="H148" s="4121"/>
      <c r="I148" s="4121"/>
      <c r="J148" s="4121"/>
      <c r="K148" s="4121"/>
      <c r="L148" s="4121"/>
      <c r="M148" s="4121"/>
      <c r="N148" s="4121"/>
      <c r="O148" s="4121"/>
      <c r="P148" s="4121"/>
    </row>
    <row r="149" spans="2:16" ht="30" x14ac:dyDescent="0.25">
      <c r="B149" s="4110" t="s">
        <v>3187</v>
      </c>
      <c r="C149" s="4130" t="str">
        <f t="shared" si="14"/>
        <v>Improve processes for management of consumer complaints</v>
      </c>
      <c r="D149" s="4132"/>
      <c r="E149" s="4120"/>
      <c r="F149" s="4121"/>
      <c r="G149" s="4121"/>
      <c r="H149" s="4121"/>
      <c r="I149" s="4121"/>
      <c r="J149" s="4121"/>
      <c r="K149" s="4121"/>
      <c r="L149" s="4121"/>
      <c r="M149" s="4121"/>
      <c r="N149" s="4121"/>
      <c r="O149" s="4121"/>
      <c r="P149" s="4121"/>
    </row>
    <row r="150" spans="2:16" x14ac:dyDescent="0.25">
      <c r="B150" s="4110" t="s">
        <v>3188</v>
      </c>
      <c r="C150" s="4149" t="str">
        <f t="shared" si="14"/>
        <v>Reduce losses in trunk main transmission network</v>
      </c>
      <c r="D150" s="4132"/>
      <c r="E150" s="4120">
        <f t="shared" ref="E150:E158" si="15">SUM($F150:$P150)</f>
        <v>0</v>
      </c>
      <c r="F150" s="4121"/>
      <c r="G150" s="4121"/>
      <c r="H150" s="4121"/>
      <c r="I150" s="4121"/>
      <c r="J150" s="4121"/>
      <c r="K150" s="4121"/>
      <c r="L150" s="4121"/>
      <c r="M150" s="4121"/>
      <c r="N150" s="4121"/>
      <c r="O150" s="4121"/>
      <c r="P150" s="4121"/>
    </row>
    <row r="151" spans="2:16" x14ac:dyDescent="0.25">
      <c r="B151" s="4110" t="s">
        <v>3189</v>
      </c>
      <c r="C151" s="4166" t="str">
        <f t="shared" si="14"/>
        <v>Reduce losses at water treatment plant</v>
      </c>
      <c r="D151" s="4131"/>
      <c r="E151" s="4120">
        <f t="shared" si="15"/>
        <v>0</v>
      </c>
      <c r="F151" s="4124"/>
      <c r="G151" s="4124"/>
      <c r="H151" s="4124"/>
      <c r="I151" s="4124"/>
      <c r="J151" s="4124"/>
      <c r="K151" s="4124"/>
      <c r="L151" s="4124"/>
      <c r="M151" s="4124"/>
      <c r="N151" s="4124"/>
      <c r="O151" s="4124"/>
      <c r="P151" s="4124"/>
    </row>
    <row r="152" spans="2:16" ht="30" x14ac:dyDescent="0.25">
      <c r="B152" s="4110" t="s">
        <v>3190</v>
      </c>
      <c r="C152" s="4166" t="str">
        <f t="shared" si="14"/>
        <v>Reduce losses in treated water transmission network</v>
      </c>
      <c r="D152" s="4131"/>
      <c r="E152" s="4120">
        <f t="shared" si="15"/>
        <v>0</v>
      </c>
      <c r="F152" s="4124"/>
      <c r="G152" s="4124"/>
      <c r="H152" s="4124"/>
      <c r="I152" s="4124"/>
      <c r="J152" s="4124"/>
      <c r="K152" s="4124"/>
      <c r="L152" s="4124"/>
      <c r="M152" s="4124"/>
      <c r="N152" s="4124"/>
      <c r="O152" s="4124"/>
      <c r="P152" s="4124"/>
    </row>
    <row r="153" spans="2:16" x14ac:dyDescent="0.25">
      <c r="B153" s="4110" t="s">
        <v>3191</v>
      </c>
      <c r="C153" s="4167" t="str">
        <f t="shared" si="14"/>
        <v>Refurbishment of water storage reservoirs</v>
      </c>
      <c r="D153" s="4131"/>
      <c r="E153" s="4120">
        <f t="shared" si="15"/>
        <v>0</v>
      </c>
      <c r="F153" s="4124"/>
      <c r="G153" s="4124"/>
      <c r="H153" s="4124"/>
      <c r="I153" s="4124"/>
      <c r="J153" s="4124"/>
      <c r="K153" s="4124"/>
      <c r="L153" s="4124"/>
      <c r="M153" s="4124"/>
      <c r="N153" s="4124"/>
      <c r="O153" s="4124"/>
      <c r="P153" s="4124"/>
    </row>
    <row r="154" spans="2:16" x14ac:dyDescent="0.25">
      <c r="B154" s="4110" t="s">
        <v>3192</v>
      </c>
      <c r="C154" s="4166" t="str">
        <f t="shared" si="14"/>
        <v>Improvement in water supply distribution network</v>
      </c>
      <c r="D154" s="4131"/>
      <c r="E154" s="4120">
        <f t="shared" si="15"/>
        <v>0</v>
      </c>
      <c r="F154" s="4124"/>
      <c r="G154" s="4124"/>
      <c r="H154" s="4124"/>
      <c r="I154" s="4124"/>
      <c r="J154" s="4124"/>
      <c r="K154" s="4124"/>
      <c r="L154" s="4124"/>
      <c r="M154" s="4124"/>
      <c r="N154" s="4124"/>
      <c r="O154" s="4124"/>
      <c r="P154" s="4124"/>
    </row>
    <row r="155" spans="2:16" x14ac:dyDescent="0.25">
      <c r="B155" s="4110" t="s">
        <v>3193</v>
      </c>
      <c r="C155" s="4167" t="str">
        <f t="shared" si="14"/>
        <v>Plugging of leakages at valves</v>
      </c>
      <c r="D155" s="4131"/>
      <c r="E155" s="4120">
        <f t="shared" si="15"/>
        <v>0</v>
      </c>
      <c r="F155" s="4124"/>
      <c r="G155" s="4124"/>
      <c r="H155" s="4124"/>
      <c r="I155" s="4124"/>
      <c r="J155" s="4124"/>
      <c r="K155" s="4124"/>
      <c r="L155" s="4124"/>
      <c r="M155" s="4124"/>
      <c r="N155" s="4124"/>
      <c r="O155" s="4124"/>
      <c r="P155" s="4124"/>
    </row>
    <row r="156" spans="2:16" x14ac:dyDescent="0.25">
      <c r="B156" s="4110" t="s">
        <v>3194</v>
      </c>
      <c r="C156" s="4167" t="str">
        <f t="shared" si="14"/>
        <v>Replacement of service line connections</v>
      </c>
      <c r="D156" s="4131"/>
      <c r="E156" s="4120">
        <f t="shared" si="15"/>
        <v>0</v>
      </c>
      <c r="F156" s="4124"/>
      <c r="G156" s="4124"/>
      <c r="H156" s="4124"/>
      <c r="I156" s="4124"/>
      <c r="J156" s="4124"/>
      <c r="K156" s="4124"/>
      <c r="L156" s="4124"/>
      <c r="M156" s="4124"/>
      <c r="N156" s="4124"/>
      <c r="O156" s="4124"/>
      <c r="P156" s="4124"/>
    </row>
    <row r="157" spans="2:16" x14ac:dyDescent="0.25">
      <c r="B157" s="4110" t="s">
        <v>3195</v>
      </c>
      <c r="C157" s="4167" t="str">
        <f t="shared" si="14"/>
        <v>Reduce free water supply</v>
      </c>
      <c r="D157" s="4132"/>
      <c r="E157" s="4120">
        <f t="shared" si="15"/>
        <v>0</v>
      </c>
      <c r="F157" s="4121"/>
      <c r="G157" s="4121"/>
      <c r="H157" s="4121"/>
      <c r="I157" s="4121"/>
      <c r="J157" s="4121"/>
      <c r="K157" s="4121"/>
      <c r="L157" s="4121"/>
      <c r="M157" s="4121"/>
      <c r="N157" s="4121"/>
      <c r="O157" s="4121"/>
      <c r="P157" s="4121"/>
    </row>
    <row r="158" spans="2:16" ht="30" x14ac:dyDescent="0.25">
      <c r="B158" s="4110" t="s">
        <v>3196</v>
      </c>
      <c r="C158" s="4167" t="str">
        <f t="shared" si="14"/>
        <v>Repair non-functional metered water supply connections</v>
      </c>
      <c r="D158" s="4131"/>
      <c r="E158" s="4120">
        <f t="shared" si="15"/>
        <v>0</v>
      </c>
      <c r="F158" s="4135"/>
      <c r="G158" s="4135"/>
      <c r="H158" s="4135"/>
      <c r="I158" s="4135"/>
      <c r="J158" s="4135"/>
      <c r="K158" s="4135"/>
      <c r="L158" s="4135"/>
      <c r="M158" s="4135"/>
      <c r="N158" s="4135"/>
      <c r="O158" s="4135"/>
      <c r="P158" s="4135"/>
    </row>
    <row r="159" spans="2:16" x14ac:dyDescent="0.25">
      <c r="B159" s="4110" t="s">
        <v>3197</v>
      </c>
      <c r="C159" s="4167" t="str">
        <f t="shared" si="14"/>
        <v>Improve consumer grievance redressal system</v>
      </c>
      <c r="D159" s="4132"/>
      <c r="E159" s="4120"/>
      <c r="F159" s="4121"/>
      <c r="G159" s="4121"/>
      <c r="H159" s="4121"/>
      <c r="I159" s="4121"/>
      <c r="J159" s="4121"/>
      <c r="K159" s="4121"/>
      <c r="L159" s="4121"/>
      <c r="M159" s="4121"/>
      <c r="N159" s="4121"/>
      <c r="O159" s="4121"/>
      <c r="P159" s="4121"/>
    </row>
    <row r="160" spans="2:16" x14ac:dyDescent="0.25">
      <c r="B160" s="4110" t="s">
        <v>3198</v>
      </c>
      <c r="C160" s="4149" t="str">
        <f t="shared" si="14"/>
        <v>Metering of consumer water supply connections</v>
      </c>
      <c r="D160" s="4131"/>
      <c r="E160" s="4120">
        <f>SUM($F160:$P160)</f>
        <v>0</v>
      </c>
      <c r="F160" s="4121"/>
      <c r="G160" s="4121"/>
      <c r="H160" s="4121"/>
      <c r="I160" s="4121"/>
      <c r="J160" s="4121"/>
      <c r="K160" s="4121"/>
      <c r="L160" s="4121"/>
      <c r="M160" s="4121"/>
      <c r="N160" s="4121"/>
      <c r="O160" s="4121"/>
      <c r="P160" s="4121"/>
    </row>
    <row r="161" spans="2:22" x14ac:dyDescent="0.25">
      <c r="B161" s="4102" t="s">
        <v>12</v>
      </c>
      <c r="C161" s="4156" t="str">
        <f t="shared" ref="C161:C168" si="16">C51</f>
        <v>Financial sustainaibility</v>
      </c>
      <c r="D161" s="4127"/>
      <c r="E161" s="4128">
        <f>SUM($F161:$P161)</f>
        <v>0</v>
      </c>
      <c r="F161" s="4106"/>
      <c r="G161" s="4106"/>
      <c r="H161" s="4106"/>
      <c r="I161" s="4106"/>
      <c r="J161" s="4106"/>
      <c r="K161" s="4106"/>
      <c r="L161" s="4106"/>
      <c r="M161" s="4106"/>
      <c r="N161" s="4106"/>
      <c r="O161" s="4106"/>
      <c r="P161" s="4106"/>
    </row>
    <row r="162" spans="2:22" x14ac:dyDescent="0.25">
      <c r="B162" s="4110" t="s">
        <v>3199</v>
      </c>
      <c r="C162" s="1725" t="str">
        <f t="shared" si="16"/>
        <v>Improve billing and collection of water supply bills</v>
      </c>
      <c r="D162" s="4131"/>
      <c r="E162" s="4120"/>
      <c r="F162" s="4124"/>
      <c r="G162" s="4124"/>
      <c r="H162" s="4124"/>
      <c r="I162" s="4124"/>
      <c r="J162" s="4124"/>
      <c r="K162" s="4124"/>
      <c r="L162" s="4124"/>
      <c r="M162" s="4124"/>
      <c r="N162" s="4124"/>
      <c r="O162" s="4124"/>
      <c r="P162" s="4124"/>
    </row>
    <row r="163" spans="2:22" ht="30" x14ac:dyDescent="0.25">
      <c r="B163" s="4110" t="s">
        <v>3200</v>
      </c>
      <c r="C163" s="1725" t="str">
        <f t="shared" si="16"/>
        <v>Improve collection efficiency of water supply charges and taxes</v>
      </c>
      <c r="D163" s="4131"/>
      <c r="E163" s="4120">
        <f t="shared" ref="E163:E168" si="17">SUM($F163:$P163)</f>
        <v>0</v>
      </c>
      <c r="F163" s="4124"/>
      <c r="G163" s="4124"/>
      <c r="H163" s="4124"/>
      <c r="I163" s="4124"/>
      <c r="J163" s="4124"/>
      <c r="K163" s="4124"/>
      <c r="L163" s="4124"/>
      <c r="M163" s="4124"/>
      <c r="N163" s="4124"/>
      <c r="O163" s="4124"/>
      <c r="P163" s="4124"/>
    </row>
    <row r="164" spans="2:22" x14ac:dyDescent="0.25">
      <c r="B164" s="4110" t="s">
        <v>3201</v>
      </c>
      <c r="C164" s="1725" t="str">
        <f t="shared" si="16"/>
        <v>Replace pumping machinery</v>
      </c>
      <c r="D164" s="4177">
        <f>'WS Plan'!$H$272</f>
        <v>0</v>
      </c>
      <c r="E164" s="4120">
        <f t="shared" si="17"/>
        <v>0</v>
      </c>
      <c r="F164" s="4139"/>
      <c r="G164" s="4178">
        <f>F164+IF('WS Plan'!$E$268="Activate",IF(AND(G$117&gt;='WS Plan'!$G$268,G$117&lt;'WS Plan'!$H$268+1),$D$164/('WS Plan'!$H$268+1-'WS Plan'!$G$268),0),0)</f>
        <v>0</v>
      </c>
      <c r="H164" s="4178">
        <f>G164+IF('WS Plan'!$E$268="Activate",IF(AND(H$117&gt;='WS Plan'!$G$268,H$117&lt;'WS Plan'!$H$268+1),$D$164/('WS Plan'!$H$268+1-'WS Plan'!$G$268),0),0)</f>
        <v>0</v>
      </c>
      <c r="I164" s="4178">
        <f>H164+IF('WS Plan'!$E$268="Activate",IF(AND(I$117&gt;='WS Plan'!$G$268,I$117&lt;'WS Plan'!$H$268+1),$D$164/('WS Plan'!$H$268+1-'WS Plan'!$G$268),0),0)</f>
        <v>0</v>
      </c>
      <c r="J164" s="4178">
        <f>I164+IF('WS Plan'!$E$268="Activate",IF(AND(J$117&gt;='WS Plan'!$G$268,J$117&lt;'WS Plan'!$H$268+1),$D$164/('WS Plan'!$H$268+1-'WS Plan'!$G$268),0),0)</f>
        <v>0</v>
      </c>
      <c r="K164" s="4178">
        <f>J164+IF('WS Plan'!$E$268="Activate",IF(AND(K$117&gt;='WS Plan'!$G$268,K$117&lt;'WS Plan'!$H$268+1),$D$164/('WS Plan'!$H$268+1-'WS Plan'!$G$268),0),0)</f>
        <v>0</v>
      </c>
      <c r="L164" s="4178">
        <f>K164+IF('WS Plan'!$E$268="Activate",IF(AND(L$117&gt;='WS Plan'!$G$268,L$117&lt;'WS Plan'!$H$268+1),$D$164/('WS Plan'!$H$268+1-'WS Plan'!$G$268),0),0)</f>
        <v>0</v>
      </c>
      <c r="M164" s="4178">
        <f>L164+IF('WS Plan'!$E$268="Activate",IF(AND(M$117&gt;='WS Plan'!$G$268,M$117&lt;'WS Plan'!$H$268+1),$D$164/('WS Plan'!$H$268+1-'WS Plan'!$G$268),0),0)</f>
        <v>0</v>
      </c>
      <c r="N164" s="4178">
        <f>M164+IF('WS Plan'!$E$268="Activate",IF(AND(N$117&gt;='WS Plan'!$G$268,N$117&lt;'WS Plan'!$H$268+1),$D$164/('WS Plan'!$H$268+1-'WS Plan'!$G$268),0),0)</f>
        <v>0</v>
      </c>
      <c r="O164" s="4178">
        <f>N164+IF('WS Plan'!$E$268="Activate",IF(AND(O$117&gt;='WS Plan'!$G$268,O$117&lt;'WS Plan'!$H$268+1),$D$164/('WS Plan'!$H$268+1-'WS Plan'!$G$268),0),0)</f>
        <v>0</v>
      </c>
      <c r="P164" s="4178">
        <f>O164+IF('WS Plan'!$E$268="Activate",IF(AND(P$117&gt;='WS Plan'!$G$268,P$117&lt;'WS Plan'!$H$268+1),$D$164/('WS Plan'!$H$268+1-'WS Plan'!$G$268),0),0)</f>
        <v>0</v>
      </c>
    </row>
    <row r="165" spans="2:22" ht="30" x14ac:dyDescent="0.25">
      <c r="B165" s="4110" t="s">
        <v>3202</v>
      </c>
      <c r="C165" s="1725" t="str">
        <f t="shared" si="16"/>
        <v>Other measures to optimise power and energy expenses</v>
      </c>
      <c r="D165" s="4165">
        <f>'WS Plan'!$H$275</f>
        <v>0</v>
      </c>
      <c r="E165" s="4120">
        <f t="shared" si="17"/>
        <v>0</v>
      </c>
      <c r="F165" s="4139"/>
      <c r="G165" s="4178">
        <f>F165+IF('WS Plan'!$E$274="Activate",IF(AND(G$117&gt;='WS Plan'!$G$274,G$117&lt;'WS Plan'!$H$274+1),$D$165/('WS Plan'!$H$274+1-'WS Plan'!$G$274),0),0)</f>
        <v>0</v>
      </c>
      <c r="H165" s="4178">
        <f>G165+IF('WS Plan'!$E$274="Activate",IF(AND(H$117&gt;='WS Plan'!$G$274,H$117&lt;'WS Plan'!$H$274+1),$D$165/('WS Plan'!$H$274+1-'WS Plan'!$G$274),0),0)</f>
        <v>0</v>
      </c>
      <c r="I165" s="4178">
        <f>H165+IF('WS Plan'!$E$274="Activate",IF(AND(I$117&gt;='WS Plan'!$G$274,I$117&lt;'WS Plan'!$H$274+1),$D$165/('WS Plan'!$H$274+1-'WS Plan'!$G$274),0),0)</f>
        <v>0</v>
      </c>
      <c r="J165" s="4178">
        <f>I165+IF('WS Plan'!$E$274="Activate",IF(AND(J$117&gt;='WS Plan'!$G$274,J$117&lt;'WS Plan'!$H$274+1),$D$165/('WS Plan'!$H$274+1-'WS Plan'!$G$274),0),0)</f>
        <v>0</v>
      </c>
      <c r="K165" s="4178">
        <f>J165+IF('WS Plan'!$E$274="Activate",IF(AND(K$117&gt;='WS Plan'!$G$274,K$117&lt;'WS Plan'!$H$274+1),$D$165/('WS Plan'!$H$274+1-'WS Plan'!$G$274),0),0)</f>
        <v>0</v>
      </c>
      <c r="L165" s="4178">
        <f>K165+IF('WS Plan'!$E$274="Activate",IF(AND(L$117&gt;='WS Plan'!$G$274,L$117&lt;'WS Plan'!$H$274+1),$D$165/('WS Plan'!$H$274+1-'WS Plan'!$G$274),0),0)</f>
        <v>0</v>
      </c>
      <c r="M165" s="4178">
        <f>L165+IF('WS Plan'!$E$274="Activate",IF(AND(M$117&gt;='WS Plan'!$G$274,M$117&lt;'WS Plan'!$H$274+1),$D$165/('WS Plan'!$H$274+1-'WS Plan'!$G$274),0),0)</f>
        <v>0</v>
      </c>
      <c r="N165" s="4178">
        <f>M165+IF('WS Plan'!$E$274="Activate",IF(AND(N$117&gt;='WS Plan'!$G$274,N$117&lt;'WS Plan'!$H$274+1),$D$165/('WS Plan'!$H$274+1-'WS Plan'!$G$274),0),0)</f>
        <v>0</v>
      </c>
      <c r="O165" s="4178">
        <f>N165+IF('WS Plan'!$E$274="Activate",IF(AND(O$117&gt;='WS Plan'!$G$274,O$117&lt;'WS Plan'!$H$274+1),$D$165/('WS Plan'!$H$274+1-'WS Plan'!$G$274),0),0)</f>
        <v>0</v>
      </c>
      <c r="P165" s="4178">
        <f>O165+IF('WS Plan'!$E$274="Activate",IF(AND(P$117&gt;='WS Plan'!$G$274,P$117&lt;'WS Plan'!$H$274+1),$D$165/('WS Plan'!$H$274+1-'WS Plan'!$G$274),0),0)</f>
        <v>0</v>
      </c>
    </row>
    <row r="166" spans="2:22" x14ac:dyDescent="0.25">
      <c r="B166" s="4102" t="str">
        <f>B111</f>
        <v>E</v>
      </c>
      <c r="C166" s="4156" t="str">
        <f t="shared" si="16"/>
        <v>Generic actions</v>
      </c>
      <c r="D166" s="4127"/>
      <c r="E166" s="4128">
        <f t="shared" si="17"/>
        <v>0</v>
      </c>
      <c r="F166" s="4106"/>
      <c r="G166" s="4106"/>
      <c r="H166" s="4106"/>
      <c r="I166" s="4106"/>
      <c r="J166" s="4106"/>
      <c r="K166" s="4106"/>
      <c r="L166" s="4106"/>
      <c r="M166" s="4106"/>
      <c r="N166" s="4106"/>
      <c r="O166" s="4106"/>
      <c r="P166" s="4106"/>
    </row>
    <row r="167" spans="2:22" x14ac:dyDescent="0.25">
      <c r="B167" s="4129"/>
      <c r="C167" s="4149" t="str">
        <f t="shared" si="16"/>
        <v>WS Customised action 1</v>
      </c>
      <c r="D167" s="4131">
        <f>IF('WS Plan'!$G$286="None",0,IF('WS Plan'!$G$286="Starts after project is completed",1,2))</f>
        <v>2</v>
      </c>
      <c r="E167" s="4120">
        <f t="shared" si="17"/>
        <v>0</v>
      </c>
      <c r="F167" s="4124"/>
      <c r="G167" s="4124">
        <f>IF('WS Plan'!$E$283="Activate",IF(AND($D$167=1,G$117&gt;'WS Plan'!$H$283),'WS Plan'!$H$286*'PIP finance'!G$3,IF(AND($D$167=2,G$117&gt;='WS Plan'!$G$283,G$117&lt;'WS Plan'!$H$283+1),'WS Plan'!$H$286*'PIP finance'!G$3,0)),0)</f>
        <v>0</v>
      </c>
      <c r="H167" s="4124">
        <f>IF('WS Plan'!$E$283="Activate",IF(AND($D$167=1,H$117&gt;'WS Plan'!$H$283),'WS Plan'!$H$286*'PIP finance'!H$3,IF(AND($D$167=2,H$117&gt;='WS Plan'!$G$283,H$117&lt;'WS Plan'!$H$283+1),'WS Plan'!$H$286*'PIP finance'!H$3,0)),0)</f>
        <v>0</v>
      </c>
      <c r="I167" s="4124">
        <f>IF('WS Plan'!$E$283="Activate",IF(AND($D$167=1,I$117&gt;'WS Plan'!$H$283),'WS Plan'!$H$286*'PIP finance'!I$3,IF(AND($D$167=2,I$117&gt;='WS Plan'!$G$283,I$117&lt;'WS Plan'!$H$283+1),'WS Plan'!$H$286*'PIP finance'!I$3,0)),0)</f>
        <v>0</v>
      </c>
      <c r="J167" s="4124">
        <f>IF('WS Plan'!$E$283="Activate",IF(AND($D$167=1,J$117&gt;'WS Plan'!$H$283),'WS Plan'!$H$286*'PIP finance'!J$3,IF(AND($D$167=2,J$117&gt;='WS Plan'!$G$283,J$117&lt;'WS Plan'!$H$283+1),'WS Plan'!$H$286*'PIP finance'!J$3,0)),0)</f>
        <v>0</v>
      </c>
      <c r="K167" s="4124">
        <f>IF('WS Plan'!$E$283="Activate",IF(AND($D$167=1,K$117&gt;'WS Plan'!$H$283),'WS Plan'!$H$286*'PIP finance'!K$3,IF(AND($D$167=2,K$117&gt;='WS Plan'!$G$283,K$117&lt;'WS Plan'!$H$283+1),'WS Plan'!$H$286*'PIP finance'!K$3,0)),0)</f>
        <v>0</v>
      </c>
      <c r="L167" s="4124">
        <f>IF('WS Plan'!$E$283="Activate",IF(AND($D$167=1,L$117&gt;'WS Plan'!$H$283),'WS Plan'!$H$286*'PIP finance'!L$3,IF(AND($D$167=2,L$117&gt;='WS Plan'!$G$283,L$117&lt;'WS Plan'!$H$283+1),'WS Plan'!$H$286*'PIP finance'!L$3,0)),0)</f>
        <v>0</v>
      </c>
      <c r="M167" s="4124">
        <f>IF('WS Plan'!$E$283="Activate",IF(AND($D$167=1,M$117&gt;'WS Plan'!$H$283),'WS Plan'!$H$286*'PIP finance'!M$3,IF(AND($D$167=2,M$117&gt;='WS Plan'!$G$283,M$117&lt;'WS Plan'!$H$283+1),'WS Plan'!$H$286*'PIP finance'!M$3,0)),0)</f>
        <v>0</v>
      </c>
      <c r="N167" s="4124">
        <f>IF('WS Plan'!$E$283="Activate",IF(AND($D$167=1,N$117&gt;'WS Plan'!$H$283),'WS Plan'!$H$286*'PIP finance'!N$3,IF(AND($D$167=2,N$117&gt;='WS Plan'!$G$283,N$117&lt;'WS Plan'!$H$283+1),'WS Plan'!$H$286*'PIP finance'!N$3,0)),0)</f>
        <v>0</v>
      </c>
      <c r="O167" s="4124">
        <f>IF('WS Plan'!$E$283="Activate",IF(AND($D$167=1,O$117&gt;'WS Plan'!$H$283),'WS Plan'!$H$286*'PIP finance'!O$3,IF(AND($D$167=2,O$117&gt;='WS Plan'!$G$283,O$117&lt;'WS Plan'!$H$283+1),'WS Plan'!$H$286*'PIP finance'!O$3,0)),0)</f>
        <v>0</v>
      </c>
      <c r="P167" s="4124">
        <f>IF('WS Plan'!$E$283="Activate",IF(AND($D$167=1,P$117&gt;'WS Plan'!$H$283),'WS Plan'!$H$286*'PIP finance'!P$3,IF(AND($D$167=2,P$117&gt;='WS Plan'!$G$283,P$117&lt;'WS Plan'!$H$283+1),'WS Plan'!$H$286*'PIP finance'!P$3,0)),0)</f>
        <v>0</v>
      </c>
    </row>
    <row r="168" spans="2:22" x14ac:dyDescent="0.25">
      <c r="B168" s="4129"/>
      <c r="C168" s="4149" t="str">
        <f t="shared" si="16"/>
        <v>WS Customised action 2</v>
      </c>
      <c r="D168" s="4131">
        <f>IF('WS Plan'!$G$293="None",0,IF('WS Plan'!$G$293="Starts after project is completed",1,2))</f>
        <v>2</v>
      </c>
      <c r="E168" s="4120">
        <f t="shared" si="17"/>
        <v>0</v>
      </c>
      <c r="F168" s="4124"/>
      <c r="G168" s="4124">
        <f>IF('WS Plan'!$E$290="Activate",IF(AND($D$168=1,G$117&gt;'WS Plan'!$H$290),'WS Plan'!$H$293*'PIP finance'!G$3,IF(AND($D$168=2,G$117&gt;='WS Plan'!$G$290,G$117&lt;'WS Plan'!$H$290+1),'WS Plan'!$H$293*'PIP finance'!G$3,0)),0)</f>
        <v>0</v>
      </c>
      <c r="H168" s="4124">
        <f>IF('WS Plan'!$E$290="Activate",IF(AND($D$168=1,H$117&gt;'WS Plan'!$H$290),'WS Plan'!$H$293*'PIP finance'!H$3,IF(AND($D$168=2,H$117&gt;='WS Plan'!$G$290,H$117&lt;'WS Plan'!$H$290+1),'WS Plan'!$H$293*'PIP finance'!H$3,0)),0)</f>
        <v>0</v>
      </c>
      <c r="I168" s="4124">
        <f>IF('WS Plan'!$E$290="Activate",IF(AND($D$168=1,I$117&gt;'WS Plan'!$H$290),'WS Plan'!$H$293*'PIP finance'!I$3,IF(AND($D$168=2,I$117&gt;='WS Plan'!$G$290,I$117&lt;'WS Plan'!$H$290+1),'WS Plan'!$H$293*'PIP finance'!I$3,0)),0)</f>
        <v>0</v>
      </c>
      <c r="J168" s="4124">
        <f>IF('WS Plan'!$E$290="Activate",IF(AND($D$168=1,J$117&gt;'WS Plan'!$H$290),'WS Plan'!$H$293*'PIP finance'!J$3,IF(AND($D$168=2,J$117&gt;='WS Plan'!$G$290,J$117&lt;'WS Plan'!$H$290+1),'WS Plan'!$H$293*'PIP finance'!J$3,0)),0)</f>
        <v>0</v>
      </c>
      <c r="K168" s="4124">
        <f>IF('WS Plan'!$E$290="Activate",IF(AND($D$168=1,K$117&gt;'WS Plan'!$H$290),'WS Plan'!$H$293*'PIP finance'!K$3,IF(AND($D$168=2,K$117&gt;='WS Plan'!$G$290,K$117&lt;'WS Plan'!$H$290+1),'WS Plan'!$H$293*'PIP finance'!K$3,0)),0)</f>
        <v>0</v>
      </c>
      <c r="L168" s="4124">
        <f>IF('WS Plan'!$E$290="Activate",IF(AND($D$168=1,L$117&gt;'WS Plan'!$H$290),'WS Plan'!$H$293*'PIP finance'!L$3,IF(AND($D$168=2,L$117&gt;='WS Plan'!$G$290,L$117&lt;'WS Plan'!$H$290+1),'WS Plan'!$H$293*'PIP finance'!L$3,0)),0)</f>
        <v>0</v>
      </c>
      <c r="M168" s="4124">
        <f>IF('WS Plan'!$E$290="Activate",IF(AND($D$168=1,M$117&gt;'WS Plan'!$H$290),'WS Plan'!$H$293*'PIP finance'!M$3,IF(AND($D$168=2,M$117&gt;='WS Plan'!$G$290,M$117&lt;'WS Plan'!$H$290+1),'WS Plan'!$H$293*'PIP finance'!M$3,0)),0)</f>
        <v>0</v>
      </c>
      <c r="N168" s="4124">
        <f>IF('WS Plan'!$E$290="Activate",IF(AND($D$168=1,N$117&gt;'WS Plan'!$H$290),'WS Plan'!$H$293*'PIP finance'!N$3,IF(AND($D$168=2,N$117&gt;='WS Plan'!$G$290,N$117&lt;'WS Plan'!$H$290+1),'WS Plan'!$H$293*'PIP finance'!N$3,0)),0)</f>
        <v>0</v>
      </c>
      <c r="O168" s="4124">
        <f>IF('WS Plan'!$E$290="Activate",IF(AND($D$168=1,O$117&gt;'WS Plan'!$H$290),'WS Plan'!$H$293*'PIP finance'!O$3,IF(AND($D$168=2,O$117&gt;='WS Plan'!$G$290,O$117&lt;'WS Plan'!$H$290+1),'WS Plan'!$H$293*'PIP finance'!O$3,0)),0)</f>
        <v>0</v>
      </c>
      <c r="P168" s="4124">
        <f>IF('WS Plan'!$E$290="Activate",IF(AND($D$168=1,P$117&gt;'WS Plan'!$H$290),'WS Plan'!$H$293*'PIP finance'!P$3,IF(AND($D$168=2,P$117&gt;='WS Plan'!$G$290,P$117&lt;'WS Plan'!$H$290+1),'WS Plan'!$H$293*'PIP finance'!P$3,0)),0)</f>
        <v>0</v>
      </c>
    </row>
    <row r="169" spans="2:22" s="4148" customFormat="1" x14ac:dyDescent="0.25">
      <c r="B169" s="4141"/>
      <c r="C169" s="4142" t="s">
        <v>460</v>
      </c>
      <c r="D169" s="4143"/>
      <c r="E169" s="4144">
        <f>SUM(E123:E168)</f>
        <v>0</v>
      </c>
      <c r="F169" s="4145"/>
      <c r="G169" s="4145">
        <f t="shared" ref="G169:P169" si="18">SUM(G118:G168)-(G164+G165)</f>
        <v>0</v>
      </c>
      <c r="H169" s="4145">
        <f t="shared" si="18"/>
        <v>0</v>
      </c>
      <c r="I169" s="4145">
        <f t="shared" si="18"/>
        <v>0</v>
      </c>
      <c r="J169" s="4145">
        <f t="shared" si="18"/>
        <v>0</v>
      </c>
      <c r="K169" s="4145">
        <f t="shared" si="18"/>
        <v>0</v>
      </c>
      <c r="L169" s="4145">
        <f t="shared" si="18"/>
        <v>0</v>
      </c>
      <c r="M169" s="4145">
        <f t="shared" si="18"/>
        <v>0</v>
      </c>
      <c r="N169" s="4145">
        <f t="shared" si="18"/>
        <v>0</v>
      </c>
      <c r="O169" s="4145">
        <f t="shared" si="18"/>
        <v>0</v>
      </c>
      <c r="P169" s="4145">
        <f t="shared" si="18"/>
        <v>0</v>
      </c>
    </row>
    <row r="170" spans="2:22" s="4173" customFormat="1" x14ac:dyDescent="0.25">
      <c r="B170" s="4076"/>
      <c r="C170" s="4076"/>
      <c r="D170" s="4172"/>
      <c r="E170" s="4076"/>
      <c r="F170" s="4076"/>
      <c r="G170" s="4076"/>
      <c r="H170" s="4076"/>
      <c r="I170" s="4076"/>
      <c r="J170" s="4076"/>
      <c r="K170" s="4076"/>
      <c r="L170" s="4076"/>
      <c r="M170" s="4076"/>
      <c r="N170" s="4076"/>
      <c r="O170" s="4076"/>
      <c r="P170" s="4076"/>
    </row>
    <row r="171" spans="2:22" s="4179" customFormat="1" x14ac:dyDescent="0.25">
      <c r="D171" s="4180"/>
    </row>
    <row r="172" spans="2:22" s="4173" customFormat="1" x14ac:dyDescent="0.25">
      <c r="B172" s="4076"/>
      <c r="C172" s="4076"/>
      <c r="D172" s="4172"/>
      <c r="E172" s="4076"/>
      <c r="F172" s="4076"/>
      <c r="G172" s="4076"/>
      <c r="H172" s="4076"/>
      <c r="I172" s="4076"/>
      <c r="J172" s="4076"/>
      <c r="K172" s="4076"/>
      <c r="L172" s="4076"/>
      <c r="M172" s="4076"/>
      <c r="N172" s="4076"/>
      <c r="O172" s="4076"/>
      <c r="P172" s="4076"/>
    </row>
    <row r="173" spans="2:22" s="4093" customFormat="1" ht="23.25" x14ac:dyDescent="0.25">
      <c r="B173" s="4089"/>
      <c r="C173" s="4090" t="s">
        <v>85</v>
      </c>
      <c r="D173" s="4091"/>
      <c r="E173" s="4092"/>
      <c r="F173" s="4092"/>
      <c r="G173" s="4092"/>
      <c r="H173" s="4092"/>
      <c r="I173" s="4092"/>
      <c r="J173" s="4092"/>
      <c r="K173" s="4092"/>
      <c r="L173" s="4092"/>
      <c r="M173" s="4092"/>
      <c r="N173" s="4092"/>
      <c r="O173" s="4092"/>
      <c r="P173" s="4092"/>
    </row>
    <row r="174" spans="2:22" s="4097" customFormat="1" ht="21.75" thickBot="1" x14ac:dyDescent="0.3">
      <c r="B174" s="4094"/>
      <c r="C174" s="4095" t="s">
        <v>450</v>
      </c>
      <c r="D174" s="4096" t="s">
        <v>783</v>
      </c>
      <c r="E174" s="1647"/>
      <c r="F174" s="1647"/>
      <c r="G174" s="1647"/>
      <c r="H174" s="1647"/>
      <c r="I174" s="1647"/>
      <c r="J174" s="1647"/>
      <c r="K174" s="1647"/>
      <c r="L174" s="1647"/>
      <c r="M174" s="1647"/>
      <c r="N174" s="1647"/>
      <c r="O174" s="1647"/>
      <c r="P174" s="1647"/>
    </row>
    <row r="175" spans="2:22" ht="15.75" thickBot="1" x14ac:dyDescent="0.3">
      <c r="B175" s="4098" t="s">
        <v>3</v>
      </c>
      <c r="C175" s="4098" t="s">
        <v>4</v>
      </c>
      <c r="D175" s="4099" t="s">
        <v>444</v>
      </c>
      <c r="E175" s="4100" t="s">
        <v>16</v>
      </c>
      <c r="F175" s="4098">
        <f>F$7</f>
        <v>2014</v>
      </c>
      <c r="G175" s="4098">
        <f t="shared" ref="G175:P175" si="19">G$7</f>
        <v>2015</v>
      </c>
      <c r="H175" s="4098">
        <f t="shared" si="19"/>
        <v>2016</v>
      </c>
      <c r="I175" s="4098">
        <f t="shared" si="19"/>
        <v>2017</v>
      </c>
      <c r="J175" s="4098">
        <f t="shared" si="19"/>
        <v>2018</v>
      </c>
      <c r="K175" s="4098">
        <f t="shared" si="19"/>
        <v>2019</v>
      </c>
      <c r="L175" s="4098">
        <f t="shared" si="19"/>
        <v>2020</v>
      </c>
      <c r="M175" s="4098">
        <f t="shared" si="19"/>
        <v>2021</v>
      </c>
      <c r="N175" s="4098">
        <f t="shared" si="19"/>
        <v>2022</v>
      </c>
      <c r="O175" s="4098">
        <f t="shared" si="19"/>
        <v>2023</v>
      </c>
      <c r="P175" s="4098">
        <f t="shared" si="19"/>
        <v>2024</v>
      </c>
    </row>
    <row r="176" spans="2:22" x14ac:dyDescent="0.2">
      <c r="B176" s="4102" t="s">
        <v>2</v>
      </c>
      <c r="C176" s="4168" t="s">
        <v>455</v>
      </c>
      <c r="D176" s="4169"/>
      <c r="E176" s="4105"/>
      <c r="F176" s="4106"/>
      <c r="G176" s="4107">
        <f>IF('WW Plan'!$E$22="Activate",IF(AND(G$175&gt;='WW Plan'!$G$22,G$175&lt;'WW Plan'!$H$22+1),'WW Plan'!$H$24/('WW Plan'!$H$22+1-'WW Plan'!$G$22),0),0)</f>
        <v>0</v>
      </c>
      <c r="H176" s="4107">
        <f>IF('WW Plan'!$E$22="Activate",IF(AND(H$175&gt;='WW Plan'!$G$22,H$175&lt;'WW Plan'!$H$22+1),'WW Plan'!$H$24/('WW Plan'!$H$22+1-'WW Plan'!$G$22),0),0)</f>
        <v>0</v>
      </c>
      <c r="I176" s="4107">
        <f>IF('WW Plan'!$E$22="Activate",IF(AND(I$175&gt;='WW Plan'!$G$22,I$175&lt;'WW Plan'!$H$22+1),'WW Plan'!$H$24/('WW Plan'!$H$22+1-'WW Plan'!$G$22),0),0)</f>
        <v>0</v>
      </c>
      <c r="J176" s="4107">
        <f>IF('WW Plan'!$E$22="Activate",IF(AND(J$175&gt;='WW Plan'!$G$22,J$175&lt;'WW Plan'!$H$22+1),'WW Plan'!$H$24/('WW Plan'!$H$22+1-'WW Plan'!$G$22),0),0)</f>
        <v>0</v>
      </c>
      <c r="K176" s="4107">
        <f>IF('WW Plan'!$E$22="Activate",IF(AND(K$175&gt;='WW Plan'!$G$22,K$175&lt;'WW Plan'!$H$22+1),'WW Plan'!$H$24/('WW Plan'!$H$22+1-'WW Plan'!$G$22),0),0)</f>
        <v>0</v>
      </c>
      <c r="L176" s="4107">
        <f>IF('WW Plan'!$E$22="Activate",IF(AND(L$175&gt;='WW Plan'!$G$22,L$175&lt;'WW Plan'!$H$22+1),'WW Plan'!$H$24/('WW Plan'!$H$22+1-'WW Plan'!$G$22),0),0)</f>
        <v>0</v>
      </c>
      <c r="M176" s="4107">
        <f>IF('WW Plan'!$E$22="Activate",IF(AND(M$175&gt;='WW Plan'!$G$22,M$175&lt;'WW Plan'!$H$22+1),'WW Plan'!$H$24/('WW Plan'!$H$22+1-'WW Plan'!$G$22),0),0)</f>
        <v>0</v>
      </c>
      <c r="N176" s="4107">
        <f>IF('WW Plan'!$E$22="Activate",IF(AND(N$175&gt;='WW Plan'!$G$22,N$175&lt;'WW Plan'!$H$22+1),'WW Plan'!$H$24/('WW Plan'!$H$22+1-'WW Plan'!$G$22),0),0)</f>
        <v>0</v>
      </c>
      <c r="O176" s="4107">
        <f>IF('WW Plan'!$E$22="Activate",IF(AND(O$175&gt;='WW Plan'!$G$22,O$175&lt;'WW Plan'!$H$22+1),'WW Plan'!$H$24/('WW Plan'!$H$22+1-'WW Plan'!$G$22),0),0)</f>
        <v>0</v>
      </c>
      <c r="P176" s="4107">
        <f>IF('WW Plan'!$E$22="Activate",IF(AND(P$175&gt;='WW Plan'!$G$22,P$175&lt;'WW Plan'!$H$22+1),'WW Plan'!$H$24/('WW Plan'!$H$22+1-'WW Plan'!$G$22),0),0)</f>
        <v>0</v>
      </c>
      <c r="Q176" s="4181" t="s">
        <v>1374</v>
      </c>
      <c r="R176" s="4109" t="s">
        <v>1377</v>
      </c>
      <c r="S176" s="4109" t="s">
        <v>1240</v>
      </c>
      <c r="T176" s="4109" t="s">
        <v>1378</v>
      </c>
      <c r="U176" s="4182" t="s">
        <v>1277</v>
      </c>
      <c r="V176" s="4109" t="s">
        <v>1278</v>
      </c>
    </row>
    <row r="177" spans="2:22" s="4118" customFormat="1" x14ac:dyDescent="0.25">
      <c r="B177" s="4133" t="s">
        <v>3120</v>
      </c>
      <c r="C177" s="4111" t="str">
        <f>'WW Plan'!F22</f>
        <v>Household survey to assess wastewater services</v>
      </c>
      <c r="D177" s="4111"/>
      <c r="E177" s="5752">
        <f>SUM($F177:$P177)</f>
        <v>0</v>
      </c>
      <c r="F177" s="4113"/>
      <c r="G177" s="4114">
        <f>(IF('WW Plan'!$E$22="Activate",IF(AND(G$175&gt;='WW Plan'!$G$22,G$175&lt;'WW Plan'!$H$22+1),G176,0),0)*Population!F$31*'WW Plan'!$H$26*G$1)/'General info'!$G$44</f>
        <v>0</v>
      </c>
      <c r="H177" s="4114">
        <f>(IF('WW Plan'!$E$22="Activate",IF(AND(H$175&gt;='WW Plan'!$G$22,H$175&lt;'WW Plan'!$H$22+1),H176,0),0)*Population!G$31*'WW Plan'!$H$26*H$1)/'General info'!$G$44</f>
        <v>0</v>
      </c>
      <c r="I177" s="4114">
        <f>(IF('WW Plan'!$E$22="Activate",IF(AND(I$175&gt;='WW Plan'!$G$22,I$175&lt;'WW Plan'!$H$22+1),I176,0),0)*Population!H$31*'WW Plan'!$H$26*I$1)/'General info'!$G$44</f>
        <v>0</v>
      </c>
      <c r="J177" s="4114">
        <f>(IF('WW Plan'!$E$22="Activate",IF(AND(J$175&gt;='WW Plan'!$G$22,J$175&lt;'WW Plan'!$H$22+1),J176,0),0)*Population!I$31*'WW Plan'!$H$26*J$1)/'General info'!$G$44</f>
        <v>0</v>
      </c>
      <c r="K177" s="4114">
        <f>(IF('WW Plan'!$E$22="Activate",IF(AND(K$175&gt;='WW Plan'!$G$22,K$175&lt;'WW Plan'!$H$22+1),K176,0),0)*Population!J$31*'WW Plan'!$H$26*K$1)/'General info'!$G$44</f>
        <v>0</v>
      </c>
      <c r="L177" s="4114">
        <f>(IF('WW Plan'!$E$22="Activate",IF(AND(L$175&gt;='WW Plan'!$G$22,L$175&lt;'WW Plan'!$H$22+1),L176,0),0)*Population!K$31*'WW Plan'!$H$26*L$1)/'General info'!$G$44</f>
        <v>0</v>
      </c>
      <c r="M177" s="4114">
        <f>(IF('WW Plan'!$E$22="Activate",IF(AND(M$175&gt;='WW Plan'!$G$22,M$175&lt;'WW Plan'!$H$22+1),M176,0),0)*Population!L$31*'WW Plan'!$H$26*M$1)/'General info'!$G$44</f>
        <v>0</v>
      </c>
      <c r="N177" s="4114">
        <f>(IF('WW Plan'!$E$22="Activate",IF(AND(N$175&gt;='WW Plan'!$G$22,N$175&lt;'WW Plan'!$H$22+1),N176,0),0)*Population!M$31*'WW Plan'!$H$26*N$1)/'General info'!$G$44</f>
        <v>0</v>
      </c>
      <c r="O177" s="4114">
        <f>(IF('WW Plan'!$E$22="Activate",IF(AND(O$175&gt;='WW Plan'!$G$22,O$175&lt;'WW Plan'!$H$22+1),O176,0),0)*Population!N$31*'WW Plan'!$H$26*O$1)/'General info'!$G$44</f>
        <v>0</v>
      </c>
      <c r="P177" s="4114">
        <f>(IF('WW Plan'!$E$22="Activate",IF(AND(P$175&gt;='WW Plan'!$G$22,P$175&lt;'WW Plan'!$H$22+1),P176,0),0)*Population!O$31*'WW Plan'!$H$26*P$1)/'General info'!$G$44</f>
        <v>0</v>
      </c>
      <c r="Q177" s="4115">
        <f ca="1">IFERROR(VLOOKUP(C177,'Action Plan finance'!$C$56:$AB$175,20,FALSE),0)</f>
        <v>0</v>
      </c>
      <c r="R177" s="4116">
        <f ca="1">IFERROR(VLOOKUP(C177,'Action Plan finance'!$C$56:$AB$175,21,FALSE),0)</f>
        <v>0</v>
      </c>
      <c r="S177" s="4116">
        <f ca="1">IFERROR(VLOOKUP(C177,'Action Plan finance'!$C$56:$AB$175,22,FALSE),0)</f>
        <v>0</v>
      </c>
      <c r="T177" s="4116">
        <f ca="1">IFERROR(VLOOKUP(C177,'Action Plan finance'!$C$56:$AB$175,23,FALSE),0)</f>
        <v>0</v>
      </c>
      <c r="U177" s="4116"/>
      <c r="V177" s="4116">
        <f ca="1">IFERROR(VLOOKUP(C177,'Action Plan finance'!$C$56:$AB$175,25,FALSE),0)</f>
        <v>1</v>
      </c>
    </row>
    <row r="178" spans="2:22" x14ac:dyDescent="0.25">
      <c r="B178" s="4133" t="s">
        <v>3121</v>
      </c>
      <c r="C178" s="4111" t="str">
        <f>'WW Plan'!F28</f>
        <v>Surveys and monitoring of open defecation sites</v>
      </c>
      <c r="D178" s="4111">
        <f>IF('WW Plan'!$E$28="Activate",'WW Plan'!$H$30,0)</f>
        <v>0</v>
      </c>
      <c r="E178" s="5752">
        <f>SUM($F178:$P178)</f>
        <v>0</v>
      </c>
      <c r="F178" s="4113"/>
      <c r="G178" s="4113">
        <f>IF('WW Plan'!$E$28="Activate",IF(AND(G$175&gt;='WW Plan'!$G$28,G$175&lt;'WW Plan'!$H$28+1),$D$178/('WW Plan'!$H$28+1-'WW Plan'!$G$28),0),0)*G$1/'General info'!$G$44</f>
        <v>0</v>
      </c>
      <c r="H178" s="4113">
        <f>IF('WW Plan'!$E$28="Activate",IF(AND(H$175&gt;='WW Plan'!$G$28,H$175&lt;'WW Plan'!$H$28+1),$D$178/('WW Plan'!$H$28+1-'WW Plan'!$G$28),0),0)*H$1/'General info'!$G$44</f>
        <v>0</v>
      </c>
      <c r="I178" s="4113">
        <f>IF('WW Plan'!$E$28="Activate",IF(AND(I$175&gt;='WW Plan'!$G$28,I$175&lt;'WW Plan'!$H$28+1),$D$178/('WW Plan'!$H$28+1-'WW Plan'!$G$28),0),0)*I$1/'General info'!$G$44</f>
        <v>0</v>
      </c>
      <c r="J178" s="4113">
        <f>IF('WW Plan'!$E$28="Activate",IF(AND(J$175&gt;='WW Plan'!$G$28,J$175&lt;'WW Plan'!$H$28+1),$D$178/('WW Plan'!$H$28+1-'WW Plan'!$G$28),0),0)*J$1/'General info'!$G$44</f>
        <v>0</v>
      </c>
      <c r="K178" s="4113">
        <f>IF('WW Plan'!$E$28="Activate",IF(AND(K$175&gt;='WW Plan'!$G$28,K$175&lt;'WW Plan'!$H$28+1),$D$178/('WW Plan'!$H$28+1-'WW Plan'!$G$28),0),0)*K$1/'General info'!$G$44</f>
        <v>0</v>
      </c>
      <c r="L178" s="4113">
        <f>IF('WW Plan'!$E$28="Activate",IF(AND(L$175&gt;='WW Plan'!$G$28,L$175&lt;'WW Plan'!$H$28+1),$D$178/('WW Plan'!$H$28+1-'WW Plan'!$G$28),0),0)*L$1/'General info'!$G$44</f>
        <v>0</v>
      </c>
      <c r="M178" s="4113">
        <f>IF('WW Plan'!$E$28="Activate",IF(AND(M$175&gt;='WW Plan'!$G$28,M$175&lt;'WW Plan'!$H$28+1),$D$178/('WW Plan'!$H$28+1-'WW Plan'!$G$28),0),0)*M$1/'General info'!$G$44</f>
        <v>0</v>
      </c>
      <c r="N178" s="4113">
        <f>IF('WW Plan'!$E$28="Activate",IF(AND(N$175&gt;='WW Plan'!$G$28,N$175&lt;'WW Plan'!$H$28+1),$D$178/('WW Plan'!$H$28+1-'WW Plan'!$G$28),0),0)*N$1/'General info'!$G$44</f>
        <v>0</v>
      </c>
      <c r="O178" s="4113">
        <f>IF('WW Plan'!$E$28="Activate",IF(AND(O$175&gt;='WW Plan'!$G$28,O$175&lt;'WW Plan'!$H$28+1),$D$178/('WW Plan'!$H$28+1-'WW Plan'!$G$28),0),0)*O$1/'General info'!$G$44</f>
        <v>0</v>
      </c>
      <c r="P178" s="4113">
        <f>IF('WW Plan'!$E$28="Activate",IF(AND(P$175&gt;='WW Plan'!$G$28,P$175&lt;'WW Plan'!$H$28+1),$D$178/('WW Plan'!$H$28+1-'WW Plan'!$G$28),0),0)*P$1/'General info'!$G$44</f>
        <v>0</v>
      </c>
      <c r="Q178" s="4115">
        <f ca="1">IFERROR(VLOOKUP(C178,'Action Plan finance'!$C$56:$AB$175,20,FALSE),0)</f>
        <v>0</v>
      </c>
      <c r="R178" s="4116">
        <f ca="1">IFERROR(VLOOKUP(C178,'Action Plan finance'!$C$56:$AB$175,21,FALSE),0)</f>
        <v>0</v>
      </c>
      <c r="S178" s="4116">
        <f ca="1">IFERROR(VLOOKUP(C178,'Action Plan finance'!$C$56:$AB$175,22,FALSE),0)</f>
        <v>0</v>
      </c>
      <c r="T178" s="4116">
        <f ca="1">IFERROR(VLOOKUP(C178,'Action Plan finance'!$C$56:$AB$175,23,FALSE),0)</f>
        <v>0</v>
      </c>
      <c r="U178" s="4116"/>
      <c r="V178" s="4116">
        <f ca="1">IFERROR(VLOOKUP(C178,'Action Plan finance'!$C$56:$AB$175,25,FALSE),0)</f>
        <v>0</v>
      </c>
    </row>
    <row r="179" spans="2:22" s="4151" customFormat="1" x14ac:dyDescent="0.25">
      <c r="B179" s="4133" t="s">
        <v>3122</v>
      </c>
      <c r="C179" s="4130" t="str">
        <f>'WW Plan'!F32</f>
        <v>Computerise wastewater records</v>
      </c>
      <c r="D179" s="4111">
        <f>IF('WW Plan'!$E$32="Activate",'WW Plan'!H33,0)</f>
        <v>0</v>
      </c>
      <c r="E179" s="5731">
        <f>SUM($F179:$P179)</f>
        <v>0</v>
      </c>
      <c r="F179" s="4113"/>
      <c r="G179" s="4113">
        <f>IF('WW Plan'!$E$32="Activate",IF(AND(G$175&gt;='WW Plan'!$G$32,G$175&lt;'WW Plan'!$H$32+1),$D$179/('WW Plan'!$H$32+1-'WW Plan'!$G$32),0),0)*G$1/'General info'!$G$44</f>
        <v>0</v>
      </c>
      <c r="H179" s="4113">
        <f>IF('WW Plan'!$E$32="Activate",IF(AND(H$175&gt;='WW Plan'!$G$32,H$175&lt;'WW Plan'!$H$32+1),$D$179/('WW Plan'!$H$32+1-'WW Plan'!$G$32),0),0)*H$1/'General info'!$G$44</f>
        <v>0</v>
      </c>
      <c r="I179" s="4113">
        <f>IF('WW Plan'!$E$32="Activate",IF(AND(I$175&gt;='WW Plan'!$G$32,I$175&lt;'WW Plan'!$H$32+1),$D$179/('WW Plan'!$H$32+1-'WW Plan'!$G$32),0),0)*I$1/'General info'!$G$44</f>
        <v>0</v>
      </c>
      <c r="J179" s="4113">
        <f>IF('WW Plan'!$E$32="Activate",IF(AND(J$175&gt;='WW Plan'!$G$32,J$175&lt;'WW Plan'!$H$32+1),$D$179/('WW Plan'!$H$32+1-'WW Plan'!$G$32),0),0)*J$1/'General info'!$G$44</f>
        <v>0</v>
      </c>
      <c r="K179" s="4113">
        <f>IF('WW Plan'!$E$32="Activate",IF(AND(K$175&gt;='WW Plan'!$G$32,K$175&lt;'WW Plan'!$H$32+1),$D$179/('WW Plan'!$H$32+1-'WW Plan'!$G$32),0),0)*K$1/'General info'!$G$44</f>
        <v>0</v>
      </c>
      <c r="L179" s="4113">
        <f>IF('WW Plan'!$E$32="Activate",IF(AND(L$175&gt;='WW Plan'!$G$32,L$175&lt;'WW Plan'!$H$32+1),$D$179/('WW Plan'!$H$32+1-'WW Plan'!$G$32),0),0)*L$1/'General info'!$G$44</f>
        <v>0</v>
      </c>
      <c r="M179" s="4113">
        <f>IF('WW Plan'!$E$32="Activate",IF(AND(M$175&gt;='WW Plan'!$G$32,M$175&lt;'WW Plan'!$H$32+1),$D$179/('WW Plan'!$H$32+1-'WW Plan'!$G$32),0),0)*M$1/'General info'!$G$44</f>
        <v>0</v>
      </c>
      <c r="N179" s="4113">
        <f>IF('WW Plan'!$E$32="Activate",IF(AND(N$175&gt;='WW Plan'!$G$32,N$175&lt;'WW Plan'!$H$32+1),$D$179/('WW Plan'!$H$32+1-'WW Plan'!$G$32),0),0)*N$1/'General info'!$G$44</f>
        <v>0</v>
      </c>
      <c r="O179" s="4113">
        <f>IF('WW Plan'!$E$32="Activate",IF(AND(O$175&gt;='WW Plan'!$G$32,O$175&lt;'WW Plan'!$H$32+1),$D$179/('WW Plan'!$H$32+1-'WW Plan'!$G$32),0),0)*O$1/'General info'!$G$44</f>
        <v>0</v>
      </c>
      <c r="P179" s="4113">
        <f>IF('WW Plan'!$E$32="Activate",IF(AND(P$175&gt;='WW Plan'!$G$32,P$175&lt;'WW Plan'!$H$32+1),$D$179/('WW Plan'!$H$32+1-'WW Plan'!$G$32),0),0)*P$1/'General info'!$G$44</f>
        <v>0</v>
      </c>
      <c r="Q179" s="4115">
        <f ca="1">IFERROR(VLOOKUP(C179,'Action Plan finance'!$C$56:$AB$175,20,FALSE),0)</f>
        <v>0</v>
      </c>
      <c r="R179" s="4116">
        <f ca="1">IFERROR(VLOOKUP(C179,'Action Plan finance'!$C$56:$AB$175,21,FALSE),0)</f>
        <v>0</v>
      </c>
      <c r="S179" s="4116">
        <f ca="1">IFERROR(VLOOKUP(C179,'Action Plan finance'!$C$56:$AB$175,22,FALSE),0)</f>
        <v>0</v>
      </c>
      <c r="T179" s="4116">
        <f ca="1">IFERROR(VLOOKUP(C179,'Action Plan finance'!$C$56:$AB$175,23,FALSE),0)</f>
        <v>0</v>
      </c>
      <c r="U179" s="4116"/>
      <c r="V179" s="4116">
        <f ca="1">IFERROR(VLOOKUP(C179,'Action Plan finance'!$C$56:$AB$175,25,FALSE),0)</f>
        <v>0</v>
      </c>
    </row>
    <row r="180" spans="2:22" x14ac:dyDescent="0.25">
      <c r="B180" s="4133" t="s">
        <v>3123</v>
      </c>
      <c r="C180" s="4111" t="str">
        <f>'WW Plan'!F38</f>
        <v>Policy for providing sanitation services in slums</v>
      </c>
      <c r="D180" s="4111"/>
      <c r="E180" s="4113"/>
      <c r="F180" s="4113"/>
      <c r="G180" s="4113"/>
      <c r="H180" s="4113"/>
      <c r="I180" s="4113"/>
      <c r="J180" s="4113"/>
      <c r="K180" s="4113"/>
      <c r="L180" s="4113"/>
      <c r="M180" s="4113"/>
      <c r="N180" s="4113"/>
      <c r="O180" s="4113"/>
      <c r="P180" s="4113"/>
      <c r="Q180" s="4115">
        <f ca="1">IFERROR(VLOOKUP(C180,'Action Plan finance'!$C$56:$AB$175,20,FALSE),0)</f>
        <v>0</v>
      </c>
      <c r="R180" s="4116">
        <f ca="1">IFERROR(VLOOKUP(C180,'Action Plan finance'!$C$56:$AB$175,21,FALSE),0)</f>
        <v>0</v>
      </c>
      <c r="S180" s="4116">
        <f ca="1">IFERROR(VLOOKUP(C180,'Action Plan finance'!$C$56:$AB$175,22,FALSE),0)</f>
        <v>0</v>
      </c>
      <c r="T180" s="4116">
        <f ca="1">IFERROR(VLOOKUP(C180,'Action Plan finance'!$C$56:$AB$175,23,FALSE),0)</f>
        <v>0</v>
      </c>
      <c r="U180" s="4116"/>
      <c r="V180" s="4116">
        <f ca="1">IFERROR(VLOOKUP(C180,'Action Plan finance'!$C$56:$AB$175,25,FALSE),0)</f>
        <v>1</v>
      </c>
    </row>
    <row r="181" spans="2:22" ht="30" x14ac:dyDescent="0.25">
      <c r="B181" s="4133" t="s">
        <v>3124</v>
      </c>
      <c r="C181" s="4111" t="str">
        <f>'WW Plan'!$F$42</f>
        <v>Improve condition of existing individual toilets by providing safe sanitation disposal system</v>
      </c>
      <c r="D181" s="4111"/>
      <c r="E181" s="5752">
        <f t="shared" ref="E181:E189" si="20">SUM($F181:$P181)</f>
        <v>63.9</v>
      </c>
      <c r="F181" s="4113"/>
      <c r="G181" s="4113">
        <f>'WW calcu'!F262*G$1</f>
        <v>63.9</v>
      </c>
      <c r="H181" s="4113">
        <f>'WW calcu'!G262*H$1</f>
        <v>0</v>
      </c>
      <c r="I181" s="4113">
        <f>'WW calcu'!H262*I$1</f>
        <v>0</v>
      </c>
      <c r="J181" s="4113">
        <f>'WW calcu'!I262*J$1</f>
        <v>0</v>
      </c>
      <c r="K181" s="4113">
        <f>'WW calcu'!J262*K$1</f>
        <v>0</v>
      </c>
      <c r="L181" s="4113">
        <f>'WW calcu'!K262*L$1</f>
        <v>0</v>
      </c>
      <c r="M181" s="4113">
        <f>'WW calcu'!L262*M$1</f>
        <v>0</v>
      </c>
      <c r="N181" s="4113">
        <f>'WW calcu'!M262*N$1</f>
        <v>0</v>
      </c>
      <c r="O181" s="4113">
        <f>'WW calcu'!N262*O$1</f>
        <v>0</v>
      </c>
      <c r="P181" s="4113">
        <f>'WW calcu'!O262*P$1</f>
        <v>0</v>
      </c>
      <c r="Q181" s="4115">
        <f ca="1">IFERROR(VLOOKUP(C181,'Action Plan finance'!$C$56:$AB$175,20,FALSE),0)</f>
        <v>0</v>
      </c>
      <c r="R181" s="4116">
        <f ca="1">IFERROR(VLOOKUP(C181,'Action Plan finance'!$C$56:$AB$175,21,FALSE),0)</f>
        <v>0</v>
      </c>
      <c r="S181" s="4116">
        <f ca="1">IFERROR(VLOOKUP(C181,'Action Plan finance'!$C$56:$AB$175,22,FALSE),0)</f>
        <v>0</v>
      </c>
      <c r="T181" s="4116">
        <f ca="1">IFERROR(VLOOKUP(C181,'Action Plan finance'!$C$56:$AB$175,23,FALSE),0)</f>
        <v>0</v>
      </c>
      <c r="U181" s="4138">
        <f>IFERROR('WW calcu'!P263/'WW calcu'!P262,0)</f>
        <v>0.60000000000000009</v>
      </c>
      <c r="V181" s="4116">
        <f ca="1">IFERROR(VLOOKUP(C181,'Action Plan finance'!$C$56:$AB$175,25,FALSE),0)</f>
        <v>0.39999999999999991</v>
      </c>
    </row>
    <row r="182" spans="2:22" s="4151" customFormat="1" x14ac:dyDescent="0.25">
      <c r="B182" s="4133" t="s">
        <v>3125</v>
      </c>
      <c r="C182" s="4130" t="str">
        <f>'WW Plan'!F57</f>
        <v>Improve condition of existing Community toilets</v>
      </c>
      <c r="D182" s="4111"/>
      <c r="E182" s="5752">
        <f t="shared" si="20"/>
        <v>73.942700000000002</v>
      </c>
      <c r="F182" s="4113"/>
      <c r="G182" s="4113">
        <f>('WW calcu'!F148+'WW calcu'!F537)*G$1</f>
        <v>23</v>
      </c>
      <c r="H182" s="4113">
        <f>('WW calcu'!G148+'WW calcu'!G537)*H$1</f>
        <v>24.610000000000003</v>
      </c>
      <c r="I182" s="4113">
        <f>('WW calcu'!H148+'WW calcu'!H537)*I$1</f>
        <v>26.332699999999999</v>
      </c>
      <c r="J182" s="4113">
        <f>('WW calcu'!I148+'WW calcu'!I537)*J$1</f>
        <v>0</v>
      </c>
      <c r="K182" s="4113">
        <f>('WW calcu'!J148+'WW calcu'!J537)*K$1</f>
        <v>0</v>
      </c>
      <c r="L182" s="4113">
        <f>('WW calcu'!K148+'WW calcu'!K537)*L$1</f>
        <v>0</v>
      </c>
      <c r="M182" s="4113">
        <f>('WW calcu'!L148+'WW calcu'!L537)*M$1</f>
        <v>0</v>
      </c>
      <c r="N182" s="4113">
        <f>('WW calcu'!M148+'WW calcu'!M537)*N$1</f>
        <v>0</v>
      </c>
      <c r="O182" s="4113">
        <f>('WW calcu'!N148+'WW calcu'!N537)*O$1</f>
        <v>0</v>
      </c>
      <c r="P182" s="4113">
        <f>('WW calcu'!O148+'WW calcu'!O537)*P$1</f>
        <v>0</v>
      </c>
      <c r="Q182" s="4115">
        <f ca="1">IFERROR(VLOOKUP(C182,'Action Plan finance'!$C$56:$AB$175,20,FALSE),0)</f>
        <v>0.2</v>
      </c>
      <c r="R182" s="4116">
        <f ca="1">IFERROR(VLOOKUP(C182,'Action Plan finance'!$C$56:$AB$175,21,FALSE),0)</f>
        <v>0.16</v>
      </c>
      <c r="S182" s="4116">
        <f ca="1">IFERROR(VLOOKUP(C182,'Action Plan finance'!$C$56:$AB$175,22,FALSE),0)</f>
        <v>0</v>
      </c>
      <c r="T182" s="4116">
        <f ca="1">IFERROR(VLOOKUP(C182,'Action Plan finance'!$C$56:$AB$175,23,FALSE),0)</f>
        <v>0</v>
      </c>
      <c r="U182" s="4116"/>
      <c r="V182" s="4116">
        <f ca="1">IFERROR(VLOOKUP(C182,'Action Plan finance'!$C$56:$AB$175,25,FALSE),0)</f>
        <v>0.64</v>
      </c>
    </row>
    <row r="183" spans="2:22" s="4151" customFormat="1" x14ac:dyDescent="0.25">
      <c r="B183" s="4133" t="s">
        <v>3126</v>
      </c>
      <c r="C183" s="4130" t="str">
        <f>'WW Plan'!F79</f>
        <v>Improve condition of existing Public toilets</v>
      </c>
      <c r="D183" s="4113"/>
      <c r="E183" s="5752">
        <f t="shared" si="20"/>
        <v>0</v>
      </c>
      <c r="F183" s="4113"/>
      <c r="G183" s="4113">
        <f>('WW calcu'!F204+'WW calcu'!F558)*G$1</f>
        <v>0</v>
      </c>
      <c r="H183" s="4113">
        <f>('WW calcu'!G204+'WW calcu'!G558)*H$1</f>
        <v>0</v>
      </c>
      <c r="I183" s="4113">
        <f>('WW calcu'!H204+'WW calcu'!H558)*I$1</f>
        <v>0</v>
      </c>
      <c r="J183" s="4113">
        <f>('WW calcu'!I204+'WW calcu'!I558)*J$1</f>
        <v>0</v>
      </c>
      <c r="K183" s="4113">
        <f>('WW calcu'!J204+'WW calcu'!J558)*K$1</f>
        <v>0</v>
      </c>
      <c r="L183" s="4113">
        <f>('WW calcu'!K204+'WW calcu'!K558)*L$1</f>
        <v>0</v>
      </c>
      <c r="M183" s="4113">
        <f>('WW calcu'!L204+'WW calcu'!L558)*M$1</f>
        <v>0</v>
      </c>
      <c r="N183" s="4113">
        <f>('WW calcu'!M204+'WW calcu'!M558)*N$1</f>
        <v>0</v>
      </c>
      <c r="O183" s="4113">
        <f>('WW calcu'!N204+'WW calcu'!N558)*O$1</f>
        <v>0</v>
      </c>
      <c r="P183" s="4113">
        <f>('WW calcu'!O204+'WW calcu'!O558)*P$1</f>
        <v>0</v>
      </c>
      <c r="Q183" s="4115">
        <f ca="1">IFERROR(VLOOKUP(C183,'Action Plan finance'!$C$56:$AB$175,20,FALSE),0)</f>
        <v>0</v>
      </c>
      <c r="R183" s="4116">
        <f ca="1">IFERROR(VLOOKUP(C183,'Action Plan finance'!$C$56:$AB$175,21,FALSE),0)</f>
        <v>0</v>
      </c>
      <c r="S183" s="4116">
        <f ca="1">IFERROR(VLOOKUP(C183,'Action Plan finance'!$C$56:$AB$175,22,FALSE),0)</f>
        <v>0</v>
      </c>
      <c r="T183" s="4116">
        <f ca="1">IFERROR(VLOOKUP(C183,'Action Plan finance'!$C$56:$AB$175,23,FALSE),0)</f>
        <v>0</v>
      </c>
      <c r="U183" s="4116"/>
      <c r="V183" s="4116">
        <f ca="1">IFERROR(VLOOKUP(C183,'Action Plan finance'!$C$56:$AB$175,25,FALSE),0)</f>
        <v>0</v>
      </c>
    </row>
    <row r="184" spans="2:22" x14ac:dyDescent="0.25">
      <c r="B184" s="4133" t="s">
        <v>3127</v>
      </c>
      <c r="C184" s="4111" t="str">
        <f>'WW Plan'!F97</f>
        <v>Refurbishment of exisiting septic tanks in city</v>
      </c>
      <c r="D184" s="4111"/>
      <c r="E184" s="5752">
        <f t="shared" si="20"/>
        <v>0</v>
      </c>
      <c r="F184" s="4113"/>
      <c r="G184" s="4113">
        <f>('WW calcu'!F286+'WW calcu'!F287)*G$1</f>
        <v>0</v>
      </c>
      <c r="H184" s="4113">
        <f>('WW calcu'!G286+'WW calcu'!G287)*H$1</f>
        <v>0</v>
      </c>
      <c r="I184" s="4113">
        <f>('WW calcu'!H286+'WW calcu'!H287)*I$1</f>
        <v>0</v>
      </c>
      <c r="J184" s="4113">
        <f>('WW calcu'!I286+'WW calcu'!I287)*J$1</f>
        <v>0</v>
      </c>
      <c r="K184" s="4113">
        <f>('WW calcu'!J286+'WW calcu'!J287)*K$1</f>
        <v>0</v>
      </c>
      <c r="L184" s="4113">
        <f>('WW calcu'!K286+'WW calcu'!K287)*L$1</f>
        <v>0</v>
      </c>
      <c r="M184" s="4113">
        <f>('WW calcu'!L286+'WW calcu'!L287)*M$1</f>
        <v>0</v>
      </c>
      <c r="N184" s="4113">
        <f>('WW calcu'!M286+'WW calcu'!M287)*N$1</f>
        <v>0</v>
      </c>
      <c r="O184" s="4113">
        <f>('WW calcu'!N286+'WW calcu'!N287)*O$1</f>
        <v>0</v>
      </c>
      <c r="P184" s="4113">
        <f>('WW calcu'!O286+'WW calcu'!O287)*P$1</f>
        <v>0</v>
      </c>
      <c r="Q184" s="4115">
        <f ca="1">IFERROR(VLOOKUP(C184,'Action Plan finance'!$C$56:$AB$175,20,FALSE),0)</f>
        <v>0</v>
      </c>
      <c r="R184" s="4116">
        <f ca="1">IFERROR(VLOOKUP(C184,'Action Plan finance'!$C$56:$AB$175,21,FALSE),0)</f>
        <v>0</v>
      </c>
      <c r="S184" s="4116">
        <f ca="1">IFERROR(VLOOKUP(C184,'Action Plan finance'!$C$56:$AB$175,22,FALSE),0)</f>
        <v>0</v>
      </c>
      <c r="T184" s="4116">
        <f ca="1">IFERROR(VLOOKUP(C184,'Action Plan finance'!$C$56:$AB$175,23,FALSE),0)</f>
        <v>0</v>
      </c>
      <c r="U184" s="4138">
        <f>IFERROR('WW calcu'!P287/('WW calcu'!P287+'WW calcu'!P286),0)</f>
        <v>0</v>
      </c>
      <c r="V184" s="4116">
        <f ca="1">IFERROR(VLOOKUP(C184,'Action Plan finance'!$C$56:$AB$175,25,FALSE),0)</f>
        <v>0</v>
      </c>
    </row>
    <row r="185" spans="2:22" ht="30" x14ac:dyDescent="0.25">
      <c r="B185" s="4133" t="s">
        <v>3128</v>
      </c>
      <c r="C185" s="4130" t="str">
        <f>'WW Plan'!F106</f>
        <v>Information, education and communication (IEC) campaigns for sanitation awareness</v>
      </c>
      <c r="D185" s="4111">
        <f>IF('WW Plan'!$E$106="Activate",'WW Plan'!$H$107,0)</f>
        <v>0</v>
      </c>
      <c r="E185" s="5731">
        <f t="shared" si="20"/>
        <v>0</v>
      </c>
      <c r="F185" s="4121"/>
      <c r="G185" s="4121">
        <f>IF('WW Plan'!$E$106="Activate",IF(AND(G$175&gt;='WW Plan'!$G$106,G$175&lt;'WW Plan'!$H$106+1),$D$185/('WW Plan'!$H$106+1-'WW Plan'!$G$106),0),0)*G$1/CurrencyMultiplier</f>
        <v>0</v>
      </c>
      <c r="H185" s="4121">
        <f>IF('WW Plan'!$E$106="Activate",IF(AND(H$175&gt;='WW Plan'!$G$106,H$175&lt;'WW Plan'!$H$106+1),$D$185/('WW Plan'!$H$106+1-'WW Plan'!$G$106),0),0)*H$1/CurrencyMultiplier</f>
        <v>0</v>
      </c>
      <c r="I185" s="4121">
        <f>IF('WW Plan'!$E$106="Activate",IF(AND(I$175&gt;='WW Plan'!$G$106,I$175&lt;'WW Plan'!$H$106+1),$D$185/('WW Plan'!$H$106+1-'WW Plan'!$G$106),0),0)*I$1/CurrencyMultiplier</f>
        <v>0</v>
      </c>
      <c r="J185" s="4121">
        <f>IF('WW Plan'!$E$106="Activate",IF(AND(J$175&gt;='WW Plan'!$G$106,J$175&lt;'WW Plan'!$H$106+1),$D$185/('WW Plan'!$H$106+1-'WW Plan'!$G$106),0),0)*J$1/CurrencyMultiplier</f>
        <v>0</v>
      </c>
      <c r="K185" s="4121">
        <f>IF('WW Plan'!$E$106="Activate",IF(AND(K$175&gt;='WW Plan'!$G$106,K$175&lt;'WW Plan'!$H$106+1),$D$185/('WW Plan'!$H$106+1-'WW Plan'!$G$106),0),0)*K$1/CurrencyMultiplier</f>
        <v>0</v>
      </c>
      <c r="L185" s="4121">
        <f>IF('WW Plan'!$E$106="Activate",IF(AND(L$175&gt;='WW Plan'!$G$106,L$175&lt;'WW Plan'!$H$106+1),$D$185/('WW Plan'!$H$106+1-'WW Plan'!$G$106),0),0)*L$1/CurrencyMultiplier</f>
        <v>0</v>
      </c>
      <c r="M185" s="4121">
        <f>IF('WW Plan'!$E$106="Activate",IF(AND(M$175&gt;='WW Plan'!$G$106,M$175&lt;'WW Plan'!$H$106+1),$D$185/('WW Plan'!$H$106+1-'WW Plan'!$G$106),0),0)*M$1/CurrencyMultiplier</f>
        <v>0</v>
      </c>
      <c r="N185" s="4121">
        <f>IF('WW Plan'!$E$106="Activate",IF(AND(N$175&gt;='WW Plan'!$G$106,N$175&lt;'WW Plan'!$H$106+1),$D$185/('WW Plan'!$H$106+1-'WW Plan'!$G$106),0),0)*N$1/CurrencyMultiplier</f>
        <v>0</v>
      </c>
      <c r="O185" s="4121">
        <f>IF('WW Plan'!$E$106="Activate",IF(AND(O$175&gt;='WW Plan'!$G$106,O$175&lt;'WW Plan'!$H$106+1),$D$185/('WW Plan'!$H$106+1-'WW Plan'!$G$106),0),0)*O$1/CurrencyMultiplier</f>
        <v>0</v>
      </c>
      <c r="P185" s="4121">
        <f>IF('WW Plan'!$E$106="Activate",IF(AND(P$175&gt;='WW Plan'!$G$106,P$175&lt;'WW Plan'!$H$106+1),$D$185/('WW Plan'!$H$106+1-'WW Plan'!$G$106),0),0)*P$1/CurrencyMultiplier</f>
        <v>0</v>
      </c>
      <c r="Q185" s="4115">
        <f ca="1">IFERROR(VLOOKUP(C185,'Action Plan finance'!$C$56:$AB$175,20,FALSE),0)</f>
        <v>0</v>
      </c>
      <c r="R185" s="4116">
        <f ca="1">IFERROR(VLOOKUP(C185,'Action Plan finance'!$C$56:$AB$175,21,FALSE),0)</f>
        <v>0</v>
      </c>
      <c r="S185" s="4116">
        <f ca="1">IFERROR(VLOOKUP(C185,'Action Plan finance'!$C$56:$AB$175,22,FALSE),0)</f>
        <v>0</v>
      </c>
      <c r="T185" s="4116">
        <f ca="1">IFERROR(VLOOKUP(C185,'Action Plan finance'!$C$56:$AB$175,23,FALSE),0)</f>
        <v>0</v>
      </c>
      <c r="U185" s="4116"/>
      <c r="V185" s="4116">
        <f ca="1">IFERROR(VLOOKUP(C185,'Action Plan finance'!$C$56:$AB$175,25,FALSE),0)</f>
        <v>0</v>
      </c>
    </row>
    <row r="186" spans="2:22" x14ac:dyDescent="0.25">
      <c r="B186" s="4133" t="s">
        <v>3129</v>
      </c>
      <c r="C186" s="4130" t="str">
        <f>'WW Plan'!F111</f>
        <v>Construct new individual toilets</v>
      </c>
      <c r="D186" s="4183"/>
      <c r="E186" s="4120">
        <f t="shared" si="20"/>
        <v>1136.921102277</v>
      </c>
      <c r="F186" s="4121"/>
      <c r="G186" s="4121">
        <f>('WW calcu'!F37+'WW calcu'!F51+'WW calcu'!F69)*G$1</f>
        <v>197.7</v>
      </c>
      <c r="H186" s="4121">
        <f>('WW calcu'!G37+'WW calcu'!G51+'WW calcu'!G69)*H$1</f>
        <v>211.53899999999999</v>
      </c>
      <c r="I186" s="4121">
        <f>('WW calcu'!H37+'WW calcu'!H51+'WW calcu'!H69)*I$1</f>
        <v>226.34672999999998</v>
      </c>
      <c r="J186" s="4121">
        <f>('WW calcu'!I37+'WW calcu'!I51+'WW calcu'!I69)*J$1</f>
        <v>242.19100109999999</v>
      </c>
      <c r="K186" s="4121">
        <f>('WW calcu'!J37+'WW calcu'!J51+'WW calcu'!J69)*K$1</f>
        <v>259.14437117700004</v>
      </c>
      <c r="L186" s="4121">
        <f>('WW calcu'!K37+'WW calcu'!K51+'WW calcu'!K69)*L$1</f>
        <v>0</v>
      </c>
      <c r="M186" s="4121">
        <f>('WW calcu'!L37+'WW calcu'!L51+'WW calcu'!L69)*M$1</f>
        <v>0</v>
      </c>
      <c r="N186" s="4121">
        <f>('WW calcu'!M37+'WW calcu'!M51+'WW calcu'!M69)*N$1</f>
        <v>0</v>
      </c>
      <c r="O186" s="4121">
        <f>('WW calcu'!N37+'WW calcu'!N51+'WW calcu'!N69)*O$1</f>
        <v>0</v>
      </c>
      <c r="P186" s="4121">
        <f>('WW calcu'!O37+'WW calcu'!O51+'WW calcu'!O69)*P$1</f>
        <v>0</v>
      </c>
      <c r="Q186" s="4115">
        <f ca="1">IFERROR(VLOOKUP(C186,'Action Plan finance'!$C$56:$AB$175,20,FALSE),0)</f>
        <v>0</v>
      </c>
      <c r="R186" s="4116">
        <f ca="1">IFERROR(VLOOKUP(C186,'Action Plan finance'!$C$56:$AB$175,21,FALSE),0)</f>
        <v>0</v>
      </c>
      <c r="S186" s="4116">
        <f ca="1">IFERROR(VLOOKUP(C186,'Action Plan finance'!$C$56:$AB$175,22,FALSE),0)</f>
        <v>0</v>
      </c>
      <c r="T186" s="4116">
        <f ca="1">IFERROR(VLOOKUP(C186,'Action Plan finance'!$C$56:$AB$175,23,FALSE),0)</f>
        <v>1</v>
      </c>
      <c r="U186" s="4138">
        <f>IFERROR(('WW calcu'!P36+'WW calcu'!P50+'WW calcu'!P68)/('WW calcu'!P37+'WW calcu'!P51+'WW calcu'!P69),0)</f>
        <v>0.6</v>
      </c>
      <c r="V186" s="4116">
        <f ca="1">IFERROR(VLOOKUP(C186,'Action Plan finance'!$C$56:$AB$175,25,FALSE),0)</f>
        <v>-0.60000000000000009</v>
      </c>
    </row>
    <row r="187" spans="2:22" x14ac:dyDescent="0.25">
      <c r="B187" s="4133" t="s">
        <v>3130</v>
      </c>
      <c r="C187" s="4130" t="str">
        <f>'WW Plan'!$F$137</f>
        <v>Construct new group toilets</v>
      </c>
      <c r="D187" s="4183"/>
      <c r="E187" s="4120">
        <f t="shared" si="20"/>
        <v>0</v>
      </c>
      <c r="F187" s="4121"/>
      <c r="G187" s="4121">
        <f>('WW calcu'!F80+'WW calcu'!F88+'WW calcu'!F96)*G$1</f>
        <v>0</v>
      </c>
      <c r="H187" s="4121">
        <f>('WW calcu'!G80+'WW calcu'!G88+'WW calcu'!G96)*H$1</f>
        <v>0</v>
      </c>
      <c r="I187" s="4121">
        <f>('WW calcu'!H80+'WW calcu'!H88+'WW calcu'!H96)*I$1</f>
        <v>0</v>
      </c>
      <c r="J187" s="4121">
        <f>('WW calcu'!I80+'WW calcu'!I88+'WW calcu'!I96)*J$1</f>
        <v>0</v>
      </c>
      <c r="K187" s="4121">
        <f>('WW calcu'!J80+'WW calcu'!J88+'WW calcu'!J96)*K$1</f>
        <v>0</v>
      </c>
      <c r="L187" s="4121">
        <f>('WW calcu'!K80+'WW calcu'!K88+'WW calcu'!K96)*L$1</f>
        <v>0</v>
      </c>
      <c r="M187" s="4121">
        <f>('WW calcu'!L80+'WW calcu'!L88+'WW calcu'!L96)*M$1</f>
        <v>0</v>
      </c>
      <c r="N187" s="4121">
        <f>('WW calcu'!M80+'WW calcu'!M88+'WW calcu'!M96)*N$1</f>
        <v>0</v>
      </c>
      <c r="O187" s="4121">
        <f>('WW calcu'!N80+'WW calcu'!N88+'WW calcu'!N96)*O$1</f>
        <v>0</v>
      </c>
      <c r="P187" s="4121">
        <f>('WW calcu'!O80+'WW calcu'!O88+'WW calcu'!O96)*P$1</f>
        <v>0</v>
      </c>
      <c r="Q187" s="4115">
        <f ca="1">IFERROR(VLOOKUP(C187,'Action Plan finance'!$C$56:$AB$175,20,FALSE),0)</f>
        <v>0</v>
      </c>
      <c r="R187" s="4116">
        <f ca="1">IFERROR(VLOOKUP(C187,'Action Plan finance'!$C$56:$AB$175,21,FALSE),0)</f>
        <v>0</v>
      </c>
      <c r="S187" s="4116">
        <f ca="1">IFERROR(VLOOKUP(C187,'Action Plan finance'!$C$56:$AB$175,22,FALSE),0)</f>
        <v>0</v>
      </c>
      <c r="T187" s="4116">
        <f ca="1">IFERROR(VLOOKUP(C187,'Action Plan finance'!$C$56:$AB$175,23,FALSE),0)</f>
        <v>0</v>
      </c>
      <c r="U187" s="4138">
        <f>IFERROR(('WW calcu'!P79+'WW calcu'!P87+'WW calcu'!P95)/('WW calcu'!P80+'WW calcu'!P88+'WW calcu'!P96),0)</f>
        <v>0</v>
      </c>
      <c r="V187" s="4116">
        <f ca="1">IFERROR(VLOOKUP(C187,'Action Plan finance'!$C$56:$AB$175,25,FALSE),0)</f>
        <v>0</v>
      </c>
    </row>
    <row r="188" spans="2:22" s="4151" customFormat="1" x14ac:dyDescent="0.25">
      <c r="B188" s="4133" t="s">
        <v>3131</v>
      </c>
      <c r="C188" s="4130" t="str">
        <f>'WW Plan'!F161</f>
        <v>Construct new community toilet blocks</v>
      </c>
      <c r="D188" s="4111"/>
      <c r="E188" s="4113">
        <f t="shared" si="20"/>
        <v>0</v>
      </c>
      <c r="F188" s="4113"/>
      <c r="G188" s="4113">
        <f>('WW calcu'!F154+'WW calcu'!F157+'WW calcu'!F160)*G$1</f>
        <v>0</v>
      </c>
      <c r="H188" s="4113">
        <f>('WW calcu'!G154+'WW calcu'!G157+'WW calcu'!G160)*H$1</f>
        <v>0</v>
      </c>
      <c r="I188" s="4113">
        <f>('WW calcu'!H154+'WW calcu'!H157+'WW calcu'!H160)*I$1</f>
        <v>0</v>
      </c>
      <c r="J188" s="4113">
        <f>('WW calcu'!I154+'WW calcu'!I157+'WW calcu'!I160)*J$1</f>
        <v>0</v>
      </c>
      <c r="K188" s="4113">
        <f>('WW calcu'!J154+'WW calcu'!J157+'WW calcu'!J160)*K$1</f>
        <v>0</v>
      </c>
      <c r="L188" s="4113">
        <f>('WW calcu'!K154+'WW calcu'!K157+'WW calcu'!K160)*L$1</f>
        <v>0</v>
      </c>
      <c r="M188" s="4113">
        <f>('WW calcu'!L154+'WW calcu'!L157+'WW calcu'!L160)*M$1</f>
        <v>0</v>
      </c>
      <c r="N188" s="4113">
        <f>('WW calcu'!M154+'WW calcu'!M157+'WW calcu'!M160)*N$1</f>
        <v>0</v>
      </c>
      <c r="O188" s="4113">
        <f>('WW calcu'!N154+'WW calcu'!N157+'WW calcu'!N160)*O$1</f>
        <v>0</v>
      </c>
      <c r="P188" s="4113">
        <f>('WW calcu'!O154+'WW calcu'!O157+'WW calcu'!O160)*P$1</f>
        <v>0</v>
      </c>
      <c r="Q188" s="4115">
        <f ca="1">IFERROR(VLOOKUP(C188,'Action Plan finance'!$C$56:$AB$175,20,FALSE),0)</f>
        <v>0</v>
      </c>
      <c r="R188" s="4116">
        <f ca="1">IFERROR(VLOOKUP(C188,'Action Plan finance'!$C$56:$AB$175,21,FALSE),0)</f>
        <v>0</v>
      </c>
      <c r="S188" s="4116">
        <f ca="1">IFERROR(VLOOKUP(C188,'Action Plan finance'!$C$56:$AB$175,22,FALSE),0)</f>
        <v>0</v>
      </c>
      <c r="T188" s="4116">
        <f ca="1">IFERROR(VLOOKUP(C188,'Action Plan finance'!$C$56:$AB$175,23,FALSE),0)</f>
        <v>0</v>
      </c>
      <c r="U188" s="4116"/>
      <c r="V188" s="4116">
        <f ca="1">IFERROR(VLOOKUP(C188,'Action Plan finance'!$C$56:$AB$175,25,FALSE),0)</f>
        <v>0</v>
      </c>
    </row>
    <row r="189" spans="2:22" x14ac:dyDescent="0.25">
      <c r="B189" s="4133" t="s">
        <v>3132</v>
      </c>
      <c r="C189" s="4111" t="str">
        <f>'WW Plan'!F182</f>
        <v>Construct new public toilet blocks</v>
      </c>
      <c r="D189" s="4111"/>
      <c r="E189" s="4113">
        <f t="shared" si="20"/>
        <v>11.787966666666666</v>
      </c>
      <c r="F189" s="4113"/>
      <c r="G189" s="4113">
        <f>'WW calcu'!F205*G$1</f>
        <v>3.6666666666666661</v>
      </c>
      <c r="H189" s="4113">
        <f>'WW calcu'!G205*H$1</f>
        <v>3.9233333333333329</v>
      </c>
      <c r="I189" s="4113">
        <f>'WW calcu'!H205*I$1</f>
        <v>4.197966666666666</v>
      </c>
      <c r="J189" s="4113">
        <f>'WW calcu'!I205*J$1</f>
        <v>0</v>
      </c>
      <c r="K189" s="4113">
        <f>'WW calcu'!J205*K$1</f>
        <v>0</v>
      </c>
      <c r="L189" s="4113">
        <f>'WW calcu'!K205*L$1</f>
        <v>0</v>
      </c>
      <c r="M189" s="4113">
        <f>'WW calcu'!L205*M$1</f>
        <v>0</v>
      </c>
      <c r="N189" s="4113">
        <f>'WW calcu'!M205*N$1</f>
        <v>0</v>
      </c>
      <c r="O189" s="4113">
        <f>'WW calcu'!N205*O$1</f>
        <v>0</v>
      </c>
      <c r="P189" s="4113">
        <f>'WW calcu'!O205*P$1</f>
        <v>0</v>
      </c>
      <c r="Q189" s="4115">
        <f ca="1">IFERROR(VLOOKUP(C189,'Action Plan finance'!$C$56:$AB$175,20,FALSE),0)</f>
        <v>0</v>
      </c>
      <c r="R189" s="4116">
        <f ca="1">IFERROR(VLOOKUP(C189,'Action Plan finance'!$C$56:$AB$175,21,FALSE),0)</f>
        <v>0</v>
      </c>
      <c r="S189" s="4116">
        <f ca="1">IFERROR(VLOOKUP(C189,'Action Plan finance'!$C$56:$AB$175,22,FALSE),0)</f>
        <v>0</v>
      </c>
      <c r="T189" s="4116">
        <f ca="1">IFERROR(VLOOKUP(C189,'Action Plan finance'!$C$56:$AB$175,23,FALSE),0)</f>
        <v>0</v>
      </c>
      <c r="U189" s="4116"/>
      <c r="V189" s="4116">
        <f ca="1">IFERROR(VLOOKUP(C189,'Action Plan finance'!$C$56:$AB$175,25,FALSE),0)</f>
        <v>1</v>
      </c>
    </row>
    <row r="190" spans="2:22" x14ac:dyDescent="0.25">
      <c r="B190" s="4102" t="s">
        <v>8</v>
      </c>
      <c r="C190" s="4168" t="s">
        <v>1447</v>
      </c>
      <c r="D190" s="4169"/>
      <c r="E190" s="4105"/>
      <c r="F190" s="4106"/>
      <c r="G190" s="4106"/>
      <c r="H190" s="4106"/>
      <c r="I190" s="4106"/>
      <c r="J190" s="4106"/>
      <c r="K190" s="4106"/>
      <c r="L190" s="4106"/>
      <c r="M190" s="4106"/>
      <c r="N190" s="4106"/>
      <c r="O190" s="4106"/>
      <c r="P190" s="4106"/>
      <c r="Q190" s="4115">
        <f ca="1">IFERROR(VLOOKUP(C190,'Action Plan finance'!$C$56:$AB$175,20,FALSE),0)</f>
        <v>0</v>
      </c>
      <c r="R190" s="4116">
        <f ca="1">IFERROR(VLOOKUP(C190,'Action Plan finance'!$C$56:$AB$175,21,FALSE),0)</f>
        <v>0</v>
      </c>
      <c r="S190" s="4116">
        <f ca="1">IFERROR(VLOOKUP(C190,'Action Plan finance'!$C$56:$AB$175,22,FALSE),0)</f>
        <v>0</v>
      </c>
      <c r="T190" s="4116">
        <f ca="1">IFERROR(VLOOKUP(C190,'Action Plan finance'!$C$56:$AB$175,23,FALSE),0)</f>
        <v>0</v>
      </c>
      <c r="U190" s="4116"/>
      <c r="V190" s="4116">
        <f ca="1">IFERROR(VLOOKUP(C190,'Action Plan finance'!$C$56:$AB$175,25,FALSE),0)</f>
        <v>0</v>
      </c>
    </row>
    <row r="191" spans="2:22" ht="30" customHeight="1" x14ac:dyDescent="0.25">
      <c r="B191" s="4133" t="s">
        <v>3133</v>
      </c>
      <c r="C191" s="4111" t="str">
        <f>'WW Plan'!F208</f>
        <v>Process improvement for new sewerage connection applications</v>
      </c>
      <c r="D191" s="4111"/>
      <c r="E191" s="4113"/>
      <c r="F191" s="4113"/>
      <c r="G191" s="4113"/>
      <c r="H191" s="4113"/>
      <c r="I191" s="4113"/>
      <c r="J191" s="4113"/>
      <c r="K191" s="4113"/>
      <c r="L191" s="4113"/>
      <c r="M191" s="4113"/>
      <c r="N191" s="4113"/>
      <c r="O191" s="4113"/>
      <c r="P191" s="4113"/>
      <c r="Q191" s="4115">
        <f ca="1">IFERROR(VLOOKUP(C191,'Action Plan finance'!$C$56:$AB$175,20,FALSE),0)</f>
        <v>0</v>
      </c>
      <c r="R191" s="4116">
        <f ca="1">IFERROR(VLOOKUP(C191,'Action Plan finance'!$C$56:$AB$175,21,FALSE),0)</f>
        <v>0</v>
      </c>
      <c r="S191" s="4116">
        <f ca="1">IFERROR(VLOOKUP(C191,'Action Plan finance'!$C$56:$AB$175,22,FALSE),0)</f>
        <v>0</v>
      </c>
      <c r="T191" s="4116">
        <f ca="1">IFERROR(VLOOKUP(C191,'Action Plan finance'!$C$56:$AB$175,23,FALSE),0)</f>
        <v>0</v>
      </c>
      <c r="U191" s="4116"/>
      <c r="V191" s="4116">
        <f ca="1">IFERROR(VLOOKUP(C191,'Action Plan finance'!$C$56:$AB$175,25,FALSE),0)</f>
        <v>0</v>
      </c>
    </row>
    <row r="192" spans="2:22" ht="30" x14ac:dyDescent="0.25">
      <c r="B192" s="4133" t="s">
        <v>3134</v>
      </c>
      <c r="C192" s="4130" t="str">
        <f>'WW Plan'!F209</f>
        <v>Improve processes for regular cleaning of drains and sewers</v>
      </c>
      <c r="D192" s="4111"/>
      <c r="E192" s="4120"/>
      <c r="F192" s="4121"/>
      <c r="G192" s="4121"/>
      <c r="H192" s="4121"/>
      <c r="I192" s="4121"/>
      <c r="J192" s="4121"/>
      <c r="K192" s="4121"/>
      <c r="L192" s="4121"/>
      <c r="M192" s="4121"/>
      <c r="N192" s="4121"/>
      <c r="O192" s="4121"/>
      <c r="P192" s="4121"/>
      <c r="Q192" s="4115">
        <f ca="1">IFERROR(VLOOKUP(C192,'Action Plan finance'!$C$56:$AB$175,20,FALSE),0)</f>
        <v>0</v>
      </c>
      <c r="R192" s="4116">
        <f ca="1">IFERROR(VLOOKUP(C192,'Action Plan finance'!$C$56:$AB$175,21,FALSE),0)</f>
        <v>0</v>
      </c>
      <c r="S192" s="4116">
        <f ca="1">IFERROR(VLOOKUP(C192,'Action Plan finance'!$C$56:$AB$175,22,FALSE),0)</f>
        <v>0</v>
      </c>
      <c r="T192" s="4116">
        <f ca="1">IFERROR(VLOOKUP(C192,'Action Plan finance'!$C$56:$AB$175,23,FALSE),0)</f>
        <v>0</v>
      </c>
      <c r="U192" s="4116"/>
      <c r="V192" s="4116">
        <f ca="1">IFERROR(VLOOKUP(C192,'Action Plan finance'!$C$56:$AB$175,25,FALSE),0)</f>
        <v>0</v>
      </c>
    </row>
    <row r="193" spans="2:22" x14ac:dyDescent="0.25">
      <c r="B193" s="4133" t="s">
        <v>3135</v>
      </c>
      <c r="C193" s="4130" t="str">
        <f>'WW Plan'!F213</f>
        <v xml:space="preserve">Regularise unauthorised sewerage connections </v>
      </c>
      <c r="D193" s="4111"/>
      <c r="E193" s="4113">
        <f t="shared" ref="E193:E207" si="21">SUM($F193:$P193)</f>
        <v>0</v>
      </c>
      <c r="F193" s="4113"/>
      <c r="G193" s="4113"/>
      <c r="H193" s="4113"/>
      <c r="I193" s="4113"/>
      <c r="J193" s="4113"/>
      <c r="K193" s="4113"/>
      <c r="L193" s="4113"/>
      <c r="M193" s="4113"/>
      <c r="N193" s="4113"/>
      <c r="O193" s="4113"/>
      <c r="P193" s="4113"/>
      <c r="Q193" s="4115">
        <f ca="1">IFERROR(VLOOKUP(C193,'Action Plan finance'!$C$56:$AB$175,20,FALSE),0)</f>
        <v>0</v>
      </c>
      <c r="R193" s="4116">
        <f ca="1">IFERROR(VLOOKUP(C193,'Action Plan finance'!$C$56:$AB$175,21,FALSE),0)</f>
        <v>0</v>
      </c>
      <c r="S193" s="4116">
        <f ca="1">IFERROR(VLOOKUP(C193,'Action Plan finance'!$C$56:$AB$175,22,FALSE),0)</f>
        <v>0</v>
      </c>
      <c r="T193" s="4116">
        <f ca="1">IFERROR(VLOOKUP(C193,'Action Plan finance'!$C$56:$AB$175,23,FALSE),0)</f>
        <v>0</v>
      </c>
      <c r="U193" s="4116"/>
      <c r="V193" s="4116">
        <f ca="1">IFERROR(VLOOKUP(C193,'Action Plan finance'!$C$56:$AB$175,25,FALSE),0)</f>
        <v>0</v>
      </c>
    </row>
    <row r="194" spans="2:22" ht="30" x14ac:dyDescent="0.25">
      <c r="B194" s="4133" t="s">
        <v>3136</v>
      </c>
      <c r="C194" s="4130" t="str">
        <f>'WW Plan'!F217</f>
        <v>Increase connections using existing sewerage network</v>
      </c>
      <c r="D194" s="4111"/>
      <c r="E194" s="4113">
        <f t="shared" si="21"/>
        <v>0</v>
      </c>
      <c r="F194" s="4113"/>
      <c r="G194" s="4113"/>
      <c r="H194" s="4113"/>
      <c r="I194" s="4113"/>
      <c r="J194" s="4113"/>
      <c r="K194" s="4113"/>
      <c r="L194" s="4113"/>
      <c r="M194" s="4113"/>
      <c r="N194" s="4113"/>
      <c r="O194" s="4113"/>
      <c r="P194" s="4113"/>
      <c r="Q194" s="4115">
        <f ca="1">IFERROR(VLOOKUP(C194,'Action Plan finance'!$C$56:$AB$175,20,FALSE),0)</f>
        <v>0</v>
      </c>
      <c r="R194" s="4116">
        <f ca="1">IFERROR(VLOOKUP(C194,'Action Plan finance'!$C$56:$AB$175,21,FALSE),0)</f>
        <v>0</v>
      </c>
      <c r="S194" s="4116">
        <f ca="1">IFERROR(VLOOKUP(C194,'Action Plan finance'!$C$56:$AB$175,22,FALSE),0)</f>
        <v>0</v>
      </c>
      <c r="T194" s="4116">
        <f ca="1">IFERROR(VLOOKUP(C194,'Action Plan finance'!$C$56:$AB$175,23,FALSE),0)</f>
        <v>0</v>
      </c>
      <c r="U194" s="4116"/>
      <c r="V194" s="4116">
        <f ca="1">IFERROR(VLOOKUP(C194,'Action Plan finance'!$C$56:$AB$175,25,FALSE),0)</f>
        <v>0</v>
      </c>
    </row>
    <row r="195" spans="2:22" x14ac:dyDescent="0.25">
      <c r="B195" s="4133" t="s">
        <v>3137</v>
      </c>
      <c r="C195" s="4184" t="str">
        <f>'WW Plan'!F225</f>
        <v>Improve existing sewerage network and plug leakages</v>
      </c>
      <c r="D195" s="4111">
        <f>IF('WW Plan'!$E$225="Activate",'WW Plan'!$H$230,0)</f>
        <v>0</v>
      </c>
      <c r="E195" s="4120">
        <f t="shared" si="21"/>
        <v>0</v>
      </c>
      <c r="F195" s="4121"/>
      <c r="G195" s="4113">
        <f>IF('WW Plan'!$E$225="Activate",IF(AND(G$175&gt;='WW Plan'!$G$225,G$175&lt;'WW Plan'!$H$225+1),$D$195/('WW Plan'!$H$225+1-'WW Plan'!$G$225),0),0)*G$1</f>
        <v>0</v>
      </c>
      <c r="H195" s="4113">
        <f>IF('WW Plan'!$E$225="Activate",IF(AND(H$175&gt;='WW Plan'!$G$225,H$175&lt;'WW Plan'!$H$225+1),$D$195/('WW Plan'!$H$225+1-'WW Plan'!$G$225),0),0)*H$1</f>
        <v>0</v>
      </c>
      <c r="I195" s="4113">
        <f>IF('WW Plan'!$E$225="Activate",IF(AND(I$175&gt;='WW Plan'!$G$225,I$175&lt;'WW Plan'!$H$225+1),$D$195/('WW Plan'!$H$225+1-'WW Plan'!$G$225),0),0)*I$1</f>
        <v>0</v>
      </c>
      <c r="J195" s="4113">
        <f>IF('WW Plan'!$E$225="Activate",IF(AND(J$175&gt;='WW Plan'!$G$225,J$175&lt;'WW Plan'!$H$225+1),$D$195/('WW Plan'!$H$225+1-'WW Plan'!$G$225),0),0)*J$1</f>
        <v>0</v>
      </c>
      <c r="K195" s="4113">
        <f>IF('WW Plan'!$E$225="Activate",IF(AND(K$175&gt;='WW Plan'!$G$225,K$175&lt;'WW Plan'!$H$225+1),$D$195/('WW Plan'!$H$225+1-'WW Plan'!$G$225),0),0)*K$1</f>
        <v>0</v>
      </c>
      <c r="L195" s="4113">
        <f>IF('WW Plan'!$E$225="Activate",IF(AND(L$175&gt;='WW Plan'!$G$225,L$175&lt;'WW Plan'!$H$225+1),$D$195/('WW Plan'!$H$225+1-'WW Plan'!$G$225),0),0)*L$1</f>
        <v>0</v>
      </c>
      <c r="M195" s="4113">
        <f>IF('WW Plan'!$E$225="Activate",IF(AND(M$175&gt;='WW Plan'!$G$225,M$175&lt;'WW Plan'!$H$225+1),$D$195/('WW Plan'!$H$225+1-'WW Plan'!$G$225),0),0)*M$1</f>
        <v>0</v>
      </c>
      <c r="N195" s="4113">
        <f>IF('WW Plan'!$E$225="Activate",IF(AND(N$175&gt;='WW Plan'!$G$225,N$175&lt;'WW Plan'!$H$225+1),$D$195/('WW Plan'!$H$225+1-'WW Plan'!$G$225),0),0)*N$1</f>
        <v>0</v>
      </c>
      <c r="O195" s="4113">
        <f>IF('WW Plan'!$E$225="Activate",IF(AND(O$175&gt;='WW Plan'!$G$225,O$175&lt;'WW Plan'!$H$225+1),$D$195/('WW Plan'!$H$225+1-'WW Plan'!$G$225),0),0)*O$1</f>
        <v>0</v>
      </c>
      <c r="P195" s="4113">
        <f>IF('WW Plan'!$E$225="Activate",IF(AND(P$175&gt;='WW Plan'!$G$225,P$175&lt;'WW Plan'!$H$225+1),$D$195/('WW Plan'!$H$225+1-'WW Plan'!$G$225),0),0)*P$1</f>
        <v>0</v>
      </c>
      <c r="Q195" s="4115">
        <f ca="1">IFERROR(VLOOKUP(C195,'Action Plan finance'!$C$56:$AB$175,20,FALSE),0)</f>
        <v>0</v>
      </c>
      <c r="R195" s="4116">
        <f ca="1">IFERROR(VLOOKUP(C195,'Action Plan finance'!$C$56:$AB$175,21,FALSE),0)</f>
        <v>0</v>
      </c>
      <c r="S195" s="4116">
        <f ca="1">IFERROR(VLOOKUP(C195,'Action Plan finance'!$C$56:$AB$175,22,FALSE),0)</f>
        <v>0</v>
      </c>
      <c r="T195" s="4116">
        <f ca="1">IFERROR(VLOOKUP(C195,'Action Plan finance'!$C$56:$AB$175,23,FALSE),0)</f>
        <v>0</v>
      </c>
      <c r="U195" s="4116"/>
      <c r="V195" s="4116">
        <f ca="1">IFERROR(VLOOKUP(C195,'Action Plan finance'!$C$56:$AB$175,25,FALSE),0)</f>
        <v>0</v>
      </c>
    </row>
    <row r="196" spans="2:22" ht="30" x14ac:dyDescent="0.25">
      <c r="B196" s="4133" t="s">
        <v>3138</v>
      </c>
      <c r="C196" s="4130" t="str">
        <f>'WW Plan'!F231</f>
        <v>Increase septage collection with existing suction emptier trucks</v>
      </c>
      <c r="D196" s="4111">
        <f>'WW Plan'!H239</f>
        <v>0</v>
      </c>
      <c r="E196" s="5731">
        <f t="shared" si="21"/>
        <v>0</v>
      </c>
      <c r="F196" s="4121"/>
      <c r="G196" s="4121">
        <f>IF('WW Plan'!$E$231="Activate",IF(AND(G$175&gt;='WW Plan'!$G$231,G$175&lt;'WW Plan'!$H$231+1),$D$196/('WW Plan'!$H$231+1-'WW Plan'!$G$231),0),0)*G$1/CurrencyMultiplier</f>
        <v>0</v>
      </c>
      <c r="H196" s="4121">
        <f>IF('WW Plan'!$E$231="Activate",IF(AND(H$175&gt;='WW Plan'!$G$231,H$175&lt;'WW Plan'!$H$231+1),$D$196/('WW Plan'!$H$231+1-'WW Plan'!$G$231),0),0)*H$1/CurrencyMultiplier</f>
        <v>0</v>
      </c>
      <c r="I196" s="4121">
        <f>IF('WW Plan'!$E$231="Activate",IF(AND(I$175&gt;='WW Plan'!$G$231,I$175&lt;'WW Plan'!$H$231+1),$D$196/('WW Plan'!$H$231+1-'WW Plan'!$G$231),0),0)*I$1/CurrencyMultiplier</f>
        <v>0</v>
      </c>
      <c r="J196" s="4121">
        <f>IF('WW Plan'!$E$231="Activate",IF(AND(J$175&gt;='WW Plan'!$G$231,J$175&lt;'WW Plan'!$H$231+1),$D$196/('WW Plan'!$H$231+1-'WW Plan'!$G$231),0),0)*J$1/CurrencyMultiplier</f>
        <v>0</v>
      </c>
      <c r="K196" s="4121">
        <f>IF('WW Plan'!$E$231="Activate",IF(AND(K$175&gt;='WW Plan'!$G$231,K$175&lt;'WW Plan'!$H$231+1),$D$196/('WW Plan'!$H$231+1-'WW Plan'!$G$231),0),0)*K$1/CurrencyMultiplier</f>
        <v>0</v>
      </c>
      <c r="L196" s="4121">
        <f>IF('WW Plan'!$E$231="Activate",IF(AND(L$175&gt;='WW Plan'!$G$231,L$175&lt;'WW Plan'!$H$231+1),$D$196/('WW Plan'!$H$231+1-'WW Plan'!$G$231),0),0)*L$1/CurrencyMultiplier</f>
        <v>0</v>
      </c>
      <c r="M196" s="4121">
        <f>IF('WW Plan'!$E$231="Activate",IF(AND(M$175&gt;='WW Plan'!$G$231,M$175&lt;'WW Plan'!$H$231+1),$D$196/('WW Plan'!$H$231+1-'WW Plan'!$G$231),0),0)*M$1/CurrencyMultiplier</f>
        <v>0</v>
      </c>
      <c r="N196" s="4121">
        <f>IF('WW Plan'!$E$231="Activate",IF(AND(N$175&gt;='WW Plan'!$G$231,N$175&lt;'WW Plan'!$H$231+1),$D$196/('WW Plan'!$H$231+1-'WW Plan'!$G$231),0),0)*N$1/CurrencyMultiplier</f>
        <v>0</v>
      </c>
      <c r="O196" s="4121">
        <f>IF('WW Plan'!$E$231="Activate",IF(AND(O$175&gt;='WW Plan'!$G$231,O$175&lt;'WW Plan'!$H$231+1),$D$196/('WW Plan'!$H$231+1-'WW Plan'!$G$231),0),0)*O$1/CurrencyMultiplier</f>
        <v>0</v>
      </c>
      <c r="P196" s="4121">
        <f>IF('WW Plan'!$E$231="Activate",IF(AND(P$175&gt;='WW Plan'!$G$231,P$175&lt;'WW Plan'!$H$231+1),$D$196/('WW Plan'!$H$231+1-'WW Plan'!$G$231),0),0)*P$1/CurrencyMultiplier</f>
        <v>0</v>
      </c>
      <c r="Q196" s="4115">
        <f ca="1">IFERROR(VLOOKUP(C196,'Action Plan finance'!$C$56:$AB$175,20,FALSE),0)</f>
        <v>0</v>
      </c>
      <c r="R196" s="4116">
        <f ca="1">IFERROR(VLOOKUP(C196,'Action Plan finance'!$C$56:$AB$175,21,FALSE),0)</f>
        <v>0</v>
      </c>
      <c r="S196" s="4116">
        <f ca="1">IFERROR(VLOOKUP(C196,'Action Plan finance'!$C$56:$AB$175,22,FALSE),0)</f>
        <v>0</v>
      </c>
      <c r="T196" s="4116">
        <f ca="1">IFERROR(VLOOKUP(C196,'Action Plan finance'!$C$56:$AB$175,23,FALSE),0)</f>
        <v>1</v>
      </c>
      <c r="U196" s="4116"/>
      <c r="V196" s="4116">
        <f ca="1">IFERROR(VLOOKUP(C196,'Action Plan finance'!$C$56:$AB$175,25,FALSE),0)</f>
        <v>0</v>
      </c>
    </row>
    <row r="197" spans="2:22" x14ac:dyDescent="0.25">
      <c r="B197" s="4133" t="s">
        <v>3139</v>
      </c>
      <c r="C197" s="4130" t="str">
        <f>'WW Plan'!F241</f>
        <v>Increase efficiency of all existing treatment plants</v>
      </c>
      <c r="D197" s="4111">
        <f>IF('WW Plan'!$E$241="Activate",'WW Plan'!$H$253,0)</f>
        <v>0</v>
      </c>
      <c r="E197" s="5731">
        <f t="shared" si="21"/>
        <v>0</v>
      </c>
      <c r="F197" s="4121"/>
      <c r="G197" s="4113">
        <f>IF('WW Plan'!$E$241="Activate",IF(AND(G$175&gt;='WW Plan'!$G$241,G$175&lt;'WW Plan'!$H$241+1),$D$197/('WW Plan'!$H$241+1-'WW Plan'!$G$241),0),0)*G$1/CurrencyMultiplier</f>
        <v>0</v>
      </c>
      <c r="H197" s="4113">
        <f>IF('WW Plan'!$E$241="Activate",IF(AND(H$175&gt;='WW Plan'!$G$241,H$175&lt;'WW Plan'!$H$241+1),$D$197/('WW Plan'!$H$241+1-'WW Plan'!$G$241),0),0)*H$1/CurrencyMultiplier</f>
        <v>0</v>
      </c>
      <c r="I197" s="4113">
        <f>IF('WW Plan'!$E$241="Activate",IF(AND(I$175&gt;='WW Plan'!$G$241,I$175&lt;'WW Plan'!$H$241+1),$D$197/('WW Plan'!$H$241+1-'WW Plan'!$G$241),0),0)*I$1/CurrencyMultiplier</f>
        <v>0</v>
      </c>
      <c r="J197" s="4113">
        <f>IF('WW Plan'!$E$241="Activate",IF(AND(J$175&gt;='WW Plan'!$G$241,J$175&lt;'WW Plan'!$H$241+1),$D$197/('WW Plan'!$H$241+1-'WW Plan'!$G$241),0),0)*J$1/CurrencyMultiplier</f>
        <v>0</v>
      </c>
      <c r="K197" s="4113">
        <f>IF('WW Plan'!$E$241="Activate",IF(AND(K$175&gt;='WW Plan'!$G$241,K$175&lt;'WW Plan'!$H$241+1),$D$197/('WW Plan'!$H$241+1-'WW Plan'!$G$241),0),0)*K$1/CurrencyMultiplier</f>
        <v>0</v>
      </c>
      <c r="L197" s="4113">
        <f>IF('WW Plan'!$E$241="Activate",IF(AND(L$175&gt;='WW Plan'!$G$241,L$175&lt;'WW Plan'!$H$241+1),$D$197/('WW Plan'!$H$241+1-'WW Plan'!$G$241),0),0)*L$1/CurrencyMultiplier</f>
        <v>0</v>
      </c>
      <c r="M197" s="4113">
        <f>IF('WW Plan'!$E$241="Activate",IF(AND(M$175&gt;='WW Plan'!$G$241,M$175&lt;'WW Plan'!$H$241+1),$D$197/('WW Plan'!$H$241+1-'WW Plan'!$G$241),0),0)*M$1/CurrencyMultiplier</f>
        <v>0</v>
      </c>
      <c r="N197" s="4113">
        <f>IF('WW Plan'!$E$241="Activate",IF(AND(N$175&gt;='WW Plan'!$G$241,N$175&lt;'WW Plan'!$H$241+1),$D$197/('WW Plan'!$H$241+1-'WW Plan'!$G$241),0),0)*N$1/CurrencyMultiplier</f>
        <v>0</v>
      </c>
      <c r="O197" s="4113">
        <f>IF('WW Plan'!$E$241="Activate",IF(AND(O$175&gt;='WW Plan'!$G$241,O$175&lt;'WW Plan'!$H$241+1),$D$197/('WW Plan'!$H$241+1-'WW Plan'!$G$241),0),0)*O$1/CurrencyMultiplier</f>
        <v>0</v>
      </c>
      <c r="P197" s="4113">
        <f>IF('WW Plan'!$E$241="Activate",IF(AND(P$175&gt;='WW Plan'!$G$241,P$175&lt;'WW Plan'!$H$241+1),$D$197/('WW Plan'!$H$241+1-'WW Plan'!$G$241),0),0)*P$1/CurrencyMultiplier</f>
        <v>0</v>
      </c>
      <c r="Q197" s="4115">
        <f ca="1">IFERROR(VLOOKUP(C197,'Action Plan finance'!$C$56:$AB$175,20,FALSE),0)</f>
        <v>0</v>
      </c>
      <c r="R197" s="4116">
        <f ca="1">IFERROR(VLOOKUP(C197,'Action Plan finance'!$C$56:$AB$175,21,FALSE),0)</f>
        <v>0</v>
      </c>
      <c r="S197" s="4116">
        <f ca="1">IFERROR(VLOOKUP(C197,'Action Plan finance'!$C$56:$AB$175,22,FALSE),0)</f>
        <v>0</v>
      </c>
      <c r="T197" s="4116">
        <f ca="1">IFERROR(VLOOKUP(C197,'Action Plan finance'!$C$56:$AB$175,23,FALSE),0)</f>
        <v>0</v>
      </c>
      <c r="U197" s="4116"/>
      <c r="V197" s="4116">
        <f ca="1">IFERROR(VLOOKUP(C197,'Action Plan finance'!$C$56:$AB$175,25,FALSE),0)</f>
        <v>0</v>
      </c>
    </row>
    <row r="198" spans="2:22" ht="30" x14ac:dyDescent="0.25">
      <c r="B198" s="4133" t="s">
        <v>3140</v>
      </c>
      <c r="C198" s="4130" t="str">
        <f>'WW Plan'!F256</f>
        <v>Upgrade open surface drains to closed drains for storm water drainage</v>
      </c>
      <c r="D198" s="4111">
        <f>IF('WW Plan'!$E$256="Activate",'WW Plan'!H261*'WW Plan'!H263,0)</f>
        <v>0</v>
      </c>
      <c r="E198" s="4120">
        <f t="shared" si="21"/>
        <v>0</v>
      </c>
      <c r="F198" s="4121"/>
      <c r="G198" s="4113">
        <f>IF('WW Plan'!$E$256="Activate",IF(AND(G$175&gt;='WW Plan'!$G$256,G$175&lt;'WW Plan'!$H$256+1),$D$198/('WW Plan'!$H$256+1-'WW Plan'!$G$256),0),0)*G$1</f>
        <v>0</v>
      </c>
      <c r="H198" s="4113">
        <f>IF('WW Plan'!$E$256="Activate",IF(AND(H$175&gt;='WW Plan'!$G$256,H$175&lt;'WW Plan'!$H$256+1),$D$198/('WW Plan'!$H$256+1-'WW Plan'!$G$256),0),0)*H$1</f>
        <v>0</v>
      </c>
      <c r="I198" s="4113">
        <f>IF('WW Plan'!$E$256="Activate",IF(AND(I$175&gt;='WW Plan'!$G$256,I$175&lt;'WW Plan'!$H$256+1),$D$198/('WW Plan'!$H$256+1-'WW Plan'!$G$256),0),0)*I$1</f>
        <v>0</v>
      </c>
      <c r="J198" s="4113">
        <f>IF('WW Plan'!$E$256="Activate",IF(AND(J$175&gt;='WW Plan'!$G$256,J$175&lt;'WW Plan'!$H$256+1),$D$198/('WW Plan'!$H$256+1-'WW Plan'!$G$256),0),0)*J$1</f>
        <v>0</v>
      </c>
      <c r="K198" s="4113">
        <f>IF('WW Plan'!$E$256="Activate",IF(AND(K$175&gt;='WW Plan'!$G$256,K$175&lt;'WW Plan'!$H$256+1),$D$198/('WW Plan'!$H$256+1-'WW Plan'!$G$256),0),0)*K$1</f>
        <v>0</v>
      </c>
      <c r="L198" s="4113">
        <f>IF('WW Plan'!$E$256="Activate",IF(AND(L$175&gt;='WW Plan'!$G$256,L$175&lt;'WW Plan'!$H$256+1),$D$198/('WW Plan'!$H$256+1-'WW Plan'!$G$256),0),0)*L$1</f>
        <v>0</v>
      </c>
      <c r="M198" s="4113">
        <f>IF('WW Plan'!$E$256="Activate",IF(AND(M$175&gt;='WW Plan'!$G$256,M$175&lt;'WW Plan'!$H$256+1),$D$198/('WW Plan'!$H$256+1-'WW Plan'!$G$256),0),0)*M$1</f>
        <v>0</v>
      </c>
      <c r="N198" s="4113">
        <f>IF('WW Plan'!$E$256="Activate",IF(AND(N$175&gt;='WW Plan'!$G$256,N$175&lt;'WW Plan'!$H$256+1),$D$198/('WW Plan'!$H$256+1-'WW Plan'!$G$256),0),0)*N$1</f>
        <v>0</v>
      </c>
      <c r="O198" s="4113">
        <f>IF('WW Plan'!$E$256="Activate",IF(AND(O$175&gt;='WW Plan'!$G$256,O$175&lt;'WW Plan'!$H$256+1),$D$198/('WW Plan'!$H$256+1-'WW Plan'!$G$256),0),0)*O$1</f>
        <v>0</v>
      </c>
      <c r="P198" s="4113">
        <f>IF('WW Plan'!$E$256="Activate",IF(AND(P$175&gt;='WW Plan'!$G$256,P$175&lt;'WW Plan'!$H$256+1),$D$198/('WW Plan'!$H$256+1-'WW Plan'!$G$256),0),0)*P$1</f>
        <v>0</v>
      </c>
      <c r="Q198" s="4115">
        <f ca="1">IFERROR(VLOOKUP(C198,'Action Plan finance'!$C$56:$AB$175,20,FALSE),0)</f>
        <v>0</v>
      </c>
      <c r="R198" s="4116">
        <f ca="1">IFERROR(VLOOKUP(C198,'Action Plan finance'!$C$56:$AB$175,21,FALSE),0)</f>
        <v>0</v>
      </c>
      <c r="S198" s="4116">
        <f ca="1">IFERROR(VLOOKUP(C198,'Action Plan finance'!$C$56:$AB$175,22,FALSE),0)</f>
        <v>0</v>
      </c>
      <c r="T198" s="4116">
        <f ca="1">IFERROR(VLOOKUP(C198,'Action Plan finance'!$C$56:$AB$175,23,FALSE),0)</f>
        <v>0</v>
      </c>
      <c r="U198" s="4116"/>
      <c r="V198" s="4116">
        <f ca="1">IFERROR(VLOOKUP(C198,'Action Plan finance'!$C$56:$AB$175,25,FALSE),0)</f>
        <v>0</v>
      </c>
    </row>
    <row r="199" spans="2:22" s="4118" customFormat="1" x14ac:dyDescent="0.25">
      <c r="B199" s="4133" t="s">
        <v>3141</v>
      </c>
      <c r="C199" s="4130" t="str">
        <f>'WW Plan'!F264</f>
        <v>Reduce water logging/flooding in city</v>
      </c>
      <c r="D199" s="4111">
        <f>'WW Plan'!H269</f>
        <v>0</v>
      </c>
      <c r="E199" s="4120">
        <f t="shared" si="21"/>
        <v>0</v>
      </c>
      <c r="F199" s="4175"/>
      <c r="G199" s="4113">
        <f>IF('WW Plan'!$E$264="Activate",IF(AND(G$175&gt;='WW Plan'!$G$264,G$175&lt;'WW Plan'!$H$264+1),$D$199/('WW Plan'!$H$264+1-'WW Plan'!$G$264),0),0)*G$1</f>
        <v>0</v>
      </c>
      <c r="H199" s="4113">
        <f>IF('WW Plan'!$E$264="Activate",IF(AND(H$175&gt;='WW Plan'!$G$264,H$175&lt;'WW Plan'!$H$264+1),$D$199/('WW Plan'!$H$264+1-'WW Plan'!$G$264),0),0)*H$1</f>
        <v>0</v>
      </c>
      <c r="I199" s="4113">
        <f>IF('WW Plan'!$E$264="Activate",IF(AND(I$175&gt;='WW Plan'!$G$264,I$175&lt;'WW Plan'!$H$264+1),$D$199/('WW Plan'!$H$264+1-'WW Plan'!$G$264),0),0)*I$1</f>
        <v>0</v>
      </c>
      <c r="J199" s="4113">
        <f>IF('WW Plan'!$E$264="Activate",IF(AND(J$175&gt;='WW Plan'!$G$264,J$175&lt;'WW Plan'!$H$264+1),$D$199/('WW Plan'!$H$264+1-'WW Plan'!$G$264),0),0)*J$1</f>
        <v>0</v>
      </c>
      <c r="K199" s="4113">
        <f>IF('WW Plan'!$E$264="Activate",IF(AND(K$175&gt;='WW Plan'!$G$264,K$175&lt;'WW Plan'!$H$264+1),$D$199/('WW Plan'!$H$264+1-'WW Plan'!$G$264),0),0)*K$1</f>
        <v>0</v>
      </c>
      <c r="L199" s="4113">
        <f>IF('WW Plan'!$E$264="Activate",IF(AND(L$175&gt;='WW Plan'!$G$264,L$175&lt;'WW Plan'!$H$264+1),$D$199/('WW Plan'!$H$264+1-'WW Plan'!$G$264),0),0)*L$1</f>
        <v>0</v>
      </c>
      <c r="M199" s="4113">
        <f>IF('WW Plan'!$E$264="Activate",IF(AND(M$175&gt;='WW Plan'!$G$264,M$175&lt;'WW Plan'!$H$264+1),$D$199/('WW Plan'!$H$264+1-'WW Plan'!$G$264),0),0)*M$1</f>
        <v>0</v>
      </c>
      <c r="N199" s="4113">
        <f>IF('WW Plan'!$E$264="Activate",IF(AND(N$175&gt;='WW Plan'!$G$264,N$175&lt;'WW Plan'!$H$264+1),$D$199/('WW Plan'!$H$264+1-'WW Plan'!$G$264),0),0)*N$1</f>
        <v>0</v>
      </c>
      <c r="O199" s="4113">
        <f>IF('WW Plan'!$E$264="Activate",IF(AND(O$175&gt;='WW Plan'!$G$264,O$175&lt;'WW Plan'!$H$264+1),$D$199/('WW Plan'!$H$264+1-'WW Plan'!$G$264),0),0)*O$1</f>
        <v>0</v>
      </c>
      <c r="P199" s="4113">
        <f>IF('WW Plan'!$E$264="Activate",IF(AND(P$175&gt;='WW Plan'!$G$264,P$175&lt;'WW Plan'!$H$264+1),$D$199/('WW Plan'!$H$264+1-'WW Plan'!$G$264),0),0)*P$1</f>
        <v>0</v>
      </c>
      <c r="Q199" s="4115">
        <f ca="1">IFERROR(VLOOKUP(C199,'Action Plan finance'!$C$56:$AB$175,20,FALSE),0)</f>
        <v>0</v>
      </c>
      <c r="R199" s="4116">
        <f ca="1">IFERROR(VLOOKUP(C199,'Action Plan finance'!$C$56:$AB$175,21,FALSE),0)</f>
        <v>0</v>
      </c>
      <c r="S199" s="4116">
        <f ca="1">IFERROR(VLOOKUP(C199,'Action Plan finance'!$C$56:$AB$175,22,FALSE),0)</f>
        <v>0</v>
      </c>
      <c r="T199" s="4116">
        <f ca="1">IFERROR(VLOOKUP(C199,'Action Plan finance'!$C$56:$AB$175,23,FALSE),0)</f>
        <v>0</v>
      </c>
      <c r="U199" s="4116"/>
      <c r="V199" s="4116">
        <f ca="1">IFERROR(VLOOKUP(C199,'Action Plan finance'!$C$56:$AB$175,25,FALSE),0)</f>
        <v>0</v>
      </c>
    </row>
    <row r="200" spans="2:22" s="4118" customFormat="1" x14ac:dyDescent="0.25">
      <c r="B200" s="4133" t="s">
        <v>3142</v>
      </c>
      <c r="C200" s="4130" t="str">
        <f>'WW Plan'!$F$275</f>
        <v xml:space="preserve">Provide soak pits for wastewater disposal </v>
      </c>
      <c r="D200" s="4111"/>
      <c r="E200" s="4120">
        <f t="shared" si="21"/>
        <v>0</v>
      </c>
      <c r="F200" s="4175"/>
      <c r="G200" s="4113">
        <f>'WW calcu'!F321*G$1</f>
        <v>0</v>
      </c>
      <c r="H200" s="4113">
        <f>'WW calcu'!G321*H$1</f>
        <v>0</v>
      </c>
      <c r="I200" s="4113">
        <f>'WW calcu'!H321*I$1</f>
        <v>0</v>
      </c>
      <c r="J200" s="4113">
        <f>'WW calcu'!I321*J$1</f>
        <v>0</v>
      </c>
      <c r="K200" s="4113">
        <f>'WW calcu'!J321*K$1</f>
        <v>0</v>
      </c>
      <c r="L200" s="4113">
        <f>'WW calcu'!K321*L$1</f>
        <v>0</v>
      </c>
      <c r="M200" s="4113">
        <f>'WW calcu'!L321*M$1</f>
        <v>0</v>
      </c>
      <c r="N200" s="4113">
        <f>'WW calcu'!M321*N$1</f>
        <v>0</v>
      </c>
      <c r="O200" s="4113">
        <f>'WW calcu'!N321*O$1</f>
        <v>0</v>
      </c>
      <c r="P200" s="4113">
        <f>'WW calcu'!O321*P$1</f>
        <v>0</v>
      </c>
      <c r="Q200" s="4115">
        <f ca="1">IFERROR(VLOOKUP(C200,'Action Plan finance'!$C$56:$AB$175,20,FALSE),0)</f>
        <v>0</v>
      </c>
      <c r="R200" s="4116">
        <f ca="1">IFERROR(VLOOKUP(C200,'Action Plan finance'!$C$56:$AB$175,21,FALSE),0)</f>
        <v>0</v>
      </c>
      <c r="S200" s="4116">
        <f ca="1">IFERROR(VLOOKUP(C200,'Action Plan finance'!$C$56:$AB$175,22,FALSE),0)</f>
        <v>0</v>
      </c>
      <c r="T200" s="4116">
        <f ca="1">IFERROR(VLOOKUP(C200,'Action Plan finance'!$C$56:$AB$175,23,FALSE),0)</f>
        <v>0</v>
      </c>
      <c r="U200" s="4138">
        <f>IFERROR('WW calcu'!P323/'WW calcu'!P321,0)</f>
        <v>0</v>
      </c>
      <c r="V200" s="4116">
        <f ca="1">IFERROR(VLOOKUP(C200,'Action Plan finance'!$C$56:$AB$175,25,FALSE),0)</f>
        <v>0</v>
      </c>
    </row>
    <row r="201" spans="2:22" s="4118" customFormat="1" x14ac:dyDescent="0.25">
      <c r="B201" s="4133" t="s">
        <v>3143</v>
      </c>
      <c r="C201" s="4130" t="str">
        <f>'WW Plan'!$F$282</f>
        <v>Lay new settled sewer for wastewater conveyance</v>
      </c>
      <c r="D201" s="4111">
        <f>'WW Plan'!G289</f>
        <v>0</v>
      </c>
      <c r="E201" s="5731">
        <f t="shared" si="21"/>
        <v>0</v>
      </c>
      <c r="F201" s="4175"/>
      <c r="G201" s="4113">
        <f>'WW calcu'!F374*G$1</f>
        <v>0</v>
      </c>
      <c r="H201" s="4113">
        <f>'WW calcu'!G374*H$1</f>
        <v>0</v>
      </c>
      <c r="I201" s="4113">
        <f>'WW calcu'!H374*I$1</f>
        <v>0</v>
      </c>
      <c r="J201" s="4113">
        <f>'WW calcu'!I374*J$1</f>
        <v>0</v>
      </c>
      <c r="K201" s="4113">
        <f>'WW calcu'!J374*K$1</f>
        <v>0</v>
      </c>
      <c r="L201" s="4113">
        <f>'WW calcu'!K374*L$1</f>
        <v>0</v>
      </c>
      <c r="M201" s="4113">
        <f>'WW calcu'!L374*M$1</f>
        <v>0</v>
      </c>
      <c r="N201" s="4113">
        <f>'WW calcu'!M374*N$1</f>
        <v>0</v>
      </c>
      <c r="O201" s="4113">
        <f>'WW calcu'!N374*O$1</f>
        <v>0</v>
      </c>
      <c r="P201" s="4113">
        <f>'WW calcu'!O374*P$1</f>
        <v>0</v>
      </c>
      <c r="Q201" s="4115">
        <f ca="1">IFERROR(VLOOKUP(C201,'Action Plan finance'!$C$56:$AB$175,20,FALSE),0)</f>
        <v>0</v>
      </c>
      <c r="R201" s="4116">
        <f ca="1">IFERROR(VLOOKUP(C201,'Action Plan finance'!$C$56:$AB$175,21,FALSE),0)</f>
        <v>0</v>
      </c>
      <c r="S201" s="4116">
        <f ca="1">IFERROR(VLOOKUP(C201,'Action Plan finance'!$C$56:$AB$175,22,FALSE),0)</f>
        <v>0</v>
      </c>
      <c r="T201" s="4116">
        <f ca="1">IFERROR(VLOOKUP(C201,'Action Plan finance'!$C$56:$AB$175,23,FALSE),0)</f>
        <v>0</v>
      </c>
      <c r="U201" s="4116"/>
      <c r="V201" s="4116">
        <f ca="1">IFERROR(VLOOKUP(C201,'Action Plan finance'!$C$56:$AB$175,25,FALSE),0)</f>
        <v>0</v>
      </c>
    </row>
    <row r="202" spans="2:22" ht="30" x14ac:dyDescent="0.25">
      <c r="B202" s="4133" t="s">
        <v>3144</v>
      </c>
      <c r="C202" s="4111" t="str">
        <f>'WW Plan'!F293</f>
        <v>Expand or lay new sewerage network for wastewater conveyance</v>
      </c>
      <c r="D202" s="4183"/>
      <c r="E202" s="4120">
        <f t="shared" si="21"/>
        <v>0</v>
      </c>
      <c r="F202" s="4121"/>
      <c r="G202" s="4121">
        <f>'WW calcu'!F497*G$1</f>
        <v>0</v>
      </c>
      <c r="H202" s="4121">
        <f>'WW calcu'!G497*H$1</f>
        <v>0</v>
      </c>
      <c r="I202" s="4121">
        <f>'WW calcu'!H497*I$1</f>
        <v>0</v>
      </c>
      <c r="J202" s="4121">
        <f>'WW calcu'!I497*J$1</f>
        <v>0</v>
      </c>
      <c r="K202" s="4121">
        <f>'WW calcu'!J497*K$1</f>
        <v>0</v>
      </c>
      <c r="L202" s="4121">
        <f>'WW calcu'!K497*L$1</f>
        <v>0</v>
      </c>
      <c r="M202" s="4121">
        <f>'WW calcu'!L497*M$1</f>
        <v>0</v>
      </c>
      <c r="N202" s="4121">
        <f>'WW calcu'!M497*N$1</f>
        <v>0</v>
      </c>
      <c r="O202" s="4121">
        <f>'WW calcu'!N497*O$1</f>
        <v>0</v>
      </c>
      <c r="P202" s="4121">
        <f>'WW calcu'!O497*P$1</f>
        <v>0</v>
      </c>
      <c r="Q202" s="4115">
        <f ca="1">IFERROR(VLOOKUP(C202,'Action Plan finance'!$C$56:$AB$175,20,FALSE),0)</f>
        <v>0</v>
      </c>
      <c r="R202" s="4116">
        <f ca="1">IFERROR(VLOOKUP(C202,'Action Plan finance'!$C$56:$AB$175,21,FALSE),0)</f>
        <v>0</v>
      </c>
      <c r="S202" s="4116">
        <f ca="1">IFERROR(VLOOKUP(C202,'Action Plan finance'!$C$56:$AB$175,22,FALSE),0)</f>
        <v>0</v>
      </c>
      <c r="T202" s="4116">
        <f ca="1">IFERROR(VLOOKUP(C202,'Action Plan finance'!$C$56:$AB$175,23,FALSE),0)</f>
        <v>0</v>
      </c>
      <c r="U202" s="4116"/>
      <c r="V202" s="4116">
        <f ca="1">IFERROR(VLOOKUP(C202,'Action Plan finance'!$C$56:$AB$175,25,FALSE),0)</f>
        <v>0</v>
      </c>
    </row>
    <row r="203" spans="2:22" x14ac:dyDescent="0.25">
      <c r="B203" s="4133" t="s">
        <v>3145</v>
      </c>
      <c r="C203" s="4130" t="str">
        <f>'WW Plan'!F308</f>
        <v>Procure new suction emptier trucks</v>
      </c>
      <c r="D203" s="4111">
        <f>IF('WW Plan'!$E$308="Activate",'WW Plan'!H319*'WW Plan'!H312,0)</f>
        <v>2400000</v>
      </c>
      <c r="E203" s="5731">
        <f t="shared" si="21"/>
        <v>24.84</v>
      </c>
      <c r="F203" s="4121"/>
      <c r="G203" s="4121">
        <f>IF('WW Plan'!$E$308="Activate",IF(AND(G$175&gt;='WW Plan'!$G$308,G$175&lt;'WW Plan'!$H$308+1),$D$203/('WW Plan'!$H$308+1-'WW Plan'!$G$308),0),0)*G$1/CurrencyMultiplier</f>
        <v>12</v>
      </c>
      <c r="H203" s="4121">
        <f>IF('WW Plan'!$E$308="Activate",IF(AND(H$175&gt;='WW Plan'!$G$308,H$175&lt;'WW Plan'!$H$308+1),$D$203/('WW Plan'!$H$308+1-'WW Plan'!$G$308),0),0)*H$1/CurrencyMultiplier</f>
        <v>12.84</v>
      </c>
      <c r="I203" s="4121">
        <f>IF('WW Plan'!$E$308="Activate",IF(AND(I$175&gt;='WW Plan'!$G$308,I$175&lt;'WW Plan'!$H$308+1),$D$203/('WW Plan'!$H$308+1-'WW Plan'!$G$308),0),0)*I$1/CurrencyMultiplier</f>
        <v>0</v>
      </c>
      <c r="J203" s="4121">
        <f>IF('WW Plan'!$E$308="Activate",IF(AND(J$175&gt;='WW Plan'!$G$308,J$175&lt;'WW Plan'!$H$308+1),$D$203/('WW Plan'!$H$308+1-'WW Plan'!$G$308),0),0)*J$1/CurrencyMultiplier</f>
        <v>0</v>
      </c>
      <c r="K203" s="4121">
        <f>IF('WW Plan'!$E$308="Activate",IF(AND(K$175&gt;='WW Plan'!$G$308,K$175&lt;'WW Plan'!$H$308+1),$D$203/('WW Plan'!$H$308+1-'WW Plan'!$G$308),0),0)*K$1/CurrencyMultiplier</f>
        <v>0</v>
      </c>
      <c r="L203" s="4121">
        <f>IF('WW Plan'!$E$308="Activate",IF(AND(L$175&gt;='WW Plan'!$G$308,L$175&lt;'WW Plan'!$H$308+1),$D$203/('WW Plan'!$H$308+1-'WW Plan'!$G$308),0),0)*L$1/CurrencyMultiplier</f>
        <v>0</v>
      </c>
      <c r="M203" s="4121">
        <f>IF('WW Plan'!$E$308="Activate",IF(AND(M$175&gt;='WW Plan'!$G$308,M$175&lt;'WW Plan'!$H$308+1),$D$203/('WW Plan'!$H$308+1-'WW Plan'!$G$308),0),0)*M$1/CurrencyMultiplier</f>
        <v>0</v>
      </c>
      <c r="N203" s="4121">
        <f>IF('WW Plan'!$E$308="Activate",IF(AND(N$175&gt;='WW Plan'!$G$308,N$175&lt;'WW Plan'!$H$308+1),$D$203/('WW Plan'!$H$308+1-'WW Plan'!$G$308),0),0)*N$1/CurrencyMultiplier</f>
        <v>0</v>
      </c>
      <c r="O203" s="4121">
        <f>IF('WW Plan'!$E$308="Activate",IF(AND(O$175&gt;='WW Plan'!$G$308,O$175&lt;'WW Plan'!$H$308+1),$D$203/('WW Plan'!$H$308+1-'WW Plan'!$G$308),0),0)*O$1/CurrencyMultiplier</f>
        <v>0</v>
      </c>
      <c r="P203" s="4121">
        <f>IF('WW Plan'!$E$308="Activate",IF(AND(P$175&gt;='WW Plan'!$G$308,P$175&lt;'WW Plan'!$H$308+1),$D$203/('WW Plan'!$H$308+1-'WW Plan'!$G$308),0),0)*P$1/CurrencyMultiplier</f>
        <v>0</v>
      </c>
      <c r="Q203" s="4115">
        <f ca="1">IFERROR(VLOOKUP(C203,'Action Plan finance'!$C$56:$AB$175,20,FALSE),0)</f>
        <v>0.5</v>
      </c>
      <c r="R203" s="4116">
        <f ca="1">IFERROR(VLOOKUP(C203,'Action Plan finance'!$C$56:$AB$175,21,FALSE),0)</f>
        <v>0.4</v>
      </c>
      <c r="S203" s="4116">
        <f ca="1">IFERROR(VLOOKUP(C203,'Action Plan finance'!$C$56:$AB$175,22,FALSE),0)</f>
        <v>0</v>
      </c>
      <c r="T203" s="4116">
        <f ca="1">IFERROR(VLOOKUP(C203,'Action Plan finance'!$C$56:$AB$175,23,FALSE),0)</f>
        <v>0</v>
      </c>
      <c r="U203" s="4116"/>
      <c r="V203" s="4116">
        <f ca="1">IFERROR(VLOOKUP(C203,'Action Plan finance'!$C$56:$AB$175,25,FALSE),0)</f>
        <v>9.9999999999999978E-2</v>
      </c>
    </row>
    <row r="204" spans="2:22" x14ac:dyDescent="0.25">
      <c r="B204" s="4133" t="s">
        <v>3146</v>
      </c>
      <c r="C204" s="4130" t="str">
        <f>'WW Plan'!F323</f>
        <v>Construct/augment fecal sludge treatment plant</v>
      </c>
      <c r="D204" s="4111">
        <f>IF('WW Plan'!$E$323="Activate",'WW Plan'!H329,0)</f>
        <v>9000000</v>
      </c>
      <c r="E204" s="5731">
        <f t="shared" si="21"/>
        <v>93.15</v>
      </c>
      <c r="F204" s="4121"/>
      <c r="G204" s="4185">
        <f>IF('WW Plan'!$E$323="Activate",IF(AND(G$175&gt;='WW Plan'!$G$323,G$175&lt;'WW Plan'!$H$323+1),$D$204/('WW Plan'!$H$323+1-'WW Plan'!$G$323),0),0)*G$1/CurrencyMultiplier</f>
        <v>45</v>
      </c>
      <c r="H204" s="4185">
        <f>IF('WW Plan'!$E$323="Activate",IF(AND(H$175&gt;='WW Plan'!$G$323,H$175&lt;'WW Plan'!$H$323+1),$D$204/('WW Plan'!$H$323+1-'WW Plan'!$G$323),0),0)*H$1/CurrencyMultiplier</f>
        <v>48.15</v>
      </c>
      <c r="I204" s="4185">
        <f>IF('WW Plan'!$E$323="Activate",IF(AND(I$175&gt;='WW Plan'!$G$323,I$175&lt;'WW Plan'!$H$323+1),$D$204/('WW Plan'!$H$323+1-'WW Plan'!$G$323),0),0)*I$1/CurrencyMultiplier</f>
        <v>0</v>
      </c>
      <c r="J204" s="4185">
        <f>IF('WW Plan'!$E$323="Activate",IF(AND(J$175&gt;='WW Plan'!$G$323,J$175&lt;'WW Plan'!$H$323+1),$D$204/('WW Plan'!$H$323+1-'WW Plan'!$G$323),0),0)*J$1/CurrencyMultiplier</f>
        <v>0</v>
      </c>
      <c r="K204" s="4185">
        <f>IF('WW Plan'!$E$323="Activate",IF(AND(K$175&gt;='WW Plan'!$G$323,K$175&lt;'WW Plan'!$H$323+1),$D$204/('WW Plan'!$H$323+1-'WW Plan'!$G$323),0),0)*K$1/CurrencyMultiplier</f>
        <v>0</v>
      </c>
      <c r="L204" s="4185">
        <f>IF('WW Plan'!$E$323="Activate",IF(AND(L$175&gt;='WW Plan'!$G$323,L$175&lt;'WW Plan'!$H$323+1),$D$204/('WW Plan'!$H$323+1-'WW Plan'!$G$323),0),0)*L$1/CurrencyMultiplier</f>
        <v>0</v>
      </c>
      <c r="M204" s="4185">
        <f>IF('WW Plan'!$E$323="Activate",IF(AND(M$175&gt;='WW Plan'!$G$323,M$175&lt;'WW Plan'!$H$323+1),$D$204/('WW Plan'!$H$323+1-'WW Plan'!$G$323),0),0)*M$1/CurrencyMultiplier</f>
        <v>0</v>
      </c>
      <c r="N204" s="4185">
        <f>IF('WW Plan'!$E$323="Activate",IF(AND(N$175&gt;='WW Plan'!$G$323,N$175&lt;'WW Plan'!$H$323+1),$D$204/('WW Plan'!$H$323+1-'WW Plan'!$G$323),0),0)*N$1/CurrencyMultiplier</f>
        <v>0</v>
      </c>
      <c r="O204" s="4185">
        <f>IF('WW Plan'!$E$323="Activate",IF(AND(O$175&gt;='WW Plan'!$G$323,O$175&lt;'WW Plan'!$H$323+1),$D$204/('WW Plan'!$H$323+1-'WW Plan'!$G$323),0),0)*O$1/CurrencyMultiplier</f>
        <v>0</v>
      </c>
      <c r="P204" s="4185">
        <f>IF('WW Plan'!$E$323="Activate",IF(AND(P$175&gt;='WW Plan'!$G$323,P$175&lt;'WW Plan'!$H$323+1),$D$204/('WW Plan'!$H$323+1-'WW Plan'!$G$323),0),0)*P$1/CurrencyMultiplier</f>
        <v>0</v>
      </c>
      <c r="Q204" s="4115">
        <f ca="1">IFERROR(VLOOKUP(C204,'Action Plan finance'!$C$56:$AB$175,20,FALSE),0)</f>
        <v>0</v>
      </c>
      <c r="R204" s="4116">
        <f ca="1">IFERROR(VLOOKUP(C204,'Action Plan finance'!$C$56:$AB$175,21,FALSE),0)</f>
        <v>0</v>
      </c>
      <c r="S204" s="4116">
        <f ca="1">IFERROR(VLOOKUP(C204,'Action Plan finance'!$C$56:$AB$175,22,FALSE),0)</f>
        <v>0</v>
      </c>
      <c r="T204" s="4116">
        <f ca="1">IFERROR(VLOOKUP(C204,'Action Plan finance'!$C$56:$AB$175,23,FALSE),0)</f>
        <v>0</v>
      </c>
      <c r="U204" s="4116"/>
      <c r="V204" s="4116">
        <f ca="1">IFERROR(VLOOKUP(C204,'Action Plan finance'!$C$56:$AB$175,25,FALSE),0)</f>
        <v>1</v>
      </c>
    </row>
    <row r="205" spans="2:22" ht="30" x14ac:dyDescent="0.25">
      <c r="B205" s="4133" t="s">
        <v>3147</v>
      </c>
      <c r="C205" s="4130" t="str">
        <f>'WW Plan'!F332</f>
        <v xml:space="preserve">Construct/augment treatment plant for effluent and sullage </v>
      </c>
      <c r="D205" s="4111">
        <f>IF('WW Plan'!$E$332="Activate",'WW Plan'!H338*'WW Plan'!H335,0)</f>
        <v>0</v>
      </c>
      <c r="E205" s="5731">
        <f t="shared" si="21"/>
        <v>0</v>
      </c>
      <c r="F205" s="4121"/>
      <c r="G205" s="4121">
        <f>IF('WW Plan'!$E$332="Activate",IF(AND(G$175&gt;='WW Plan'!$G$332,G$175&lt;'WW Plan'!$H$332+1),$D$205/('WW Plan'!$H$332+1-'WW Plan'!$G$332),0),0)*G$1/CurrencyMultiplier</f>
        <v>0</v>
      </c>
      <c r="H205" s="4121">
        <f>IF('WW Plan'!$E$332="Activate",IF(AND(H$175&gt;='WW Plan'!$G$332,H$175&lt;'WW Plan'!$H$332+1),$D$205/('WW Plan'!$H$332+1-'WW Plan'!$G$332),0),0)*H$1/CurrencyMultiplier</f>
        <v>0</v>
      </c>
      <c r="I205" s="4121">
        <f>IF('WW Plan'!$E$332="Activate",IF(AND(I$175&gt;='WW Plan'!$G$332,I$175&lt;'WW Plan'!$H$332+1),$D$205/('WW Plan'!$H$332+1-'WW Plan'!$G$332),0),0)*I$1/CurrencyMultiplier</f>
        <v>0</v>
      </c>
      <c r="J205" s="4121">
        <f>IF('WW Plan'!$E$332="Activate",IF(AND(J$175&gt;='WW Plan'!$G$332,J$175&lt;'WW Plan'!$H$332+1),$D$205/('WW Plan'!$H$332+1-'WW Plan'!$G$332),0),0)*J$1/CurrencyMultiplier</f>
        <v>0</v>
      </c>
      <c r="K205" s="4121">
        <f>IF('WW Plan'!$E$332="Activate",IF(AND(K$175&gt;='WW Plan'!$G$332,K$175&lt;'WW Plan'!$H$332+1),$D$205/('WW Plan'!$H$332+1-'WW Plan'!$G$332),0),0)*K$1/CurrencyMultiplier</f>
        <v>0</v>
      </c>
      <c r="L205" s="4121">
        <f>IF('WW Plan'!$E$332="Activate",IF(AND(L$175&gt;='WW Plan'!$G$332,L$175&lt;'WW Plan'!$H$332+1),$D$205/('WW Plan'!$H$332+1-'WW Plan'!$G$332),0),0)*L$1/CurrencyMultiplier</f>
        <v>0</v>
      </c>
      <c r="M205" s="4121">
        <f>IF('WW Plan'!$E$332="Activate",IF(AND(M$175&gt;='WW Plan'!$G$332,M$175&lt;'WW Plan'!$H$332+1),$D$205/('WW Plan'!$H$332+1-'WW Plan'!$G$332),0),0)*M$1/CurrencyMultiplier</f>
        <v>0</v>
      </c>
      <c r="N205" s="4121">
        <f>IF('WW Plan'!$E$332="Activate",IF(AND(N$175&gt;='WW Plan'!$G$332,N$175&lt;'WW Plan'!$H$332+1),$D$205/('WW Plan'!$H$332+1-'WW Plan'!$G$332),0),0)*N$1/CurrencyMultiplier</f>
        <v>0</v>
      </c>
      <c r="O205" s="4121">
        <f>IF('WW Plan'!$E$332="Activate",IF(AND(O$175&gt;='WW Plan'!$G$332,O$175&lt;'WW Plan'!$H$332+1),$D$205/('WW Plan'!$H$332+1-'WW Plan'!$G$332),0),0)*O$1/CurrencyMultiplier</f>
        <v>0</v>
      </c>
      <c r="P205" s="4121">
        <f>IF('WW Plan'!$E$332="Activate",IF(AND(P$175&gt;='WW Plan'!$G$332,P$175&lt;'WW Plan'!$H$332+1),$D$205/('WW Plan'!$H$332+1-'WW Plan'!$G$332),0),0)*P$1/CurrencyMultiplier</f>
        <v>0</v>
      </c>
      <c r="Q205" s="4115">
        <f ca="1">IFERROR(VLOOKUP(C205,'Action Plan finance'!$C$56:$AB$175,20,FALSE),0)</f>
        <v>0</v>
      </c>
      <c r="R205" s="4116">
        <f ca="1">IFERROR(VLOOKUP(C205,'Action Plan finance'!$C$56:$AB$175,21,FALSE),0)</f>
        <v>0</v>
      </c>
      <c r="S205" s="4116">
        <f ca="1">IFERROR(VLOOKUP(C205,'Action Plan finance'!$C$56:$AB$175,22,FALSE),0)</f>
        <v>0</v>
      </c>
      <c r="T205" s="4116">
        <f ca="1">IFERROR(VLOOKUP(C205,'Action Plan finance'!$C$56:$AB$175,23,FALSE),0)</f>
        <v>0</v>
      </c>
      <c r="U205" s="4116"/>
      <c r="V205" s="4116">
        <f ca="1">IFERROR(VLOOKUP(C205,'Action Plan finance'!$C$56:$AB$175,25,FALSE),0)</f>
        <v>0</v>
      </c>
    </row>
    <row r="206" spans="2:22" x14ac:dyDescent="0.25">
      <c r="B206" s="4133" t="s">
        <v>3148</v>
      </c>
      <c r="C206" s="4130" t="str">
        <f>'WW Plan'!F341</f>
        <v xml:space="preserve">Construct/augment sewage treatment plant </v>
      </c>
      <c r="D206" s="4111">
        <f>IF('WW Plan'!$E$341="Activate",'WW Plan'!H350*'WW Plan'!H344,0)</f>
        <v>0</v>
      </c>
      <c r="E206" s="5731">
        <f t="shared" si="21"/>
        <v>0</v>
      </c>
      <c r="F206" s="4113"/>
      <c r="G206" s="4113">
        <f>IF('WW Plan'!$E$341="Activate",IF(AND(G$175&gt;='WW Plan'!$G$341,G$175&lt;'WW Plan'!$H$341+1),$D$206/('WW Plan'!$H$341+1-'WW Plan'!$G$341),0),0)*G$1/CurrencyMultiplier</f>
        <v>0</v>
      </c>
      <c r="H206" s="4113">
        <f>IF('WW Plan'!$E$341="Activate",IF(AND(H$175&gt;='WW Plan'!$G$341,H$175&lt;'WW Plan'!$H$341+1),$D$206/('WW Plan'!$H$341+1-'WW Plan'!$G$341),0),0)*H$1/CurrencyMultiplier</f>
        <v>0</v>
      </c>
      <c r="I206" s="4113">
        <f>IF('WW Plan'!$E$341="Activate",IF(AND(I$175&gt;='WW Plan'!$G$341,I$175&lt;'WW Plan'!$H$341+1),$D$206/('WW Plan'!$H$341+1-'WW Plan'!$G$341),0),0)*I$1/CurrencyMultiplier</f>
        <v>0</v>
      </c>
      <c r="J206" s="4113">
        <f>IF('WW Plan'!$E$341="Activate",IF(AND(J$175&gt;='WW Plan'!$G$341,J$175&lt;'WW Plan'!$H$341+1),$D$206/('WW Plan'!$H$341+1-'WW Plan'!$G$341),0),0)*J$1/CurrencyMultiplier</f>
        <v>0</v>
      </c>
      <c r="K206" s="4113">
        <f>IF('WW Plan'!$E$341="Activate",IF(AND(K$175&gt;='WW Plan'!$G$341,K$175&lt;'WW Plan'!$H$341+1),$D$206/('WW Plan'!$H$341+1-'WW Plan'!$G$341),0),0)*K$1/CurrencyMultiplier</f>
        <v>0</v>
      </c>
      <c r="L206" s="4113">
        <f>IF('WW Plan'!$E$341="Activate",IF(AND(L$175&gt;='WW Plan'!$G$341,L$175&lt;'WW Plan'!$H$341+1),$D$206/('WW Plan'!$H$341+1-'WW Plan'!$G$341),0),0)*L$1/CurrencyMultiplier</f>
        <v>0</v>
      </c>
      <c r="M206" s="4113">
        <f>IF('WW Plan'!$E$341="Activate",IF(AND(M$175&gt;='WW Plan'!$G$341,M$175&lt;'WW Plan'!$H$341+1),$D$206/('WW Plan'!$H$341+1-'WW Plan'!$G$341),0),0)*M$1/CurrencyMultiplier</f>
        <v>0</v>
      </c>
      <c r="N206" s="4113">
        <f>IF('WW Plan'!$E$341="Activate",IF(AND(N$175&gt;='WW Plan'!$G$341,N$175&lt;'WW Plan'!$H$341+1),$D$206/('WW Plan'!$H$341+1-'WW Plan'!$G$341),0),0)*N$1/CurrencyMultiplier</f>
        <v>0</v>
      </c>
      <c r="O206" s="4113">
        <f>IF('WW Plan'!$E$341="Activate",IF(AND(O$175&gt;='WW Plan'!$G$341,O$175&lt;'WW Plan'!$H$341+1),$D$206/('WW Plan'!$H$341+1-'WW Plan'!$G$341),0),0)*O$1/CurrencyMultiplier</f>
        <v>0</v>
      </c>
      <c r="P206" s="4113">
        <f>IF('WW Plan'!$E$341="Activate",IF(AND(P$175&gt;='WW Plan'!$G$341,P$175&lt;'WW Plan'!$H$341+1),$D$206/('WW Plan'!$H$341+1-'WW Plan'!$G$341),0),0)*P$1/CurrencyMultiplier</f>
        <v>0</v>
      </c>
      <c r="Q206" s="4115">
        <f ca="1">IFERROR(VLOOKUP(C206,'Action Plan finance'!$C$56:$AB$175,20,FALSE),0)</f>
        <v>0</v>
      </c>
      <c r="R206" s="4116">
        <f ca="1">IFERROR(VLOOKUP(C206,'Action Plan finance'!$C$56:$AB$175,21,FALSE),0)</f>
        <v>0</v>
      </c>
      <c r="S206" s="4116">
        <f ca="1">IFERROR(VLOOKUP(C206,'Action Plan finance'!$C$56:$AB$175,22,FALSE),0)</f>
        <v>0</v>
      </c>
      <c r="T206" s="4116">
        <f ca="1">IFERROR(VLOOKUP(C206,'Action Plan finance'!$C$56:$AB$175,23,FALSE),0)</f>
        <v>0</v>
      </c>
      <c r="U206" s="4116"/>
      <c r="V206" s="4116">
        <f ca="1">IFERROR(VLOOKUP(C206,'Action Plan finance'!$C$56:$AB$175,25,FALSE),0)</f>
        <v>0</v>
      </c>
    </row>
    <row r="207" spans="2:22" ht="30" x14ac:dyDescent="0.25">
      <c r="B207" s="4133" t="s">
        <v>3149</v>
      </c>
      <c r="C207" s="4130" t="str">
        <f>'WW Plan'!F353</f>
        <v>Construct closed surface drains for storm water drainage</v>
      </c>
      <c r="D207" s="4111">
        <f>IF('WW Plan'!$E$353="Activate",'WW Plan'!H357*'WW Plan'!H358,0)</f>
        <v>0</v>
      </c>
      <c r="E207" s="5731">
        <f t="shared" si="21"/>
        <v>0</v>
      </c>
      <c r="F207" s="4121"/>
      <c r="G207" s="4113">
        <f>IF('WW Plan'!$E$353="Activate",IF(AND(G$175&gt;='WW Plan'!$G$353,G$175&lt;'WW Plan'!$H$353+1),$D$207/('WW Plan'!$H$353+1-'WW Plan'!$G$353),0),0)*G$1/CurrencyMultiplier</f>
        <v>0</v>
      </c>
      <c r="H207" s="4113">
        <f>IF('WW Plan'!$E$353="Activate",IF(AND(H$175&gt;='WW Plan'!$G$353,H$175&lt;'WW Plan'!$H$353+1),$D$207/('WW Plan'!$H$353+1-'WW Plan'!$G$353),0),0)*H$1/CurrencyMultiplier</f>
        <v>0</v>
      </c>
      <c r="I207" s="4113">
        <f>IF('WW Plan'!$E$353="Activate",IF(AND(I$175&gt;='WW Plan'!$G$353,I$175&lt;'WW Plan'!$H$353+1),$D$207/('WW Plan'!$H$353+1-'WW Plan'!$G$353),0),0)*I$1/CurrencyMultiplier</f>
        <v>0</v>
      </c>
      <c r="J207" s="4113">
        <f>IF('WW Plan'!$E$353="Activate",IF(AND(J$175&gt;='WW Plan'!$G$353,J$175&lt;'WW Plan'!$H$353+1),$D$207/('WW Plan'!$H$353+1-'WW Plan'!$G$353),0),0)*J$1/CurrencyMultiplier</f>
        <v>0</v>
      </c>
      <c r="K207" s="4113">
        <f>IF('WW Plan'!$E$353="Activate",IF(AND(K$175&gt;='WW Plan'!$G$353,K$175&lt;'WW Plan'!$H$353+1),$D$207/('WW Plan'!$H$353+1-'WW Plan'!$G$353),0),0)*K$1/CurrencyMultiplier</f>
        <v>0</v>
      </c>
      <c r="L207" s="4113">
        <f>IF('WW Plan'!$E$353="Activate",IF(AND(L$175&gt;='WW Plan'!$G$353,L$175&lt;'WW Plan'!$H$353+1),$D$207/('WW Plan'!$H$353+1-'WW Plan'!$G$353),0),0)*L$1/CurrencyMultiplier</f>
        <v>0</v>
      </c>
      <c r="M207" s="4113">
        <f>IF('WW Plan'!$E$353="Activate",IF(AND(M$175&gt;='WW Plan'!$G$353,M$175&lt;'WW Plan'!$H$353+1),$D$207/('WW Plan'!$H$353+1-'WW Plan'!$G$353),0),0)*M$1/CurrencyMultiplier</f>
        <v>0</v>
      </c>
      <c r="N207" s="4113">
        <f>IF('WW Plan'!$E$353="Activate",IF(AND(N$175&gt;='WW Plan'!$G$353,N$175&lt;'WW Plan'!$H$353+1),$D$207/('WW Plan'!$H$353+1-'WW Plan'!$G$353),0),0)*N$1/CurrencyMultiplier</f>
        <v>0</v>
      </c>
      <c r="O207" s="4113">
        <f>IF('WW Plan'!$E$353="Activate",IF(AND(O$175&gt;='WW Plan'!$G$353,O$175&lt;'WW Plan'!$H$353+1),$D$207/('WW Plan'!$H$353+1-'WW Plan'!$G$353),0),0)*O$1/CurrencyMultiplier</f>
        <v>0</v>
      </c>
      <c r="P207" s="4113">
        <f>IF('WW Plan'!$E$353="Activate",IF(AND(P$175&gt;='WW Plan'!$G$353,P$175&lt;'WW Plan'!$H$353+1),$D$207/('WW Plan'!$H$353+1-'WW Plan'!$G$353),0),0)*P$1/CurrencyMultiplier</f>
        <v>0</v>
      </c>
      <c r="Q207" s="4115">
        <f ca="1">IFERROR(VLOOKUP(C207,'Action Plan finance'!$C$56:$AB$175,20,FALSE),0)</f>
        <v>0</v>
      </c>
      <c r="R207" s="4116">
        <f ca="1">IFERROR(VLOOKUP(C207,'Action Plan finance'!$C$56:$AB$175,21,FALSE),0)</f>
        <v>0</v>
      </c>
      <c r="S207" s="4116">
        <f ca="1">IFERROR(VLOOKUP(C207,'Action Plan finance'!$C$56:$AB$175,22,FALSE),0)</f>
        <v>0</v>
      </c>
      <c r="T207" s="4116">
        <f ca="1">IFERROR(VLOOKUP(C207,'Action Plan finance'!$C$56:$AB$175,23,FALSE),0)</f>
        <v>0</v>
      </c>
      <c r="U207" s="4116"/>
      <c r="V207" s="4116">
        <f ca="1">IFERROR(VLOOKUP(C207,'Action Plan finance'!$C$56:$AB$175,25,FALSE),0)</f>
        <v>0</v>
      </c>
    </row>
    <row r="208" spans="2:22" x14ac:dyDescent="0.25">
      <c r="B208" s="4102" t="s">
        <v>10</v>
      </c>
      <c r="C208" s="4168" t="s">
        <v>743</v>
      </c>
      <c r="D208" s="4169"/>
      <c r="E208" s="4105"/>
      <c r="F208" s="4106"/>
      <c r="G208" s="4106"/>
      <c r="H208" s="4106"/>
      <c r="I208" s="4106"/>
      <c r="J208" s="4106"/>
      <c r="K208" s="4106"/>
      <c r="L208" s="4106"/>
      <c r="M208" s="4106"/>
      <c r="N208" s="4106"/>
      <c r="O208" s="4106"/>
      <c r="P208" s="4106"/>
      <c r="Q208" s="4115">
        <f ca="1">IFERROR(VLOOKUP(C208,'Action Plan finance'!$C$56:$AB$175,20,FALSE),0)</f>
        <v>0</v>
      </c>
      <c r="R208" s="4116">
        <f ca="1">IFERROR(VLOOKUP(C208,'Action Plan finance'!$C$56:$AB$175,21,FALSE),0)</f>
        <v>0</v>
      </c>
      <c r="S208" s="4116">
        <f ca="1">IFERROR(VLOOKUP(C208,'Action Plan finance'!$C$56:$AB$175,22,FALSE),0)</f>
        <v>0</v>
      </c>
      <c r="T208" s="4116">
        <f ca="1">IFERROR(VLOOKUP(C208,'Action Plan finance'!$C$56:$AB$175,23,FALSE),0)</f>
        <v>0</v>
      </c>
      <c r="U208" s="4116"/>
      <c r="V208" s="4116">
        <f ca="1">IFERROR(VLOOKUP(C208,'Action Plan finance'!$C$56:$AB$175,25,FALSE),0)</f>
        <v>0</v>
      </c>
    </row>
    <row r="209" spans="2:22" ht="30" x14ac:dyDescent="0.25">
      <c r="B209" s="4133" t="s">
        <v>3150</v>
      </c>
      <c r="C209" s="4130" t="str">
        <f>'WW Plan'!F366</f>
        <v>Improve wastewater and septage quality surveillance</v>
      </c>
      <c r="D209" s="4111"/>
      <c r="E209" s="4120"/>
      <c r="F209" s="4121"/>
      <c r="G209" s="4121"/>
      <c r="H209" s="4121"/>
      <c r="I209" s="4121"/>
      <c r="J209" s="4121"/>
      <c r="K209" s="4121"/>
      <c r="L209" s="4121"/>
      <c r="M209" s="4121"/>
      <c r="N209" s="4121"/>
      <c r="O209" s="4121"/>
      <c r="P209" s="4121"/>
      <c r="Q209" s="4115">
        <f ca="1">IFERROR(VLOOKUP(C209,'Action Plan finance'!$C$56:$AB$175,20,FALSE),0)</f>
        <v>0</v>
      </c>
      <c r="R209" s="4116">
        <f ca="1">IFERROR(VLOOKUP(C209,'Action Plan finance'!$C$56:$AB$175,21,FALSE),0)</f>
        <v>0</v>
      </c>
      <c r="S209" s="4116">
        <f ca="1">IFERROR(VLOOKUP(C209,'Action Plan finance'!$C$56:$AB$175,22,FALSE),0)</f>
        <v>0</v>
      </c>
      <c r="T209" s="4116">
        <f ca="1">IFERROR(VLOOKUP(C209,'Action Plan finance'!$C$56:$AB$175,23,FALSE),0)</f>
        <v>0</v>
      </c>
      <c r="U209" s="4116"/>
      <c r="V209" s="4116">
        <f ca="1">IFERROR(VLOOKUP(C209,'Action Plan finance'!$C$56:$AB$175,25,FALSE),0)</f>
        <v>0</v>
      </c>
    </row>
    <row r="210" spans="2:22" ht="30" x14ac:dyDescent="0.25">
      <c r="B210" s="4133" t="s">
        <v>3151</v>
      </c>
      <c r="C210" s="4130" t="str">
        <f>'WW Plan'!F367</f>
        <v>Improve processes for management of consumer complaints</v>
      </c>
      <c r="D210" s="4111"/>
      <c r="E210" s="4120"/>
      <c r="F210" s="4121"/>
      <c r="G210" s="4121"/>
      <c r="H210" s="4121"/>
      <c r="I210" s="4121"/>
      <c r="J210" s="4121"/>
      <c r="K210" s="4121"/>
      <c r="L210" s="4121"/>
      <c r="M210" s="4121"/>
      <c r="N210" s="4121"/>
      <c r="O210" s="4121"/>
      <c r="P210" s="4121"/>
      <c r="Q210" s="4115">
        <f ca="1">IFERROR(VLOOKUP(C210,'Action Plan finance'!$C$56:$AB$175,20,FALSE),0)</f>
        <v>0</v>
      </c>
      <c r="R210" s="4116">
        <f ca="1">IFERROR(VLOOKUP(C210,'Action Plan finance'!$C$56:$AB$175,21,FALSE),0)</f>
        <v>0</v>
      </c>
      <c r="S210" s="4116">
        <f ca="1">IFERROR(VLOOKUP(C210,'Action Plan finance'!$C$56:$AB$175,22,FALSE),0)</f>
        <v>0</v>
      </c>
      <c r="T210" s="4116">
        <f ca="1">IFERROR(VLOOKUP(C210,'Action Plan finance'!$C$56:$AB$175,23,FALSE),0)</f>
        <v>0</v>
      </c>
      <c r="U210" s="4116"/>
      <c r="V210" s="4116">
        <f ca="1">IFERROR(VLOOKUP(C210,'Action Plan finance'!$C$56:$AB$175,25,FALSE),0)</f>
        <v>0</v>
      </c>
    </row>
    <row r="211" spans="2:22" ht="30" x14ac:dyDescent="0.25">
      <c r="B211" s="4133" t="s">
        <v>3152</v>
      </c>
      <c r="C211" s="4130" t="str">
        <f>'WW Plan'!F371</f>
        <v>Increase in reuse/recycling of treated wastewater and septage</v>
      </c>
      <c r="D211" s="4111"/>
      <c r="E211" s="4120">
        <f>SUM($F211:$P211)</f>
        <v>0</v>
      </c>
      <c r="F211" s="4121"/>
      <c r="G211" s="4121">
        <f>('WW calcu'!F698+'WW calcu'!F740+'WW calcu'!F765)*G$1</f>
        <v>0</v>
      </c>
      <c r="H211" s="4121">
        <f>('WW calcu'!G698+'WW calcu'!G740+'WW calcu'!G765)*H$1</f>
        <v>0</v>
      </c>
      <c r="I211" s="4121">
        <f>('WW calcu'!H698+'WW calcu'!H740+'WW calcu'!H765)*I$1</f>
        <v>0</v>
      </c>
      <c r="J211" s="4121">
        <f>('WW calcu'!I698+'WW calcu'!I740+'WW calcu'!I765)*J$1</f>
        <v>0</v>
      </c>
      <c r="K211" s="4121">
        <f>('WW calcu'!J698+'WW calcu'!J740+'WW calcu'!J765)*K$1</f>
        <v>0</v>
      </c>
      <c r="L211" s="4121">
        <f>('WW calcu'!K698+'WW calcu'!K740+'WW calcu'!K765)*L$1</f>
        <v>0</v>
      </c>
      <c r="M211" s="4121">
        <f>('WW calcu'!L698+'WW calcu'!L740+'WW calcu'!L765)*M$1</f>
        <v>0</v>
      </c>
      <c r="N211" s="4121">
        <f>('WW calcu'!M698+'WW calcu'!M740+'WW calcu'!M765)*N$1</f>
        <v>0</v>
      </c>
      <c r="O211" s="4121">
        <f>('WW calcu'!N698+'WW calcu'!N740+'WW calcu'!N765)*O$1</f>
        <v>0</v>
      </c>
      <c r="P211" s="4121">
        <f>('WW calcu'!O698+'WW calcu'!O740+'WW calcu'!O765)*P$1</f>
        <v>0</v>
      </c>
      <c r="Q211" s="4115">
        <f ca="1">IFERROR(VLOOKUP(C211,'Action Plan finance'!$C$56:$AB$175,20,FALSE),0)</f>
        <v>0</v>
      </c>
      <c r="R211" s="4116">
        <f ca="1">IFERROR(VLOOKUP(C211,'Action Plan finance'!$C$56:$AB$175,21,FALSE),0)</f>
        <v>0</v>
      </c>
      <c r="S211" s="4116">
        <f ca="1">IFERROR(VLOOKUP(C211,'Action Plan finance'!$C$56:$AB$175,22,FALSE),0)</f>
        <v>0</v>
      </c>
      <c r="T211" s="4116">
        <f ca="1">IFERROR(VLOOKUP(C211,'Action Plan finance'!$C$56:$AB$175,23,FALSE),0)</f>
        <v>0</v>
      </c>
      <c r="U211" s="4116"/>
      <c r="V211" s="4116">
        <f ca="1">IFERROR(VLOOKUP(C211,'Action Plan finance'!$C$56:$AB$175,25,FALSE),0)</f>
        <v>0</v>
      </c>
    </row>
    <row r="212" spans="2:22" ht="30" x14ac:dyDescent="0.25">
      <c r="B212" s="4133" t="s">
        <v>3153</v>
      </c>
      <c r="C212" s="4130" t="str">
        <f>'WW Plan'!F393</f>
        <v>Conduct regular wastewater and septage quality tests at laboratory, if not done</v>
      </c>
      <c r="D212" s="4111"/>
      <c r="E212" s="4120">
        <f>SUM($F212:$P212)</f>
        <v>0</v>
      </c>
      <c r="F212" s="4121"/>
      <c r="G212" s="4121"/>
      <c r="H212" s="4121"/>
      <c r="I212" s="4121"/>
      <c r="J212" s="4121"/>
      <c r="K212" s="4121"/>
      <c r="L212" s="4121"/>
      <c r="M212" s="4121"/>
      <c r="N212" s="4121"/>
      <c r="O212" s="4121"/>
      <c r="P212" s="4121"/>
      <c r="Q212" s="4115">
        <f ca="1">IFERROR(VLOOKUP(C212,'Action Plan finance'!$C$56:$AB$175,20,FALSE),0)</f>
        <v>0</v>
      </c>
      <c r="R212" s="4116">
        <f ca="1">IFERROR(VLOOKUP(C212,'Action Plan finance'!$C$56:$AB$175,21,FALSE),0)</f>
        <v>0</v>
      </c>
      <c r="S212" s="4116">
        <f ca="1">IFERROR(VLOOKUP(C212,'Action Plan finance'!$C$56:$AB$175,22,FALSE),0)</f>
        <v>0</v>
      </c>
      <c r="T212" s="4116">
        <f ca="1">IFERROR(VLOOKUP(C212,'Action Plan finance'!$C$56:$AB$175,23,FALSE),0)</f>
        <v>0</v>
      </c>
      <c r="U212" s="4116"/>
      <c r="V212" s="4116">
        <f ca="1">IFERROR(VLOOKUP(C212,'Action Plan finance'!$C$56:$AB$175,25,FALSE),0)</f>
        <v>0</v>
      </c>
    </row>
    <row r="213" spans="2:22" x14ac:dyDescent="0.25">
      <c r="B213" s="4133" t="s">
        <v>3154</v>
      </c>
      <c r="C213" s="4130" t="str">
        <f>'WW Plan'!F397</f>
        <v>Improve consumer grievance redressal system</v>
      </c>
      <c r="D213" s="4111">
        <f>'WW Plan'!H400</f>
        <v>0</v>
      </c>
      <c r="E213" s="5731">
        <f>SUM($F213:$P213)</f>
        <v>0</v>
      </c>
      <c r="F213" s="4121"/>
      <c r="G213" s="4121">
        <f>IF('WW Plan'!$E$397="Activate",IF(AND(G$175&gt;='WW Plan'!$G$397,G$175&lt;'WW Plan'!$H$397+1),$D$213/(CurrencyMultiplier*('WW Plan'!$H$397+1-'WW Plan'!$G$397)),0),0)*G$1</f>
        <v>0</v>
      </c>
      <c r="H213" s="4121">
        <f>IF('WW Plan'!$E$397="Activate",IF(AND(H$175&gt;='WW Plan'!$G$397,H$175&lt;'WW Plan'!$H$397+1),$D$213/(CurrencyMultiplier*('WW Plan'!$H$397+1-'WW Plan'!$G$397)),0),0)*H$1</f>
        <v>0</v>
      </c>
      <c r="I213" s="4121">
        <f>IF('WW Plan'!$E$397="Activate",IF(AND(I$175&gt;='WW Plan'!$G$397,I$175&lt;'WW Plan'!$H$397+1),$D$213/(CurrencyMultiplier*('WW Plan'!$H$397+1-'WW Plan'!$G$397)),0),0)*I$1</f>
        <v>0</v>
      </c>
      <c r="J213" s="4121">
        <f>IF('WW Plan'!$E$397="Activate",IF(AND(J$175&gt;='WW Plan'!$G$397,J$175&lt;'WW Plan'!$H$397+1),$D$213/(CurrencyMultiplier*('WW Plan'!$H$397+1-'WW Plan'!$G$397)),0),0)*J$1</f>
        <v>0</v>
      </c>
      <c r="K213" s="4121">
        <f>IF('WW Plan'!$E$397="Activate",IF(AND(K$175&gt;='WW Plan'!$G$397,K$175&lt;'WW Plan'!$H$397+1),$D$213/(CurrencyMultiplier*('WW Plan'!$H$397+1-'WW Plan'!$G$397)),0),0)*K$1</f>
        <v>0</v>
      </c>
      <c r="L213" s="4121">
        <f>IF('WW Plan'!$E$397="Activate",IF(AND(L$175&gt;='WW Plan'!$G$397,L$175&lt;'WW Plan'!$H$397+1),$D$213/(CurrencyMultiplier*('WW Plan'!$H$397+1-'WW Plan'!$G$397)),0),0)*L$1</f>
        <v>0</v>
      </c>
      <c r="M213" s="4121">
        <f>IF('WW Plan'!$E$397="Activate",IF(AND(M$175&gt;='WW Plan'!$G$397,M$175&lt;'WW Plan'!$H$397+1),$D$213/(CurrencyMultiplier*('WW Plan'!$H$397+1-'WW Plan'!$G$397)),0),0)*M$1</f>
        <v>0</v>
      </c>
      <c r="N213" s="4121">
        <f>IF('WW Plan'!$E$397="Activate",IF(AND(N$175&gt;='WW Plan'!$G$397,N$175&lt;'WW Plan'!$H$397+1),$D$213/(CurrencyMultiplier*('WW Plan'!$H$397+1-'WW Plan'!$G$397)),0),0)*N$1</f>
        <v>0</v>
      </c>
      <c r="O213" s="4121">
        <f>IF('WW Plan'!$E$397="Activate",IF(AND(O$175&gt;='WW Plan'!$G$397,O$175&lt;'WW Plan'!$H$397+1),$D$213/(CurrencyMultiplier*('WW Plan'!$H$397+1-'WW Plan'!$G$397)),0),0)*O$1</f>
        <v>0</v>
      </c>
      <c r="P213" s="4121">
        <f>IF('WW Plan'!$E$397="Activate",IF(AND(P$175&gt;='WW Plan'!$G$397,P$175&lt;'WW Plan'!$H$397+1),$D$213/(CurrencyMultiplier*('WW Plan'!$H$397+1-'WW Plan'!$G$397)),0),0)*P$1</f>
        <v>0</v>
      </c>
      <c r="Q213" s="4115">
        <f ca="1">IFERROR(VLOOKUP(C213,'Action Plan finance'!$C$56:$AB$175,20,FALSE),0)</f>
        <v>0</v>
      </c>
      <c r="R213" s="4116">
        <f ca="1">IFERROR(VLOOKUP(C213,'Action Plan finance'!$C$56:$AB$175,21,FALSE),0)</f>
        <v>0</v>
      </c>
      <c r="S213" s="4116">
        <f ca="1">IFERROR(VLOOKUP(C213,'Action Plan finance'!$C$56:$AB$175,22,FALSE),0)</f>
        <v>0</v>
      </c>
      <c r="T213" s="4116">
        <f ca="1">IFERROR(VLOOKUP(C213,'Action Plan finance'!$C$56:$AB$175,23,FALSE),0)</f>
        <v>0</v>
      </c>
      <c r="U213" s="4116"/>
      <c r="V213" s="4116">
        <f ca="1">IFERROR(VLOOKUP(C213,'Action Plan finance'!$C$56:$AB$175,25,FALSE),0)</f>
        <v>0</v>
      </c>
    </row>
    <row r="214" spans="2:22" x14ac:dyDescent="0.25">
      <c r="B214" s="4102" t="s">
        <v>12</v>
      </c>
      <c r="C214" s="4168" t="s">
        <v>457</v>
      </c>
      <c r="D214" s="4169"/>
      <c r="E214" s="4105"/>
      <c r="F214" s="4106"/>
      <c r="G214" s="4106"/>
      <c r="H214" s="4106"/>
      <c r="I214" s="4106"/>
      <c r="J214" s="4106"/>
      <c r="K214" s="4106"/>
      <c r="L214" s="4106"/>
      <c r="M214" s="4106"/>
      <c r="N214" s="4106"/>
      <c r="O214" s="4106"/>
      <c r="P214" s="4106"/>
      <c r="Q214" s="4115">
        <f ca="1">IFERROR(VLOOKUP(C214,'Action Plan finance'!$C$56:$AB$175,20,FALSE),0)</f>
        <v>0</v>
      </c>
      <c r="R214" s="4116">
        <f ca="1">IFERROR(VLOOKUP(C214,'Action Plan finance'!$C$56:$AB$175,21,FALSE),0)</f>
        <v>0</v>
      </c>
      <c r="S214" s="4116">
        <f ca="1">IFERROR(VLOOKUP(C214,'Action Plan finance'!$C$56:$AB$175,22,FALSE),0)</f>
        <v>0</v>
      </c>
      <c r="T214" s="4116">
        <f ca="1">IFERROR(VLOOKUP(C214,'Action Plan finance'!$C$56:$AB$175,23,FALSE),0)</f>
        <v>0</v>
      </c>
      <c r="U214" s="4116"/>
      <c r="V214" s="4116">
        <f ca="1">IFERROR(VLOOKUP(C214,'Action Plan finance'!$C$56:$AB$175,25,FALSE),0)</f>
        <v>0</v>
      </c>
    </row>
    <row r="215" spans="2:22" x14ac:dyDescent="0.25">
      <c r="B215" s="4133" t="s">
        <v>3155</v>
      </c>
      <c r="C215" s="4111" t="str">
        <f>'WW Plan'!F407</f>
        <v>Improve billing and collection of wastewater bills</v>
      </c>
      <c r="D215" s="4111"/>
      <c r="E215" s="4120"/>
      <c r="F215" s="4121"/>
      <c r="G215" s="4121"/>
      <c r="H215" s="4121"/>
      <c r="I215" s="4121"/>
      <c r="J215" s="4121"/>
      <c r="K215" s="4121"/>
      <c r="L215" s="4121"/>
      <c r="M215" s="4121"/>
      <c r="N215" s="4121"/>
      <c r="O215" s="4121"/>
      <c r="P215" s="4121"/>
      <c r="Q215" s="4115">
        <f ca="1">IFERROR(VLOOKUP(C215,'Action Plan finance'!$C$56:$AB$175,20,FALSE),0)</f>
        <v>0</v>
      </c>
      <c r="R215" s="4116">
        <f ca="1">IFERROR(VLOOKUP(C215,'Action Plan finance'!$C$56:$AB$175,21,FALSE),0)</f>
        <v>0</v>
      </c>
      <c r="S215" s="4116">
        <f ca="1">IFERROR(VLOOKUP(C215,'Action Plan finance'!$C$56:$AB$175,22,FALSE),0)</f>
        <v>0</v>
      </c>
      <c r="T215" s="4116">
        <f ca="1">IFERROR(VLOOKUP(C215,'Action Plan finance'!$C$56:$AB$175,23,FALSE),0)</f>
        <v>0</v>
      </c>
      <c r="U215" s="4116"/>
      <c r="V215" s="4116">
        <f ca="1">IFERROR(VLOOKUP(C215,'Action Plan finance'!$C$56:$AB$175,25,FALSE),0)</f>
        <v>0</v>
      </c>
    </row>
    <row r="216" spans="2:22" ht="30" x14ac:dyDescent="0.25">
      <c r="B216" s="4133" t="s">
        <v>3156</v>
      </c>
      <c r="C216" s="4111" t="str">
        <f>'WW Plan'!F411</f>
        <v>Improve collection efficiency of wastewater charges and taxes</v>
      </c>
      <c r="D216" s="4111">
        <f>IF('WW Plan'!$E$411="Activate",'WW Plan'!H$416,0)</f>
        <v>0</v>
      </c>
      <c r="E216" s="5731">
        <f>SUM($F216:$P216)</f>
        <v>0</v>
      </c>
      <c r="F216" s="4121"/>
      <c r="G216" s="4121">
        <f>IF('WW Plan'!$E$411="Activate",IF(AND(G$175&gt;='WW Plan'!$G$411,G$175&lt;'WW Plan'!$H$411+1),$D$216/(CurrencyMultiplier*('WW Plan'!$H$411+1-'WW Plan'!$G$411)),0),0)*G$1</f>
        <v>0</v>
      </c>
      <c r="H216" s="4121">
        <f>IF('WW Plan'!$E$411="Activate",IF(AND(H$175&gt;='WW Plan'!$G$411,H$175&lt;'WW Plan'!$H$411+1),$D$216/(CurrencyMultiplier*('WW Plan'!$H$411+1-'WW Plan'!$G$411)),0),0)*H$1</f>
        <v>0</v>
      </c>
      <c r="I216" s="4121">
        <f>IF('WW Plan'!$E$411="Activate",IF(AND(I$175&gt;='WW Plan'!$G$411,I$175&lt;'WW Plan'!$H$411+1),$D$216/(CurrencyMultiplier*('WW Plan'!$H$411+1-'WW Plan'!$G$411)),0),0)*I$1</f>
        <v>0</v>
      </c>
      <c r="J216" s="4121">
        <f>IF('WW Plan'!$E$411="Activate",IF(AND(J$175&gt;='WW Plan'!$G$411,J$175&lt;'WW Plan'!$H$411+1),$D$216/(CurrencyMultiplier*('WW Plan'!$H$411+1-'WW Plan'!$G$411)),0),0)*J$1</f>
        <v>0</v>
      </c>
      <c r="K216" s="4121">
        <f>IF('WW Plan'!$E$411="Activate",IF(AND(K$175&gt;='WW Plan'!$G$411,K$175&lt;'WW Plan'!$H$411+1),$D$216/(CurrencyMultiplier*('WW Plan'!$H$411+1-'WW Plan'!$G$411)),0),0)*K$1</f>
        <v>0</v>
      </c>
      <c r="L216" s="4121">
        <f>IF('WW Plan'!$E$411="Activate",IF(AND(L$175&gt;='WW Plan'!$G$411,L$175&lt;'WW Plan'!$H$411+1),$D$216/(CurrencyMultiplier*('WW Plan'!$H$411+1-'WW Plan'!$G$411)),0),0)*L$1</f>
        <v>0</v>
      </c>
      <c r="M216" s="4121">
        <f>IF('WW Plan'!$E$411="Activate",IF(AND(M$175&gt;='WW Plan'!$G$411,M$175&lt;'WW Plan'!$H$411+1),$D$216/(CurrencyMultiplier*('WW Plan'!$H$411+1-'WW Plan'!$G$411)),0),0)*M$1</f>
        <v>0</v>
      </c>
      <c r="N216" s="4121">
        <f>IF('WW Plan'!$E$411="Activate",IF(AND(N$175&gt;='WW Plan'!$G$411,N$175&lt;'WW Plan'!$H$411+1),$D$216/(CurrencyMultiplier*('WW Plan'!$H$411+1-'WW Plan'!$G$411)),0),0)*N$1</f>
        <v>0</v>
      </c>
      <c r="O216" s="4121">
        <f>IF('WW Plan'!$E$411="Activate",IF(AND(O$175&gt;='WW Plan'!$G$411,O$175&lt;'WW Plan'!$H$411+1),$D$216/(CurrencyMultiplier*('WW Plan'!$H$411+1-'WW Plan'!$G$411)),0),0)*O$1</f>
        <v>0</v>
      </c>
      <c r="P216" s="4121">
        <f>IF('WW Plan'!$E$411="Activate",IF(AND(P$175&gt;='WW Plan'!$G$411,P$175&lt;'WW Plan'!$H$411+1),$D$216/(CurrencyMultiplier*('WW Plan'!$H$411+1-'WW Plan'!$G$411)),0),0)*P$1</f>
        <v>0</v>
      </c>
      <c r="Q216" s="4115">
        <f ca="1">IFERROR(VLOOKUP(C216,'Action Plan finance'!$C$56:$AB$175,20,FALSE),0)</f>
        <v>0</v>
      </c>
      <c r="R216" s="4116">
        <f ca="1">IFERROR(VLOOKUP(C216,'Action Plan finance'!$C$56:$AB$175,21,FALSE),0)</f>
        <v>0</v>
      </c>
      <c r="S216" s="4116">
        <f ca="1">IFERROR(VLOOKUP(C216,'Action Plan finance'!$C$56:$AB$175,22,FALSE),0)</f>
        <v>0</v>
      </c>
      <c r="T216" s="4116">
        <f ca="1">IFERROR(VLOOKUP(C216,'Action Plan finance'!$C$56:$AB$175,23,FALSE),0)</f>
        <v>0</v>
      </c>
      <c r="U216" s="4116"/>
      <c r="V216" s="4116">
        <f ca="1">IFERROR(VLOOKUP(C216,'Action Plan finance'!$C$56:$AB$175,25,FALSE),0)</f>
        <v>0</v>
      </c>
    </row>
    <row r="217" spans="2:22" x14ac:dyDescent="0.25">
      <c r="B217" s="4102" t="s">
        <v>13</v>
      </c>
      <c r="C217" s="4168" t="s">
        <v>458</v>
      </c>
      <c r="D217" s="4169"/>
      <c r="E217" s="4105"/>
      <c r="F217" s="4106"/>
      <c r="G217" s="4106"/>
      <c r="H217" s="4106"/>
      <c r="I217" s="4106"/>
      <c r="J217" s="4106"/>
      <c r="K217" s="4106"/>
      <c r="L217" s="4106"/>
      <c r="M217" s="4106"/>
      <c r="N217" s="4106"/>
      <c r="O217" s="4106"/>
      <c r="P217" s="4106"/>
      <c r="Q217" s="4115">
        <f ca="1">IFERROR(VLOOKUP(C217,'Action Plan finance'!$C$56:$AB$175,20,FALSE),0)</f>
        <v>0</v>
      </c>
      <c r="R217" s="4116">
        <f ca="1">IFERROR(VLOOKUP(C217,'Action Plan finance'!$C$56:$AB$175,21,FALSE),0)</f>
        <v>0</v>
      </c>
      <c r="S217" s="4116">
        <f ca="1">IFERROR(VLOOKUP(C217,'Action Plan finance'!$C$56:$AB$175,22,FALSE),0)</f>
        <v>0</v>
      </c>
      <c r="T217" s="4116">
        <f ca="1">IFERROR(VLOOKUP(C217,'Action Plan finance'!$C$56:$AB$175,23,FALSE),0)</f>
        <v>0</v>
      </c>
      <c r="U217" s="4116"/>
      <c r="V217" s="4116">
        <f ca="1">IFERROR(VLOOKUP(C217,'Action Plan finance'!$C$56:$AB$175,25,FALSE),0)</f>
        <v>0</v>
      </c>
    </row>
    <row r="218" spans="2:22" s="4118" customFormat="1" x14ac:dyDescent="0.25">
      <c r="B218" s="4133" t="s">
        <v>3157</v>
      </c>
      <c r="C218" s="4111" t="str">
        <f>'WW Plan'!F423</f>
        <v>Interceptor sewer along river</v>
      </c>
      <c r="D218" s="4113">
        <f>IF('WW Plan'!$E$423="Activate",'WW Plan'!$H$427,0)</f>
        <v>0</v>
      </c>
      <c r="E218" s="5752">
        <f>SUM($F218:$P218)</f>
        <v>0</v>
      </c>
      <c r="F218" s="4113"/>
      <c r="G218" s="4113">
        <f>IF('WW Plan'!$E$423="Activate",IF(AND(G$175&gt;='WW Plan'!$G$423,G$175&lt;'WW Plan'!$H$423+1),$D$218/(CurrencyMultiplier*('WW Plan'!$H$423+1-'WW Plan'!$G$423)),0),0)*G$1</f>
        <v>0</v>
      </c>
      <c r="H218" s="4113">
        <f>IF('WW Plan'!$E$423="Activate",IF(AND(H$175&gt;='WW Plan'!$G$423,H$175&lt;'WW Plan'!$H$423+1),$D$218/(CurrencyMultiplier*('WW Plan'!$H$423+1-'WW Plan'!$G$423)),0),0)*H$1</f>
        <v>0</v>
      </c>
      <c r="I218" s="4113">
        <f>IF('WW Plan'!$E$423="Activate",IF(AND(I$175&gt;='WW Plan'!$G$423,I$175&lt;'WW Plan'!$H$423+1),$D$218/(CurrencyMultiplier*('WW Plan'!$H$423+1-'WW Plan'!$G$423)),0),0)*I$1</f>
        <v>0</v>
      </c>
      <c r="J218" s="4113">
        <f>IF('WW Plan'!$E$423="Activate",IF(AND(J$175&gt;='WW Plan'!$G$423,J$175&lt;'WW Plan'!$H$423+1),$D$218/(CurrencyMultiplier*('WW Plan'!$H$423+1-'WW Plan'!$G$423)),0),0)*J$1</f>
        <v>0</v>
      </c>
      <c r="K218" s="4113">
        <f>IF('WW Plan'!$E$423="Activate",IF(AND(K$175&gt;='WW Plan'!$G$423,K$175&lt;'WW Plan'!$H$423+1),$D$218/(CurrencyMultiplier*('WW Plan'!$H$423+1-'WW Plan'!$G$423)),0),0)*K$1</f>
        <v>0</v>
      </c>
      <c r="L218" s="4113">
        <f>IF('WW Plan'!$E$423="Activate",IF(AND(L$175&gt;='WW Plan'!$G$423,L$175&lt;'WW Plan'!$H$423+1),$D$218/(CurrencyMultiplier*('WW Plan'!$H$423+1-'WW Plan'!$G$423)),0),0)*L$1</f>
        <v>0</v>
      </c>
      <c r="M218" s="4113">
        <f>IF('WW Plan'!$E$423="Activate",IF(AND(M$175&gt;='WW Plan'!$G$423,M$175&lt;'WW Plan'!$H$423+1),$D$218/(CurrencyMultiplier*('WW Plan'!$H$423+1-'WW Plan'!$G$423)),0),0)*M$1</f>
        <v>0</v>
      </c>
      <c r="N218" s="4113">
        <f>IF('WW Plan'!$E$423="Activate",IF(AND(N$175&gt;='WW Plan'!$G$423,N$175&lt;'WW Plan'!$H$423+1),$D$218/(CurrencyMultiplier*('WW Plan'!$H$423+1-'WW Plan'!$G$423)),0),0)*N$1</f>
        <v>0</v>
      </c>
      <c r="O218" s="4113">
        <f>IF('WW Plan'!$E$423="Activate",IF(AND(O$175&gt;='WW Plan'!$G$423,O$175&lt;'WW Plan'!$H$423+1),$D$218/(CurrencyMultiplier*('WW Plan'!$H$423+1-'WW Plan'!$G$423)),0),0)*O$1</f>
        <v>0</v>
      </c>
      <c r="P218" s="4113">
        <f>IF('WW Plan'!$E$423="Activate",IF(AND(P$175&gt;='WW Plan'!$G$423,P$175&lt;'WW Plan'!$H$423+1),$D$218/(CurrencyMultiplier*('WW Plan'!$H$423+1-'WW Plan'!$G$423)),0),0)*P$1</f>
        <v>0</v>
      </c>
      <c r="Q218" s="4115">
        <f ca="1">IFERROR(VLOOKUP(C218,'Action Plan finance'!$C$56:$AB$175,20,FALSE),0)</f>
        <v>0</v>
      </c>
      <c r="R218" s="4116">
        <f ca="1">IFERROR(VLOOKUP(C218,'Action Plan finance'!$C$56:$AB$175,21,FALSE),0)</f>
        <v>0</v>
      </c>
      <c r="S218" s="4116">
        <f ca="1">IFERROR(VLOOKUP(C218,'Action Plan finance'!$C$56:$AB$175,22,FALSE),0)</f>
        <v>0</v>
      </c>
      <c r="T218" s="4116">
        <f ca="1">IFERROR(VLOOKUP(C218,'Action Plan finance'!$C$56:$AB$175,23,FALSE),0)</f>
        <v>0</v>
      </c>
      <c r="U218" s="4116"/>
      <c r="V218" s="4116">
        <f ca="1">IFERROR(VLOOKUP(C218,'Action Plan finance'!$C$56:$AB$175,25,FALSE),0)</f>
        <v>0</v>
      </c>
    </row>
    <row r="219" spans="2:22" s="4118" customFormat="1" x14ac:dyDescent="0.25">
      <c r="B219" s="4133" t="s">
        <v>3158</v>
      </c>
      <c r="C219" s="4111" t="str">
        <f>'WW Plan'!F430</f>
        <v>Desilting and rehabilitation of drains</v>
      </c>
      <c r="D219" s="4113">
        <f>IF('WW Plan'!$E$430="Activate",'WW Plan'!$H$434,0)</f>
        <v>0</v>
      </c>
      <c r="E219" s="5752">
        <f>SUM($F219:$P219)</f>
        <v>0</v>
      </c>
      <c r="F219" s="4134"/>
      <c r="G219" s="4113">
        <f>IF('WW Plan'!$E$430="Activate",IF(AND(G$175&gt;='WW Plan'!$G$430,G$175&lt;'WW Plan'!$H$430+1),$D$219/(CurrencyMultiplier*('WW Plan'!$H$430+1-'WW Plan'!$G$430)),0),0)*G$1</f>
        <v>0</v>
      </c>
      <c r="H219" s="4113">
        <f>IF('WW Plan'!$E$430="Activate",IF(AND(H$175&gt;='WW Plan'!$G$430,H$175&lt;'WW Plan'!$H$430+1),$D$219/(CurrencyMultiplier*('WW Plan'!$H$430+1-'WW Plan'!$G$430)),0),0)*H$1</f>
        <v>0</v>
      </c>
      <c r="I219" s="4113">
        <f>IF('WW Plan'!$E$430="Activate",IF(AND(I$175&gt;='WW Plan'!$G$430,I$175&lt;'WW Plan'!$H$430+1),$D$219/(CurrencyMultiplier*('WW Plan'!$H$430+1-'WW Plan'!$G$430)),0),0)*I$1</f>
        <v>0</v>
      </c>
      <c r="J219" s="4113">
        <f>IF('WW Plan'!$E$430="Activate",IF(AND(J$175&gt;='WW Plan'!$G$430,J$175&lt;'WW Plan'!$H$430+1),$D$219/(CurrencyMultiplier*('WW Plan'!$H$430+1-'WW Plan'!$G$430)),0),0)*J$1</f>
        <v>0</v>
      </c>
      <c r="K219" s="4113">
        <f>IF('WW Plan'!$E$430="Activate",IF(AND(K$175&gt;='WW Plan'!$G$430,K$175&lt;'WW Plan'!$H$430+1),$D$219/(CurrencyMultiplier*('WW Plan'!$H$430+1-'WW Plan'!$G$430)),0),0)*K$1</f>
        <v>0</v>
      </c>
      <c r="L219" s="4113">
        <f>IF('WW Plan'!$E$430="Activate",IF(AND(L$175&gt;='WW Plan'!$G$430,L$175&lt;'WW Plan'!$H$430+1),$D$219/(CurrencyMultiplier*('WW Plan'!$H$430+1-'WW Plan'!$G$430)),0),0)*L$1</f>
        <v>0</v>
      </c>
      <c r="M219" s="4113">
        <f>IF('WW Plan'!$E$430="Activate",IF(AND(M$175&gt;='WW Plan'!$G$430,M$175&lt;'WW Plan'!$H$430+1),$D$219/(CurrencyMultiplier*('WW Plan'!$H$430+1-'WW Plan'!$G$430)),0),0)*M$1</f>
        <v>0</v>
      </c>
      <c r="N219" s="4113">
        <f>IF('WW Plan'!$E$430="Activate",IF(AND(N$175&gt;='WW Plan'!$G$430,N$175&lt;'WW Plan'!$H$430+1),$D$219/(CurrencyMultiplier*('WW Plan'!$H$430+1-'WW Plan'!$G$430)),0),0)*N$1</f>
        <v>0</v>
      </c>
      <c r="O219" s="4113">
        <f>IF('WW Plan'!$E$430="Activate",IF(AND(O$175&gt;='WW Plan'!$G$430,O$175&lt;'WW Plan'!$H$430+1),$D$219/(CurrencyMultiplier*('WW Plan'!$H$430+1-'WW Plan'!$G$430)),0),0)*O$1</f>
        <v>0</v>
      </c>
      <c r="P219" s="4113">
        <f>IF('WW Plan'!$E$430="Activate",IF(AND(P$175&gt;='WW Plan'!$G$430,P$175&lt;'WW Plan'!$H$430+1),$D$219/(CurrencyMultiplier*('WW Plan'!$H$430+1-'WW Plan'!$G$430)),0),0)*P$1</f>
        <v>0</v>
      </c>
      <c r="Q219" s="4115">
        <f ca="1">IFERROR(VLOOKUP(C219,'Action Plan finance'!$C$56:$AB$175,20,FALSE),0)</f>
        <v>0</v>
      </c>
      <c r="R219" s="4116">
        <f ca="1">IFERROR(VLOOKUP(C219,'Action Plan finance'!$C$56:$AB$175,21,FALSE),0)</f>
        <v>0</v>
      </c>
      <c r="S219" s="4116">
        <f ca="1">IFERROR(VLOOKUP(C219,'Action Plan finance'!$C$56:$AB$175,22,FALSE),0)</f>
        <v>0</v>
      </c>
      <c r="T219" s="4116">
        <f ca="1">IFERROR(VLOOKUP(C219,'Action Plan finance'!$C$56:$AB$175,23,FALSE),0)</f>
        <v>0</v>
      </c>
      <c r="U219" s="4116"/>
      <c r="V219" s="4116">
        <f ca="1">IFERROR(VLOOKUP(C219,'Action Plan finance'!$C$56:$AB$175,25,FALSE),0)</f>
        <v>0</v>
      </c>
    </row>
    <row r="220" spans="2:22" s="4148" customFormat="1" x14ac:dyDescent="0.25">
      <c r="B220" s="4141"/>
      <c r="C220" s="4142" t="s">
        <v>16</v>
      </c>
      <c r="D220" s="4186"/>
      <c r="E220" s="4187">
        <f t="shared" ref="E220:P220" si="22">SUM(E177:E219)</f>
        <v>1404.5417689436667</v>
      </c>
      <c r="F220" s="4188">
        <f t="shared" si="22"/>
        <v>0</v>
      </c>
      <c r="G220" s="4188">
        <f>SUM(G177:G219)</f>
        <v>345.26666666666671</v>
      </c>
      <c r="H220" s="4188">
        <f t="shared" si="22"/>
        <v>301.06233333333336</v>
      </c>
      <c r="I220" s="4188">
        <f t="shared" si="22"/>
        <v>256.87739666666664</v>
      </c>
      <c r="J220" s="4188">
        <f t="shared" si="22"/>
        <v>242.19100109999999</v>
      </c>
      <c r="K220" s="4188">
        <f t="shared" si="22"/>
        <v>259.14437117700004</v>
      </c>
      <c r="L220" s="4188">
        <f t="shared" si="22"/>
        <v>0</v>
      </c>
      <c r="M220" s="4188">
        <f t="shared" si="22"/>
        <v>0</v>
      </c>
      <c r="N220" s="4188">
        <f t="shared" si="22"/>
        <v>0</v>
      </c>
      <c r="O220" s="4188">
        <f t="shared" si="22"/>
        <v>0</v>
      </c>
      <c r="P220" s="4188">
        <f t="shared" si="22"/>
        <v>0</v>
      </c>
      <c r="Q220" s="4146"/>
      <c r="R220" s="4189"/>
      <c r="S220" s="4189"/>
      <c r="T220" s="4189"/>
      <c r="U220" s="4189"/>
      <c r="V220" s="4189"/>
    </row>
    <row r="222" spans="2:22" s="4097" customFormat="1" ht="21.75" thickBot="1" x14ac:dyDescent="0.3">
      <c r="B222" s="4094"/>
      <c r="C222" s="4095" t="s">
        <v>471</v>
      </c>
      <c r="D222" s="4096" t="s">
        <v>494</v>
      </c>
      <c r="E222" s="1647"/>
      <c r="F222" s="1647"/>
      <c r="G222" s="1647"/>
      <c r="H222" s="1647"/>
      <c r="I222" s="1647"/>
      <c r="J222" s="1647"/>
      <c r="K222" s="1647"/>
      <c r="L222" s="1647"/>
      <c r="M222" s="1647"/>
      <c r="N222" s="1647"/>
      <c r="O222" s="1647"/>
      <c r="P222" s="1647"/>
    </row>
    <row r="223" spans="2:22" ht="15.75" thickBot="1" x14ac:dyDescent="0.3">
      <c r="B223" s="4098" t="s">
        <v>3</v>
      </c>
      <c r="C223" s="4098" t="s">
        <v>4</v>
      </c>
      <c r="D223" s="4099" t="s">
        <v>463</v>
      </c>
      <c r="E223" s="4100" t="s">
        <v>16</v>
      </c>
      <c r="F223" s="4098">
        <f>F$7</f>
        <v>2014</v>
      </c>
      <c r="G223" s="4098">
        <f t="shared" ref="G223:P223" si="23">G$7</f>
        <v>2015</v>
      </c>
      <c r="H223" s="4098">
        <f t="shared" si="23"/>
        <v>2016</v>
      </c>
      <c r="I223" s="4098">
        <f t="shared" si="23"/>
        <v>2017</v>
      </c>
      <c r="J223" s="4098">
        <f t="shared" si="23"/>
        <v>2018</v>
      </c>
      <c r="K223" s="4098">
        <f t="shared" si="23"/>
        <v>2019</v>
      </c>
      <c r="L223" s="4098">
        <f t="shared" si="23"/>
        <v>2020</v>
      </c>
      <c r="M223" s="4098">
        <f t="shared" si="23"/>
        <v>2021</v>
      </c>
      <c r="N223" s="4098">
        <f t="shared" si="23"/>
        <v>2022</v>
      </c>
      <c r="O223" s="4098">
        <f t="shared" si="23"/>
        <v>2023</v>
      </c>
      <c r="P223" s="4098">
        <f t="shared" si="23"/>
        <v>2024</v>
      </c>
    </row>
    <row r="224" spans="2:22" x14ac:dyDescent="0.25">
      <c r="B224" s="4102" t="s">
        <v>2</v>
      </c>
      <c r="C224" s="4102" t="s">
        <v>455</v>
      </c>
      <c r="D224" s="4127"/>
      <c r="E224" s="4105"/>
      <c r="F224" s="4106"/>
      <c r="G224" s="4106"/>
      <c r="H224" s="4106"/>
      <c r="I224" s="4106"/>
      <c r="J224" s="4106"/>
      <c r="K224" s="4106"/>
      <c r="L224" s="4106"/>
      <c r="M224" s="4106"/>
      <c r="N224" s="4106"/>
      <c r="O224" s="4106"/>
      <c r="P224" s="4106"/>
    </row>
    <row r="225" spans="2:29" x14ac:dyDescent="0.25">
      <c r="B225" s="4162"/>
      <c r="C225" s="4111" t="str">
        <f t="shared" ref="C225:C237" si="24">C177</f>
        <v>Household survey to assess wastewater services</v>
      </c>
      <c r="D225" s="4111"/>
      <c r="E225" s="5752">
        <f>SUM($F225:$P225)</f>
        <v>0</v>
      </c>
      <c r="F225" s="4113"/>
      <c r="G225" s="4113">
        <f>IFERROR(IF('WW Plan'!$E$22="Activate",IF(G$223&gt;'WW Plan'!$H$22,IF(MOD(G$223-'WW Plan'!$H$22,'WW Plan'!$H$25)=0,'WW Plan'!$H$27,0),0))*G$2/'General info'!$G$44,0)</f>
        <v>0</v>
      </c>
      <c r="H225" s="4113">
        <f>IFERROR(IF('WW Plan'!$E$22="Activate",IF(H$223&gt;'WW Plan'!$H$22,IF(MOD(H$223-'WW Plan'!$H$22,'WW Plan'!$H$25)=0,'WW Plan'!$H$27,0),0))*H$2/'General info'!$G$44,0)</f>
        <v>0</v>
      </c>
      <c r="I225" s="4113">
        <f>IFERROR(IF('WW Plan'!$E$22="Activate",IF(I$223&gt;'WW Plan'!$H$22,IF(MOD(I$223-'WW Plan'!$H$22,'WW Plan'!$H$25)=0,'WW Plan'!$H$27,0),0))*I$2/'General info'!$G$44,0)</f>
        <v>0</v>
      </c>
      <c r="J225" s="4113">
        <f>IFERROR(IF('WW Plan'!$E$22="Activate",IF(J$223&gt;'WW Plan'!$H$22,IF(MOD(J$223-'WW Plan'!$H$22,'WW Plan'!$H$25)=0,'WW Plan'!$H$27,0),0))*J$2/'General info'!$G$44,0)</f>
        <v>0</v>
      </c>
      <c r="K225" s="4113">
        <f>IFERROR(IF('WW Plan'!$E$22="Activate",IF(K$223&gt;'WW Plan'!$H$22,IF(MOD(K$223-'WW Plan'!$H$22,'WW Plan'!$H$25)=0,'WW Plan'!$H$27,0),0))*K$2/'General info'!$G$44,0)</f>
        <v>0</v>
      </c>
      <c r="L225" s="4113">
        <f>IFERROR(IF('WW Plan'!$E$22="Activate",IF(L$223&gt;'WW Plan'!$H$22,IF(MOD(L$223-'WW Plan'!$H$22,'WW Plan'!$H$25)=0,'WW Plan'!$H$27,0),0))*L$2/'General info'!$G$44,0)</f>
        <v>0</v>
      </c>
      <c r="M225" s="4113">
        <f>IFERROR(IF('WW Plan'!$E$22="Activate",IF(M$223&gt;'WW Plan'!$H$22,IF(MOD(M$223-'WW Plan'!$H$22,'WW Plan'!$H$25)=0,'WW Plan'!$H$27,0),0))*M$2/'General info'!$G$44,0)</f>
        <v>0</v>
      </c>
      <c r="N225" s="4113">
        <f>IFERROR(IF('WW Plan'!$E$22="Activate",IF(N$223&gt;'WW Plan'!$H$22,IF(MOD(N$223-'WW Plan'!$H$22,'WW Plan'!$H$25)=0,'WW Plan'!$H$27,0),0))*N$2/'General info'!$G$44,0)</f>
        <v>0</v>
      </c>
      <c r="O225" s="4113">
        <f>IFERROR(IF('WW Plan'!$E$22="Activate",IF(O$223&gt;'WW Plan'!$H$22,IF(MOD(O$223-'WW Plan'!$H$22,'WW Plan'!$H$25)=0,'WW Plan'!$H$27,0),0))*O$2/'General info'!$G$44,0)</f>
        <v>0</v>
      </c>
      <c r="P225" s="4113">
        <f>IFERROR(IF('WW Plan'!$E$22="Activate",IF(P$223&gt;'WW Plan'!$H$22,IF(MOD(P$223-'WW Plan'!$H$22,'WW Plan'!$H$25)=0,'WW Plan'!$H$27,0),0))*P$2/'General info'!$G$44,0)</f>
        <v>0</v>
      </c>
    </row>
    <row r="226" spans="2:29" x14ac:dyDescent="0.25">
      <c r="B226" s="4162"/>
      <c r="C226" s="4111" t="str">
        <f t="shared" si="24"/>
        <v>Surveys and monitoring of open defecation sites</v>
      </c>
      <c r="D226" s="4111">
        <f>IF('WW Plan'!$E$28="Activate",'WW Plan'!$H$31,0)</f>
        <v>0</v>
      </c>
      <c r="E226" s="5752">
        <f>SUM($F226:$P226)</f>
        <v>0</v>
      </c>
      <c r="F226" s="4113"/>
      <c r="G226" s="4113">
        <f>IFERROR(IF(G$223&gt;'WW Plan'!$H$28,IF(MOD(G$223-'WW Plan'!$H$28,'WW Plan'!$H$29)=0,'WW Plan'!$H$31,0),0)*G$2/'General info'!$G$44,0)</f>
        <v>0</v>
      </c>
      <c r="H226" s="4113">
        <f>IFERROR(IF(H$223&gt;'WW Plan'!$H$28,IF(MOD(H$223-'WW Plan'!$H$28,'WW Plan'!$H$29)=0,'WW Plan'!$H$31,0),0)*H$2/'General info'!$G$44,0)</f>
        <v>0</v>
      </c>
      <c r="I226" s="4113">
        <f>IFERROR(IF(I$223&gt;'WW Plan'!$H$28,IF(MOD(I$223-'WW Plan'!$H$28,'WW Plan'!$H$29)=0,'WW Plan'!$H$31,0),0)*I$2/'General info'!$G$44,0)</f>
        <v>0</v>
      </c>
      <c r="J226" s="4113">
        <f>IFERROR(IF(J$223&gt;'WW Plan'!$H$28,IF(MOD(J$223-'WW Plan'!$H$28,'WW Plan'!$H$29)=0,'WW Plan'!$H$31,0),0)*J$2/'General info'!$G$44,0)</f>
        <v>0</v>
      </c>
      <c r="K226" s="4113">
        <f>IFERROR(IF(K$223&gt;'WW Plan'!$H$28,IF(MOD(K$223-'WW Plan'!$H$28,'WW Plan'!$H$29)=0,'WW Plan'!$H$31,0),0)*K$2/'General info'!$G$44,0)</f>
        <v>0</v>
      </c>
      <c r="L226" s="4113">
        <f>IFERROR(IF(L$223&gt;'WW Plan'!$H$28,IF(MOD(L$223-'WW Plan'!$H$28,'WW Plan'!$H$29)=0,'WW Plan'!$H$31,0),0)*L$2/'General info'!$G$44,0)</f>
        <v>0</v>
      </c>
      <c r="M226" s="4113">
        <f>IFERROR(IF(M$223&gt;'WW Plan'!$H$28,IF(MOD(M$223-'WW Plan'!$H$28,'WW Plan'!$H$29)=0,'WW Plan'!$H$31,0),0)*M$2/'General info'!$G$44,0)</f>
        <v>0</v>
      </c>
      <c r="N226" s="4113">
        <f>IFERROR(IF(N$223&gt;'WW Plan'!$H$28,IF(MOD(N$223-'WW Plan'!$H$28,'WW Plan'!$H$29)=0,'WW Plan'!$H$31,0),0)*N$2/'General info'!$G$44,0)</f>
        <v>0</v>
      </c>
      <c r="O226" s="4113">
        <f>IFERROR(IF(O$223&gt;'WW Plan'!$H$28,IF(MOD(O$223-'WW Plan'!$H$28,'WW Plan'!$H$29)=0,'WW Plan'!$H$31,0),0)*O$2/'General info'!$G$44,0)</f>
        <v>0</v>
      </c>
      <c r="P226" s="4113">
        <f>IFERROR(IF(P$223&gt;'WW Plan'!$H$28,IF(MOD(P$223-'WW Plan'!$H$28,'WW Plan'!$H$29)=0,'WW Plan'!$H$31,0),0)*P$2/'General info'!$G$44,0)</f>
        <v>0</v>
      </c>
      <c r="R226" s="5443"/>
      <c r="S226" s="5444"/>
      <c r="T226" s="5444">
        <v>9</v>
      </c>
      <c r="U226" s="5444">
        <v>10</v>
      </c>
      <c r="V226" s="5444">
        <v>11</v>
      </c>
      <c r="W226" s="5444">
        <v>12</v>
      </c>
      <c r="X226" s="5444">
        <v>13</v>
      </c>
      <c r="Y226" s="5444">
        <v>14</v>
      </c>
      <c r="Z226" s="5444">
        <v>15</v>
      </c>
      <c r="AA226" s="5444">
        <v>16</v>
      </c>
      <c r="AB226" s="5444">
        <v>17</v>
      </c>
      <c r="AC226" s="5445">
        <v>18</v>
      </c>
    </row>
    <row r="227" spans="2:29" s="4151" customFormat="1" x14ac:dyDescent="0.25">
      <c r="B227" s="4162"/>
      <c r="C227" s="4130" t="str">
        <f t="shared" si="24"/>
        <v>Computerise wastewater records</v>
      </c>
      <c r="D227" s="4190">
        <f>'WW Plan'!H34</f>
        <v>0</v>
      </c>
      <c r="E227" s="5752">
        <f>SUM($F227:$P227)</f>
        <v>0</v>
      </c>
      <c r="F227" s="4113"/>
      <c r="G227" s="4113">
        <f>IF('WW Plan'!$E$32="Activate",IF(G$223&gt;'WW Plan'!$H$32,$D227),0)*G$2/'General info'!$G$44</f>
        <v>0</v>
      </c>
      <c r="H227" s="4113">
        <f>IF('WW Plan'!$E$32="Activate",IF(H$223&gt;'WW Plan'!$H$32,$D227),0)*H$2/'General info'!$G$44</f>
        <v>0</v>
      </c>
      <c r="I227" s="4113">
        <f>IF('WW Plan'!$E$32="Activate",IF(I$223&gt;'WW Plan'!$H$32,$D227),0)*I$2/'General info'!$G$44</f>
        <v>0</v>
      </c>
      <c r="J227" s="4113">
        <f>IF('WW Plan'!$E$32="Activate",IF(J$223&gt;'WW Plan'!$H$32,$D227),0)*J$2/'General info'!$G$44</f>
        <v>0</v>
      </c>
      <c r="K227" s="4113">
        <f>IF('WW Plan'!$E$32="Activate",IF(K$223&gt;'WW Plan'!$H$32,$D227),0)*K$2/'General info'!$G$44</f>
        <v>0</v>
      </c>
      <c r="L227" s="4113">
        <f>IF('WW Plan'!$E$32="Activate",IF(L$223&gt;'WW Plan'!$H$32,$D227),0)*L$2/'General info'!$G$44</f>
        <v>0</v>
      </c>
      <c r="M227" s="4113">
        <f>IF('WW Plan'!$E$32="Activate",IF(M$223&gt;'WW Plan'!$H$32,$D227),0)*M$2/'General info'!$G$44</f>
        <v>0</v>
      </c>
      <c r="N227" s="4113">
        <f>IF('WW Plan'!$E$32="Activate",IF(N$223&gt;'WW Plan'!$H$32,$D227),0)*N$2/'General info'!$G$44</f>
        <v>0</v>
      </c>
      <c r="O227" s="4113">
        <f>IF('WW Plan'!$E$32="Activate",IF(O$223&gt;'WW Plan'!$H$32,$D227),0)*O$2/'General info'!$G$44</f>
        <v>0</v>
      </c>
      <c r="P227" s="4113">
        <f>IF('WW Plan'!$E$32="Activate",IF(P$223&gt;'WW Plan'!$H$32,$D227),0)*P$2/'General info'!$G$44</f>
        <v>0</v>
      </c>
      <c r="R227" s="5462" t="s">
        <v>3062</v>
      </c>
      <c r="S227" s="5463" t="str">
        <f>C229</f>
        <v>Improve condition of existing individual toilets by providing safe sanitation disposal system</v>
      </c>
      <c r="T227" s="5446">
        <f ca="1">IFERROR(VLOOKUP($S227,'Action Plan finance'!$C$56:$T$171,T$226,FALSE),"")</f>
        <v>63.9</v>
      </c>
      <c r="U227" s="5446">
        <f ca="1">IFERROR(VLOOKUP($S227,'Action Plan finance'!$C$56:$T$171,U$226,FALSE),"")</f>
        <v>0</v>
      </c>
      <c r="V227" s="5446">
        <f ca="1">IFERROR(VLOOKUP($S227,'Action Plan finance'!$C$56:$T$171,V$226,FALSE),"")</f>
        <v>0</v>
      </c>
      <c r="W227" s="5446">
        <f ca="1">IFERROR(VLOOKUP($S227,'Action Plan finance'!$C$56:$T$171,W$226,FALSE),"")</f>
        <v>0</v>
      </c>
      <c r="X227" s="5446">
        <f ca="1">IFERROR(VLOOKUP($S227,'Action Plan finance'!$C$56:$T$171,X$226,FALSE),"")</f>
        <v>0</v>
      </c>
      <c r="Y227" s="5446">
        <f ca="1">IFERROR(VLOOKUP($S227,'Action Plan finance'!$C$56:$T$171,Y$226,FALSE),"")</f>
        <v>0</v>
      </c>
      <c r="Z227" s="5446">
        <f ca="1">IFERROR(VLOOKUP($S227,'Action Plan finance'!$C$56:$T$171,Z$226,FALSE),"")</f>
        <v>0</v>
      </c>
      <c r="AA227" s="5446">
        <f ca="1">IFERROR(VLOOKUP($S227,'Action Plan finance'!$C$56:$T$171,AA$226,FALSE),"")</f>
        <v>0</v>
      </c>
      <c r="AB227" s="5446">
        <f ca="1">IFERROR(VLOOKUP($S227,'Action Plan finance'!$C$56:$T$171,AB$226,FALSE),"")</f>
        <v>0</v>
      </c>
      <c r="AC227" s="5447">
        <f ca="1">IFERROR(VLOOKUP($S227,'Action Plan finance'!$C$56:$T$171,AC$226,FALSE),"")</f>
        <v>0</v>
      </c>
    </row>
    <row r="228" spans="2:29" x14ac:dyDescent="0.25">
      <c r="B228" s="4162"/>
      <c r="C228" s="4111" t="str">
        <f t="shared" si="24"/>
        <v>Policy for providing sanitation services in slums</v>
      </c>
      <c r="D228" s="4111"/>
      <c r="E228" s="4113"/>
      <c r="F228" s="4113"/>
      <c r="G228" s="4113"/>
      <c r="H228" s="4113"/>
      <c r="I228" s="4113"/>
      <c r="J228" s="4113"/>
      <c r="K228" s="4113"/>
      <c r="L228" s="4113"/>
      <c r="M228" s="4113"/>
      <c r="N228" s="4113"/>
      <c r="O228" s="4113"/>
      <c r="P228" s="4113"/>
      <c r="R228" s="5464" t="s">
        <v>3063</v>
      </c>
      <c r="S228" s="5463" t="str">
        <f>C230</f>
        <v>Improve condition of existing Community toilets</v>
      </c>
      <c r="T228" s="5446">
        <f ca="1">IFERROR(VLOOKUP($S228,'Action Plan finance'!$C$56:$T$171,T$226,FALSE),"")</f>
        <v>23</v>
      </c>
      <c r="U228" s="5446">
        <f ca="1">IFERROR(VLOOKUP($S228,'Action Plan finance'!$C$56:$T$171,U$226,FALSE),"")</f>
        <v>24.610000000000003</v>
      </c>
      <c r="V228" s="5446">
        <f ca="1">IFERROR(VLOOKUP($S228,'Action Plan finance'!$C$56:$T$171,V$226,FALSE),"")</f>
        <v>26.332699999999999</v>
      </c>
      <c r="W228" s="5446">
        <f ca="1">IFERROR(VLOOKUP($S228,'Action Plan finance'!$C$56:$T$171,W$226,FALSE),"")</f>
        <v>0</v>
      </c>
      <c r="X228" s="5446">
        <f ca="1">IFERROR(VLOOKUP($S228,'Action Plan finance'!$C$56:$T$171,X$226,FALSE),"")</f>
        <v>0</v>
      </c>
      <c r="Y228" s="5446">
        <f ca="1">IFERROR(VLOOKUP($S228,'Action Plan finance'!$C$56:$T$171,Y$226,FALSE),"")</f>
        <v>0</v>
      </c>
      <c r="Z228" s="5446">
        <f ca="1">IFERROR(VLOOKUP($S228,'Action Plan finance'!$C$56:$T$171,Z$226,FALSE),"")</f>
        <v>0</v>
      </c>
      <c r="AA228" s="5446">
        <f ca="1">IFERROR(VLOOKUP($S228,'Action Plan finance'!$C$56:$T$171,AA$226,FALSE),"")</f>
        <v>0</v>
      </c>
      <c r="AB228" s="5446">
        <f ca="1">IFERROR(VLOOKUP($S228,'Action Plan finance'!$C$56:$T$171,AB$226,FALSE),"")</f>
        <v>0</v>
      </c>
      <c r="AC228" s="5447">
        <f ca="1">IFERROR(VLOOKUP($S228,'Action Plan finance'!$C$56:$T$171,AC$226,FALSE),"")</f>
        <v>0</v>
      </c>
    </row>
    <row r="229" spans="2:29" ht="30" x14ac:dyDescent="0.25">
      <c r="B229" s="4162"/>
      <c r="C229" s="4130" t="str">
        <f t="shared" si="24"/>
        <v>Improve condition of existing individual toilets by providing safe sanitation disposal system</v>
      </c>
      <c r="D229" s="4111"/>
      <c r="E229" s="4113"/>
      <c r="F229" s="4113"/>
      <c r="G229" s="4113"/>
      <c r="H229" s="4113"/>
      <c r="I229" s="4113"/>
      <c r="J229" s="4113"/>
      <c r="K229" s="4113"/>
      <c r="L229" s="4113"/>
      <c r="M229" s="4113"/>
      <c r="N229" s="4113"/>
      <c r="O229" s="4113"/>
      <c r="P229" s="4113"/>
      <c r="R229" s="5464" t="s">
        <v>3064</v>
      </c>
      <c r="S229" s="5463" t="str">
        <f>C231</f>
        <v>Improve condition of existing Public toilets</v>
      </c>
      <c r="T229" s="5446" t="str">
        <f ca="1">IFERROR(VLOOKUP($S229,'Action Plan finance'!$C$56:$T$171,T$226,FALSE),"")</f>
        <v/>
      </c>
      <c r="U229" s="5446" t="str">
        <f ca="1">IFERROR(VLOOKUP($S229,'Action Plan finance'!$C$56:$T$171,U$226,FALSE),"")</f>
        <v/>
      </c>
      <c r="V229" s="5446" t="str">
        <f ca="1">IFERROR(VLOOKUP($S229,'Action Plan finance'!$C$56:$T$171,V$226,FALSE),"")</f>
        <v/>
      </c>
      <c r="W229" s="5446" t="str">
        <f ca="1">IFERROR(VLOOKUP($S229,'Action Plan finance'!$C$56:$T$171,W$226,FALSE),"")</f>
        <v/>
      </c>
      <c r="X229" s="5446" t="str">
        <f ca="1">IFERROR(VLOOKUP($S229,'Action Plan finance'!$C$56:$T$171,X$226,FALSE),"")</f>
        <v/>
      </c>
      <c r="Y229" s="5446" t="str">
        <f ca="1">IFERROR(VLOOKUP($S229,'Action Plan finance'!$C$56:$T$171,Y$226,FALSE),"")</f>
        <v/>
      </c>
      <c r="Z229" s="5446" t="str">
        <f ca="1">IFERROR(VLOOKUP($S229,'Action Plan finance'!$C$56:$T$171,Z$226,FALSE),"")</f>
        <v/>
      </c>
      <c r="AA229" s="5446" t="str">
        <f ca="1">IFERROR(VLOOKUP($S229,'Action Plan finance'!$C$56:$T$171,AA$226,FALSE),"")</f>
        <v/>
      </c>
      <c r="AB229" s="5446" t="str">
        <f ca="1">IFERROR(VLOOKUP($S229,'Action Plan finance'!$C$56:$T$171,AB$226,FALSE),"")</f>
        <v/>
      </c>
      <c r="AC229" s="5447" t="str">
        <f ca="1">IFERROR(VLOOKUP($S229,'Action Plan finance'!$C$56:$T$171,AC$226,FALSE),"")</f>
        <v/>
      </c>
    </row>
    <row r="230" spans="2:29" s="4151" customFormat="1" x14ac:dyDescent="0.25">
      <c r="B230" s="4162"/>
      <c r="C230" s="4130" t="str">
        <f t="shared" si="24"/>
        <v>Improve condition of existing Community toilets</v>
      </c>
      <c r="D230" s="4111"/>
      <c r="E230" s="5752">
        <f>SUM($F230:$P230)</f>
        <v>39.019137307477308</v>
      </c>
      <c r="F230" s="4113"/>
      <c r="G230" s="4113">
        <f>(('WW calcu'!$E$117-'WW calcu'!F117)*'WW Plan'!$H$65*12*G$2)/'General info'!$G$44</f>
        <v>1.125</v>
      </c>
      <c r="H230" s="4113">
        <f>(('WW calcu'!$E$117-'WW calcu'!G117)*'WW Plan'!$H$65*12*H$2)/'General info'!$G$44</f>
        <v>2.3624999999999998</v>
      </c>
      <c r="I230" s="4113">
        <f>(('WW calcu'!$E$117-'WW calcu'!H117)*'WW Plan'!$H$65*12*I$2)/'General info'!$G$44</f>
        <v>3.7209374999999998</v>
      </c>
      <c r="J230" s="4113">
        <f>(('WW calcu'!$E$117-'WW calcu'!I117)*'WW Plan'!$H$65*12*J$2)/'General info'!$G$44</f>
        <v>3.9069843750000004</v>
      </c>
      <c r="K230" s="4113">
        <f>(('WW calcu'!$E$117-'WW calcu'!J117)*'WW Plan'!$H$65*12*K$2)/'General info'!$G$44</f>
        <v>4.102333593750001</v>
      </c>
      <c r="L230" s="4113">
        <f>(('WW calcu'!$E$117-'WW calcu'!K117)*'WW Plan'!$H$65*12*L$2)/'General info'!$G$44</f>
        <v>4.3074502734375013</v>
      </c>
      <c r="M230" s="4113">
        <f>(('WW calcu'!$E$117-'WW calcu'!L117)*'WW Plan'!$H$65*12*M$2)/'General info'!$G$44</f>
        <v>4.5228227871093765</v>
      </c>
      <c r="N230" s="4113">
        <f>(('WW calcu'!$E$117-'WW calcu'!M117)*'WW Plan'!$H$65*12*N$2)/'General info'!$G$44</f>
        <v>4.7489639264648451</v>
      </c>
      <c r="O230" s="4113">
        <f>(('WW calcu'!$E$117-'WW calcu'!N117)*'WW Plan'!$H$65*12*O$2)/'General info'!$G$44</f>
        <v>4.9864121227880878</v>
      </c>
      <c r="P230" s="4113">
        <f>(('WW calcu'!$E$117-'WW calcu'!O117)*'WW Plan'!$H$65*12*P$2)/'General info'!$G$44</f>
        <v>5.2357327289274922</v>
      </c>
      <c r="R230" s="5464" t="s">
        <v>2940</v>
      </c>
      <c r="S230" s="5463" t="str">
        <f>C234</f>
        <v>Construct new individual toilets</v>
      </c>
      <c r="T230" s="5446">
        <f ca="1">IFERROR(VLOOKUP($S230,'Action Plan finance'!$C$56:$T$171,T$226,FALSE),"")</f>
        <v>197.7</v>
      </c>
      <c r="U230" s="5446">
        <f ca="1">IFERROR(VLOOKUP($S230,'Action Plan finance'!$C$56:$T$171,U$226,FALSE),"")</f>
        <v>211.53899999999999</v>
      </c>
      <c r="V230" s="5446">
        <f ca="1">IFERROR(VLOOKUP($S230,'Action Plan finance'!$C$56:$T$171,V$226,FALSE),"")</f>
        <v>226.34672999999998</v>
      </c>
      <c r="W230" s="5446">
        <f ca="1">IFERROR(VLOOKUP($S230,'Action Plan finance'!$C$56:$T$171,W$226,FALSE),"")</f>
        <v>242.19100109999999</v>
      </c>
      <c r="X230" s="5446">
        <f ca="1">IFERROR(VLOOKUP($S230,'Action Plan finance'!$C$56:$T$171,X$226,FALSE),"")</f>
        <v>259.14437117700004</v>
      </c>
      <c r="Y230" s="5446">
        <f ca="1">IFERROR(VLOOKUP($S230,'Action Plan finance'!$C$56:$T$171,Y$226,FALSE),"")</f>
        <v>0</v>
      </c>
      <c r="Z230" s="5446">
        <f ca="1">IFERROR(VLOOKUP($S230,'Action Plan finance'!$C$56:$T$171,Z$226,FALSE),"")</f>
        <v>0</v>
      </c>
      <c r="AA230" s="5446">
        <f ca="1">IFERROR(VLOOKUP($S230,'Action Plan finance'!$C$56:$T$171,AA$226,FALSE),"")</f>
        <v>0</v>
      </c>
      <c r="AB230" s="5446">
        <f ca="1">IFERROR(VLOOKUP($S230,'Action Plan finance'!$C$56:$T$171,AB$226,FALSE),"")</f>
        <v>0</v>
      </c>
      <c r="AC230" s="5447">
        <f ca="1">IFERROR(VLOOKUP($S230,'Action Plan finance'!$C$56:$T$171,AC$226,FALSE),"")</f>
        <v>0</v>
      </c>
    </row>
    <row r="231" spans="2:29" x14ac:dyDescent="0.25">
      <c r="B231" s="4162"/>
      <c r="C231" s="4130" t="str">
        <f t="shared" si="24"/>
        <v>Improve condition of existing Public toilets</v>
      </c>
      <c r="D231" s="4111"/>
      <c r="E231" s="5752">
        <f>SUM($F231:$P231)</f>
        <v>0</v>
      </c>
      <c r="F231" s="4113"/>
      <c r="G231" s="4113">
        <f>(('WW calcu'!$E$189-'WW calcu'!F189)*'WW Plan'!$H$84*12*G$2)/'General info'!$G$44</f>
        <v>0</v>
      </c>
      <c r="H231" s="4113">
        <f>(('WW calcu'!$E$189-'WW calcu'!G189)*'WW Plan'!$H$84*12*H$2)/'General info'!$G$44</f>
        <v>0</v>
      </c>
      <c r="I231" s="4113">
        <f>(('WW calcu'!$E$189-'WW calcu'!H189)*'WW Plan'!$H$84*12*I$2)/'General info'!$G$44</f>
        <v>0</v>
      </c>
      <c r="J231" s="4113">
        <f>(('WW calcu'!$E$189-'WW calcu'!I189)*'WW Plan'!$H$84*12*J$2)/'General info'!$G$44</f>
        <v>0</v>
      </c>
      <c r="K231" s="4113">
        <f>(('WW calcu'!$E$189-'WW calcu'!J189)*'WW Plan'!$H$84*12*K$2)/'General info'!$G$44</f>
        <v>0</v>
      </c>
      <c r="L231" s="4113">
        <f>(('WW calcu'!$E$189-'WW calcu'!K189)*'WW Plan'!$H$84*12*L$2)/'General info'!$G$44</f>
        <v>0</v>
      </c>
      <c r="M231" s="4113">
        <f>(('WW calcu'!$E$189-'WW calcu'!L189)*'WW Plan'!$H$84*12*M$2)/'General info'!$G$44</f>
        <v>0</v>
      </c>
      <c r="N231" s="4113">
        <f>(('WW calcu'!$E$189-'WW calcu'!M189)*'WW Plan'!$H$84*12*N$2)/'General info'!$G$44</f>
        <v>0</v>
      </c>
      <c r="O231" s="4113">
        <f>(('WW calcu'!$E$189-'WW calcu'!N189)*'WW Plan'!$H$84*12*O$2)/'General info'!$G$44</f>
        <v>0</v>
      </c>
      <c r="P231" s="4113">
        <f>(('WW calcu'!$E$189-'WW calcu'!O189)*'WW Plan'!$H$84*12*P$2)/'General info'!$G$44</f>
        <v>0</v>
      </c>
      <c r="R231" s="5464" t="s">
        <v>2941</v>
      </c>
      <c r="S231" s="5463" t="str">
        <f>C235</f>
        <v>Construct new group toilets</v>
      </c>
      <c r="T231" s="5446" t="str">
        <f ca="1">IFERROR(VLOOKUP($S231,'Action Plan finance'!$C$56:$T$171,T$226,FALSE),"")</f>
        <v/>
      </c>
      <c r="U231" s="5446" t="str">
        <f ca="1">IFERROR(VLOOKUP($S231,'Action Plan finance'!$C$56:$T$171,U$226,FALSE),"")</f>
        <v/>
      </c>
      <c r="V231" s="5446" t="str">
        <f ca="1">IFERROR(VLOOKUP($S231,'Action Plan finance'!$C$56:$T$171,V$226,FALSE),"")</f>
        <v/>
      </c>
      <c r="W231" s="5446" t="str">
        <f ca="1">IFERROR(VLOOKUP($S231,'Action Plan finance'!$C$56:$T$171,W$226,FALSE),"")</f>
        <v/>
      </c>
      <c r="X231" s="5446" t="str">
        <f ca="1">IFERROR(VLOOKUP($S231,'Action Plan finance'!$C$56:$T$171,X$226,FALSE),"")</f>
        <v/>
      </c>
      <c r="Y231" s="5446" t="str">
        <f ca="1">IFERROR(VLOOKUP($S231,'Action Plan finance'!$C$56:$T$171,Y$226,FALSE),"")</f>
        <v/>
      </c>
      <c r="Z231" s="5446" t="str">
        <f ca="1">IFERROR(VLOOKUP($S231,'Action Plan finance'!$C$56:$T$171,Z$226,FALSE),"")</f>
        <v/>
      </c>
      <c r="AA231" s="5446" t="str">
        <f ca="1">IFERROR(VLOOKUP($S231,'Action Plan finance'!$C$56:$T$171,AA$226,FALSE),"")</f>
        <v/>
      </c>
      <c r="AB231" s="5446" t="str">
        <f ca="1">IFERROR(VLOOKUP($S231,'Action Plan finance'!$C$56:$T$171,AB$226,FALSE),"")</f>
        <v/>
      </c>
      <c r="AC231" s="5447" t="str">
        <f ca="1">IFERROR(VLOOKUP($S231,'Action Plan finance'!$C$56:$T$171,AC$226,FALSE),"")</f>
        <v/>
      </c>
    </row>
    <row r="232" spans="2:29" x14ac:dyDescent="0.25">
      <c r="B232" s="4162"/>
      <c r="C232" s="4191" t="str">
        <f t="shared" si="24"/>
        <v>Refurbishment of exisiting septic tanks in city</v>
      </c>
      <c r="D232" s="4111"/>
      <c r="E232" s="4113"/>
      <c r="F232" s="4113"/>
      <c r="G232" s="4113"/>
      <c r="H232" s="4113"/>
      <c r="I232" s="4113"/>
      <c r="J232" s="4113"/>
      <c r="K232" s="4113"/>
      <c r="L232" s="4113"/>
      <c r="M232" s="4113"/>
      <c r="N232" s="4113"/>
      <c r="O232" s="4113"/>
      <c r="P232" s="4113"/>
      <c r="R232" s="5464" t="s">
        <v>3065</v>
      </c>
      <c r="S232" s="5463" t="str">
        <f>C236</f>
        <v>Construct new community toilet blocks</v>
      </c>
      <c r="T232" s="5446" t="str">
        <f ca="1">IFERROR(VLOOKUP($S232,'Action Plan finance'!$C$56:$T$171,T$226,FALSE),"")</f>
        <v/>
      </c>
      <c r="U232" s="5446" t="str">
        <f ca="1">IFERROR(VLOOKUP($S232,'Action Plan finance'!$C$56:$T$171,U$226,FALSE),"")</f>
        <v/>
      </c>
      <c r="V232" s="5446" t="str">
        <f ca="1">IFERROR(VLOOKUP($S232,'Action Plan finance'!$C$56:$T$171,V$226,FALSE),"")</f>
        <v/>
      </c>
      <c r="W232" s="5446" t="str">
        <f ca="1">IFERROR(VLOOKUP($S232,'Action Plan finance'!$C$56:$T$171,W$226,FALSE),"")</f>
        <v/>
      </c>
      <c r="X232" s="5446" t="str">
        <f ca="1">IFERROR(VLOOKUP($S232,'Action Plan finance'!$C$56:$T$171,X$226,FALSE),"")</f>
        <v/>
      </c>
      <c r="Y232" s="5446" t="str">
        <f ca="1">IFERROR(VLOOKUP($S232,'Action Plan finance'!$C$56:$T$171,Y$226,FALSE),"")</f>
        <v/>
      </c>
      <c r="Z232" s="5446" t="str">
        <f ca="1">IFERROR(VLOOKUP($S232,'Action Plan finance'!$C$56:$T$171,Z$226,FALSE),"")</f>
        <v/>
      </c>
      <c r="AA232" s="5446" t="str">
        <f ca="1">IFERROR(VLOOKUP($S232,'Action Plan finance'!$C$56:$T$171,AA$226,FALSE),"")</f>
        <v/>
      </c>
      <c r="AB232" s="5446" t="str">
        <f ca="1">IFERROR(VLOOKUP($S232,'Action Plan finance'!$C$56:$T$171,AB$226,FALSE),"")</f>
        <v/>
      </c>
      <c r="AC232" s="5447" t="str">
        <f ca="1">IFERROR(VLOOKUP($S232,'Action Plan finance'!$C$56:$T$171,AC$226,FALSE),"")</f>
        <v/>
      </c>
    </row>
    <row r="233" spans="2:29" ht="30" x14ac:dyDescent="0.25">
      <c r="B233" s="4162"/>
      <c r="C233" s="4130" t="str">
        <f t="shared" si="24"/>
        <v>Information, education and communication (IEC) campaigns for sanitation awareness</v>
      </c>
      <c r="D233" s="4111"/>
      <c r="E233" s="4113">
        <f>SUM($F233:$P233)</f>
        <v>0</v>
      </c>
      <c r="F233" s="4113"/>
      <c r="G233" s="4175"/>
      <c r="H233" s="4175"/>
      <c r="I233" s="4175"/>
      <c r="J233" s="4175"/>
      <c r="K233" s="4175"/>
      <c r="L233" s="4175"/>
      <c r="M233" s="4175"/>
      <c r="N233" s="4175"/>
      <c r="O233" s="4113"/>
      <c r="P233" s="4113"/>
      <c r="R233" s="5464" t="s">
        <v>3066</v>
      </c>
      <c r="S233" s="5463" t="str">
        <f>C244</f>
        <v>Increase septage collection with existing suction emptier trucks</v>
      </c>
      <c r="T233" s="5446">
        <f ca="1">IFERROR(VLOOKUP($S233,'Action Plan finance'!$C$56:$T$171,T$226,FALSE),"")</f>
        <v>0</v>
      </c>
      <c r="U233" s="5446">
        <f ca="1">IFERROR(VLOOKUP($S233,'Action Plan finance'!$C$56:$T$171,U$226,FALSE),"")</f>
        <v>0</v>
      </c>
      <c r="V233" s="5446">
        <f ca="1">IFERROR(VLOOKUP($S233,'Action Plan finance'!$C$56:$T$171,V$226,FALSE),"")</f>
        <v>0</v>
      </c>
      <c r="W233" s="5446">
        <f ca="1">IFERROR(VLOOKUP($S233,'Action Plan finance'!$C$56:$T$171,W$226,FALSE),"")</f>
        <v>0</v>
      </c>
      <c r="X233" s="5446">
        <f ca="1">IFERROR(VLOOKUP($S233,'Action Plan finance'!$C$56:$T$171,X$226,FALSE),"")</f>
        <v>0</v>
      </c>
      <c r="Y233" s="5446">
        <f ca="1">IFERROR(VLOOKUP($S233,'Action Plan finance'!$C$56:$T$171,Y$226,FALSE),"")</f>
        <v>0</v>
      </c>
      <c r="Z233" s="5446">
        <f ca="1">IFERROR(VLOOKUP($S233,'Action Plan finance'!$C$56:$T$171,Z$226,FALSE),"")</f>
        <v>0</v>
      </c>
      <c r="AA233" s="5446">
        <f ca="1">IFERROR(VLOOKUP($S233,'Action Plan finance'!$C$56:$T$171,AA$226,FALSE),"")</f>
        <v>0</v>
      </c>
      <c r="AB233" s="5446">
        <f ca="1">IFERROR(VLOOKUP($S233,'Action Plan finance'!$C$56:$T$171,AB$226,FALSE),"")</f>
        <v>0</v>
      </c>
      <c r="AC233" s="5447">
        <f ca="1">IFERROR(VLOOKUP($S233,'Action Plan finance'!$C$56:$T$171,AC$226,FALSE),"")</f>
        <v>0</v>
      </c>
    </row>
    <row r="234" spans="2:29" x14ac:dyDescent="0.25">
      <c r="B234" s="4162"/>
      <c r="C234" s="4130" t="str">
        <f t="shared" si="24"/>
        <v>Construct new individual toilets</v>
      </c>
      <c r="D234" s="4192"/>
      <c r="E234" s="4113">
        <f>SUM($F234:$P234)</f>
        <v>0</v>
      </c>
      <c r="F234" s="4113"/>
      <c r="G234" s="4113"/>
      <c r="H234" s="4113"/>
      <c r="I234" s="4113"/>
      <c r="J234" s="4113"/>
      <c r="K234" s="4113"/>
      <c r="L234" s="4113"/>
      <c r="M234" s="4113"/>
      <c r="N234" s="4113"/>
      <c r="O234" s="4113"/>
      <c r="P234" s="4193"/>
      <c r="Q234" s="4118"/>
      <c r="R234" s="5464" t="s">
        <v>3067</v>
      </c>
      <c r="S234" s="5463" t="str">
        <f t="shared" ref="S234:S240" si="25">C248</f>
        <v xml:space="preserve">Provide soak pits for wastewater disposal </v>
      </c>
      <c r="T234" s="5446" t="str">
        <f ca="1">IFERROR(VLOOKUP($S234,'Action Plan finance'!$C$56:$T$171,T$226,FALSE),"")</f>
        <v/>
      </c>
      <c r="U234" s="5446" t="str">
        <f ca="1">IFERROR(VLOOKUP($S234,'Action Plan finance'!$C$56:$T$171,U$226,FALSE),"")</f>
        <v/>
      </c>
      <c r="V234" s="5446" t="str">
        <f ca="1">IFERROR(VLOOKUP($S234,'Action Plan finance'!$C$56:$T$171,V$226,FALSE),"")</f>
        <v/>
      </c>
      <c r="W234" s="5446" t="str">
        <f ca="1">IFERROR(VLOOKUP($S234,'Action Plan finance'!$C$56:$T$171,W$226,FALSE),"")</f>
        <v/>
      </c>
      <c r="X234" s="5446" t="str">
        <f ca="1">IFERROR(VLOOKUP($S234,'Action Plan finance'!$C$56:$T$171,X$226,FALSE),"")</f>
        <v/>
      </c>
      <c r="Y234" s="5446" t="str">
        <f ca="1">IFERROR(VLOOKUP($S234,'Action Plan finance'!$C$56:$T$171,Y$226,FALSE),"")</f>
        <v/>
      </c>
      <c r="Z234" s="5446" t="str">
        <f ca="1">IFERROR(VLOOKUP($S234,'Action Plan finance'!$C$56:$T$171,Z$226,FALSE),"")</f>
        <v/>
      </c>
      <c r="AA234" s="5446" t="str">
        <f ca="1">IFERROR(VLOOKUP($S234,'Action Plan finance'!$C$56:$T$171,AA$226,FALSE),"")</f>
        <v/>
      </c>
      <c r="AB234" s="5446" t="str">
        <f ca="1">IFERROR(VLOOKUP($S234,'Action Plan finance'!$C$56:$T$171,AB$226,FALSE),"")</f>
        <v/>
      </c>
      <c r="AC234" s="5447" t="str">
        <f ca="1">IFERROR(VLOOKUP($S234,'Action Plan finance'!$C$56:$T$171,AC$226,FALSE),"")</f>
        <v/>
      </c>
    </row>
    <row r="235" spans="2:29" x14ac:dyDescent="0.25">
      <c r="B235" s="4162"/>
      <c r="C235" s="4130" t="str">
        <f t="shared" si="24"/>
        <v>Construct new group toilets</v>
      </c>
      <c r="D235" s="4130"/>
      <c r="E235" s="4113">
        <f>SUM($F235:$P235)</f>
        <v>0</v>
      </c>
      <c r="F235" s="4113"/>
      <c r="G235" s="4113"/>
      <c r="H235" s="4113"/>
      <c r="I235" s="4113"/>
      <c r="J235" s="4113"/>
      <c r="K235" s="4113"/>
      <c r="L235" s="4113"/>
      <c r="M235" s="4113"/>
      <c r="N235" s="4113"/>
      <c r="O235" s="4113"/>
      <c r="P235" s="1632"/>
      <c r="Q235" s="4118"/>
      <c r="R235" s="5464" t="s">
        <v>3068</v>
      </c>
      <c r="S235" s="5463" t="str">
        <f t="shared" si="25"/>
        <v>Lay new settled sewer for wastewater conveyance</v>
      </c>
      <c r="T235" s="5446" t="str">
        <f ca="1">IFERROR(VLOOKUP($S235,'Action Plan finance'!$C$56:$T$171,T$226,FALSE),"")</f>
        <v/>
      </c>
      <c r="U235" s="5446" t="str">
        <f ca="1">IFERROR(VLOOKUP($S235,'Action Plan finance'!$C$56:$T$171,U$226,FALSE),"")</f>
        <v/>
      </c>
      <c r="V235" s="5446" t="str">
        <f ca="1">IFERROR(VLOOKUP($S235,'Action Plan finance'!$C$56:$T$171,V$226,FALSE),"")</f>
        <v/>
      </c>
      <c r="W235" s="5446" t="str">
        <f ca="1">IFERROR(VLOOKUP($S235,'Action Plan finance'!$C$56:$T$171,W$226,FALSE),"")</f>
        <v/>
      </c>
      <c r="X235" s="5446" t="str">
        <f ca="1">IFERROR(VLOOKUP($S235,'Action Plan finance'!$C$56:$T$171,X$226,FALSE),"")</f>
        <v/>
      </c>
      <c r="Y235" s="5446" t="str">
        <f ca="1">IFERROR(VLOOKUP($S235,'Action Plan finance'!$C$56:$T$171,Y$226,FALSE),"")</f>
        <v/>
      </c>
      <c r="Z235" s="5446" t="str">
        <f ca="1">IFERROR(VLOOKUP($S235,'Action Plan finance'!$C$56:$T$171,Z$226,FALSE),"")</f>
        <v/>
      </c>
      <c r="AA235" s="5446" t="str">
        <f ca="1">IFERROR(VLOOKUP($S235,'Action Plan finance'!$C$56:$T$171,AA$226,FALSE),"")</f>
        <v/>
      </c>
      <c r="AB235" s="5446" t="str">
        <f ca="1">IFERROR(VLOOKUP($S235,'Action Plan finance'!$C$56:$T$171,AB$226,FALSE),"")</f>
        <v/>
      </c>
      <c r="AC235" s="5447" t="str">
        <f ca="1">IFERROR(VLOOKUP($S235,'Action Plan finance'!$C$56:$T$171,AC$226,FALSE),"")</f>
        <v/>
      </c>
    </row>
    <row r="236" spans="2:29" s="4151" customFormat="1" x14ac:dyDescent="0.25">
      <c r="B236" s="4162"/>
      <c r="C236" s="4130" t="str">
        <f t="shared" si="24"/>
        <v>Construct new community toilet blocks</v>
      </c>
      <c r="D236" s="4111"/>
      <c r="E236" s="5752">
        <f>SUM($F236:$P236)</f>
        <v>0</v>
      </c>
      <c r="F236" s="4162"/>
      <c r="G236" s="4114">
        <f>(('WW calcu'!F161+'WW calcu'!F162)*'WW Plan'!$H$168*12*G$2)/CurrencyMultiplier</f>
        <v>0</v>
      </c>
      <c r="H236" s="4114">
        <f>(('WW calcu'!G161+'WW calcu'!G162)*'WW Plan'!$H$168*12*H$2)/CurrencyMultiplier</f>
        <v>0</v>
      </c>
      <c r="I236" s="4114">
        <f>(('WW calcu'!H161+'WW calcu'!H162)*'WW Plan'!$H$168*12*I$2)/CurrencyMultiplier</f>
        <v>0</v>
      </c>
      <c r="J236" s="4114">
        <f>(('WW calcu'!I161+'WW calcu'!I162)*'WW Plan'!$H$168*12*J$2)/CurrencyMultiplier</f>
        <v>0</v>
      </c>
      <c r="K236" s="4114">
        <f>(('WW calcu'!J161+'WW calcu'!J162)*'WW Plan'!$H$168*12*K$2)/CurrencyMultiplier</f>
        <v>0</v>
      </c>
      <c r="L236" s="4114">
        <f>(('WW calcu'!K161+'WW calcu'!K162)*'WW Plan'!$H$168*12*L$2)/CurrencyMultiplier</f>
        <v>0</v>
      </c>
      <c r="M236" s="4114">
        <f>(('WW calcu'!L161+'WW calcu'!L162)*'WW Plan'!$H$168*12*M$2)/CurrencyMultiplier</f>
        <v>0</v>
      </c>
      <c r="N236" s="4114">
        <f>(('WW calcu'!M161+'WW calcu'!M162)*'WW Plan'!$H$168*12*N$2)/CurrencyMultiplier</f>
        <v>0</v>
      </c>
      <c r="O236" s="4114">
        <f>(('WW calcu'!N161+'WW calcu'!N162)*'WW Plan'!$H$168*12*O$2)/CurrencyMultiplier</f>
        <v>0</v>
      </c>
      <c r="P236" s="4114">
        <f>(('WW calcu'!O161+'WW calcu'!O162)*'WW Plan'!$H$168*12*P$2)/CurrencyMultiplier</f>
        <v>0</v>
      </c>
      <c r="R236" s="5465" t="s">
        <v>3069</v>
      </c>
      <c r="S236" s="5463" t="str">
        <f t="shared" si="25"/>
        <v>Expand or lay new sewerage network for wastewater conveyance</v>
      </c>
      <c r="T236" s="5446" t="str">
        <f ca="1">IFERROR(VLOOKUP($S236,'Action Plan finance'!$C$56:$T$171,T$226,FALSE),"")</f>
        <v/>
      </c>
      <c r="U236" s="5446" t="str">
        <f ca="1">IFERROR(VLOOKUP($S236,'Action Plan finance'!$C$56:$T$171,U$226,FALSE),"")</f>
        <v/>
      </c>
      <c r="V236" s="5446" t="str">
        <f ca="1">IFERROR(VLOOKUP($S236,'Action Plan finance'!$C$56:$T$171,V$226,FALSE),"")</f>
        <v/>
      </c>
      <c r="W236" s="5446" t="str">
        <f ca="1">IFERROR(VLOOKUP($S236,'Action Plan finance'!$C$56:$T$171,W$226,FALSE),"")</f>
        <v/>
      </c>
      <c r="X236" s="5446" t="str">
        <f ca="1">IFERROR(VLOOKUP($S236,'Action Plan finance'!$C$56:$T$171,X$226,FALSE),"")</f>
        <v/>
      </c>
      <c r="Y236" s="5446" t="str">
        <f ca="1">IFERROR(VLOOKUP($S236,'Action Plan finance'!$C$56:$T$171,Y$226,FALSE),"")</f>
        <v/>
      </c>
      <c r="Z236" s="5446" t="str">
        <f ca="1">IFERROR(VLOOKUP($S236,'Action Plan finance'!$C$56:$T$171,Z$226,FALSE),"")</f>
        <v/>
      </c>
      <c r="AA236" s="5446" t="str">
        <f ca="1">IFERROR(VLOOKUP($S236,'Action Plan finance'!$C$56:$T$171,AA$226,FALSE),"")</f>
        <v/>
      </c>
      <c r="AB236" s="5446" t="str">
        <f ca="1">IFERROR(VLOOKUP($S236,'Action Plan finance'!$C$56:$T$171,AB$226,FALSE),"")</f>
        <v/>
      </c>
      <c r="AC236" s="5447" t="str">
        <f ca="1">IFERROR(VLOOKUP($S236,'Action Plan finance'!$C$56:$T$171,AC$226,FALSE),"")</f>
        <v/>
      </c>
    </row>
    <row r="237" spans="2:29" s="4151" customFormat="1" x14ac:dyDescent="0.25">
      <c r="B237" s="4162"/>
      <c r="C237" s="4191" t="str">
        <f t="shared" si="24"/>
        <v>Construct new public toilet blocks</v>
      </c>
      <c r="D237" s="4183">
        <f>'WW Plan'!H188</f>
        <v>1000</v>
      </c>
      <c r="E237" s="5752">
        <f>SUM($F237:$P237)</f>
        <v>1.2717348455770381</v>
      </c>
      <c r="F237" s="4162"/>
      <c r="G237" s="4114">
        <f>'WW calcu'!F198*$D$237*G$2/CurrencyMultiplier</f>
        <v>3.6666666666666667E-2</v>
      </c>
      <c r="H237" s="4114">
        <f>'WW calcu'!G198*$D$237*H$2/CurrencyMultiplier</f>
        <v>7.6999999999999999E-2</v>
      </c>
      <c r="I237" s="4114">
        <f>'WW calcu'!H198*$D$237*I$2/CurrencyMultiplier</f>
        <v>0.12127499999999999</v>
      </c>
      <c r="J237" s="4114">
        <f>'WW calcu'!I198*$D$237*J$2/CurrencyMultiplier</f>
        <v>0.12733875000000003</v>
      </c>
      <c r="K237" s="4114">
        <f>'WW calcu'!J198*$D$237*K$2/CurrencyMultiplier</f>
        <v>0.13370568750000003</v>
      </c>
      <c r="L237" s="4114">
        <f>'WW calcu'!K198*$D$237*L$2/CurrencyMultiplier</f>
        <v>0.14039097187500002</v>
      </c>
      <c r="M237" s="4114">
        <f>'WW calcu'!L198*$D$237*M$2/CurrencyMultiplier</f>
        <v>0.14741052046875003</v>
      </c>
      <c r="N237" s="4114">
        <f>'WW calcu'!M198*$D$237*N$2/CurrencyMultiplier</f>
        <v>0.15478104649218755</v>
      </c>
      <c r="O237" s="4114">
        <f>'WW calcu'!N198*$D$237*O$2/CurrencyMultiplier</f>
        <v>0.16252009881679694</v>
      </c>
      <c r="P237" s="4114">
        <f>'WW calcu'!O198*$D$237*P$2/CurrencyMultiplier</f>
        <v>0.17064610375763678</v>
      </c>
      <c r="R237" s="5465" t="s">
        <v>3070</v>
      </c>
      <c r="S237" s="5463" t="str">
        <f t="shared" si="25"/>
        <v>Procure new suction emptier trucks</v>
      </c>
      <c r="T237" s="5446">
        <f ca="1">IFERROR(VLOOKUP($S237,'Action Plan finance'!$C$56:$T$171,T$226,FALSE),"")</f>
        <v>12</v>
      </c>
      <c r="U237" s="5446">
        <f ca="1">IFERROR(VLOOKUP($S237,'Action Plan finance'!$C$56:$T$171,U$226,FALSE),"")</f>
        <v>12.84</v>
      </c>
      <c r="V237" s="5446">
        <f ca="1">IFERROR(VLOOKUP($S237,'Action Plan finance'!$C$56:$T$171,V$226,FALSE),"")</f>
        <v>0</v>
      </c>
      <c r="W237" s="5446">
        <f ca="1">IFERROR(VLOOKUP($S237,'Action Plan finance'!$C$56:$T$171,W$226,FALSE),"")</f>
        <v>0</v>
      </c>
      <c r="X237" s="5446">
        <f ca="1">IFERROR(VLOOKUP($S237,'Action Plan finance'!$C$56:$T$171,X$226,FALSE),"")</f>
        <v>0</v>
      </c>
      <c r="Y237" s="5446">
        <f ca="1">IFERROR(VLOOKUP($S237,'Action Plan finance'!$C$56:$T$171,Y$226,FALSE),"")</f>
        <v>0</v>
      </c>
      <c r="Z237" s="5446">
        <f ca="1">IFERROR(VLOOKUP($S237,'Action Plan finance'!$C$56:$T$171,Z$226,FALSE),"")</f>
        <v>0</v>
      </c>
      <c r="AA237" s="5446">
        <f ca="1">IFERROR(VLOOKUP($S237,'Action Plan finance'!$C$56:$T$171,AA$226,FALSE),"")</f>
        <v>0</v>
      </c>
      <c r="AB237" s="5446">
        <f ca="1">IFERROR(VLOOKUP($S237,'Action Plan finance'!$C$56:$T$171,AB$226,FALSE),"")</f>
        <v>0</v>
      </c>
      <c r="AC237" s="5447">
        <f ca="1">IFERROR(VLOOKUP($S237,'Action Plan finance'!$C$56:$T$171,AC$226,FALSE),"")</f>
        <v>0</v>
      </c>
    </row>
    <row r="238" spans="2:29" x14ac:dyDescent="0.25">
      <c r="B238" s="4102" t="s">
        <v>8</v>
      </c>
      <c r="C238" s="4168" t="s">
        <v>1447</v>
      </c>
      <c r="D238" s="4169"/>
      <c r="E238" s="4105"/>
      <c r="F238" s="4106"/>
      <c r="G238" s="4106"/>
      <c r="H238" s="4106"/>
      <c r="I238" s="4106"/>
      <c r="J238" s="4106"/>
      <c r="K238" s="4106"/>
      <c r="L238" s="4106"/>
      <c r="M238" s="4106"/>
      <c r="N238" s="4106"/>
      <c r="O238" s="4106"/>
      <c r="P238" s="4106"/>
      <c r="R238" s="5465" t="s">
        <v>3071</v>
      </c>
      <c r="S238" s="5463" t="str">
        <f t="shared" si="25"/>
        <v>Construct/augment fecal sludge treatment plant</v>
      </c>
      <c r="T238" s="5446">
        <f ca="1">IFERROR(VLOOKUP($S238,'Action Plan finance'!$C$56:$T$171,T$226,FALSE),"")</f>
        <v>45</v>
      </c>
      <c r="U238" s="5446">
        <f ca="1">IFERROR(VLOOKUP($S238,'Action Plan finance'!$C$56:$T$171,U$226,FALSE),"")</f>
        <v>48.15</v>
      </c>
      <c r="V238" s="5446">
        <f ca="1">IFERROR(VLOOKUP($S238,'Action Plan finance'!$C$56:$T$171,V$226,FALSE),"")</f>
        <v>0</v>
      </c>
      <c r="W238" s="5446">
        <f ca="1">IFERROR(VLOOKUP($S238,'Action Plan finance'!$C$56:$T$171,W$226,FALSE),"")</f>
        <v>0</v>
      </c>
      <c r="X238" s="5446">
        <f ca="1">IFERROR(VLOOKUP($S238,'Action Plan finance'!$C$56:$T$171,X$226,FALSE),"")</f>
        <v>0</v>
      </c>
      <c r="Y238" s="5446">
        <f ca="1">IFERROR(VLOOKUP($S238,'Action Plan finance'!$C$56:$T$171,Y$226,FALSE),"")</f>
        <v>0</v>
      </c>
      <c r="Z238" s="5446">
        <f ca="1">IFERROR(VLOOKUP($S238,'Action Plan finance'!$C$56:$T$171,Z$226,FALSE),"")</f>
        <v>0</v>
      </c>
      <c r="AA238" s="5446">
        <f ca="1">IFERROR(VLOOKUP($S238,'Action Plan finance'!$C$56:$T$171,AA$226,FALSE),"")</f>
        <v>0</v>
      </c>
      <c r="AB238" s="5446">
        <f ca="1">IFERROR(VLOOKUP($S238,'Action Plan finance'!$C$56:$T$171,AB$226,FALSE),"")</f>
        <v>0</v>
      </c>
      <c r="AC238" s="5447">
        <f ca="1">IFERROR(VLOOKUP($S238,'Action Plan finance'!$C$56:$T$171,AC$226,FALSE),"")</f>
        <v>0</v>
      </c>
    </row>
    <row r="239" spans="2:29" ht="30" x14ac:dyDescent="0.25">
      <c r="B239" s="4162"/>
      <c r="C239" s="4111" t="str">
        <f t="shared" ref="C239:C255" si="26">C191</f>
        <v>Process improvement for new sewerage connection applications</v>
      </c>
      <c r="D239" s="4111"/>
      <c r="E239" s="4113"/>
      <c r="F239" s="4113"/>
      <c r="G239" s="4113"/>
      <c r="H239" s="4113"/>
      <c r="I239" s="4113"/>
      <c r="J239" s="4113"/>
      <c r="K239" s="4113"/>
      <c r="L239" s="4113"/>
      <c r="M239" s="4113"/>
      <c r="N239" s="4113"/>
      <c r="O239" s="4113"/>
      <c r="P239" s="4113"/>
      <c r="R239" s="5465" t="s">
        <v>3072</v>
      </c>
      <c r="S239" s="5463" t="str">
        <f t="shared" si="25"/>
        <v xml:space="preserve">Construct/augment treatment plant for effluent and sullage </v>
      </c>
      <c r="T239" s="5446" t="str">
        <f ca="1">IFERROR(VLOOKUP($S239,'Action Plan finance'!$C$56:$T$171,T$226,FALSE),"")</f>
        <v/>
      </c>
      <c r="U239" s="5446" t="str">
        <f ca="1">IFERROR(VLOOKUP($S239,'Action Plan finance'!$C$56:$T$171,U$226,FALSE),"")</f>
        <v/>
      </c>
      <c r="V239" s="5446" t="str">
        <f ca="1">IFERROR(VLOOKUP($S239,'Action Plan finance'!$C$56:$T$171,V$226,FALSE),"")</f>
        <v/>
      </c>
      <c r="W239" s="5446" t="str">
        <f ca="1">IFERROR(VLOOKUP($S239,'Action Plan finance'!$C$56:$T$171,W$226,FALSE),"")</f>
        <v/>
      </c>
      <c r="X239" s="5446" t="str">
        <f ca="1">IFERROR(VLOOKUP($S239,'Action Plan finance'!$C$56:$T$171,X$226,FALSE),"")</f>
        <v/>
      </c>
      <c r="Y239" s="5446" t="str">
        <f ca="1">IFERROR(VLOOKUP($S239,'Action Plan finance'!$C$56:$T$171,Y$226,FALSE),"")</f>
        <v/>
      </c>
      <c r="Z239" s="5446" t="str">
        <f ca="1">IFERROR(VLOOKUP($S239,'Action Plan finance'!$C$56:$T$171,Z$226,FALSE),"")</f>
        <v/>
      </c>
      <c r="AA239" s="5446" t="str">
        <f ca="1">IFERROR(VLOOKUP($S239,'Action Plan finance'!$C$56:$T$171,AA$226,FALSE),"")</f>
        <v/>
      </c>
      <c r="AB239" s="5446" t="str">
        <f ca="1">IFERROR(VLOOKUP($S239,'Action Plan finance'!$C$56:$T$171,AB$226,FALSE),"")</f>
        <v/>
      </c>
      <c r="AC239" s="5447" t="str">
        <f ca="1">IFERROR(VLOOKUP($S239,'Action Plan finance'!$C$56:$T$171,AC$226,FALSE),"")</f>
        <v/>
      </c>
    </row>
    <row r="240" spans="2:29" ht="30" x14ac:dyDescent="0.25">
      <c r="B240" s="4162"/>
      <c r="C240" s="4130" t="str">
        <f t="shared" si="26"/>
        <v>Improve processes for regular cleaning of drains and sewers</v>
      </c>
      <c r="D240" s="4111"/>
      <c r="E240" s="4113"/>
      <c r="F240" s="4113"/>
      <c r="G240" s="4113"/>
      <c r="H240" s="4113"/>
      <c r="I240" s="4113"/>
      <c r="J240" s="4113"/>
      <c r="K240" s="4113"/>
      <c r="L240" s="4113"/>
      <c r="M240" s="4113"/>
      <c r="N240" s="4113"/>
      <c r="O240" s="4113"/>
      <c r="P240" s="4113"/>
      <c r="R240" s="5466" t="s">
        <v>3073</v>
      </c>
      <c r="S240" s="5467" t="str">
        <f t="shared" si="25"/>
        <v xml:space="preserve">Construct/augment sewage treatment plant </v>
      </c>
      <c r="T240" s="5449" t="str">
        <f ca="1">IFERROR(VLOOKUP($S240,'Action Plan finance'!$C$56:$T$171,T$226,FALSE),"")</f>
        <v/>
      </c>
      <c r="U240" s="5448" t="str">
        <f ca="1">IFERROR(VLOOKUP($S240,'Action Plan finance'!$C$56:$T$171,U$226,FALSE),"")</f>
        <v/>
      </c>
      <c r="V240" s="5448" t="str">
        <f ca="1">IFERROR(VLOOKUP($S240,'Action Plan finance'!$C$56:$T$171,V$226,FALSE),"")</f>
        <v/>
      </c>
      <c r="W240" s="5448" t="str">
        <f ca="1">IFERROR(VLOOKUP($S240,'Action Plan finance'!$C$56:$T$171,W$226,FALSE),"")</f>
        <v/>
      </c>
      <c r="X240" s="5448" t="str">
        <f ca="1">IFERROR(VLOOKUP($S240,'Action Plan finance'!$C$56:$T$171,X$226,FALSE),"")</f>
        <v/>
      </c>
      <c r="Y240" s="5448" t="str">
        <f ca="1">IFERROR(VLOOKUP($S240,'Action Plan finance'!$C$56:$T$171,Y$226,FALSE),"")</f>
        <v/>
      </c>
      <c r="Z240" s="5448" t="str">
        <f ca="1">IFERROR(VLOOKUP($S240,'Action Plan finance'!$C$56:$T$171,Z$226,FALSE),"")</f>
        <v/>
      </c>
      <c r="AA240" s="5448" t="str">
        <f ca="1">IFERROR(VLOOKUP($S240,'Action Plan finance'!$C$56:$T$171,AA$226,FALSE),"")</f>
        <v/>
      </c>
      <c r="AB240" s="5448" t="str">
        <f ca="1">IFERROR(VLOOKUP($S240,'Action Plan finance'!$C$56:$T$171,AB$226,FALSE),"")</f>
        <v/>
      </c>
      <c r="AC240" s="5450" t="str">
        <f ca="1">IFERROR(VLOOKUP($S240,'Action Plan finance'!$C$56:$T$171,AC$226,FALSE),"")</f>
        <v/>
      </c>
    </row>
    <row r="241" spans="2:29" x14ac:dyDescent="0.25">
      <c r="B241" s="4162"/>
      <c r="C241" s="4130" t="str">
        <f t="shared" si="26"/>
        <v xml:space="preserve">Regularise unauthorised sewerage connections </v>
      </c>
      <c r="D241" s="4111"/>
      <c r="E241" s="4113">
        <f t="shared" ref="E241:E247" si="27">SUM($F241:$P241)</f>
        <v>0</v>
      </c>
      <c r="F241" s="4113"/>
      <c r="G241" s="4113"/>
      <c r="H241" s="4113"/>
      <c r="I241" s="4113"/>
      <c r="J241" s="4113"/>
      <c r="K241" s="4113"/>
      <c r="L241" s="4113"/>
      <c r="M241" s="4113"/>
      <c r="N241" s="4113"/>
      <c r="O241" s="4113"/>
      <c r="P241" s="4113"/>
    </row>
    <row r="242" spans="2:29" ht="30" x14ac:dyDescent="0.25">
      <c r="B242" s="4162"/>
      <c r="C242" s="4130" t="str">
        <f t="shared" si="26"/>
        <v>Increase connections using existing sewerage network</v>
      </c>
      <c r="D242" s="4111"/>
      <c r="E242" s="4113">
        <f t="shared" si="27"/>
        <v>0</v>
      </c>
      <c r="F242" s="4113"/>
      <c r="G242" s="4113"/>
      <c r="H242" s="4113"/>
      <c r="I242" s="4113"/>
      <c r="J242" s="4113"/>
      <c r="K242" s="4113"/>
      <c r="L242" s="4113"/>
      <c r="M242" s="4113"/>
      <c r="N242" s="4113"/>
      <c r="O242" s="4113"/>
      <c r="P242" s="4113"/>
      <c r="R242" s="5451"/>
      <c r="S242" s="5452">
        <v>2</v>
      </c>
      <c r="T242" s="5452">
        <v>3</v>
      </c>
      <c r="U242" s="5452">
        <v>4</v>
      </c>
      <c r="V242" s="5452">
        <v>5</v>
      </c>
      <c r="W242" s="5452">
        <v>6</v>
      </c>
      <c r="X242" s="5452">
        <v>7</v>
      </c>
      <c r="Y242" s="5452">
        <v>8</v>
      </c>
      <c r="Z242" s="5452">
        <v>9</v>
      </c>
      <c r="AA242" s="5452">
        <v>10</v>
      </c>
      <c r="AB242" s="5452">
        <v>11</v>
      </c>
      <c r="AC242" s="5453">
        <v>12</v>
      </c>
    </row>
    <row r="243" spans="2:29" ht="30" x14ac:dyDescent="0.25">
      <c r="B243" s="4162"/>
      <c r="C243" s="4194" t="str">
        <f t="shared" si="26"/>
        <v>Improve existing sewerage network and plug leakages</v>
      </c>
      <c r="D243" s="4111"/>
      <c r="E243" s="4113">
        <f t="shared" si="27"/>
        <v>0</v>
      </c>
      <c r="F243" s="4113"/>
      <c r="G243" s="4113"/>
      <c r="H243" s="4113"/>
      <c r="I243" s="4113"/>
      <c r="J243" s="4113"/>
      <c r="K243" s="4113"/>
      <c r="L243" s="4113"/>
      <c r="M243" s="4113"/>
      <c r="N243" s="4113"/>
      <c r="O243" s="4113"/>
      <c r="P243" s="4113"/>
      <c r="R243" s="5454"/>
      <c r="S243" s="5455">
        <f>F223</f>
        <v>2014</v>
      </c>
      <c r="T243" s="5455">
        <f t="shared" ref="T243:AC243" si="28">G223</f>
        <v>2015</v>
      </c>
      <c r="U243" s="5455">
        <f t="shared" si="28"/>
        <v>2016</v>
      </c>
      <c r="V243" s="5455">
        <f t="shared" si="28"/>
        <v>2017</v>
      </c>
      <c r="W243" s="5455">
        <f t="shared" si="28"/>
        <v>2018</v>
      </c>
      <c r="X243" s="5455">
        <f t="shared" si="28"/>
        <v>2019</v>
      </c>
      <c r="Y243" s="5455">
        <f t="shared" si="28"/>
        <v>2020</v>
      </c>
      <c r="Z243" s="5455">
        <f t="shared" si="28"/>
        <v>2021</v>
      </c>
      <c r="AA243" s="5455">
        <f t="shared" si="28"/>
        <v>2022</v>
      </c>
      <c r="AB243" s="5455">
        <f t="shared" si="28"/>
        <v>2023</v>
      </c>
      <c r="AC243" s="5456">
        <f t="shared" si="28"/>
        <v>2024</v>
      </c>
    </row>
    <row r="244" spans="2:29" s="4118" customFormat="1" ht="30" x14ac:dyDescent="0.25">
      <c r="B244" s="4162"/>
      <c r="C244" s="4130" t="str">
        <f t="shared" si="26"/>
        <v>Increase septage collection with existing suction emptier trucks</v>
      </c>
      <c r="D244" s="4111"/>
      <c r="E244" s="5731">
        <f t="shared" si="27"/>
        <v>16.980154922990923</v>
      </c>
      <c r="F244" s="4113"/>
      <c r="G244" s="4113">
        <f>'WW calcu'!F660*G$2</f>
        <v>1.35</v>
      </c>
      <c r="H244" s="4113">
        <f>'WW calcu'!G660*H$2</f>
        <v>1.4175000000000002</v>
      </c>
      <c r="I244" s="4113">
        <f>'WW calcu'!H660*I$2</f>
        <v>1.4883750000000002</v>
      </c>
      <c r="J244" s="4113">
        <f>'WW calcu'!I660*J$2</f>
        <v>1.5627937500000002</v>
      </c>
      <c r="K244" s="4113">
        <f>'WW calcu'!J660*K$2</f>
        <v>1.6409334375000004</v>
      </c>
      <c r="L244" s="4113">
        <f>'WW calcu'!K660*L$2</f>
        <v>1.7229801093750006</v>
      </c>
      <c r="M244" s="4113">
        <f>'WW calcu'!L660*M$2</f>
        <v>1.8091291148437507</v>
      </c>
      <c r="N244" s="4113">
        <f>'WW calcu'!M660*N$2</f>
        <v>1.8995855705859384</v>
      </c>
      <c r="O244" s="4113">
        <f>'WW calcu'!N660*O$2</f>
        <v>1.9945648491152352</v>
      </c>
      <c r="P244" s="4113">
        <f>'WW calcu'!O660*P$2</f>
        <v>2.094293091570997</v>
      </c>
      <c r="R244" s="5454" t="str">
        <f>Dashboard!B7</f>
        <v>Coverage of households with improved sanitation facility in city</v>
      </c>
      <c r="S244" s="5457">
        <f>VLOOKUP($R244,'Summary of PIP'!$C$24:$N$262,S$242,FALSE)</f>
        <v>0</v>
      </c>
      <c r="T244" s="5457">
        <f>VLOOKUP($R244,'Summary of PIP'!$C$24:$N$262,T$242,FALSE)</f>
        <v>0</v>
      </c>
      <c r="U244" s="5457">
        <f>VLOOKUP($R244,'Summary of PIP'!$C$24:$N$262,U$242,FALSE)</f>
        <v>0</v>
      </c>
      <c r="V244" s="5457">
        <f>VLOOKUP($R244,'Summary of PIP'!$C$24:$N$262,V$242,FALSE)</f>
        <v>0</v>
      </c>
      <c r="W244" s="5457">
        <f>VLOOKUP($R244,'Summary of PIP'!$C$24:$N$262,W$242,FALSE)</f>
        <v>0</v>
      </c>
      <c r="X244" s="5457">
        <f>VLOOKUP($R244,'Summary of PIP'!$C$24:$N$262,X$242,FALSE)</f>
        <v>0</v>
      </c>
      <c r="Y244" s="5457">
        <f>VLOOKUP($R244,'Summary of PIP'!$C$24:$N$262,Y$242,FALSE)</f>
        <v>0</v>
      </c>
      <c r="Z244" s="5457">
        <f>VLOOKUP($R244,'Summary of PIP'!$C$24:$N$262,Z$242,FALSE)</f>
        <v>0</v>
      </c>
      <c r="AA244" s="5457">
        <f>VLOOKUP($R244,'Summary of PIP'!$C$24:$N$262,AA$242,FALSE)</f>
        <v>0</v>
      </c>
      <c r="AB244" s="5457">
        <f>VLOOKUP($R244,'Summary of PIP'!$C$24:$N$262,AB$242,FALSE)</f>
        <v>0</v>
      </c>
      <c r="AC244" s="5458">
        <f>VLOOKUP($R244,'Summary of PIP'!$C$24:$N$262,AC$242,FALSE)</f>
        <v>0</v>
      </c>
    </row>
    <row r="245" spans="2:29" x14ac:dyDescent="0.25">
      <c r="B245" s="4162"/>
      <c r="C245" s="4130" t="str">
        <f t="shared" si="26"/>
        <v>Increase efficiency of all existing treatment plants</v>
      </c>
      <c r="D245" s="4183">
        <f>'WW Plan'!H254*12</f>
        <v>0</v>
      </c>
      <c r="E245" s="5752">
        <f t="shared" si="27"/>
        <v>0</v>
      </c>
      <c r="F245" s="4113"/>
      <c r="G245" s="4113">
        <f>IF(AND('WW Plan'!$E$241="Activate",G$175&gt;'WW Plan'!$H$241),$D$245*G$2,0)/CurrencyMultiplier</f>
        <v>0</v>
      </c>
      <c r="H245" s="4113">
        <f>IF(AND('WW Plan'!$E$241="Activate",H$175&gt;'WW Plan'!$H$241),$D$245*H$2,0)/CurrencyMultiplier</f>
        <v>0</v>
      </c>
      <c r="I245" s="4113">
        <f>IF(AND('WW Plan'!$E$241="Activate",I$175&gt;'WW Plan'!$H$241),$D$245*I$2,0)/CurrencyMultiplier</f>
        <v>0</v>
      </c>
      <c r="J245" s="4113">
        <f>IF(AND('WW Plan'!$E$241="Activate",J$175&gt;'WW Plan'!$H$241),$D$245*J$2,0)/CurrencyMultiplier</f>
        <v>0</v>
      </c>
      <c r="K245" s="4113">
        <f>IF(AND('WW Plan'!$E$241="Activate",K$175&gt;'WW Plan'!$H$241),$D$245*K$2,0)/CurrencyMultiplier</f>
        <v>0</v>
      </c>
      <c r="L245" s="4113">
        <f>IF(AND('WW Plan'!$E$241="Activate",L$175&gt;'WW Plan'!$H$241),$D$245*L$2,0)/CurrencyMultiplier</f>
        <v>0</v>
      </c>
      <c r="M245" s="4113">
        <f>IF(AND('WW Plan'!$E$241="Activate",M$175&gt;'WW Plan'!$H$241),$D$245*M$2,0)/CurrencyMultiplier</f>
        <v>0</v>
      </c>
      <c r="N245" s="4113">
        <f>IF(AND('WW Plan'!$E$241="Activate",N$175&gt;'WW Plan'!$H$241),$D$245*N$2,0)/CurrencyMultiplier</f>
        <v>0</v>
      </c>
      <c r="O245" s="4113">
        <f>IF(AND('WW Plan'!$E$241="Activate",O$175&gt;'WW Plan'!$H$241),$D$245*O$2,0)/CurrencyMultiplier</f>
        <v>0</v>
      </c>
      <c r="P245" s="4113">
        <f>IF(AND('WW Plan'!$E$241="Activate",P$175&gt;'WW Plan'!$H$241),$D$245*P$2,0)/CurrencyMultiplier</f>
        <v>0</v>
      </c>
      <c r="R245" s="5454" t="str">
        <f>Dashboard!B8</f>
        <v xml:space="preserve">Septic tanks cleaned annually in city </v>
      </c>
      <c r="S245" s="5457">
        <f>VLOOKUP($R245,'Summary of PIP'!$C$24:$N$262,S$242,FALSE)</f>
        <v>0</v>
      </c>
      <c r="T245" s="5457">
        <f>VLOOKUP($R245,'Summary of PIP'!$C$24:$N$262,T$242,FALSE)</f>
        <v>0</v>
      </c>
      <c r="U245" s="5457">
        <f>VLOOKUP($R245,'Summary of PIP'!$C$24:$N$262,U$242,FALSE)</f>
        <v>0</v>
      </c>
      <c r="V245" s="5457">
        <f>VLOOKUP($R245,'Summary of PIP'!$C$24:$N$262,V$242,FALSE)</f>
        <v>0</v>
      </c>
      <c r="W245" s="5457">
        <f>VLOOKUP($R245,'Summary of PIP'!$C$24:$N$262,W$242,FALSE)</f>
        <v>0</v>
      </c>
      <c r="X245" s="5457">
        <f>VLOOKUP($R245,'Summary of PIP'!$C$24:$N$262,X$242,FALSE)</f>
        <v>0</v>
      </c>
      <c r="Y245" s="5457">
        <f>VLOOKUP($R245,'Summary of PIP'!$C$24:$N$262,Y$242,FALSE)</f>
        <v>0</v>
      </c>
      <c r="Z245" s="5457">
        <f>VLOOKUP($R245,'Summary of PIP'!$C$24:$N$262,Z$242,FALSE)</f>
        <v>0</v>
      </c>
      <c r="AA245" s="5457">
        <f>VLOOKUP($R245,'Summary of PIP'!$C$24:$N$262,AA$242,FALSE)</f>
        <v>0</v>
      </c>
      <c r="AB245" s="5457">
        <f>VLOOKUP($R245,'Summary of PIP'!$C$24:$N$262,AB$242,FALSE)</f>
        <v>0</v>
      </c>
      <c r="AC245" s="5458">
        <f>VLOOKUP($R245,'Summary of PIP'!$C$24:$N$262,AC$242,FALSE)</f>
        <v>0</v>
      </c>
    </row>
    <row r="246" spans="2:29" ht="30" x14ac:dyDescent="0.25">
      <c r="B246" s="4162"/>
      <c r="C246" s="4130" t="str">
        <f t="shared" si="26"/>
        <v>Upgrade open surface drains to closed drains for storm water drainage</v>
      </c>
      <c r="D246" s="4111"/>
      <c r="E246" s="4113">
        <f t="shared" si="27"/>
        <v>0</v>
      </c>
      <c r="F246" s="4113"/>
      <c r="G246" s="4113"/>
      <c r="H246" s="4113"/>
      <c r="I246" s="4113"/>
      <c r="J246" s="4113"/>
      <c r="K246" s="4113"/>
      <c r="L246" s="4113"/>
      <c r="M246" s="4113"/>
      <c r="N246" s="4113"/>
      <c r="O246" s="4113"/>
      <c r="P246" s="4113"/>
      <c r="R246" s="5459" t="str">
        <f>Dashboard!B9</f>
        <v>Adequacy of septage treatment capacity</v>
      </c>
      <c r="S246" s="5460">
        <f>VLOOKUP($R246,'Summary of PIP'!$C$24:$N$262,S$242,FALSE)</f>
        <v>0</v>
      </c>
      <c r="T246" s="5460">
        <f>VLOOKUP($R246,'Summary of PIP'!$C$24:$N$262,T$242,FALSE)</f>
        <v>0</v>
      </c>
      <c r="U246" s="5460">
        <f>VLOOKUP($R246,'Summary of PIP'!$C$24:$N$262,U$242,FALSE)</f>
        <v>0</v>
      </c>
      <c r="V246" s="5460">
        <f>VLOOKUP($R246,'Summary of PIP'!$C$24:$N$262,V$242,FALSE)</f>
        <v>0</v>
      </c>
      <c r="W246" s="5460">
        <f>VLOOKUP($R246,'Summary of PIP'!$C$24:$N$262,W$242,FALSE)</f>
        <v>0</v>
      </c>
      <c r="X246" s="5460">
        <f>VLOOKUP($R246,'Summary of PIP'!$C$24:$N$262,X$242,FALSE)</f>
        <v>0</v>
      </c>
      <c r="Y246" s="5460">
        <f>VLOOKUP($R246,'Summary of PIP'!$C$24:$N$262,Y$242,FALSE)</f>
        <v>0</v>
      </c>
      <c r="Z246" s="5460">
        <f>VLOOKUP($R246,'Summary of PIP'!$C$24:$N$262,Z$242,FALSE)</f>
        <v>0</v>
      </c>
      <c r="AA246" s="5460">
        <f>VLOOKUP($R246,'Summary of PIP'!$C$24:$N$262,AA$242,FALSE)</f>
        <v>0</v>
      </c>
      <c r="AB246" s="5460">
        <f>VLOOKUP($R246,'Summary of PIP'!$C$24:$N$262,AB$242,FALSE)</f>
        <v>0</v>
      </c>
      <c r="AC246" s="5461">
        <f>VLOOKUP($R246,'Summary of PIP'!$C$24:$N$262,AC$242,FALSE)</f>
        <v>0</v>
      </c>
    </row>
    <row r="247" spans="2:29" s="4195" customFormat="1" x14ac:dyDescent="0.25">
      <c r="B247" s="4183"/>
      <c r="C247" s="4130" t="str">
        <f t="shared" si="26"/>
        <v>Reduce water logging/flooding in city</v>
      </c>
      <c r="D247" s="4111">
        <f>'WW Plan'!H270/10^5</f>
        <v>0</v>
      </c>
      <c r="E247" s="4113">
        <f t="shared" si="27"/>
        <v>0</v>
      </c>
      <c r="F247" s="4111"/>
      <c r="G247" s="4113">
        <f>IF('WW Plan'!$E$264="Activate",IF(G$223&gt;'WW Plan'!$H$264,$D$247,0),0)*G$2</f>
        <v>0</v>
      </c>
      <c r="H247" s="4113">
        <f>IF('WW Plan'!$E$264="Activate",IF(H$223&gt;'WW Plan'!$H$264,$D$247,0),0)*H$2</f>
        <v>0</v>
      </c>
      <c r="I247" s="4113">
        <f>IF('WW Plan'!$E$264="Activate",IF(I$223&gt;'WW Plan'!$H$264,$D$247,0),0)*I$2</f>
        <v>0</v>
      </c>
      <c r="J247" s="4113">
        <f>IF('WW Plan'!$E$264="Activate",IF(J$223&gt;'WW Plan'!$H$264,$D$247,0),0)*J$2</f>
        <v>0</v>
      </c>
      <c r="K247" s="4113">
        <f>IF('WW Plan'!$E$264="Activate",IF(K$223&gt;'WW Plan'!$H$264,$D$247,0),0)*K$2</f>
        <v>0</v>
      </c>
      <c r="L247" s="4113">
        <f>IF('WW Plan'!$E$264="Activate",IF(L$223&gt;'WW Plan'!$H$264,$D$247,0),0)*L$2</f>
        <v>0</v>
      </c>
      <c r="M247" s="4113">
        <f>IF('WW Plan'!$E$264="Activate",IF(M$223&gt;'WW Plan'!$H$264,$D$247,0),0)*M$2</f>
        <v>0</v>
      </c>
      <c r="N247" s="4113">
        <f>IF('WW Plan'!$E$264="Activate",IF(N$223&gt;'WW Plan'!$H$264,$D$247,0),0)*N$2</f>
        <v>0</v>
      </c>
      <c r="O247" s="4113">
        <f>IF('WW Plan'!$E$264="Activate",IF(O$223&gt;'WW Plan'!$H$264,$D$247,0),0)*O$2</f>
        <v>0</v>
      </c>
      <c r="P247" s="4113">
        <f>IF('WW Plan'!$E$264="Activate",IF(P$223&gt;'WW Plan'!$H$264,$D$247,0),0)*P$2</f>
        <v>0</v>
      </c>
    </row>
    <row r="248" spans="2:29" x14ac:dyDescent="0.25">
      <c r="B248" s="4162"/>
      <c r="C248" s="4130" t="str">
        <f t="shared" si="26"/>
        <v xml:space="preserve">Provide soak pits for wastewater disposal </v>
      </c>
      <c r="D248" s="4111"/>
      <c r="E248" s="4113"/>
      <c r="F248" s="4113"/>
      <c r="G248" s="4113"/>
      <c r="H248" s="4113"/>
      <c r="I248" s="4113"/>
      <c r="J248" s="4113"/>
      <c r="K248" s="4113"/>
      <c r="L248" s="4113"/>
      <c r="M248" s="4113"/>
      <c r="N248" s="4113"/>
      <c r="O248" s="4113"/>
      <c r="P248" s="4113"/>
    </row>
    <row r="249" spans="2:29" x14ac:dyDescent="0.25">
      <c r="B249" s="4162"/>
      <c r="C249" s="4130" t="str">
        <f t="shared" si="26"/>
        <v>Lay new settled sewer for wastewater conveyance</v>
      </c>
      <c r="D249" s="4111">
        <f>'WW Plan'!G290</f>
        <v>0</v>
      </c>
      <c r="E249" s="4113">
        <f t="shared" ref="E249:E255" si="29">SUM($F249:$P249)</f>
        <v>0</v>
      </c>
      <c r="F249" s="4113"/>
      <c r="G249" s="4113">
        <f>'WW calcu'!F375*G$2</f>
        <v>0</v>
      </c>
      <c r="H249" s="4113">
        <f>'WW calcu'!G375*H$2</f>
        <v>0</v>
      </c>
      <c r="I249" s="4113">
        <f>'WW calcu'!H375*I$2</f>
        <v>0</v>
      </c>
      <c r="J249" s="4113">
        <f>'WW calcu'!I375*J$2</f>
        <v>0</v>
      </c>
      <c r="K249" s="4113">
        <f>'WW calcu'!J375*K$2</f>
        <v>0</v>
      </c>
      <c r="L249" s="4113">
        <f>'WW calcu'!K375*L$2</f>
        <v>0</v>
      </c>
      <c r="M249" s="4113">
        <f>'WW calcu'!L375*M$2</f>
        <v>0</v>
      </c>
      <c r="N249" s="4113">
        <f>'WW calcu'!M375*N$2</f>
        <v>0</v>
      </c>
      <c r="O249" s="4113">
        <f>'WW calcu'!N375*O$2</f>
        <v>0</v>
      </c>
      <c r="P249" s="4113">
        <f>'WW calcu'!O375*P$2</f>
        <v>0</v>
      </c>
    </row>
    <row r="250" spans="2:29" ht="30" x14ac:dyDescent="0.25">
      <c r="B250" s="4162"/>
      <c r="C250" s="4196" t="str">
        <f t="shared" si="26"/>
        <v>Expand or lay new sewerage network for wastewater conveyance</v>
      </c>
      <c r="D250" s="4111"/>
      <c r="E250" s="4113">
        <f t="shared" si="29"/>
        <v>0</v>
      </c>
      <c r="F250" s="4113"/>
      <c r="G250" s="4113">
        <f>'WW calcu'!F498*G$2</f>
        <v>0</v>
      </c>
      <c r="H250" s="4113">
        <f>'WW calcu'!G498*H$2</f>
        <v>0</v>
      </c>
      <c r="I250" s="4113">
        <f>'WW calcu'!H498*I$2</f>
        <v>0</v>
      </c>
      <c r="J250" s="4113">
        <f>'WW calcu'!I498*J$2</f>
        <v>0</v>
      </c>
      <c r="K250" s="4113">
        <f>'WW calcu'!J498*K$2</f>
        <v>0</v>
      </c>
      <c r="L250" s="4113">
        <f>'WW calcu'!K498*L$2</f>
        <v>0</v>
      </c>
      <c r="M250" s="4113">
        <f>'WW calcu'!L498*M$2</f>
        <v>0</v>
      </c>
      <c r="N250" s="4113">
        <f>'WW calcu'!M498*N$2</f>
        <v>0</v>
      </c>
      <c r="O250" s="4113">
        <f>'WW calcu'!N498*O$2</f>
        <v>0</v>
      </c>
      <c r="P250" s="4113">
        <f>'WW calcu'!O498*P$2</f>
        <v>0</v>
      </c>
      <c r="Q250" s="4118"/>
    </row>
    <row r="251" spans="2:29" x14ac:dyDescent="0.25">
      <c r="B251" s="4162"/>
      <c r="C251" s="4130" t="str">
        <f t="shared" si="26"/>
        <v>Procure new suction emptier trucks</v>
      </c>
      <c r="D251" s="4111">
        <f>IF('WW Plan'!$E$308="Activate",'WW Plan'!$H$320,0)</f>
        <v>0.5</v>
      </c>
      <c r="E251" s="5731">
        <f t="shared" si="29"/>
        <v>143.79742529151648</v>
      </c>
      <c r="F251" s="4113"/>
      <c r="G251" s="4113">
        <f>IF('WW Plan'!$E$308="Activate",IF(G$223&gt;'WW Plan'!$G$308,$D251*SUM('PIP finance'!$F$203:G203),0),0)*G$2</f>
        <v>0</v>
      </c>
      <c r="H251" s="4113">
        <f>IF('WW Plan'!$E$308="Activate",IF(H$223&gt;'WW Plan'!$G$308,$D251*SUM('PIP finance'!$F$203:H203),0),0)*H$2</f>
        <v>13.041</v>
      </c>
      <c r="I251" s="4113">
        <f>IF('WW Plan'!$E$308="Activate",IF(I$223&gt;'WW Plan'!$G$308,$D251*SUM('PIP finance'!$F$203:I203),0),0)*I$2</f>
        <v>13.693049999999999</v>
      </c>
      <c r="J251" s="4113">
        <f>IF('WW Plan'!$E$308="Activate",IF(J$223&gt;'WW Plan'!$G$308,$D251*SUM('PIP finance'!$F$203:J203),0),0)*J$2</f>
        <v>14.377702500000002</v>
      </c>
      <c r="K251" s="4113">
        <f>IF('WW Plan'!$E$308="Activate",IF(K$223&gt;'WW Plan'!$G$308,$D251*SUM('PIP finance'!$F$203:K203),0),0)*K$2</f>
        <v>15.096587625000003</v>
      </c>
      <c r="L251" s="4113">
        <f>IF('WW Plan'!$E$308="Activate",IF(L$223&gt;'WW Plan'!$G$308,$D251*SUM('PIP finance'!$F$203:L203),0),0)*L$2</f>
        <v>15.851417006250005</v>
      </c>
      <c r="M251" s="4113">
        <f>IF('WW Plan'!$E$308="Activate",IF(M$223&gt;'WW Plan'!$G$308,$D251*SUM('PIP finance'!$F$203:M203),0),0)*M$2</f>
        <v>16.643987856562504</v>
      </c>
      <c r="N251" s="4113">
        <f>IF('WW Plan'!$E$308="Activate",IF(N$223&gt;'WW Plan'!$G$308,$D251*SUM('PIP finance'!$F$203:N203),0),0)*N$2</f>
        <v>17.47618724939063</v>
      </c>
      <c r="O251" s="4113">
        <f>IF('WW Plan'!$E$308="Activate",IF(O$223&gt;'WW Plan'!$G$308,$D251*SUM('PIP finance'!$F$203:O203),0),0)*O$2</f>
        <v>18.349996611860163</v>
      </c>
      <c r="P251" s="4113">
        <f>IF('WW Plan'!$E$308="Activate",IF(P$223&gt;'WW Plan'!$G$308,$D251*SUM('PIP finance'!$F$203:P203),0),0)*P$2</f>
        <v>19.267496442453172</v>
      </c>
    </row>
    <row r="252" spans="2:29" x14ac:dyDescent="0.25">
      <c r="B252" s="4162"/>
      <c r="C252" s="4130" t="str">
        <f t="shared" si="26"/>
        <v>Construct/augment fecal sludge treatment plant</v>
      </c>
      <c r="D252" s="4111">
        <f>IF('WW Plan'!$E$323="Activate",'WW Plan'!$H$330,0)</f>
        <v>0.05</v>
      </c>
      <c r="E252" s="4120">
        <f t="shared" si="29"/>
        <v>49.03365948431869</v>
      </c>
      <c r="F252" s="4113"/>
      <c r="G252" s="4113">
        <f>IF('WW Plan'!$E$323="Activate",IF(G$223&gt;'WW Plan'!$H$323,$D252*SUM($F$204:G204),0),0)*G$2</f>
        <v>0</v>
      </c>
      <c r="H252" s="4113">
        <f>IF('WW Plan'!$E$323="Activate",IF(H$223&gt;'WW Plan'!$H$323,$D252*SUM($F$204:H204),0),0)*H$2</f>
        <v>0</v>
      </c>
      <c r="I252" s="4113">
        <f>IF('WW Plan'!$E$323="Activate",IF(I$223&gt;'WW Plan'!$H$323,$D252*SUM($F$204:I204),0),0)*I$2</f>
        <v>5.1348937500000007</v>
      </c>
      <c r="J252" s="4113">
        <f>IF('WW Plan'!$E$323="Activate",IF(J$223&gt;'WW Plan'!$H$323,$D252*SUM($F$204:J204),0),0)*J$2</f>
        <v>5.391638437500001</v>
      </c>
      <c r="K252" s="4113">
        <f>IF('WW Plan'!$E$323="Activate",IF(K$223&gt;'WW Plan'!$H$323,$D252*SUM($F$204:K204),0),0)*K$2</f>
        <v>5.6612203593750019</v>
      </c>
      <c r="L252" s="4113">
        <f>IF('WW Plan'!$E$323="Activate",IF(L$223&gt;'WW Plan'!$H$323,$D252*SUM($F$204:L204),0),0)*L$2</f>
        <v>5.9442813773437528</v>
      </c>
      <c r="M252" s="4113">
        <f>IF('WW Plan'!$E$323="Activate",IF(M$223&gt;'WW Plan'!$H$323,$D252*SUM($F$204:M204),0),0)*M$2</f>
        <v>6.2414954462109407</v>
      </c>
      <c r="N252" s="4113">
        <f>IF('WW Plan'!$E$323="Activate",IF(N$223&gt;'WW Plan'!$H$323,$D252*SUM($F$204:N204),0),0)*N$2</f>
        <v>6.5535702185214877</v>
      </c>
      <c r="O252" s="4113">
        <f>IF('WW Plan'!$E$323="Activate",IF(O$223&gt;'WW Plan'!$H$323,$D252*SUM($F$204:O204),0),0)*O$2</f>
        <v>6.8812487294475622</v>
      </c>
      <c r="P252" s="4113">
        <f>IF('WW Plan'!$E$323="Activate",IF(P$223&gt;'WW Plan'!$H$323,$D252*SUM($F$204:P204),0),0)*P$2</f>
        <v>7.2253111659199405</v>
      </c>
    </row>
    <row r="253" spans="2:29" ht="30" x14ac:dyDescent="0.25">
      <c r="B253" s="4162"/>
      <c r="C253" s="4130" t="str">
        <f t="shared" si="26"/>
        <v xml:space="preserve">Construct/augment treatment plant for effluent and sullage </v>
      </c>
      <c r="D253" s="4111">
        <f>IF('WW Plan'!$E$332="Activate",'WW Plan'!$H$339,0)</f>
        <v>0</v>
      </c>
      <c r="E253" s="4120">
        <f t="shared" si="29"/>
        <v>0</v>
      </c>
      <c r="F253" s="4113"/>
      <c r="G253" s="4113">
        <f>IF('WW Plan'!$E$332="Activate",IF(G$223&gt;'WW Plan'!$H$332,$D253*SUM($F$205:G205),0),0)*G$2</f>
        <v>0</v>
      </c>
      <c r="H253" s="4113">
        <f>IF('WW Plan'!$E$332="Activate",IF(H$223&gt;'WW Plan'!$H$332,$D253*SUM($F$205:H205),0),0)*H$2</f>
        <v>0</v>
      </c>
      <c r="I253" s="4113">
        <f>IF('WW Plan'!$E$332="Activate",IF(I$223&gt;'WW Plan'!$H$332,$D253*SUM($F$205:I205),0),0)*I$2</f>
        <v>0</v>
      </c>
      <c r="J253" s="4113">
        <f>IF('WW Plan'!$E$332="Activate",IF(J$223&gt;'WW Plan'!$H$332,$D253*SUM($F$205:J205),0),0)*J$2</f>
        <v>0</v>
      </c>
      <c r="K253" s="4113">
        <f>IF('WW Plan'!$E$332="Activate",IF(K$223&gt;'WW Plan'!$H$332,$D253*SUM($F$205:K205),0),0)*K$2</f>
        <v>0</v>
      </c>
      <c r="L253" s="4113">
        <f>IF('WW Plan'!$E$332="Activate",IF(L$223&gt;'WW Plan'!$H$332,$D253*SUM($F$205:L205),0),0)*L$2</f>
        <v>0</v>
      </c>
      <c r="M253" s="4113">
        <f>IF('WW Plan'!$E$332="Activate",IF(M$223&gt;'WW Plan'!$H$332,$D253*SUM($F$205:M205),0),0)*M$2</f>
        <v>0</v>
      </c>
      <c r="N253" s="4113">
        <f>IF('WW Plan'!$E$332="Activate",IF(N$223&gt;'WW Plan'!$H$332,$D253*SUM($F$205:N205),0),0)*N$2</f>
        <v>0</v>
      </c>
      <c r="O253" s="4113">
        <f>IF('WW Plan'!$E$332="Activate",IF(O$223&gt;'WW Plan'!$H$332,$D253*SUM($F$205:O205),0),0)*O$2</f>
        <v>0</v>
      </c>
      <c r="P253" s="4113">
        <f>IF('WW Plan'!$E$332="Activate",IF(P$223&gt;'WW Plan'!$H$332,$D253*SUM($F$205:P205),0),0)*P$2</f>
        <v>0</v>
      </c>
    </row>
    <row r="254" spans="2:29" x14ac:dyDescent="0.25">
      <c r="B254" s="4162"/>
      <c r="C254" s="4130" t="str">
        <f t="shared" si="26"/>
        <v xml:space="preserve">Construct/augment sewage treatment plant </v>
      </c>
      <c r="D254" s="4111">
        <f>IF('WW Plan'!$E$341="Activate",'WW Plan'!$H$351,0)</f>
        <v>0</v>
      </c>
      <c r="E254" s="4120">
        <f t="shared" si="29"/>
        <v>0</v>
      </c>
      <c r="F254" s="4113"/>
      <c r="G254" s="4113">
        <f>IF('WW Plan'!$E$341="Activate",IF(G$223&gt;'WW Plan'!$H$341,$D254*SUM($F$206:G206),0),0)*G$2</f>
        <v>0</v>
      </c>
      <c r="H254" s="4113">
        <f>IF('WW Plan'!$E$341="Activate",IF(H$223&gt;'WW Plan'!$H$341,$D254*SUM($F$206:H206),0),0)*H$2</f>
        <v>0</v>
      </c>
      <c r="I254" s="4113">
        <f>IF('WW Plan'!$E$341="Activate",IF(I$223&gt;'WW Plan'!$H$341,$D254*SUM($F$206:I206),0),0)*I$2</f>
        <v>0</v>
      </c>
      <c r="J254" s="4113">
        <f>IF('WW Plan'!$E$341="Activate",IF(J$223&gt;'WW Plan'!$H$341,$D254*SUM($F$206:J206),0),0)*J$2</f>
        <v>0</v>
      </c>
      <c r="K254" s="4113">
        <f>IF('WW Plan'!$E$341="Activate",IF(K$223&gt;'WW Plan'!$H$341,$D254*SUM($F$206:K206),0),0)*K$2</f>
        <v>0</v>
      </c>
      <c r="L254" s="4113">
        <f>IF('WW Plan'!$E$341="Activate",IF(L$223&gt;'WW Plan'!$H$341,$D254*SUM($F$206:L206),0),0)*L$2</f>
        <v>0</v>
      </c>
      <c r="M254" s="4113">
        <f>IF('WW Plan'!$E$341="Activate",IF(M$223&gt;'WW Plan'!$H$341,$D254*SUM($F$206:M206),0),0)*M$2</f>
        <v>0</v>
      </c>
      <c r="N254" s="4113">
        <f>IF('WW Plan'!$E$341="Activate",IF(N$223&gt;'WW Plan'!$H$341,$D254*SUM($F$206:N206),0),0)*N$2</f>
        <v>0</v>
      </c>
      <c r="O254" s="4113">
        <f>IF('WW Plan'!$E$341="Activate",IF(O$223&gt;'WW Plan'!$H$341,$D254*SUM($F$206:O206),0),0)*O$2</f>
        <v>0</v>
      </c>
      <c r="P254" s="4113">
        <f>IF('WW Plan'!$E$341="Activate",IF(P$223&gt;'WW Plan'!$H$341,$D254*SUM($F$206:P206),0),0)*P$2</f>
        <v>0</v>
      </c>
    </row>
    <row r="255" spans="2:29" ht="30" x14ac:dyDescent="0.25">
      <c r="B255" s="4162"/>
      <c r="C255" s="4130" t="str">
        <f t="shared" si="26"/>
        <v>Construct closed surface drains for storm water drainage</v>
      </c>
      <c r="D255" s="4111">
        <f>IF('WW Plan'!$E$353="Activate",'WW Plan'!$H$359,0)</f>
        <v>0</v>
      </c>
      <c r="E255" s="4113">
        <f t="shared" si="29"/>
        <v>0</v>
      </c>
      <c r="F255" s="4113"/>
      <c r="G255" s="4113">
        <f>IF('WW Plan'!$E$353="Activate",IF(G$223&gt;'WW Plan'!$G$353,$D$255*SUM('PIP finance'!$F$207:G207),0),0)*G$2</f>
        <v>0</v>
      </c>
      <c r="H255" s="4113">
        <f>IF('WW Plan'!$E$353="Activate",IF(H$223&gt;'WW Plan'!$G$353,$D$255*SUM('PIP finance'!$F$207:H207),0),0)*H$2</f>
        <v>0</v>
      </c>
      <c r="I255" s="4113">
        <f>IF('WW Plan'!$E$353="Activate",IF(I$223&gt;'WW Plan'!$G$353,$D$255*SUM('PIP finance'!$F$207:I207),0),0)*I$2</f>
        <v>0</v>
      </c>
      <c r="J255" s="4113">
        <f>IF('WW Plan'!$E$353="Activate",IF(J$223&gt;'WW Plan'!$G$353,$D$255*SUM('PIP finance'!$F$207:J207),0),0)*J$2</f>
        <v>0</v>
      </c>
      <c r="K255" s="4113">
        <f>IF('WW Plan'!$E$353="Activate",IF(K$223&gt;'WW Plan'!$G$353,$D$255*SUM('PIP finance'!$F$207:K207),0),0)*K$2</f>
        <v>0</v>
      </c>
      <c r="L255" s="4113">
        <f>IF('WW Plan'!$E$353="Activate",IF(L$223&gt;'WW Plan'!$G$353,$D$255*SUM('PIP finance'!$F$207:L207),0),0)*L$2</f>
        <v>0</v>
      </c>
      <c r="M255" s="4113">
        <f>IF('WW Plan'!$E$353="Activate",IF(M$223&gt;'WW Plan'!$G$353,$D$255*SUM('PIP finance'!$F$207:M207),0),0)*M$2</f>
        <v>0</v>
      </c>
      <c r="N255" s="4113">
        <f>IF('WW Plan'!$E$353="Activate",IF(N$223&gt;'WW Plan'!$G$353,$D$255*SUM('PIP finance'!$F$207:N207),0),0)*N$2</f>
        <v>0</v>
      </c>
      <c r="O255" s="4113">
        <f>IF('WW Plan'!$E$353="Activate",IF(O$223&gt;'WW Plan'!$G$353,$D$255*SUM('PIP finance'!$F$207:O207),0),0)*O$2</f>
        <v>0</v>
      </c>
      <c r="P255" s="4113">
        <f>IF('WW Plan'!$E$353="Activate",IF(P$223&gt;'WW Plan'!$G$353,$D$255*SUM('PIP finance'!$F$207:P207),0),0)*P$2</f>
        <v>0</v>
      </c>
    </row>
    <row r="256" spans="2:29" x14ac:dyDescent="0.25">
      <c r="B256" s="4102" t="s">
        <v>10</v>
      </c>
      <c r="C256" s="4168" t="s">
        <v>743</v>
      </c>
      <c r="D256" s="4169"/>
      <c r="E256" s="4105"/>
      <c r="F256" s="4106"/>
      <c r="G256" s="4106"/>
      <c r="H256" s="4106"/>
      <c r="I256" s="4106"/>
      <c r="J256" s="4106"/>
      <c r="K256" s="4106"/>
      <c r="L256" s="4106"/>
      <c r="M256" s="4106"/>
      <c r="N256" s="4106"/>
      <c r="O256" s="4106"/>
      <c r="P256" s="4106"/>
    </row>
    <row r="257" spans="2:16" ht="30" x14ac:dyDescent="0.25">
      <c r="B257" s="4162"/>
      <c r="C257" s="4130" t="str">
        <f t="shared" ref="C257:C267" si="30">C209</f>
        <v>Improve wastewater and septage quality surveillance</v>
      </c>
      <c r="D257" s="4197"/>
      <c r="E257" s="4120"/>
      <c r="F257" s="4121"/>
      <c r="G257" s="4135"/>
      <c r="H257" s="4135"/>
      <c r="I257" s="4135"/>
      <c r="J257" s="4135"/>
      <c r="K257" s="4135"/>
      <c r="L257" s="4135"/>
      <c r="M257" s="4135"/>
      <c r="N257" s="4135"/>
      <c r="O257" s="4135"/>
      <c r="P257" s="4135"/>
    </row>
    <row r="258" spans="2:16" ht="30" x14ac:dyDescent="0.25">
      <c r="B258" s="4162"/>
      <c r="C258" s="4130" t="str">
        <f t="shared" si="30"/>
        <v>Improve processes for management of consumer complaints</v>
      </c>
      <c r="D258" s="4197"/>
      <c r="E258" s="4120"/>
      <c r="F258" s="4113"/>
      <c r="G258" s="4113"/>
      <c r="H258" s="4113"/>
      <c r="I258" s="4113"/>
      <c r="J258" s="4113"/>
      <c r="K258" s="4113"/>
      <c r="L258" s="4113"/>
      <c r="M258" s="4113"/>
      <c r="N258" s="4113"/>
      <c r="O258" s="4113"/>
      <c r="P258" s="4113"/>
    </row>
    <row r="259" spans="2:16" ht="30" x14ac:dyDescent="0.25">
      <c r="B259" s="4162"/>
      <c r="C259" s="4130" t="str">
        <f t="shared" si="30"/>
        <v>Increase in reuse/recycling of treated wastewater and septage</v>
      </c>
      <c r="D259" s="4111"/>
      <c r="E259" s="4120"/>
      <c r="F259" s="4113"/>
      <c r="G259" s="4114">
        <f>('WW calcu'!F766+'WW calcu'!F741+'WW calcu'!F699)*G$2</f>
        <v>0</v>
      </c>
      <c r="H259" s="4114">
        <f>('WW calcu'!G766+'WW calcu'!G741+'WW calcu'!G699)*H$2</f>
        <v>0</v>
      </c>
      <c r="I259" s="4114">
        <f>('WW calcu'!H766+'WW calcu'!H741+'WW calcu'!H699)*I$2</f>
        <v>0</v>
      </c>
      <c r="J259" s="4114">
        <f>('WW calcu'!I766+'WW calcu'!I741+'WW calcu'!I699)*J$2</f>
        <v>0</v>
      </c>
      <c r="K259" s="4114">
        <f>('WW calcu'!J766+'WW calcu'!J741+'WW calcu'!J699)*K$2</f>
        <v>0</v>
      </c>
      <c r="L259" s="4114">
        <f>('WW calcu'!K766+'WW calcu'!K741+'WW calcu'!K699)*L$2</f>
        <v>0</v>
      </c>
      <c r="M259" s="4114">
        <f>('WW calcu'!L766+'WW calcu'!L741+'WW calcu'!L699)*M$2</f>
        <v>0</v>
      </c>
      <c r="N259" s="4114">
        <f>('WW calcu'!M766+'WW calcu'!M741+'WW calcu'!M699)*N$2</f>
        <v>0</v>
      </c>
      <c r="O259" s="4114">
        <f>('WW calcu'!N766+'WW calcu'!N741+'WW calcu'!N699)*O$2</f>
        <v>0</v>
      </c>
      <c r="P259" s="4114">
        <f>('WW calcu'!O766+'WW calcu'!O741+'WW calcu'!O699)*P$2</f>
        <v>0</v>
      </c>
    </row>
    <row r="260" spans="2:16" ht="30" x14ac:dyDescent="0.25">
      <c r="B260" s="4162"/>
      <c r="C260" s="4130" t="str">
        <f t="shared" si="30"/>
        <v>Conduct regular wastewater and septage quality tests at laboratory, if not done</v>
      </c>
      <c r="D260" s="4111">
        <f>IF('WW Plan'!$E$393="Activate",'WW Plan'!$H$396*12,0)</f>
        <v>0</v>
      </c>
      <c r="E260" s="5731">
        <f>SUM($F260:$P260)</f>
        <v>0</v>
      </c>
      <c r="F260" s="4113"/>
      <c r="G260" s="4113">
        <f>IF('WW Plan'!$E$393="Activate",IF(G$223&gt;='WW Plan'!$G$393,$D260,0),0)*G$2/CurrencyMultiplier</f>
        <v>0</v>
      </c>
      <c r="H260" s="4113">
        <f>IF('WW Plan'!$E$393="Activate",IF(H$223&gt;='WW Plan'!$G$393,$D260,0),0)*H$2/CurrencyMultiplier</f>
        <v>0</v>
      </c>
      <c r="I260" s="4113">
        <f>IF('WW Plan'!$E$393="Activate",IF(I$223&gt;='WW Plan'!$G$393,$D260,0),0)*I$2/CurrencyMultiplier</f>
        <v>0</v>
      </c>
      <c r="J260" s="4113">
        <f>IF('WW Plan'!$E$393="Activate",IF(J$223&gt;='WW Plan'!$G$393,$D260,0),0)*J$2/CurrencyMultiplier</f>
        <v>0</v>
      </c>
      <c r="K260" s="4113">
        <f>IF('WW Plan'!$E$393="Activate",IF(K$223&gt;='WW Plan'!$G$393,$D260,0),0)*K$2/CurrencyMultiplier</f>
        <v>0</v>
      </c>
      <c r="L260" s="4113">
        <f>IF('WW Plan'!$E$393="Activate",IF(L$223&gt;='WW Plan'!$G$393,$D260,0),0)*L$2/CurrencyMultiplier</f>
        <v>0</v>
      </c>
      <c r="M260" s="4113">
        <f>IF('WW Plan'!$E$393="Activate",IF(M$223&gt;='WW Plan'!$G$393,$D260,0),0)*M$2/CurrencyMultiplier</f>
        <v>0</v>
      </c>
      <c r="N260" s="4113">
        <f>IF('WW Plan'!$E$393="Activate",IF(N$223&gt;='WW Plan'!$G$393,$D260,0),0)*N$2/CurrencyMultiplier</f>
        <v>0</v>
      </c>
      <c r="O260" s="4113">
        <f>IF('WW Plan'!$E$393="Activate",IF(O$223&gt;='WW Plan'!$G$393,$D260,0),0)*O$2/CurrencyMultiplier</f>
        <v>0</v>
      </c>
      <c r="P260" s="4113">
        <f>IF('WW Plan'!$E$393="Activate",IF(P$223&gt;='WW Plan'!$G$393,$D260,0),0)*P$2/CurrencyMultiplier</f>
        <v>0</v>
      </c>
    </row>
    <row r="261" spans="2:16" x14ac:dyDescent="0.25">
      <c r="B261" s="4162"/>
      <c r="C261" s="4130" t="str">
        <f t="shared" si="30"/>
        <v>Improve consumer grievance redressal system</v>
      </c>
      <c r="D261" s="4111"/>
      <c r="E261" s="4120"/>
      <c r="F261" s="4113"/>
      <c r="G261" s="4113"/>
      <c r="H261" s="4113"/>
      <c r="I261" s="4113"/>
      <c r="J261" s="4113"/>
      <c r="K261" s="4113"/>
      <c r="L261" s="4113"/>
      <c r="M261" s="4113"/>
      <c r="N261" s="4113"/>
      <c r="O261" s="4113"/>
      <c r="P261" s="4113"/>
    </row>
    <row r="262" spans="2:16" x14ac:dyDescent="0.25">
      <c r="B262" s="4102" t="s">
        <v>12</v>
      </c>
      <c r="C262" s="4168" t="str">
        <f t="shared" si="30"/>
        <v>Financial sustainaibility</v>
      </c>
      <c r="D262" s="4169"/>
      <c r="E262" s="4105"/>
      <c r="F262" s="4106"/>
      <c r="G262" s="4106"/>
      <c r="H262" s="4106"/>
      <c r="I262" s="4106"/>
      <c r="J262" s="4106"/>
      <c r="K262" s="4106"/>
      <c r="L262" s="4106"/>
      <c r="M262" s="4106"/>
      <c r="N262" s="4106"/>
      <c r="O262" s="4106"/>
      <c r="P262" s="4106"/>
    </row>
    <row r="263" spans="2:16" x14ac:dyDescent="0.25">
      <c r="B263" s="4129"/>
      <c r="C263" s="4111" t="str">
        <f t="shared" si="30"/>
        <v>Improve billing and collection of wastewater bills</v>
      </c>
      <c r="D263" s="4111"/>
      <c r="E263" s="4120"/>
      <c r="F263" s="4121"/>
      <c r="G263" s="4121"/>
      <c r="H263" s="4121"/>
      <c r="I263" s="4121"/>
      <c r="J263" s="4121"/>
      <c r="K263" s="4121"/>
      <c r="L263" s="4121"/>
      <c r="M263" s="4121"/>
      <c r="N263" s="4121"/>
      <c r="O263" s="4121"/>
      <c r="P263" s="4121"/>
    </row>
    <row r="264" spans="2:16" ht="30" x14ac:dyDescent="0.25">
      <c r="B264" s="4129"/>
      <c r="C264" s="4111" t="str">
        <f t="shared" si="30"/>
        <v>Improve collection efficiency of wastewater charges and taxes</v>
      </c>
      <c r="D264" s="4111"/>
      <c r="E264" s="4120">
        <f>SUM($F264:$P264)</f>
        <v>0</v>
      </c>
      <c r="F264" s="4121"/>
      <c r="G264" s="4121"/>
      <c r="H264" s="4121"/>
      <c r="I264" s="4121"/>
      <c r="J264" s="4121"/>
      <c r="K264" s="4121"/>
      <c r="L264" s="4121"/>
      <c r="M264" s="4121"/>
      <c r="N264" s="4121"/>
      <c r="O264" s="4121"/>
      <c r="P264" s="4121"/>
    </row>
    <row r="265" spans="2:16" x14ac:dyDescent="0.25">
      <c r="B265" s="4102" t="s">
        <v>13</v>
      </c>
      <c r="C265" s="4168" t="str">
        <f t="shared" si="30"/>
        <v>Generic actions</v>
      </c>
      <c r="D265" s="4169"/>
      <c r="E265" s="4105"/>
      <c r="F265" s="4106"/>
      <c r="G265" s="4106"/>
      <c r="H265" s="4106"/>
      <c r="I265" s="4106"/>
      <c r="J265" s="4106"/>
      <c r="K265" s="4106"/>
      <c r="L265" s="4106"/>
      <c r="M265" s="4106"/>
      <c r="N265" s="4106"/>
      <c r="O265" s="4106"/>
      <c r="P265" s="4106"/>
    </row>
    <row r="266" spans="2:16" s="4118" customFormat="1" x14ac:dyDescent="0.25">
      <c r="B266" s="4133"/>
      <c r="C266" s="4111" t="str">
        <f t="shared" si="30"/>
        <v>Interceptor sewer along river</v>
      </c>
      <c r="D266" s="4111">
        <f>IF('WW Plan'!$E$423="Activate",'WW Plan'!$H$428,0)</f>
        <v>0</v>
      </c>
      <c r="E266" s="4120">
        <f>SUM($F266:$P266)</f>
        <v>0</v>
      </c>
      <c r="F266" s="4175"/>
      <c r="G266" s="4198">
        <f>IF('WW Plan'!$E$423="Activate",IF(G$223&gt;'WW Plan'!$H$423,$D$266*SUM('PIP finance'!$F$218:G218),0),0)*G$2</f>
        <v>0</v>
      </c>
      <c r="H266" s="4198">
        <f>IF('WW Plan'!$E$423="Activate",IF(H$223&gt;'WW Plan'!$H$423,$D$266*SUM('PIP finance'!$F$218:H218),0),0)*H$2</f>
        <v>0</v>
      </c>
      <c r="I266" s="4198">
        <f>IF('WW Plan'!$E$423="Activate",IF(I$223&gt;'WW Plan'!$H$423,$D$266*SUM('PIP finance'!$F$218:I218),0),0)*I$2</f>
        <v>0</v>
      </c>
      <c r="J266" s="4198">
        <f>IF('WW Plan'!$E$423="Activate",IF(J$223&gt;'WW Plan'!$H$423,$D$266*SUM('PIP finance'!$F$218:J218),0),0)*J$2</f>
        <v>0</v>
      </c>
      <c r="K266" s="4198">
        <f>IF('WW Plan'!$E$423="Activate",IF(K$223&gt;'WW Plan'!$H$423,$D$266*SUM('PIP finance'!$F$218:K218),0),0)*K$2</f>
        <v>0</v>
      </c>
      <c r="L266" s="4198">
        <f>IF('WW Plan'!$E$423="Activate",IF(L$223&gt;'WW Plan'!$H$423,$D$266*SUM('PIP finance'!$F$218:L218),0),0)*L$2</f>
        <v>0</v>
      </c>
      <c r="M266" s="4198">
        <f>IF('WW Plan'!$E$423="Activate",IF(M$223&gt;'WW Plan'!$H$423,$D$266*SUM('PIP finance'!$F$218:M218),0),0)*M$2</f>
        <v>0</v>
      </c>
      <c r="N266" s="4198">
        <f>IF('WW Plan'!$E$423="Activate",IF(N$223&gt;'WW Plan'!$H$423,$D$266*SUM('PIP finance'!$F$218:N218),0),0)*N$2</f>
        <v>0</v>
      </c>
      <c r="O266" s="4198">
        <f>IF('WW Plan'!$E$423="Activate",IF(O$223&gt;'WW Plan'!$H$423,$D$266*SUM('PIP finance'!$F$218:O218),0),0)*O$2</f>
        <v>0</v>
      </c>
      <c r="P266" s="4198">
        <f>IF('WW Plan'!$E$423="Activate",IF(P$223&gt;'WW Plan'!$H$423,$D$266*SUM('PIP finance'!$F$218:P218),0),0)*P$2</f>
        <v>0</v>
      </c>
    </row>
    <row r="267" spans="2:16" s="4118" customFormat="1" x14ac:dyDescent="0.25">
      <c r="B267" s="4133"/>
      <c r="C267" s="4111" t="str">
        <f t="shared" si="30"/>
        <v>Desilting and rehabilitation of drains</v>
      </c>
      <c r="D267" s="4111">
        <f>IF('WW Plan'!$E$430="Activate",'WW Plan'!$H$435,0)</f>
        <v>0</v>
      </c>
      <c r="E267" s="4120">
        <f>SUM($F267:$P267)</f>
        <v>0</v>
      </c>
      <c r="F267" s="4199"/>
      <c r="G267" s="4198">
        <f>IF('WW Plan'!$E$430="Activate",IF(G$223&gt;'WW Plan'!$H$430,$D$267*SUM('PIP finance'!$F$219:G219),0),0)*G$2</f>
        <v>0</v>
      </c>
      <c r="H267" s="4198">
        <f>IF('WW Plan'!$E$430="Activate",IF(H$223&gt;'WW Plan'!$H$430,$D$267*SUM('PIP finance'!$F$219:H219),0),0)*H$2</f>
        <v>0</v>
      </c>
      <c r="I267" s="4198">
        <f>IF('WW Plan'!$E$430="Activate",IF(I$223&gt;'WW Plan'!$H$430,$D$267*SUM('PIP finance'!$F$219:I219),0),0)*I$2</f>
        <v>0</v>
      </c>
      <c r="J267" s="4198">
        <f>IF('WW Plan'!$E$430="Activate",IF(J$223&gt;'WW Plan'!$H$430,$D$267*SUM('PIP finance'!$F$219:J219),0),0)*J$2</f>
        <v>0</v>
      </c>
      <c r="K267" s="4198">
        <f>IF('WW Plan'!$E$430="Activate",IF(K$223&gt;'WW Plan'!$H$430,$D$267*SUM('PIP finance'!$F$219:K219),0),0)*K$2</f>
        <v>0</v>
      </c>
      <c r="L267" s="4198">
        <f>IF('WW Plan'!$E$430="Activate",IF(L$223&gt;'WW Plan'!$H$430,$D$267*SUM('PIP finance'!$F$219:L219),0),0)*L$2</f>
        <v>0</v>
      </c>
      <c r="M267" s="4198">
        <f>IF('WW Plan'!$E$430="Activate",IF(M$223&gt;'WW Plan'!$H$430,$D$267*SUM('PIP finance'!$F$219:M219),0),0)*M$2</f>
        <v>0</v>
      </c>
      <c r="N267" s="4198">
        <f>IF('WW Plan'!$E$430="Activate",IF(N$223&gt;'WW Plan'!$H$430,$D$267*SUM('PIP finance'!$F$219:N219),0),0)*N$2</f>
        <v>0</v>
      </c>
      <c r="O267" s="4198">
        <f>IF('WW Plan'!$E$430="Activate",IF(O$223&gt;'WW Plan'!$H$430,$D$267*SUM('PIP finance'!$F$219:O219),0),0)*O$2</f>
        <v>0</v>
      </c>
      <c r="P267" s="4198">
        <f>IF('WW Plan'!$E$430="Activate",IF(P$223&gt;'WW Plan'!$H$430,$D$267*SUM('PIP finance'!$F$219:P219),0),0)*P$2</f>
        <v>0</v>
      </c>
    </row>
    <row r="268" spans="2:16" s="4148" customFormat="1" x14ac:dyDescent="0.25">
      <c r="B268" s="4141"/>
      <c r="C268" s="4142" t="s">
        <v>16</v>
      </c>
      <c r="D268" s="4186"/>
      <c r="E268" s="4200">
        <f t="shared" ref="E268:P268" si="31">SUM(E224:E267)</f>
        <v>250.10211185188044</v>
      </c>
      <c r="F268" s="4145"/>
      <c r="G268" s="4145">
        <f t="shared" si="31"/>
        <v>2.5116666666666667</v>
      </c>
      <c r="H268" s="4145">
        <f t="shared" si="31"/>
        <v>16.898</v>
      </c>
      <c r="I268" s="4145">
        <f t="shared" si="31"/>
        <v>24.158531249999999</v>
      </c>
      <c r="J268" s="4145">
        <f t="shared" si="31"/>
        <v>25.366457812500002</v>
      </c>
      <c r="K268" s="4145">
        <f t="shared" si="31"/>
        <v>26.634780703125006</v>
      </c>
      <c r="L268" s="4145">
        <f t="shared" si="31"/>
        <v>27.96651973828126</v>
      </c>
      <c r="M268" s="4145">
        <f t="shared" si="31"/>
        <v>29.364845725195323</v>
      </c>
      <c r="N268" s="4145">
        <f t="shared" si="31"/>
        <v>30.833088011455089</v>
      </c>
      <c r="O268" s="4145">
        <f t="shared" si="31"/>
        <v>32.374742412027842</v>
      </c>
      <c r="P268" s="4145">
        <f t="shared" si="31"/>
        <v>33.993479532629237</v>
      </c>
    </row>
    <row r="269" spans="2:16" s="4173" customFormat="1" x14ac:dyDescent="0.25">
      <c r="B269" s="4076"/>
      <c r="C269" s="4076"/>
      <c r="D269" s="4172"/>
      <c r="E269" s="4076"/>
      <c r="F269" s="4076"/>
      <c r="G269" s="4076"/>
      <c r="H269" s="4076"/>
      <c r="I269" s="4076"/>
      <c r="J269" s="4076"/>
      <c r="K269" s="4076"/>
      <c r="L269" s="4076"/>
      <c r="M269" s="4076"/>
      <c r="N269" s="4076"/>
      <c r="O269" s="4076"/>
      <c r="P269" s="4076"/>
    </row>
    <row r="270" spans="2:16" s="4097" customFormat="1" ht="21.75" thickBot="1" x14ac:dyDescent="0.3">
      <c r="B270" s="4094"/>
      <c r="C270" s="4095" t="s">
        <v>451</v>
      </c>
      <c r="D270" s="4096" t="s">
        <v>782</v>
      </c>
      <c r="E270" s="1647"/>
      <c r="F270" s="1647"/>
      <c r="G270" s="1647"/>
      <c r="H270" s="1647"/>
      <c r="I270" s="1647"/>
      <c r="J270" s="1647"/>
      <c r="K270" s="1647"/>
      <c r="L270" s="1647"/>
      <c r="M270" s="1647"/>
      <c r="N270" s="1647"/>
      <c r="O270" s="1647"/>
      <c r="P270" s="1647"/>
    </row>
    <row r="271" spans="2:16" ht="15.75" thickBot="1" x14ac:dyDescent="0.3">
      <c r="B271" s="4098" t="s">
        <v>3</v>
      </c>
      <c r="C271" s="4098" t="s">
        <v>4</v>
      </c>
      <c r="D271" s="4099" t="s">
        <v>463</v>
      </c>
      <c r="E271" s="4100" t="s">
        <v>16</v>
      </c>
      <c r="F271" s="4098">
        <f>F$7</f>
        <v>2014</v>
      </c>
      <c r="G271" s="4098">
        <f t="shared" ref="G271:P271" si="32">G$7</f>
        <v>2015</v>
      </c>
      <c r="H271" s="4098">
        <f t="shared" si="32"/>
        <v>2016</v>
      </c>
      <c r="I271" s="4098">
        <f t="shared" si="32"/>
        <v>2017</v>
      </c>
      <c r="J271" s="4098">
        <f t="shared" si="32"/>
        <v>2018</v>
      </c>
      <c r="K271" s="4098">
        <f t="shared" si="32"/>
        <v>2019</v>
      </c>
      <c r="L271" s="4098">
        <f t="shared" si="32"/>
        <v>2020</v>
      </c>
      <c r="M271" s="4098">
        <f t="shared" si="32"/>
        <v>2021</v>
      </c>
      <c r="N271" s="4098">
        <f t="shared" si="32"/>
        <v>2022</v>
      </c>
      <c r="O271" s="4098">
        <f t="shared" si="32"/>
        <v>2023</v>
      </c>
      <c r="P271" s="4098">
        <f t="shared" si="32"/>
        <v>2024</v>
      </c>
    </row>
    <row r="272" spans="2:16" x14ac:dyDescent="0.25">
      <c r="B272" s="4102" t="s">
        <v>2</v>
      </c>
      <c r="C272" s="4102" t="s">
        <v>455</v>
      </c>
      <c r="D272" s="4127"/>
      <c r="E272" s="4105"/>
      <c r="F272" s="4106"/>
      <c r="G272" s="4106"/>
      <c r="H272" s="4106"/>
      <c r="I272" s="4106"/>
      <c r="J272" s="4106"/>
      <c r="K272" s="4106"/>
      <c r="L272" s="4106"/>
      <c r="M272" s="4106"/>
      <c r="N272" s="4106"/>
      <c r="O272" s="4106"/>
      <c r="P272" s="4106"/>
    </row>
    <row r="273" spans="2:16" x14ac:dyDescent="0.25">
      <c r="B273" s="4129"/>
      <c r="C273" s="4111" t="str">
        <f t="shared" ref="C273:C315" si="33">C177</f>
        <v>Household survey to assess wastewater services</v>
      </c>
      <c r="D273" s="4131"/>
      <c r="E273" s="4120"/>
      <c r="F273" s="4121"/>
      <c r="G273" s="4121"/>
      <c r="H273" s="4121"/>
      <c r="I273" s="4121"/>
      <c r="J273" s="4121"/>
      <c r="K273" s="4121"/>
      <c r="L273" s="4121"/>
      <c r="M273" s="4121"/>
      <c r="N273" s="4121"/>
      <c r="O273" s="4121"/>
      <c r="P273" s="4121"/>
    </row>
    <row r="274" spans="2:16" x14ac:dyDescent="0.25">
      <c r="B274" s="4129"/>
      <c r="C274" s="4111" t="str">
        <f t="shared" si="33"/>
        <v>Surveys and monitoring of open defecation sites</v>
      </c>
      <c r="D274" s="4131"/>
      <c r="E274" s="4120">
        <f>SUM($F274:$P274)</f>
        <v>0</v>
      </c>
      <c r="F274" s="4121"/>
      <c r="G274" s="4121"/>
      <c r="H274" s="4121"/>
      <c r="I274" s="4121"/>
      <c r="J274" s="4121"/>
      <c r="K274" s="4121"/>
      <c r="L274" s="4121"/>
      <c r="M274" s="4121"/>
      <c r="N274" s="4121"/>
      <c r="O274" s="4121"/>
      <c r="P274" s="4121"/>
    </row>
    <row r="275" spans="2:16" x14ac:dyDescent="0.25">
      <c r="B275" s="4129"/>
      <c r="C275" s="4130" t="str">
        <f t="shared" si="33"/>
        <v>Computerise wastewater records</v>
      </c>
      <c r="D275" s="4131"/>
      <c r="E275" s="4120"/>
      <c r="F275" s="4121"/>
      <c r="G275" s="4121"/>
      <c r="H275" s="4121"/>
      <c r="I275" s="4121"/>
      <c r="J275" s="4121"/>
      <c r="K275" s="4121"/>
      <c r="L275" s="4121"/>
      <c r="M275" s="4121"/>
      <c r="N275" s="4121"/>
      <c r="O275" s="4121"/>
      <c r="P275" s="4121"/>
    </row>
    <row r="276" spans="2:16" x14ac:dyDescent="0.25">
      <c r="B276" s="4129"/>
      <c r="C276" s="4111" t="str">
        <f t="shared" si="33"/>
        <v>Policy for providing sanitation services in slums</v>
      </c>
      <c r="D276" s="4131"/>
      <c r="E276" s="4120"/>
      <c r="F276" s="4121"/>
      <c r="G276" s="4121"/>
      <c r="H276" s="4121"/>
      <c r="I276" s="4121"/>
      <c r="J276" s="4121"/>
      <c r="K276" s="4121"/>
      <c r="L276" s="4121"/>
      <c r="M276" s="4121"/>
      <c r="N276" s="4121"/>
      <c r="O276" s="4121"/>
      <c r="P276" s="4121"/>
    </row>
    <row r="277" spans="2:16" ht="30" x14ac:dyDescent="0.25">
      <c r="B277" s="4162"/>
      <c r="C277" s="4130" t="str">
        <f t="shared" si="33"/>
        <v>Improve condition of existing individual toilets by providing safe sanitation disposal system</v>
      </c>
      <c r="D277" s="4111"/>
      <c r="E277" s="4113"/>
      <c r="F277" s="4113"/>
      <c r="G277" s="4113"/>
      <c r="H277" s="4113"/>
      <c r="I277" s="4113"/>
      <c r="J277" s="4113"/>
      <c r="K277" s="4113"/>
      <c r="L277" s="4113"/>
      <c r="M277" s="4113"/>
      <c r="N277" s="4113"/>
      <c r="O277" s="4113"/>
      <c r="P277" s="4113"/>
    </row>
    <row r="278" spans="2:16" s="4151" customFormat="1" x14ac:dyDescent="0.25">
      <c r="B278" s="4162"/>
      <c r="C278" s="4130" t="str">
        <f t="shared" si="33"/>
        <v>Improve condition of existing Community toilets</v>
      </c>
      <c r="D278" s="4111"/>
      <c r="E278" s="4113">
        <f>SUM($F278:$P278)</f>
        <v>0</v>
      </c>
      <c r="F278" s="4113"/>
      <c r="G278" s="4113">
        <f>'WW calcu'!F149*G$3</f>
        <v>0</v>
      </c>
      <c r="H278" s="4113">
        <f>'WW calcu'!G149*H$3</f>
        <v>0</v>
      </c>
      <c r="I278" s="4113">
        <f>'WW calcu'!H149*I$3</f>
        <v>0</v>
      </c>
      <c r="J278" s="4113">
        <f>'WW calcu'!I149*J$3</f>
        <v>0</v>
      </c>
      <c r="K278" s="4113">
        <f>'WW calcu'!J149*K$3</f>
        <v>0</v>
      </c>
      <c r="L278" s="4113">
        <f>'WW calcu'!K149*L$3</f>
        <v>0</v>
      </c>
      <c r="M278" s="4113">
        <f>'WW calcu'!L149*M$3</f>
        <v>0</v>
      </c>
      <c r="N278" s="4113">
        <f>'WW calcu'!M149*N$3</f>
        <v>0</v>
      </c>
      <c r="O278" s="4113">
        <f>'WW calcu'!N149*O$3</f>
        <v>0</v>
      </c>
      <c r="P278" s="4113">
        <f>'WW calcu'!O149*P$3</f>
        <v>0</v>
      </c>
    </row>
    <row r="279" spans="2:16" x14ac:dyDescent="0.25">
      <c r="B279" s="4162"/>
      <c r="C279" s="4130" t="str">
        <f t="shared" si="33"/>
        <v>Improve condition of existing Public toilets</v>
      </c>
      <c r="D279" s="4111"/>
      <c r="E279" s="4113">
        <f>SUM($F279:$P279)</f>
        <v>0</v>
      </c>
      <c r="F279" s="4113"/>
      <c r="G279" s="4113">
        <f>'WW calcu'!F206*G$3</f>
        <v>0</v>
      </c>
      <c r="H279" s="4113">
        <f>'WW calcu'!G206*H$3</f>
        <v>0</v>
      </c>
      <c r="I279" s="4113">
        <f>'WW calcu'!H206*I$3</f>
        <v>0</v>
      </c>
      <c r="J279" s="4113">
        <f>'WW calcu'!I206*J$3</f>
        <v>0</v>
      </c>
      <c r="K279" s="4113">
        <f>'WW calcu'!J206*K$3</f>
        <v>0</v>
      </c>
      <c r="L279" s="4113">
        <f>'WW calcu'!K206*L$3</f>
        <v>0</v>
      </c>
      <c r="M279" s="4113">
        <f>'WW calcu'!L206*M$3</f>
        <v>0</v>
      </c>
      <c r="N279" s="4113">
        <f>'WW calcu'!M206*N$3</f>
        <v>0</v>
      </c>
      <c r="O279" s="4113">
        <f>'WW calcu'!N206*O$3</f>
        <v>0</v>
      </c>
      <c r="P279" s="4113">
        <f>'WW calcu'!O206*P$3</f>
        <v>0</v>
      </c>
    </row>
    <row r="280" spans="2:16" x14ac:dyDescent="0.25">
      <c r="B280" s="4162"/>
      <c r="C280" s="4191" t="str">
        <f t="shared" si="33"/>
        <v>Refurbishment of exisiting septic tanks in city</v>
      </c>
      <c r="D280" s="4111"/>
      <c r="E280" s="4113"/>
      <c r="F280" s="4113"/>
      <c r="G280" s="4113"/>
      <c r="H280" s="4113"/>
      <c r="I280" s="4113"/>
      <c r="J280" s="4113"/>
      <c r="K280" s="4113"/>
      <c r="L280" s="4113"/>
      <c r="M280" s="4113"/>
      <c r="N280" s="4113"/>
      <c r="O280" s="4113"/>
      <c r="P280" s="4113"/>
    </row>
    <row r="281" spans="2:16" ht="30" x14ac:dyDescent="0.25">
      <c r="B281" s="4162"/>
      <c r="C281" s="4130" t="str">
        <f t="shared" si="33"/>
        <v>Information, education and communication (IEC) campaigns for sanitation awareness</v>
      </c>
      <c r="D281" s="4111"/>
      <c r="E281" s="4113">
        <f>SUM($F281:$P281)</f>
        <v>0</v>
      </c>
      <c r="F281" s="4113"/>
      <c r="G281" s="4113"/>
      <c r="H281" s="4113"/>
      <c r="I281" s="4113"/>
      <c r="J281" s="4113"/>
      <c r="K281" s="4113"/>
      <c r="L281" s="4113"/>
      <c r="M281" s="4113"/>
      <c r="N281" s="4113"/>
      <c r="O281" s="4113"/>
      <c r="P281" s="4113"/>
    </row>
    <row r="282" spans="2:16" x14ac:dyDescent="0.25">
      <c r="B282" s="4162"/>
      <c r="C282" s="4130" t="str">
        <f t="shared" si="33"/>
        <v>Construct new individual toilets</v>
      </c>
      <c r="D282" s="4111"/>
      <c r="E282" s="4113">
        <f>SUM($F282:$P282)</f>
        <v>0</v>
      </c>
      <c r="F282" s="4113"/>
      <c r="G282" s="4113"/>
      <c r="H282" s="4113"/>
      <c r="I282" s="4113"/>
      <c r="J282" s="4113"/>
      <c r="K282" s="4113"/>
      <c r="L282" s="4113"/>
      <c r="M282" s="4113"/>
      <c r="N282" s="4113"/>
      <c r="O282" s="4113"/>
      <c r="P282" s="4113"/>
    </row>
    <row r="283" spans="2:16" x14ac:dyDescent="0.25">
      <c r="B283" s="4162"/>
      <c r="C283" s="4130" t="str">
        <f t="shared" si="33"/>
        <v>Construct new group toilets</v>
      </c>
      <c r="D283" s="4111"/>
      <c r="E283" s="4113">
        <f>SUM($F283:$P283)</f>
        <v>0</v>
      </c>
      <c r="F283" s="4113"/>
      <c r="G283" s="4113"/>
      <c r="H283" s="4113"/>
      <c r="I283" s="4113"/>
      <c r="J283" s="4113"/>
      <c r="K283" s="4113"/>
      <c r="L283" s="4113"/>
      <c r="M283" s="4113"/>
      <c r="N283" s="4113"/>
      <c r="O283" s="4113"/>
      <c r="P283" s="4113"/>
    </row>
    <row r="284" spans="2:16" s="4118" customFormat="1" x14ac:dyDescent="0.25">
      <c r="B284" s="4162"/>
      <c r="C284" s="4130" t="str">
        <f t="shared" si="33"/>
        <v>Construct new community toilet blocks</v>
      </c>
      <c r="D284" s="4111"/>
      <c r="E284" s="4113">
        <f>SUM($F284:$P284)</f>
        <v>0</v>
      </c>
      <c r="F284" s="4113"/>
      <c r="G284" s="4113">
        <f>('WW calcu'!F161+'WW calcu'!F162)*'WW Plan'!$H$169*12*G$3/CurrencyMultiplier</f>
        <v>0</v>
      </c>
      <c r="H284" s="4113">
        <f>('WW calcu'!G161+'WW calcu'!G162)*'WW Plan'!$H$169*12*H$3/CurrencyMultiplier</f>
        <v>0</v>
      </c>
      <c r="I284" s="4113">
        <f>('WW calcu'!H161+'WW calcu'!H162)*'WW Plan'!$H$169*12*I$3/CurrencyMultiplier</f>
        <v>0</v>
      </c>
      <c r="J284" s="4113">
        <f>('WW calcu'!I161+'WW calcu'!I162)*'WW Plan'!$H$169*12*J$3/CurrencyMultiplier</f>
        <v>0</v>
      </c>
      <c r="K284" s="4113">
        <f>('WW calcu'!J161+'WW calcu'!J162)*'WW Plan'!$H$169*12*K$3/CurrencyMultiplier</f>
        <v>0</v>
      </c>
      <c r="L284" s="4113">
        <f>('WW calcu'!K161+'WW calcu'!K162)*'WW Plan'!$H$169*12*L$3/CurrencyMultiplier</f>
        <v>0</v>
      </c>
      <c r="M284" s="4113">
        <f>('WW calcu'!L161+'WW calcu'!L162)*'WW Plan'!$H$169*12*M$3/CurrencyMultiplier</f>
        <v>0</v>
      </c>
      <c r="N284" s="4113">
        <f>('WW calcu'!M161+'WW calcu'!M162)*'WW Plan'!$H$169*12*N$3/CurrencyMultiplier</f>
        <v>0</v>
      </c>
      <c r="O284" s="4113">
        <f>('WW calcu'!N161+'WW calcu'!N162)*'WW Plan'!$H$169*12*O$3/CurrencyMultiplier</f>
        <v>0</v>
      </c>
      <c r="P284" s="4113">
        <f>('WW calcu'!O161+'WW calcu'!O162)*'WW Plan'!$H$169*12*P$3/CurrencyMultiplier</f>
        <v>0</v>
      </c>
    </row>
    <row r="285" spans="2:16" s="4118" customFormat="1" x14ac:dyDescent="0.25">
      <c r="B285" s="4162"/>
      <c r="C285" s="4191" t="str">
        <f t="shared" si="33"/>
        <v>Construct new public toilet blocks</v>
      </c>
      <c r="D285" s="4111"/>
      <c r="E285" s="4113">
        <f>SUM($F285:$P285)</f>
        <v>0</v>
      </c>
      <c r="F285" s="4113"/>
      <c r="G285" s="4113">
        <f>'WW calcu'!F198*'WW Plan'!$H$189*12*G$3/CurrencyMultiplier</f>
        <v>0</v>
      </c>
      <c r="H285" s="4113">
        <f>'WW calcu'!G198*'WW Plan'!$H$189*12*H$3/CurrencyMultiplier</f>
        <v>0</v>
      </c>
      <c r="I285" s="4113">
        <f>'WW calcu'!H198*'WW Plan'!$H$189*12*I$3/CurrencyMultiplier</f>
        <v>0</v>
      </c>
      <c r="J285" s="4113">
        <f>'WW calcu'!I198*'WW Plan'!$H$189*12*J$3/CurrencyMultiplier</f>
        <v>0</v>
      </c>
      <c r="K285" s="4113">
        <f>'WW calcu'!J198*'WW Plan'!$H$189*12*K$3/CurrencyMultiplier</f>
        <v>0</v>
      </c>
      <c r="L285" s="4113">
        <f>'WW calcu'!K198*'WW Plan'!$H$189*12*L$3/CurrencyMultiplier</f>
        <v>0</v>
      </c>
      <c r="M285" s="4113">
        <f>'WW calcu'!L198*'WW Plan'!$H$189*12*M$3/CurrencyMultiplier</f>
        <v>0</v>
      </c>
      <c r="N285" s="4113">
        <f>'WW calcu'!M198*'WW Plan'!$H$189*12*N$3/CurrencyMultiplier</f>
        <v>0</v>
      </c>
      <c r="O285" s="4113">
        <f>'WW calcu'!N198*'WW Plan'!$H$189*12*O$3/CurrencyMultiplier</f>
        <v>0</v>
      </c>
      <c r="P285" s="4113">
        <f>'WW calcu'!O198*'WW Plan'!$H$189*12*P$3/CurrencyMultiplier</f>
        <v>0</v>
      </c>
    </row>
    <row r="286" spans="2:16" x14ac:dyDescent="0.25">
      <c r="B286" s="4102" t="s">
        <v>8</v>
      </c>
      <c r="C286" s="4168" t="str">
        <f t="shared" si="33"/>
        <v xml:space="preserve">Service levels &amp; quality </v>
      </c>
      <c r="D286" s="4127"/>
      <c r="E286" s="4105"/>
      <c r="F286" s="4106"/>
      <c r="G286" s="4106"/>
      <c r="H286" s="4106"/>
      <c r="I286" s="4106"/>
      <c r="J286" s="4106"/>
      <c r="K286" s="4106"/>
      <c r="L286" s="4106"/>
      <c r="M286" s="4106"/>
      <c r="N286" s="4106"/>
      <c r="O286" s="4106"/>
      <c r="P286" s="4106"/>
    </row>
    <row r="287" spans="2:16" ht="30" x14ac:dyDescent="0.25">
      <c r="B287" s="4129"/>
      <c r="C287" s="4111" t="str">
        <f t="shared" si="33"/>
        <v>Process improvement for new sewerage connection applications</v>
      </c>
      <c r="D287" s="4131"/>
      <c r="E287" s="4120"/>
      <c r="F287" s="4121"/>
      <c r="G287" s="4121"/>
      <c r="H287" s="4121"/>
      <c r="I287" s="4121"/>
      <c r="J287" s="4121"/>
      <c r="K287" s="4121"/>
      <c r="L287" s="4121"/>
      <c r="M287" s="4121"/>
      <c r="N287" s="4121"/>
      <c r="O287" s="4121"/>
      <c r="P287" s="4121"/>
    </row>
    <row r="288" spans="2:16" ht="30" x14ac:dyDescent="0.25">
      <c r="B288" s="4129"/>
      <c r="C288" s="4130" t="str">
        <f t="shared" si="33"/>
        <v>Improve processes for regular cleaning of drains and sewers</v>
      </c>
      <c r="D288" s="4131"/>
      <c r="E288" s="4120"/>
      <c r="F288" s="4121"/>
      <c r="G288" s="4121"/>
      <c r="H288" s="4121"/>
      <c r="I288" s="4121"/>
      <c r="J288" s="4121"/>
      <c r="K288" s="4121"/>
      <c r="L288" s="4121"/>
      <c r="M288" s="4121"/>
      <c r="N288" s="4121"/>
      <c r="O288" s="4121"/>
      <c r="P288" s="4121"/>
    </row>
    <row r="289" spans="2:16" x14ac:dyDescent="0.25">
      <c r="B289" s="4129"/>
      <c r="C289" s="4130" t="str">
        <f t="shared" si="33"/>
        <v xml:space="preserve">Regularise unauthorised sewerage connections </v>
      </c>
      <c r="D289" s="4131"/>
      <c r="E289" s="4120">
        <f t="shared" ref="E289:E294" si="34">SUM($F289:$P289)</f>
        <v>0</v>
      </c>
      <c r="F289" s="4121"/>
      <c r="G289" s="4121">
        <f>IF('WW Plan'!$E$213="Activate",'WW Plan'!$H$216*('WW calcu'!F414+'WW calcu'!F415)*'PIP finance'!G$3/10^5,0)</f>
        <v>0</v>
      </c>
      <c r="H289" s="4121">
        <f>IF('WW Plan'!$E$213="Activate",'WW Plan'!$H$216*('WW calcu'!G414+'WW calcu'!G415)*'PIP finance'!H$3/10^5,0)</f>
        <v>0</v>
      </c>
      <c r="I289" s="4121">
        <f>IF('WW Plan'!$E$213="Activate",'WW Plan'!$H$216*('WW calcu'!H414+'WW calcu'!H415)*'PIP finance'!I$3/10^5,0)</f>
        <v>0</v>
      </c>
      <c r="J289" s="4121">
        <f>IF('WW Plan'!$E$213="Activate",'WW Plan'!$H$216*('WW calcu'!I414+'WW calcu'!I415)*'PIP finance'!J$3/10^5,0)</f>
        <v>0</v>
      </c>
      <c r="K289" s="4121">
        <f>IF('WW Plan'!$E$213="Activate",'WW Plan'!$H$216*('WW calcu'!J414+'WW calcu'!J415)*'PIP finance'!K$3/10^5,0)</f>
        <v>0</v>
      </c>
      <c r="L289" s="4121">
        <f>IF('WW Plan'!$E$213="Activate",'WW Plan'!$H$216*('WW calcu'!K414+'WW calcu'!K415)*'PIP finance'!L$3/10^5,0)</f>
        <v>0</v>
      </c>
      <c r="M289" s="4121">
        <f>IF('WW Plan'!$E$213="Activate",'WW Plan'!$H$216*('WW calcu'!L414+'WW calcu'!L415)*'PIP finance'!M$3/10^5,0)</f>
        <v>0</v>
      </c>
      <c r="N289" s="4121">
        <f>IF('WW Plan'!$E$213="Activate",'WW Plan'!$H$216*('WW calcu'!M414+'WW calcu'!M415)*'PIP finance'!N$3/10^5,0)</f>
        <v>0</v>
      </c>
      <c r="O289" s="4121">
        <f>IF('WW Plan'!$E$213="Activate",'WW Plan'!$H$216*('WW calcu'!N414+'WW calcu'!N415)*'PIP finance'!O$3/10^5,0)</f>
        <v>0</v>
      </c>
      <c r="P289" s="4121">
        <f>IF('WW Plan'!$E$213="Activate",'WW Plan'!$H$216*('WW calcu'!O414+'WW calcu'!O415)*'PIP finance'!P$3/10^5,0)</f>
        <v>0</v>
      </c>
    </row>
    <row r="290" spans="2:16" ht="30" x14ac:dyDescent="0.25">
      <c r="B290" s="4129"/>
      <c r="C290" s="4130" t="str">
        <f t="shared" si="33"/>
        <v>Increase connections using existing sewerage network</v>
      </c>
      <c r="D290" s="4131"/>
      <c r="E290" s="4120">
        <f t="shared" si="34"/>
        <v>0</v>
      </c>
      <c r="F290" s="4121"/>
      <c r="G290" s="4121"/>
      <c r="H290" s="4121"/>
      <c r="I290" s="4121"/>
      <c r="J290" s="4121"/>
      <c r="K290" s="4121"/>
      <c r="L290" s="4121"/>
      <c r="M290" s="4121"/>
      <c r="N290" s="4121"/>
      <c r="O290" s="4121"/>
      <c r="P290" s="4121"/>
    </row>
    <row r="291" spans="2:16" ht="30" x14ac:dyDescent="0.25">
      <c r="B291" s="4129"/>
      <c r="C291" s="4194" t="str">
        <f t="shared" si="33"/>
        <v>Improve existing sewerage network and plug leakages</v>
      </c>
      <c r="D291" s="4131"/>
      <c r="E291" s="4120">
        <f t="shared" si="34"/>
        <v>0</v>
      </c>
      <c r="F291" s="4121"/>
      <c r="G291" s="4121"/>
      <c r="H291" s="4121"/>
      <c r="I291" s="4121"/>
      <c r="J291" s="4121"/>
      <c r="K291" s="4121"/>
      <c r="L291" s="4121"/>
      <c r="M291" s="4121"/>
      <c r="N291" s="4121"/>
      <c r="O291" s="4121"/>
      <c r="P291" s="4121"/>
    </row>
    <row r="292" spans="2:16" ht="30" x14ac:dyDescent="0.25">
      <c r="B292" s="4162"/>
      <c r="C292" s="4130" t="str">
        <f t="shared" si="33"/>
        <v>Increase septage collection with existing suction emptier trucks</v>
      </c>
      <c r="D292" s="4111"/>
      <c r="E292" s="4113">
        <f t="shared" si="34"/>
        <v>8.5909579785053349</v>
      </c>
      <c r="F292" s="4113"/>
      <c r="G292" s="4113">
        <f>'WW calcu'!F658*'PIP finance'!G$3</f>
        <v>0.70666666666666667</v>
      </c>
      <c r="H292" s="4113">
        <f>'WW calcu'!G658*'PIP finance'!H$3</f>
        <v>0.29114666666666672</v>
      </c>
      <c r="I292" s="4113">
        <f>'WW calcu'!H658*'PIP finance'!I$3</f>
        <v>0.29988106666666675</v>
      </c>
      <c r="J292" s="4113">
        <f>'WW calcu'!I658*'PIP finance'!J$3</f>
        <v>3.5927406790666669</v>
      </c>
      <c r="K292" s="4113">
        <f>'WW calcu'!J658*'PIP finance'!K$3</f>
        <v>3.7005228994386674</v>
      </c>
      <c r="L292" s="4113">
        <f>'WW calcu'!K658*'PIP finance'!L$3</f>
        <v>0</v>
      </c>
      <c r="M292" s="4113">
        <f>'WW calcu'!L658*'PIP finance'!M$3</f>
        <v>0</v>
      </c>
      <c r="N292" s="4113">
        <f>'WW calcu'!M658*'PIP finance'!N$3</f>
        <v>0</v>
      </c>
      <c r="O292" s="4113">
        <f>'WW calcu'!N658*'PIP finance'!O$3</f>
        <v>0</v>
      </c>
      <c r="P292" s="4113">
        <f>'WW calcu'!O658*'PIP finance'!P$3</f>
        <v>0</v>
      </c>
    </row>
    <row r="293" spans="2:16" x14ac:dyDescent="0.25">
      <c r="B293" s="4129"/>
      <c r="C293" s="4130" t="str">
        <f t="shared" si="33"/>
        <v>Increase efficiency of all existing treatment plants</v>
      </c>
      <c r="D293" s="4131"/>
      <c r="E293" s="4120">
        <f t="shared" si="34"/>
        <v>0</v>
      </c>
      <c r="F293" s="4121"/>
      <c r="G293" s="4121">
        <f>IF(AND('WW Plan'!$E$241="Activate",'PIP finance'!G$271&gt;'WW Plan'!$H$241),'WW Plan'!$H$255*12,0)*'PIP finance'!G$3/10^5</f>
        <v>0</v>
      </c>
      <c r="H293" s="4121">
        <f>IF(AND('WW Plan'!$E$241="Activate",'PIP finance'!H$271&gt;'WW Plan'!$H$241),'WW Plan'!$H$255*12,0)*'PIP finance'!H$3/10^5</f>
        <v>0</v>
      </c>
      <c r="I293" s="4121">
        <f>IF(AND('WW Plan'!$E$241="Activate",'PIP finance'!I$271&gt;'WW Plan'!$H$241),'WW Plan'!$H$255*12,0)*'PIP finance'!I$3/10^5</f>
        <v>0</v>
      </c>
      <c r="J293" s="4121">
        <f>IF(AND('WW Plan'!$E$241="Activate",'PIP finance'!J$271&gt;'WW Plan'!$H$241),'WW Plan'!$H$255*12,0)*'PIP finance'!J$3/10^5</f>
        <v>0</v>
      </c>
      <c r="K293" s="4121">
        <f>IF(AND('WW Plan'!$E$241="Activate",'PIP finance'!K$271&gt;'WW Plan'!$H$241),'WW Plan'!$H$255*12,0)*'PIP finance'!K$3/10^5</f>
        <v>0</v>
      </c>
      <c r="L293" s="4121">
        <f>IF(AND('WW Plan'!$E$241="Activate",'PIP finance'!L$271&gt;'WW Plan'!$H$241),'WW Plan'!$H$255*12,0)*'PIP finance'!L$3/10^5</f>
        <v>0</v>
      </c>
      <c r="M293" s="4121">
        <f>IF(AND('WW Plan'!$E$241="Activate",'PIP finance'!M$271&gt;'WW Plan'!$H$241),'WW Plan'!$H$255*12,0)*'PIP finance'!M$3/10^5</f>
        <v>0</v>
      </c>
      <c r="N293" s="4121">
        <f>IF(AND('WW Plan'!$E$241="Activate",'PIP finance'!N$271&gt;'WW Plan'!$H$241),'WW Plan'!$H$255*12,0)*'PIP finance'!N$3/10^5</f>
        <v>0</v>
      </c>
      <c r="O293" s="4121">
        <f>IF(AND('WW Plan'!$E$241="Activate",'PIP finance'!O$271&gt;'WW Plan'!$H$241),'WW Plan'!$H$255*12,0)*'PIP finance'!O$3/10^5</f>
        <v>0</v>
      </c>
      <c r="P293" s="4121">
        <f>IF(AND('WW Plan'!$E$241="Activate",'PIP finance'!P$271&gt;'WW Plan'!$H$241),'WW Plan'!$H$255*12,0)*'PIP finance'!P$3/10^5</f>
        <v>0</v>
      </c>
    </row>
    <row r="294" spans="2:16" ht="30" x14ac:dyDescent="0.25">
      <c r="B294" s="4162"/>
      <c r="C294" s="4130" t="str">
        <f t="shared" si="33"/>
        <v>Upgrade open surface drains to closed drains for storm water drainage</v>
      </c>
      <c r="D294" s="4111"/>
      <c r="E294" s="4113">
        <f t="shared" si="34"/>
        <v>0</v>
      </c>
      <c r="F294" s="4113"/>
      <c r="G294" s="4113"/>
      <c r="H294" s="4113"/>
      <c r="I294" s="4113"/>
      <c r="J294" s="4113"/>
      <c r="K294" s="4113"/>
      <c r="L294" s="4113"/>
      <c r="M294" s="4113"/>
      <c r="N294" s="4113"/>
      <c r="O294" s="4113"/>
      <c r="P294" s="4113"/>
    </row>
    <row r="295" spans="2:16" s="4195" customFormat="1" x14ac:dyDescent="0.25">
      <c r="B295" s="4183"/>
      <c r="C295" s="4130" t="str">
        <f t="shared" si="33"/>
        <v>Reduce water logging/flooding in city</v>
      </c>
      <c r="D295" s="4111"/>
      <c r="E295" s="4111"/>
      <c r="F295" s="4111"/>
      <c r="G295" s="4111"/>
      <c r="H295" s="4111"/>
      <c r="I295" s="4111"/>
      <c r="J295" s="4111"/>
      <c r="K295" s="4111"/>
      <c r="L295" s="4111"/>
      <c r="M295" s="4111"/>
      <c r="N295" s="4111"/>
      <c r="O295" s="4111"/>
      <c r="P295" s="4111"/>
    </row>
    <row r="296" spans="2:16" x14ac:dyDescent="0.25">
      <c r="B296" s="4162"/>
      <c r="C296" s="4130" t="str">
        <f t="shared" si="33"/>
        <v xml:space="preserve">Provide soak pits for wastewater disposal </v>
      </c>
      <c r="D296" s="4111"/>
      <c r="E296" s="4113"/>
      <c r="F296" s="4113"/>
      <c r="G296" s="4113"/>
      <c r="H296" s="4113"/>
      <c r="I296" s="4113"/>
      <c r="J296" s="4113"/>
      <c r="K296" s="4113"/>
      <c r="L296" s="4113"/>
      <c r="M296" s="4113"/>
      <c r="N296" s="4113"/>
      <c r="O296" s="4113"/>
      <c r="P296" s="4113"/>
    </row>
    <row r="297" spans="2:16" x14ac:dyDescent="0.25">
      <c r="B297" s="4162"/>
      <c r="C297" s="4130" t="str">
        <f t="shared" si="33"/>
        <v>Lay new settled sewer for wastewater conveyance</v>
      </c>
      <c r="D297" s="4111"/>
      <c r="E297" s="4113">
        <f>SUM($F297:$P297)</f>
        <v>0</v>
      </c>
      <c r="F297" s="4113"/>
      <c r="G297" s="4113"/>
      <c r="H297" s="4113"/>
      <c r="I297" s="4113"/>
      <c r="J297" s="4113"/>
      <c r="K297" s="4113"/>
      <c r="L297" s="4113"/>
      <c r="M297" s="4113"/>
      <c r="N297" s="4113"/>
      <c r="O297" s="4113"/>
      <c r="P297" s="4113"/>
    </row>
    <row r="298" spans="2:16" ht="30" x14ac:dyDescent="0.25">
      <c r="B298" s="4162"/>
      <c r="C298" s="4111" t="str">
        <f t="shared" si="33"/>
        <v>Expand or lay new sewerage network for wastewater conveyance</v>
      </c>
      <c r="D298" s="4111"/>
      <c r="E298" s="4113">
        <f t="shared" ref="E298:E303" si="35">SUM($F298:$P298)</f>
        <v>0</v>
      </c>
      <c r="F298" s="4113"/>
      <c r="G298" s="4113"/>
      <c r="H298" s="4113"/>
      <c r="I298" s="4113"/>
      <c r="J298" s="4113"/>
      <c r="K298" s="4113"/>
      <c r="L298" s="4113"/>
      <c r="M298" s="4113"/>
      <c r="N298" s="4113"/>
      <c r="O298" s="4113"/>
      <c r="P298" s="4113"/>
    </row>
    <row r="299" spans="2:16" s="4118" customFormat="1" x14ac:dyDescent="0.25">
      <c r="B299" s="4162"/>
      <c r="C299" s="4130" t="str">
        <f t="shared" si="33"/>
        <v>Procure new suction emptier trucks</v>
      </c>
      <c r="D299" s="4111"/>
      <c r="E299" s="4113">
        <f t="shared" si="35"/>
        <v>11.826436967758001</v>
      </c>
      <c r="F299" s="4113"/>
      <c r="G299" s="4113">
        <f>'WW calcu'!F659*'PIP finance'!G$3</f>
        <v>0</v>
      </c>
      <c r="H299" s="4113">
        <f>'WW calcu'!G659*'PIP finance'!H$3</f>
        <v>0.43672000000000005</v>
      </c>
      <c r="I299" s="4113">
        <f>'WW calcu'!H659*'PIP finance'!I$3</f>
        <v>0.44982160000000004</v>
      </c>
      <c r="J299" s="4113">
        <f>'WW calcu'!I659*'PIP finance'!J$3</f>
        <v>5.3891110186000004</v>
      </c>
      <c r="K299" s="4113">
        <f>'WW calcu'!J659*'PIP finance'!K$3</f>
        <v>5.5507843491580005</v>
      </c>
      <c r="L299" s="4113">
        <f>'WW calcu'!K659*'PIP finance'!L$3</f>
        <v>0</v>
      </c>
      <c r="M299" s="4113">
        <f>'WW calcu'!L659*'PIP finance'!M$3</f>
        <v>0</v>
      </c>
      <c r="N299" s="4113">
        <f>'WW calcu'!M659*'PIP finance'!N$3</f>
        <v>0</v>
      </c>
      <c r="O299" s="4113">
        <f>'WW calcu'!N659*'PIP finance'!O$3</f>
        <v>0</v>
      </c>
      <c r="P299" s="4113">
        <f>'WW calcu'!O659*'PIP finance'!P$3</f>
        <v>0</v>
      </c>
    </row>
    <row r="300" spans="2:16" s="4151" customFormat="1" x14ac:dyDescent="0.25">
      <c r="B300" s="4162"/>
      <c r="C300" s="4130" t="str">
        <f t="shared" si="33"/>
        <v>Construct/augment fecal sludge treatment plant</v>
      </c>
      <c r="D300" s="4111"/>
      <c r="E300" s="4113">
        <f t="shared" si="35"/>
        <v>0</v>
      </c>
      <c r="F300" s="4113"/>
      <c r="G300" s="4113">
        <f>'WW calcu'!F773*G$3</f>
        <v>0</v>
      </c>
      <c r="H300" s="4113">
        <f>'WW calcu'!G773*H$3</f>
        <v>0</v>
      </c>
      <c r="I300" s="4113">
        <f>'WW calcu'!H773*I$3</f>
        <v>0</v>
      </c>
      <c r="J300" s="4113">
        <f>'WW calcu'!I773*J$3</f>
        <v>0</v>
      </c>
      <c r="K300" s="4113">
        <f>'WW calcu'!J773*K$3</f>
        <v>0</v>
      </c>
      <c r="L300" s="4113">
        <f>'WW calcu'!K773*L$3</f>
        <v>0</v>
      </c>
      <c r="M300" s="4113">
        <f>'WW calcu'!L773*M$3</f>
        <v>0</v>
      </c>
      <c r="N300" s="4113">
        <f>'WW calcu'!M773*N$3</f>
        <v>0</v>
      </c>
      <c r="O300" s="4113">
        <f>'WW calcu'!N773*O$3</f>
        <v>0</v>
      </c>
      <c r="P300" s="4113">
        <f>'WW calcu'!O773*P$3</f>
        <v>0</v>
      </c>
    </row>
    <row r="301" spans="2:16" s="4118" customFormat="1" ht="30" x14ac:dyDescent="0.25">
      <c r="B301" s="4162"/>
      <c r="C301" s="4130" t="str">
        <f t="shared" si="33"/>
        <v xml:space="preserve">Construct/augment treatment plant for effluent and sullage </v>
      </c>
      <c r="D301" s="4111"/>
      <c r="E301" s="4113">
        <f>SUM($F301:$P301)</f>
        <v>0</v>
      </c>
      <c r="F301" s="4113"/>
      <c r="G301" s="4113">
        <f>'WW calcu'!F747*G$3</f>
        <v>0</v>
      </c>
      <c r="H301" s="4113">
        <f>'WW calcu'!G747*H$3</f>
        <v>0</v>
      </c>
      <c r="I301" s="4113">
        <f>'WW calcu'!H747*I$3</f>
        <v>0</v>
      </c>
      <c r="J301" s="4113">
        <f>'WW calcu'!I747*J$3</f>
        <v>0</v>
      </c>
      <c r="K301" s="4113">
        <f>'WW calcu'!J747*K$3</f>
        <v>0</v>
      </c>
      <c r="L301" s="4113">
        <f>'WW calcu'!K747*L$3</f>
        <v>0</v>
      </c>
      <c r="M301" s="4113">
        <f>'WW calcu'!L747*M$3</f>
        <v>0</v>
      </c>
      <c r="N301" s="4113">
        <f>'WW calcu'!M747*N$3</f>
        <v>0</v>
      </c>
      <c r="O301" s="4113">
        <f>'WW calcu'!N747*O$3</f>
        <v>0</v>
      </c>
      <c r="P301" s="4113">
        <f>'WW calcu'!O747*P$3</f>
        <v>0</v>
      </c>
    </row>
    <row r="302" spans="2:16" x14ac:dyDescent="0.25">
      <c r="B302" s="4162"/>
      <c r="C302" s="4130" t="str">
        <f t="shared" si="33"/>
        <v xml:space="preserve">Construct/augment sewage treatment plant </v>
      </c>
      <c r="D302" s="4111"/>
      <c r="E302" s="4113">
        <f t="shared" si="35"/>
        <v>0</v>
      </c>
      <c r="F302" s="4113"/>
      <c r="G302" s="4113">
        <f>'WW calcu'!F705*G$3</f>
        <v>0</v>
      </c>
      <c r="H302" s="4113">
        <f>'WW calcu'!G705*H$3</f>
        <v>0</v>
      </c>
      <c r="I302" s="4113">
        <f>'WW calcu'!H705*I$3</f>
        <v>0</v>
      </c>
      <c r="J302" s="4113">
        <f>'WW calcu'!I705*J$3</f>
        <v>0</v>
      </c>
      <c r="K302" s="4113">
        <f>'WW calcu'!J705*K$3</f>
        <v>0</v>
      </c>
      <c r="L302" s="4113">
        <f>'WW calcu'!K705*L$3</f>
        <v>0</v>
      </c>
      <c r="M302" s="4113">
        <f>'WW calcu'!L705*M$3</f>
        <v>0</v>
      </c>
      <c r="N302" s="4113">
        <f>'WW calcu'!M705*N$3</f>
        <v>0</v>
      </c>
      <c r="O302" s="4113">
        <f>'WW calcu'!N705*O$3</f>
        <v>0</v>
      </c>
      <c r="P302" s="4113">
        <f>'WW calcu'!O705*P$3</f>
        <v>0</v>
      </c>
    </row>
    <row r="303" spans="2:16" ht="30" x14ac:dyDescent="0.25">
      <c r="B303" s="4162"/>
      <c r="C303" s="4130" t="str">
        <f t="shared" si="33"/>
        <v>Construct closed surface drains for storm water drainage</v>
      </c>
      <c r="D303" s="4111"/>
      <c r="E303" s="4113">
        <f t="shared" si="35"/>
        <v>0</v>
      </c>
      <c r="F303" s="4113"/>
      <c r="G303" s="4113"/>
      <c r="H303" s="4113"/>
      <c r="I303" s="4113"/>
      <c r="J303" s="4113"/>
      <c r="K303" s="4113"/>
      <c r="L303" s="4113"/>
      <c r="M303" s="4113"/>
      <c r="N303" s="4113"/>
      <c r="O303" s="4113"/>
      <c r="P303" s="4113"/>
    </row>
    <row r="304" spans="2:16" x14ac:dyDescent="0.25">
      <c r="B304" s="4102" t="s">
        <v>10</v>
      </c>
      <c r="C304" s="4168" t="str">
        <f t="shared" si="33"/>
        <v>Eff in services</v>
      </c>
      <c r="D304" s="4127"/>
      <c r="E304" s="4105"/>
      <c r="F304" s="4106"/>
      <c r="G304" s="4106"/>
      <c r="H304" s="4106"/>
      <c r="I304" s="4106"/>
      <c r="J304" s="4106"/>
      <c r="K304" s="4106"/>
      <c r="L304" s="4106"/>
      <c r="M304" s="4106"/>
      <c r="N304" s="4106"/>
      <c r="O304" s="4106"/>
      <c r="P304" s="4106"/>
    </row>
    <row r="305" spans="2:16" ht="30" x14ac:dyDescent="0.25">
      <c r="B305" s="4129"/>
      <c r="C305" s="4130" t="str">
        <f t="shared" si="33"/>
        <v>Improve wastewater and septage quality surveillance</v>
      </c>
      <c r="D305" s="4131"/>
      <c r="E305" s="4120"/>
      <c r="F305" s="4121"/>
      <c r="G305" s="4121"/>
      <c r="H305" s="4121"/>
      <c r="I305" s="4121"/>
      <c r="J305" s="4121"/>
      <c r="K305" s="4121"/>
      <c r="L305" s="4121"/>
      <c r="M305" s="4121"/>
      <c r="N305" s="4121"/>
      <c r="O305" s="4121"/>
      <c r="P305" s="4121"/>
    </row>
    <row r="306" spans="2:16" ht="30" x14ac:dyDescent="0.25">
      <c r="B306" s="4162"/>
      <c r="C306" s="4130" t="str">
        <f t="shared" si="33"/>
        <v>Improve processes for management of consumer complaints</v>
      </c>
      <c r="D306" s="4111"/>
      <c r="E306" s="4113"/>
      <c r="F306" s="4113"/>
      <c r="G306" s="4113"/>
      <c r="H306" s="4113"/>
      <c r="I306" s="4113"/>
      <c r="J306" s="4113"/>
      <c r="K306" s="4113"/>
      <c r="L306" s="4113"/>
      <c r="M306" s="4113"/>
      <c r="N306" s="4113"/>
      <c r="O306" s="4113"/>
      <c r="P306" s="4113"/>
    </row>
    <row r="307" spans="2:16" ht="30" x14ac:dyDescent="0.25">
      <c r="B307" s="4162"/>
      <c r="C307" s="4130" t="str">
        <f t="shared" si="33"/>
        <v>Increase in reuse/recycling of treated wastewater and septage</v>
      </c>
      <c r="D307" s="4111"/>
      <c r="E307" s="4113">
        <f>SUM($F307:$P307)</f>
        <v>0</v>
      </c>
      <c r="F307" s="4113"/>
      <c r="G307" s="4113">
        <f>('WW calcu'!F697+'WW calcu'!F739+'WW calcu'!F764)*G$3</f>
        <v>0</v>
      </c>
      <c r="H307" s="4113">
        <f>('WW calcu'!G697+'WW calcu'!G739+'WW calcu'!G764)*H$3</f>
        <v>0</v>
      </c>
      <c r="I307" s="4113">
        <f>('WW calcu'!H697+'WW calcu'!H739+'WW calcu'!H764)*I$3</f>
        <v>0</v>
      </c>
      <c r="J307" s="4113">
        <f>('WW calcu'!I697+'WW calcu'!I739+'WW calcu'!I764)*J$3</f>
        <v>0</v>
      </c>
      <c r="K307" s="4113">
        <f>('WW calcu'!J697+'WW calcu'!J739+'WW calcu'!J764)*K$3</f>
        <v>0</v>
      </c>
      <c r="L307" s="4113">
        <f>('WW calcu'!K697+'WW calcu'!K739+'WW calcu'!K764)*L$3</f>
        <v>0</v>
      </c>
      <c r="M307" s="4113">
        <f>('WW calcu'!L697+'WW calcu'!L739+'WW calcu'!L764)*M$3</f>
        <v>0</v>
      </c>
      <c r="N307" s="4113">
        <f>('WW calcu'!M697+'WW calcu'!M739+'WW calcu'!M764)*N$3</f>
        <v>0</v>
      </c>
      <c r="O307" s="4113">
        <f>('WW calcu'!N697+'WW calcu'!N739+'WW calcu'!N764)*O$3</f>
        <v>0</v>
      </c>
      <c r="P307" s="4113">
        <f>('WW calcu'!O697+'WW calcu'!O739+'WW calcu'!O764)*P$3</f>
        <v>0</v>
      </c>
    </row>
    <row r="308" spans="2:16" ht="30" x14ac:dyDescent="0.25">
      <c r="B308" s="4162"/>
      <c r="C308" s="4130" t="str">
        <f t="shared" si="33"/>
        <v>Conduct regular wastewater and septage quality tests at laboratory, if not done</v>
      </c>
      <c r="D308" s="4111"/>
      <c r="E308" s="4113">
        <f>SUM($F308:$P308)</f>
        <v>0</v>
      </c>
      <c r="F308" s="4113"/>
      <c r="G308" s="4113"/>
      <c r="H308" s="4113"/>
      <c r="I308" s="4113"/>
      <c r="J308" s="4113"/>
      <c r="K308" s="4113"/>
      <c r="L308" s="4113"/>
      <c r="M308" s="4113"/>
      <c r="N308" s="4113"/>
      <c r="O308" s="4113"/>
      <c r="P308" s="4113"/>
    </row>
    <row r="309" spans="2:16" x14ac:dyDescent="0.25">
      <c r="B309" s="4162"/>
      <c r="C309" s="4130" t="str">
        <f t="shared" si="33"/>
        <v>Improve consumer grievance redressal system</v>
      </c>
      <c r="D309" s="4111"/>
      <c r="E309" s="4113"/>
      <c r="F309" s="4113"/>
      <c r="G309" s="4113"/>
      <c r="H309" s="4113"/>
      <c r="I309" s="4113"/>
      <c r="J309" s="4113"/>
      <c r="K309" s="4113"/>
      <c r="L309" s="4113"/>
      <c r="M309" s="4113"/>
      <c r="N309" s="4113"/>
      <c r="O309" s="4113"/>
      <c r="P309" s="4113"/>
    </row>
    <row r="310" spans="2:16" x14ac:dyDescent="0.25">
      <c r="B310" s="4102" t="s">
        <v>12</v>
      </c>
      <c r="C310" s="4168" t="str">
        <f t="shared" si="33"/>
        <v>Financial sustainaibility</v>
      </c>
      <c r="D310" s="4127"/>
      <c r="E310" s="4105"/>
      <c r="F310" s="4106"/>
      <c r="G310" s="4106"/>
      <c r="H310" s="4106"/>
      <c r="I310" s="4106"/>
      <c r="J310" s="4106"/>
      <c r="K310" s="4106"/>
      <c r="L310" s="4106"/>
      <c r="M310" s="4106"/>
      <c r="N310" s="4106"/>
      <c r="O310" s="4106"/>
      <c r="P310" s="4106"/>
    </row>
    <row r="311" spans="2:16" x14ac:dyDescent="0.25">
      <c r="B311" s="4129"/>
      <c r="C311" s="4111" t="str">
        <f t="shared" si="33"/>
        <v>Improve billing and collection of wastewater bills</v>
      </c>
      <c r="D311" s="4131"/>
      <c r="E311" s="4120"/>
      <c r="F311" s="4121"/>
      <c r="G311" s="4121"/>
      <c r="H311" s="4121"/>
      <c r="I311" s="4121"/>
      <c r="J311" s="4121"/>
      <c r="K311" s="4121"/>
      <c r="L311" s="4121"/>
      <c r="M311" s="4121"/>
      <c r="N311" s="4121"/>
      <c r="O311" s="4121"/>
      <c r="P311" s="4121"/>
    </row>
    <row r="312" spans="2:16" ht="30" x14ac:dyDescent="0.25">
      <c r="B312" s="4129"/>
      <c r="C312" s="4111" t="str">
        <f t="shared" si="33"/>
        <v>Improve collection efficiency of wastewater charges and taxes</v>
      </c>
      <c r="D312" s="4131"/>
      <c r="E312" s="4120">
        <f>SUM($F312:$P312)</f>
        <v>0</v>
      </c>
      <c r="F312" s="4121"/>
      <c r="G312" s="4121"/>
      <c r="H312" s="4121"/>
      <c r="I312" s="4121"/>
      <c r="J312" s="4121"/>
      <c r="K312" s="4121"/>
      <c r="L312" s="4121"/>
      <c r="M312" s="4121"/>
      <c r="N312" s="4121"/>
      <c r="O312" s="4121"/>
      <c r="P312" s="4121"/>
    </row>
    <row r="313" spans="2:16" x14ac:dyDescent="0.25">
      <c r="B313" s="4102" t="s">
        <v>13</v>
      </c>
      <c r="C313" s="4102" t="str">
        <f t="shared" si="33"/>
        <v>Generic actions</v>
      </c>
      <c r="D313" s="4127"/>
      <c r="E313" s="4105"/>
      <c r="F313" s="4106"/>
      <c r="G313" s="4106"/>
      <c r="H313" s="4106"/>
      <c r="I313" s="4106"/>
      <c r="J313" s="4106"/>
      <c r="K313" s="4106"/>
      <c r="L313" s="4106"/>
      <c r="M313" s="4106"/>
      <c r="N313" s="4106"/>
      <c r="O313" s="4106"/>
      <c r="P313" s="4106"/>
    </row>
    <row r="314" spans="2:16" x14ac:dyDescent="0.25">
      <c r="B314" s="4129"/>
      <c r="C314" s="4111" t="str">
        <f t="shared" si="33"/>
        <v>Interceptor sewer along river</v>
      </c>
      <c r="D314" s="4140">
        <f>IF('WW Plan'!$G$426="None",0,IF('WW Plan'!$G$426="Starts after project is completed",1,2))</f>
        <v>2</v>
      </c>
      <c r="E314" s="5731">
        <f>SUM($F314:$P314)</f>
        <v>0</v>
      </c>
      <c r="F314" s="4124"/>
      <c r="G314" s="4121">
        <f>IF('WW Plan'!$E$423="Activate",IF(AND($D$314=1,G$271&gt;'WW Plan'!$H$423),'WW Plan'!$H$426*'PIP finance'!G$3/CurrencyMultiplier,IF(AND($D$314=2,G$271&gt;='WW Plan'!$G$423,G$117&lt;'WW Plan'!$H$423+1),'WW Plan'!$H$426*'PIP finance'!G$3/CurrencyMultiplier,0)),0)</f>
        <v>0</v>
      </c>
      <c r="H314" s="4121">
        <f>IF('WW Plan'!$E$423="Activate",IF(AND($D$314=1,H$271&gt;'WW Plan'!$H$423),'WW Plan'!$H$426*'PIP finance'!H$3/CurrencyMultiplier,IF(AND($D$314=2,H$271&gt;='WW Plan'!$G$423,H$117&lt;'WW Plan'!$H$423+1),'WW Plan'!$H$426*'PIP finance'!H$3/CurrencyMultiplier,0)),0)</f>
        <v>0</v>
      </c>
      <c r="I314" s="4121">
        <f>IF('WW Plan'!$E$423="Activate",IF(AND($D$314=1,I$271&gt;'WW Plan'!$H$423),'WW Plan'!$H$426*'PIP finance'!I$3/CurrencyMultiplier,IF(AND($D$314=2,I$271&gt;='WW Plan'!$G$423,I$117&lt;'WW Plan'!$H$423+1),'WW Plan'!$H$426*'PIP finance'!I$3/CurrencyMultiplier,0)),0)</f>
        <v>0</v>
      </c>
      <c r="J314" s="4121">
        <f>IF('WW Plan'!$E$423="Activate",IF(AND($D$314=1,J$271&gt;'WW Plan'!$H$423),'WW Plan'!$H$426*'PIP finance'!J$3/CurrencyMultiplier,IF(AND($D$314=2,J$271&gt;='WW Plan'!$G$423,J$117&lt;'WW Plan'!$H$423+1),'WW Plan'!$H$426*'PIP finance'!J$3/CurrencyMultiplier,0)),0)</f>
        <v>0</v>
      </c>
      <c r="K314" s="4121">
        <f>IF('WW Plan'!$E$423="Activate",IF(AND($D$314=1,K$271&gt;'WW Plan'!$H$423),'WW Plan'!$H$426*'PIP finance'!K$3/CurrencyMultiplier,IF(AND($D$314=2,K$271&gt;='WW Plan'!$G$423,K$117&lt;'WW Plan'!$H$423+1),'WW Plan'!$H$426*'PIP finance'!K$3/CurrencyMultiplier,0)),0)</f>
        <v>0</v>
      </c>
      <c r="L314" s="4121">
        <f>IF('WW Plan'!$E$423="Activate",IF(AND($D$314=1,L$271&gt;'WW Plan'!$H$423),'WW Plan'!$H$426*'PIP finance'!L$3/CurrencyMultiplier,IF(AND($D$314=2,L$271&gt;='WW Plan'!$G$423,L$117&lt;'WW Plan'!$H$423+1),'WW Plan'!$H$426*'PIP finance'!L$3/CurrencyMultiplier,0)),0)</f>
        <v>0</v>
      </c>
      <c r="M314" s="4121">
        <f>IF('WW Plan'!$E$423="Activate",IF(AND($D$314=1,M$271&gt;'WW Plan'!$H$423),'WW Plan'!$H$426*'PIP finance'!M$3/CurrencyMultiplier,IF(AND($D$314=2,M$271&gt;='WW Plan'!$G$423,M$117&lt;'WW Plan'!$H$423+1),'WW Plan'!$H$426*'PIP finance'!M$3/CurrencyMultiplier,0)),0)</f>
        <v>0</v>
      </c>
      <c r="N314" s="4121">
        <f>IF('WW Plan'!$E$423="Activate",IF(AND($D$314=1,N$271&gt;'WW Plan'!$H$423),'WW Plan'!$H$426*'PIP finance'!N$3/CurrencyMultiplier,IF(AND($D$314=2,N$271&gt;='WW Plan'!$G$423,N$117&lt;'WW Plan'!$H$423+1),'WW Plan'!$H$426*'PIP finance'!N$3/CurrencyMultiplier,0)),0)</f>
        <v>0</v>
      </c>
      <c r="O314" s="4121">
        <f>IF('WW Plan'!$E$423="Activate",IF(AND($D$314=1,O$271&gt;'WW Plan'!$H$423),'WW Plan'!$H$426*'PIP finance'!O$3/CurrencyMultiplier,IF(AND($D$314=2,O$271&gt;='WW Plan'!$G$423,O$117&lt;'WW Plan'!$H$423+1),'WW Plan'!$H$426*'PIP finance'!O$3/CurrencyMultiplier,0)),0)</f>
        <v>0</v>
      </c>
      <c r="P314" s="4121">
        <f>IF('WW Plan'!$E$423="Activate",IF(AND($D$314=1,P$271&gt;'WW Plan'!$H$423),'WW Plan'!$H$426*'PIP finance'!P$3/CurrencyMultiplier,IF(AND($D$314=2,P$271&gt;='WW Plan'!$G$423,P$117&lt;'WW Plan'!$H$423+1),'WW Plan'!$H$426*'PIP finance'!P$3/CurrencyMultiplier,0)),0)</f>
        <v>0</v>
      </c>
    </row>
    <row r="315" spans="2:16" x14ac:dyDescent="0.25">
      <c r="B315" s="4129"/>
      <c r="C315" s="4111" t="str">
        <f t="shared" si="33"/>
        <v>Desilting and rehabilitation of drains</v>
      </c>
      <c r="D315" s="4140">
        <f>IF('WW Plan'!$G$433="None",0,IF('WW Plan'!$G$433="Starts after project is completed",1,2))</f>
        <v>2</v>
      </c>
      <c r="E315" s="5731">
        <f>SUM($F315:$P315)</f>
        <v>0</v>
      </c>
      <c r="F315" s="4124"/>
      <c r="G315" s="4121">
        <f>IF('WW Plan'!$E$430="Activate",IF(AND($D$315=1,G$271&gt;'WW Plan'!$H$430),'WW Plan'!$H$433*'PIP finance'!G$3/CurrencyMultiplier,IF(AND($D$315=2,G$271&gt;='WW Plan'!$G$430,G$117&lt;'WW Plan'!$H$430+1),'WW Plan'!$H$433*'PIP finance'!G$3/CurrencyMultiplier,0)),0)</f>
        <v>0</v>
      </c>
      <c r="H315" s="4121">
        <f>IF('WW Plan'!$E$430="Activate",IF(AND($D$315=1,H$271&gt;'WW Plan'!$H$430),'WW Plan'!$H$433*'PIP finance'!H$3/CurrencyMultiplier,IF(AND($D$315=2,H$271&gt;='WW Plan'!$G$430,H$117&lt;'WW Plan'!$H$430+1),'WW Plan'!$H$433*'PIP finance'!H$3/CurrencyMultiplier,0)),0)</f>
        <v>0</v>
      </c>
      <c r="I315" s="4121">
        <f>IF('WW Plan'!$E$430="Activate",IF(AND($D$315=1,I$271&gt;'WW Plan'!$H$430),'WW Plan'!$H$433*'PIP finance'!I$3/CurrencyMultiplier,IF(AND($D$315=2,I$271&gt;='WW Plan'!$G$430,I$117&lt;'WW Plan'!$H$430+1),'WW Plan'!$H$433*'PIP finance'!I$3/CurrencyMultiplier,0)),0)</f>
        <v>0</v>
      </c>
      <c r="J315" s="4121">
        <f>IF('WW Plan'!$E$430="Activate",IF(AND($D$315=1,J$271&gt;'WW Plan'!$H$430),'WW Plan'!$H$433*'PIP finance'!J$3/CurrencyMultiplier,IF(AND($D$315=2,J$271&gt;='WW Plan'!$G$430,J$117&lt;'WW Plan'!$H$430+1),'WW Plan'!$H$433*'PIP finance'!J$3/CurrencyMultiplier,0)),0)</f>
        <v>0</v>
      </c>
      <c r="K315" s="4121">
        <f>IF('WW Plan'!$E$430="Activate",IF(AND($D$315=1,K$271&gt;'WW Plan'!$H$430),'WW Plan'!$H$433*'PIP finance'!K$3/CurrencyMultiplier,IF(AND($D$315=2,K$271&gt;='WW Plan'!$G$430,K$117&lt;'WW Plan'!$H$430+1),'WW Plan'!$H$433*'PIP finance'!K$3/CurrencyMultiplier,0)),0)</f>
        <v>0</v>
      </c>
      <c r="L315" s="4121">
        <f>IF('WW Plan'!$E$430="Activate",IF(AND($D$315=1,L$271&gt;'WW Plan'!$H$430),'WW Plan'!$H$433*'PIP finance'!L$3/CurrencyMultiplier,IF(AND($D$315=2,L$271&gt;='WW Plan'!$G$430,L$117&lt;'WW Plan'!$H$430+1),'WW Plan'!$H$433*'PIP finance'!L$3/CurrencyMultiplier,0)),0)</f>
        <v>0</v>
      </c>
      <c r="M315" s="4121">
        <f>IF('WW Plan'!$E$430="Activate",IF(AND($D$315=1,M$271&gt;'WW Plan'!$H$430),'WW Plan'!$H$433*'PIP finance'!M$3/CurrencyMultiplier,IF(AND($D$315=2,M$271&gt;='WW Plan'!$G$430,M$117&lt;'WW Plan'!$H$430+1),'WW Plan'!$H$433*'PIP finance'!M$3/CurrencyMultiplier,0)),0)</f>
        <v>0</v>
      </c>
      <c r="N315" s="4121">
        <f>IF('WW Plan'!$E$430="Activate",IF(AND($D$315=1,N$271&gt;'WW Plan'!$H$430),'WW Plan'!$H$433*'PIP finance'!N$3/CurrencyMultiplier,IF(AND($D$315=2,N$271&gt;='WW Plan'!$G$430,N$117&lt;'WW Plan'!$H$430+1),'WW Plan'!$H$433*'PIP finance'!N$3/CurrencyMultiplier,0)),0)</f>
        <v>0</v>
      </c>
      <c r="O315" s="4121">
        <f>IF('WW Plan'!$E$430="Activate",IF(AND($D$315=1,O$271&gt;'WW Plan'!$H$430),'WW Plan'!$H$433*'PIP finance'!O$3/CurrencyMultiplier,IF(AND($D$315=2,O$271&gt;='WW Plan'!$G$430,O$117&lt;'WW Plan'!$H$430+1),'WW Plan'!$H$433*'PIP finance'!O$3/CurrencyMultiplier,0)),0)</f>
        <v>0</v>
      </c>
      <c r="P315" s="4121">
        <f>IF('WW Plan'!$E$430="Activate",IF(AND($D$315=1,P$271&gt;'WW Plan'!$H$430),'WW Plan'!$H$433*'PIP finance'!P$3/CurrencyMultiplier,IF(AND($D$315=2,P$271&gt;='WW Plan'!$G$430,P$117&lt;'WW Plan'!$H$430+1),'WW Plan'!$H$433*'PIP finance'!P$3/CurrencyMultiplier,0)),0)</f>
        <v>0</v>
      </c>
    </row>
    <row r="316" spans="2:16" s="4148" customFormat="1" x14ac:dyDescent="0.25">
      <c r="B316" s="4141"/>
      <c r="C316" s="4142" t="s">
        <v>16</v>
      </c>
      <c r="D316" s="4186"/>
      <c r="E316" s="4200">
        <f>SUM(E272:E315)</f>
        <v>20.417394946263336</v>
      </c>
      <c r="F316" s="4145"/>
      <c r="G316" s="4145">
        <f t="shared" ref="G316:P316" si="36">SUM(G272:G315)</f>
        <v>0.70666666666666667</v>
      </c>
      <c r="H316" s="4145">
        <f t="shared" si="36"/>
        <v>0.72786666666666677</v>
      </c>
      <c r="I316" s="4145">
        <f t="shared" si="36"/>
        <v>0.74970266666666685</v>
      </c>
      <c r="J316" s="4145">
        <f t="shared" si="36"/>
        <v>8.9818516976666665</v>
      </c>
      <c r="K316" s="4145">
        <f t="shared" si="36"/>
        <v>9.2513072485966674</v>
      </c>
      <c r="L316" s="4145">
        <f t="shared" si="36"/>
        <v>0</v>
      </c>
      <c r="M316" s="4145">
        <f t="shared" si="36"/>
        <v>0</v>
      </c>
      <c r="N316" s="4145">
        <f t="shared" si="36"/>
        <v>0</v>
      </c>
      <c r="O316" s="4145">
        <f t="shared" si="36"/>
        <v>0</v>
      </c>
      <c r="P316" s="4145">
        <f t="shared" si="36"/>
        <v>0</v>
      </c>
    </row>
    <row r="317" spans="2:16" s="4173" customFormat="1" x14ac:dyDescent="0.25">
      <c r="B317" s="4076"/>
      <c r="C317" s="4076"/>
      <c r="D317" s="4172"/>
      <c r="E317" s="4076"/>
      <c r="F317" s="4076"/>
      <c r="G317" s="4076"/>
      <c r="H317" s="4076"/>
      <c r="I317" s="4076"/>
      <c r="J317" s="4076"/>
      <c r="K317" s="4076"/>
      <c r="L317" s="4076"/>
      <c r="M317" s="4076"/>
      <c r="N317" s="4076"/>
      <c r="O317" s="4076"/>
      <c r="P317" s="4076"/>
    </row>
    <row r="318" spans="2:16" s="4173" customFormat="1" x14ac:dyDescent="0.25">
      <c r="B318" s="4076"/>
      <c r="C318" s="4076"/>
      <c r="D318" s="4172"/>
      <c r="E318" s="4076"/>
      <c r="F318" s="4076"/>
      <c r="G318" s="4076"/>
      <c r="H318" s="4076"/>
      <c r="I318" s="4076"/>
      <c r="J318" s="4076"/>
      <c r="K318" s="4076"/>
      <c r="L318" s="4076"/>
      <c r="M318" s="4076"/>
      <c r="N318" s="4076"/>
      <c r="O318" s="4076"/>
      <c r="P318" s="4076"/>
    </row>
    <row r="319" spans="2:16" s="4179" customFormat="1" x14ac:dyDescent="0.25">
      <c r="D319" s="4180"/>
    </row>
    <row r="320" spans="2:16" s="4173" customFormat="1" x14ac:dyDescent="0.25">
      <c r="B320" s="4076"/>
      <c r="C320" s="4076"/>
      <c r="D320" s="4172"/>
      <c r="E320" s="4076"/>
      <c r="F320" s="4076"/>
      <c r="G320" s="4076"/>
      <c r="H320" s="4076"/>
      <c r="I320" s="4076"/>
      <c r="J320" s="4076"/>
      <c r="K320" s="4076"/>
      <c r="L320" s="4076"/>
      <c r="M320" s="4076"/>
      <c r="N320" s="4076"/>
      <c r="O320" s="4076"/>
      <c r="P320" s="4076"/>
    </row>
    <row r="321" spans="2:22" s="4093" customFormat="1" ht="23.25" x14ac:dyDescent="0.25">
      <c r="B321" s="4089"/>
      <c r="C321" s="4090" t="s">
        <v>86</v>
      </c>
      <c r="D321" s="4091"/>
      <c r="E321" s="4092"/>
      <c r="F321" s="4092"/>
      <c r="G321" s="4092"/>
      <c r="H321" s="4092"/>
      <c r="I321" s="4092"/>
      <c r="J321" s="4092"/>
      <c r="K321" s="4092"/>
      <c r="L321" s="4092"/>
      <c r="M321" s="4092"/>
      <c r="N321" s="4092"/>
      <c r="O321" s="4092"/>
      <c r="P321" s="4092"/>
    </row>
    <row r="322" spans="2:22" s="4097" customFormat="1" ht="21.75" thickBot="1" x14ac:dyDescent="0.3">
      <c r="B322" s="4094"/>
      <c r="C322" s="4095" t="s">
        <v>452</v>
      </c>
      <c r="D322" s="4096" t="s">
        <v>783</v>
      </c>
      <c r="E322" s="1647"/>
      <c r="F322" s="1647"/>
      <c r="G322" s="1647"/>
      <c r="H322" s="1647"/>
      <c r="I322" s="1647"/>
      <c r="J322" s="1647"/>
      <c r="K322" s="1647"/>
      <c r="L322" s="1647"/>
      <c r="M322" s="1647"/>
      <c r="N322" s="1647"/>
      <c r="O322" s="1647"/>
      <c r="P322" s="1647"/>
    </row>
    <row r="323" spans="2:22" ht="15.75" thickBot="1" x14ac:dyDescent="0.3">
      <c r="B323" s="4098" t="s">
        <v>3</v>
      </c>
      <c r="C323" s="4098" t="s">
        <v>4</v>
      </c>
      <c r="D323" s="4099" t="s">
        <v>444</v>
      </c>
      <c r="E323" s="4100" t="s">
        <v>16</v>
      </c>
      <c r="F323" s="4098">
        <f>F$7</f>
        <v>2014</v>
      </c>
      <c r="G323" s="4098">
        <f t="shared" ref="G323:P323" si="37">G$7</f>
        <v>2015</v>
      </c>
      <c r="H323" s="4098">
        <f t="shared" si="37"/>
        <v>2016</v>
      </c>
      <c r="I323" s="4098">
        <f t="shared" si="37"/>
        <v>2017</v>
      </c>
      <c r="J323" s="4098">
        <f t="shared" si="37"/>
        <v>2018</v>
      </c>
      <c r="K323" s="4098">
        <f t="shared" si="37"/>
        <v>2019</v>
      </c>
      <c r="L323" s="4098">
        <f t="shared" si="37"/>
        <v>2020</v>
      </c>
      <c r="M323" s="4098">
        <f t="shared" si="37"/>
        <v>2021</v>
      </c>
      <c r="N323" s="4098">
        <f t="shared" si="37"/>
        <v>2022</v>
      </c>
      <c r="O323" s="4098">
        <f t="shared" si="37"/>
        <v>2023</v>
      </c>
      <c r="P323" s="4098">
        <f t="shared" si="37"/>
        <v>2024</v>
      </c>
    </row>
    <row r="324" spans="2:22" x14ac:dyDescent="0.2">
      <c r="B324" s="4102" t="s">
        <v>2</v>
      </c>
      <c r="C324" s="4102" t="s">
        <v>455</v>
      </c>
      <c r="D324" s="4127"/>
      <c r="E324" s="4105"/>
      <c r="F324" s="4106"/>
      <c r="G324" s="4107">
        <f>IF('SW Plan'!$E$22="Activate",IF(AND(G$323&gt;='SW Plan'!$G$22,G$323&lt;'SW Plan'!$H$22+1),'SW Plan'!$H$24/('SW Plan'!$H$22+1-'SW Plan'!$G$22),0),0)</f>
        <v>0</v>
      </c>
      <c r="H324" s="4107">
        <f>IF('SW Plan'!$E$22="Activate",IF(AND(H$323&gt;='SW Plan'!$G$22,H$323&lt;'SW Plan'!$H$22+1),'SW Plan'!$H$24/('SW Plan'!$H$22+1-'SW Plan'!$G$22),0),0)</f>
        <v>0</v>
      </c>
      <c r="I324" s="4107">
        <f>IF('SW Plan'!$E$22="Activate",IF(AND(I$323&gt;='SW Plan'!$G$22,I$323&lt;'SW Plan'!$H$22+1),'SW Plan'!$H$24/('SW Plan'!$H$22+1-'SW Plan'!$G$22),0),0)</f>
        <v>0</v>
      </c>
      <c r="J324" s="4107">
        <f>IF('SW Plan'!$E$22="Activate",IF(AND(J$323&gt;='SW Plan'!$G$22,J$323&lt;'SW Plan'!$H$22+1),'SW Plan'!$H$24/('SW Plan'!$H$22+1-'SW Plan'!$G$22),0),0)</f>
        <v>0</v>
      </c>
      <c r="K324" s="4107">
        <f>IF('SW Plan'!$E$22="Activate",IF(AND(K$323&gt;='SW Plan'!$G$22,K$323&lt;'SW Plan'!$H$22+1),'SW Plan'!$H$24/('SW Plan'!$H$22+1-'SW Plan'!$G$22),0),0)</f>
        <v>0</v>
      </c>
      <c r="L324" s="4107">
        <f>IF('SW Plan'!$E$22="Activate",IF(AND(L$323&gt;='SW Plan'!$G$22,L$323&lt;'SW Plan'!$H$22+1),'SW Plan'!$H$24/('SW Plan'!$H$22+1-'SW Plan'!$G$22),0),0)</f>
        <v>0</v>
      </c>
      <c r="M324" s="4107">
        <f>IF('SW Plan'!$E$22="Activate",IF(AND(M$323&gt;='SW Plan'!$G$22,M$323&lt;'SW Plan'!$H$22+1),'SW Plan'!$H$24/('SW Plan'!$H$22+1-'SW Plan'!$G$22),0),0)</f>
        <v>0</v>
      </c>
      <c r="N324" s="4107">
        <f>IF('SW Plan'!$E$22="Activate",IF(AND(N$323&gt;='SW Plan'!$G$22,N$323&lt;'SW Plan'!$H$22+1),'SW Plan'!$H$24/('SW Plan'!$H$22+1-'SW Plan'!$G$22),0),0)</f>
        <v>0</v>
      </c>
      <c r="O324" s="4107">
        <f>IF('SW Plan'!$E$22="Activate",IF(AND(O$323&gt;='SW Plan'!$G$22,O$323&lt;'SW Plan'!$H$22+1),'SW Plan'!$H$24/('SW Plan'!$H$22+1-'SW Plan'!$G$22),0),0)</f>
        <v>0</v>
      </c>
      <c r="P324" s="4201">
        <f>IF('SW Plan'!$E$22="Activate",IF(AND(P$323&gt;='SW Plan'!$G$22,P$323&lt;'SW Plan'!$H$22+1),'SW Plan'!$H$24/('SW Plan'!$H$22+1-'SW Plan'!$G$22),0),0)</f>
        <v>0</v>
      </c>
      <c r="Q324" s="4181" t="s">
        <v>1374</v>
      </c>
      <c r="R324" s="4109" t="s">
        <v>1377</v>
      </c>
      <c r="S324" s="4109" t="s">
        <v>1240</v>
      </c>
      <c r="T324" s="4109" t="s">
        <v>1378</v>
      </c>
      <c r="U324" s="4109" t="s">
        <v>1277</v>
      </c>
      <c r="V324" s="4109" t="s">
        <v>1278</v>
      </c>
    </row>
    <row r="325" spans="2:22" s="4118" customFormat="1" x14ac:dyDescent="0.25">
      <c r="B325" s="4133"/>
      <c r="C325" s="1897" t="str">
        <f>'SW Plan'!F22</f>
        <v>Household survey to assess solid waste services</v>
      </c>
      <c r="D325" s="4202"/>
      <c r="E325" s="5731">
        <f>SUM($F325:$P325)</f>
        <v>0</v>
      </c>
      <c r="F325" s="4199"/>
      <c r="G325" s="4114">
        <f>(IF('SW Plan'!$E$22="Activate",IF(AND(G$323&gt;='SW Plan'!$G$22,G$323&lt;'SW Plan'!$H$22+1),G324,0),0)*Population!F$31*'SW Plan'!$H$26*G$1)/CurrencyMultiplier</f>
        <v>0</v>
      </c>
      <c r="H325" s="4114">
        <f>(IF('SW Plan'!$E$22="Activate",IF(AND(H$323&gt;='SW Plan'!$G$22,H$323&lt;'SW Plan'!$H$22+1),H324,0),0)*Population!G$31*'SW Plan'!$H$26*H$1)/CurrencyMultiplier</f>
        <v>0</v>
      </c>
      <c r="I325" s="4114">
        <f>(IF('SW Plan'!$E$22="Activate",IF(AND(I$323&gt;='SW Plan'!$G$22,I$323&lt;'SW Plan'!$H$22+1),I324,0),0)*Population!H$31*'SW Plan'!$H$26*I$1)/CurrencyMultiplier</f>
        <v>0</v>
      </c>
      <c r="J325" s="4114">
        <f>(IF('SW Plan'!$E$22="Activate",IF(AND(J$323&gt;='SW Plan'!$G$22,J$323&lt;'SW Plan'!$H$22+1),J324,0),0)*Population!I$31*'SW Plan'!$H$26*J$1)/CurrencyMultiplier</f>
        <v>0</v>
      </c>
      <c r="K325" s="4114">
        <f>(IF('SW Plan'!$E$22="Activate",IF(AND(K$323&gt;='SW Plan'!$G$22,K$323&lt;'SW Plan'!$H$22+1),K324,0),0)*Population!J$31*'SW Plan'!$H$26*K$1)/CurrencyMultiplier</f>
        <v>0</v>
      </c>
      <c r="L325" s="4114">
        <f>(IF('SW Plan'!$E$22="Activate",IF(AND(L$323&gt;='SW Plan'!$G$22,L$323&lt;'SW Plan'!$H$22+1),L324,0),0)*Population!K$31*'SW Plan'!$H$26*L$1)/CurrencyMultiplier</f>
        <v>0</v>
      </c>
      <c r="M325" s="4114">
        <f>(IF('SW Plan'!$E$22="Activate",IF(AND(M$323&gt;='SW Plan'!$G$22,M$323&lt;'SW Plan'!$H$22+1),M324,0),0)*Population!L$31*'SW Plan'!$H$26*M$1)/CurrencyMultiplier</f>
        <v>0</v>
      </c>
      <c r="N325" s="4114">
        <f>(IF('SW Plan'!$E$22="Activate",IF(AND(N$323&gt;='SW Plan'!$G$22,N$323&lt;'SW Plan'!$H$22+1),N324,0),0)*Population!M$31*'SW Plan'!$H$26*N$1)/CurrencyMultiplier</f>
        <v>0</v>
      </c>
      <c r="O325" s="4114">
        <f>(IF('SW Plan'!$E$22="Activate",IF(AND(O$323&gt;='SW Plan'!$G$22,O$323&lt;'SW Plan'!$H$22+1),O324,0),0)*Population!N$31*'SW Plan'!$H$26*O$1)/CurrencyMultiplier</f>
        <v>0</v>
      </c>
      <c r="P325" s="4114">
        <f>(IF('SW Plan'!$E$22="Activate",IF(AND(P$323&gt;='SW Plan'!$G$22,P$323&lt;'SW Plan'!$H$22+1),P324,0),0)*Population!O$31*'SW Plan'!$H$26*P$1)/CurrencyMultiplier</f>
        <v>0</v>
      </c>
      <c r="Q325" s="4115">
        <f ca="1">IFERROR(VLOOKUP(C325,'Action Plan finance'!$C$56:$AB$175,20,FALSE),0)</f>
        <v>0</v>
      </c>
      <c r="R325" s="4116">
        <f ca="1">+IFERROR(VLOOKUP(C325,'Action Plan finance'!$C$56:$AB$175,21,FALSE),0)</f>
        <v>0</v>
      </c>
      <c r="S325" s="4116">
        <f ca="1">IFERROR(VLOOKUP(C325,'Action Plan finance'!$C$56:$AB$175,22,FALSE),0)</f>
        <v>0</v>
      </c>
      <c r="T325" s="4116">
        <f ca="1">IFERROR(VLOOKUP(C325,'Action Plan finance'!$C$56:$AB$175,23,FALSE),0)</f>
        <v>0</v>
      </c>
      <c r="U325" s="4116"/>
      <c r="V325" s="4116">
        <f ca="1">IFERROR(VLOOKUP(C325,'Action Plan finance'!$C$56:$AB$175,25,FALSE),0)</f>
        <v>0</v>
      </c>
    </row>
    <row r="326" spans="2:22" x14ac:dyDescent="0.25">
      <c r="B326" s="4129"/>
      <c r="C326" s="1897" t="str">
        <f>'SW Plan'!F28</f>
        <v>Computerise solid waste records</v>
      </c>
      <c r="D326" s="4202">
        <f>'SW Plan'!H29</f>
        <v>0</v>
      </c>
      <c r="E326" s="5731">
        <f>SUM($F326:$P326)</f>
        <v>0</v>
      </c>
      <c r="F326" s="4124"/>
      <c r="G326" s="4124">
        <f>IF('SW Plan'!$E$28="Activate",IF(AND(G$323&gt;='SW Plan'!$G$28,G$323&lt;'SW Plan'!$H$28+1),$D$326/('SW Plan'!$H$28-'SW Plan'!$G$28+1),0),0)*G$1/CurrencyMultiplier</f>
        <v>0</v>
      </c>
      <c r="H326" s="4124">
        <f>IF('SW Plan'!$E$28="Activate",IF(AND(H$323&gt;='SW Plan'!$G$28,H$323&lt;'SW Plan'!$H$28+1),$D$326/('SW Plan'!$H$28-'SW Plan'!$G$28+1),0),0)*H$1/CurrencyMultiplier</f>
        <v>0</v>
      </c>
      <c r="I326" s="4124">
        <f>IF('SW Plan'!$E$28="Activate",IF(AND(I$323&gt;='SW Plan'!$G$28,I$323&lt;'SW Plan'!$H$28+1),$D$326/('SW Plan'!$H$28-'SW Plan'!$G$28+1),0),0)*I$1/CurrencyMultiplier</f>
        <v>0</v>
      </c>
      <c r="J326" s="4124">
        <f>IF('SW Plan'!$E$28="Activate",IF(AND(J$323&gt;='SW Plan'!$G$28,J$323&lt;'SW Plan'!$H$28+1),$D$326/('SW Plan'!$H$28-'SW Plan'!$G$28+1),0),0)*J$1/CurrencyMultiplier</f>
        <v>0</v>
      </c>
      <c r="K326" s="4124">
        <f>IF('SW Plan'!$E$28="Activate",IF(AND(K$323&gt;='SW Plan'!$G$28,K$323&lt;'SW Plan'!$H$28+1),$D$326/('SW Plan'!$H$28-'SW Plan'!$G$28+1),0),0)*K$1/CurrencyMultiplier</f>
        <v>0</v>
      </c>
      <c r="L326" s="4124">
        <f>IF('SW Plan'!$E$28="Activate",IF(AND(L$323&gt;='SW Plan'!$G$28,L$323&lt;'SW Plan'!$H$28+1),$D$326/('SW Plan'!$H$28-'SW Plan'!$G$28+1),0),0)*L$1/CurrencyMultiplier</f>
        <v>0</v>
      </c>
      <c r="M326" s="4124">
        <f>IF('SW Plan'!$E$28="Activate",IF(AND(M$323&gt;='SW Plan'!$G$28,M$323&lt;'SW Plan'!$H$28+1),$D$326/('SW Plan'!$H$28-'SW Plan'!$G$28+1),0),0)*M$1/CurrencyMultiplier</f>
        <v>0</v>
      </c>
      <c r="N326" s="4124">
        <f>IF('SW Plan'!$E$28="Activate",IF(AND(N$323&gt;='SW Plan'!$G$28,N$323&lt;'SW Plan'!$H$28+1),$D$326/('SW Plan'!$H$28-'SW Plan'!$G$28+1),0),0)*N$1/CurrencyMultiplier</f>
        <v>0</v>
      </c>
      <c r="O326" s="4124">
        <f>IF('SW Plan'!$E$28="Activate",IF(AND(O$323&gt;='SW Plan'!$G$28,O$323&lt;'SW Plan'!$H$28+1),$D$326/('SW Plan'!$H$28-'SW Plan'!$G$28+1),0),0)*O$1/CurrencyMultiplier</f>
        <v>0</v>
      </c>
      <c r="P326" s="4124">
        <f>IF('SW Plan'!$E$28="Activate",IF(AND(P$323&gt;='SW Plan'!$G$28,P$323&lt;'SW Plan'!$H$28+1),$D$326/('SW Plan'!$H$28-'SW Plan'!$G$28+1),0),0)*P$1/CurrencyMultiplier</f>
        <v>0</v>
      </c>
      <c r="Q326" s="4115">
        <f ca="1">IFERROR(VLOOKUP(C326,'Action Plan finance'!$C$56:$AB$175,20,FALSE),0)</f>
        <v>0</v>
      </c>
      <c r="R326" s="4116">
        <f ca="1">+IFERROR(VLOOKUP(C326,'Action Plan finance'!$C$56:$AB$175,21,FALSE),0)</f>
        <v>0</v>
      </c>
      <c r="S326" s="4116">
        <f ca="1">IFERROR(VLOOKUP(C326,'Action Plan finance'!$C$56:$AB$175,22,FALSE),0)</f>
        <v>0</v>
      </c>
      <c r="T326" s="4116">
        <f ca="1">IFERROR(VLOOKUP(C326,'Action Plan finance'!$C$56:$AB$175,23,FALSE),0)</f>
        <v>0</v>
      </c>
      <c r="U326" s="4116"/>
      <c r="V326" s="4116">
        <f ca="1">IFERROR(VLOOKUP(C326,'Action Plan finance'!$C$56:$AB$175,25,FALSE),0)</f>
        <v>0</v>
      </c>
    </row>
    <row r="327" spans="2:22" ht="30" x14ac:dyDescent="0.25">
      <c r="B327" s="4129"/>
      <c r="C327" s="1897" t="str">
        <f>'SW Plan'!F34</f>
        <v>Prepare management plan to efficiently deploy manpower and resources</v>
      </c>
      <c r="D327" s="4202"/>
      <c r="E327" s="4120"/>
      <c r="F327" s="4124"/>
      <c r="G327" s="4114"/>
      <c r="H327" s="4114"/>
      <c r="I327" s="4114"/>
      <c r="J327" s="4114"/>
      <c r="K327" s="4114"/>
      <c r="L327" s="4114"/>
      <c r="M327" s="4114"/>
      <c r="N327" s="4114"/>
      <c r="O327" s="4114"/>
      <c r="P327" s="4203"/>
      <c r="Q327" s="4115">
        <f ca="1">IFERROR(VLOOKUP(C327,'Action Plan finance'!$C$56:$AB$175,20,FALSE),0)</f>
        <v>0</v>
      </c>
      <c r="R327" s="4116">
        <f ca="1">+IFERROR(VLOOKUP(C327,'Action Plan finance'!$C$56:$AB$175,21,FALSE),0)</f>
        <v>0</v>
      </c>
      <c r="S327" s="4116">
        <f ca="1">IFERROR(VLOOKUP(C327,'Action Plan finance'!$C$56:$AB$175,22,FALSE),0)</f>
        <v>0</v>
      </c>
      <c r="T327" s="4116">
        <f ca="1">IFERROR(VLOOKUP(C327,'Action Plan finance'!$C$56:$AB$175,23,FALSE),0)</f>
        <v>0</v>
      </c>
      <c r="U327" s="4116"/>
      <c r="V327" s="4116">
        <f ca="1">IFERROR(VLOOKUP(C327,'Action Plan finance'!$C$56:$AB$175,25,FALSE),0)</f>
        <v>0</v>
      </c>
    </row>
    <row r="328" spans="2:22" ht="30" x14ac:dyDescent="0.25">
      <c r="B328" s="4129"/>
      <c r="C328" s="1897" t="str">
        <f>'SW Plan'!F38</f>
        <v>Procure equipments for street sweeping and drain cleaning</v>
      </c>
      <c r="D328" s="4202">
        <f>IF('SW Plan'!$E$38="Activate",'SW Plan'!$H$43,0)</f>
        <v>0</v>
      </c>
      <c r="E328" s="5731">
        <f>SUM($F328:$P328)</f>
        <v>0</v>
      </c>
      <c r="F328" s="4124"/>
      <c r="G328" s="4134">
        <f>IF('SW Plan'!$E$38="Activate",IF(AND(G$323&gt;='SW Plan'!$G$38,G$323&lt;'SW Plan'!$H$38+1),$D$328/('SW Plan'!$H$38-'SW Plan'!$G$38+1),0),0)*G$1/CurrencyMultiplier</f>
        <v>0</v>
      </c>
      <c r="H328" s="4134">
        <f>IF('SW Plan'!$E$38="Activate",IF(AND(H$323&gt;='SW Plan'!$G$38,H$323&lt;'SW Plan'!$H$38+1),$D$328/('SW Plan'!$H$38-'SW Plan'!$G$38+1),0),0)*H$1/CurrencyMultiplier</f>
        <v>0</v>
      </c>
      <c r="I328" s="4134">
        <f>IF('SW Plan'!$E$38="Activate",IF(AND(I$323&gt;='SW Plan'!$G$38,I$323&lt;'SW Plan'!$H$38+1),$D$328/('SW Plan'!$H$38-'SW Plan'!$G$38+1),0),0)*I$1/CurrencyMultiplier</f>
        <v>0</v>
      </c>
      <c r="J328" s="4134">
        <f>IF('SW Plan'!$E$38="Activate",IF(AND(J$323&gt;='SW Plan'!$G$38,J$323&lt;'SW Plan'!$H$38+1),$D$328/('SW Plan'!$H$38-'SW Plan'!$G$38+1),0),0)*J$1/CurrencyMultiplier</f>
        <v>0</v>
      </c>
      <c r="K328" s="4134">
        <f>IF('SW Plan'!$E$38="Activate",IF(AND(K$323&gt;='SW Plan'!$G$38,K$323&lt;'SW Plan'!$H$38+1),$D$328/('SW Plan'!$H$38-'SW Plan'!$G$38+1),0),0)*K$1/CurrencyMultiplier</f>
        <v>0</v>
      </c>
      <c r="L328" s="4134">
        <f>IF('SW Plan'!$E$38="Activate",IF(AND(L$323&gt;='SW Plan'!$G$38,L$323&lt;'SW Plan'!$H$38+1),$D$328/('SW Plan'!$H$38-'SW Plan'!$G$38+1),0),0)*L$1/CurrencyMultiplier</f>
        <v>0</v>
      </c>
      <c r="M328" s="4134">
        <f>IF('SW Plan'!$E$38="Activate",IF(AND(M$323&gt;='SW Plan'!$G$38,M$323&lt;'SW Plan'!$H$38+1),$D$328/('SW Plan'!$H$38-'SW Plan'!$G$38+1),0),0)*M$1/CurrencyMultiplier</f>
        <v>0</v>
      </c>
      <c r="N328" s="4134">
        <f>IF('SW Plan'!$E$38="Activate",IF(AND(N$323&gt;='SW Plan'!$G$38,N$323&lt;'SW Plan'!$H$38+1),$D$328/('SW Plan'!$H$38-'SW Plan'!$G$38+1),0),0)*N$1/CurrencyMultiplier</f>
        <v>0</v>
      </c>
      <c r="O328" s="4134">
        <f>IF('SW Plan'!$E$38="Activate",IF(AND(O$323&gt;='SW Plan'!$G$38,O$323&lt;'SW Plan'!$H$38+1),$D$328/('SW Plan'!$H$38-'SW Plan'!$G$38+1),0),0)*O$1/CurrencyMultiplier</f>
        <v>0</v>
      </c>
      <c r="P328" s="4134">
        <f>IF('SW Plan'!$E$38="Activate",IF(AND(P$323&gt;='SW Plan'!$G$38,P$323&lt;'SW Plan'!$H$38+1),$D$328/('SW Plan'!$H$38-'SW Plan'!$G$38+1),0),0)*P$1/CurrencyMultiplier</f>
        <v>0</v>
      </c>
      <c r="Q328" s="4115">
        <f ca="1">IFERROR(VLOOKUP(C328,'Action Plan finance'!$C$56:$AB$175,20,FALSE),0)</f>
        <v>0</v>
      </c>
      <c r="R328" s="4116">
        <f ca="1">+IFERROR(VLOOKUP(C328,'Action Plan finance'!$C$56:$AB$175,21,FALSE),0)</f>
        <v>0</v>
      </c>
      <c r="S328" s="4116">
        <f ca="1">IFERROR(VLOOKUP(C328,'Action Plan finance'!$C$56:$AB$175,22,FALSE),0)</f>
        <v>0</v>
      </c>
      <c r="T328" s="4116">
        <f ca="1">IFERROR(VLOOKUP(C328,'Action Plan finance'!$C$56:$AB$175,23,FALSE),0)</f>
        <v>0</v>
      </c>
      <c r="U328" s="4116"/>
      <c r="V328" s="4116">
        <f ca="1">IFERROR(VLOOKUP(C328,'Action Plan finance'!$C$56:$AB$175,25,FALSE),0)</f>
        <v>0</v>
      </c>
    </row>
    <row r="329" spans="2:22" s="4118" customFormat="1" ht="45" x14ac:dyDescent="0.25">
      <c r="B329" s="4133"/>
      <c r="C329" s="1897" t="str">
        <f>'SW Plan'!F45</f>
        <v xml:space="preserve">Procure equipments for door to door solid waste collection (collection bins, ghantagaadis, containerised cycle rickshaw, handcarts etc.) </v>
      </c>
      <c r="D329" s="4202">
        <f>IF('SW Plan'!$E$45="Activate",'SW Plan'!$H$47+'SW Plan'!$H$52,0)</f>
        <v>0</v>
      </c>
      <c r="E329" s="5731">
        <f>SUM($F329:$P329)</f>
        <v>0</v>
      </c>
      <c r="F329" s="4199"/>
      <c r="G329" s="4134">
        <f>(IF('SW Plan'!$E$45="Activate",IF(AND(G$323&gt;='SW Plan'!$G$46,G$323&lt;'SW Plan'!$H$46+1),'SW Plan'!$H$47/(CurrencyMultiplier*('SW Plan'!$H$46-'SW Plan'!$G$46+1)),0),0)*G$1)+(IF('SW Plan'!$E$45="Activate",IF(AND(G$323&gt;='SW Plan'!$G$49,G$323&lt;'SW Plan'!$H$49+1),'SW Plan'!$H$52/(CurrencyMultiplier*('SW Plan'!$H$49-'SW Plan'!$G$49+1)),0),0)*G$1)</f>
        <v>0</v>
      </c>
      <c r="H329" s="4134">
        <f>(IF('SW Plan'!$E$45="Activate",IF(AND(H$323&gt;='SW Plan'!$G$46,H$323&lt;'SW Plan'!$H$46+1),'SW Plan'!$H$47/(CurrencyMultiplier*('SW Plan'!$H$46-'SW Plan'!$G$46+1)),0),0)*H$1)+(IF('SW Plan'!$E$45="Activate",IF(AND(H$323&gt;='SW Plan'!$G$49,H$323&lt;'SW Plan'!$H$49+1),'SW Plan'!$H$52/(CurrencyMultiplier*('SW Plan'!$H$49-'SW Plan'!$G$49+1)),0),0)*H$1)</f>
        <v>0</v>
      </c>
      <c r="I329" s="4134">
        <f>(IF('SW Plan'!$E$45="Activate",IF(AND(I$323&gt;='SW Plan'!$G$46,I$323&lt;'SW Plan'!$H$46+1),'SW Plan'!$H$47/(CurrencyMultiplier*('SW Plan'!$H$46-'SW Plan'!$G$46+1)),0),0)*I$1)+(IF('SW Plan'!$E$45="Activate",IF(AND(I$323&gt;='SW Plan'!$G$49,I$323&lt;'SW Plan'!$H$49+1),'SW Plan'!$H$52/(CurrencyMultiplier*('SW Plan'!$H$49-'SW Plan'!$G$49+1)),0),0)*I$1)</f>
        <v>0</v>
      </c>
      <c r="J329" s="4134">
        <f>(IF('SW Plan'!$E$45="Activate",IF(AND(J$323&gt;='SW Plan'!$G$46,J$323&lt;'SW Plan'!$H$46+1),'SW Plan'!$H$47/(CurrencyMultiplier*('SW Plan'!$H$46-'SW Plan'!$G$46+1)),0),0)*J$1)+(IF('SW Plan'!$E$45="Activate",IF(AND(J$323&gt;='SW Plan'!$G$49,J$323&lt;'SW Plan'!$H$49+1),'SW Plan'!$H$52/(CurrencyMultiplier*('SW Plan'!$H$49-'SW Plan'!$G$49+1)),0),0)*J$1)</f>
        <v>0</v>
      </c>
      <c r="K329" s="4134">
        <f>(IF('SW Plan'!$E$45="Activate",IF(AND(K$323&gt;='SW Plan'!$G$46,K$323&lt;'SW Plan'!$H$46+1),'SW Plan'!$H$47/(CurrencyMultiplier*('SW Plan'!$H$46-'SW Plan'!$G$46+1)),0),0)*K$1)+(IF('SW Plan'!$E$45="Activate",IF(AND(K$323&gt;='SW Plan'!$G$49,K$323&lt;'SW Plan'!$H$49+1),'SW Plan'!$H$52/(CurrencyMultiplier*('SW Plan'!$H$49-'SW Plan'!$G$49+1)),0),0)*K$1)</f>
        <v>0</v>
      </c>
      <c r="L329" s="4134">
        <f>(IF('SW Plan'!$E$45="Activate",IF(AND(L$323&gt;='SW Plan'!$G$46,L$323&lt;'SW Plan'!$H$46+1),'SW Plan'!$H$47/(CurrencyMultiplier*('SW Plan'!$H$46-'SW Plan'!$G$46+1)),0),0)*L$1)+(IF('SW Plan'!$E$45="Activate",IF(AND(L$323&gt;='SW Plan'!$G$49,L$323&lt;'SW Plan'!$H$49+1),'SW Plan'!$H$52/(CurrencyMultiplier*('SW Plan'!$H$49-'SW Plan'!$G$49+1)),0),0)*L$1)</f>
        <v>0</v>
      </c>
      <c r="M329" s="4134">
        <f>(IF('SW Plan'!$E$45="Activate",IF(AND(M$323&gt;='SW Plan'!$G$46,M$323&lt;'SW Plan'!$H$46+1),'SW Plan'!$H$47/(CurrencyMultiplier*('SW Plan'!$H$46-'SW Plan'!$G$46+1)),0),0)*M$1)+(IF('SW Plan'!$E$45="Activate",IF(AND(M$323&gt;='SW Plan'!$G$49,M$323&lt;'SW Plan'!$H$49+1),'SW Plan'!$H$52/(CurrencyMultiplier*('SW Plan'!$H$49-'SW Plan'!$G$49+1)),0),0)*M$1)</f>
        <v>0</v>
      </c>
      <c r="N329" s="4134">
        <f>(IF('SW Plan'!$E$45="Activate",IF(AND(N$323&gt;='SW Plan'!$G$46,N$323&lt;'SW Plan'!$H$46+1),'SW Plan'!$H$47/(CurrencyMultiplier*('SW Plan'!$H$46-'SW Plan'!$G$46+1)),0),0)*N$1)+(IF('SW Plan'!$E$45="Activate",IF(AND(N$323&gt;='SW Plan'!$G$49,N$323&lt;'SW Plan'!$H$49+1),'SW Plan'!$H$52/(CurrencyMultiplier*('SW Plan'!$H$49-'SW Plan'!$G$49+1)),0),0)*N$1)</f>
        <v>0</v>
      </c>
      <c r="O329" s="4134">
        <f>(IF('SW Plan'!$E$45="Activate",IF(AND(O$323&gt;='SW Plan'!$G$46,O$323&lt;'SW Plan'!$H$46+1),'SW Plan'!$H$47/(CurrencyMultiplier*('SW Plan'!$H$46-'SW Plan'!$G$46+1)),0),0)*O$1)+(IF('SW Plan'!$E$45="Activate",IF(AND(O$323&gt;='SW Plan'!$G$49,O$323&lt;'SW Plan'!$H$49+1),'SW Plan'!$H$52/(CurrencyMultiplier*('SW Plan'!$H$49-'SW Plan'!$G$49+1)),0),0)*O$1)</f>
        <v>0</v>
      </c>
      <c r="P329" s="4134">
        <f>(IF('SW Plan'!$E$45="Activate",IF(AND(P$323&gt;='SW Plan'!$G$46,P$323&lt;'SW Plan'!$H$46+1),'SW Plan'!$H$47/(CurrencyMultiplier*('SW Plan'!$H$46-'SW Plan'!$G$46+1)),0),0)*P$1)+(IF('SW Plan'!$E$45="Activate",IF(AND(P$323&gt;='SW Plan'!$G$49,P$323&lt;'SW Plan'!$H$49+1),'SW Plan'!$H$52/(CurrencyMultiplier*('SW Plan'!$H$49-'SW Plan'!$G$49+1)),0),0)*P$1)</f>
        <v>0</v>
      </c>
      <c r="Q329" s="4115">
        <f ca="1">IFERROR(VLOOKUP(C329,'Action Plan finance'!$C$56:$AB$175,20,FALSE),0)</f>
        <v>0</v>
      </c>
      <c r="R329" s="4116">
        <f ca="1">+IFERROR(VLOOKUP(C329,'Action Plan finance'!$C$56:$AB$175,21,FALSE),0)</f>
        <v>0</v>
      </c>
      <c r="S329" s="4116">
        <f ca="1">IFERROR(VLOOKUP(C329,'Action Plan finance'!$C$56:$AB$175,22,FALSE),0)</f>
        <v>0</v>
      </c>
      <c r="T329" s="4116">
        <f ca="1">IFERROR(VLOOKUP(C329,'Action Plan finance'!$C$56:$AB$175,23,FALSE),0)</f>
        <v>0</v>
      </c>
      <c r="U329" s="4116"/>
      <c r="V329" s="4116">
        <f ca="1">IFERROR(VLOOKUP(C329,'Action Plan finance'!$C$56:$AB$175,25,FALSE),0)</f>
        <v>0</v>
      </c>
    </row>
    <row r="330" spans="2:22" ht="45" x14ac:dyDescent="0.25">
      <c r="B330" s="4129"/>
      <c r="C330" s="1897" t="str">
        <f>'SW Plan'!F54</f>
        <v>Information, education and communication (IEC) campaign for awareness of solid waste management</v>
      </c>
      <c r="D330" s="4202">
        <f>IF('SW Plan'!$E$54="Activate",'SW Plan'!$H$55,0)</f>
        <v>0</v>
      </c>
      <c r="E330" s="5731">
        <f>SUM($F330:$P330)</f>
        <v>0</v>
      </c>
      <c r="F330" s="4124"/>
      <c r="G330" s="4134">
        <f>IF('SW Plan'!$E$54="Activate",IF(AND(G$323&gt;='SW Plan'!$G$54,G$323&lt;'SW Plan'!$H$54+1),'SW Plan'!$H$55/('SW Plan'!$H$54-'SW Plan'!$G$54+1),0),0)*G$1/CurrencyMultiplier</f>
        <v>0</v>
      </c>
      <c r="H330" s="4134">
        <f>IF('SW Plan'!$E$54="Activate",IF(AND(H$323&gt;='SW Plan'!$G$54,H$323&lt;'SW Plan'!$H$54+1),'SW Plan'!$H$55/('SW Plan'!$H$54-'SW Plan'!$G$54+1),0),0)*H$1/CurrencyMultiplier</f>
        <v>0</v>
      </c>
      <c r="I330" s="4134">
        <f>IF('SW Plan'!$E$54="Activate",IF(AND(I$323&gt;='SW Plan'!$G$54,I$323&lt;'SW Plan'!$H$54+1),'SW Plan'!$H$55/('SW Plan'!$H$54-'SW Plan'!$G$54+1),0),0)*I$1/CurrencyMultiplier</f>
        <v>0</v>
      </c>
      <c r="J330" s="4134">
        <f>IF('SW Plan'!$E$54="Activate",IF(AND(J$323&gt;='SW Plan'!$G$54,J$323&lt;'SW Plan'!$H$54+1),'SW Plan'!$H$55/('SW Plan'!$H$54-'SW Plan'!$G$54+1),0),0)*J$1/CurrencyMultiplier</f>
        <v>0</v>
      </c>
      <c r="K330" s="4134">
        <f>IF('SW Plan'!$E$54="Activate",IF(AND(K$323&gt;='SW Plan'!$G$54,K$323&lt;'SW Plan'!$H$54+1),'SW Plan'!$H$55/('SW Plan'!$H$54-'SW Plan'!$G$54+1),0),0)*K$1/CurrencyMultiplier</f>
        <v>0</v>
      </c>
      <c r="L330" s="4134">
        <f>IF('SW Plan'!$E$54="Activate",IF(AND(L$323&gt;='SW Plan'!$G$54,L$323&lt;'SW Plan'!$H$54+1),'SW Plan'!$H$55/('SW Plan'!$H$54-'SW Plan'!$G$54+1),0),0)*L$1/CurrencyMultiplier</f>
        <v>0</v>
      </c>
      <c r="M330" s="4134">
        <f>IF('SW Plan'!$E$54="Activate",IF(AND(M$323&gt;='SW Plan'!$G$54,M$323&lt;'SW Plan'!$H$54+1),'SW Plan'!$H$55/('SW Plan'!$H$54-'SW Plan'!$G$54+1),0),0)*M$1/CurrencyMultiplier</f>
        <v>0</v>
      </c>
      <c r="N330" s="4134">
        <f>IF('SW Plan'!$E$54="Activate",IF(AND(N$323&gt;='SW Plan'!$G$54,N$323&lt;'SW Plan'!$H$54+1),'SW Plan'!$H$55/('SW Plan'!$H$54-'SW Plan'!$G$54+1),0),0)*N$1/CurrencyMultiplier</f>
        <v>0</v>
      </c>
      <c r="O330" s="4134">
        <f>IF('SW Plan'!$E$54="Activate",IF(AND(O$323&gt;='SW Plan'!$G$54,O$323&lt;'SW Plan'!$H$54+1),'SW Plan'!$H$55/('SW Plan'!$H$54-'SW Plan'!$G$54+1),0),0)*O$1/CurrencyMultiplier</f>
        <v>0</v>
      </c>
      <c r="P330" s="4134">
        <f>IF('SW Plan'!$E$54="Activate",IF(AND(P$323&gt;='SW Plan'!$G$54,P$323&lt;'SW Plan'!$H$54+1),'SW Plan'!$H$55/('SW Plan'!$H$54-'SW Plan'!$G$54+1),0),0)*P$1/CurrencyMultiplier</f>
        <v>0</v>
      </c>
      <c r="Q330" s="4115">
        <f ca="1">IFERROR(VLOOKUP(C330,'Action Plan finance'!$C$56:$AB$175,20,FALSE),0)</f>
        <v>0</v>
      </c>
      <c r="R330" s="4116">
        <f ca="1">+IFERROR(VLOOKUP(C330,'Action Plan finance'!$C$56:$AB$175,21,FALSE),0)</f>
        <v>0</v>
      </c>
      <c r="S330" s="4116">
        <f ca="1">IFERROR(VLOOKUP(C330,'Action Plan finance'!$C$56:$AB$175,22,FALSE),0)</f>
        <v>0</v>
      </c>
      <c r="T330" s="4116">
        <f ca="1">IFERROR(VLOOKUP(C330,'Action Plan finance'!$C$56:$AB$175,23,FALSE),0)</f>
        <v>0</v>
      </c>
      <c r="U330" s="4116"/>
      <c r="V330" s="4116">
        <f ca="1">IFERROR(VLOOKUP(C330,'Action Plan finance'!$C$56:$AB$175,25,FALSE),0)</f>
        <v>0</v>
      </c>
    </row>
    <row r="331" spans="2:22" s="4207" customFormat="1" ht="30" x14ac:dyDescent="0.25">
      <c r="B331" s="4129"/>
      <c r="C331" s="4130" t="str">
        <f>'SW Plan'!F59</f>
        <v>Employ additional staff on contract for improving solid waste service delivery</v>
      </c>
      <c r="D331" s="4202"/>
      <c r="E331" s="4120"/>
      <c r="F331" s="4206"/>
      <c r="G331" s="4134"/>
      <c r="H331" s="4134"/>
      <c r="I331" s="4134"/>
      <c r="J331" s="4134"/>
      <c r="K331" s="4134"/>
      <c r="L331" s="4134"/>
      <c r="M331" s="4134"/>
      <c r="N331" s="4134"/>
      <c r="O331" s="4134"/>
      <c r="P331" s="4205"/>
      <c r="Q331" s="4115">
        <f ca="1">IFERROR(VLOOKUP(C331,'Action Plan finance'!$C$56:$AB$175,20,FALSE),0)</f>
        <v>0</v>
      </c>
      <c r="R331" s="4116">
        <f ca="1">+IFERROR(VLOOKUP(C331,'Action Plan finance'!$C$56:$AB$175,21,FALSE),0)</f>
        <v>0</v>
      </c>
      <c r="S331" s="4116">
        <f ca="1">IFERROR(VLOOKUP(C331,'Action Plan finance'!$C$56:$AB$175,22,FALSE),0)</f>
        <v>0</v>
      </c>
      <c r="T331" s="4116">
        <f ca="1">IFERROR(VLOOKUP(C331,'Action Plan finance'!$C$56:$AB$175,23,FALSE),0)</f>
        <v>0</v>
      </c>
      <c r="U331" s="4116"/>
      <c r="V331" s="4116">
        <f ca="1">IFERROR(VLOOKUP(C331,'Action Plan finance'!$C$56:$AB$175,25,FALSE),0)</f>
        <v>0</v>
      </c>
    </row>
    <row r="332" spans="2:22" s="4207" customFormat="1" ht="30" x14ac:dyDescent="0.25">
      <c r="B332" s="4129"/>
      <c r="C332" s="4130" t="str">
        <f>'SW Plan'!F70</f>
        <v>Engage with private service providers to provide solid waste services</v>
      </c>
      <c r="D332" s="4202"/>
      <c r="E332" s="4120"/>
      <c r="F332" s="4206"/>
      <c r="G332" s="4134"/>
      <c r="H332" s="4134"/>
      <c r="I332" s="4134"/>
      <c r="J332" s="4134"/>
      <c r="K332" s="4134"/>
      <c r="L332" s="4134"/>
      <c r="M332" s="4134"/>
      <c r="N332" s="4134"/>
      <c r="O332" s="4134"/>
      <c r="P332" s="4205"/>
      <c r="Q332" s="4115">
        <f ca="1">IFERROR(VLOOKUP(C332,'Action Plan finance'!$C$56:$AB$175,20,FALSE),0)</f>
        <v>0</v>
      </c>
      <c r="R332" s="4116">
        <f ca="1">+IFERROR(VLOOKUP(C332,'Action Plan finance'!$C$56:$AB$175,21,FALSE),0)</f>
        <v>0</v>
      </c>
      <c r="S332" s="4116">
        <f ca="1">IFERROR(VLOOKUP(C332,'Action Plan finance'!$C$56:$AB$175,22,FALSE),0)</f>
        <v>0</v>
      </c>
      <c r="T332" s="4116">
        <f ca="1">IFERROR(VLOOKUP(C332,'Action Plan finance'!$C$56:$AB$175,23,FALSE),0)</f>
        <v>0</v>
      </c>
      <c r="U332" s="4116"/>
      <c r="V332" s="4116">
        <f ca="1">IFERROR(VLOOKUP(C332,'Action Plan finance'!$C$56:$AB$175,25,FALSE),0)</f>
        <v>0</v>
      </c>
    </row>
    <row r="333" spans="2:22" x14ac:dyDescent="0.25">
      <c r="B333" s="4102" t="s">
        <v>8</v>
      </c>
      <c r="C333" s="4168" t="s">
        <v>742</v>
      </c>
      <c r="D333" s="4127"/>
      <c r="E333" s="4105"/>
      <c r="F333" s="4106"/>
      <c r="G333" s="4106"/>
      <c r="H333" s="4106"/>
      <c r="I333" s="4106"/>
      <c r="J333" s="4106"/>
      <c r="K333" s="4106"/>
      <c r="L333" s="4106"/>
      <c r="M333" s="4106"/>
      <c r="N333" s="4106"/>
      <c r="O333" s="4106"/>
      <c r="P333" s="4208"/>
      <c r="Q333" s="4115">
        <f ca="1">IFERROR(VLOOKUP(C333,'Action Plan finance'!$C$56:$AB$175,20,FALSE),0)</f>
        <v>0</v>
      </c>
      <c r="R333" s="4116">
        <f ca="1">+IFERROR(VLOOKUP(C333,'Action Plan finance'!$C$56:$AB$175,21,FALSE),0)</f>
        <v>0</v>
      </c>
      <c r="S333" s="4116">
        <f ca="1">IFERROR(VLOOKUP(C333,'Action Plan finance'!$C$56:$AB$175,22,FALSE),0)</f>
        <v>0</v>
      </c>
      <c r="T333" s="4116">
        <f ca="1">IFERROR(VLOOKUP(C333,'Action Plan finance'!$C$56:$AB$175,23,FALSE),0)</f>
        <v>0</v>
      </c>
      <c r="U333" s="4116"/>
      <c r="V333" s="4116">
        <f ca="1">IFERROR(VLOOKUP(C333,'Action Plan finance'!$C$56:$AB$175,25,FALSE),0)</f>
        <v>0</v>
      </c>
    </row>
    <row r="334" spans="2:22" ht="30" x14ac:dyDescent="0.25">
      <c r="B334" s="4129"/>
      <c r="C334" s="4209" t="str">
        <f>'SW Plan'!F90</f>
        <v>Track movement of solid waste transportation vehicles to achieve optimum operational efficiency</v>
      </c>
      <c r="D334" s="4131">
        <f>IF('SW Plan'!$E$90="Activate",'SW Plan'!$H$91,0)</f>
        <v>0</v>
      </c>
      <c r="E334" s="5731">
        <f>SUM($F334:$P334)</f>
        <v>0</v>
      </c>
      <c r="F334" s="4121"/>
      <c r="G334" s="4121">
        <f>IF('SW Plan'!$E$90="Activate",IF(AND(G$323&gt;='SW Plan'!$G$90,G$323&lt;'SW Plan'!$H$90+1),'SW Plan'!$H$91/('SW Plan'!$H$90-'SW Plan'!$G$90+1),0),0)*G$1/CurrencyMultiplier</f>
        <v>0</v>
      </c>
      <c r="H334" s="4121">
        <f>IF('SW Plan'!$E$90="Activate",IF(AND(H$323&gt;='SW Plan'!$G$90,H$323&lt;'SW Plan'!$H$90+1),'SW Plan'!$H$91/('SW Plan'!$H$90-'SW Plan'!$G$90+1),0),0)*H$1/CurrencyMultiplier</f>
        <v>0</v>
      </c>
      <c r="I334" s="4121">
        <f>IF('SW Plan'!$E$90="Activate",IF(AND(I$323&gt;='SW Plan'!$G$90,I$323&lt;'SW Plan'!$H$90+1),'SW Plan'!$H$91/('SW Plan'!$H$90-'SW Plan'!$G$90+1),0),0)*I$1/CurrencyMultiplier</f>
        <v>0</v>
      </c>
      <c r="J334" s="4121">
        <f>IF('SW Plan'!$E$90="Activate",IF(AND(J$323&gt;='SW Plan'!$G$90,J$323&lt;'SW Plan'!$H$90+1),'SW Plan'!$H$91/('SW Plan'!$H$90-'SW Plan'!$G$90+1),0),0)*J$1/CurrencyMultiplier</f>
        <v>0</v>
      </c>
      <c r="K334" s="4121">
        <f>IF('SW Plan'!$E$90="Activate",IF(AND(K$323&gt;='SW Plan'!$G$90,K$323&lt;'SW Plan'!$H$90+1),'SW Plan'!$H$91/('SW Plan'!$H$90-'SW Plan'!$G$90+1),0),0)*K$1/CurrencyMultiplier</f>
        <v>0</v>
      </c>
      <c r="L334" s="4121">
        <f>IF('SW Plan'!$E$90="Activate",IF(AND(L$323&gt;='SW Plan'!$G$90,L$323&lt;'SW Plan'!$H$90+1),'SW Plan'!$H$91/('SW Plan'!$H$90-'SW Plan'!$G$90+1),0),0)*L$1/CurrencyMultiplier</f>
        <v>0</v>
      </c>
      <c r="M334" s="4121">
        <f>IF('SW Plan'!$E$90="Activate",IF(AND(M$323&gt;='SW Plan'!$G$90,M$323&lt;'SW Plan'!$H$90+1),'SW Plan'!$H$91/('SW Plan'!$H$90-'SW Plan'!$G$90+1),0),0)*M$1/CurrencyMultiplier</f>
        <v>0</v>
      </c>
      <c r="N334" s="4121">
        <f>IF('SW Plan'!$E$90="Activate",IF(AND(N$323&gt;='SW Plan'!$G$90,N$323&lt;'SW Plan'!$H$90+1),'SW Plan'!$H$91/('SW Plan'!$H$90-'SW Plan'!$G$90+1),0),0)*N$1/CurrencyMultiplier</f>
        <v>0</v>
      </c>
      <c r="O334" s="4121">
        <f>IF('SW Plan'!$E$90="Activate",IF(AND(O$323&gt;='SW Plan'!$G$90,O$323&lt;'SW Plan'!$H$90+1),'SW Plan'!$H$91/('SW Plan'!$H$90-'SW Plan'!$G$90+1),0),0)*O$1/CurrencyMultiplier</f>
        <v>0</v>
      </c>
      <c r="P334" s="4121">
        <f>IF('SW Plan'!$E$90="Activate",IF(AND(P$323&gt;='SW Plan'!$G$90,P$323&lt;'SW Plan'!$H$90+1),'SW Plan'!$H$91/('SW Plan'!$H$90-'SW Plan'!$G$90+1),0),0)*P$1/CurrencyMultiplier</f>
        <v>0</v>
      </c>
      <c r="Q334" s="4115">
        <f ca="1">IFERROR(VLOOKUP(C334,'Action Plan finance'!$C$56:$AB$175,20,FALSE),0)</f>
        <v>0</v>
      </c>
      <c r="R334" s="4116">
        <f ca="1">+IFERROR(VLOOKUP(C334,'Action Plan finance'!$C$56:$AB$175,21,FALSE),0)</f>
        <v>0</v>
      </c>
      <c r="S334" s="4116">
        <f ca="1">IFERROR(VLOOKUP(C334,'Action Plan finance'!$C$56:$AB$175,22,FALSE),0)</f>
        <v>0</v>
      </c>
      <c r="T334" s="4116">
        <f ca="1">IFERROR(VLOOKUP(C334,'Action Plan finance'!$C$56:$AB$175,23,FALSE),0)</f>
        <v>0</v>
      </c>
      <c r="U334" s="4116"/>
      <c r="V334" s="4116">
        <f ca="1">IFERROR(VLOOKUP(C334,'Action Plan finance'!$C$56:$AB$175,25,FALSE),0)</f>
        <v>0</v>
      </c>
    </row>
    <row r="335" spans="2:22" ht="30" x14ac:dyDescent="0.25">
      <c r="B335" s="4129"/>
      <c r="C335" s="4209" t="str">
        <f>'SW Plan'!F96</f>
        <v>Improve processes for maintaining daily logs of solid waste across SWM value chain</v>
      </c>
      <c r="D335" s="4131"/>
      <c r="E335" s="4120"/>
      <c r="F335" s="4121"/>
      <c r="G335" s="4121"/>
      <c r="H335" s="4121"/>
      <c r="I335" s="4121"/>
      <c r="J335" s="4121"/>
      <c r="K335" s="4121"/>
      <c r="L335" s="4121"/>
      <c r="M335" s="4121"/>
      <c r="N335" s="4121"/>
      <c r="O335" s="4121"/>
      <c r="P335" s="4210"/>
      <c r="Q335" s="4115">
        <f ca="1">IFERROR(VLOOKUP(C335,'Action Plan finance'!$C$56:$AB$175,20,FALSE),0)</f>
        <v>0</v>
      </c>
      <c r="R335" s="4116">
        <f ca="1">+IFERROR(VLOOKUP(C335,'Action Plan finance'!$C$56:$AB$175,21,FALSE),0)</f>
        <v>0</v>
      </c>
      <c r="S335" s="4116">
        <f ca="1">IFERROR(VLOOKUP(C335,'Action Plan finance'!$C$56:$AB$175,22,FALSE),0)</f>
        <v>0</v>
      </c>
      <c r="T335" s="4116">
        <f ca="1">IFERROR(VLOOKUP(C335,'Action Plan finance'!$C$56:$AB$175,23,FALSE),0)</f>
        <v>0</v>
      </c>
      <c r="U335" s="4116"/>
      <c r="V335" s="4116">
        <f ca="1">IFERROR(VLOOKUP(C335,'Action Plan finance'!$C$56:$AB$175,25,FALSE),0)</f>
        <v>0</v>
      </c>
    </row>
    <row r="336" spans="2:22" ht="30" x14ac:dyDescent="0.25">
      <c r="B336" s="4129"/>
      <c r="C336" s="4209" t="str">
        <f>'SW Plan'!F97</f>
        <v>Process for periodic estimation of recyclable material collected by recyclers</v>
      </c>
      <c r="D336" s="4131"/>
      <c r="E336" s="4120"/>
      <c r="F336" s="4121"/>
      <c r="G336" s="4121"/>
      <c r="H336" s="4121"/>
      <c r="I336" s="4121"/>
      <c r="J336" s="4121"/>
      <c r="K336" s="4121"/>
      <c r="L336" s="4121"/>
      <c r="M336" s="4121"/>
      <c r="N336" s="4121"/>
      <c r="O336" s="4121"/>
      <c r="P336" s="4210"/>
      <c r="Q336" s="4115">
        <f ca="1">IFERROR(VLOOKUP(C336,'Action Plan finance'!$C$56:$AB$175,20,FALSE),0)</f>
        <v>0</v>
      </c>
      <c r="R336" s="4116">
        <f ca="1">+IFERROR(VLOOKUP(C336,'Action Plan finance'!$C$56:$AB$175,21,FALSE),0)</f>
        <v>0</v>
      </c>
      <c r="S336" s="4116">
        <f ca="1">IFERROR(VLOOKUP(C336,'Action Plan finance'!$C$56:$AB$175,22,FALSE),0)</f>
        <v>0</v>
      </c>
      <c r="T336" s="4116">
        <f ca="1">IFERROR(VLOOKUP(C336,'Action Plan finance'!$C$56:$AB$175,23,FALSE),0)</f>
        <v>0</v>
      </c>
      <c r="U336" s="4116"/>
      <c r="V336" s="4116">
        <f ca="1">IFERROR(VLOOKUP(C336,'Action Plan finance'!$C$56:$AB$175,25,FALSE),0)</f>
        <v>0</v>
      </c>
    </row>
    <row r="337" spans="2:22" s="4207" customFormat="1" ht="30" x14ac:dyDescent="0.25">
      <c r="B337" s="4129"/>
      <c r="C337" s="1897" t="str">
        <f>'SW Plan'!F101</f>
        <v xml:space="preserve">Segregation of collection and transportation of solid waste </v>
      </c>
      <c r="D337" s="4202">
        <f>IF('SW Plan'!$E$101="Activate",'SW Plan'!$H$105,0)</f>
        <v>0</v>
      </c>
      <c r="E337" s="5731">
        <f>SUM($F337:$P337)</f>
        <v>0</v>
      </c>
      <c r="F337" s="4206"/>
      <c r="G337" s="4134">
        <f>IF('SW Plan'!$E$101="Activate",IF(AND(G$323&gt;='SW Plan'!$G$101,G$323&lt;'SW Plan'!$H$101+1),$D$337/('SW Plan'!$H$101-'SW Plan'!$G$101+1),0),0)*G$1/CurrencyMultiplier</f>
        <v>0</v>
      </c>
      <c r="H337" s="4134">
        <f>IF('SW Plan'!$E$101="Activate",IF(AND(H$323&gt;='SW Plan'!$G$101,H$323&lt;'SW Plan'!$H$101+1),$D$337/('SW Plan'!$H$101-'SW Plan'!$G$101+1),0),0)*H$1/CurrencyMultiplier</f>
        <v>0</v>
      </c>
      <c r="I337" s="4134">
        <f>IF('SW Plan'!$E$101="Activate",IF(AND(I$323&gt;='SW Plan'!$G$101,I$323&lt;'SW Plan'!$H$101+1),$D$337/('SW Plan'!$H$101-'SW Plan'!$G$101+1),0),0)*I$1/CurrencyMultiplier</f>
        <v>0</v>
      </c>
      <c r="J337" s="4134">
        <f>IF('SW Plan'!$E$101="Activate",IF(AND(J$323&gt;='SW Plan'!$G$101,J$323&lt;'SW Plan'!$H$101+1),$D$337/('SW Plan'!$H$101-'SW Plan'!$G$101+1),0),0)*J$1/CurrencyMultiplier</f>
        <v>0</v>
      </c>
      <c r="K337" s="4134">
        <f>IF('SW Plan'!$E$101="Activate",IF(AND(K$323&gt;='SW Plan'!$G$101,K$323&lt;'SW Plan'!$H$101+1),$D$337/('SW Plan'!$H$101-'SW Plan'!$G$101+1),0),0)*K$1/CurrencyMultiplier</f>
        <v>0</v>
      </c>
      <c r="L337" s="4134">
        <f>IF('SW Plan'!$E$101="Activate",IF(AND(L$323&gt;='SW Plan'!$G$101,L$323&lt;'SW Plan'!$H$101+1),$D$337/('SW Plan'!$H$101-'SW Plan'!$G$101+1),0),0)*L$1/CurrencyMultiplier</f>
        <v>0</v>
      </c>
      <c r="M337" s="4134">
        <f>IF('SW Plan'!$E$101="Activate",IF(AND(M$323&gt;='SW Plan'!$G$101,M$323&lt;'SW Plan'!$H$101+1),$D$337/('SW Plan'!$H$101-'SW Plan'!$G$101+1),0),0)*M$1/CurrencyMultiplier</f>
        <v>0</v>
      </c>
      <c r="N337" s="4134">
        <f>IF('SW Plan'!$E$101="Activate",IF(AND(N$323&gt;='SW Plan'!$G$101,N$323&lt;'SW Plan'!$H$101+1),$D$337/('SW Plan'!$H$101-'SW Plan'!$G$101+1),0),0)*N$1/CurrencyMultiplier</f>
        <v>0</v>
      </c>
      <c r="O337" s="4134">
        <f>IF('SW Plan'!$E$101="Activate",IF(AND(O$323&gt;='SW Plan'!$G$101,O$323&lt;'SW Plan'!$H$101+1),$D$337/('SW Plan'!$H$101-'SW Plan'!$G$101+1),0),0)*O$1/CurrencyMultiplier</f>
        <v>0</v>
      </c>
      <c r="P337" s="4134">
        <f>IF('SW Plan'!$E$101="Activate",IF(AND(P$323&gt;='SW Plan'!$G$101,P$323&lt;'SW Plan'!$H$101+1),$D$337/('SW Plan'!$H$101-'SW Plan'!$G$101+1),0),0)*P$1/CurrencyMultiplier</f>
        <v>0</v>
      </c>
      <c r="Q337" s="4115">
        <f ca="1">IFERROR(VLOOKUP(C337,'Action Plan finance'!$C$56:$AB$175,20,FALSE),0)</f>
        <v>0</v>
      </c>
      <c r="R337" s="4116">
        <f ca="1">+IFERROR(VLOOKUP(C337,'Action Plan finance'!$C$56:$AB$175,21,FALSE),0)</f>
        <v>0</v>
      </c>
      <c r="S337" s="4116">
        <f ca="1">IFERROR(VLOOKUP(C337,'Action Plan finance'!$C$56:$AB$175,22,FALSE),0)</f>
        <v>0</v>
      </c>
      <c r="T337" s="4116">
        <f ca="1">IFERROR(VLOOKUP(C337,'Action Plan finance'!$C$56:$AB$175,23,FALSE),0)</f>
        <v>0</v>
      </c>
      <c r="U337" s="4116"/>
      <c r="V337" s="4116">
        <f ca="1">IFERROR(VLOOKUP(C337,'Action Plan finance'!$C$56:$AB$175,25,FALSE),0)</f>
        <v>0</v>
      </c>
    </row>
    <row r="338" spans="2:22" ht="30" x14ac:dyDescent="0.25">
      <c r="B338" s="4129"/>
      <c r="C338" s="1897" t="str">
        <f>'SW Plan'!F106</f>
        <v>Improve solid waste collection through secondary storage bins</v>
      </c>
      <c r="D338" s="4131">
        <f>IF('SW Plan'!$E$106="Activate",'SW Plan'!H113*('SW Plan'!H116+'SW Plan'!H117)/CurrencyMultiplier,0)</f>
        <v>0</v>
      </c>
      <c r="E338" s="5731">
        <f t="shared" ref="E338:E344" si="38">SUM($F338:$P338)</f>
        <v>0</v>
      </c>
      <c r="F338" s="4121"/>
      <c r="G338" s="4121">
        <f>IF('SW Plan'!$E$106="Activate",IF(AND(G$323&gt;='SW Plan'!$G$106,G$323&lt;'SW Plan'!$H$106+1),$D$338/('SW Plan'!$H$106-'SW Plan'!$G$106+1),0),0)*G$1</f>
        <v>0</v>
      </c>
      <c r="H338" s="4121">
        <f>IF('SW Plan'!$E$106="Activate",IF(AND(H$323&gt;='SW Plan'!$G$106,H$323&lt;'SW Plan'!$H$106+1),$D$338/('SW Plan'!$H$106-'SW Plan'!$G$106+1),0),0)*H$1</f>
        <v>0</v>
      </c>
      <c r="I338" s="4121">
        <f>IF('SW Plan'!$E$106="Activate",IF(AND(I$323&gt;='SW Plan'!$G$106,I$323&lt;'SW Plan'!$H$106+1),$D$338/('SW Plan'!$H$106-'SW Plan'!$G$106+1),0),0)*I$1</f>
        <v>0</v>
      </c>
      <c r="J338" s="4121">
        <f>IF('SW Plan'!$E$106="Activate",IF(AND(J$323&gt;='SW Plan'!$G$106,J$323&lt;'SW Plan'!$H$106+1),$D$338/('SW Plan'!$H$106-'SW Plan'!$G$106+1),0),0)*J$1</f>
        <v>0</v>
      </c>
      <c r="K338" s="4121">
        <f>IF('SW Plan'!$E$106="Activate",IF(AND(K$323&gt;='SW Plan'!$G$106,K$323&lt;'SW Plan'!$H$106+1),$D$338/('SW Plan'!$H$106-'SW Plan'!$G$106+1),0),0)*K$1</f>
        <v>0</v>
      </c>
      <c r="L338" s="4121">
        <f>IF('SW Plan'!$E$106="Activate",IF(AND(L$323&gt;='SW Plan'!$G$106,L$323&lt;'SW Plan'!$H$106+1),$D$338/('SW Plan'!$H$106-'SW Plan'!$G$106+1),0),0)*L$1</f>
        <v>0</v>
      </c>
      <c r="M338" s="4121">
        <f>IF('SW Plan'!$E$106="Activate",IF(AND(M$323&gt;='SW Plan'!$G$106,M$323&lt;'SW Plan'!$H$106+1),$D$338/('SW Plan'!$H$106-'SW Plan'!$G$106+1),0),0)*M$1</f>
        <v>0</v>
      </c>
      <c r="N338" s="4121">
        <f>IF('SW Plan'!$E$106="Activate",IF(AND(N$323&gt;='SW Plan'!$G$106,N$323&lt;'SW Plan'!$H$106+1),$D$338/('SW Plan'!$H$106-'SW Plan'!$G$106+1),0),0)*N$1</f>
        <v>0</v>
      </c>
      <c r="O338" s="4121">
        <f>IF('SW Plan'!$E$106="Activate",IF(AND(O$323&gt;='SW Plan'!$G$106,O$323&lt;'SW Plan'!$H$106+1),$D$338/('SW Plan'!$H$106-'SW Plan'!$G$106+1),0),0)*O$1</f>
        <v>0</v>
      </c>
      <c r="P338" s="4210">
        <f>IF('SW Plan'!$E$106="Activate",IF(AND(P$323&gt;='SW Plan'!$G$106,P$323&lt;'SW Plan'!$H$106+1),$D$338/('SW Plan'!$H$106-'SW Plan'!$G$106+1),0),0)*P$1</f>
        <v>0</v>
      </c>
      <c r="Q338" s="4115">
        <f ca="1">IFERROR(VLOOKUP(C338,'Action Plan finance'!$C$56:$AB$175,20,FALSE),0)</f>
        <v>0</v>
      </c>
      <c r="R338" s="4116">
        <f ca="1">+IFERROR(VLOOKUP(C338,'Action Plan finance'!$C$56:$AB$175,21,FALSE),0)</f>
        <v>0</v>
      </c>
      <c r="S338" s="4116">
        <f ca="1">IFERROR(VLOOKUP(C338,'Action Plan finance'!$C$56:$AB$175,22,FALSE),0)</f>
        <v>0</v>
      </c>
      <c r="T338" s="4116">
        <f ca="1">IFERROR(VLOOKUP(C338,'Action Plan finance'!$C$56:$AB$175,23,FALSE),0)</f>
        <v>0</v>
      </c>
      <c r="U338" s="4116"/>
      <c r="V338" s="4116">
        <f ca="1">IFERROR(VLOOKUP(C338,'Action Plan finance'!$C$56:$AB$175,25,FALSE),0)</f>
        <v>0</v>
      </c>
    </row>
    <row r="339" spans="2:22" s="4207" customFormat="1" x14ac:dyDescent="0.25">
      <c r="B339" s="4129"/>
      <c r="C339" s="4130" t="str">
        <f>'SW Plan'!F119</f>
        <v>Install litter bins at public places</v>
      </c>
      <c r="D339" s="4202">
        <f>IF('SW Plan'!$E$119="Activate",'SW Plan'!H121*'SW Plan'!H120/CurrencyMultiplier,0)</f>
        <v>0</v>
      </c>
      <c r="E339" s="5731">
        <f t="shared" si="38"/>
        <v>0</v>
      </c>
      <c r="F339" s="4206"/>
      <c r="G339" s="4206">
        <f>IF('SW Plan'!$E$119="Activate",IF(AND(G$323&gt;='SW Plan'!$G$119,G$323&lt;'SW Plan'!$H$119+1),$D$339/('SW Plan'!$H$119-'SW Plan'!$G$119+1),0),0)*G$1</f>
        <v>0</v>
      </c>
      <c r="H339" s="4206">
        <f>IF('SW Plan'!$E$119="Activate",IF(AND(H$323&gt;='SW Plan'!$G$119,H$323&lt;'SW Plan'!$H$119+1),$D$339/('SW Plan'!$H$119-'SW Plan'!$G$119+1),0),0)*H$1</f>
        <v>0</v>
      </c>
      <c r="I339" s="4206">
        <f>IF('SW Plan'!$E$119="Activate",IF(AND(I$323&gt;='SW Plan'!$G$119,I$323&lt;'SW Plan'!$H$119+1),$D$339/('SW Plan'!$H$119-'SW Plan'!$G$119+1),0),0)*I$1</f>
        <v>0</v>
      </c>
      <c r="J339" s="4206">
        <f>IF('SW Plan'!$E$119="Activate",IF(AND(J$323&gt;='SW Plan'!$G$119,J$323&lt;'SW Plan'!$H$119+1),$D$339/('SW Plan'!$H$119-'SW Plan'!$G$119+1),0),0)*J$1</f>
        <v>0</v>
      </c>
      <c r="K339" s="4206">
        <f>IF('SW Plan'!$E$119="Activate",IF(AND(K$323&gt;='SW Plan'!$G$119,K$323&lt;'SW Plan'!$H$119+1),$D$339/('SW Plan'!$H$119-'SW Plan'!$G$119+1),0),0)*K$1</f>
        <v>0</v>
      </c>
      <c r="L339" s="4206">
        <f>IF('SW Plan'!$E$119="Activate",IF(AND(L$323&gt;='SW Plan'!$G$119,L$323&lt;'SW Plan'!$H$119+1),$D$339/('SW Plan'!$H$119-'SW Plan'!$G$119+1),0),0)*L$1</f>
        <v>0</v>
      </c>
      <c r="M339" s="4206">
        <f>IF('SW Plan'!$E$119="Activate",IF(AND(M$323&gt;='SW Plan'!$G$119,M$323&lt;'SW Plan'!$H$119+1),$D$339/('SW Plan'!$H$119-'SW Plan'!$G$119+1),0),0)*M$1</f>
        <v>0</v>
      </c>
      <c r="N339" s="4206">
        <f>IF('SW Plan'!$E$119="Activate",IF(AND(N$323&gt;='SW Plan'!$G$119,N$323&lt;'SW Plan'!$H$119+1),$D$339/('SW Plan'!$H$119-'SW Plan'!$G$119+1),0),0)*N$1</f>
        <v>0</v>
      </c>
      <c r="O339" s="4206">
        <f>IF('SW Plan'!$E$119="Activate",IF(AND(O$323&gt;='SW Plan'!$G$119,O$323&lt;'SW Plan'!$H$119+1),$D$339/('SW Plan'!$H$119-'SW Plan'!$G$119+1),0),0)*O$1</f>
        <v>0</v>
      </c>
      <c r="P339" s="4211">
        <f>IF('SW Plan'!$E$119="Activate",IF(AND(P$323&gt;='SW Plan'!$G$119,P$323&lt;'SW Plan'!$H$119+1),$D$339/('SW Plan'!$H$119-'SW Plan'!$G$119+1),0),0)*P$1</f>
        <v>0</v>
      </c>
      <c r="Q339" s="4115">
        <f ca="1">IFERROR(VLOOKUP(C339,'Action Plan finance'!$C$56:$AB$175,20,FALSE),0)</f>
        <v>0</v>
      </c>
      <c r="R339" s="4116">
        <f ca="1">+IFERROR(VLOOKUP(C339,'Action Plan finance'!$C$56:$AB$175,21,FALSE),0)</f>
        <v>0</v>
      </c>
      <c r="S339" s="4116">
        <f ca="1">IFERROR(VLOOKUP(C339,'Action Plan finance'!$C$56:$AB$175,22,FALSE),0)</f>
        <v>0</v>
      </c>
      <c r="T339" s="4116">
        <f ca="1">IFERROR(VLOOKUP(C339,'Action Plan finance'!$C$56:$AB$175,23,FALSE),0)</f>
        <v>0</v>
      </c>
      <c r="U339" s="4116"/>
      <c r="V339" s="4116">
        <f ca="1">IFERROR(VLOOKUP(C339,'Action Plan finance'!$C$56:$AB$175,25,FALSE),0)</f>
        <v>0</v>
      </c>
    </row>
    <row r="340" spans="2:22" s="4207" customFormat="1" ht="30" x14ac:dyDescent="0.25">
      <c r="B340" s="4129"/>
      <c r="C340" s="4130" t="str">
        <f>'SW Plan'!F123</f>
        <v>Improve collection efficiency of solid waste with existing vehicles</v>
      </c>
      <c r="D340" s="4202">
        <f>IF('SW Plan'!$E$123="Activate",'SW Plan'!$H$133,0)/CurrencyMultiplier</f>
        <v>0</v>
      </c>
      <c r="E340" s="5731">
        <f t="shared" si="38"/>
        <v>0</v>
      </c>
      <c r="F340" s="4206"/>
      <c r="G340" s="4206">
        <f>IF('SW Plan'!$E$123="Activate",IF(AND(G$323&gt;='SW Plan'!$G$123,G$323&lt;'SW Plan'!$H$123+1),$D$340/('SW Plan'!$H$123-'SW Plan'!$G$123+1),0),0)*G$1</f>
        <v>0</v>
      </c>
      <c r="H340" s="4206">
        <f>IF('SW Plan'!$E$123="Activate",IF(AND(H$323&gt;='SW Plan'!$G$123,H$323&lt;'SW Plan'!$H$123+1),$D$340/('SW Plan'!$H$123-'SW Plan'!$G$123+1),0),0)*H$1</f>
        <v>0</v>
      </c>
      <c r="I340" s="4206">
        <f>IF('SW Plan'!$E$123="Activate",IF(AND(I$323&gt;='SW Plan'!$G$123,I$323&lt;'SW Plan'!$H$123+1),$D$340/('SW Plan'!$H$123-'SW Plan'!$G$123+1),0),0)*I$1</f>
        <v>0</v>
      </c>
      <c r="J340" s="4206">
        <f>IF('SW Plan'!$E$123="Activate",IF(AND(J$323&gt;='SW Plan'!$G$123,J$323&lt;'SW Plan'!$H$123+1),$D$340/('SW Plan'!$H$123-'SW Plan'!$G$123+1),0),0)*J$1</f>
        <v>0</v>
      </c>
      <c r="K340" s="4206">
        <f>IF('SW Plan'!$E$123="Activate",IF(AND(K$323&gt;='SW Plan'!$G$123,K$323&lt;'SW Plan'!$H$123+1),$D$340/('SW Plan'!$H$123-'SW Plan'!$G$123+1),0),0)*K$1</f>
        <v>0</v>
      </c>
      <c r="L340" s="4206">
        <f>IF('SW Plan'!$E$123="Activate",IF(AND(L$323&gt;='SW Plan'!$G$123,L$323&lt;'SW Plan'!$H$123+1),$D$340/('SW Plan'!$H$123-'SW Plan'!$G$123+1),0),0)*L$1</f>
        <v>0</v>
      </c>
      <c r="M340" s="4206">
        <f>IF('SW Plan'!$E$123="Activate",IF(AND(M$323&gt;='SW Plan'!$G$123,M$323&lt;'SW Plan'!$H$123+1),$D$340/('SW Plan'!$H$123-'SW Plan'!$G$123+1),0),0)*M$1</f>
        <v>0</v>
      </c>
      <c r="N340" s="4206">
        <f>IF('SW Plan'!$E$123="Activate",IF(AND(N$323&gt;='SW Plan'!$G$123,N$323&lt;'SW Plan'!$H$123+1),$D$340/('SW Plan'!$H$123-'SW Plan'!$G$123+1),0),0)*N$1</f>
        <v>0</v>
      </c>
      <c r="O340" s="4206">
        <f>IF('SW Plan'!$E$123="Activate",IF(AND(O$323&gt;='SW Plan'!$G$123,O$323&lt;'SW Plan'!$H$123+1),$D$340/('SW Plan'!$H$123-'SW Plan'!$G$123+1),0),0)*O$1</f>
        <v>0</v>
      </c>
      <c r="P340" s="4211">
        <f>IF('SW Plan'!$E$123="Activate",IF(AND(P$323&gt;='SW Plan'!$G$123,P$323&lt;'SW Plan'!$H$123+1),$D$340/('SW Plan'!$H$123-'SW Plan'!$G$123+1),0),0)*P$1</f>
        <v>0</v>
      </c>
      <c r="Q340" s="4115">
        <f ca="1">IFERROR(VLOOKUP(C340,'Action Plan finance'!$C$56:$AB$175,20,FALSE),0)</f>
        <v>0</v>
      </c>
      <c r="R340" s="4116">
        <f ca="1">+IFERROR(VLOOKUP(C340,'Action Plan finance'!$C$56:$AB$175,21,FALSE),0)</f>
        <v>0</v>
      </c>
      <c r="S340" s="4116">
        <f ca="1">IFERROR(VLOOKUP(C340,'Action Plan finance'!$C$56:$AB$175,22,FALSE),0)</f>
        <v>0</v>
      </c>
      <c r="T340" s="4116">
        <f ca="1">IFERROR(VLOOKUP(C340,'Action Plan finance'!$C$56:$AB$175,23,FALSE),0)</f>
        <v>0</v>
      </c>
      <c r="U340" s="4116"/>
      <c r="V340" s="4116">
        <f ca="1">IFERROR(VLOOKUP(C340,'Action Plan finance'!$C$56:$AB$175,25,FALSE),0)</f>
        <v>0</v>
      </c>
    </row>
    <row r="341" spans="2:22" s="4207" customFormat="1" x14ac:dyDescent="0.25">
      <c r="B341" s="4129"/>
      <c r="C341" s="1897" t="str">
        <f>'SW Plan'!F135</f>
        <v>Repair existing solid waste processing plant</v>
      </c>
      <c r="D341" s="4202">
        <f>IF('SW Plan'!$E$135="Activate",'SW Plan'!H140,0)/CurrencyMultiplier</f>
        <v>0</v>
      </c>
      <c r="E341" s="5731">
        <f>SUM($F341:$P341)</f>
        <v>0</v>
      </c>
      <c r="F341" s="4206"/>
      <c r="G341" s="4206">
        <f>IF('SW Plan'!$E$135="Activate",IF(AND(G$323&gt;='SW Plan'!$G$135,G$323&lt;'SW Plan'!$H$135+1),$D$341/('SW Plan'!$H$135-'SW Plan'!$G$135+1),0),0)*G$1</f>
        <v>0</v>
      </c>
      <c r="H341" s="4206">
        <f>IF('SW Plan'!$E$135="Activate",IF(AND(H$323&gt;='SW Plan'!$G$135,H$323&lt;'SW Plan'!$H$135+1),$D$341/('SW Plan'!$H$135-'SW Plan'!$G$135+1),0),0)*H$1</f>
        <v>0</v>
      </c>
      <c r="I341" s="4206">
        <f>IF('SW Plan'!$E$135="Activate",IF(AND(I$323&gt;='SW Plan'!$G$135,I$323&lt;'SW Plan'!$H$135+1),$D$341/('SW Plan'!$H$135-'SW Plan'!$G$135+1),0),0)*I$1</f>
        <v>0</v>
      </c>
      <c r="J341" s="4206">
        <f>IF('SW Plan'!$E$135="Activate",IF(AND(J$323&gt;='SW Plan'!$G$135,J$323&lt;'SW Plan'!$H$135+1),$D$341/('SW Plan'!$H$135-'SW Plan'!$G$135+1),0),0)*J$1</f>
        <v>0</v>
      </c>
      <c r="K341" s="4206">
        <f>IF('SW Plan'!$E$135="Activate",IF(AND(K$323&gt;='SW Plan'!$G$135,K$323&lt;'SW Plan'!$H$135+1),$D$341/('SW Plan'!$H$135-'SW Plan'!$G$135+1),0),0)*K$1</f>
        <v>0</v>
      </c>
      <c r="L341" s="4206">
        <f>IF('SW Plan'!$E$135="Activate",IF(AND(L$323&gt;='SW Plan'!$G$135,L$323&lt;'SW Plan'!$H$135+1),$D$341/('SW Plan'!$H$135-'SW Plan'!$G$135+1),0),0)*L$1</f>
        <v>0</v>
      </c>
      <c r="M341" s="4206">
        <f>IF('SW Plan'!$E$135="Activate",IF(AND(M$323&gt;='SW Plan'!$G$135,M$323&lt;'SW Plan'!$H$135+1),$D$341/('SW Plan'!$H$135-'SW Plan'!$G$135+1),0),0)*M$1</f>
        <v>0</v>
      </c>
      <c r="N341" s="4206">
        <f>IF('SW Plan'!$E$135="Activate",IF(AND(N$323&gt;='SW Plan'!$G$135,N$323&lt;'SW Plan'!$H$135+1),$D$341/('SW Plan'!$H$135-'SW Plan'!$G$135+1),0),0)*N$1</f>
        <v>0</v>
      </c>
      <c r="O341" s="4206">
        <f>IF('SW Plan'!$E$135="Activate",IF(AND(O$323&gt;='SW Plan'!$G$135,O$323&lt;'SW Plan'!$H$135+1),$D$341/('SW Plan'!$H$135-'SW Plan'!$G$135+1),0),0)*O$1</f>
        <v>0</v>
      </c>
      <c r="P341" s="4211">
        <f>IF('SW Plan'!$E$135="Activate",IF(AND(P$323&gt;='SW Plan'!$G$135,P$323&lt;'SW Plan'!$H$135+1),$D$341/('SW Plan'!$H$135-'SW Plan'!$G$135+1),0),0)*P$1</f>
        <v>0</v>
      </c>
      <c r="Q341" s="4115">
        <f ca="1">IFERROR(VLOOKUP(C341,'Action Plan finance'!$C$56:$AB$175,20,FALSE),0)</f>
        <v>0</v>
      </c>
      <c r="R341" s="4116">
        <f ca="1">+IFERROR(VLOOKUP(C341,'Action Plan finance'!$C$56:$AB$175,21,FALSE),0)</f>
        <v>0</v>
      </c>
      <c r="S341" s="4116">
        <f ca="1">IFERROR(VLOOKUP(C341,'Action Plan finance'!$C$56:$AB$175,22,FALSE),0)</f>
        <v>0</v>
      </c>
      <c r="T341" s="4116">
        <f ca="1">IFERROR(VLOOKUP(C341,'Action Plan finance'!$C$56:$AB$175,23,FALSE),0)</f>
        <v>0</v>
      </c>
      <c r="U341" s="4116"/>
      <c r="V341" s="4116">
        <f ca="1">IFERROR(VLOOKUP(C341,'Action Plan finance'!$C$56:$AB$175,25,FALSE),0)</f>
        <v>0</v>
      </c>
    </row>
    <row r="342" spans="2:22" ht="30" x14ac:dyDescent="0.25">
      <c r="B342" s="4129"/>
      <c r="C342" s="1897" t="str">
        <f>'SW Plan'!F146</f>
        <v>Procure new vehicles for solid waste collection and transportation</v>
      </c>
      <c r="D342" s="4202">
        <f>IF('SW Plan'!$E$146="Activate",'SW Plan'!$H$162,0)</f>
        <v>0</v>
      </c>
      <c r="E342" s="5731">
        <f t="shared" si="38"/>
        <v>0</v>
      </c>
      <c r="F342" s="4124"/>
      <c r="G342" s="4124">
        <f>IF('SW Plan'!$E$146="Activate",IF(AND(G$323&gt;='SW Plan'!$G$146,G$323&lt;'SW Plan'!$H$146+1),'SW Plan'!$H$162/('SW Plan'!$H$146-'SW Plan'!$G$146+1),0),0)*G$1/CurrencyMultiplier</f>
        <v>0</v>
      </c>
      <c r="H342" s="4124">
        <f>IF('SW Plan'!$E$146="Activate",IF(AND(H$323&gt;='SW Plan'!$G$146,H$323&lt;'SW Plan'!$H$146+1),'SW Plan'!$H$162/('SW Plan'!$H$146-'SW Plan'!$G$146+1),0),0)*H$1/CurrencyMultiplier</f>
        <v>0</v>
      </c>
      <c r="I342" s="4124">
        <f>IF('SW Plan'!$E$146="Activate",IF(AND(I$323&gt;='SW Plan'!$G$146,I$323&lt;'SW Plan'!$H$146+1),'SW Plan'!$H$162/('SW Plan'!$H$146-'SW Plan'!$G$146+1),0),0)*I$1/CurrencyMultiplier</f>
        <v>0</v>
      </c>
      <c r="J342" s="4124">
        <f>IF('SW Plan'!$E$146="Activate",IF(AND(J$323&gt;='SW Plan'!$G$146,J$323&lt;'SW Plan'!$H$146+1),'SW Plan'!$H$162/('SW Plan'!$H$146-'SW Plan'!$G$146+1),0),0)*J$1/CurrencyMultiplier</f>
        <v>0</v>
      </c>
      <c r="K342" s="4124">
        <f>IF('SW Plan'!$E$146="Activate",IF(AND(K$323&gt;='SW Plan'!$G$146,K$323&lt;'SW Plan'!$H$146+1),'SW Plan'!$H$162/('SW Plan'!$H$146-'SW Plan'!$G$146+1),0),0)*K$1/CurrencyMultiplier</f>
        <v>0</v>
      </c>
      <c r="L342" s="4124">
        <f>IF('SW Plan'!$E$146="Activate",IF(AND(L$323&gt;='SW Plan'!$G$146,L$323&lt;'SW Plan'!$H$146+1),'SW Plan'!$H$162/('SW Plan'!$H$146-'SW Plan'!$G$146+1),0),0)*L$1/CurrencyMultiplier</f>
        <v>0</v>
      </c>
      <c r="M342" s="4124">
        <f>IF('SW Plan'!$E$146="Activate",IF(AND(M$323&gt;='SW Plan'!$G$146,M$323&lt;'SW Plan'!$H$146+1),'SW Plan'!$H$162/('SW Plan'!$H$146-'SW Plan'!$G$146+1),0),0)*M$1/CurrencyMultiplier</f>
        <v>0</v>
      </c>
      <c r="N342" s="4124">
        <f>IF('SW Plan'!$E$146="Activate",IF(AND(N$323&gt;='SW Plan'!$G$146,N$323&lt;'SW Plan'!$H$146+1),'SW Plan'!$H$162/('SW Plan'!$H$146-'SW Plan'!$G$146+1),0),0)*N$1/CurrencyMultiplier</f>
        <v>0</v>
      </c>
      <c r="O342" s="4124">
        <f>IF('SW Plan'!$E$146="Activate",IF(AND(O$323&gt;='SW Plan'!$G$146,O$323&lt;'SW Plan'!$H$146+1),'SW Plan'!$H$162/('SW Plan'!$H$146-'SW Plan'!$G$146+1),0),0)*O$1/CurrencyMultiplier</f>
        <v>0</v>
      </c>
      <c r="P342" s="4124">
        <f>IF('SW Plan'!$E$146="Activate",IF(AND(P$323&gt;='SW Plan'!$G$146,P$323&lt;'SW Plan'!$H$146+1),'SW Plan'!$H$162/('SW Plan'!$H$146-'SW Plan'!$G$146+1),0),0)*P$1/CurrencyMultiplier</f>
        <v>0</v>
      </c>
      <c r="Q342" s="4115">
        <f ca="1">IFERROR(VLOOKUP(C342,'Action Plan finance'!$C$56:$AB$175,20,FALSE),0)</f>
        <v>0</v>
      </c>
      <c r="R342" s="4116">
        <f ca="1">+IFERROR(VLOOKUP(C342,'Action Plan finance'!$C$56:$AB$175,21,FALSE),0)</f>
        <v>0</v>
      </c>
      <c r="S342" s="4116">
        <f ca="1">IFERROR(VLOOKUP(C342,'Action Plan finance'!$C$56:$AB$175,22,FALSE),0)</f>
        <v>0</v>
      </c>
      <c r="T342" s="4116">
        <f ca="1">IFERROR(VLOOKUP(C342,'Action Plan finance'!$C$56:$AB$175,23,FALSE),0)</f>
        <v>0</v>
      </c>
      <c r="U342" s="4116"/>
      <c r="V342" s="4116">
        <f ca="1">IFERROR(VLOOKUP(C342,'Action Plan finance'!$C$56:$AB$175,25,FALSE),0)</f>
        <v>0</v>
      </c>
    </row>
    <row r="343" spans="2:22" x14ac:dyDescent="0.25">
      <c r="B343" s="4129"/>
      <c r="C343" s="4212" t="str">
        <f>'SW Plan'!F164</f>
        <v>Construct new solid waste transfer station</v>
      </c>
      <c r="D343" s="4202">
        <f>IF('SW Plan'!$E$164="Activate",'SW Plan'!H169*'SW Plan'!H167,0)</f>
        <v>0</v>
      </c>
      <c r="E343" s="5731">
        <f t="shared" si="38"/>
        <v>0</v>
      </c>
      <c r="F343" s="4124"/>
      <c r="G343" s="4124">
        <f>IF('SW Plan'!$E$164="Activate",IF(AND(G$323&gt;='SW Plan'!$G$164,G$323&lt;'SW Plan'!$H$164+1),$D$343/('SW Plan'!$H$164-'SW Plan'!$G$164+1),0),0)*G$1/CurrencyMultiplier</f>
        <v>0</v>
      </c>
      <c r="H343" s="4124">
        <f>IF('SW Plan'!$E$164="Activate",IF(AND(H$323&gt;='SW Plan'!$G$164,H$323&lt;'SW Plan'!$H$164+1),$D$343/('SW Plan'!$H$164-'SW Plan'!$G$164+1),0),0)*H$1/CurrencyMultiplier</f>
        <v>0</v>
      </c>
      <c r="I343" s="4124">
        <f>IF('SW Plan'!$E$164="Activate",IF(AND(I$323&gt;='SW Plan'!$G$164,I$323&lt;'SW Plan'!$H$164+1),$D$343/('SW Plan'!$H$164-'SW Plan'!$G$164+1),0),0)*I$1/CurrencyMultiplier</f>
        <v>0</v>
      </c>
      <c r="J343" s="4124">
        <f>IF('SW Plan'!$E$164="Activate",IF(AND(J$323&gt;='SW Plan'!$G$164,J$323&lt;'SW Plan'!$H$164+1),$D$343/('SW Plan'!$H$164-'SW Plan'!$G$164+1),0),0)*J$1/CurrencyMultiplier</f>
        <v>0</v>
      </c>
      <c r="K343" s="4124">
        <f>IF('SW Plan'!$E$164="Activate",IF(AND(K$323&gt;='SW Plan'!$G$164,K$323&lt;'SW Plan'!$H$164+1),$D$343/('SW Plan'!$H$164-'SW Plan'!$G$164+1),0),0)*K$1/CurrencyMultiplier</f>
        <v>0</v>
      </c>
      <c r="L343" s="4124">
        <f>IF('SW Plan'!$E$164="Activate",IF(AND(L$323&gt;='SW Plan'!$G$164,L$323&lt;'SW Plan'!$H$164+1),$D$343/('SW Plan'!$H$164-'SW Plan'!$G$164+1),0),0)*L$1/CurrencyMultiplier</f>
        <v>0</v>
      </c>
      <c r="M343" s="4124">
        <f>IF('SW Plan'!$E$164="Activate",IF(AND(M$323&gt;='SW Plan'!$G$164,M$323&lt;'SW Plan'!$H$164+1),$D$343/('SW Plan'!$H$164-'SW Plan'!$G$164+1),0),0)*M$1/CurrencyMultiplier</f>
        <v>0</v>
      </c>
      <c r="N343" s="4124">
        <f>IF('SW Plan'!$E$164="Activate",IF(AND(N$323&gt;='SW Plan'!$G$164,N$323&lt;'SW Plan'!$H$164+1),$D$343/('SW Plan'!$H$164-'SW Plan'!$G$164+1),0),0)*N$1/CurrencyMultiplier</f>
        <v>0</v>
      </c>
      <c r="O343" s="4124">
        <f>IF('SW Plan'!$E$164="Activate",IF(AND(O$323&gt;='SW Plan'!$G$164,O$323&lt;'SW Plan'!$H$164+1),$D$343/('SW Plan'!$H$164-'SW Plan'!$G$164+1),0),0)*O$1/CurrencyMultiplier</f>
        <v>0</v>
      </c>
      <c r="P343" s="4124">
        <f>IF('SW Plan'!$E$164="Activate",IF(AND(P$323&gt;='SW Plan'!$G$164,P$323&lt;'SW Plan'!$H$164+1),$D$343/('SW Plan'!$H$164-'SW Plan'!$G$164+1),0),0)*P$1/CurrencyMultiplier</f>
        <v>0</v>
      </c>
      <c r="Q343" s="4115">
        <f ca="1">IFERROR(VLOOKUP(C343,'Action Plan finance'!$C$56:$AB$175,20,FALSE),0)</f>
        <v>0</v>
      </c>
      <c r="R343" s="4116">
        <f ca="1">+IFERROR(VLOOKUP(C343,'Action Plan finance'!$C$56:$AB$175,21,FALSE),0)</f>
        <v>0</v>
      </c>
      <c r="S343" s="4116">
        <f ca="1">IFERROR(VLOOKUP(C343,'Action Plan finance'!$C$56:$AB$175,22,FALSE),0)</f>
        <v>0</v>
      </c>
      <c r="T343" s="4116">
        <f ca="1">IFERROR(VLOOKUP(C343,'Action Plan finance'!$C$56:$AB$175,23,FALSE),0)</f>
        <v>0</v>
      </c>
      <c r="U343" s="4116"/>
      <c r="V343" s="4116">
        <f ca="1">IFERROR(VLOOKUP(C343,'Action Plan finance'!$C$56:$AB$175,25,FALSE),0)</f>
        <v>0</v>
      </c>
    </row>
    <row r="344" spans="2:22" ht="30" x14ac:dyDescent="0.25">
      <c r="B344" s="4129"/>
      <c r="C344" s="1897" t="str">
        <f>'SW Plan'!F171</f>
        <v>Install weigh bridges to quantify solid waste collected and transported</v>
      </c>
      <c r="D344" s="4202">
        <f>IF('SW Plan'!$E$171="Activate",'SW Plan'!H173*'SW Plan'!H172,0)/CurrencyMultiplier</f>
        <v>0</v>
      </c>
      <c r="E344" s="5731">
        <f t="shared" si="38"/>
        <v>0</v>
      </c>
      <c r="F344" s="4124"/>
      <c r="G344" s="4124">
        <f>IF('SW Plan'!$E$171="Activate",IF(AND(G$323&gt;='SW Plan'!$G$171,G$323&lt;'SW Plan'!$H$171+1),$D$344/('SW Plan'!$H$171-'SW Plan'!$G$171+1),0),0)*G$1</f>
        <v>0</v>
      </c>
      <c r="H344" s="4124">
        <f>IF('SW Plan'!$E$171="Activate",IF(AND(H$323&gt;='SW Plan'!$G$171,H$323&lt;'SW Plan'!$H$171+1),$D$344/('SW Plan'!$H$171-'SW Plan'!$G$171+1),0),0)*H$1</f>
        <v>0</v>
      </c>
      <c r="I344" s="4124">
        <f>IF('SW Plan'!$E$171="Activate",IF(AND(I$323&gt;='SW Plan'!$G$171,I$323&lt;'SW Plan'!$H$171+1),$D$344/('SW Plan'!$H$171-'SW Plan'!$G$171+1),0),0)*I$1</f>
        <v>0</v>
      </c>
      <c r="J344" s="4124">
        <f>IF('SW Plan'!$E$171="Activate",IF(AND(J$323&gt;='SW Plan'!$G$171,J$323&lt;'SW Plan'!$H$171+1),$D$344/('SW Plan'!$H$171-'SW Plan'!$G$171+1),0),0)*J$1</f>
        <v>0</v>
      </c>
      <c r="K344" s="4124">
        <f>IF('SW Plan'!$E$171="Activate",IF(AND(K$323&gt;='SW Plan'!$G$171,K$323&lt;'SW Plan'!$H$171+1),$D$344/('SW Plan'!$H$171-'SW Plan'!$G$171+1),0),0)*K$1</f>
        <v>0</v>
      </c>
      <c r="L344" s="4124">
        <f>IF('SW Plan'!$E$171="Activate",IF(AND(L$323&gt;='SW Plan'!$G$171,L$323&lt;'SW Plan'!$H$171+1),$D$344/('SW Plan'!$H$171-'SW Plan'!$G$171+1),0),0)*L$1</f>
        <v>0</v>
      </c>
      <c r="M344" s="4124">
        <f>IF('SW Plan'!$E$171="Activate",IF(AND(M$323&gt;='SW Plan'!$G$171,M$323&lt;'SW Plan'!$H$171+1),$D$344/('SW Plan'!$H$171-'SW Plan'!$G$171+1),0),0)*M$1</f>
        <v>0</v>
      </c>
      <c r="N344" s="4124">
        <f>IF('SW Plan'!$E$171="Activate",IF(AND(N$323&gt;='SW Plan'!$G$171,N$323&lt;'SW Plan'!$H$171+1),$D$344/('SW Plan'!$H$171-'SW Plan'!$G$171+1),0),0)*N$1</f>
        <v>0</v>
      </c>
      <c r="O344" s="4124">
        <f>IF('SW Plan'!$E$171="Activate",IF(AND(O$323&gt;='SW Plan'!$G$171,O$323&lt;'SW Plan'!$H$171+1),$D$344/('SW Plan'!$H$171-'SW Plan'!$G$171+1),0),0)*O$1</f>
        <v>0</v>
      </c>
      <c r="P344" s="4204">
        <f>IF('SW Plan'!$E$171="Activate",IF(AND(P$323&gt;='SW Plan'!$G$171,P$323&lt;'SW Plan'!$H$171+1),$D$344/('SW Plan'!$H$171-'SW Plan'!$G$171+1),0),0)*P$1</f>
        <v>0</v>
      </c>
      <c r="Q344" s="4115">
        <f ca="1">IFERROR(VLOOKUP(C344,'Action Plan finance'!$C$56:$AB$175,20,FALSE),0)</f>
        <v>0</v>
      </c>
      <c r="R344" s="4116">
        <f ca="1">+IFERROR(VLOOKUP(C344,'Action Plan finance'!$C$56:$AB$175,21,FALSE),0)</f>
        <v>0</v>
      </c>
      <c r="S344" s="4116">
        <f ca="1">IFERROR(VLOOKUP(C344,'Action Plan finance'!$C$56:$AB$175,22,FALSE),0)</f>
        <v>0</v>
      </c>
      <c r="T344" s="4116">
        <f ca="1">IFERROR(VLOOKUP(C344,'Action Plan finance'!$C$56:$AB$175,23,FALSE),0)</f>
        <v>0</v>
      </c>
      <c r="U344" s="4116"/>
      <c r="V344" s="4116">
        <f ca="1">IFERROR(VLOOKUP(C344,'Action Plan finance'!$C$56:$AB$175,25,FALSE),0)</f>
        <v>0</v>
      </c>
    </row>
    <row r="345" spans="2:22" x14ac:dyDescent="0.25">
      <c r="B345" s="4129"/>
      <c r="C345" s="1897" t="str">
        <f>'SW Plan'!F175</f>
        <v>Construct new solid waste processing plant</v>
      </c>
      <c r="D345" s="4202">
        <f>IF('SW Plan'!$E$175="Activate",'SW Plan'!H184*'SW Plan'!H177,0)/CurrencyMultiplier</f>
        <v>0</v>
      </c>
      <c r="E345" s="4120">
        <f>SUM($F345:$P345)</f>
        <v>0</v>
      </c>
      <c r="F345" s="4124"/>
      <c r="G345" s="4124">
        <f>IF('SW Plan'!$E$175="Activate",IF(AND(G$323&gt;='SW Plan'!$G$175,G$323&lt;'SW Plan'!$H$175+1),$D$345/('SW Plan'!$H$175-'SW Plan'!$G$175+1),0),0)*G$1</f>
        <v>0</v>
      </c>
      <c r="H345" s="4124">
        <f>IF('SW Plan'!$E$175="Activate",IF(AND(H$323&gt;='SW Plan'!$G$175,H$323&lt;'SW Plan'!$H$175+1),$D$345/('SW Plan'!$H$175-'SW Plan'!$G$175+1),0),0)*H$1</f>
        <v>0</v>
      </c>
      <c r="I345" s="4124">
        <f>IF('SW Plan'!$E$175="Activate",IF(AND(I$323&gt;='SW Plan'!$G$175,I$323&lt;'SW Plan'!$H$175+1),$D$345/('SW Plan'!$H$175-'SW Plan'!$G$175+1),0),0)*I$1</f>
        <v>0</v>
      </c>
      <c r="J345" s="4124">
        <f>IF('SW Plan'!$E$175="Activate",IF(AND(J$323&gt;='SW Plan'!$G$175,J$323&lt;'SW Plan'!$H$175+1),$D$345/('SW Plan'!$H$175-'SW Plan'!$G$175+1),0),0)*J$1</f>
        <v>0</v>
      </c>
      <c r="K345" s="4124">
        <f>IF('SW Plan'!$E$175="Activate",IF(AND(K$323&gt;='SW Plan'!$G$175,K$323&lt;'SW Plan'!$H$175+1),$D$345/('SW Plan'!$H$175-'SW Plan'!$G$175+1),0),0)*K$1</f>
        <v>0</v>
      </c>
      <c r="L345" s="4124">
        <f>IF('SW Plan'!$E$175="Activate",IF(AND(L$323&gt;='SW Plan'!$G$175,L$323&lt;'SW Plan'!$H$175+1),$D$345/('SW Plan'!$H$175-'SW Plan'!$G$175+1),0),0)*L$1</f>
        <v>0</v>
      </c>
      <c r="M345" s="4124">
        <f>IF('SW Plan'!$E$175="Activate",IF(AND(M$323&gt;='SW Plan'!$G$175,M$323&lt;'SW Plan'!$H$175+1),$D$345/('SW Plan'!$H$175-'SW Plan'!$G$175+1),0),0)*M$1</f>
        <v>0</v>
      </c>
      <c r="N345" s="4124">
        <f>IF('SW Plan'!$E$175="Activate",IF(AND(N$323&gt;='SW Plan'!$G$175,N$323&lt;'SW Plan'!$H$175+1),$D$345/('SW Plan'!$H$175-'SW Plan'!$G$175+1),0),0)*N$1</f>
        <v>0</v>
      </c>
      <c r="O345" s="4124">
        <f>IF('SW Plan'!$E$175="Activate",IF(AND(O$323&gt;='SW Plan'!$G$175,O$323&lt;'SW Plan'!$H$175+1),$D$345/('SW Plan'!$H$175-'SW Plan'!$G$175+1),0),0)*O$1</f>
        <v>0</v>
      </c>
      <c r="P345" s="4204">
        <f>IF('SW Plan'!$E$175="Activate",IF(AND(P$323&gt;='SW Plan'!$G$175,P$323&lt;'SW Plan'!$H$175+1),$D$345/('SW Plan'!$H$175-'SW Plan'!$G$175+1),0),0)*P$1</f>
        <v>0</v>
      </c>
      <c r="Q345" s="4115">
        <f ca="1">IFERROR(VLOOKUP(C345,'Action Plan finance'!$C$56:$AB$175,20,FALSE),0)</f>
        <v>0</v>
      </c>
      <c r="R345" s="4116">
        <f ca="1">+IFERROR(VLOOKUP(C345,'Action Plan finance'!$C$56:$AB$175,21,FALSE),0)</f>
        <v>0</v>
      </c>
      <c r="S345" s="4116">
        <f ca="1">IFERROR(VLOOKUP(C345,'Action Plan finance'!$C$56:$AB$175,22,FALSE),0)</f>
        <v>0</v>
      </c>
      <c r="T345" s="4116">
        <f ca="1">IFERROR(VLOOKUP(C345,'Action Plan finance'!$C$56:$AB$175,23,FALSE),0)</f>
        <v>0</v>
      </c>
      <c r="U345" s="4116"/>
      <c r="V345" s="4116">
        <f ca="1">IFERROR(VLOOKUP(C345,'Action Plan finance'!$C$56:$AB$175,25,FALSE),0)</f>
        <v>0</v>
      </c>
    </row>
    <row r="346" spans="2:22" x14ac:dyDescent="0.25">
      <c r="B346" s="4102" t="s">
        <v>10</v>
      </c>
      <c r="C346" s="4168" t="s">
        <v>743</v>
      </c>
      <c r="D346" s="4127"/>
      <c r="E346" s="4105"/>
      <c r="F346" s="4106"/>
      <c r="G346" s="4106"/>
      <c r="H346" s="4106"/>
      <c r="I346" s="4106"/>
      <c r="J346" s="4106"/>
      <c r="K346" s="4106"/>
      <c r="L346" s="4106"/>
      <c r="M346" s="4106"/>
      <c r="N346" s="4106"/>
      <c r="O346" s="4106"/>
      <c r="P346" s="4208"/>
      <c r="Q346" s="4115">
        <f ca="1">IFERROR(VLOOKUP(C346,'Action Plan finance'!$C$56:$AB$175,20,FALSE),0)</f>
        <v>0</v>
      </c>
      <c r="R346" s="4116">
        <f ca="1">+IFERROR(VLOOKUP(C346,'Action Plan finance'!$C$56:$AB$175,21,FALSE),0)</f>
        <v>0</v>
      </c>
      <c r="S346" s="4116">
        <f ca="1">IFERROR(VLOOKUP(C346,'Action Plan finance'!$C$56:$AB$175,22,FALSE),0)</f>
        <v>0</v>
      </c>
      <c r="T346" s="4116">
        <f ca="1">IFERROR(VLOOKUP(C346,'Action Plan finance'!$C$56:$AB$175,23,FALSE),0)</f>
        <v>0</v>
      </c>
      <c r="U346" s="4116"/>
      <c r="V346" s="4116">
        <f ca="1">IFERROR(VLOOKUP(C346,'Action Plan finance'!$C$56:$AB$175,25,FALSE),0)</f>
        <v>0</v>
      </c>
    </row>
    <row r="347" spans="2:22" s="4207" customFormat="1" ht="30" x14ac:dyDescent="0.25">
      <c r="B347" s="4129"/>
      <c r="C347" s="4209" t="str">
        <f>'SW Plan'!F195</f>
        <v>Improve processes for management of consumer complaints</v>
      </c>
      <c r="D347" s="4202"/>
      <c r="E347" s="4120"/>
      <c r="F347" s="4206"/>
      <c r="G347" s="4206"/>
      <c r="H347" s="4206"/>
      <c r="I347" s="4206"/>
      <c r="J347" s="4206"/>
      <c r="K347" s="4206"/>
      <c r="L347" s="4206"/>
      <c r="M347" s="4206"/>
      <c r="N347" s="4206"/>
      <c r="O347" s="4206"/>
      <c r="P347" s="4211"/>
      <c r="Q347" s="4115">
        <f ca="1">IFERROR(VLOOKUP(C347,'Action Plan finance'!$C$56:$AB$175,20,FALSE),0)</f>
        <v>0</v>
      </c>
      <c r="R347" s="4116">
        <f ca="1">+IFERROR(VLOOKUP(C347,'Action Plan finance'!$C$56:$AB$175,21,FALSE),0)</f>
        <v>0</v>
      </c>
      <c r="S347" s="4116">
        <f ca="1">IFERROR(VLOOKUP(C347,'Action Plan finance'!$C$56:$AB$175,22,FALSE),0)</f>
        <v>0</v>
      </c>
      <c r="T347" s="4116">
        <f ca="1">IFERROR(VLOOKUP(C347,'Action Plan finance'!$C$56:$AB$175,23,FALSE),0)</f>
        <v>0</v>
      </c>
      <c r="U347" s="4116"/>
      <c r="V347" s="4116">
        <f ca="1">IFERROR(VLOOKUP(C347,'Action Plan finance'!$C$56:$AB$175,25,FALSE),0)</f>
        <v>0</v>
      </c>
    </row>
    <row r="348" spans="2:22" s="4207" customFormat="1" ht="30" x14ac:dyDescent="0.25">
      <c r="B348" s="4129"/>
      <c r="C348" s="4209" t="str">
        <f>'SW Plan'!F196</f>
        <v>Process for allotment of government land for processing and disposal of solid waste</v>
      </c>
      <c r="D348" s="4202"/>
      <c r="E348" s="4120"/>
      <c r="F348" s="4206"/>
      <c r="G348" s="4206"/>
      <c r="H348" s="4206"/>
      <c r="I348" s="4206"/>
      <c r="J348" s="4206"/>
      <c r="K348" s="4206"/>
      <c r="L348" s="4206"/>
      <c r="M348" s="4206"/>
      <c r="N348" s="4206"/>
      <c r="O348" s="4206"/>
      <c r="P348" s="4211"/>
      <c r="Q348" s="4115">
        <f ca="1">IFERROR(VLOOKUP(C348,'Action Plan finance'!$C$56:$AB$175,20,FALSE),0)</f>
        <v>0</v>
      </c>
      <c r="R348" s="4116">
        <f ca="1">+IFERROR(VLOOKUP(C348,'Action Plan finance'!$C$56:$AB$175,21,FALSE),0)</f>
        <v>0</v>
      </c>
      <c r="S348" s="4116">
        <f ca="1">IFERROR(VLOOKUP(C348,'Action Plan finance'!$C$56:$AB$175,22,FALSE),0)</f>
        <v>0</v>
      </c>
      <c r="T348" s="4116">
        <f ca="1">IFERROR(VLOOKUP(C348,'Action Plan finance'!$C$56:$AB$175,23,FALSE),0)</f>
        <v>0</v>
      </c>
      <c r="U348" s="4116"/>
      <c r="V348" s="4116">
        <f ca="1">IFERROR(VLOOKUP(C348,'Action Plan finance'!$C$56:$AB$175,25,FALSE),0)</f>
        <v>0</v>
      </c>
    </row>
    <row r="349" spans="2:22" s="4207" customFormat="1" ht="30" x14ac:dyDescent="0.25">
      <c r="B349" s="4129"/>
      <c r="C349" s="4209" t="str">
        <f>'SW Plan'!F197</f>
        <v xml:space="preserve">Process to obtain authorisation from concerned authorities and furnish annual report of compliance </v>
      </c>
      <c r="D349" s="4202"/>
      <c r="E349" s="4120"/>
      <c r="F349" s="4206"/>
      <c r="G349" s="4206"/>
      <c r="H349" s="4206"/>
      <c r="I349" s="4206"/>
      <c r="J349" s="4206"/>
      <c r="K349" s="4206"/>
      <c r="L349" s="4206"/>
      <c r="M349" s="4206"/>
      <c r="N349" s="4206"/>
      <c r="O349" s="4206"/>
      <c r="P349" s="4211"/>
      <c r="Q349" s="4115">
        <f ca="1">IFERROR(VLOOKUP(C349,'Action Plan finance'!$C$56:$AB$175,20,FALSE),0)</f>
        <v>0</v>
      </c>
      <c r="R349" s="4116">
        <f ca="1">+IFERROR(VLOOKUP(C349,'Action Plan finance'!$C$56:$AB$175,21,FALSE),0)</f>
        <v>0</v>
      </c>
      <c r="S349" s="4116">
        <f ca="1">IFERROR(VLOOKUP(C349,'Action Plan finance'!$C$56:$AB$175,22,FALSE),0)</f>
        <v>0</v>
      </c>
      <c r="T349" s="4116">
        <f ca="1">IFERROR(VLOOKUP(C349,'Action Plan finance'!$C$56:$AB$175,23,FALSE),0)</f>
        <v>0</v>
      </c>
      <c r="U349" s="4116"/>
      <c r="V349" s="4116">
        <f ca="1">IFERROR(VLOOKUP(C349,'Action Plan finance'!$C$56:$AB$175,25,FALSE),0)</f>
        <v>0</v>
      </c>
    </row>
    <row r="350" spans="2:22" s="4207" customFormat="1" ht="30" x14ac:dyDescent="0.25">
      <c r="B350" s="4129"/>
      <c r="C350" s="4209" t="str">
        <f>'SW Plan'!F198</f>
        <v>Review of operating practices at scientific landfill sites to ensure compliance with MSW Rules 2000</v>
      </c>
      <c r="D350" s="4202"/>
      <c r="E350" s="4120"/>
      <c r="F350" s="4206"/>
      <c r="G350" s="4206"/>
      <c r="H350" s="4206"/>
      <c r="I350" s="4206"/>
      <c r="J350" s="4206"/>
      <c r="K350" s="4206"/>
      <c r="L350" s="4206"/>
      <c r="M350" s="4206"/>
      <c r="N350" s="4206"/>
      <c r="O350" s="4206"/>
      <c r="P350" s="4211"/>
      <c r="Q350" s="4115">
        <f ca="1">IFERROR(VLOOKUP(C350,'Action Plan finance'!$C$56:$AB$175,20,FALSE),0)</f>
        <v>0</v>
      </c>
      <c r="R350" s="4116">
        <f ca="1">+IFERROR(VLOOKUP(C350,'Action Plan finance'!$C$56:$AB$175,21,FALSE),0)</f>
        <v>0</v>
      </c>
      <c r="S350" s="4116">
        <f ca="1">IFERROR(VLOOKUP(C350,'Action Plan finance'!$C$56:$AB$175,22,FALSE),0)</f>
        <v>0</v>
      </c>
      <c r="T350" s="4116">
        <f ca="1">IFERROR(VLOOKUP(C350,'Action Plan finance'!$C$56:$AB$175,23,FALSE),0)</f>
        <v>0</v>
      </c>
      <c r="U350" s="4116"/>
      <c r="V350" s="4116">
        <f ca="1">IFERROR(VLOOKUP(C350,'Action Plan finance'!$C$56:$AB$175,25,FALSE),0)</f>
        <v>0</v>
      </c>
    </row>
    <row r="351" spans="2:22" s="4207" customFormat="1" x14ac:dyDescent="0.25">
      <c r="B351" s="4129"/>
      <c r="C351" s="4209" t="str">
        <f>'SW Plan'!F202</f>
        <v>Improve consumer grievance redressal system</v>
      </c>
      <c r="D351" s="4202">
        <f>'SW Plan'!H205/CurrencyMultiplier</f>
        <v>0</v>
      </c>
      <c r="E351" s="5731">
        <f>SUM($F351:$P351)</f>
        <v>0</v>
      </c>
      <c r="F351" s="4206"/>
      <c r="G351" s="4206">
        <f>IF('SW Plan'!$E$202="Activate",IF(AND(G$323&gt;='SW Plan'!$G$202,G$323&lt;'SW Plan'!$H$202+1),$D$351/('SW Plan'!$H$202-'SW Plan'!$G$202+1),0),0)*G$1</f>
        <v>0</v>
      </c>
      <c r="H351" s="4206">
        <f>IF('SW Plan'!$E$202="Activate",IF(AND(H$323&gt;='SW Plan'!$G$202,H$323&lt;'SW Plan'!$H$202+1),$D$351/('SW Plan'!$H$202-'SW Plan'!$G$202+1),0),0)*H$1</f>
        <v>0</v>
      </c>
      <c r="I351" s="4206">
        <f>IF('SW Plan'!$E$202="Activate",IF(AND(I$323&gt;='SW Plan'!$G$202,I$323&lt;'SW Plan'!$H$202+1),$D$351/('SW Plan'!$H$202-'SW Plan'!$G$202+1),0),0)*I$1</f>
        <v>0</v>
      </c>
      <c r="J351" s="4206">
        <f>IF('SW Plan'!$E$202="Activate",IF(AND(J$323&gt;='SW Plan'!$G$202,J$323&lt;'SW Plan'!$H$202+1),$D$351/('SW Plan'!$H$202-'SW Plan'!$G$202+1),0),0)*J$1</f>
        <v>0</v>
      </c>
      <c r="K351" s="4206">
        <f>IF('SW Plan'!$E$202="Activate",IF(AND(K$323&gt;='SW Plan'!$G$202,K$323&lt;'SW Plan'!$H$202+1),$D$351/('SW Plan'!$H$202-'SW Plan'!$G$202+1),0),0)*K$1</f>
        <v>0</v>
      </c>
      <c r="L351" s="4206">
        <f>IF('SW Plan'!$E$202="Activate",IF(AND(L$323&gt;='SW Plan'!$G$202,L$323&lt;'SW Plan'!$H$202+1),$D$351/('SW Plan'!$H$202-'SW Plan'!$G$202+1),0),0)*L$1</f>
        <v>0</v>
      </c>
      <c r="M351" s="4206">
        <f>IF('SW Plan'!$E$202="Activate",IF(AND(M$323&gt;='SW Plan'!$G$202,M$323&lt;'SW Plan'!$H$202+1),$D$351/('SW Plan'!$H$202-'SW Plan'!$G$202+1),0),0)*M$1</f>
        <v>0</v>
      </c>
      <c r="N351" s="4206">
        <f>IF('SW Plan'!$E$202="Activate",IF(AND(N$323&gt;='SW Plan'!$G$202,N$323&lt;'SW Plan'!$H$202+1),$D$351/('SW Plan'!$H$202-'SW Plan'!$G$202+1),0),0)*N$1</f>
        <v>0</v>
      </c>
      <c r="O351" s="4206">
        <f>IF('SW Plan'!$E$202="Activate",IF(AND(O$323&gt;='SW Plan'!$G$202,O$323&lt;'SW Plan'!$H$202+1),$D$351/('SW Plan'!$H$202-'SW Plan'!$G$202+1),0),0)*O$1</f>
        <v>0</v>
      </c>
      <c r="P351" s="4211">
        <f>IF('SW Plan'!$E$202="Activate",IF(AND(P$323&gt;='SW Plan'!$G$202,P$323&lt;'SW Plan'!$H$202+1),$D$351/('SW Plan'!$H$202-'SW Plan'!$G$202+1),0),0)*P$1</f>
        <v>0</v>
      </c>
      <c r="Q351" s="4115">
        <f ca="1">IFERROR(VLOOKUP(C351,'Action Plan finance'!$C$56:$AB$175,20,FALSE),0)</f>
        <v>0</v>
      </c>
      <c r="R351" s="4116">
        <f ca="1">+IFERROR(VLOOKUP(C351,'Action Plan finance'!$C$56:$AB$175,21,FALSE),0)</f>
        <v>0</v>
      </c>
      <c r="S351" s="4116">
        <f ca="1">IFERROR(VLOOKUP(C351,'Action Plan finance'!$C$56:$AB$175,22,FALSE),0)</f>
        <v>0</v>
      </c>
      <c r="T351" s="4116">
        <f ca="1">IFERROR(VLOOKUP(C351,'Action Plan finance'!$C$56:$AB$175,23,FALSE),0)</f>
        <v>0</v>
      </c>
      <c r="U351" s="4116"/>
      <c r="V351" s="4116">
        <f ca="1">IFERROR(VLOOKUP(C351,'Action Plan finance'!$C$56:$AB$175,25,FALSE),0)</f>
        <v>0</v>
      </c>
    </row>
    <row r="352" spans="2:22" ht="30" x14ac:dyDescent="0.25">
      <c r="B352" s="4129"/>
      <c r="C352" s="4209" t="str">
        <f>'SW Plan'!F209</f>
        <v>Construct sanitary landfill facility for solid waste disposal</v>
      </c>
      <c r="D352" s="4202">
        <f>IF('SW Plan'!$E$209="Activate",'SW Plan'!$H$213,0)</f>
        <v>0</v>
      </c>
      <c r="E352" s="4120">
        <f>SUM($F352:$P352)</f>
        <v>0</v>
      </c>
      <c r="F352" s="4124"/>
      <c r="G352" s="4124">
        <f>IF('SW Plan'!$E$209="Activate",IF(AND(G$323&gt;='SW Plan'!$G$209,G$323&lt;'SW Plan'!$H$209+1),'SW Plan'!$H$213/('SW Plan'!$H$209-'SW Plan'!$G$209+1),0),0)*G$1/CurrencyMultiplier</f>
        <v>0</v>
      </c>
      <c r="H352" s="4124">
        <f>IF('SW Plan'!$E$209="Activate",IF(AND(H$323&gt;='SW Plan'!$G$209,H$323&lt;'SW Plan'!$H$209+1),'SW Plan'!$H$213/('SW Plan'!$H$209-'SW Plan'!$G$209+1),0),0)*H$1/CurrencyMultiplier</f>
        <v>0</v>
      </c>
      <c r="I352" s="4124">
        <f>IF('SW Plan'!$E$209="Activate",IF(AND(I$323&gt;='SW Plan'!$G$209,I$323&lt;'SW Plan'!$H$209+1),'SW Plan'!$H$213/('SW Plan'!$H$209-'SW Plan'!$G$209+1),0),0)*I$1/CurrencyMultiplier</f>
        <v>0</v>
      </c>
      <c r="J352" s="4124">
        <f>IF('SW Plan'!$E$209="Activate",IF(AND(J$323&gt;='SW Plan'!$G$209,J$323&lt;'SW Plan'!$H$209+1),'SW Plan'!$H$213/('SW Plan'!$H$209-'SW Plan'!$G$209+1),0),0)*J$1/CurrencyMultiplier</f>
        <v>0</v>
      </c>
      <c r="K352" s="4124">
        <f>IF('SW Plan'!$E$209="Activate",IF(AND(K$323&gt;='SW Plan'!$G$209,K$323&lt;'SW Plan'!$H$209+1),'SW Plan'!$H$213/('SW Plan'!$H$209-'SW Plan'!$G$209+1),0),0)*K$1/CurrencyMultiplier</f>
        <v>0</v>
      </c>
      <c r="L352" s="4124">
        <f>IF('SW Plan'!$E$209="Activate",IF(AND(L$323&gt;='SW Plan'!$G$209,L$323&lt;'SW Plan'!$H$209+1),'SW Plan'!$H$213/('SW Plan'!$H$209-'SW Plan'!$G$209+1),0),0)*L$1/CurrencyMultiplier</f>
        <v>0</v>
      </c>
      <c r="M352" s="4124">
        <f>IF('SW Plan'!$E$209="Activate",IF(AND(M$323&gt;='SW Plan'!$G$209,M$323&lt;'SW Plan'!$H$209+1),'SW Plan'!$H$213/('SW Plan'!$H$209-'SW Plan'!$G$209+1),0),0)*M$1/CurrencyMultiplier</f>
        <v>0</v>
      </c>
      <c r="N352" s="4124">
        <f>IF('SW Plan'!$E$209="Activate",IF(AND(N$323&gt;='SW Plan'!$G$209,N$323&lt;'SW Plan'!$H$209+1),'SW Plan'!$H$213/('SW Plan'!$H$209-'SW Plan'!$G$209+1),0),0)*N$1/CurrencyMultiplier</f>
        <v>0</v>
      </c>
      <c r="O352" s="4124">
        <f>IF('SW Plan'!$E$209="Activate",IF(AND(O$323&gt;='SW Plan'!$G$209,O$323&lt;'SW Plan'!$H$209+1),'SW Plan'!$H$213/('SW Plan'!$H$209-'SW Plan'!$G$209+1),0),0)*O$1/CurrencyMultiplier</f>
        <v>0</v>
      </c>
      <c r="P352" s="4124">
        <f>IF('SW Plan'!$E$209="Activate",IF(AND(P$323&gt;='SW Plan'!$G$209,P$323&lt;'SW Plan'!$H$209+1),'SW Plan'!$H$213/('SW Plan'!$H$209-'SW Plan'!$G$209+1),0),0)*P$1/CurrencyMultiplier</f>
        <v>0</v>
      </c>
      <c r="Q352" s="4115">
        <f ca="1">IFERROR(VLOOKUP(C352,'Action Plan finance'!$C$56:$AB$175,20,FALSE),0)</f>
        <v>0</v>
      </c>
      <c r="R352" s="4116">
        <f ca="1">+IFERROR(VLOOKUP(C352,'Action Plan finance'!$C$56:$AB$175,21,FALSE),0)</f>
        <v>0</v>
      </c>
      <c r="S352" s="4116">
        <f ca="1">IFERROR(VLOOKUP(C352,'Action Plan finance'!$C$56:$AB$175,22,FALSE),0)</f>
        <v>0</v>
      </c>
      <c r="T352" s="4116">
        <f ca="1">IFERROR(VLOOKUP(C352,'Action Plan finance'!$C$56:$AB$175,23,FALSE),0)</f>
        <v>0</v>
      </c>
      <c r="U352" s="4116"/>
      <c r="V352" s="4116">
        <f ca="1">IFERROR(VLOOKUP(C352,'Action Plan finance'!$C$56:$AB$175,25,FALSE),0)</f>
        <v>0</v>
      </c>
    </row>
    <row r="353" spans="2:22" ht="30" x14ac:dyDescent="0.25">
      <c r="B353" s="4129"/>
      <c r="C353" s="1897" t="str">
        <f>'SW Plan'!F215</f>
        <v>Closure of existing dumping site in scientific manner as prescribed by MSW Rules 2000</v>
      </c>
      <c r="D353" s="4202">
        <f>IF('SW Plan'!$E$215="Activate",'SW Plan'!$H$216,0)/CurrencyMultiplier</f>
        <v>0</v>
      </c>
      <c r="E353" s="5731">
        <f>SUM($F353:$P353)</f>
        <v>0</v>
      </c>
      <c r="F353" s="4124"/>
      <c r="G353" s="4124">
        <f>IF('SW Plan'!$E$215="Activate",IF(AND(G$323&gt;='SW Plan'!$G$215,G$323&lt;'SW Plan'!$H$215+1),$D$353/('SW Plan'!$H$215-'SW Plan'!$G$215+1),0),0)*G$1</f>
        <v>0</v>
      </c>
      <c r="H353" s="4124">
        <f>IF('SW Plan'!$E$215="Activate",IF(AND(H$323&gt;='SW Plan'!$G$215,H$323&lt;'SW Plan'!$H$215+1),$D$353/('SW Plan'!$H$215-'SW Plan'!$G$215+1),0),0)*H$1</f>
        <v>0</v>
      </c>
      <c r="I353" s="4124">
        <f>IF('SW Plan'!$E$215="Activate",IF(AND(I$323&gt;='SW Plan'!$G$215,I$323&lt;'SW Plan'!$H$215+1),$D$353/('SW Plan'!$H$215-'SW Plan'!$G$215+1),0),0)*I$1</f>
        <v>0</v>
      </c>
      <c r="J353" s="4124">
        <f>IF('SW Plan'!$E$215="Activate",IF(AND(J$323&gt;='SW Plan'!$G$215,J$323&lt;'SW Plan'!$H$215+1),$D$353/('SW Plan'!$H$215-'SW Plan'!$G$215+1),0),0)*J$1</f>
        <v>0</v>
      </c>
      <c r="K353" s="4124">
        <f>IF('SW Plan'!$E$215="Activate",IF(AND(K$323&gt;='SW Plan'!$G$215,K$323&lt;'SW Plan'!$H$215+1),$D$353/('SW Plan'!$H$215-'SW Plan'!$G$215+1),0),0)*K$1</f>
        <v>0</v>
      </c>
      <c r="L353" s="4124">
        <f>IF('SW Plan'!$E$215="Activate",IF(AND(L$323&gt;='SW Plan'!$G$215,L$323&lt;'SW Plan'!$H$215+1),$D$353/('SW Plan'!$H$215-'SW Plan'!$G$215+1),0),0)*L$1</f>
        <v>0</v>
      </c>
      <c r="M353" s="4124">
        <f>IF('SW Plan'!$E$215="Activate",IF(AND(M$323&gt;='SW Plan'!$G$215,M$323&lt;'SW Plan'!$H$215+1),$D$353/('SW Plan'!$H$215-'SW Plan'!$G$215+1),0),0)*M$1</f>
        <v>0</v>
      </c>
      <c r="N353" s="4124">
        <f>IF('SW Plan'!$E$215="Activate",IF(AND(N$323&gt;='SW Plan'!$G$215,N$323&lt;'SW Plan'!$H$215+1),$D$353/('SW Plan'!$H$215-'SW Plan'!$G$215+1),0),0)*N$1</f>
        <v>0</v>
      </c>
      <c r="O353" s="4124">
        <f>IF('SW Plan'!$E$215="Activate",IF(AND(O$323&gt;='SW Plan'!$G$215,O$323&lt;'SW Plan'!$H$215+1),$D$353/('SW Plan'!$H$215-'SW Plan'!$G$215+1),0),0)*O$1</f>
        <v>0</v>
      </c>
      <c r="P353" s="4204">
        <f>IF('SW Plan'!$E$215="Activate",IF(AND(P$323&gt;='SW Plan'!$G$215,P$323&lt;'SW Plan'!$H$215+1),$D$353/('SW Plan'!$H$215-'SW Plan'!$G$215+1),0),0)*P$1</f>
        <v>0</v>
      </c>
      <c r="Q353" s="4115">
        <f ca="1">IFERROR(VLOOKUP(C353,'Action Plan finance'!$C$56:$AB$175,20,FALSE),0)</f>
        <v>0</v>
      </c>
      <c r="R353" s="4116">
        <f ca="1">+IFERROR(VLOOKUP(C353,'Action Plan finance'!$C$56:$AB$175,21,FALSE),0)</f>
        <v>0</v>
      </c>
      <c r="S353" s="4116">
        <f ca="1">IFERROR(VLOOKUP(C353,'Action Plan finance'!$C$56:$AB$175,22,FALSE),0)</f>
        <v>0</v>
      </c>
      <c r="T353" s="4116">
        <f ca="1">IFERROR(VLOOKUP(C353,'Action Plan finance'!$C$56:$AB$175,23,FALSE),0)</f>
        <v>0</v>
      </c>
      <c r="U353" s="4116"/>
      <c r="V353" s="4116">
        <f ca="1">IFERROR(VLOOKUP(C353,'Action Plan finance'!$C$56:$AB$175,25,FALSE),0)</f>
        <v>0</v>
      </c>
    </row>
    <row r="354" spans="2:22" x14ac:dyDescent="0.25">
      <c r="B354" s="4102" t="s">
        <v>12</v>
      </c>
      <c r="C354" s="4168" t="s">
        <v>457</v>
      </c>
      <c r="D354" s="4127"/>
      <c r="E354" s="4105"/>
      <c r="F354" s="4106"/>
      <c r="G354" s="4106"/>
      <c r="H354" s="4106"/>
      <c r="I354" s="4106"/>
      <c r="J354" s="4106"/>
      <c r="K354" s="4106"/>
      <c r="L354" s="4106"/>
      <c r="M354" s="4106"/>
      <c r="N354" s="4106"/>
      <c r="O354" s="4106"/>
      <c r="P354" s="4208"/>
      <c r="Q354" s="4115">
        <f ca="1">IFERROR(VLOOKUP(C354,'Action Plan finance'!$C$56:$AB$175,20,FALSE),0)</f>
        <v>0</v>
      </c>
      <c r="R354" s="4116">
        <f ca="1">+IFERROR(VLOOKUP(C354,'Action Plan finance'!$C$56:$AB$175,21,FALSE),0)</f>
        <v>0</v>
      </c>
      <c r="S354" s="4116">
        <f ca="1">IFERROR(VLOOKUP(C354,'Action Plan finance'!$C$56:$AB$175,22,FALSE),0)</f>
        <v>0</v>
      </c>
      <c r="T354" s="4116">
        <f ca="1">IFERROR(VLOOKUP(C354,'Action Plan finance'!$C$56:$AB$175,23,FALSE),0)</f>
        <v>0</v>
      </c>
      <c r="U354" s="4116"/>
      <c r="V354" s="4116">
        <f ca="1">IFERROR(VLOOKUP(C354,'Action Plan finance'!$C$56:$AB$175,25,FALSE),0)</f>
        <v>0</v>
      </c>
    </row>
    <row r="355" spans="2:22" x14ac:dyDescent="0.25">
      <c r="B355" s="4129"/>
      <c r="C355" s="4209" t="str">
        <f>'SW Plan'!F223</f>
        <v>Improve billing and collection of solid waste bills</v>
      </c>
      <c r="D355" s="4202"/>
      <c r="E355" s="4120"/>
      <c r="F355" s="4124"/>
      <c r="G355" s="4124"/>
      <c r="H355" s="4124"/>
      <c r="I355" s="4124"/>
      <c r="J355" s="4124"/>
      <c r="K355" s="4124"/>
      <c r="L355" s="4124"/>
      <c r="M355" s="4124"/>
      <c r="N355" s="4124"/>
      <c r="O355" s="4124"/>
      <c r="P355" s="4204"/>
      <c r="Q355" s="4115">
        <f ca="1">IFERROR(VLOOKUP(C355,'Action Plan finance'!$C$56:$AB$175,20,FALSE),0)</f>
        <v>0</v>
      </c>
      <c r="R355" s="4116">
        <f ca="1">+IFERROR(VLOOKUP(C355,'Action Plan finance'!$C$56:$AB$175,21,FALSE),0)</f>
        <v>0</v>
      </c>
      <c r="S355" s="4116">
        <f ca="1">IFERROR(VLOOKUP(C355,'Action Plan finance'!$C$56:$AB$175,22,FALSE),0)</f>
        <v>0</v>
      </c>
      <c r="T355" s="4116">
        <f ca="1">IFERROR(VLOOKUP(C355,'Action Plan finance'!$C$56:$AB$175,23,FALSE),0)</f>
        <v>0</v>
      </c>
      <c r="U355" s="4116"/>
      <c r="V355" s="4116">
        <f ca="1">IFERROR(VLOOKUP(C355,'Action Plan finance'!$C$56:$AB$175,25,FALSE),0)</f>
        <v>0</v>
      </c>
    </row>
    <row r="356" spans="2:22" ht="30" x14ac:dyDescent="0.25">
      <c r="B356" s="4129"/>
      <c r="C356" s="4209" t="str">
        <f>'SW Plan'!F227</f>
        <v>Improve collection efficiency of solid waste charges and taxes</v>
      </c>
      <c r="D356" s="4202">
        <f>IF('SW Plan'!$E$227="Activate",'SW Plan'!H232,0)</f>
        <v>0</v>
      </c>
      <c r="E356" s="4120">
        <f>SUM($F356:$P356)</f>
        <v>0</v>
      </c>
      <c r="F356" s="4124"/>
      <c r="G356" s="4124">
        <f>IF('SW Plan'!$E$227="Activate",IF(AND(G$323&gt;='SW Plan'!$G$227,G$323&lt;'SW Plan'!$H$227+1),'SW Plan'!$H$232/('SW Plan'!$H$227-'SW Plan'!$G$227+1),0),0)*G$1/CurrencyMultiplier</f>
        <v>0</v>
      </c>
      <c r="H356" s="4124">
        <f>IF('SW Plan'!$E$227="Activate",IF(AND(H$323&gt;='SW Plan'!$G$227,H$323&lt;'SW Plan'!$H$227+1),'SW Plan'!$H$232/('SW Plan'!$H$227-'SW Plan'!$G$227+1),0),0)*H$1/CurrencyMultiplier</f>
        <v>0</v>
      </c>
      <c r="I356" s="4124">
        <f>IF('SW Plan'!$E$227="Activate",IF(AND(I$323&gt;='SW Plan'!$G$227,I$323&lt;'SW Plan'!$H$227+1),'SW Plan'!$H$232/('SW Plan'!$H$227-'SW Plan'!$G$227+1),0),0)*I$1/CurrencyMultiplier</f>
        <v>0</v>
      </c>
      <c r="J356" s="4124">
        <f>IF('SW Plan'!$E$227="Activate",IF(AND(J$323&gt;='SW Plan'!$G$227,J$323&lt;'SW Plan'!$H$227+1),'SW Plan'!$H$232/('SW Plan'!$H$227-'SW Plan'!$G$227+1),0),0)*J$1/CurrencyMultiplier</f>
        <v>0</v>
      </c>
      <c r="K356" s="4124">
        <f>IF('SW Plan'!$E$227="Activate",IF(AND(K$323&gt;='SW Plan'!$G$227,K$323&lt;'SW Plan'!$H$227+1),'SW Plan'!$H$232/('SW Plan'!$H$227-'SW Plan'!$G$227+1),0),0)*K$1/CurrencyMultiplier</f>
        <v>0</v>
      </c>
      <c r="L356" s="4124">
        <f>IF('SW Plan'!$E$227="Activate",IF(AND(L$323&gt;='SW Plan'!$G$227,L$323&lt;'SW Plan'!$H$227+1),'SW Plan'!$H$232/('SW Plan'!$H$227-'SW Plan'!$G$227+1),0),0)*L$1/CurrencyMultiplier</f>
        <v>0</v>
      </c>
      <c r="M356" s="4124">
        <f>IF('SW Plan'!$E$227="Activate",IF(AND(M$323&gt;='SW Plan'!$G$227,M$323&lt;'SW Plan'!$H$227+1),'SW Plan'!$H$232/('SW Plan'!$H$227-'SW Plan'!$G$227+1),0),0)*M$1/CurrencyMultiplier</f>
        <v>0</v>
      </c>
      <c r="N356" s="4124">
        <f>IF('SW Plan'!$E$227="Activate",IF(AND(N$323&gt;='SW Plan'!$G$227,N$323&lt;'SW Plan'!$H$227+1),'SW Plan'!$H$232/('SW Plan'!$H$227-'SW Plan'!$G$227+1),0),0)*N$1/CurrencyMultiplier</f>
        <v>0</v>
      </c>
      <c r="O356" s="4124">
        <f>IF('SW Plan'!$E$227="Activate",IF(AND(O$323&gt;='SW Plan'!$G$227,O$323&lt;'SW Plan'!$H$227+1),'SW Plan'!$H$232/('SW Plan'!$H$227-'SW Plan'!$G$227+1),0),0)*O$1/CurrencyMultiplier</f>
        <v>0</v>
      </c>
      <c r="P356" s="4124">
        <f>IF('SW Plan'!$E$227="Activate",IF(AND(P$323&gt;='SW Plan'!$G$227,P$323&lt;'SW Plan'!$H$227+1),'SW Plan'!$H$232/('SW Plan'!$H$227-'SW Plan'!$G$227+1),0),0)*P$1/CurrencyMultiplier</f>
        <v>0</v>
      </c>
      <c r="Q356" s="4115">
        <f ca="1">IFERROR(VLOOKUP(C356,'Action Plan finance'!$C$56:$AB$175,20,FALSE),0)</f>
        <v>0</v>
      </c>
      <c r="R356" s="4116">
        <f ca="1">+IFERROR(VLOOKUP(C356,'Action Plan finance'!$C$56:$AB$175,21,FALSE),0)</f>
        <v>0</v>
      </c>
      <c r="S356" s="4116">
        <f ca="1">IFERROR(VLOOKUP(C356,'Action Plan finance'!$C$56:$AB$175,22,FALSE),0)</f>
        <v>0</v>
      </c>
      <c r="T356" s="4116">
        <f ca="1">IFERROR(VLOOKUP(C356,'Action Plan finance'!$C$56:$AB$175,23,FALSE),0)</f>
        <v>0</v>
      </c>
      <c r="U356" s="4116"/>
      <c r="V356" s="4116">
        <f ca="1">IFERROR(VLOOKUP(C356,'Action Plan finance'!$C$56:$AB$175,25,FALSE),0)</f>
        <v>0</v>
      </c>
    </row>
    <row r="357" spans="2:22" x14ac:dyDescent="0.25">
      <c r="B357" s="4102" t="s">
        <v>13</v>
      </c>
      <c r="C357" s="4168" t="s">
        <v>458</v>
      </c>
      <c r="D357" s="4127"/>
      <c r="E357" s="4105"/>
      <c r="F357" s="4106"/>
      <c r="G357" s="4106"/>
      <c r="H357" s="4106"/>
      <c r="I357" s="4106"/>
      <c r="J357" s="4106"/>
      <c r="K357" s="4106"/>
      <c r="L357" s="4106"/>
      <c r="M357" s="4106"/>
      <c r="N357" s="4106"/>
      <c r="O357" s="4106"/>
      <c r="P357" s="4208"/>
      <c r="Q357" s="4115">
        <f ca="1">IFERROR(VLOOKUP(C357,'Action Plan finance'!$C$56:$AB$175,20,FALSE),0)</f>
        <v>0</v>
      </c>
      <c r="R357" s="4116">
        <f ca="1">+IFERROR(VLOOKUP(C357,'Action Plan finance'!$C$56:$AB$175,21,FALSE),0)</f>
        <v>0</v>
      </c>
      <c r="S357" s="4116">
        <f ca="1">IFERROR(VLOOKUP(C357,'Action Plan finance'!$C$56:$AB$175,22,FALSE),0)</f>
        <v>0</v>
      </c>
      <c r="T357" s="4116">
        <f ca="1">IFERROR(VLOOKUP(C357,'Action Plan finance'!$C$56:$AB$175,23,FALSE),0)</f>
        <v>0</v>
      </c>
      <c r="U357" s="4116"/>
      <c r="V357" s="4116">
        <f ca="1">IFERROR(VLOOKUP(C357,'Action Plan finance'!$C$56:$AB$175,25,FALSE),0)</f>
        <v>0</v>
      </c>
    </row>
    <row r="358" spans="2:22" s="4118" customFormat="1" x14ac:dyDescent="0.25">
      <c r="B358" s="4133"/>
      <c r="C358" s="4111" t="str">
        <f>'SW Plan'!F239</f>
        <v>SW Customised action 1</v>
      </c>
      <c r="D358" s="4202">
        <f>IF('SW Plan'!$E$239="Activate",'SW Plan'!$H$243,0)/CurrencyMultiplier</f>
        <v>0</v>
      </c>
      <c r="E358" s="4120">
        <f>SUM($F358:$P358)</f>
        <v>0</v>
      </c>
      <c r="F358" s="4134"/>
      <c r="G358" s="4134">
        <f>IF('SW Plan'!$E$239="Activate",IF(AND(G$323&gt;='SW Plan'!$G$239,G$323&lt;'SW Plan'!$H$239+1),$D$358/('SW Plan'!$H$239-'SW Plan'!$G$239+1),0),0)*G$1</f>
        <v>0</v>
      </c>
      <c r="H358" s="4134">
        <f>IF('SW Plan'!$E$239="Activate",IF(AND(H$323&gt;='SW Plan'!$G$239,H$323&lt;'SW Plan'!$H$239+1),$D$358/('SW Plan'!$H$239-'SW Plan'!$G$239+1),0),0)*H$1</f>
        <v>0</v>
      </c>
      <c r="I358" s="4134">
        <f>IF('SW Plan'!$E$239="Activate",IF(AND(I$323&gt;='SW Plan'!$G$239,I$323&lt;'SW Plan'!$H$239+1),$D$358/('SW Plan'!$H$239-'SW Plan'!$G$239+1),0),0)*I$1</f>
        <v>0</v>
      </c>
      <c r="J358" s="4134">
        <f>IF('SW Plan'!$E$239="Activate",IF(AND(J$323&gt;='SW Plan'!$G$239,J$323&lt;'SW Plan'!$H$239+1),$D$358/('SW Plan'!$H$239-'SW Plan'!$G$239+1),0),0)*J$1</f>
        <v>0</v>
      </c>
      <c r="K358" s="4134">
        <f>IF('SW Plan'!$E$239="Activate",IF(AND(K$323&gt;='SW Plan'!$G$239,K$323&lt;'SW Plan'!$H$239+1),$D$358/('SW Plan'!$H$239-'SW Plan'!$G$239+1),0),0)*K$1</f>
        <v>0</v>
      </c>
      <c r="L358" s="4134">
        <f>IF('SW Plan'!$E$239="Activate",IF(AND(L$323&gt;='SW Plan'!$G$239,L$323&lt;'SW Plan'!$H$239+1),$D$358/('SW Plan'!$H$239-'SW Plan'!$G$239+1),0),0)*L$1</f>
        <v>0</v>
      </c>
      <c r="M358" s="4134">
        <f>IF('SW Plan'!$E$239="Activate",IF(AND(M$323&gt;='SW Plan'!$G$239,M$323&lt;'SW Plan'!$H$239+1),$D$358/('SW Plan'!$H$239-'SW Plan'!$G$239+1),0),0)*M$1</f>
        <v>0</v>
      </c>
      <c r="N358" s="4134">
        <f>IF('SW Plan'!$E$239="Activate",IF(AND(N$323&gt;='SW Plan'!$G$239,N$323&lt;'SW Plan'!$H$239+1),$D$358/('SW Plan'!$H$239-'SW Plan'!$G$239+1),0),0)*N$1</f>
        <v>0</v>
      </c>
      <c r="O358" s="4134">
        <f>IF('SW Plan'!$E$239="Activate",IF(AND(O$323&gt;='SW Plan'!$G$239,O$323&lt;'SW Plan'!$H$239+1),$D$358/('SW Plan'!$H$239-'SW Plan'!$G$239+1),0),0)*O$1</f>
        <v>0</v>
      </c>
      <c r="P358" s="4205">
        <f>IF('SW Plan'!$E$239="Activate",IF(AND(P$323&gt;='SW Plan'!$G$239,P$323&lt;'SW Plan'!$H$239+1),$D$358/('SW Plan'!$H$239-'SW Plan'!$G$239+1),0),0)*P$1</f>
        <v>0</v>
      </c>
      <c r="Q358" s="4115">
        <f ca="1">IFERROR(VLOOKUP(C358,'Action Plan finance'!$C$56:$AB$175,20,FALSE),0)</f>
        <v>0</v>
      </c>
      <c r="R358" s="4116">
        <f ca="1">+IFERROR(VLOOKUP(C358,'Action Plan finance'!$C$56:$AB$175,21,FALSE),0)</f>
        <v>0</v>
      </c>
      <c r="S358" s="4116">
        <f ca="1">IFERROR(VLOOKUP(C358,'Action Plan finance'!$C$56:$AB$175,22,FALSE),0)</f>
        <v>0</v>
      </c>
      <c r="T358" s="4116">
        <f ca="1">IFERROR(VLOOKUP(C358,'Action Plan finance'!$C$56:$AB$175,23,FALSE),0)</f>
        <v>0</v>
      </c>
      <c r="U358" s="4116"/>
      <c r="V358" s="4116">
        <f ca="1">IFERROR(VLOOKUP(C358,'Action Plan finance'!$C$56:$AB$175,25,FALSE),0)</f>
        <v>0</v>
      </c>
    </row>
    <row r="359" spans="2:22" s="4118" customFormat="1" x14ac:dyDescent="0.25">
      <c r="B359" s="4133"/>
      <c r="C359" s="4111" t="str">
        <f>'SW Plan'!F246</f>
        <v>SW Customised action 2</v>
      </c>
      <c r="D359" s="4202">
        <f>IF('SW Plan'!$E$246="Activate",'SW Plan'!$H$250,0)/CurrencyMultiplier</f>
        <v>0</v>
      </c>
      <c r="E359" s="4120">
        <f>SUM($F359:$P359)</f>
        <v>0</v>
      </c>
      <c r="F359" s="4134"/>
      <c r="G359" s="4134">
        <f>IF('SW Plan'!$E$246="Activate",IF(AND(G$323&gt;='SW Plan'!$G$246,G$323&lt;'SW Plan'!$H$246+1),$D$359/('SW Plan'!$H$246-'SW Plan'!$G$246+1),0),0)*G$1</f>
        <v>0</v>
      </c>
      <c r="H359" s="4134">
        <f>IF('SW Plan'!$E$246="Activate",IF(AND(H$323&gt;='SW Plan'!$G$246,H$323&lt;'SW Plan'!$H$246+1),$D$359/('SW Plan'!$H$246-'SW Plan'!$G$246+1),0),0)*H$1</f>
        <v>0</v>
      </c>
      <c r="I359" s="4134">
        <f>IF('SW Plan'!$E$246="Activate",IF(AND(I$323&gt;='SW Plan'!$G$246,I$323&lt;'SW Plan'!$H$246+1),$D$359/('SW Plan'!$H$246-'SW Plan'!$G$246+1),0),0)*I$1</f>
        <v>0</v>
      </c>
      <c r="J359" s="4134">
        <f>IF('SW Plan'!$E$246="Activate",IF(AND(J$323&gt;='SW Plan'!$G$246,J$323&lt;'SW Plan'!$H$246+1),$D$359/('SW Plan'!$H$246-'SW Plan'!$G$246+1),0),0)*J$1</f>
        <v>0</v>
      </c>
      <c r="K359" s="4134">
        <f>IF('SW Plan'!$E$246="Activate",IF(AND(K$323&gt;='SW Plan'!$G$246,K$323&lt;'SW Plan'!$H$246+1),$D$359/('SW Plan'!$H$246-'SW Plan'!$G$246+1),0),0)*K$1</f>
        <v>0</v>
      </c>
      <c r="L359" s="4134">
        <f>IF('SW Plan'!$E$246="Activate",IF(AND(L$323&gt;='SW Plan'!$G$246,L$323&lt;'SW Plan'!$H$246+1),$D$359/('SW Plan'!$H$246-'SW Plan'!$G$246+1),0),0)*L$1</f>
        <v>0</v>
      </c>
      <c r="M359" s="4134">
        <f>IF('SW Plan'!$E$246="Activate",IF(AND(M$323&gt;='SW Plan'!$G$246,M$323&lt;'SW Plan'!$H$246+1),$D$359/('SW Plan'!$H$246-'SW Plan'!$G$246+1),0),0)*M$1</f>
        <v>0</v>
      </c>
      <c r="N359" s="4134">
        <f>IF('SW Plan'!$E$246="Activate",IF(AND(N$323&gt;='SW Plan'!$G$246,N$323&lt;'SW Plan'!$H$246+1),$D$359/('SW Plan'!$H$246-'SW Plan'!$G$246+1),0),0)*N$1</f>
        <v>0</v>
      </c>
      <c r="O359" s="4134">
        <f>IF('SW Plan'!$E$246="Activate",IF(AND(O$323&gt;='SW Plan'!$G$246,O$323&lt;'SW Plan'!$H$246+1),$D$359/('SW Plan'!$H$246-'SW Plan'!$G$246+1),0),0)*O$1</f>
        <v>0</v>
      </c>
      <c r="P359" s="4205">
        <f>IF('SW Plan'!$E$246="Activate",IF(AND(P$323&gt;='SW Plan'!$G$246,P$323&lt;'SW Plan'!$H$246+1),$D$359/('SW Plan'!$H$246-'SW Plan'!$G$246+1),0),0)*P$1</f>
        <v>0</v>
      </c>
      <c r="Q359" s="4115">
        <f ca="1">IFERROR(VLOOKUP(C359,'Action Plan finance'!$C$56:$AB$175,20,FALSE),0)</f>
        <v>0</v>
      </c>
      <c r="R359" s="4116">
        <f ca="1">+IFERROR(VLOOKUP(C359,'Action Plan finance'!$C$56:$AB$175,21,FALSE),0)</f>
        <v>0</v>
      </c>
      <c r="S359" s="4116">
        <f ca="1">IFERROR(VLOOKUP(C359,'Action Plan finance'!$C$56:$AB$175,22,FALSE),0)</f>
        <v>0</v>
      </c>
      <c r="T359" s="4116">
        <f ca="1">IFERROR(VLOOKUP(C359,'Action Plan finance'!$C$56:$AB$175,23,FALSE),0)</f>
        <v>0</v>
      </c>
      <c r="U359" s="4116"/>
      <c r="V359" s="4116">
        <f ca="1">IFERROR(VLOOKUP(C359,'Action Plan finance'!$C$56:$AB$175,25,FALSE),0)</f>
        <v>0</v>
      </c>
    </row>
    <row r="360" spans="2:22" s="4148" customFormat="1" x14ac:dyDescent="0.25">
      <c r="B360" s="4213"/>
      <c r="C360" s="4213" t="s">
        <v>465</v>
      </c>
      <c r="D360" s="4143">
        <f>SUM(D325:D359)</f>
        <v>0</v>
      </c>
      <c r="E360" s="4144">
        <f t="shared" ref="E360:P360" si="39">SUM(E325:E359)</f>
        <v>0</v>
      </c>
      <c r="F360" s="4145">
        <f t="shared" si="39"/>
        <v>0</v>
      </c>
      <c r="G360" s="4145">
        <f t="shared" si="39"/>
        <v>0</v>
      </c>
      <c r="H360" s="4145">
        <f t="shared" si="39"/>
        <v>0</v>
      </c>
      <c r="I360" s="4145">
        <f t="shared" si="39"/>
        <v>0</v>
      </c>
      <c r="J360" s="4145">
        <f t="shared" si="39"/>
        <v>0</v>
      </c>
      <c r="K360" s="4145">
        <f t="shared" si="39"/>
        <v>0</v>
      </c>
      <c r="L360" s="4145">
        <f t="shared" si="39"/>
        <v>0</v>
      </c>
      <c r="M360" s="4145">
        <f t="shared" si="39"/>
        <v>0</v>
      </c>
      <c r="N360" s="4145">
        <f t="shared" si="39"/>
        <v>0</v>
      </c>
      <c r="O360" s="4145">
        <f t="shared" si="39"/>
        <v>0</v>
      </c>
      <c r="P360" s="4214">
        <f t="shared" si="39"/>
        <v>0</v>
      </c>
      <c r="Q360" s="4146"/>
      <c r="R360" s="4189"/>
      <c r="S360" s="4189"/>
      <c r="T360" s="4189"/>
      <c r="U360" s="4189"/>
      <c r="V360" s="4189"/>
    </row>
    <row r="363" spans="2:22" s="4097" customFormat="1" ht="21.75" thickBot="1" x14ac:dyDescent="0.3">
      <c r="B363" s="4094"/>
      <c r="C363" s="4095" t="s">
        <v>472</v>
      </c>
      <c r="D363" s="4096" t="s">
        <v>494</v>
      </c>
      <c r="E363" s="1647"/>
      <c r="F363" s="1647"/>
      <c r="G363" s="1647"/>
      <c r="H363" s="1647"/>
      <c r="I363" s="1647"/>
      <c r="J363" s="1647"/>
      <c r="K363" s="1647"/>
      <c r="L363" s="1647"/>
      <c r="M363" s="1647"/>
      <c r="N363" s="1647"/>
      <c r="O363" s="1647"/>
      <c r="P363" s="1647"/>
    </row>
    <row r="364" spans="2:22" ht="15.75" thickBot="1" x14ac:dyDescent="0.3">
      <c r="B364" s="4098" t="s">
        <v>3</v>
      </c>
      <c r="C364" s="4098" t="s">
        <v>4</v>
      </c>
      <c r="D364" s="4099" t="s">
        <v>444</v>
      </c>
      <c r="E364" s="4100" t="s">
        <v>16</v>
      </c>
      <c r="F364" s="4098">
        <f>F$7</f>
        <v>2014</v>
      </c>
      <c r="G364" s="4098">
        <f t="shared" ref="G364:P364" si="40">G$7</f>
        <v>2015</v>
      </c>
      <c r="H364" s="4098">
        <f t="shared" si="40"/>
        <v>2016</v>
      </c>
      <c r="I364" s="4098">
        <f t="shared" si="40"/>
        <v>2017</v>
      </c>
      <c r="J364" s="4098">
        <f t="shared" si="40"/>
        <v>2018</v>
      </c>
      <c r="K364" s="4098">
        <f t="shared" si="40"/>
        <v>2019</v>
      </c>
      <c r="L364" s="4098">
        <f t="shared" si="40"/>
        <v>2020</v>
      </c>
      <c r="M364" s="4098">
        <f t="shared" si="40"/>
        <v>2021</v>
      </c>
      <c r="N364" s="4098">
        <f t="shared" si="40"/>
        <v>2022</v>
      </c>
      <c r="O364" s="4098">
        <f t="shared" si="40"/>
        <v>2023</v>
      </c>
      <c r="P364" s="4098">
        <f t="shared" si="40"/>
        <v>2024</v>
      </c>
    </row>
    <row r="365" spans="2:22" x14ac:dyDescent="0.25">
      <c r="B365" s="4102" t="s">
        <v>2</v>
      </c>
      <c r="C365" s="4102" t="s">
        <v>455</v>
      </c>
      <c r="D365" s="4127"/>
      <c r="E365" s="4105"/>
      <c r="F365" s="4106"/>
      <c r="G365" s="4106"/>
      <c r="H365" s="4106"/>
      <c r="I365" s="4106"/>
      <c r="J365" s="4106"/>
      <c r="K365" s="4106"/>
      <c r="L365" s="4106"/>
      <c r="M365" s="4106"/>
      <c r="N365" s="4106"/>
      <c r="O365" s="4106"/>
      <c r="P365" s="4106"/>
    </row>
    <row r="366" spans="2:22" x14ac:dyDescent="0.25">
      <c r="B366" s="4129"/>
      <c r="C366" s="1897" t="str">
        <f t="shared" ref="C366:C386" si="41">C325</f>
        <v>Household survey to assess solid waste services</v>
      </c>
      <c r="D366" s="4202"/>
      <c r="E366" s="5731">
        <f>SUM($F366:$P366)</f>
        <v>0</v>
      </c>
      <c r="F366" s="4124"/>
      <c r="G366" s="4113">
        <f>IFERROR(IF('SW Plan'!$E$22="Activate",IF(G$364&gt;'SW Plan'!$H$22,IF(MOD(G$364-'SW Plan'!$H$22,'SW Plan'!$H$25)=0,'SW Plan'!$H$27,0),0))*G$2/CurrencyMultiplier,0)</f>
        <v>0</v>
      </c>
      <c r="H366" s="4113">
        <f>IFERROR(IF('SW Plan'!$E$22="Activate",IF(H$364&gt;'SW Plan'!$H$22,IF(MOD(H$364-'SW Plan'!$H$22,'SW Plan'!$H$25)=0,'SW Plan'!$H$27,0),0))*H$2/CurrencyMultiplier,0)</f>
        <v>0</v>
      </c>
      <c r="I366" s="4113">
        <f>IFERROR(IF('SW Plan'!$E$22="Activate",IF(I$364&gt;'SW Plan'!$H$22,IF(MOD(I$364-'SW Plan'!$H$22,'SW Plan'!$H$25)=0,'SW Plan'!$H$27,0),0))*I$2/CurrencyMultiplier,0)</f>
        <v>0</v>
      </c>
      <c r="J366" s="4113">
        <f>IFERROR(IF('SW Plan'!$E$22="Activate",IF(J$364&gt;'SW Plan'!$H$22,IF(MOD(J$364-'SW Plan'!$H$22,'SW Plan'!$H$25)=0,'SW Plan'!$H$27,0),0))*J$2/CurrencyMultiplier,0)</f>
        <v>0</v>
      </c>
      <c r="K366" s="4113">
        <f>IFERROR(IF('SW Plan'!$E$22="Activate",IF(K$364&gt;'SW Plan'!$H$22,IF(MOD(K$364-'SW Plan'!$H$22,'SW Plan'!$H$25)=0,'SW Plan'!$H$27,0),0))*K$2/CurrencyMultiplier,0)</f>
        <v>0</v>
      </c>
      <c r="L366" s="4113">
        <f>IFERROR(IF('SW Plan'!$E$22="Activate",IF(L$364&gt;'SW Plan'!$H$22,IF(MOD(L$364-'SW Plan'!$H$22,'SW Plan'!$H$25)=0,'SW Plan'!$H$27,0),0))*L$2/CurrencyMultiplier,0)</f>
        <v>0</v>
      </c>
      <c r="M366" s="4113">
        <f>IFERROR(IF('SW Plan'!$E$22="Activate",IF(M$364&gt;'SW Plan'!$H$22,IF(MOD(M$364-'SW Plan'!$H$22,'SW Plan'!$H$25)=0,'SW Plan'!$H$27,0),0))*M$2/CurrencyMultiplier,0)</f>
        <v>0</v>
      </c>
      <c r="N366" s="4113">
        <f>IFERROR(IF('SW Plan'!$E$22="Activate",IF(N$364&gt;'SW Plan'!$H$22,IF(MOD(N$364-'SW Plan'!$H$22,'SW Plan'!$H$25)=0,'SW Plan'!$H$27,0),0))*N$2/CurrencyMultiplier,0)</f>
        <v>0</v>
      </c>
      <c r="O366" s="4113">
        <f>IFERROR(IF('SW Plan'!$E$22="Activate",IF(O$364&gt;'SW Plan'!$H$22,IF(MOD(O$364-'SW Plan'!$H$22,'SW Plan'!$H$25)=0,'SW Plan'!$H$27,0),0))*O$2/CurrencyMultiplier,0)</f>
        <v>0</v>
      </c>
      <c r="P366" s="4113">
        <f>IFERROR(IF('SW Plan'!$E$22="Activate",IF(P$364&gt;'SW Plan'!$H$22,IF(MOD(P$364-'SW Plan'!$H$22,'SW Plan'!$H$25)=0,'SW Plan'!$H$27,0),0))*P$2/CurrencyMultiplier,0)</f>
        <v>0</v>
      </c>
    </row>
    <row r="367" spans="2:22" x14ac:dyDescent="0.25">
      <c r="B367" s="4129"/>
      <c r="C367" s="1897" t="str">
        <f t="shared" si="41"/>
        <v>Computerise solid waste records</v>
      </c>
      <c r="D367" s="4202">
        <f>'SW Plan'!H30</f>
        <v>0</v>
      </c>
      <c r="E367" s="5731">
        <f>SUM($F367:$P367)</f>
        <v>0</v>
      </c>
      <c r="F367" s="4124"/>
      <c r="G367" s="4113">
        <f>IF('SW Plan'!$E$28="Activate",IF(G$364&gt;'SW Plan'!$H$28,$D367,0),0)*G$2/CurrencyMultiplier</f>
        <v>0</v>
      </c>
      <c r="H367" s="4113">
        <f>IF('SW Plan'!$E$28="Activate",IF(H$364&gt;'SW Plan'!$H$28,$D367,0),0)*H$2/CurrencyMultiplier</f>
        <v>0</v>
      </c>
      <c r="I367" s="4113">
        <f>IF('SW Plan'!$E$28="Activate",IF(I$364&gt;'SW Plan'!$H$28,$D367,0),0)*I$2/CurrencyMultiplier</f>
        <v>0</v>
      </c>
      <c r="J367" s="4113">
        <f>IF('SW Plan'!$E$28="Activate",IF(J$364&gt;'SW Plan'!$H$28,$D367,0),0)*J$2/CurrencyMultiplier</f>
        <v>0</v>
      </c>
      <c r="K367" s="4113">
        <f>IF('SW Plan'!$E$28="Activate",IF(K$364&gt;'SW Plan'!$H$28,$D367,0),0)*K$2/CurrencyMultiplier</f>
        <v>0</v>
      </c>
      <c r="L367" s="4113">
        <f>IF('SW Plan'!$E$28="Activate",IF(L$364&gt;'SW Plan'!$H$28,$D367,0),0)*L$2/CurrencyMultiplier</f>
        <v>0</v>
      </c>
      <c r="M367" s="4113">
        <f>IF('SW Plan'!$E$28="Activate",IF(M$364&gt;'SW Plan'!$H$28,$D367,0),0)*M$2/CurrencyMultiplier</f>
        <v>0</v>
      </c>
      <c r="N367" s="4113">
        <f>IF('SW Plan'!$E$28="Activate",IF(N$364&gt;'SW Plan'!$H$28,$D367,0),0)*N$2/CurrencyMultiplier</f>
        <v>0</v>
      </c>
      <c r="O367" s="4113">
        <f>IF('SW Plan'!$E$28="Activate",IF(O$364&gt;'SW Plan'!$H$28,$D367,0),0)*O$2/CurrencyMultiplier</f>
        <v>0</v>
      </c>
      <c r="P367" s="4113">
        <f>IF('SW Plan'!$E$28="Activate",IF(P$364&gt;'SW Plan'!$H$28,$D367,0),0)*P$2/CurrencyMultiplier</f>
        <v>0</v>
      </c>
    </row>
    <row r="368" spans="2:22" ht="30" x14ac:dyDescent="0.25">
      <c r="B368" s="4129"/>
      <c r="C368" s="1897" t="str">
        <f t="shared" si="41"/>
        <v>Prepare management plan to efficiently deploy manpower and resources</v>
      </c>
      <c r="D368" s="4202"/>
      <c r="E368" s="4120"/>
      <c r="F368" s="4124"/>
      <c r="G368" s="4113"/>
      <c r="H368" s="4113"/>
      <c r="I368" s="4113"/>
      <c r="J368" s="4113"/>
      <c r="K368" s="4113"/>
      <c r="L368" s="4113"/>
      <c r="M368" s="4113"/>
      <c r="N368" s="4113"/>
      <c r="O368" s="4113"/>
      <c r="P368" s="4113"/>
    </row>
    <row r="369" spans="2:16" ht="30" x14ac:dyDescent="0.25">
      <c r="B369" s="4129"/>
      <c r="C369" s="1897" t="str">
        <f t="shared" si="41"/>
        <v>Procure equipments for street sweeping and drain cleaning</v>
      </c>
      <c r="D369" s="4165">
        <f>IF('SW Plan'!$E$38="Activate",'SW Plan'!$H$44,0)</f>
        <v>0</v>
      </c>
      <c r="E369" s="4120">
        <f>SUM($F369:$P369)</f>
        <v>0</v>
      </c>
      <c r="F369" s="4124"/>
      <c r="G369" s="4113">
        <f>IF('SW Plan'!$E$38="Activate",IF(G$364&gt;'SW Plan'!$G$38,$D369*SUM('PIP finance'!$F$328:G328),0),0)*G$2</f>
        <v>0</v>
      </c>
      <c r="H369" s="4113">
        <f>IF('SW Plan'!$E$38="Activate",IF(H$364&gt;'SW Plan'!$G$38,$D369*SUM('PIP finance'!$F$328:H328),0),0)*H$2</f>
        <v>0</v>
      </c>
      <c r="I369" s="4113">
        <f>IF('SW Plan'!$E$38="Activate",IF(I$364&gt;'SW Plan'!$G$38,$D369*SUM('PIP finance'!$F$328:I328),0),0)*I$2</f>
        <v>0</v>
      </c>
      <c r="J369" s="4113">
        <f>IF('SW Plan'!$E$38="Activate",IF(J$364&gt;'SW Plan'!$G$38,$D369*SUM('PIP finance'!$F$328:J328),0),0)*J$2</f>
        <v>0</v>
      </c>
      <c r="K369" s="4113">
        <f>IF('SW Plan'!$E$38="Activate",IF(K$364&gt;'SW Plan'!$G$38,$D369*SUM('PIP finance'!$F$328:K328),0),0)*K$2</f>
        <v>0</v>
      </c>
      <c r="L369" s="4113">
        <f>IF('SW Plan'!$E$38="Activate",IF(L$364&gt;'SW Plan'!$G$38,$D369*SUM('PIP finance'!$F$328:L328),0),0)*L$2</f>
        <v>0</v>
      </c>
      <c r="M369" s="4113">
        <f>IF('SW Plan'!$E$38="Activate",IF(M$364&gt;'SW Plan'!$G$38,$D369*SUM('PIP finance'!$F$328:M328),0),0)*M$2</f>
        <v>0</v>
      </c>
      <c r="N369" s="4113">
        <f>IF('SW Plan'!$E$38="Activate",IF(N$364&gt;'SW Plan'!$G$38,$D369*SUM('PIP finance'!$F$328:N328),0),0)*N$2</f>
        <v>0</v>
      </c>
      <c r="O369" s="4113">
        <f>IF('SW Plan'!$E$38="Activate",IF(O$364&gt;'SW Plan'!$G$38,$D369*SUM('PIP finance'!$F$328:O328),0),0)*O$2</f>
        <v>0</v>
      </c>
      <c r="P369" s="4113">
        <f>IF('SW Plan'!$E$38="Activate",IF(P$364&gt;'SW Plan'!$G$38,$D369*SUM('PIP finance'!$F$328:P328),0),0)*P$2</f>
        <v>0</v>
      </c>
    </row>
    <row r="370" spans="2:16" s="4118" customFormat="1" ht="45" x14ac:dyDescent="0.25">
      <c r="B370" s="4133"/>
      <c r="C370" s="1897" t="str">
        <f t="shared" si="41"/>
        <v xml:space="preserve">Procure equipments for door to door solid waste collection (collection bins, ghantagaadis, containerised cycle rickshaw, handcarts etc.) </v>
      </c>
      <c r="D370" s="4215"/>
      <c r="E370" s="4120">
        <f>SUM($F370:$P370)</f>
        <v>0</v>
      </c>
      <c r="F370" s="4199"/>
      <c r="G370" s="4113">
        <f>('MSW calcu'!$E$46*SUM('MSW calcu'!$F$46:G46)+'MSW calcu'!$E$47*SUM('MSW calcu'!$F$47:G47))*G$2</f>
        <v>0</v>
      </c>
      <c r="H370" s="4113">
        <f>('MSW calcu'!$E$46*SUM('MSW calcu'!$F$46:H46)+'MSW calcu'!$E$47*SUM('MSW calcu'!$F$47:H47))*H$2</f>
        <v>0</v>
      </c>
      <c r="I370" s="4113">
        <f>('MSW calcu'!$E$46*SUM('MSW calcu'!$F$46:I46)+'MSW calcu'!$E$47*SUM('MSW calcu'!$F$47:I47))*I$2</f>
        <v>0</v>
      </c>
      <c r="J370" s="4113">
        <f>('MSW calcu'!$E$46*SUM('MSW calcu'!$F$46:J46)+'MSW calcu'!$E$47*SUM('MSW calcu'!$F$47:J47))*J$2</f>
        <v>0</v>
      </c>
      <c r="K370" s="4113">
        <f>('MSW calcu'!$E$46*SUM('MSW calcu'!$F$46:K46)+'MSW calcu'!$E$47*SUM('MSW calcu'!$F$47:K47))*K$2</f>
        <v>0</v>
      </c>
      <c r="L370" s="4113">
        <f>('MSW calcu'!$E$46*SUM('MSW calcu'!$F$46:L46)+'MSW calcu'!$E$47*SUM('MSW calcu'!$F$47:L47))*L$2</f>
        <v>0</v>
      </c>
      <c r="M370" s="4113">
        <f>('MSW calcu'!$E$46*SUM('MSW calcu'!$F$46:M46)+'MSW calcu'!$E$47*SUM('MSW calcu'!$F$47:M47))*M$2</f>
        <v>0</v>
      </c>
      <c r="N370" s="4113">
        <f>('MSW calcu'!$E$46*SUM('MSW calcu'!$F$46:N46)+'MSW calcu'!$E$47*SUM('MSW calcu'!$F$47:N47))*N$2</f>
        <v>0</v>
      </c>
      <c r="O370" s="4113">
        <f>('MSW calcu'!$E$46*SUM('MSW calcu'!$F$46:O46)+'MSW calcu'!$E$47*SUM('MSW calcu'!$F$47:O47))*O$2</f>
        <v>0</v>
      </c>
      <c r="P370" s="4113">
        <f>('MSW calcu'!$E$46*SUM('MSW calcu'!$F$46:P46)+'MSW calcu'!$E$47*SUM('MSW calcu'!$F$47:P47))*P$2</f>
        <v>0</v>
      </c>
    </row>
    <row r="371" spans="2:16" ht="45" x14ac:dyDescent="0.25">
      <c r="B371" s="4129"/>
      <c r="C371" s="1897" t="str">
        <f t="shared" si="41"/>
        <v>Information, education and communication (IEC) campaign for awareness of solid waste management</v>
      </c>
      <c r="D371" s="4165"/>
      <c r="E371" s="4120">
        <f>SUM($F371:$P371)</f>
        <v>0</v>
      </c>
      <c r="F371" s="4124"/>
      <c r="G371" s="4134"/>
      <c r="H371" s="4134"/>
      <c r="I371" s="4134"/>
      <c r="J371" s="4134"/>
      <c r="K371" s="4134"/>
      <c r="L371" s="4134"/>
      <c r="M371" s="4134"/>
      <c r="N371" s="4134"/>
      <c r="O371" s="4134"/>
      <c r="P371" s="4134"/>
    </row>
    <row r="372" spans="2:16" s="4118" customFormat="1" ht="30" x14ac:dyDescent="0.25">
      <c r="B372" s="4133"/>
      <c r="C372" s="4130" t="str">
        <f t="shared" si="41"/>
        <v>Employ additional staff on contract for improving solid waste service delivery</v>
      </c>
      <c r="D372" s="4216">
        <f>IF('SW Plan'!$E$59="Activate",'SW Plan'!$H$64+'SW Plan'!$H$69,0)</f>
        <v>0</v>
      </c>
      <c r="E372" s="5731">
        <f>SUM($F372:$P372)</f>
        <v>0</v>
      </c>
      <c r="F372" s="4199"/>
      <c r="G372" s="4134">
        <f>IF('SW Plan'!$E$59="Activate",IF(AND(G$364&gt;='SW Plan'!$G$62,G$323&lt;'SW Plan'!$H$62+1),'SW Plan'!$H$64,0),0)*G$2/CurrencyMultiplier+IF('SW Plan'!$E$59="Activate",IF(AND(G$364&gt;='SW Plan'!$G$65,G$323&lt;'SW Plan'!$H$65+1),'SW Plan'!$H$69,0),0)*G$2/CurrencyMultiplier</f>
        <v>0</v>
      </c>
      <c r="H372" s="4134">
        <f>IF('SW Plan'!$E$59="Activate",IF(AND(H$364&gt;='SW Plan'!$G$62,H$323&lt;'SW Plan'!$H$62+1),'SW Plan'!$H$64,0),0)*H$2/CurrencyMultiplier+IF('SW Plan'!$E$59="Activate",IF(AND(H$364&gt;='SW Plan'!$G$65,H$323&lt;'SW Plan'!$H$65+1),'SW Plan'!$H$69,0),0)*H$2/CurrencyMultiplier</f>
        <v>0</v>
      </c>
      <c r="I372" s="4134">
        <f>IF('SW Plan'!$E$59="Activate",IF(AND(I$364&gt;='SW Plan'!$G$62,I$323&lt;'SW Plan'!$H$62+1),'SW Plan'!$H$64,0),0)*I$2/CurrencyMultiplier+IF('SW Plan'!$E$59="Activate",IF(AND(I$364&gt;='SW Plan'!$G$65,I$323&lt;'SW Plan'!$H$65+1),'SW Plan'!$H$69,0),0)*I$2/CurrencyMultiplier</f>
        <v>0</v>
      </c>
      <c r="J372" s="4134">
        <f>IF('SW Plan'!$E$59="Activate",IF(AND(J$364&gt;='SW Plan'!$G$62,J$323&lt;'SW Plan'!$H$62+1),'SW Plan'!$H$64,0),0)*J$2/CurrencyMultiplier+IF('SW Plan'!$E$59="Activate",IF(AND(J$364&gt;='SW Plan'!$G$65,J$323&lt;'SW Plan'!$H$65+1),'SW Plan'!$H$69,0),0)*J$2/CurrencyMultiplier</f>
        <v>0</v>
      </c>
      <c r="K372" s="4134">
        <f>IF('SW Plan'!$E$59="Activate",IF(AND(K$364&gt;='SW Plan'!$G$62,K$323&lt;'SW Plan'!$H$62+1),'SW Plan'!$H$64,0),0)*K$2/CurrencyMultiplier+IF('SW Plan'!$E$59="Activate",IF(AND(K$364&gt;='SW Plan'!$G$65,K$323&lt;'SW Plan'!$H$65+1),'SW Plan'!$H$69,0),0)*K$2/CurrencyMultiplier</f>
        <v>0</v>
      </c>
      <c r="L372" s="4134">
        <f>IF('SW Plan'!$E$59="Activate",IF(AND(L$364&gt;='SW Plan'!$G$62,L$323&lt;'SW Plan'!$H$62+1),'SW Plan'!$H$64,0),0)*L$2/CurrencyMultiplier+IF('SW Plan'!$E$59="Activate",IF(AND(L$364&gt;='SW Plan'!$G$65,L$323&lt;'SW Plan'!$H$65+1),'SW Plan'!$H$69,0),0)*L$2/CurrencyMultiplier</f>
        <v>0</v>
      </c>
      <c r="M372" s="4134">
        <f>IF('SW Plan'!$E$59="Activate",IF(AND(M$364&gt;='SW Plan'!$G$62,M$323&lt;'SW Plan'!$H$62+1),'SW Plan'!$H$64,0),0)*M$2/CurrencyMultiplier+IF('SW Plan'!$E$59="Activate",IF(AND(M$364&gt;='SW Plan'!$G$65,M$323&lt;'SW Plan'!$H$65+1),'SW Plan'!$H$69,0),0)*M$2/CurrencyMultiplier</f>
        <v>0</v>
      </c>
      <c r="N372" s="4134">
        <f>IF('SW Plan'!$E$59="Activate",IF(AND(N$364&gt;='SW Plan'!$G$62,N$323&lt;'SW Plan'!$H$62+1),'SW Plan'!$H$64,0),0)*N$2/CurrencyMultiplier+IF('SW Plan'!$E$59="Activate",IF(AND(N$364&gt;='SW Plan'!$G$65,N$323&lt;'SW Plan'!$H$65+1),'SW Plan'!$H$69,0),0)*N$2/CurrencyMultiplier</f>
        <v>0</v>
      </c>
      <c r="O372" s="4134">
        <f>IF('SW Plan'!$E$59="Activate",IF(AND(O$364&gt;='SW Plan'!$G$62,O$323&lt;'SW Plan'!$H$62+1),'SW Plan'!$H$64,0),0)*O$2/CurrencyMultiplier+IF('SW Plan'!$E$59="Activate",IF(AND(O$364&gt;='SW Plan'!$G$65,O$323&lt;'SW Plan'!$H$65+1),'SW Plan'!$H$69,0),0)*O$2/CurrencyMultiplier</f>
        <v>0</v>
      </c>
      <c r="P372" s="4134">
        <f>IF('SW Plan'!$E$59="Activate",IF(AND(P$364&gt;='SW Plan'!$G$62,P$323&lt;'SW Plan'!$H$62+1),'SW Plan'!$H$64,0),0)*P$2/CurrencyMultiplier+IF('SW Plan'!$E$59="Activate",IF(AND(P$364&gt;='SW Plan'!$G$65,P$323&lt;'SW Plan'!$H$65+1),'SW Plan'!$H$69,0),0)*P$2/CurrencyMultiplier</f>
        <v>0</v>
      </c>
    </row>
    <row r="373" spans="2:16" s="4118" customFormat="1" ht="30" x14ac:dyDescent="0.25">
      <c r="B373" s="4133"/>
      <c r="C373" s="4130" t="str">
        <f t="shared" si="41"/>
        <v>Engage with private service providers to provide solid waste services</v>
      </c>
      <c r="D373" s="4216">
        <f>(IF('SW Plan'!$E$70="Activate",('SW Plan'!$H$73*12)+'SW Plan'!$H$75,0)+IF('SW Plan'!$E$70="Activate",('SW Plan'!$H$80*12)+'SW Plan'!$H$82,0))</f>
        <v>0</v>
      </c>
      <c r="E373" s="5731">
        <f>SUM($F373:$P373)</f>
        <v>0</v>
      </c>
      <c r="F373" s="4199"/>
      <c r="G373" s="4134">
        <f>IF('SW Plan'!$E$70="Activate",IF(AND(G$364&gt;='SW Plan'!$G$71,G$364&lt;'SW Plan'!$H$71+1),('SW Plan'!$H$73*12)+'SW Plan'!$H$75,0),0)*G$2/CurrencyMultiplier+(IF('SW Plan'!$E$70="Activate",IF(AND(G$364&gt;='SW Plan'!$G$76,G$364&lt;'SW Plan'!$H$76+1),('SW Plan'!$H$80*12)+'SW Plan'!$H$82,0),0)*G$2/CurrencyMultiplier)</f>
        <v>0</v>
      </c>
      <c r="H373" s="4134">
        <f>IF('SW Plan'!$E$70="Activate",IF(AND(H$364&gt;='SW Plan'!$G$71,H$364&lt;'SW Plan'!$H$71+1),('SW Plan'!$H$73*12)+'SW Plan'!$H$75,0),0)*H$2/CurrencyMultiplier+(IF('SW Plan'!$E$70="Activate",IF(AND(H$364&gt;='SW Plan'!$G$76,H$364&lt;'SW Plan'!$H$76+1),('SW Plan'!$H$80*12)+'SW Plan'!$H$82,0),0)*H$2/CurrencyMultiplier)</f>
        <v>0</v>
      </c>
      <c r="I373" s="4134">
        <f>IF('SW Plan'!$E$70="Activate",IF(AND(I$364&gt;='SW Plan'!$G$71,I$364&lt;'SW Plan'!$H$71+1),('SW Plan'!$H$73*12)+'SW Plan'!$H$75,0),0)*I$2/CurrencyMultiplier+(IF('SW Plan'!$E$70="Activate",IF(AND(I$364&gt;='SW Plan'!$G$76,I$364&lt;'SW Plan'!$H$76+1),('SW Plan'!$H$80*12)+'SW Plan'!$H$82,0),0)*I$2/CurrencyMultiplier)</f>
        <v>0</v>
      </c>
      <c r="J373" s="4134">
        <f>IF('SW Plan'!$E$70="Activate",IF(AND(J$364&gt;='SW Plan'!$G$71,J$364&lt;'SW Plan'!$H$71+1),('SW Plan'!$H$73*12)+'SW Plan'!$H$75,0),0)*J$2/CurrencyMultiplier+(IF('SW Plan'!$E$70="Activate",IF(AND(J$364&gt;='SW Plan'!$G$76,J$364&lt;'SW Plan'!$H$76+1),('SW Plan'!$H$80*12)+'SW Plan'!$H$82,0),0)*J$2/CurrencyMultiplier)</f>
        <v>0</v>
      </c>
      <c r="K373" s="4134">
        <f>IF('SW Plan'!$E$70="Activate",IF(AND(K$364&gt;='SW Plan'!$G$71,K$364&lt;'SW Plan'!$H$71+1),('SW Plan'!$H$73*12)+'SW Plan'!$H$75,0),0)*K$2/CurrencyMultiplier+(IF('SW Plan'!$E$70="Activate",IF(AND(K$364&gt;='SW Plan'!$G$76,K$364&lt;'SW Plan'!$H$76+1),('SW Plan'!$H$80*12)+'SW Plan'!$H$82,0),0)*K$2/CurrencyMultiplier)</f>
        <v>0</v>
      </c>
      <c r="L373" s="4134">
        <f>IF('SW Plan'!$E$70="Activate",IF(AND(L$364&gt;='SW Plan'!$G$71,L$364&lt;'SW Plan'!$H$71+1),('SW Plan'!$H$73*12)+'SW Plan'!$H$75,0),0)*L$2/CurrencyMultiplier+(IF('SW Plan'!$E$70="Activate",IF(AND(L$364&gt;='SW Plan'!$G$76,L$364&lt;'SW Plan'!$H$76+1),('SW Plan'!$H$80*12)+'SW Plan'!$H$82,0),0)*L$2/CurrencyMultiplier)</f>
        <v>0</v>
      </c>
      <c r="M373" s="4134">
        <f>IF('SW Plan'!$E$70="Activate",IF(AND(M$364&gt;='SW Plan'!$G$71,M$364&lt;'SW Plan'!$H$71+1),('SW Plan'!$H$73*12)+'SW Plan'!$H$75,0),0)*M$2/CurrencyMultiplier+(IF('SW Plan'!$E$70="Activate",IF(AND(M$364&gt;='SW Plan'!$G$76,M$364&lt;'SW Plan'!$H$76+1),('SW Plan'!$H$80*12)+'SW Plan'!$H$82,0),0)*M$2/CurrencyMultiplier)</f>
        <v>0</v>
      </c>
      <c r="N373" s="4134">
        <f>IF('SW Plan'!$E$70="Activate",IF(AND(N$364&gt;='SW Plan'!$G$71,N$364&lt;'SW Plan'!$H$71+1),('SW Plan'!$H$73*12)+'SW Plan'!$H$75,0),0)*N$2/CurrencyMultiplier+(IF('SW Plan'!$E$70="Activate",IF(AND(N$364&gt;='SW Plan'!$G$76,N$364&lt;'SW Plan'!$H$76+1),('SW Plan'!$H$80*12)+'SW Plan'!$H$82,0),0)*N$2/CurrencyMultiplier)</f>
        <v>0</v>
      </c>
      <c r="O373" s="4134">
        <f>IF('SW Plan'!$E$70="Activate",IF(AND(O$364&gt;='SW Plan'!$G$71,O$364&lt;'SW Plan'!$H$71+1),('SW Plan'!$H$73*12)+'SW Plan'!$H$75,0),0)*O$2/CurrencyMultiplier+(IF('SW Plan'!$E$70="Activate",IF(AND(O$364&gt;='SW Plan'!$G$76,O$364&lt;'SW Plan'!$H$76+1),('SW Plan'!$H$80*12)+'SW Plan'!$H$82,0),0)*O$2/CurrencyMultiplier)</f>
        <v>0</v>
      </c>
      <c r="P373" s="4134">
        <f>IF('SW Plan'!$E$70="Activate",IF(AND(P$364&gt;='SW Plan'!$G$71,P$364&lt;'SW Plan'!$H$71+1),('SW Plan'!$H$73*12)+'SW Plan'!$H$75,0),0)*P$2/CurrencyMultiplier+(IF('SW Plan'!$E$70="Activate",IF(AND(P$364&gt;='SW Plan'!$G$76,P$364&lt;'SW Plan'!$H$76+1),('SW Plan'!$H$80*12)+'SW Plan'!$H$82,0),0)*P$2/CurrencyMultiplier)</f>
        <v>0</v>
      </c>
    </row>
    <row r="374" spans="2:16" x14ac:dyDescent="0.25">
      <c r="B374" s="4102" t="s">
        <v>8</v>
      </c>
      <c r="C374" s="4217" t="str">
        <f t="shared" si="41"/>
        <v>Service levels &amp; quality</v>
      </c>
      <c r="D374" s="4218"/>
      <c r="E374" s="4105"/>
      <c r="F374" s="4106"/>
      <c r="G374" s="4106"/>
      <c r="H374" s="4106"/>
      <c r="I374" s="4106"/>
      <c r="J374" s="4106"/>
      <c r="K374" s="4106"/>
      <c r="L374" s="4106"/>
      <c r="M374" s="4106"/>
      <c r="N374" s="4106"/>
      <c r="O374" s="4106"/>
      <c r="P374" s="4106"/>
    </row>
    <row r="375" spans="2:16" ht="30" x14ac:dyDescent="0.25">
      <c r="B375" s="4129"/>
      <c r="C375" s="4219" t="str">
        <f t="shared" si="41"/>
        <v>Track movement of solid waste transportation vehicles to achieve optimum operational efficiency</v>
      </c>
      <c r="D375" s="4165">
        <f>IF('SW Plan'!$E$90="Activate",'SW Plan'!$H$92,0)</f>
        <v>0</v>
      </c>
      <c r="E375" s="4120">
        <f>SUM($F375:$P375)</f>
        <v>0</v>
      </c>
      <c r="F375" s="4121"/>
      <c r="G375" s="4113">
        <f>IF('SW Plan'!$E$90="Activate",IF(G$364&gt;'SW Plan'!$H$90,$D375*SUM('PIP finance'!$F$334:G334),0),0)*G$2</f>
        <v>0</v>
      </c>
      <c r="H375" s="4113">
        <f>IF('SW Plan'!$E$90="Activate",IF(H$364&gt;'SW Plan'!$H$90,$D375*SUM('PIP finance'!$F$334:H334),0),0)*H$2</f>
        <v>0</v>
      </c>
      <c r="I375" s="4113">
        <f>IF('SW Plan'!$E$90="Activate",IF(I$364&gt;'SW Plan'!$H$90,$D375*SUM('PIP finance'!$F$334:I334),0),0)*I$2</f>
        <v>0</v>
      </c>
      <c r="J375" s="4113">
        <f>IF('SW Plan'!$E$90="Activate",IF(J$364&gt;'SW Plan'!$H$90,$D375*SUM('PIP finance'!$F$334:J334),0),0)*J$2</f>
        <v>0</v>
      </c>
      <c r="K375" s="4113">
        <f>IF('SW Plan'!$E$90="Activate",IF(K$364&gt;'SW Plan'!$H$90,$D375*SUM('PIP finance'!$F$334:K334),0),0)*K$2</f>
        <v>0</v>
      </c>
      <c r="L375" s="4113">
        <f>IF('SW Plan'!$E$90="Activate",IF(L$364&gt;'SW Plan'!$H$90,$D375*SUM('PIP finance'!$F$334:L334),0),0)*L$2</f>
        <v>0</v>
      </c>
      <c r="M375" s="4113">
        <f>IF('SW Plan'!$E$90="Activate",IF(M$364&gt;'SW Plan'!$H$90,$D375*SUM('PIP finance'!$F$334:M334),0),0)*M$2</f>
        <v>0</v>
      </c>
      <c r="N375" s="4113">
        <f>IF('SW Plan'!$E$90="Activate",IF(N$364&gt;'SW Plan'!$H$90,$D375*SUM('PIP finance'!$F$334:N334),0),0)*N$2</f>
        <v>0</v>
      </c>
      <c r="O375" s="4113">
        <f>IF('SW Plan'!$E$90="Activate",IF(O$364&gt;'SW Plan'!$H$90,$D375*SUM('PIP finance'!$F$334:O334),0),0)*O$2</f>
        <v>0</v>
      </c>
      <c r="P375" s="4113">
        <f>IF('SW Plan'!$E$90="Activate",IF(P$364&gt;'SW Plan'!$H$90,$D375*SUM('PIP finance'!$F$334:P334),0),0)*P$2</f>
        <v>0</v>
      </c>
    </row>
    <row r="376" spans="2:16" ht="30" x14ac:dyDescent="0.25">
      <c r="B376" s="4129"/>
      <c r="C376" s="1897" t="str">
        <f t="shared" si="41"/>
        <v>Improve processes for maintaining daily logs of solid waste across SWM value chain</v>
      </c>
      <c r="D376" s="4165"/>
      <c r="E376" s="4120"/>
      <c r="F376" s="4121"/>
      <c r="G376" s="4135"/>
      <c r="H376" s="4135"/>
      <c r="I376" s="4135"/>
      <c r="J376" s="4135"/>
      <c r="K376" s="4135"/>
      <c r="L376" s="4135"/>
      <c r="M376" s="4135"/>
      <c r="N376" s="4135"/>
      <c r="O376" s="4135"/>
      <c r="P376" s="4135"/>
    </row>
    <row r="377" spans="2:16" ht="30" x14ac:dyDescent="0.25">
      <c r="B377" s="4129"/>
      <c r="C377" s="1897" t="str">
        <f t="shared" si="41"/>
        <v>Process for periodic estimation of recyclable material collected by recyclers</v>
      </c>
      <c r="D377" s="4165"/>
      <c r="E377" s="4120"/>
      <c r="F377" s="4121"/>
      <c r="G377" s="4113"/>
      <c r="H377" s="4113"/>
      <c r="I377" s="4113"/>
      <c r="J377" s="4113"/>
      <c r="K377" s="4113"/>
      <c r="L377" s="4113"/>
      <c r="M377" s="4113"/>
      <c r="N377" s="4113"/>
      <c r="O377" s="4113"/>
      <c r="P377" s="4113"/>
    </row>
    <row r="378" spans="2:16" s="4207" customFormat="1" ht="30" x14ac:dyDescent="0.25">
      <c r="B378" s="4129"/>
      <c r="C378" s="1897" t="str">
        <f t="shared" si="41"/>
        <v xml:space="preserve">Segregation of collection and transportation of solid waste </v>
      </c>
      <c r="D378" s="4220"/>
      <c r="E378" s="4120">
        <f>SUM($F378:$P378)</f>
        <v>0</v>
      </c>
      <c r="F378" s="4206"/>
      <c r="G378" s="4134"/>
      <c r="H378" s="4134"/>
      <c r="I378" s="4134"/>
      <c r="J378" s="4134"/>
      <c r="K378" s="4134"/>
      <c r="L378" s="4134"/>
      <c r="M378" s="4134"/>
      <c r="N378" s="4134"/>
      <c r="O378" s="4134"/>
      <c r="P378" s="4134"/>
    </row>
    <row r="379" spans="2:16" ht="30" x14ac:dyDescent="0.25">
      <c r="B379" s="4129"/>
      <c r="C379" s="1897" t="str">
        <f t="shared" si="41"/>
        <v>Improve solid waste collection through secondary storage bins</v>
      </c>
      <c r="D379" s="4165">
        <f>IF('SW Plan'!$E$106="Activate",'SW Plan'!$H$118,0)</f>
        <v>0</v>
      </c>
      <c r="E379" s="4120">
        <f t="shared" ref="E379:E385" si="42">SUM($F379:$P379)</f>
        <v>0</v>
      </c>
      <c r="F379" s="4121"/>
      <c r="G379" s="4113">
        <f>IF('SW Plan'!$E$106="Activate",IF(G$364&gt;'SW Plan'!$G$106,$D379*SUM('PIP finance'!$F$338:G338),0),0)*G$2</f>
        <v>0</v>
      </c>
      <c r="H379" s="4113">
        <f>IF('SW Plan'!$E$106="Activate",IF(H$364&gt;'SW Plan'!$G$106,$D379*SUM('PIP finance'!$F$338:H338),0),0)*H$2</f>
        <v>0</v>
      </c>
      <c r="I379" s="4113">
        <f>IF('SW Plan'!$E$106="Activate",IF(I$364&gt;'SW Plan'!$G$106,$D379*SUM('PIP finance'!$F$338:I338),0),0)*I$2</f>
        <v>0</v>
      </c>
      <c r="J379" s="4113">
        <f>IF('SW Plan'!$E$106="Activate",IF(J$364&gt;'SW Plan'!$G$106,$D379*SUM('PIP finance'!$F$338:J338),0),0)*J$2</f>
        <v>0</v>
      </c>
      <c r="K379" s="4113">
        <f>IF('SW Plan'!$E$106="Activate",IF(K$364&gt;'SW Plan'!$G$106,$D379*SUM('PIP finance'!$F$338:K338),0),0)*K$2</f>
        <v>0</v>
      </c>
      <c r="L379" s="4113">
        <f>IF('SW Plan'!$E$106="Activate",IF(L$364&gt;'SW Plan'!$G$106,$D379*SUM('PIP finance'!$F$338:L338),0),0)*L$2</f>
        <v>0</v>
      </c>
      <c r="M379" s="4113">
        <f>IF('SW Plan'!$E$106="Activate",IF(M$364&gt;'SW Plan'!$G$106,$D379*SUM('PIP finance'!$F$338:M338),0),0)*M$2</f>
        <v>0</v>
      </c>
      <c r="N379" s="4113">
        <f>IF('SW Plan'!$E$106="Activate",IF(N$364&gt;'SW Plan'!$G$106,$D379*SUM('PIP finance'!$F$338:N338),0),0)*N$2</f>
        <v>0</v>
      </c>
      <c r="O379" s="4113">
        <f>IF('SW Plan'!$E$106="Activate",IF(O$364&gt;'SW Plan'!$G$106,$D379*SUM('PIP finance'!$F$338:O338),0),0)*O$2</f>
        <v>0</v>
      </c>
      <c r="P379" s="4113">
        <f>IF('SW Plan'!$E$106="Activate",IF(P$364&gt;'SW Plan'!$G$106,$D379*SUM('PIP finance'!$F$338:P338),0),0)*P$2</f>
        <v>0</v>
      </c>
    </row>
    <row r="380" spans="2:16" s="4207" customFormat="1" x14ac:dyDescent="0.25">
      <c r="B380" s="4129"/>
      <c r="C380" s="4166" t="str">
        <f t="shared" si="41"/>
        <v>Install litter bins at public places</v>
      </c>
      <c r="D380" s="4165">
        <f>IF('SW Plan'!$E$119="Activate",'SW Plan'!$H$122,0)</f>
        <v>0</v>
      </c>
      <c r="E380" s="4120">
        <f t="shared" si="42"/>
        <v>0</v>
      </c>
      <c r="F380" s="4206"/>
      <c r="G380" s="4113">
        <f>IF('SW Plan'!$E$119="Activate",IF(G$364&gt;'SW Plan'!$G$119,$D380*SUM('PIP finance'!$F$339:G339),0),0)*G$2</f>
        <v>0</v>
      </c>
      <c r="H380" s="4113">
        <f>IF('SW Plan'!$E$119="Activate",IF(H$364&gt;'SW Plan'!$G$119,$D380*SUM('PIP finance'!$F$339:H339),0),0)*H$2</f>
        <v>0</v>
      </c>
      <c r="I380" s="4113">
        <f>IF('SW Plan'!$E$119="Activate",IF(I$364&gt;'SW Plan'!$G$119,$D380*SUM('PIP finance'!$F$339:I339),0),0)*I$2</f>
        <v>0</v>
      </c>
      <c r="J380" s="4113">
        <f>IF('SW Plan'!$E$119="Activate",IF(J$364&gt;'SW Plan'!$G$119,$D380*SUM('PIP finance'!$F$339:J339),0),0)*J$2</f>
        <v>0</v>
      </c>
      <c r="K380" s="4113">
        <f>IF('SW Plan'!$E$119="Activate",IF(K$364&gt;'SW Plan'!$G$119,$D380*SUM('PIP finance'!$F$339:K339),0),0)*K$2</f>
        <v>0</v>
      </c>
      <c r="L380" s="4113">
        <f>IF('SW Plan'!$E$119="Activate",IF(L$364&gt;'SW Plan'!$G$119,$D380*SUM('PIP finance'!$F$339:L339),0),0)*L$2</f>
        <v>0</v>
      </c>
      <c r="M380" s="4113">
        <f>IF('SW Plan'!$E$119="Activate",IF(M$364&gt;'SW Plan'!$G$119,$D380*SUM('PIP finance'!$F$339:M339),0),0)*M$2</f>
        <v>0</v>
      </c>
      <c r="N380" s="4113">
        <f>IF('SW Plan'!$E$119="Activate",IF(N$364&gt;'SW Plan'!$G$119,$D380*SUM('PIP finance'!$F$339:N339),0),0)*N$2</f>
        <v>0</v>
      </c>
      <c r="O380" s="4113">
        <f>IF('SW Plan'!$E$119="Activate",IF(O$364&gt;'SW Plan'!$G$119,$D380*SUM('PIP finance'!$F$339:O339),0),0)*O$2</f>
        <v>0</v>
      </c>
      <c r="P380" s="4113">
        <f>IF('SW Plan'!$E$119="Activate",IF(P$364&gt;'SW Plan'!$G$119,$D380*SUM('PIP finance'!$F$339:P339),0),0)*P$2</f>
        <v>0</v>
      </c>
    </row>
    <row r="381" spans="2:16" s="4207" customFormat="1" ht="30" x14ac:dyDescent="0.25">
      <c r="B381" s="4129"/>
      <c r="C381" s="4166" t="str">
        <f t="shared" si="41"/>
        <v>Improve collection efficiency of solid waste with existing vehicles</v>
      </c>
      <c r="D381" s="4221">
        <f>'SW Plan'!H134*365/CurrencyMultiplier</f>
        <v>0</v>
      </c>
      <c r="E381" s="5731">
        <f t="shared" si="42"/>
        <v>0</v>
      </c>
      <c r="F381" s="4206"/>
      <c r="G381" s="4113">
        <f>SUM('MSW calcu'!$F$103:'MSW calcu'!G$103)*$D$381*G$2</f>
        <v>0</v>
      </c>
      <c r="H381" s="4113">
        <f>SUM('MSW calcu'!$F$103:'MSW calcu'!H$103)*$D$381*H$2</f>
        <v>0</v>
      </c>
      <c r="I381" s="4113">
        <f>SUM('MSW calcu'!$F$103:'MSW calcu'!I$103)*$D$381*I$2</f>
        <v>0</v>
      </c>
      <c r="J381" s="4113">
        <f>SUM('MSW calcu'!$F$103:'MSW calcu'!J$103)*$D$381*J$2</f>
        <v>0</v>
      </c>
      <c r="K381" s="4113">
        <f>SUM('MSW calcu'!$F$103:'MSW calcu'!K$103)*$D$381*K$2</f>
        <v>0</v>
      </c>
      <c r="L381" s="4113">
        <f>SUM('MSW calcu'!$F$103:'MSW calcu'!L$103)*$D$381*L$2</f>
        <v>0</v>
      </c>
      <c r="M381" s="4113">
        <f>SUM('MSW calcu'!$F$103:'MSW calcu'!M$103)*$D$381*M$2</f>
        <v>0</v>
      </c>
      <c r="N381" s="4113">
        <f>SUM('MSW calcu'!$F$103:'MSW calcu'!N$103)*$D$381*N$2</f>
        <v>0</v>
      </c>
      <c r="O381" s="4113">
        <f>SUM('MSW calcu'!$F$103:'MSW calcu'!O$103)*$D$381*O$2</f>
        <v>0</v>
      </c>
      <c r="P381" s="4113">
        <f>SUM('MSW calcu'!$F$103:'MSW calcu'!P$103)*$D$381*P$2</f>
        <v>0</v>
      </c>
    </row>
    <row r="382" spans="2:16" s="4118" customFormat="1" x14ac:dyDescent="0.25">
      <c r="B382" s="4133"/>
      <c r="C382" s="1897" t="str">
        <f t="shared" si="41"/>
        <v>Repair existing solid waste processing plant</v>
      </c>
      <c r="D382" s="4190">
        <f>'SW Plan'!H141/CurrencyMultiplier</f>
        <v>0</v>
      </c>
      <c r="E382" s="5752">
        <f>SUM($F382:$P382)</f>
        <v>0</v>
      </c>
      <c r="F382" s="4134"/>
      <c r="G382" s="4134">
        <f>IF('SW Plan'!$E$135="Activate",IF(G$364&gt;'SW Plan'!$H$135,$D$382,0),0)*G$2</f>
        <v>0</v>
      </c>
      <c r="H382" s="4134">
        <f>IF('SW Plan'!$E$135="Activate",IF(H$364&gt;'SW Plan'!$H$135,$D$382,0),0)*H$2</f>
        <v>0</v>
      </c>
      <c r="I382" s="4134">
        <f>IF('SW Plan'!$E$135="Activate",IF(I$364&gt;'SW Plan'!$H$135,$D$382,0),0)*I$2</f>
        <v>0</v>
      </c>
      <c r="J382" s="4134">
        <f>IF('SW Plan'!$E$135="Activate",IF(J$364&gt;'SW Plan'!$H$135,$D$382,0),0)*J$2</f>
        <v>0</v>
      </c>
      <c r="K382" s="4134">
        <f>IF('SW Plan'!$E$135="Activate",IF(K$364&gt;'SW Plan'!$H$135,$D$382,0),0)*K$2</f>
        <v>0</v>
      </c>
      <c r="L382" s="4134">
        <f>IF('SW Plan'!$E$135="Activate",IF(L$364&gt;'SW Plan'!$H$135,$D$382,0),0)*L$2</f>
        <v>0</v>
      </c>
      <c r="M382" s="4134">
        <f>IF('SW Plan'!$E$135="Activate",IF(M$364&gt;'SW Plan'!$H$135,$D$382,0),0)*M$2</f>
        <v>0</v>
      </c>
      <c r="N382" s="4134">
        <f>IF('SW Plan'!$E$135="Activate",IF(N$364&gt;'SW Plan'!$H$135,$D$382,0),0)*N$2</f>
        <v>0</v>
      </c>
      <c r="O382" s="4134">
        <f>IF('SW Plan'!$E$135="Activate",IF(O$364&gt;'SW Plan'!$H$135,$D$382,0),0)*O$2</f>
        <v>0</v>
      </c>
      <c r="P382" s="4134">
        <f>IF('SW Plan'!$E$135="Activate",IF(P$364&gt;'SW Plan'!$H$135,$D$382,0),0)*P$2</f>
        <v>0</v>
      </c>
    </row>
    <row r="383" spans="2:16" ht="30" x14ac:dyDescent="0.25">
      <c r="B383" s="4129"/>
      <c r="C383" s="1897" t="str">
        <f t="shared" si="41"/>
        <v>Procure new vehicles for solid waste collection and transportation</v>
      </c>
      <c r="D383" s="4165">
        <f>IF('SW Plan'!$E$146="Activate",'SW Plan'!$H$163,0)</f>
        <v>0</v>
      </c>
      <c r="E383" s="5731">
        <f t="shared" si="42"/>
        <v>0</v>
      </c>
      <c r="F383" s="4124"/>
      <c r="G383" s="4113">
        <f>IF('SW Plan'!$E$146="Activate",IF(G$364&gt;'SW Plan'!$G$146,$D383*SUM('PIP finance'!$F$342:G342),0),0)*G$2</f>
        <v>0</v>
      </c>
      <c r="H383" s="4113">
        <f>IF('SW Plan'!$E$146="Activate",IF(H$364&gt;'SW Plan'!$G$146,$D383*SUM('PIP finance'!$F$342:H342),0),0)*H$2</f>
        <v>0</v>
      </c>
      <c r="I383" s="4113">
        <f>IF('SW Plan'!$E$146="Activate",IF(I$364&gt;'SW Plan'!$G$146,$D383*SUM('PIP finance'!$F$342:I342),0),0)*I$2</f>
        <v>0</v>
      </c>
      <c r="J383" s="4113">
        <f>IF('SW Plan'!$E$146="Activate",IF(J$364&gt;'SW Plan'!$G$146,$D383*SUM('PIP finance'!$F$342:J342),0),0)*J$2</f>
        <v>0</v>
      </c>
      <c r="K383" s="4113">
        <f>IF('SW Plan'!$E$146="Activate",IF(K$364&gt;'SW Plan'!$G$146,$D383*SUM('PIP finance'!$F$342:K342),0),0)*K$2</f>
        <v>0</v>
      </c>
      <c r="L383" s="4113">
        <f>IF('SW Plan'!$E$146="Activate",IF(L$364&gt;'SW Plan'!$G$146,$D383*SUM('PIP finance'!$F$342:L342),0),0)*L$2</f>
        <v>0</v>
      </c>
      <c r="M383" s="4113">
        <f>IF('SW Plan'!$E$146="Activate",IF(M$364&gt;'SW Plan'!$G$146,$D383*SUM('PIP finance'!$F$342:M342),0),0)*M$2</f>
        <v>0</v>
      </c>
      <c r="N383" s="4113">
        <f>IF('SW Plan'!$E$146="Activate",IF(N$364&gt;'SW Plan'!$G$146,$D383*SUM('PIP finance'!$F$342:N342),0),0)*N$2</f>
        <v>0</v>
      </c>
      <c r="O383" s="4113">
        <f>IF('SW Plan'!$E$146="Activate",IF(O$364&gt;'SW Plan'!$G$146,$D383*SUM('PIP finance'!$F$342:O342),0),0)*O$2</f>
        <v>0</v>
      </c>
      <c r="P383" s="4113">
        <f>IF('SW Plan'!$E$146="Activate",IF(P$364&gt;'SW Plan'!$G$146,$D383*SUM('PIP finance'!$F$342:P342),0),0)*P$2</f>
        <v>0</v>
      </c>
    </row>
    <row r="384" spans="2:16" x14ac:dyDescent="0.25">
      <c r="B384" s="4129"/>
      <c r="C384" s="1897" t="str">
        <f t="shared" si="41"/>
        <v>Construct new solid waste transfer station</v>
      </c>
      <c r="D384" s="4165">
        <f>IF('SW Plan'!$E$164="Activate",'SW Plan'!$H$170,0)</f>
        <v>0</v>
      </c>
      <c r="E384" s="4120">
        <f t="shared" si="42"/>
        <v>0</v>
      </c>
      <c r="F384" s="4124"/>
      <c r="G384" s="4113">
        <f>IF('SW Plan'!$E$164="Activate",IF(G$364&gt;'SW Plan'!$H$164,$D384*SUM('PIP finance'!$F$343:G343),0),0)*G$2</f>
        <v>0</v>
      </c>
      <c r="H384" s="4113">
        <f>IF('SW Plan'!$E$164="Activate",IF(H$364&gt;'SW Plan'!$H$164,$D384*SUM('PIP finance'!$F$343:H343),0),0)*H$2</f>
        <v>0</v>
      </c>
      <c r="I384" s="4113">
        <f>IF('SW Plan'!$E$164="Activate",IF(I$364&gt;'SW Plan'!$H$164,$D384*SUM('PIP finance'!$F$343:I343),0),0)*I$2</f>
        <v>0</v>
      </c>
      <c r="J384" s="4113">
        <f>IF('SW Plan'!$E$164="Activate",IF(J$364&gt;'SW Plan'!$H$164,$D384*SUM('PIP finance'!$F$343:J343),0),0)*J$2</f>
        <v>0</v>
      </c>
      <c r="K384" s="4113">
        <f>IF('SW Plan'!$E$164="Activate",IF(K$364&gt;'SW Plan'!$H$164,$D384*SUM('PIP finance'!$F$343:K343),0),0)*K$2</f>
        <v>0</v>
      </c>
      <c r="L384" s="4113">
        <f>IF('SW Plan'!$E$164="Activate",IF(L$364&gt;'SW Plan'!$H$164,$D384*SUM('PIP finance'!$F$343:L343),0),0)*L$2</f>
        <v>0</v>
      </c>
      <c r="M384" s="4113">
        <f>IF('SW Plan'!$E$164="Activate",IF(M$364&gt;'SW Plan'!$H$164,$D384*SUM('PIP finance'!$F$343:M343),0),0)*M$2</f>
        <v>0</v>
      </c>
      <c r="N384" s="4113">
        <f>IF('SW Plan'!$E$164="Activate",IF(N$364&gt;'SW Plan'!$H$164,$D384*SUM('PIP finance'!$F$343:N343),0),0)*N$2</f>
        <v>0</v>
      </c>
      <c r="O384" s="4113">
        <f>IF('SW Plan'!$E$164="Activate",IF(O$364&gt;'SW Plan'!$H$164,$D384*SUM('PIP finance'!$F$343:O343),0),0)*O$2</f>
        <v>0</v>
      </c>
      <c r="P384" s="4113">
        <f>IF('SW Plan'!$E$164="Activate",IF(P$364&gt;'SW Plan'!$H$164,$D384*SUM('PIP finance'!$F$343:P343),0),0)*P$2</f>
        <v>0</v>
      </c>
    </row>
    <row r="385" spans="2:16" ht="30" x14ac:dyDescent="0.25">
      <c r="B385" s="4129"/>
      <c r="C385" s="1897" t="str">
        <f t="shared" si="41"/>
        <v>Install weigh bridges to quantify solid waste collected and transported</v>
      </c>
      <c r="D385" s="4165">
        <f>IF('SW Plan'!$E$171="Activate",'SW Plan'!$H$174,0)</f>
        <v>0</v>
      </c>
      <c r="E385" s="4120">
        <f t="shared" si="42"/>
        <v>0</v>
      </c>
      <c r="F385" s="4124"/>
      <c r="G385" s="4113">
        <f>IF('SW Plan'!$E$171="Activate",IF(G$364&gt;'SW Plan'!$H$171,$D385*SUM('PIP finance'!$F$344:G344),0),0)*G$2</f>
        <v>0</v>
      </c>
      <c r="H385" s="4113">
        <f>IF('SW Plan'!$E$171="Activate",IF(H$364&gt;'SW Plan'!$H$171,$D385*SUM('PIP finance'!$F$344:H344),0),0)*H$2</f>
        <v>0</v>
      </c>
      <c r="I385" s="4113">
        <f>IF('SW Plan'!$E$171="Activate",IF(I$364&gt;'SW Plan'!$H$171,$D385*SUM('PIP finance'!$F$344:I344),0),0)*I$2</f>
        <v>0</v>
      </c>
      <c r="J385" s="4113">
        <f>IF('SW Plan'!$E$171="Activate",IF(J$364&gt;'SW Plan'!$H$171,$D385*SUM('PIP finance'!$F$344:J344),0),0)*J$2</f>
        <v>0</v>
      </c>
      <c r="K385" s="4113">
        <f>IF('SW Plan'!$E$171="Activate",IF(K$364&gt;'SW Plan'!$H$171,$D385*SUM('PIP finance'!$F$344:K344),0),0)*K$2</f>
        <v>0</v>
      </c>
      <c r="L385" s="4113">
        <f>IF('SW Plan'!$E$171="Activate",IF(L$364&gt;'SW Plan'!$H$171,$D385*SUM('PIP finance'!$F$344:L344),0),0)*L$2</f>
        <v>0</v>
      </c>
      <c r="M385" s="4113">
        <f>IF('SW Plan'!$E$171="Activate",IF(M$364&gt;'SW Plan'!$H$171,$D385*SUM('PIP finance'!$F$344:M344),0),0)*M$2</f>
        <v>0</v>
      </c>
      <c r="N385" s="4113">
        <f>IF('SW Plan'!$E$171="Activate",IF(N$364&gt;'SW Plan'!$H$171,$D385*SUM('PIP finance'!$F$344:N344),0),0)*N$2</f>
        <v>0</v>
      </c>
      <c r="O385" s="4113">
        <f>IF('SW Plan'!$E$171="Activate",IF(O$364&gt;'SW Plan'!$H$171,$D385*SUM('PIP finance'!$F$344:O344),0),0)*O$2</f>
        <v>0</v>
      </c>
      <c r="P385" s="4113">
        <f>IF('SW Plan'!$E$171="Activate",IF(P$364&gt;'SW Plan'!$H$171,$D385*SUM('PIP finance'!$F$344:P344),0),0)*P$2</f>
        <v>0</v>
      </c>
    </row>
    <row r="386" spans="2:16" x14ac:dyDescent="0.25">
      <c r="B386" s="4129"/>
      <c r="C386" s="1897" t="str">
        <f t="shared" si="41"/>
        <v>Construct new solid waste processing plant</v>
      </c>
      <c r="D386" s="4222">
        <f>IF('SW Plan'!$E$175="Activate",'SW Plan'!$H$188,0)</f>
        <v>0</v>
      </c>
      <c r="E386" s="4113">
        <f>SUM($F386:$P386)</f>
        <v>0</v>
      </c>
      <c r="F386" s="4134"/>
      <c r="G386" s="4113">
        <f>IF('SW Plan'!$E$175="Activate",IF(G$364&gt;'SW Plan'!$H$175,$D386*SUM('PIP finance'!$F$345:G345),0),0)*G$2</f>
        <v>0</v>
      </c>
      <c r="H386" s="4113">
        <f>IF('SW Plan'!$E$175="Activate",IF(H$364&gt;'SW Plan'!$H$175,$D386*SUM('PIP finance'!$F$345:H345),0),0)*H$2</f>
        <v>0</v>
      </c>
      <c r="I386" s="4113">
        <f>IF('SW Plan'!$E$175="Activate",IF(I$364&gt;'SW Plan'!$H$175,$D386*SUM('PIP finance'!$F$345:I345),0),0)*I$2</f>
        <v>0</v>
      </c>
      <c r="J386" s="4113">
        <f>IF('SW Plan'!$E$175="Activate",IF(J$364&gt;'SW Plan'!$H$175,$D386*SUM('PIP finance'!$F$345:J345),0),0)*J$2</f>
        <v>0</v>
      </c>
      <c r="K386" s="4113">
        <f>IF('SW Plan'!$E$175="Activate",IF(K$364&gt;'SW Plan'!$H$175,$D386*SUM('PIP finance'!$F$345:K345),0),0)*K$2</f>
        <v>0</v>
      </c>
      <c r="L386" s="4113">
        <f>IF('SW Plan'!$E$175="Activate",IF(L$364&gt;'SW Plan'!$H$175,$D386*SUM('PIP finance'!$F$345:L345),0),0)*L$2</f>
        <v>0</v>
      </c>
      <c r="M386" s="4113">
        <f>IF('SW Plan'!$E$175="Activate",IF(M$364&gt;'SW Plan'!$H$175,$D386*SUM('PIP finance'!$F$345:M345),0),0)*M$2</f>
        <v>0</v>
      </c>
      <c r="N386" s="4113">
        <f>IF('SW Plan'!$E$175="Activate",IF(N$364&gt;'SW Plan'!$H$175,$D386*SUM('PIP finance'!$F$345:N345),0),0)*N$2</f>
        <v>0</v>
      </c>
      <c r="O386" s="4113">
        <f>IF('SW Plan'!$E$175="Activate",IF(O$364&gt;'SW Plan'!$H$175,$D386*SUM('PIP finance'!$F$345:O345),0),0)*O$2</f>
        <v>0</v>
      </c>
      <c r="P386" s="4113">
        <f>IF('SW Plan'!$E$175="Activate",IF(P$364&gt;'SW Plan'!$H$175,$D386*SUM('PIP finance'!$F$345:P345),0),0)*P$2</f>
        <v>0</v>
      </c>
    </row>
    <row r="387" spans="2:16" x14ac:dyDescent="0.25">
      <c r="B387" s="4102" t="s">
        <v>10</v>
      </c>
      <c r="C387" s="4217" t="str">
        <f t="shared" ref="C387:C392" si="43">C346</f>
        <v>Eff in services</v>
      </c>
      <c r="D387" s="4218"/>
      <c r="E387" s="4105"/>
      <c r="F387" s="4106"/>
      <c r="G387" s="4106"/>
      <c r="H387" s="4106"/>
      <c r="I387" s="4106"/>
      <c r="J387" s="4106"/>
      <c r="K387" s="4106"/>
      <c r="L387" s="4106"/>
      <c r="M387" s="4106"/>
      <c r="N387" s="4106"/>
      <c r="O387" s="4106"/>
      <c r="P387" s="4106"/>
    </row>
    <row r="388" spans="2:16" ht="30" x14ac:dyDescent="0.25">
      <c r="B388" s="4129"/>
      <c r="C388" s="4223" t="str">
        <f t="shared" si="43"/>
        <v>Improve processes for management of consumer complaints</v>
      </c>
      <c r="D388" s="4165"/>
      <c r="E388" s="4175"/>
      <c r="F388" s="4121"/>
      <c r="G388" s="4121"/>
      <c r="H388" s="4121"/>
      <c r="I388" s="4121"/>
      <c r="J388" s="4121"/>
      <c r="K388" s="4121"/>
      <c r="L388" s="4121"/>
      <c r="M388" s="4121"/>
      <c r="N388" s="4121"/>
      <c r="O388" s="4121"/>
      <c r="P388" s="4121"/>
    </row>
    <row r="389" spans="2:16" ht="30" x14ac:dyDescent="0.25">
      <c r="B389" s="4129"/>
      <c r="C389" s="4223" t="str">
        <f t="shared" si="43"/>
        <v>Process for allotment of government land for processing and disposal of solid waste</v>
      </c>
      <c r="D389" s="4165"/>
      <c r="E389" s="4175"/>
      <c r="F389" s="4121"/>
      <c r="G389" s="4121"/>
      <c r="H389" s="4121"/>
      <c r="I389" s="4121"/>
      <c r="J389" s="4121"/>
      <c r="K389" s="4121"/>
      <c r="L389" s="4121"/>
      <c r="M389" s="4121"/>
      <c r="N389" s="4121"/>
      <c r="O389" s="4121"/>
      <c r="P389" s="4121"/>
    </row>
    <row r="390" spans="2:16" ht="30" x14ac:dyDescent="0.25">
      <c r="B390" s="4129"/>
      <c r="C390" s="4223" t="str">
        <f t="shared" si="43"/>
        <v xml:space="preserve">Process to obtain authorisation from concerned authorities and furnish annual report of compliance </v>
      </c>
      <c r="D390" s="4165"/>
      <c r="E390" s="4175"/>
      <c r="F390" s="4121"/>
      <c r="G390" s="4121"/>
      <c r="H390" s="4121"/>
      <c r="I390" s="4121"/>
      <c r="J390" s="4121"/>
      <c r="K390" s="4121"/>
      <c r="L390" s="4121"/>
      <c r="M390" s="4121"/>
      <c r="N390" s="4121"/>
      <c r="O390" s="4121"/>
      <c r="P390" s="4121"/>
    </row>
    <row r="391" spans="2:16" ht="30" x14ac:dyDescent="0.25">
      <c r="B391" s="4129"/>
      <c r="C391" s="4223" t="str">
        <f t="shared" si="43"/>
        <v>Review of operating practices at scientific landfill sites to ensure compliance with MSW Rules 2000</v>
      </c>
      <c r="D391" s="4165"/>
      <c r="E391" s="4175"/>
      <c r="F391" s="4121"/>
      <c r="G391" s="4121"/>
      <c r="H391" s="4121"/>
      <c r="I391" s="4121"/>
      <c r="J391" s="4121"/>
      <c r="K391" s="4121"/>
      <c r="L391" s="4121"/>
      <c r="M391" s="4121"/>
      <c r="N391" s="4121"/>
      <c r="O391" s="4121"/>
      <c r="P391" s="4121"/>
    </row>
    <row r="392" spans="2:16" s="4207" customFormat="1" x14ac:dyDescent="0.25">
      <c r="B392" s="4129"/>
      <c r="C392" s="4209" t="str">
        <f t="shared" si="43"/>
        <v>Improve consumer grievance redressal system</v>
      </c>
      <c r="D392" s="4190"/>
      <c r="E392" s="4113"/>
      <c r="F392" s="4134"/>
      <c r="G392" s="4134"/>
      <c r="H392" s="4134"/>
      <c r="I392" s="4134"/>
      <c r="J392" s="4134"/>
      <c r="K392" s="4134"/>
      <c r="L392" s="4134"/>
      <c r="M392" s="4134"/>
      <c r="N392" s="4134"/>
      <c r="O392" s="4134"/>
      <c r="P392" s="4134"/>
    </row>
    <row r="393" spans="2:16" ht="30" x14ac:dyDescent="0.25">
      <c r="B393" s="4129"/>
      <c r="C393" s="1897" t="str">
        <f t="shared" ref="C393:C400" si="44">C352</f>
        <v>Construct sanitary landfill facility for solid waste disposal</v>
      </c>
      <c r="D393" s="4222">
        <f>IF('SW Plan'!$E$209="Activate",'SW Plan'!$H$214,0)</f>
        <v>0</v>
      </c>
      <c r="E393" s="4113">
        <f>SUM($F393:$P393)</f>
        <v>0</v>
      </c>
      <c r="F393" s="4134"/>
      <c r="G393" s="4113">
        <f>IF('SW Plan'!$E$209="Activate",IF(G$364&gt;'SW Plan'!$H$209,$D393*SUM('PIP finance'!$F$352:G352),0),0)*G$2</f>
        <v>0</v>
      </c>
      <c r="H393" s="4113">
        <f>IF('SW Plan'!$E$209="Activate",IF(H$364&gt;'SW Plan'!$H$209,$D393*SUM('PIP finance'!$F$352:H352),0),0)*H$2</f>
        <v>0</v>
      </c>
      <c r="I393" s="4113">
        <f>IF('SW Plan'!$E$209="Activate",IF(I$364&gt;'SW Plan'!$H$209,$D393*SUM('PIP finance'!$F$352:I352),0),0)*I$2</f>
        <v>0</v>
      </c>
      <c r="J393" s="4113">
        <f>IF('SW Plan'!$E$209="Activate",IF(J$364&gt;'SW Plan'!$H$209,$D393*SUM('PIP finance'!$F$352:J352),0),0)*J$2</f>
        <v>0</v>
      </c>
      <c r="K393" s="4113">
        <f>IF('SW Plan'!$E$209="Activate",IF(K$364&gt;'SW Plan'!$H$209,$D393*SUM('PIP finance'!$F$352:K352),0),0)*K$2</f>
        <v>0</v>
      </c>
      <c r="L393" s="4113">
        <f>IF('SW Plan'!$E$209="Activate",IF(L$364&gt;'SW Plan'!$H$209,$D393*SUM('PIP finance'!$F$352:L352),0),0)*L$2</f>
        <v>0</v>
      </c>
      <c r="M393" s="4113">
        <f>IF('SW Plan'!$E$209="Activate",IF(M$364&gt;'SW Plan'!$H$209,$D393*SUM('PIP finance'!$F$352:M352),0),0)*M$2</f>
        <v>0</v>
      </c>
      <c r="N393" s="4113">
        <f>IF('SW Plan'!$E$209="Activate",IF(N$364&gt;'SW Plan'!$H$209,$D393*SUM('PIP finance'!$F$352:N352),0),0)*N$2</f>
        <v>0</v>
      </c>
      <c r="O393" s="4113">
        <f>IF('SW Plan'!$E$209="Activate",IF(O$364&gt;'SW Plan'!$H$209,$D393*SUM('PIP finance'!$F$352:O352),0),0)*O$2</f>
        <v>0</v>
      </c>
      <c r="P393" s="4113">
        <f>IF('SW Plan'!$E$209="Activate",IF(P$364&gt;'SW Plan'!$H$209,$D393*SUM('PIP finance'!$F$352:P352),0),0)*P$2</f>
        <v>0</v>
      </c>
    </row>
    <row r="394" spans="2:16" ht="30" x14ac:dyDescent="0.25">
      <c r="B394" s="4129"/>
      <c r="C394" s="1897" t="str">
        <f t="shared" si="44"/>
        <v>Closure of existing dumping site in scientific manner as prescribed by MSW Rules 2000</v>
      </c>
      <c r="D394" s="4222"/>
      <c r="E394" s="4113">
        <f>SUM($F394:$P394)</f>
        <v>0</v>
      </c>
      <c r="F394" s="4134"/>
      <c r="G394" s="4134"/>
      <c r="H394" s="4134"/>
      <c r="I394" s="4134"/>
      <c r="J394" s="4134"/>
      <c r="K394" s="4134"/>
      <c r="L394" s="4134"/>
      <c r="M394" s="4134"/>
      <c r="N394" s="4134"/>
      <c r="O394" s="4134"/>
      <c r="P394" s="4134"/>
    </row>
    <row r="395" spans="2:16" x14ac:dyDescent="0.25">
      <c r="B395" s="4102" t="s">
        <v>12</v>
      </c>
      <c r="C395" s="4217" t="str">
        <f t="shared" si="44"/>
        <v>Financial sustainaibility</v>
      </c>
      <c r="D395" s="4218"/>
      <c r="E395" s="4105"/>
      <c r="F395" s="4106"/>
      <c r="G395" s="4106"/>
      <c r="H395" s="4106"/>
      <c r="I395" s="4106"/>
      <c r="J395" s="4106"/>
      <c r="K395" s="4106"/>
      <c r="L395" s="4106"/>
      <c r="M395" s="4106"/>
      <c r="N395" s="4106"/>
      <c r="O395" s="4106"/>
      <c r="P395" s="4106"/>
    </row>
    <row r="396" spans="2:16" x14ac:dyDescent="0.25">
      <c r="B396" s="4129"/>
      <c r="C396" s="4209" t="str">
        <f t="shared" si="44"/>
        <v>Improve billing and collection of solid waste bills</v>
      </c>
      <c r="D396" s="4165"/>
      <c r="E396" s="4120"/>
      <c r="F396" s="4124"/>
      <c r="G396" s="4124"/>
      <c r="H396" s="4124"/>
      <c r="I396" s="4124"/>
      <c r="J396" s="4124"/>
      <c r="K396" s="4124"/>
      <c r="L396" s="4124"/>
      <c r="M396" s="4124"/>
      <c r="N396" s="4124"/>
      <c r="O396" s="4124"/>
      <c r="P396" s="4124"/>
    </row>
    <row r="397" spans="2:16" ht="30" x14ac:dyDescent="0.25">
      <c r="B397" s="4129"/>
      <c r="C397" s="4209" t="str">
        <f t="shared" si="44"/>
        <v>Improve collection efficiency of solid waste charges and taxes</v>
      </c>
      <c r="D397" s="4165"/>
      <c r="E397" s="4120">
        <f>SUM($F397:$P397)</f>
        <v>0</v>
      </c>
      <c r="F397" s="4124"/>
      <c r="G397" s="4124"/>
      <c r="H397" s="4124"/>
      <c r="I397" s="4124"/>
      <c r="J397" s="4124"/>
      <c r="K397" s="4124"/>
      <c r="L397" s="4124"/>
      <c r="M397" s="4124"/>
      <c r="N397" s="4124"/>
      <c r="O397" s="4124"/>
      <c r="P397" s="4124"/>
    </row>
    <row r="398" spans="2:16" x14ac:dyDescent="0.25">
      <c r="B398" s="4102" t="s">
        <v>13</v>
      </c>
      <c r="C398" s="4217" t="str">
        <f t="shared" si="44"/>
        <v>Generic actions</v>
      </c>
      <c r="D398" s="4218"/>
      <c r="E398" s="4105"/>
      <c r="F398" s="4106"/>
      <c r="G398" s="4106"/>
      <c r="H398" s="4106"/>
      <c r="I398" s="4106"/>
      <c r="J398" s="4106"/>
      <c r="K398" s="4106"/>
      <c r="L398" s="4106"/>
      <c r="M398" s="4106"/>
      <c r="N398" s="4106"/>
      <c r="O398" s="4106"/>
      <c r="P398" s="4106"/>
    </row>
    <row r="399" spans="2:16" s="4118" customFormat="1" x14ac:dyDescent="0.25">
      <c r="B399" s="4133"/>
      <c r="C399" s="4111" t="str">
        <f t="shared" si="44"/>
        <v>SW Customised action 1</v>
      </c>
      <c r="D399" s="4224">
        <f>IF('SW Plan'!$E$239="Activate",'SW Plan'!$H$244,0)</f>
        <v>0</v>
      </c>
      <c r="E399" s="4113">
        <f>SUM($F399:$P399)</f>
        <v>0</v>
      </c>
      <c r="F399" s="4134"/>
      <c r="G399" s="4198">
        <f>IF('SW Plan'!$E$239="Activate",IF(G$364&gt;'SW Plan'!$H$239,$D$399*SUM('PIP finance'!$F$358:G358),0),0)*G$2</f>
        <v>0</v>
      </c>
      <c r="H399" s="4198">
        <f>IF('SW Plan'!$E$239="Activate",IF(H$364&gt;'SW Plan'!$H$239,$D$399*SUM('PIP finance'!$F$358:H358),0),0)*H$2</f>
        <v>0</v>
      </c>
      <c r="I399" s="4198">
        <f>IF('SW Plan'!$E$239="Activate",IF(I$364&gt;'SW Plan'!$H$239,$D$399*SUM('PIP finance'!$F$358:I358),0),0)*I$2</f>
        <v>0</v>
      </c>
      <c r="J399" s="4198">
        <f>IF('SW Plan'!$E$239="Activate",IF(J$364&gt;'SW Plan'!$H$239,$D$399*SUM('PIP finance'!$F$358:J358),0),0)*J$2</f>
        <v>0</v>
      </c>
      <c r="K399" s="4198">
        <f>IF('SW Plan'!$E$239="Activate",IF(K$364&gt;'SW Plan'!$H$239,$D$399*SUM('PIP finance'!$F$358:K358),0),0)*K$2</f>
        <v>0</v>
      </c>
      <c r="L399" s="4198">
        <f>IF('SW Plan'!$E$239="Activate",IF(L$364&gt;'SW Plan'!$H$239,$D$399*SUM('PIP finance'!$F$358:L358),0),0)*L$2</f>
        <v>0</v>
      </c>
      <c r="M399" s="4198">
        <f>IF('SW Plan'!$E$239="Activate",IF(M$364&gt;'SW Plan'!$H$239,$D$399*SUM('PIP finance'!$F$358:M358),0),0)*M$2</f>
        <v>0</v>
      </c>
      <c r="N399" s="4198">
        <f>IF('SW Plan'!$E$239="Activate",IF(N$364&gt;'SW Plan'!$H$239,$D$399*SUM('PIP finance'!$F$358:N358),0),0)*N$2</f>
        <v>0</v>
      </c>
      <c r="O399" s="4198">
        <f>IF('SW Plan'!$E$239="Activate",IF(O$364&gt;'SW Plan'!$H$239,$D$399*SUM('PIP finance'!$F$358:O358),0),0)*O$2</f>
        <v>0</v>
      </c>
      <c r="P399" s="4198">
        <f>IF('SW Plan'!$E$239="Activate",IF(P$364&gt;'SW Plan'!$H$239,$D$399*SUM('PIP finance'!$F$358:P358),0),0)*P$2</f>
        <v>0</v>
      </c>
    </row>
    <row r="400" spans="2:16" s="4118" customFormat="1" x14ac:dyDescent="0.25">
      <c r="B400" s="4133"/>
      <c r="C400" s="4111" t="str">
        <f t="shared" si="44"/>
        <v>SW Customised action 2</v>
      </c>
      <c r="D400" s="4224">
        <f>IF('SW Plan'!$E$246="Activate",'SW Plan'!$H$251,0)</f>
        <v>0</v>
      </c>
      <c r="E400" s="4113">
        <f>SUM($F400:$P400)</f>
        <v>0</v>
      </c>
      <c r="F400" s="4134"/>
      <c r="G400" s="4198">
        <f>IF('SW Plan'!$E$246="Activate",IF(G$364&gt;'SW Plan'!$H$246,$D$400*SUM('PIP finance'!$F$359:G359),0),0)*G$2</f>
        <v>0</v>
      </c>
      <c r="H400" s="4198">
        <f>IF('SW Plan'!$E$246="Activate",IF(H$364&gt;'SW Plan'!$H$246,$D$400*SUM('PIP finance'!$F$359:H359),0),0)*H$2</f>
        <v>0</v>
      </c>
      <c r="I400" s="4198">
        <f>IF('SW Plan'!$E$246="Activate",IF(I$364&gt;'SW Plan'!$H$246,$D$400*SUM('PIP finance'!$F$359:I359),0),0)*I$2</f>
        <v>0</v>
      </c>
      <c r="J400" s="4198">
        <f>IF('SW Plan'!$E$246="Activate",IF(J$364&gt;'SW Plan'!$H$246,$D$400*SUM('PIP finance'!$F$359:J359),0),0)*J$2</f>
        <v>0</v>
      </c>
      <c r="K400" s="4198">
        <f>IF('SW Plan'!$E$246="Activate",IF(K$364&gt;'SW Plan'!$H$246,$D$400*SUM('PIP finance'!$F$359:K359),0),0)*K$2</f>
        <v>0</v>
      </c>
      <c r="L400" s="4198">
        <f>IF('SW Plan'!$E$246="Activate",IF(L$364&gt;'SW Plan'!$H$246,$D$400*SUM('PIP finance'!$F$359:L359),0),0)*L$2</f>
        <v>0</v>
      </c>
      <c r="M400" s="4198">
        <f>IF('SW Plan'!$E$246="Activate",IF(M$364&gt;'SW Plan'!$H$246,$D$400*SUM('PIP finance'!$F$359:M359),0),0)*M$2</f>
        <v>0</v>
      </c>
      <c r="N400" s="4198">
        <f>IF('SW Plan'!$E$246="Activate",IF(N$364&gt;'SW Plan'!$H$246,$D$400*SUM('PIP finance'!$F$359:N359),0),0)*N$2</f>
        <v>0</v>
      </c>
      <c r="O400" s="4198">
        <f>IF('SW Plan'!$E$246="Activate",IF(O$364&gt;'SW Plan'!$H$246,$D$400*SUM('PIP finance'!$F$359:O359),0),0)*O$2</f>
        <v>0</v>
      </c>
      <c r="P400" s="4198">
        <f>IF('SW Plan'!$E$246="Activate",IF(P$364&gt;'SW Plan'!$H$246,$D$400*SUM('PIP finance'!$F$359:P359),0),0)*P$2</f>
        <v>0</v>
      </c>
    </row>
    <row r="401" spans="2:16" s="4148" customFormat="1" x14ac:dyDescent="0.25">
      <c r="B401" s="4213"/>
      <c r="C401" s="4213" t="s">
        <v>465</v>
      </c>
      <c r="D401" s="4143"/>
      <c r="E401" s="4144">
        <f>SUM(E365:E400)</f>
        <v>0</v>
      </c>
      <c r="F401" s="4225"/>
      <c r="G401" s="4225">
        <f t="shared" ref="G401:P401" si="45">SUM(G365:G400)</f>
        <v>0</v>
      </c>
      <c r="H401" s="4225">
        <f t="shared" si="45"/>
        <v>0</v>
      </c>
      <c r="I401" s="4225">
        <f t="shared" si="45"/>
        <v>0</v>
      </c>
      <c r="J401" s="4225">
        <f t="shared" si="45"/>
        <v>0</v>
      </c>
      <c r="K401" s="4225">
        <f t="shared" si="45"/>
        <v>0</v>
      </c>
      <c r="L401" s="4225">
        <f t="shared" si="45"/>
        <v>0</v>
      </c>
      <c r="M401" s="4225">
        <f t="shared" si="45"/>
        <v>0</v>
      </c>
      <c r="N401" s="4225">
        <f t="shared" si="45"/>
        <v>0</v>
      </c>
      <c r="O401" s="4225">
        <f t="shared" si="45"/>
        <v>0</v>
      </c>
      <c r="P401" s="4225">
        <f t="shared" si="45"/>
        <v>0</v>
      </c>
    </row>
    <row r="402" spans="2:16" s="4173" customFormat="1" x14ac:dyDescent="0.25">
      <c r="B402" s="4076"/>
      <c r="C402" s="4076"/>
      <c r="D402" s="4172"/>
      <c r="E402" s="4076"/>
      <c r="F402" s="4076"/>
      <c r="G402" s="4076"/>
      <c r="H402" s="4076"/>
      <c r="I402" s="4076"/>
      <c r="J402" s="4076"/>
      <c r="K402" s="4076"/>
      <c r="L402" s="4076"/>
      <c r="M402" s="4076"/>
      <c r="N402" s="4076"/>
      <c r="O402" s="4076"/>
      <c r="P402" s="4076"/>
    </row>
    <row r="403" spans="2:16" s="4173" customFormat="1" x14ac:dyDescent="0.25">
      <c r="B403" s="4076"/>
      <c r="C403" s="4076"/>
      <c r="D403" s="4172"/>
      <c r="E403" s="4076"/>
      <c r="F403" s="4076"/>
      <c r="G403" s="4076"/>
      <c r="H403" s="4076"/>
      <c r="I403" s="4076"/>
      <c r="J403" s="4076"/>
      <c r="K403" s="4076"/>
      <c r="L403" s="4076"/>
      <c r="M403" s="4076"/>
      <c r="N403" s="4076"/>
      <c r="O403" s="4076"/>
      <c r="P403" s="4076"/>
    </row>
    <row r="404" spans="2:16" s="4097" customFormat="1" ht="21.75" thickBot="1" x14ac:dyDescent="0.3">
      <c r="B404" s="4094"/>
      <c r="C404" s="4095" t="s">
        <v>453</v>
      </c>
      <c r="D404" s="4096" t="s">
        <v>782</v>
      </c>
      <c r="E404" s="1647"/>
      <c r="F404" s="1647"/>
      <c r="G404" s="1647"/>
      <c r="H404" s="1647"/>
      <c r="I404" s="1647"/>
      <c r="J404" s="1647"/>
      <c r="K404" s="1647"/>
      <c r="L404" s="1647"/>
      <c r="M404" s="1647"/>
      <c r="N404" s="1647"/>
      <c r="O404" s="1647"/>
      <c r="P404" s="1647"/>
    </row>
    <row r="405" spans="2:16" ht="15.75" thickBot="1" x14ac:dyDescent="0.3">
      <c r="B405" s="4098" t="s">
        <v>3</v>
      </c>
      <c r="C405" s="4098" t="s">
        <v>4</v>
      </c>
      <c r="D405" s="4099" t="s">
        <v>444</v>
      </c>
      <c r="E405" s="4100" t="s">
        <v>16</v>
      </c>
      <c r="F405" s="4098">
        <f>F$7</f>
        <v>2014</v>
      </c>
      <c r="G405" s="4098">
        <f t="shared" ref="G405:P405" si="46">G$7</f>
        <v>2015</v>
      </c>
      <c r="H405" s="4098">
        <f t="shared" si="46"/>
        <v>2016</v>
      </c>
      <c r="I405" s="4098">
        <f t="shared" si="46"/>
        <v>2017</v>
      </c>
      <c r="J405" s="4098">
        <f t="shared" si="46"/>
        <v>2018</v>
      </c>
      <c r="K405" s="4098">
        <f t="shared" si="46"/>
        <v>2019</v>
      </c>
      <c r="L405" s="4098">
        <f t="shared" si="46"/>
        <v>2020</v>
      </c>
      <c r="M405" s="4098">
        <f t="shared" si="46"/>
        <v>2021</v>
      </c>
      <c r="N405" s="4098">
        <f t="shared" si="46"/>
        <v>2022</v>
      </c>
      <c r="O405" s="4098">
        <f t="shared" si="46"/>
        <v>2023</v>
      </c>
      <c r="P405" s="4098">
        <f t="shared" si="46"/>
        <v>2024</v>
      </c>
    </row>
    <row r="406" spans="2:16" x14ac:dyDescent="0.25">
      <c r="B406" s="4102" t="s">
        <v>2</v>
      </c>
      <c r="C406" s="4102" t="s">
        <v>455</v>
      </c>
      <c r="D406" s="4127"/>
      <c r="E406" s="4105"/>
      <c r="F406" s="4106"/>
      <c r="G406" s="4106"/>
      <c r="H406" s="4106"/>
      <c r="I406" s="4106"/>
      <c r="J406" s="4106"/>
      <c r="K406" s="4106"/>
      <c r="L406" s="4106"/>
      <c r="M406" s="4106"/>
      <c r="N406" s="4106"/>
      <c r="O406" s="4106"/>
      <c r="P406" s="4106"/>
    </row>
    <row r="407" spans="2:16" x14ac:dyDescent="0.25">
      <c r="B407" s="4129"/>
      <c r="C407" s="1897" t="str">
        <f t="shared" ref="C407:C427" si="47">C325</f>
        <v>Household survey to assess solid waste services</v>
      </c>
      <c r="D407" s="4202"/>
      <c r="E407" s="4120"/>
      <c r="F407" s="4124"/>
      <c r="G407" s="4124"/>
      <c r="H407" s="4124"/>
      <c r="I407" s="4124"/>
      <c r="J407" s="4124"/>
      <c r="K407" s="4124"/>
      <c r="L407" s="4124"/>
      <c r="M407" s="4124"/>
      <c r="N407" s="4124"/>
      <c r="O407" s="4124"/>
      <c r="P407" s="4124"/>
    </row>
    <row r="408" spans="2:16" x14ac:dyDescent="0.25">
      <c r="B408" s="4129"/>
      <c r="C408" s="1897" t="str">
        <f t="shared" si="47"/>
        <v>Computerise solid waste records</v>
      </c>
      <c r="D408" s="4202"/>
      <c r="E408" s="4120"/>
      <c r="F408" s="4124"/>
      <c r="G408" s="4124"/>
      <c r="H408" s="4124"/>
      <c r="I408" s="4124"/>
      <c r="J408" s="4124"/>
      <c r="K408" s="4124"/>
      <c r="L408" s="4124"/>
      <c r="M408" s="4124"/>
      <c r="N408" s="4124"/>
      <c r="O408" s="4124"/>
      <c r="P408" s="4124"/>
    </row>
    <row r="409" spans="2:16" ht="30" x14ac:dyDescent="0.25">
      <c r="B409" s="4129"/>
      <c r="C409" s="1897" t="str">
        <f t="shared" si="47"/>
        <v>Prepare management plan to efficiently deploy manpower and resources</v>
      </c>
      <c r="D409" s="4202"/>
      <c r="E409" s="4120"/>
      <c r="F409" s="4124"/>
      <c r="G409" s="4124"/>
      <c r="H409" s="4124"/>
      <c r="I409" s="4124"/>
      <c r="J409" s="4124"/>
      <c r="K409" s="4124"/>
      <c r="L409" s="4124"/>
      <c r="M409" s="4124"/>
      <c r="N409" s="4124"/>
      <c r="O409" s="4124"/>
      <c r="P409" s="4124"/>
    </row>
    <row r="410" spans="2:16" ht="30" x14ac:dyDescent="0.25">
      <c r="B410" s="4129"/>
      <c r="C410" s="1897" t="str">
        <f t="shared" si="47"/>
        <v>Procure equipments for street sweeping and drain cleaning</v>
      </c>
      <c r="D410" s="4202"/>
      <c r="E410" s="4120"/>
      <c r="F410" s="4124"/>
      <c r="G410" s="4124"/>
      <c r="H410" s="4124"/>
      <c r="I410" s="4124"/>
      <c r="J410" s="4124"/>
      <c r="K410" s="4124"/>
      <c r="L410" s="4124"/>
      <c r="M410" s="4124"/>
      <c r="N410" s="4124"/>
      <c r="O410" s="4124"/>
      <c r="P410" s="4124"/>
    </row>
    <row r="411" spans="2:16" ht="45" x14ac:dyDescent="0.25">
      <c r="B411" s="4129"/>
      <c r="C411" s="1897" t="str">
        <f t="shared" si="47"/>
        <v xml:space="preserve">Procure equipments for door to door solid waste collection (collection bins, ghantagaadis, containerised cycle rickshaw, handcarts etc.) </v>
      </c>
      <c r="D411" s="4202"/>
      <c r="E411" s="4120"/>
      <c r="F411" s="4124"/>
      <c r="G411" s="4124"/>
      <c r="H411" s="4124"/>
      <c r="I411" s="4124"/>
      <c r="J411" s="4124"/>
      <c r="K411" s="4124"/>
      <c r="L411" s="4124"/>
      <c r="M411" s="4124"/>
      <c r="N411" s="4124"/>
      <c r="O411" s="4124"/>
      <c r="P411" s="4124"/>
    </row>
    <row r="412" spans="2:16" ht="45" x14ac:dyDescent="0.25">
      <c r="B412" s="4129"/>
      <c r="C412" s="4219" t="str">
        <f t="shared" si="47"/>
        <v>Information, education and communication (IEC) campaign for awareness of solid waste management</v>
      </c>
      <c r="D412" s="4202"/>
      <c r="E412" s="4120"/>
      <c r="F412" s="4124"/>
      <c r="G412" s="4124"/>
      <c r="H412" s="4124"/>
      <c r="I412" s="4124"/>
      <c r="J412" s="4124"/>
      <c r="K412" s="4124"/>
      <c r="L412" s="4124"/>
      <c r="M412" s="4124"/>
      <c r="N412" s="4124"/>
      <c r="O412" s="4124"/>
      <c r="P412" s="4124"/>
    </row>
    <row r="413" spans="2:16" s="4207" customFormat="1" ht="30" x14ac:dyDescent="0.25">
      <c r="B413" s="4129"/>
      <c r="C413" s="4167" t="str">
        <f t="shared" si="47"/>
        <v>Employ additional staff on contract for improving solid waste service delivery</v>
      </c>
      <c r="D413" s="4202"/>
      <c r="E413" s="4120"/>
      <c r="F413" s="4206"/>
      <c r="G413" s="4206"/>
      <c r="H413" s="4206"/>
      <c r="I413" s="4206"/>
      <c r="J413" s="4206"/>
      <c r="K413" s="4206"/>
      <c r="L413" s="4206"/>
      <c r="M413" s="4206"/>
      <c r="N413" s="4206"/>
      <c r="O413" s="4206"/>
      <c r="P413" s="4206"/>
    </row>
    <row r="414" spans="2:16" s="4118" customFormat="1" ht="30" x14ac:dyDescent="0.25">
      <c r="B414" s="4133"/>
      <c r="C414" s="4130" t="str">
        <f t="shared" si="47"/>
        <v>Engage with private service providers to provide solid waste services</v>
      </c>
      <c r="D414" s="4150">
        <f>IF('SW Plan'!$E$70="Activate",'SW Plan'!$H$74*12,0)+IF('SW Plan'!$E$70="Activate",'SW Plan'!$H$81*12,0)</f>
        <v>0</v>
      </c>
      <c r="E414" s="5752">
        <f>SUM($F414:$P414)</f>
        <v>0</v>
      </c>
      <c r="F414" s="4134"/>
      <c r="G414" s="4134">
        <f>IF('SW Plan'!$E$70="Activate",IF(AND(G$405&gt;='SW Plan'!$G$71,G$405&lt;'SW Plan'!$H$71+1),'SW Plan'!$H$74*12,0),0)*G$3/CurrencyMultiplier+IF('SW Plan'!$E$70="Activate",IF(AND(G$405&gt;='SW Plan'!$G$76,G$405&lt;'SW Plan'!$H$76+1),'SW Plan'!$H$81*12,0),0)*G$3/CurrencyMultiplier</f>
        <v>0</v>
      </c>
      <c r="H414" s="4134">
        <f>IF('SW Plan'!$E$70="Activate",IF(AND(H$405&gt;='SW Plan'!$G$71,H$405&lt;'SW Plan'!$H$71+1),'SW Plan'!$H$74*12,0),0)*H$3/CurrencyMultiplier+IF('SW Plan'!$E$70="Activate",IF(AND(H$405&gt;='SW Plan'!$G$76,H$405&lt;'SW Plan'!$H$76+1),'SW Plan'!$H$81*12,0),0)*H$3/CurrencyMultiplier</f>
        <v>0</v>
      </c>
      <c r="I414" s="4134">
        <f>IF('SW Plan'!$E$70="Activate",IF(AND(I$405&gt;='SW Plan'!$G$71,I$405&lt;'SW Plan'!$H$71+1),'SW Plan'!$H$74*12,0),0)*I$3/CurrencyMultiplier+IF('SW Plan'!$E$70="Activate",IF(AND(I$405&gt;='SW Plan'!$G$76,I$405&lt;'SW Plan'!$H$76+1),'SW Plan'!$H$81*12,0),0)*I$3/CurrencyMultiplier</f>
        <v>0</v>
      </c>
      <c r="J414" s="4134">
        <f>IF('SW Plan'!$E$70="Activate",IF(AND(J$405&gt;='SW Plan'!$G$71,J$405&lt;'SW Plan'!$H$71+1),'SW Plan'!$H$74*12,0),0)*J$3/CurrencyMultiplier+IF('SW Plan'!$E$70="Activate",IF(AND(J$405&gt;='SW Plan'!$G$76,J$405&lt;'SW Plan'!$H$76+1),'SW Plan'!$H$81*12,0),0)*J$3/CurrencyMultiplier</f>
        <v>0</v>
      </c>
      <c r="K414" s="4134">
        <f>IF('SW Plan'!$E$70="Activate",IF(AND(K$405&gt;='SW Plan'!$G$71,K$405&lt;'SW Plan'!$H$71+1),'SW Plan'!$H$74*12,0),0)*K$3/CurrencyMultiplier+IF('SW Plan'!$E$70="Activate",IF(AND(K$405&gt;='SW Plan'!$G$76,K$405&lt;'SW Plan'!$H$76+1),'SW Plan'!$H$81*12,0),0)*K$3/CurrencyMultiplier</f>
        <v>0</v>
      </c>
      <c r="L414" s="4134">
        <f>IF('SW Plan'!$E$70="Activate",IF(AND(L$405&gt;='SW Plan'!$G$71,L$405&lt;'SW Plan'!$H$71+1),'SW Plan'!$H$74*12,0),0)*L$3/CurrencyMultiplier+IF('SW Plan'!$E$70="Activate",IF(AND(L$405&gt;='SW Plan'!$G$76,L$405&lt;'SW Plan'!$H$76+1),'SW Plan'!$H$81*12,0),0)*L$3/CurrencyMultiplier</f>
        <v>0</v>
      </c>
      <c r="M414" s="4134">
        <f>IF('SW Plan'!$E$70="Activate",IF(AND(M$405&gt;='SW Plan'!$G$71,M$405&lt;'SW Plan'!$H$71+1),'SW Plan'!$H$74*12,0),0)*M$3/CurrencyMultiplier+IF('SW Plan'!$E$70="Activate",IF(AND(M$405&gt;='SW Plan'!$G$76,M$405&lt;'SW Plan'!$H$76+1),'SW Plan'!$H$81*12,0),0)*M$3/CurrencyMultiplier</f>
        <v>0</v>
      </c>
      <c r="N414" s="4134">
        <f>IF('SW Plan'!$E$70="Activate",IF(AND(N$405&gt;='SW Plan'!$G$71,N$405&lt;'SW Plan'!$H$71+1),'SW Plan'!$H$74*12,0),0)*N$3/CurrencyMultiplier+IF('SW Plan'!$E$70="Activate",IF(AND(N$405&gt;='SW Plan'!$G$76,N$405&lt;'SW Plan'!$H$76+1),'SW Plan'!$H$81*12,0),0)*N$3/CurrencyMultiplier</f>
        <v>0</v>
      </c>
      <c r="O414" s="4134">
        <f>IF('SW Plan'!$E$70="Activate",IF(AND(O$405&gt;='SW Plan'!$G$71,O$405&lt;'SW Plan'!$H$71+1),'SW Plan'!$H$74*12,0),0)*O$3/CurrencyMultiplier+IF('SW Plan'!$E$70="Activate",IF(AND(O$405&gt;='SW Plan'!$G$76,O$405&lt;'SW Plan'!$H$76+1),'SW Plan'!$H$81*12,0),0)*O$3/CurrencyMultiplier</f>
        <v>0</v>
      </c>
      <c r="P414" s="4134">
        <f>IF('SW Plan'!$E$70="Activate",IF(AND(P$405&gt;='SW Plan'!$G$71,P$405&lt;'SW Plan'!$H$71+1),'SW Plan'!$H$74*12,0),0)*P$3/CurrencyMultiplier+IF('SW Plan'!$E$70="Activate",IF(AND(P$405&gt;='SW Plan'!$G$76,P$405&lt;'SW Plan'!$H$76+1),'SW Plan'!$H$81*12,0),0)*P$3/CurrencyMultiplier</f>
        <v>0</v>
      </c>
    </row>
    <row r="415" spans="2:16" x14ac:dyDescent="0.25">
      <c r="B415" s="4102" t="s">
        <v>8</v>
      </c>
      <c r="C415" s="4217" t="str">
        <f t="shared" si="47"/>
        <v>Service levels &amp; quality</v>
      </c>
      <c r="D415" s="4127"/>
      <c r="E415" s="4105"/>
      <c r="F415" s="4106"/>
      <c r="G415" s="4106"/>
      <c r="H415" s="4106"/>
      <c r="I415" s="4106"/>
      <c r="J415" s="4106"/>
      <c r="K415" s="4106"/>
      <c r="L415" s="4106"/>
      <c r="M415" s="4106"/>
      <c r="N415" s="4106"/>
      <c r="O415" s="4106"/>
      <c r="P415" s="4106"/>
    </row>
    <row r="416" spans="2:16" ht="30" x14ac:dyDescent="0.25">
      <c r="B416" s="4129"/>
      <c r="C416" s="4226" t="str">
        <f t="shared" si="47"/>
        <v>Track movement of solid waste transportation vehicles to achieve optimum operational efficiency</v>
      </c>
      <c r="D416" s="4131"/>
      <c r="E416" s="4120"/>
      <c r="F416" s="4121"/>
      <c r="G416" s="4121"/>
      <c r="H416" s="4121"/>
      <c r="I416" s="4121"/>
      <c r="J416" s="4121"/>
      <c r="K416" s="4121"/>
      <c r="L416" s="4121"/>
      <c r="M416" s="4121"/>
      <c r="N416" s="4121"/>
      <c r="O416" s="4121"/>
      <c r="P416" s="4121"/>
    </row>
    <row r="417" spans="2:16" ht="30" x14ac:dyDescent="0.25">
      <c r="B417" s="4129"/>
      <c r="C417" s="4223" t="str">
        <f t="shared" si="47"/>
        <v>Improve processes for maintaining daily logs of solid waste across SWM value chain</v>
      </c>
      <c r="D417" s="4131"/>
      <c r="E417" s="4175"/>
      <c r="F417" s="4121"/>
      <c r="G417" s="4121"/>
      <c r="H417" s="4121"/>
      <c r="I417" s="4121"/>
      <c r="J417" s="4121"/>
      <c r="K417" s="4121"/>
      <c r="L417" s="4121"/>
      <c r="M417" s="4121"/>
      <c r="N417" s="4121"/>
      <c r="O417" s="4121"/>
      <c r="P417" s="4121"/>
    </row>
    <row r="418" spans="2:16" ht="30" x14ac:dyDescent="0.25">
      <c r="B418" s="4129"/>
      <c r="C418" s="4223" t="str">
        <f t="shared" si="47"/>
        <v>Process for periodic estimation of recyclable material collected by recyclers</v>
      </c>
      <c r="D418" s="4131"/>
      <c r="E418" s="4175"/>
      <c r="F418" s="4121"/>
      <c r="G418" s="4121"/>
      <c r="H418" s="4121"/>
      <c r="I418" s="4121"/>
      <c r="J418" s="4121"/>
      <c r="K418" s="4121"/>
      <c r="L418" s="4121"/>
      <c r="M418" s="4121"/>
      <c r="N418" s="4121"/>
      <c r="O418" s="4121"/>
      <c r="P418" s="4121"/>
    </row>
    <row r="419" spans="2:16" s="4207" customFormat="1" ht="30" x14ac:dyDescent="0.25">
      <c r="B419" s="4129"/>
      <c r="C419" s="1897" t="str">
        <f t="shared" si="47"/>
        <v xml:space="preserve">Segregation of collection and transportation of solid waste </v>
      </c>
      <c r="D419" s="4202"/>
      <c r="E419" s="4120"/>
      <c r="F419" s="4206"/>
      <c r="G419" s="4206"/>
      <c r="H419" s="4206"/>
      <c r="I419" s="4206"/>
      <c r="J419" s="4206"/>
      <c r="K419" s="4206"/>
      <c r="L419" s="4206"/>
      <c r="M419" s="4206"/>
      <c r="N419" s="4206"/>
      <c r="O419" s="4206"/>
      <c r="P419" s="4206"/>
    </row>
    <row r="420" spans="2:16" ht="30" x14ac:dyDescent="0.25">
      <c r="B420" s="4129"/>
      <c r="C420" s="1897" t="str">
        <f t="shared" si="47"/>
        <v>Improve solid waste collection through secondary storage bins</v>
      </c>
      <c r="D420" s="4131"/>
      <c r="E420" s="4120"/>
      <c r="F420" s="4121"/>
      <c r="G420" s="4121"/>
      <c r="H420" s="4121"/>
      <c r="I420" s="4121"/>
      <c r="J420" s="4121"/>
      <c r="K420" s="4121"/>
      <c r="L420" s="4121"/>
      <c r="M420" s="4121"/>
      <c r="N420" s="4121"/>
      <c r="O420" s="4121"/>
      <c r="P420" s="4121"/>
    </row>
    <row r="421" spans="2:16" s="4207" customFormat="1" x14ac:dyDescent="0.25">
      <c r="B421" s="4129"/>
      <c r="C421" s="4167" t="str">
        <f t="shared" si="47"/>
        <v>Install litter bins at public places</v>
      </c>
      <c r="D421" s="4202"/>
      <c r="E421" s="4120"/>
      <c r="F421" s="4206"/>
      <c r="G421" s="4206"/>
      <c r="H421" s="4206"/>
      <c r="I421" s="4206"/>
      <c r="J421" s="4206"/>
      <c r="K421" s="4206"/>
      <c r="L421" s="4206"/>
      <c r="M421" s="4206"/>
      <c r="N421" s="4206"/>
      <c r="O421" s="4206"/>
      <c r="P421" s="4206"/>
    </row>
    <row r="422" spans="2:16" s="4207" customFormat="1" ht="30" x14ac:dyDescent="0.25">
      <c r="B422" s="4129"/>
      <c r="C422" s="4166" t="str">
        <f t="shared" si="47"/>
        <v>Improve collection efficiency of solid waste with existing vehicles</v>
      </c>
      <c r="D422" s="4202"/>
      <c r="E422" s="4120"/>
      <c r="F422" s="4206"/>
      <c r="G422" s="4206"/>
      <c r="H422" s="4206"/>
      <c r="I422" s="4206"/>
      <c r="J422" s="4206"/>
      <c r="K422" s="4206"/>
      <c r="L422" s="4206"/>
      <c r="M422" s="4206"/>
      <c r="N422" s="4206"/>
      <c r="O422" s="4206"/>
      <c r="P422" s="4206"/>
    </row>
    <row r="423" spans="2:16" s="4207" customFormat="1" x14ac:dyDescent="0.25">
      <c r="B423" s="4129"/>
      <c r="C423" s="1897" t="str">
        <f t="shared" si="47"/>
        <v>Repair existing solid waste processing plant</v>
      </c>
      <c r="D423" s="4190">
        <f>'SW Plan'!H142/CurrencyMultiplier</f>
        <v>0</v>
      </c>
      <c r="E423" s="4113"/>
      <c r="F423" s="4134"/>
      <c r="G423" s="4134">
        <f>IF('SW Plan'!$E$135="Activate",IF(G$364&gt;'SW Plan'!$H$135,$D$423,0),0)*G$3</f>
        <v>0</v>
      </c>
      <c r="H423" s="4134">
        <f>IF('SW Plan'!$E$135="Activate",IF(H$364&gt;'SW Plan'!$H$135,$D$423,0),0)*H$3</f>
        <v>0</v>
      </c>
      <c r="I423" s="4134">
        <f>IF('SW Plan'!$E$135="Activate",IF(I$364&gt;'SW Plan'!$H$135,$D$423,0),0)*I$3</f>
        <v>0</v>
      </c>
      <c r="J423" s="4134">
        <f>IF('SW Plan'!$E$135="Activate",IF(J$364&gt;'SW Plan'!$H$135,$D$423,0),0)*J$3</f>
        <v>0</v>
      </c>
      <c r="K423" s="4134">
        <f>IF('SW Plan'!$E$135="Activate",IF(K$364&gt;'SW Plan'!$H$135,$D$423,0),0)*K$3</f>
        <v>0</v>
      </c>
      <c r="L423" s="4134">
        <f>IF('SW Plan'!$E$135="Activate",IF(L$364&gt;'SW Plan'!$H$135,$D$423,0),0)*L$3</f>
        <v>0</v>
      </c>
      <c r="M423" s="4134">
        <f>IF('SW Plan'!$E$135="Activate",IF(M$364&gt;'SW Plan'!$H$135,$D$423,0),0)*M$3</f>
        <v>0</v>
      </c>
      <c r="N423" s="4134">
        <f>IF('SW Plan'!$E$135="Activate",IF(N$364&gt;'SW Plan'!$H$135,$D$423,0),0)*N$3</f>
        <v>0</v>
      </c>
      <c r="O423" s="4134">
        <f>IF('SW Plan'!$E$135="Activate",IF(O$364&gt;'SW Plan'!$H$135,$D$423,0),0)*O$3</f>
        <v>0</v>
      </c>
      <c r="P423" s="4134">
        <f>IF('SW Plan'!$E$135="Activate",IF(P$364&gt;'SW Plan'!$H$135,$D$423,0),0)*P$3</f>
        <v>0</v>
      </c>
    </row>
    <row r="424" spans="2:16" ht="30" x14ac:dyDescent="0.25">
      <c r="B424" s="4129"/>
      <c r="C424" s="1897" t="str">
        <f t="shared" si="47"/>
        <v>Procure new vehicles for solid waste collection and transportation</v>
      </c>
      <c r="D424" s="4202"/>
      <c r="E424" s="4120"/>
      <c r="F424" s="4124"/>
      <c r="G424" s="4124"/>
      <c r="H424" s="4124"/>
      <c r="I424" s="4124"/>
      <c r="J424" s="4124"/>
      <c r="K424" s="4124"/>
      <c r="L424" s="4124"/>
      <c r="M424" s="4124"/>
      <c r="N424" s="4124"/>
      <c r="O424" s="4124"/>
      <c r="P424" s="4124"/>
    </row>
    <row r="425" spans="2:16" x14ac:dyDescent="0.25">
      <c r="B425" s="4129"/>
      <c r="C425" s="1897" t="str">
        <f t="shared" si="47"/>
        <v>Construct new solid waste transfer station</v>
      </c>
      <c r="D425" s="4202"/>
      <c r="E425" s="4120"/>
      <c r="F425" s="4124"/>
      <c r="G425" s="4124"/>
      <c r="H425" s="4124"/>
      <c r="I425" s="4124"/>
      <c r="J425" s="4124"/>
      <c r="K425" s="4124"/>
      <c r="L425" s="4124"/>
      <c r="M425" s="4124"/>
      <c r="N425" s="4124"/>
      <c r="O425" s="4124"/>
      <c r="P425" s="4124"/>
    </row>
    <row r="426" spans="2:16" ht="30" x14ac:dyDescent="0.25">
      <c r="B426" s="4129"/>
      <c r="C426" s="1897" t="str">
        <f t="shared" si="47"/>
        <v>Install weigh bridges to quantify solid waste collected and transported</v>
      </c>
      <c r="D426" s="4202"/>
      <c r="E426" s="4120"/>
      <c r="F426" s="4124"/>
      <c r="G426" s="4124"/>
      <c r="H426" s="4124"/>
      <c r="I426" s="4124"/>
      <c r="J426" s="4124"/>
      <c r="K426" s="4124"/>
      <c r="L426" s="4124"/>
      <c r="M426" s="4124"/>
      <c r="N426" s="4124"/>
      <c r="O426" s="4124"/>
      <c r="P426" s="4124"/>
    </row>
    <row r="427" spans="2:16" x14ac:dyDescent="0.25">
      <c r="B427" s="4129"/>
      <c r="C427" s="1897" t="str">
        <f t="shared" si="47"/>
        <v>Construct new solid waste processing plant</v>
      </c>
      <c r="D427" s="4190"/>
      <c r="E427" s="4113">
        <f>SUM($F427:$P427)</f>
        <v>0</v>
      </c>
      <c r="F427" s="4134"/>
      <c r="G427" s="4134">
        <f>IFERROR('MSW calcu'!G169,0)</f>
        <v>0</v>
      </c>
      <c r="H427" s="4134">
        <f>IFERROR('MSW calcu'!H169,0)</f>
        <v>0</v>
      </c>
      <c r="I427" s="4134">
        <f>IFERROR('MSW calcu'!I169,0)</f>
        <v>0</v>
      </c>
      <c r="J427" s="4134">
        <f>IFERROR('MSW calcu'!J169,0)</f>
        <v>0</v>
      </c>
      <c r="K427" s="4134">
        <f>IFERROR('MSW calcu'!K169,0)</f>
        <v>0</v>
      </c>
      <c r="L427" s="4134">
        <f>IFERROR('MSW calcu'!L169,0)</f>
        <v>0</v>
      </c>
      <c r="M427" s="4134">
        <f>IFERROR('MSW calcu'!M169,0)</f>
        <v>0</v>
      </c>
      <c r="N427" s="4134">
        <f>IFERROR('MSW calcu'!N169,0)</f>
        <v>0</v>
      </c>
      <c r="O427" s="4134">
        <f>IFERROR('MSW calcu'!O169,0)</f>
        <v>0</v>
      </c>
      <c r="P427" s="4134">
        <f>IFERROR('MSW calcu'!P169,0)</f>
        <v>0</v>
      </c>
    </row>
    <row r="428" spans="2:16" x14ac:dyDescent="0.25">
      <c r="B428" s="4102" t="s">
        <v>10</v>
      </c>
      <c r="C428" s="4217" t="str">
        <f t="shared" ref="C428:C433" si="48">C346</f>
        <v>Eff in services</v>
      </c>
      <c r="D428" s="4127"/>
      <c r="E428" s="4105"/>
      <c r="F428" s="4106"/>
      <c r="G428" s="4106"/>
      <c r="H428" s="4106"/>
      <c r="I428" s="4106"/>
      <c r="J428" s="4106"/>
      <c r="K428" s="4106"/>
      <c r="L428" s="4106"/>
      <c r="M428" s="4106"/>
      <c r="N428" s="4106"/>
      <c r="O428" s="4106"/>
      <c r="P428" s="4106"/>
    </row>
    <row r="429" spans="2:16" ht="30" x14ac:dyDescent="0.25">
      <c r="B429" s="4129"/>
      <c r="C429" s="4223" t="str">
        <f t="shared" si="48"/>
        <v>Improve processes for management of consumer complaints</v>
      </c>
      <c r="D429" s="4131"/>
      <c r="E429" s="4175"/>
      <c r="F429" s="4121"/>
      <c r="G429" s="4121"/>
      <c r="H429" s="4121"/>
      <c r="I429" s="4121"/>
      <c r="J429" s="4121"/>
      <c r="K429" s="4121"/>
      <c r="L429" s="4121"/>
      <c r="M429" s="4121"/>
      <c r="N429" s="4121"/>
      <c r="O429" s="4121"/>
      <c r="P429" s="4121"/>
    </row>
    <row r="430" spans="2:16" ht="30" x14ac:dyDescent="0.25">
      <c r="B430" s="4129"/>
      <c r="C430" s="4223" t="str">
        <f t="shared" si="48"/>
        <v>Process for allotment of government land for processing and disposal of solid waste</v>
      </c>
      <c r="D430" s="4131"/>
      <c r="E430" s="4175"/>
      <c r="F430" s="4121"/>
      <c r="G430" s="4121"/>
      <c r="H430" s="4121"/>
      <c r="I430" s="4121"/>
      <c r="J430" s="4121"/>
      <c r="K430" s="4121"/>
      <c r="L430" s="4121"/>
      <c r="M430" s="4121"/>
      <c r="N430" s="4121"/>
      <c r="O430" s="4121"/>
      <c r="P430" s="4121"/>
    </row>
    <row r="431" spans="2:16" ht="30" x14ac:dyDescent="0.25">
      <c r="B431" s="4129"/>
      <c r="C431" s="4223" t="str">
        <f t="shared" si="48"/>
        <v xml:space="preserve">Process to obtain authorisation from concerned authorities and furnish annual report of compliance </v>
      </c>
      <c r="D431" s="4131"/>
      <c r="E431" s="4175"/>
      <c r="F431" s="4121"/>
      <c r="G431" s="4121"/>
      <c r="H431" s="4121"/>
      <c r="I431" s="4121"/>
      <c r="J431" s="4121"/>
      <c r="K431" s="4121"/>
      <c r="L431" s="4121"/>
      <c r="M431" s="4121"/>
      <c r="N431" s="4121"/>
      <c r="O431" s="4121"/>
      <c r="P431" s="4121"/>
    </row>
    <row r="432" spans="2:16" ht="30" x14ac:dyDescent="0.25">
      <c r="B432" s="4129"/>
      <c r="C432" s="4223" t="str">
        <f t="shared" si="48"/>
        <v>Review of operating practices at scientific landfill sites to ensure compliance with MSW Rules 2000</v>
      </c>
      <c r="D432" s="4131"/>
      <c r="E432" s="4175"/>
      <c r="F432" s="4121"/>
      <c r="G432" s="4121"/>
      <c r="H432" s="4121"/>
      <c r="I432" s="4121"/>
      <c r="J432" s="4121"/>
      <c r="K432" s="4121"/>
      <c r="L432" s="4121"/>
      <c r="M432" s="4121"/>
      <c r="N432" s="4121"/>
      <c r="O432" s="4121"/>
      <c r="P432" s="4121"/>
    </row>
    <row r="433" spans="1:20" s="4207" customFormat="1" x14ac:dyDescent="0.25">
      <c r="B433" s="4129"/>
      <c r="C433" s="4209" t="str">
        <f t="shared" si="48"/>
        <v>Improve consumer grievance redressal system</v>
      </c>
      <c r="D433" s="4202"/>
      <c r="E433" s="4120"/>
      <c r="F433" s="4206"/>
      <c r="G433" s="4206"/>
      <c r="H433" s="4206"/>
      <c r="I433" s="4206"/>
      <c r="J433" s="4206"/>
      <c r="K433" s="4206"/>
      <c r="L433" s="4206"/>
      <c r="M433" s="4206"/>
      <c r="N433" s="4206"/>
      <c r="O433" s="4206"/>
      <c r="P433" s="4206"/>
    </row>
    <row r="434" spans="1:20" ht="30" x14ac:dyDescent="0.25">
      <c r="B434" s="4129"/>
      <c r="C434" s="4209" t="str">
        <f t="shared" ref="C434:C441" si="49">C352</f>
        <v>Construct sanitary landfill facility for solid waste disposal</v>
      </c>
      <c r="D434" s="4202"/>
      <c r="E434" s="4120"/>
      <c r="F434" s="4124"/>
      <c r="G434" s="4206"/>
      <c r="H434" s="4206"/>
      <c r="I434" s="4206"/>
      <c r="J434" s="4206"/>
      <c r="K434" s="4206"/>
      <c r="L434" s="4206"/>
      <c r="M434" s="4206"/>
      <c r="N434" s="4206"/>
      <c r="O434" s="4206"/>
      <c r="P434" s="4206"/>
    </row>
    <row r="435" spans="1:20" ht="30" x14ac:dyDescent="0.25">
      <c r="B435" s="4129"/>
      <c r="C435" s="1897" t="str">
        <f t="shared" si="49"/>
        <v>Closure of existing dumping site in scientific manner as prescribed by MSW Rules 2000</v>
      </c>
      <c r="D435" s="4202"/>
      <c r="E435" s="4120"/>
      <c r="F435" s="4124"/>
      <c r="G435" s="4206"/>
      <c r="H435" s="4206"/>
      <c r="I435" s="4206"/>
      <c r="J435" s="4206"/>
      <c r="K435" s="4206"/>
      <c r="L435" s="4206"/>
      <c r="M435" s="4206"/>
      <c r="N435" s="4206"/>
      <c r="O435" s="4206"/>
      <c r="P435" s="4206"/>
    </row>
    <row r="436" spans="1:20" x14ac:dyDescent="0.25">
      <c r="B436" s="4102" t="s">
        <v>12</v>
      </c>
      <c r="C436" s="4217" t="str">
        <f t="shared" si="49"/>
        <v>Financial sustainaibility</v>
      </c>
      <c r="D436" s="4127"/>
      <c r="E436" s="4105"/>
      <c r="F436" s="4106"/>
      <c r="G436" s="4106"/>
      <c r="H436" s="4106"/>
      <c r="I436" s="4106"/>
      <c r="J436" s="4106"/>
      <c r="K436" s="4106"/>
      <c r="L436" s="4106"/>
      <c r="M436" s="4106"/>
      <c r="N436" s="4106"/>
      <c r="O436" s="4106"/>
      <c r="P436" s="4106"/>
    </row>
    <row r="437" spans="1:20" x14ac:dyDescent="0.25">
      <c r="B437" s="4129"/>
      <c r="C437" s="4209" t="str">
        <f t="shared" si="49"/>
        <v>Improve billing and collection of solid waste bills</v>
      </c>
      <c r="D437" s="4202"/>
      <c r="E437" s="4120"/>
      <c r="F437" s="4124"/>
      <c r="G437" s="4124"/>
      <c r="H437" s="4124"/>
      <c r="I437" s="4124"/>
      <c r="J437" s="4124"/>
      <c r="K437" s="4124"/>
      <c r="L437" s="4124"/>
      <c r="M437" s="4124"/>
      <c r="N437" s="4124"/>
      <c r="O437" s="4124"/>
      <c r="P437" s="4124"/>
    </row>
    <row r="438" spans="1:20" ht="30" x14ac:dyDescent="0.25">
      <c r="B438" s="4129"/>
      <c r="C438" s="4209" t="str">
        <f t="shared" si="49"/>
        <v>Improve collection efficiency of solid waste charges and taxes</v>
      </c>
      <c r="D438" s="4202"/>
      <c r="E438" s="4120"/>
      <c r="F438" s="4124"/>
      <c r="G438" s="4124"/>
      <c r="H438" s="4124"/>
      <c r="I438" s="4124"/>
      <c r="J438" s="4124"/>
      <c r="K438" s="4124"/>
      <c r="L438" s="4124"/>
      <c r="M438" s="4124"/>
      <c r="N438" s="4124"/>
      <c r="O438" s="4124"/>
      <c r="P438" s="4124"/>
    </row>
    <row r="439" spans="1:20" x14ac:dyDescent="0.25">
      <c r="B439" s="4102" t="s">
        <v>13</v>
      </c>
      <c r="C439" s="4217" t="str">
        <f t="shared" si="49"/>
        <v>Generic actions</v>
      </c>
      <c r="D439" s="4127"/>
      <c r="E439" s="4105"/>
      <c r="F439" s="4106"/>
      <c r="G439" s="4106"/>
      <c r="H439" s="4106"/>
      <c r="I439" s="4106"/>
      <c r="J439" s="4106"/>
      <c r="K439" s="4106"/>
      <c r="L439" s="4106"/>
      <c r="M439" s="4106"/>
      <c r="N439" s="4106"/>
      <c r="O439" s="4106"/>
      <c r="P439" s="4106"/>
    </row>
    <row r="440" spans="1:20" x14ac:dyDescent="0.25">
      <c r="B440" s="4129"/>
      <c r="C440" s="4149" t="str">
        <f t="shared" si="49"/>
        <v>SW Customised action 1</v>
      </c>
      <c r="D440" s="4140">
        <f>IF('SW Plan'!$G$242="None",0,IF('SW Plan'!$G$242="Starts after project is completed",1,2))</f>
        <v>2</v>
      </c>
      <c r="E440" s="4120">
        <f>SUM($F440:$P440)</f>
        <v>0</v>
      </c>
      <c r="F440" s="4124"/>
      <c r="G440" s="4124">
        <f>IF('SW Plan'!$E$239="Activate",IF(AND($D$440=1,G$405&gt;'SW Plan'!$H$239),'SW Plan'!$H$242*'PIP finance'!G$3,IF(AND($D$440=2,G$405&gt;='SW Plan'!$G$239,G$405&lt;'SW Plan'!$H$239+1),'SW Plan'!$H$242*'PIP finance'!G$3,0)),0)</f>
        <v>0</v>
      </c>
      <c r="H440" s="4124">
        <f>IF('SW Plan'!$E$239="Activate",IF(AND($D$440=1,H$405&gt;'SW Plan'!$H$239),'SW Plan'!$H$242*'PIP finance'!H$3,IF(AND($D$440=2,H$405&gt;='SW Plan'!$G$239,H$405&lt;'SW Plan'!$H$239+1),'SW Plan'!$H$242*'PIP finance'!H$3,0)),0)</f>
        <v>0</v>
      </c>
      <c r="I440" s="4124">
        <f>IF('SW Plan'!$E$239="Activate",IF(AND($D$440=1,I$405&gt;'SW Plan'!$H$239),'SW Plan'!$H$242*'PIP finance'!I$3,IF(AND($D$440=2,I$405&gt;='SW Plan'!$G$239,I$405&lt;'SW Plan'!$H$239+1),'SW Plan'!$H$242*'PIP finance'!I$3,0)),0)</f>
        <v>0</v>
      </c>
      <c r="J440" s="4124">
        <f>IF('SW Plan'!$E$239="Activate",IF(AND($D$440=1,J$405&gt;'SW Plan'!$H$239),'SW Plan'!$H$242*'PIP finance'!J$3,IF(AND($D$440=2,J$405&gt;='SW Plan'!$G$239,J$405&lt;'SW Plan'!$H$239+1),'SW Plan'!$H$242*'PIP finance'!J$3,0)),0)</f>
        <v>0</v>
      </c>
      <c r="K440" s="4124">
        <f>IF('SW Plan'!$E$239="Activate",IF(AND($D$440=1,K$405&gt;'SW Plan'!$H$239),'SW Plan'!$H$242*'PIP finance'!K$3,IF(AND($D$440=2,K$405&gt;='SW Plan'!$G$239,K$405&lt;'SW Plan'!$H$239+1),'SW Plan'!$H$242*'PIP finance'!K$3,0)),0)</f>
        <v>0</v>
      </c>
      <c r="L440" s="4124">
        <f>IF('SW Plan'!$E$239="Activate",IF(AND($D$440=1,L$405&gt;'SW Plan'!$H$239),'SW Plan'!$H$242*'PIP finance'!L$3,IF(AND($D$440=2,L$405&gt;='SW Plan'!$G$239,L$405&lt;'SW Plan'!$H$239+1),'SW Plan'!$H$242*'PIP finance'!L$3,0)),0)</f>
        <v>0</v>
      </c>
      <c r="M440" s="4124">
        <f>IF('SW Plan'!$E$239="Activate",IF(AND($D$440=1,M$405&gt;'SW Plan'!$H$239),'SW Plan'!$H$242*'PIP finance'!M$3,IF(AND($D$440=2,M$405&gt;='SW Plan'!$G$239,M$405&lt;'SW Plan'!$H$239+1),'SW Plan'!$H$242*'PIP finance'!M$3,0)),0)</f>
        <v>0</v>
      </c>
      <c r="N440" s="4124">
        <f>IF('SW Plan'!$E$239="Activate",IF(AND($D$440=1,N$405&gt;'SW Plan'!$H$239),'SW Plan'!$H$242*'PIP finance'!N$3,IF(AND($D$440=2,N$405&gt;='SW Plan'!$G$239,N$405&lt;'SW Plan'!$H$239+1),'SW Plan'!$H$242*'PIP finance'!N$3,0)),0)</f>
        <v>0</v>
      </c>
      <c r="O440" s="4124">
        <f>IF('SW Plan'!$E$239="Activate",IF(AND($D$440=1,O$405&gt;'SW Plan'!$H$239),'SW Plan'!$H$242*'PIP finance'!O$3,IF(AND($D$440=2,O$405&gt;='SW Plan'!$G$239,O$405&lt;'SW Plan'!$H$239+1),'SW Plan'!$H$242*'PIP finance'!O$3,0)),0)</f>
        <v>0</v>
      </c>
      <c r="P440" s="4124">
        <f>IF('SW Plan'!$E$239="Activate",IF(AND($D$440=1,P$405&gt;'SW Plan'!$H$239),'SW Plan'!$H$242*'PIP finance'!P$3,IF(AND($D$440=2,P$405&gt;='SW Plan'!$G$239,P$405&lt;'SW Plan'!$H$239+1),'SW Plan'!$H$242*'PIP finance'!P$3,0)),0)</f>
        <v>0</v>
      </c>
    </row>
    <row r="441" spans="1:20" x14ac:dyDescent="0.25">
      <c r="B441" s="4129"/>
      <c r="C441" s="4149" t="str">
        <f t="shared" si="49"/>
        <v>SW Customised action 2</v>
      </c>
      <c r="D441" s="4140">
        <f>IF('SW Plan'!$G$249="None",0,IF('SW Plan'!$G$249="Starts after project is completed",1,2))</f>
        <v>2</v>
      </c>
      <c r="E441" s="4120">
        <f>SUM($F441:$P441)</f>
        <v>0</v>
      </c>
      <c r="F441" s="4124"/>
      <c r="G441" s="4124">
        <f>IF('SW Plan'!$E$246="Activate",IF(AND($D$441=1,G$405&gt;'SW Plan'!$H$246),'SW Plan'!$H$249*'PIP finance'!G$3,IF(AND($D$441=2,G$405&gt;='SW Plan'!$G$246,G$405&lt;'SW Plan'!$H$246+1),'SW Plan'!$H$249*'PIP finance'!G$3,0)),0)</f>
        <v>0</v>
      </c>
      <c r="H441" s="4124">
        <f>IF('SW Plan'!$E$246="Activate",IF(AND($D$441=1,H$405&gt;'SW Plan'!$H$246),'SW Plan'!$H$249*'PIP finance'!H$3,IF(AND($D$441=2,H$405&gt;='SW Plan'!$G$246,H$405&lt;'SW Plan'!$H$246+1),'SW Plan'!$H$249*'PIP finance'!H$3,0)),0)</f>
        <v>0</v>
      </c>
      <c r="I441" s="4124">
        <f>IF('SW Plan'!$E$246="Activate",IF(AND($D$441=1,I$405&gt;'SW Plan'!$H$246),'SW Plan'!$H$249*'PIP finance'!I$3,IF(AND($D$441=2,I$405&gt;='SW Plan'!$G$246,I$405&lt;'SW Plan'!$H$246+1),'SW Plan'!$H$249*'PIP finance'!I$3,0)),0)</f>
        <v>0</v>
      </c>
      <c r="J441" s="4124">
        <f>IF('SW Plan'!$E$246="Activate",IF(AND($D$441=1,J$405&gt;'SW Plan'!$H$246),'SW Plan'!$H$249*'PIP finance'!J$3,IF(AND($D$441=2,J$405&gt;='SW Plan'!$G$246,J$405&lt;'SW Plan'!$H$246+1),'SW Plan'!$H$249*'PIP finance'!J$3,0)),0)</f>
        <v>0</v>
      </c>
      <c r="K441" s="4124">
        <f>IF('SW Plan'!$E$246="Activate",IF(AND($D$441=1,K$405&gt;'SW Plan'!$H$246),'SW Plan'!$H$249*'PIP finance'!K$3,IF(AND($D$441=2,K$405&gt;='SW Plan'!$G$246,K$405&lt;'SW Plan'!$H$246+1),'SW Plan'!$H$249*'PIP finance'!K$3,0)),0)</f>
        <v>0</v>
      </c>
      <c r="L441" s="4124">
        <f>IF('SW Plan'!$E$246="Activate",IF(AND($D$441=1,L$405&gt;'SW Plan'!$H$246),'SW Plan'!$H$249*'PIP finance'!L$3,IF(AND($D$441=2,L$405&gt;='SW Plan'!$G$246,L$405&lt;'SW Plan'!$H$246+1),'SW Plan'!$H$249*'PIP finance'!L$3,0)),0)</f>
        <v>0</v>
      </c>
      <c r="M441" s="4124">
        <f>IF('SW Plan'!$E$246="Activate",IF(AND($D$441=1,M$405&gt;'SW Plan'!$H$246),'SW Plan'!$H$249*'PIP finance'!M$3,IF(AND($D$441=2,M$405&gt;='SW Plan'!$G$246,M$405&lt;'SW Plan'!$H$246+1),'SW Plan'!$H$249*'PIP finance'!M$3,0)),0)</f>
        <v>0</v>
      </c>
      <c r="N441" s="4124">
        <f>IF('SW Plan'!$E$246="Activate",IF(AND($D$441=1,N$405&gt;'SW Plan'!$H$246),'SW Plan'!$H$249*'PIP finance'!N$3,IF(AND($D$441=2,N$405&gt;='SW Plan'!$G$246,N$405&lt;'SW Plan'!$H$246+1),'SW Plan'!$H$249*'PIP finance'!N$3,0)),0)</f>
        <v>0</v>
      </c>
      <c r="O441" s="4124">
        <f>IF('SW Plan'!$E$246="Activate",IF(AND($D$441=1,O$405&gt;'SW Plan'!$H$246),'SW Plan'!$H$249*'PIP finance'!O$3,IF(AND($D$441=2,O$405&gt;='SW Plan'!$G$246,O$405&lt;'SW Plan'!$H$246+1),'SW Plan'!$H$249*'PIP finance'!O$3,0)),0)</f>
        <v>0</v>
      </c>
      <c r="P441" s="4124">
        <f>IF('SW Plan'!$E$246="Activate",IF(AND($D$441=1,P$405&gt;'SW Plan'!$H$246),'SW Plan'!$H$249*'PIP finance'!P$3,IF(AND($D$441=2,P$405&gt;='SW Plan'!$G$246,P$405&lt;'SW Plan'!$H$246+1),'SW Plan'!$H$249*'PIP finance'!P$3,0)),0)</f>
        <v>0</v>
      </c>
    </row>
    <row r="442" spans="1:20" s="4148" customFormat="1" x14ac:dyDescent="0.25">
      <c r="B442" s="4213"/>
      <c r="C442" s="4213" t="s">
        <v>465</v>
      </c>
      <c r="D442" s="4186">
        <f t="shared" ref="D442:O442" si="50">SUM(D406:D441)</f>
        <v>4</v>
      </c>
      <c r="E442" s="4145">
        <f t="shared" si="50"/>
        <v>0</v>
      </c>
      <c r="F442" s="4145"/>
      <c r="G442" s="4145">
        <f t="shared" si="50"/>
        <v>0</v>
      </c>
      <c r="H442" s="4145">
        <f t="shared" si="50"/>
        <v>0</v>
      </c>
      <c r="I442" s="4145">
        <f t="shared" si="50"/>
        <v>0</v>
      </c>
      <c r="J442" s="4145">
        <f t="shared" si="50"/>
        <v>0</v>
      </c>
      <c r="K442" s="4145">
        <f t="shared" si="50"/>
        <v>0</v>
      </c>
      <c r="L442" s="4145">
        <f t="shared" si="50"/>
        <v>0</v>
      </c>
      <c r="M442" s="4145">
        <f t="shared" si="50"/>
        <v>0</v>
      </c>
      <c r="N442" s="4145">
        <f t="shared" si="50"/>
        <v>0</v>
      </c>
      <c r="O442" s="4145">
        <f t="shared" si="50"/>
        <v>0</v>
      </c>
      <c r="P442" s="4145">
        <f>SUM(P406:P441)</f>
        <v>0</v>
      </c>
    </row>
    <row r="444" spans="1:20" s="4179" customFormat="1" x14ac:dyDescent="0.25">
      <c r="D444" s="4180"/>
    </row>
    <row r="446" spans="1:20" s="4093" customFormat="1" ht="23.25" x14ac:dyDescent="0.25">
      <c r="A446" s="4089"/>
      <c r="B446" s="4089"/>
      <c r="C446" s="4090" t="s">
        <v>788</v>
      </c>
      <c r="D446" s="4227"/>
      <c r="E446" s="4092"/>
      <c r="F446" s="4092"/>
      <c r="G446" s="4092"/>
      <c r="H446" s="4092"/>
      <c r="I446" s="4092"/>
      <c r="J446" s="4092"/>
      <c r="K446" s="4092"/>
      <c r="L446" s="4092"/>
      <c r="M446" s="4092"/>
      <c r="N446" s="4092"/>
      <c r="O446" s="4092"/>
      <c r="P446" s="4092"/>
      <c r="Q446" s="4092"/>
      <c r="R446" s="4092"/>
      <c r="S446" s="4092"/>
      <c r="T446" s="4092"/>
    </row>
    <row r="447" spans="1:20" s="4076" customFormat="1" ht="18.75" x14ac:dyDescent="0.3">
      <c r="C447" s="4228" t="s">
        <v>84</v>
      </c>
      <c r="D447" s="4229" t="str">
        <f>'Action Plan finance'!$AH$53</f>
        <v>CAPEX</v>
      </c>
      <c r="E447" s="4098">
        <f t="shared" ref="E447:N447" si="51">G7</f>
        <v>2015</v>
      </c>
      <c r="F447" s="4098">
        <f t="shared" si="51"/>
        <v>2016</v>
      </c>
      <c r="G447" s="4098">
        <f t="shared" si="51"/>
        <v>2017</v>
      </c>
      <c r="H447" s="4098">
        <f t="shared" si="51"/>
        <v>2018</v>
      </c>
      <c r="I447" s="4098">
        <f t="shared" si="51"/>
        <v>2019</v>
      </c>
      <c r="J447" s="4098">
        <f t="shared" si="51"/>
        <v>2020</v>
      </c>
      <c r="K447" s="4098">
        <f t="shared" si="51"/>
        <v>2021</v>
      </c>
      <c r="L447" s="4098">
        <f t="shared" si="51"/>
        <v>2022</v>
      </c>
      <c r="M447" s="4098">
        <f t="shared" si="51"/>
        <v>2023</v>
      </c>
      <c r="N447" s="4098">
        <f t="shared" si="51"/>
        <v>2024</v>
      </c>
      <c r="O447" s="4230" t="s">
        <v>16</v>
      </c>
      <c r="P447" s="4230" t="s">
        <v>784</v>
      </c>
      <c r="Q447" s="4230" t="s">
        <v>785</v>
      </c>
      <c r="R447" s="4230" t="s">
        <v>161</v>
      </c>
      <c r="S447" s="4230" t="s">
        <v>783</v>
      </c>
      <c r="T447" s="4231" t="s">
        <v>1512</v>
      </c>
    </row>
    <row r="448" spans="1:20" x14ac:dyDescent="0.25">
      <c r="C448" s="4232" t="str">
        <f t="shared" ref="C448:C479" si="52">C8</f>
        <v>Access &amp; coverage</v>
      </c>
      <c r="D448" s="4233"/>
      <c r="E448" s="4233"/>
      <c r="F448" s="4233"/>
      <c r="G448" s="4233"/>
      <c r="H448" s="4233"/>
      <c r="I448" s="4233"/>
      <c r="J448" s="4233"/>
      <c r="K448" s="4233"/>
      <c r="L448" s="4233"/>
      <c r="M448" s="4233"/>
      <c r="N448" s="4233"/>
      <c r="O448" s="4233"/>
      <c r="P448" s="4233"/>
      <c r="Q448" s="4233"/>
      <c r="R448" s="4234"/>
      <c r="S448" s="4233"/>
      <c r="T448" s="4235"/>
    </row>
    <row r="449" spans="3:20" x14ac:dyDescent="0.25">
      <c r="C449" s="4236" t="str">
        <f t="shared" si="52"/>
        <v xml:space="preserve">Household survey to assess water supply services </v>
      </c>
      <c r="D449" s="4237" t="s">
        <v>778</v>
      </c>
      <c r="E449" s="4238">
        <f t="shared" ref="E449:E480" si="53">IF($D$447="PHASING","",IF($D$447=$D$6,G9,G64))</f>
        <v>0</v>
      </c>
      <c r="F449" s="4238">
        <f t="shared" ref="F449:F480" si="54">IF($D$447="PHASING","",IF($D$447=$D$6,H9,H64))</f>
        <v>0</v>
      </c>
      <c r="G449" s="4238">
        <f t="shared" ref="G449:G480" si="55">IF($D$447="PHASING","",IF($D$447=$D$6,I9,I64))</f>
        <v>0</v>
      </c>
      <c r="H449" s="4238">
        <f t="shared" ref="H449:H480" si="56">IF($D$447="PHASING","",IF($D$447=$D$6,J9,J64))</f>
        <v>0</v>
      </c>
      <c r="I449" s="4238">
        <f t="shared" ref="I449:I480" si="57">IF($D$447="PHASING","",IF($D$447=$D$6,K9,K64))</f>
        <v>0</v>
      </c>
      <c r="J449" s="4238">
        <f t="shared" ref="J449:J480" si="58">IF($D$447="PHASING","",IF($D$447=$D$6,L9,L64))</f>
        <v>0</v>
      </c>
      <c r="K449" s="4238">
        <f t="shared" ref="K449:K480" si="59">IF($D$447="PHASING","",IF($D$447=$D$6,M9,M64))</f>
        <v>0</v>
      </c>
      <c r="L449" s="4238">
        <f t="shared" ref="L449:L480" si="60">IF($D$447="PHASING","",IF($D$447=$D$6,N9,N64))</f>
        <v>0</v>
      </c>
      <c r="M449" s="4238">
        <f t="shared" ref="M449:M480" si="61">IF($D$447="PHASING","",IF($D$447=$D$6,O9,O64))</f>
        <v>0</v>
      </c>
      <c r="N449" s="4238">
        <f t="shared" ref="N449:N480" si="62">IF($D$447="PHASING","",IF($D$447=$D$6,P9,P64))</f>
        <v>0</v>
      </c>
      <c r="O449" s="4239">
        <f>IF($D$447="PHASING","",IF($D$447=$D$6,Q7,Q64))</f>
        <v>0</v>
      </c>
      <c r="P449" s="4240">
        <f>'WS Plan'!G22</f>
        <v>0</v>
      </c>
      <c r="Q449" s="4240">
        <f>'WS Plan'!H22</f>
        <v>0</v>
      </c>
      <c r="R449" s="4241" t="s">
        <v>891</v>
      </c>
      <c r="S449" s="4242">
        <f t="shared" ref="S449:S480" si="63">E9</f>
        <v>0</v>
      </c>
      <c r="T449" s="4239">
        <f t="shared" ref="T449:T480" si="64">U9</f>
        <v>0</v>
      </c>
    </row>
    <row r="450" spans="3:20" x14ac:dyDescent="0.25">
      <c r="C450" s="4243" t="str">
        <f t="shared" si="52"/>
        <v>Computerise water supply records</v>
      </c>
      <c r="D450" s="4237" t="s">
        <v>778</v>
      </c>
      <c r="E450" s="4244">
        <f t="shared" si="53"/>
        <v>0</v>
      </c>
      <c r="F450" s="4244">
        <f t="shared" si="54"/>
        <v>0</v>
      </c>
      <c r="G450" s="4244">
        <f t="shared" si="55"/>
        <v>0</v>
      </c>
      <c r="H450" s="4244">
        <f t="shared" si="56"/>
        <v>0</v>
      </c>
      <c r="I450" s="4244">
        <f t="shared" si="57"/>
        <v>0</v>
      </c>
      <c r="J450" s="4244">
        <f t="shared" si="58"/>
        <v>0</v>
      </c>
      <c r="K450" s="4244">
        <f t="shared" si="59"/>
        <v>0</v>
      </c>
      <c r="L450" s="4244">
        <f t="shared" si="60"/>
        <v>0</v>
      </c>
      <c r="M450" s="4244">
        <f t="shared" si="61"/>
        <v>0</v>
      </c>
      <c r="N450" s="4244">
        <f t="shared" si="62"/>
        <v>0</v>
      </c>
      <c r="O450" s="4245">
        <f>SUM(E450:N450)</f>
        <v>0</v>
      </c>
      <c r="P450" s="4246">
        <f>'WS Plan'!G28</f>
        <v>0</v>
      </c>
      <c r="Q450" s="4246">
        <f>'WS Plan'!H28</f>
        <v>0</v>
      </c>
      <c r="R450" s="4241" t="s">
        <v>891</v>
      </c>
      <c r="S450" s="4245">
        <f t="shared" si="63"/>
        <v>0</v>
      </c>
      <c r="T450" s="4247">
        <f t="shared" si="64"/>
        <v>0</v>
      </c>
    </row>
    <row r="451" spans="3:20" ht="30" x14ac:dyDescent="0.25">
      <c r="C451" s="4243" t="str">
        <f t="shared" si="52"/>
        <v>Process improvement for new water supply connection applications</v>
      </c>
      <c r="D451" s="4237" t="s">
        <v>779</v>
      </c>
      <c r="E451" s="4238">
        <f t="shared" si="53"/>
        <v>0</v>
      </c>
      <c r="F451" s="4238">
        <f t="shared" si="54"/>
        <v>0</v>
      </c>
      <c r="G451" s="4238">
        <f t="shared" si="55"/>
        <v>0</v>
      </c>
      <c r="H451" s="4238">
        <f t="shared" si="56"/>
        <v>0</v>
      </c>
      <c r="I451" s="4238">
        <f t="shared" si="57"/>
        <v>0</v>
      </c>
      <c r="J451" s="4238">
        <f t="shared" si="58"/>
        <v>0</v>
      </c>
      <c r="K451" s="4238">
        <f t="shared" si="59"/>
        <v>0</v>
      </c>
      <c r="L451" s="4238">
        <f t="shared" si="60"/>
        <v>0</v>
      </c>
      <c r="M451" s="4238">
        <f t="shared" si="61"/>
        <v>0</v>
      </c>
      <c r="N451" s="4238">
        <f t="shared" si="62"/>
        <v>0</v>
      </c>
      <c r="O451" s="4245">
        <f t="shared" ref="O451:O457" si="65">SUM(E451:N451)</f>
        <v>0</v>
      </c>
      <c r="P451" s="4246">
        <f>$E$447</f>
        <v>2015</v>
      </c>
      <c r="Q451" s="4246">
        <f>$E$447</f>
        <v>2015</v>
      </c>
      <c r="R451" s="4241" t="s">
        <v>891</v>
      </c>
      <c r="S451" s="4245">
        <f t="shared" si="63"/>
        <v>0</v>
      </c>
      <c r="T451" s="4247">
        <f t="shared" si="64"/>
        <v>0</v>
      </c>
    </row>
    <row r="452" spans="3:20" ht="30" x14ac:dyDescent="0.25">
      <c r="C452" s="4243" t="str">
        <f t="shared" si="52"/>
        <v>Policy for providing individual water connections in slums</v>
      </c>
      <c r="D452" s="4237" t="s">
        <v>779</v>
      </c>
      <c r="E452" s="4244">
        <f t="shared" si="53"/>
        <v>0</v>
      </c>
      <c r="F452" s="4244">
        <f t="shared" si="54"/>
        <v>0</v>
      </c>
      <c r="G452" s="4244">
        <f t="shared" si="55"/>
        <v>0</v>
      </c>
      <c r="H452" s="4244">
        <f t="shared" si="56"/>
        <v>0</v>
      </c>
      <c r="I452" s="4244">
        <f t="shared" si="57"/>
        <v>0</v>
      </c>
      <c r="J452" s="4244">
        <f t="shared" si="58"/>
        <v>0</v>
      </c>
      <c r="K452" s="4244">
        <f t="shared" si="59"/>
        <v>0</v>
      </c>
      <c r="L452" s="4244">
        <f t="shared" si="60"/>
        <v>0</v>
      </c>
      <c r="M452" s="4244">
        <f t="shared" si="61"/>
        <v>0</v>
      </c>
      <c r="N452" s="4244">
        <f t="shared" si="62"/>
        <v>0</v>
      </c>
      <c r="O452" s="4245">
        <f t="shared" si="65"/>
        <v>0</v>
      </c>
      <c r="P452" s="4246">
        <f>$E$447</f>
        <v>2015</v>
      </c>
      <c r="Q452" s="4246">
        <f>$E$447</f>
        <v>2015</v>
      </c>
      <c r="R452" s="4241" t="s">
        <v>891</v>
      </c>
      <c r="S452" s="4245">
        <f t="shared" si="63"/>
        <v>0</v>
      </c>
      <c r="T452" s="4247">
        <f t="shared" si="64"/>
        <v>0</v>
      </c>
    </row>
    <row r="453" spans="3:20" x14ac:dyDescent="0.25">
      <c r="C453" s="4243" t="str">
        <f t="shared" si="52"/>
        <v>Regularise unauthorised water supply connections</v>
      </c>
      <c r="D453" s="4237" t="s">
        <v>781</v>
      </c>
      <c r="E453" s="4244">
        <f t="shared" si="53"/>
        <v>0</v>
      </c>
      <c r="F453" s="4244">
        <f t="shared" si="54"/>
        <v>0</v>
      </c>
      <c r="G453" s="4244">
        <f t="shared" si="55"/>
        <v>0</v>
      </c>
      <c r="H453" s="4244">
        <f t="shared" si="56"/>
        <v>0</v>
      </c>
      <c r="I453" s="4244">
        <f t="shared" si="57"/>
        <v>0</v>
      </c>
      <c r="J453" s="4244">
        <f t="shared" si="58"/>
        <v>0</v>
      </c>
      <c r="K453" s="4244">
        <f t="shared" si="59"/>
        <v>0</v>
      </c>
      <c r="L453" s="4244">
        <f t="shared" si="60"/>
        <v>0</v>
      </c>
      <c r="M453" s="4244">
        <f t="shared" si="61"/>
        <v>0</v>
      </c>
      <c r="N453" s="4244">
        <f t="shared" si="62"/>
        <v>0</v>
      </c>
      <c r="O453" s="4245">
        <f t="shared" si="65"/>
        <v>0</v>
      </c>
      <c r="P453" s="4246">
        <f>'WS Plan'!G39</f>
        <v>0</v>
      </c>
      <c r="Q453" s="4246">
        <f>'WS Plan'!H39</f>
        <v>0</v>
      </c>
      <c r="R453" s="4241" t="s">
        <v>891</v>
      </c>
      <c r="S453" s="4245">
        <f t="shared" si="63"/>
        <v>0</v>
      </c>
      <c r="T453" s="4247">
        <f t="shared" si="64"/>
        <v>0</v>
      </c>
    </row>
    <row r="454" spans="3:20" ht="30" x14ac:dyDescent="0.25">
      <c r="C454" s="4243" t="str">
        <f t="shared" si="52"/>
        <v>Increase connections using existing water supply distribution network</v>
      </c>
      <c r="D454" s="4237" t="s">
        <v>781</v>
      </c>
      <c r="E454" s="4244">
        <f t="shared" si="53"/>
        <v>0</v>
      </c>
      <c r="F454" s="4244">
        <f t="shared" si="54"/>
        <v>0</v>
      </c>
      <c r="G454" s="4244">
        <f t="shared" si="55"/>
        <v>0</v>
      </c>
      <c r="H454" s="4244">
        <f t="shared" si="56"/>
        <v>0</v>
      </c>
      <c r="I454" s="4244">
        <f t="shared" si="57"/>
        <v>0</v>
      </c>
      <c r="J454" s="4244">
        <f t="shared" si="58"/>
        <v>0</v>
      </c>
      <c r="K454" s="4244">
        <f t="shared" si="59"/>
        <v>0</v>
      </c>
      <c r="L454" s="4244">
        <f t="shared" si="60"/>
        <v>0</v>
      </c>
      <c r="M454" s="4244">
        <f t="shared" si="61"/>
        <v>0</v>
      </c>
      <c r="N454" s="4244">
        <f t="shared" si="62"/>
        <v>0</v>
      </c>
      <c r="O454" s="4245">
        <f t="shared" si="65"/>
        <v>0</v>
      </c>
      <c r="P454" s="4246">
        <f>'WS Plan'!G44</f>
        <v>0</v>
      </c>
      <c r="Q454" s="4246">
        <f>'WS Plan'!H44</f>
        <v>0</v>
      </c>
      <c r="R454" s="4241" t="s">
        <v>891</v>
      </c>
      <c r="S454" s="4245">
        <f t="shared" si="63"/>
        <v>0</v>
      </c>
      <c r="T454" s="4247">
        <f t="shared" si="64"/>
        <v>0</v>
      </c>
    </row>
    <row r="455" spans="3:20" ht="30" x14ac:dyDescent="0.25">
      <c r="C455" s="4243" t="str">
        <f t="shared" si="52"/>
        <v>Convert stand posts/public taps into group connections</v>
      </c>
      <c r="D455" s="4237" t="s">
        <v>781</v>
      </c>
      <c r="E455" s="4244">
        <f t="shared" si="53"/>
        <v>0</v>
      </c>
      <c r="F455" s="4244">
        <f t="shared" si="54"/>
        <v>0</v>
      </c>
      <c r="G455" s="4244">
        <f t="shared" si="55"/>
        <v>0</v>
      </c>
      <c r="H455" s="4244">
        <f t="shared" si="56"/>
        <v>0</v>
      </c>
      <c r="I455" s="4244">
        <f t="shared" si="57"/>
        <v>0</v>
      </c>
      <c r="J455" s="4244">
        <f t="shared" si="58"/>
        <v>0</v>
      </c>
      <c r="K455" s="4244">
        <f t="shared" si="59"/>
        <v>0</v>
      </c>
      <c r="L455" s="4244">
        <f t="shared" si="60"/>
        <v>0</v>
      </c>
      <c r="M455" s="4244">
        <f t="shared" si="61"/>
        <v>0</v>
      </c>
      <c r="N455" s="4244">
        <f t="shared" si="62"/>
        <v>0</v>
      </c>
      <c r="O455" s="4245">
        <f t="shared" si="65"/>
        <v>0</v>
      </c>
      <c r="P455" s="4246">
        <f>'WS Plan'!G49</f>
        <v>0</v>
      </c>
      <c r="Q455" s="4246">
        <f>'WS Plan'!H49</f>
        <v>0</v>
      </c>
      <c r="R455" s="4241" t="s">
        <v>891</v>
      </c>
      <c r="S455" s="4245">
        <f t="shared" si="63"/>
        <v>0</v>
      </c>
      <c r="T455" s="4247">
        <f t="shared" si="64"/>
        <v>0</v>
      </c>
    </row>
    <row r="456" spans="3:20" x14ac:dyDescent="0.25">
      <c r="C456" s="4243" t="str">
        <f t="shared" si="52"/>
        <v>Lay new water supply distribution network</v>
      </c>
      <c r="D456" s="4237" t="s">
        <v>780</v>
      </c>
      <c r="E456" s="4244">
        <f t="shared" si="53"/>
        <v>0</v>
      </c>
      <c r="F456" s="4244">
        <f t="shared" si="54"/>
        <v>0</v>
      </c>
      <c r="G456" s="4244">
        <f t="shared" si="55"/>
        <v>0</v>
      </c>
      <c r="H456" s="4244">
        <f t="shared" si="56"/>
        <v>0</v>
      </c>
      <c r="I456" s="4244">
        <f t="shared" si="57"/>
        <v>0</v>
      </c>
      <c r="J456" s="4244">
        <f t="shared" si="58"/>
        <v>0</v>
      </c>
      <c r="K456" s="4244">
        <f t="shared" si="59"/>
        <v>0</v>
      </c>
      <c r="L456" s="4244">
        <f t="shared" si="60"/>
        <v>0</v>
      </c>
      <c r="M456" s="4244">
        <f t="shared" si="61"/>
        <v>0</v>
      </c>
      <c r="N456" s="4244">
        <f t="shared" si="62"/>
        <v>0</v>
      </c>
      <c r="O456" s="4245">
        <f t="shared" si="65"/>
        <v>0</v>
      </c>
      <c r="P456" s="4246">
        <f>'WS Plan'!G55</f>
        <v>0</v>
      </c>
      <c r="Q456" s="4246">
        <f>'WS Plan'!H55</f>
        <v>0</v>
      </c>
      <c r="R456" s="4241" t="s">
        <v>891</v>
      </c>
      <c r="S456" s="4245">
        <f t="shared" si="63"/>
        <v>0</v>
      </c>
      <c r="T456" s="4247">
        <f t="shared" si="64"/>
        <v>0</v>
      </c>
    </row>
    <row r="457" spans="3:20" ht="30" x14ac:dyDescent="0.25">
      <c r="C457" s="4243" t="str">
        <f t="shared" si="52"/>
        <v>Lay internal infrastructure of water supply lines in slums</v>
      </c>
      <c r="D457" s="4237" t="s">
        <v>780</v>
      </c>
      <c r="E457" s="4244">
        <f t="shared" si="53"/>
        <v>0</v>
      </c>
      <c r="F457" s="4244">
        <f t="shared" si="54"/>
        <v>0</v>
      </c>
      <c r="G457" s="4244">
        <f t="shared" si="55"/>
        <v>0</v>
      </c>
      <c r="H457" s="4244">
        <f t="shared" si="56"/>
        <v>0</v>
      </c>
      <c r="I457" s="4244">
        <f t="shared" si="57"/>
        <v>0</v>
      </c>
      <c r="J457" s="4244">
        <f t="shared" si="58"/>
        <v>0</v>
      </c>
      <c r="K457" s="4244">
        <f t="shared" si="59"/>
        <v>0</v>
      </c>
      <c r="L457" s="4244">
        <f t="shared" si="60"/>
        <v>0</v>
      </c>
      <c r="M457" s="4244">
        <f t="shared" si="61"/>
        <v>0</v>
      </c>
      <c r="N457" s="4244">
        <f t="shared" si="62"/>
        <v>0</v>
      </c>
      <c r="O457" s="4245">
        <f t="shared" si="65"/>
        <v>0</v>
      </c>
      <c r="P457" s="4246">
        <f>'WS Plan'!G64</f>
        <v>0</v>
      </c>
      <c r="Q457" s="4246">
        <f>'WS Plan'!H64</f>
        <v>0</v>
      </c>
      <c r="R457" s="4241" t="s">
        <v>891</v>
      </c>
      <c r="S457" s="4245">
        <f t="shared" si="63"/>
        <v>0</v>
      </c>
      <c r="T457" s="4247">
        <f t="shared" si="64"/>
        <v>0</v>
      </c>
    </row>
    <row r="458" spans="3:20" x14ac:dyDescent="0.25">
      <c r="C458" s="4232" t="str">
        <f t="shared" si="52"/>
        <v>Service levels &amp; quality</v>
      </c>
      <c r="D458" s="4233"/>
      <c r="E458" s="4233">
        <f t="shared" si="53"/>
        <v>0</v>
      </c>
      <c r="F458" s="4233">
        <f t="shared" si="54"/>
        <v>0</v>
      </c>
      <c r="G458" s="4233">
        <f t="shared" si="55"/>
        <v>0</v>
      </c>
      <c r="H458" s="4233">
        <f t="shared" si="56"/>
        <v>0</v>
      </c>
      <c r="I458" s="4233">
        <f t="shared" si="57"/>
        <v>0</v>
      </c>
      <c r="J458" s="4233">
        <f t="shared" si="58"/>
        <v>0</v>
      </c>
      <c r="K458" s="4233">
        <f t="shared" si="59"/>
        <v>0</v>
      </c>
      <c r="L458" s="4233">
        <f t="shared" si="60"/>
        <v>0</v>
      </c>
      <c r="M458" s="4233">
        <f t="shared" si="61"/>
        <v>0</v>
      </c>
      <c r="N458" s="4233">
        <f t="shared" si="62"/>
        <v>0</v>
      </c>
      <c r="O458" s="4248">
        <f t="shared" ref="O458:O469" si="66">SUM(E458:N458)</f>
        <v>0</v>
      </c>
      <c r="P458" s="4249"/>
      <c r="Q458" s="4249"/>
      <c r="R458" s="4250" t="s">
        <v>891</v>
      </c>
      <c r="S458" s="4248">
        <f t="shared" si="63"/>
        <v>0</v>
      </c>
      <c r="T458" s="4251">
        <f t="shared" si="64"/>
        <v>0</v>
      </c>
    </row>
    <row r="459" spans="3:20" x14ac:dyDescent="0.25">
      <c r="C459" s="4243" t="str">
        <f t="shared" si="52"/>
        <v>Improve water supply quality surveillance</v>
      </c>
      <c r="D459" s="4237" t="s">
        <v>779</v>
      </c>
      <c r="E459" s="4244">
        <f t="shared" si="53"/>
        <v>0</v>
      </c>
      <c r="F459" s="4244">
        <f t="shared" si="54"/>
        <v>0</v>
      </c>
      <c r="G459" s="4244">
        <f t="shared" si="55"/>
        <v>0</v>
      </c>
      <c r="H459" s="4244">
        <f t="shared" si="56"/>
        <v>0</v>
      </c>
      <c r="I459" s="4244">
        <f t="shared" si="57"/>
        <v>0</v>
      </c>
      <c r="J459" s="4244">
        <f t="shared" si="58"/>
        <v>0</v>
      </c>
      <c r="K459" s="4244">
        <f t="shared" si="59"/>
        <v>0</v>
      </c>
      <c r="L459" s="4244">
        <f t="shared" si="60"/>
        <v>0</v>
      </c>
      <c r="M459" s="4244">
        <f t="shared" si="61"/>
        <v>0</v>
      </c>
      <c r="N459" s="4252">
        <f t="shared" si="62"/>
        <v>0</v>
      </c>
      <c r="O459" s="4245">
        <f t="shared" si="66"/>
        <v>0</v>
      </c>
      <c r="P459" s="4246">
        <f>$E$447</f>
        <v>2015</v>
      </c>
      <c r="Q459" s="4246">
        <f>$E$447</f>
        <v>2015</v>
      </c>
      <c r="R459" s="4241" t="s">
        <v>891</v>
      </c>
      <c r="S459" s="4245">
        <f t="shared" si="63"/>
        <v>0</v>
      </c>
      <c r="T459" s="4247">
        <f t="shared" si="64"/>
        <v>0</v>
      </c>
    </row>
    <row r="460" spans="3:20" x14ac:dyDescent="0.25">
      <c r="C460" s="4243" t="str">
        <f t="shared" si="52"/>
        <v>Increase continuity of water supply services</v>
      </c>
      <c r="D460" s="4237" t="s">
        <v>781</v>
      </c>
      <c r="E460" s="4244">
        <f t="shared" si="53"/>
        <v>0</v>
      </c>
      <c r="F460" s="4244">
        <f t="shared" si="54"/>
        <v>0</v>
      </c>
      <c r="G460" s="4244">
        <f t="shared" si="55"/>
        <v>0</v>
      </c>
      <c r="H460" s="4244">
        <f t="shared" si="56"/>
        <v>0</v>
      </c>
      <c r="I460" s="4244">
        <f t="shared" si="57"/>
        <v>0</v>
      </c>
      <c r="J460" s="4244">
        <f t="shared" si="58"/>
        <v>0</v>
      </c>
      <c r="K460" s="4244">
        <f t="shared" si="59"/>
        <v>0</v>
      </c>
      <c r="L460" s="4244">
        <f t="shared" si="60"/>
        <v>0</v>
      </c>
      <c r="M460" s="4244">
        <f t="shared" si="61"/>
        <v>0</v>
      </c>
      <c r="N460" s="4252">
        <f t="shared" si="62"/>
        <v>0</v>
      </c>
      <c r="O460" s="4245">
        <f t="shared" si="66"/>
        <v>0</v>
      </c>
      <c r="P460" s="4246">
        <f>'WS Plan'!G80</f>
        <v>0</v>
      </c>
      <c r="Q460" s="4246">
        <f>'WS Plan'!H80</f>
        <v>0</v>
      </c>
      <c r="R460" s="4241" t="s">
        <v>891</v>
      </c>
      <c r="S460" s="4245">
        <f t="shared" si="63"/>
        <v>0</v>
      </c>
      <c r="T460" s="4247">
        <f t="shared" si="64"/>
        <v>0</v>
      </c>
    </row>
    <row r="461" spans="3:20" ht="30" x14ac:dyDescent="0.25">
      <c r="C461" s="4243" t="str">
        <f t="shared" si="52"/>
        <v>Repair existing water treatment plant to improve water quality</v>
      </c>
      <c r="D461" s="4237" t="s">
        <v>781</v>
      </c>
      <c r="E461" s="4244">
        <f t="shared" si="53"/>
        <v>0</v>
      </c>
      <c r="F461" s="4244">
        <f t="shared" si="54"/>
        <v>0</v>
      </c>
      <c r="G461" s="4244">
        <f t="shared" si="55"/>
        <v>0</v>
      </c>
      <c r="H461" s="4244">
        <f t="shared" si="56"/>
        <v>0</v>
      </c>
      <c r="I461" s="4244">
        <f t="shared" si="57"/>
        <v>0</v>
      </c>
      <c r="J461" s="4244">
        <f t="shared" si="58"/>
        <v>0</v>
      </c>
      <c r="K461" s="4244">
        <f t="shared" si="59"/>
        <v>0</v>
      </c>
      <c r="L461" s="4244">
        <f t="shared" si="60"/>
        <v>0</v>
      </c>
      <c r="M461" s="4244">
        <f t="shared" si="61"/>
        <v>0</v>
      </c>
      <c r="N461" s="4252">
        <f t="shared" si="62"/>
        <v>0</v>
      </c>
      <c r="O461" s="4245">
        <f t="shared" si="66"/>
        <v>0</v>
      </c>
      <c r="P461" s="4246">
        <f>'WS Plan'!G87</f>
        <v>0</v>
      </c>
      <c r="Q461" s="4246">
        <f>'WS Plan'!H87</f>
        <v>0</v>
      </c>
      <c r="R461" s="4241" t="s">
        <v>891</v>
      </c>
      <c r="S461" s="4245">
        <f t="shared" si="63"/>
        <v>0</v>
      </c>
      <c r="T461" s="4247">
        <f t="shared" si="64"/>
        <v>0</v>
      </c>
    </row>
    <row r="462" spans="3:20" x14ac:dyDescent="0.25">
      <c r="C462" s="4243" t="str">
        <f t="shared" si="52"/>
        <v>Treatment of untreated supply ground water</v>
      </c>
      <c r="D462" s="4237" t="s">
        <v>781</v>
      </c>
      <c r="E462" s="4244">
        <f t="shared" si="53"/>
        <v>0</v>
      </c>
      <c r="F462" s="4244">
        <f t="shared" si="54"/>
        <v>0</v>
      </c>
      <c r="G462" s="4244">
        <f t="shared" si="55"/>
        <v>0</v>
      </c>
      <c r="H462" s="4244">
        <f t="shared" si="56"/>
        <v>0</v>
      </c>
      <c r="I462" s="4244">
        <f t="shared" si="57"/>
        <v>0</v>
      </c>
      <c r="J462" s="4244">
        <f t="shared" si="58"/>
        <v>0</v>
      </c>
      <c r="K462" s="4244">
        <f t="shared" si="59"/>
        <v>0</v>
      </c>
      <c r="L462" s="4244">
        <f t="shared" si="60"/>
        <v>0</v>
      </c>
      <c r="M462" s="4244">
        <f t="shared" si="61"/>
        <v>0</v>
      </c>
      <c r="N462" s="4252">
        <f t="shared" si="62"/>
        <v>0</v>
      </c>
      <c r="O462" s="4245">
        <f t="shared" si="66"/>
        <v>0</v>
      </c>
      <c r="P462" s="4246">
        <f>'WS Plan'!G94</f>
        <v>0</v>
      </c>
      <c r="Q462" s="4246">
        <f>$N$447</f>
        <v>2024</v>
      </c>
      <c r="R462" s="4241" t="s">
        <v>891</v>
      </c>
      <c r="S462" s="4245">
        <f t="shared" si="63"/>
        <v>0</v>
      </c>
      <c r="T462" s="4247">
        <f t="shared" si="64"/>
        <v>0</v>
      </c>
    </row>
    <row r="463" spans="3:20" x14ac:dyDescent="0.25">
      <c r="C463" s="4243" t="str">
        <f t="shared" si="52"/>
        <v>Augment water supply - Own surface water</v>
      </c>
      <c r="D463" s="4237" t="s">
        <v>780</v>
      </c>
      <c r="E463" s="4244">
        <f t="shared" si="53"/>
        <v>0</v>
      </c>
      <c r="F463" s="4244">
        <f t="shared" si="54"/>
        <v>0</v>
      </c>
      <c r="G463" s="4244">
        <f t="shared" si="55"/>
        <v>0</v>
      </c>
      <c r="H463" s="4244">
        <f t="shared" si="56"/>
        <v>0</v>
      </c>
      <c r="I463" s="4244">
        <f t="shared" si="57"/>
        <v>0</v>
      </c>
      <c r="J463" s="4244">
        <f t="shared" si="58"/>
        <v>0</v>
      </c>
      <c r="K463" s="4244">
        <f t="shared" si="59"/>
        <v>0</v>
      </c>
      <c r="L463" s="4244">
        <f t="shared" si="60"/>
        <v>0</v>
      </c>
      <c r="M463" s="4244">
        <f t="shared" si="61"/>
        <v>0</v>
      </c>
      <c r="N463" s="4252">
        <f t="shared" si="62"/>
        <v>0</v>
      </c>
      <c r="O463" s="4245">
        <f t="shared" si="66"/>
        <v>0</v>
      </c>
      <c r="P463" s="4246">
        <f>'WS Plan'!G103</f>
        <v>0</v>
      </c>
      <c r="Q463" s="4246">
        <f>'WS Plan'!H103</f>
        <v>0</v>
      </c>
      <c r="R463" s="4241" t="s">
        <v>891</v>
      </c>
      <c r="S463" s="4245">
        <f t="shared" si="63"/>
        <v>0</v>
      </c>
      <c r="T463" s="4247">
        <f t="shared" si="64"/>
        <v>0</v>
      </c>
    </row>
    <row r="464" spans="3:20" x14ac:dyDescent="0.25">
      <c r="C464" s="4243" t="str">
        <f t="shared" si="52"/>
        <v>Augment water supply - Ground water</v>
      </c>
      <c r="D464" s="4237" t="s">
        <v>780</v>
      </c>
      <c r="E464" s="4244">
        <f t="shared" si="53"/>
        <v>0</v>
      </c>
      <c r="F464" s="4244">
        <f t="shared" si="54"/>
        <v>0</v>
      </c>
      <c r="G464" s="4244">
        <f t="shared" si="55"/>
        <v>0</v>
      </c>
      <c r="H464" s="4244">
        <f t="shared" si="56"/>
        <v>0</v>
      </c>
      <c r="I464" s="4244">
        <f t="shared" si="57"/>
        <v>0</v>
      </c>
      <c r="J464" s="4244">
        <f t="shared" si="58"/>
        <v>0</v>
      </c>
      <c r="K464" s="4244">
        <f t="shared" si="59"/>
        <v>0</v>
      </c>
      <c r="L464" s="4244">
        <f t="shared" si="60"/>
        <v>0</v>
      </c>
      <c r="M464" s="4244">
        <f t="shared" si="61"/>
        <v>0</v>
      </c>
      <c r="N464" s="4252">
        <f t="shared" si="62"/>
        <v>0</v>
      </c>
      <c r="O464" s="4245">
        <f t="shared" si="66"/>
        <v>0</v>
      </c>
      <c r="P464" s="4246">
        <f>'WS Plan'!G108</f>
        <v>0</v>
      </c>
      <c r="Q464" s="4246">
        <f>'WS Plan'!H108</f>
        <v>0</v>
      </c>
      <c r="R464" s="4241" t="s">
        <v>891</v>
      </c>
      <c r="S464" s="4245">
        <f t="shared" si="63"/>
        <v>0</v>
      </c>
      <c r="T464" s="4247">
        <f t="shared" si="64"/>
        <v>0</v>
      </c>
    </row>
    <row r="465" spans="3:20" ht="30" x14ac:dyDescent="0.25">
      <c r="C465" s="4243" t="str">
        <f t="shared" si="52"/>
        <v xml:space="preserve">Augment water supply - Buy additional treated bulk water </v>
      </c>
      <c r="D465" s="4237" t="s">
        <v>780</v>
      </c>
      <c r="E465" s="4244">
        <f t="shared" si="53"/>
        <v>0</v>
      </c>
      <c r="F465" s="4244">
        <f t="shared" si="54"/>
        <v>0</v>
      </c>
      <c r="G465" s="4244">
        <f t="shared" si="55"/>
        <v>0</v>
      </c>
      <c r="H465" s="4244">
        <f t="shared" si="56"/>
        <v>0</v>
      </c>
      <c r="I465" s="4244">
        <f t="shared" si="57"/>
        <v>0</v>
      </c>
      <c r="J465" s="4244">
        <f t="shared" si="58"/>
        <v>0</v>
      </c>
      <c r="K465" s="4244">
        <f t="shared" si="59"/>
        <v>0</v>
      </c>
      <c r="L465" s="4244">
        <f t="shared" si="60"/>
        <v>0</v>
      </c>
      <c r="M465" s="4244">
        <f t="shared" si="61"/>
        <v>0</v>
      </c>
      <c r="N465" s="4252">
        <f t="shared" si="62"/>
        <v>0</v>
      </c>
      <c r="O465" s="4245">
        <f t="shared" si="66"/>
        <v>0</v>
      </c>
      <c r="P465" s="4246">
        <f>'WS Plan'!G113</f>
        <v>0</v>
      </c>
      <c r="Q465" s="4246">
        <f>'WS Plan'!H113</f>
        <v>0</v>
      </c>
      <c r="R465" s="4241" t="s">
        <v>891</v>
      </c>
      <c r="S465" s="4245">
        <f t="shared" si="63"/>
        <v>0</v>
      </c>
      <c r="T465" s="4247">
        <f t="shared" si="64"/>
        <v>0</v>
      </c>
    </row>
    <row r="466" spans="3:20" ht="30" x14ac:dyDescent="0.25">
      <c r="C466" s="4243" t="str">
        <f t="shared" si="52"/>
        <v xml:space="preserve">Augment water supply - Buy additional raw bulk water </v>
      </c>
      <c r="D466" s="4237" t="s">
        <v>780</v>
      </c>
      <c r="E466" s="4244">
        <f t="shared" si="53"/>
        <v>0</v>
      </c>
      <c r="F466" s="4244">
        <f t="shared" si="54"/>
        <v>0</v>
      </c>
      <c r="G466" s="4244">
        <f t="shared" si="55"/>
        <v>0</v>
      </c>
      <c r="H466" s="4244">
        <f t="shared" si="56"/>
        <v>0</v>
      </c>
      <c r="I466" s="4244">
        <f t="shared" si="57"/>
        <v>0</v>
      </c>
      <c r="J466" s="4244">
        <f t="shared" si="58"/>
        <v>0</v>
      </c>
      <c r="K466" s="4244">
        <f t="shared" si="59"/>
        <v>0</v>
      </c>
      <c r="L466" s="4244">
        <f t="shared" si="60"/>
        <v>0</v>
      </c>
      <c r="M466" s="4244">
        <f t="shared" si="61"/>
        <v>0</v>
      </c>
      <c r="N466" s="4252">
        <f t="shared" si="62"/>
        <v>0</v>
      </c>
      <c r="O466" s="4245">
        <f t="shared" si="66"/>
        <v>0</v>
      </c>
      <c r="P466" s="4246">
        <f>'WS Plan'!G119</f>
        <v>0</v>
      </c>
      <c r="Q466" s="4246">
        <f>'WS Plan'!H119</f>
        <v>0</v>
      </c>
      <c r="R466" s="4241" t="s">
        <v>891</v>
      </c>
      <c r="S466" s="4245">
        <f t="shared" si="63"/>
        <v>0</v>
      </c>
      <c r="T466" s="4247">
        <f t="shared" si="64"/>
        <v>0</v>
      </c>
    </row>
    <row r="467" spans="3:20" x14ac:dyDescent="0.25">
      <c r="C467" s="4243" t="str">
        <f t="shared" si="52"/>
        <v>Expand/replace water supply transmission network</v>
      </c>
      <c r="D467" s="4237" t="s">
        <v>780</v>
      </c>
      <c r="E467" s="4244">
        <f t="shared" si="53"/>
        <v>0</v>
      </c>
      <c r="F467" s="4244">
        <f t="shared" si="54"/>
        <v>0</v>
      </c>
      <c r="G467" s="4244">
        <f t="shared" si="55"/>
        <v>0</v>
      </c>
      <c r="H467" s="4244">
        <f t="shared" si="56"/>
        <v>0</v>
      </c>
      <c r="I467" s="4244">
        <f t="shared" si="57"/>
        <v>0</v>
      </c>
      <c r="J467" s="4244">
        <f t="shared" si="58"/>
        <v>0</v>
      </c>
      <c r="K467" s="4244">
        <f t="shared" si="59"/>
        <v>0</v>
      </c>
      <c r="L467" s="4244">
        <f t="shared" si="60"/>
        <v>0</v>
      </c>
      <c r="M467" s="4244">
        <f t="shared" si="61"/>
        <v>0</v>
      </c>
      <c r="N467" s="4252">
        <f t="shared" si="62"/>
        <v>0</v>
      </c>
      <c r="O467" s="4245">
        <f t="shared" si="66"/>
        <v>0</v>
      </c>
      <c r="P467" s="4246">
        <f>'WS Plan'!G125</f>
        <v>0</v>
      </c>
      <c r="Q467" s="4246">
        <f>'WS Plan'!H125</f>
        <v>0</v>
      </c>
      <c r="R467" s="4241" t="s">
        <v>891</v>
      </c>
      <c r="S467" s="4245">
        <f t="shared" si="63"/>
        <v>0</v>
      </c>
      <c r="T467" s="4247">
        <f t="shared" si="64"/>
        <v>0</v>
      </c>
    </row>
    <row r="468" spans="3:20" x14ac:dyDescent="0.25">
      <c r="C468" s="4243" t="str">
        <f t="shared" si="52"/>
        <v>Construct/augment water treatment plant</v>
      </c>
      <c r="D468" s="4237" t="s">
        <v>780</v>
      </c>
      <c r="E468" s="4244">
        <f t="shared" si="53"/>
        <v>0</v>
      </c>
      <c r="F468" s="4244">
        <f t="shared" si="54"/>
        <v>0</v>
      </c>
      <c r="G468" s="4244">
        <f t="shared" si="55"/>
        <v>0</v>
      </c>
      <c r="H468" s="4244">
        <f t="shared" si="56"/>
        <v>0</v>
      </c>
      <c r="I468" s="4244">
        <f t="shared" si="57"/>
        <v>0</v>
      </c>
      <c r="J468" s="4244">
        <f t="shared" si="58"/>
        <v>0</v>
      </c>
      <c r="K468" s="4244">
        <f t="shared" si="59"/>
        <v>0</v>
      </c>
      <c r="L468" s="4244">
        <f t="shared" si="60"/>
        <v>0</v>
      </c>
      <c r="M468" s="4244">
        <f t="shared" si="61"/>
        <v>0</v>
      </c>
      <c r="N468" s="4252">
        <f t="shared" si="62"/>
        <v>0</v>
      </c>
      <c r="O468" s="4245">
        <f t="shared" si="66"/>
        <v>0</v>
      </c>
      <c r="P468" s="4246">
        <f>'WS Plan'!G129</f>
        <v>0</v>
      </c>
      <c r="Q468" s="4246">
        <f>'WS Plan'!H129</f>
        <v>0</v>
      </c>
      <c r="R468" s="4241" t="s">
        <v>891</v>
      </c>
      <c r="S468" s="4245">
        <f t="shared" si="63"/>
        <v>0</v>
      </c>
      <c r="T468" s="4247">
        <f t="shared" si="64"/>
        <v>0</v>
      </c>
    </row>
    <row r="469" spans="3:20" x14ac:dyDescent="0.25">
      <c r="C469" s="4243" t="str">
        <f t="shared" si="52"/>
        <v>Construct/augment water storage capacity</v>
      </c>
      <c r="D469" s="4237" t="s">
        <v>780</v>
      </c>
      <c r="E469" s="4244">
        <f t="shared" si="53"/>
        <v>0</v>
      </c>
      <c r="F469" s="4244">
        <f t="shared" si="54"/>
        <v>0</v>
      </c>
      <c r="G469" s="4244">
        <f t="shared" si="55"/>
        <v>0</v>
      </c>
      <c r="H469" s="4244">
        <f t="shared" si="56"/>
        <v>0</v>
      </c>
      <c r="I469" s="4244">
        <f t="shared" si="57"/>
        <v>0</v>
      </c>
      <c r="J469" s="4244">
        <f t="shared" si="58"/>
        <v>0</v>
      </c>
      <c r="K469" s="4244">
        <f t="shared" si="59"/>
        <v>0</v>
      </c>
      <c r="L469" s="4244">
        <f t="shared" si="60"/>
        <v>0</v>
      </c>
      <c r="M469" s="4244">
        <f t="shared" si="61"/>
        <v>0</v>
      </c>
      <c r="N469" s="4252">
        <f t="shared" si="62"/>
        <v>0</v>
      </c>
      <c r="O469" s="4245">
        <f t="shared" si="66"/>
        <v>0</v>
      </c>
      <c r="P469" s="4246">
        <f>'WS Plan'!G135</f>
        <v>0</v>
      </c>
      <c r="Q469" s="4246">
        <f>'WS Plan'!H135</f>
        <v>0</v>
      </c>
      <c r="R469" s="4241" t="s">
        <v>891</v>
      </c>
      <c r="S469" s="4245">
        <f t="shared" si="63"/>
        <v>0</v>
      </c>
      <c r="T469" s="4247">
        <f t="shared" si="64"/>
        <v>0</v>
      </c>
    </row>
    <row r="470" spans="3:20" x14ac:dyDescent="0.25">
      <c r="C470" s="4232" t="str">
        <f t="shared" si="52"/>
        <v>Efficiency of services</v>
      </c>
      <c r="D470" s="4233"/>
      <c r="E470" s="4233">
        <f t="shared" si="53"/>
        <v>0</v>
      </c>
      <c r="F470" s="4233">
        <f t="shared" si="54"/>
        <v>0</v>
      </c>
      <c r="G470" s="4233">
        <f t="shared" si="55"/>
        <v>0</v>
      </c>
      <c r="H470" s="4233">
        <f t="shared" si="56"/>
        <v>0</v>
      </c>
      <c r="I470" s="4233">
        <f t="shared" si="57"/>
        <v>0</v>
      </c>
      <c r="J470" s="4233">
        <f t="shared" si="58"/>
        <v>0</v>
      </c>
      <c r="K470" s="4233">
        <f t="shared" si="59"/>
        <v>0</v>
      </c>
      <c r="L470" s="4233">
        <f t="shared" si="60"/>
        <v>0</v>
      </c>
      <c r="M470" s="4233">
        <f t="shared" si="61"/>
        <v>0</v>
      </c>
      <c r="N470" s="4233">
        <f t="shared" si="62"/>
        <v>0</v>
      </c>
      <c r="O470" s="4248">
        <f t="shared" ref="O470:O498" si="67">SUM(E470:N470)</f>
        <v>0</v>
      </c>
      <c r="P470" s="4249"/>
      <c r="Q470" s="4249"/>
      <c r="R470" s="4250" t="s">
        <v>891</v>
      </c>
      <c r="S470" s="4248">
        <f t="shared" si="63"/>
        <v>0</v>
      </c>
      <c r="T470" s="4251">
        <f t="shared" si="64"/>
        <v>0</v>
      </c>
    </row>
    <row r="471" spans="3:20" x14ac:dyDescent="0.25">
      <c r="C471" s="4243" t="str">
        <f t="shared" si="52"/>
        <v>Conduct water audit</v>
      </c>
      <c r="D471" s="4237" t="s">
        <v>778</v>
      </c>
      <c r="E471" s="4244">
        <f t="shared" si="53"/>
        <v>0</v>
      </c>
      <c r="F471" s="4244">
        <f t="shared" si="54"/>
        <v>0</v>
      </c>
      <c r="G471" s="4244">
        <f t="shared" si="55"/>
        <v>0</v>
      </c>
      <c r="H471" s="4244">
        <f t="shared" si="56"/>
        <v>0</v>
      </c>
      <c r="I471" s="4244">
        <f t="shared" si="57"/>
        <v>0</v>
      </c>
      <c r="J471" s="4244">
        <f t="shared" si="58"/>
        <v>0</v>
      </c>
      <c r="K471" s="4244">
        <f t="shared" si="59"/>
        <v>0</v>
      </c>
      <c r="L471" s="4244">
        <f t="shared" si="60"/>
        <v>0</v>
      </c>
      <c r="M471" s="4244">
        <f t="shared" si="61"/>
        <v>0</v>
      </c>
      <c r="N471" s="4252">
        <f t="shared" si="62"/>
        <v>0</v>
      </c>
      <c r="O471" s="4245">
        <f t="shared" si="67"/>
        <v>0</v>
      </c>
      <c r="P471" s="4246">
        <f>'WS Plan'!G147</f>
        <v>0</v>
      </c>
      <c r="Q471" s="4246">
        <f>'WS Plan'!H147</f>
        <v>0</v>
      </c>
      <c r="R471" s="4241" t="s">
        <v>891</v>
      </c>
      <c r="S471" s="4245">
        <f t="shared" si="63"/>
        <v>0</v>
      </c>
      <c r="T471" s="4247">
        <f t="shared" si="64"/>
        <v>0</v>
      </c>
    </row>
    <row r="472" spans="3:20" x14ac:dyDescent="0.25">
      <c r="C472" s="4243" t="str">
        <f t="shared" si="52"/>
        <v>Conduct energy audit</v>
      </c>
      <c r="D472" s="4237" t="s">
        <v>778</v>
      </c>
      <c r="E472" s="4244">
        <f t="shared" si="53"/>
        <v>0</v>
      </c>
      <c r="F472" s="4244">
        <f t="shared" si="54"/>
        <v>0</v>
      </c>
      <c r="G472" s="4244">
        <f t="shared" si="55"/>
        <v>0</v>
      </c>
      <c r="H472" s="4244">
        <f t="shared" si="56"/>
        <v>0</v>
      </c>
      <c r="I472" s="4244">
        <f t="shared" si="57"/>
        <v>0</v>
      </c>
      <c r="J472" s="4244">
        <f t="shared" si="58"/>
        <v>0</v>
      </c>
      <c r="K472" s="4244">
        <f t="shared" si="59"/>
        <v>0</v>
      </c>
      <c r="L472" s="4244">
        <f t="shared" si="60"/>
        <v>0</v>
      </c>
      <c r="M472" s="4244">
        <f t="shared" si="61"/>
        <v>0</v>
      </c>
      <c r="N472" s="4252">
        <f t="shared" si="62"/>
        <v>0</v>
      </c>
      <c r="O472" s="4245">
        <f t="shared" si="67"/>
        <v>0</v>
      </c>
      <c r="P472" s="4246">
        <f>'WS Plan'!G149</f>
        <v>0</v>
      </c>
      <c r="Q472" s="4246">
        <f>'WS Plan'!H149</f>
        <v>0</v>
      </c>
      <c r="R472" s="4241" t="s">
        <v>891</v>
      </c>
      <c r="S472" s="4245">
        <f t="shared" si="63"/>
        <v>0</v>
      </c>
      <c r="T472" s="4247">
        <f t="shared" si="64"/>
        <v>0</v>
      </c>
    </row>
    <row r="473" spans="3:20" x14ac:dyDescent="0.25">
      <c r="C473" s="4243" t="str">
        <f t="shared" si="52"/>
        <v>Install bulk flow meters</v>
      </c>
      <c r="D473" s="4237" t="s">
        <v>778</v>
      </c>
      <c r="E473" s="4244">
        <f t="shared" si="53"/>
        <v>0</v>
      </c>
      <c r="F473" s="4244">
        <f t="shared" si="54"/>
        <v>0</v>
      </c>
      <c r="G473" s="4244">
        <f t="shared" si="55"/>
        <v>0</v>
      </c>
      <c r="H473" s="4244">
        <f t="shared" si="56"/>
        <v>0</v>
      </c>
      <c r="I473" s="4244">
        <f t="shared" si="57"/>
        <v>0</v>
      </c>
      <c r="J473" s="4244">
        <f t="shared" si="58"/>
        <v>0</v>
      </c>
      <c r="K473" s="4244">
        <f t="shared" si="59"/>
        <v>0</v>
      </c>
      <c r="L473" s="4244">
        <f t="shared" si="60"/>
        <v>0</v>
      </c>
      <c r="M473" s="4244">
        <f t="shared" si="61"/>
        <v>0</v>
      </c>
      <c r="N473" s="4252">
        <f t="shared" si="62"/>
        <v>0</v>
      </c>
      <c r="O473" s="4245">
        <f t="shared" si="67"/>
        <v>0</v>
      </c>
      <c r="P473" s="4246">
        <f>'WS Plan'!G151</f>
        <v>0</v>
      </c>
      <c r="Q473" s="4246">
        <f>'WS Plan'!H151</f>
        <v>0</v>
      </c>
      <c r="R473" s="4241" t="s">
        <v>891</v>
      </c>
      <c r="S473" s="4245">
        <f t="shared" si="63"/>
        <v>0</v>
      </c>
      <c r="T473" s="4247">
        <f t="shared" si="64"/>
        <v>0</v>
      </c>
    </row>
    <row r="474" spans="3:20" x14ac:dyDescent="0.25">
      <c r="C474" s="4243" t="str">
        <f t="shared" si="52"/>
        <v>Map water supply and wastewater network</v>
      </c>
      <c r="D474" s="4237" t="s">
        <v>778</v>
      </c>
      <c r="E474" s="4244">
        <f t="shared" si="53"/>
        <v>0</v>
      </c>
      <c r="F474" s="4244">
        <f t="shared" si="54"/>
        <v>0</v>
      </c>
      <c r="G474" s="4244">
        <f t="shared" si="55"/>
        <v>0</v>
      </c>
      <c r="H474" s="4244">
        <f t="shared" si="56"/>
        <v>0</v>
      </c>
      <c r="I474" s="4244">
        <f t="shared" si="57"/>
        <v>0</v>
      </c>
      <c r="J474" s="4244">
        <f t="shared" si="58"/>
        <v>0</v>
      </c>
      <c r="K474" s="4244">
        <f t="shared" si="59"/>
        <v>0</v>
      </c>
      <c r="L474" s="4244">
        <f t="shared" si="60"/>
        <v>0</v>
      </c>
      <c r="M474" s="4244">
        <f t="shared" si="61"/>
        <v>0</v>
      </c>
      <c r="N474" s="4252">
        <f t="shared" si="62"/>
        <v>0</v>
      </c>
      <c r="O474" s="4245">
        <f>SUM(E474:N474)</f>
        <v>0</v>
      </c>
      <c r="P474" s="4246">
        <f>'WS Plan'!G155</f>
        <v>0</v>
      </c>
      <c r="Q474" s="4246">
        <f>'WS Plan'!H155</f>
        <v>0</v>
      </c>
      <c r="R474" s="4241" t="s">
        <v>891</v>
      </c>
      <c r="S474" s="4245">
        <f t="shared" si="63"/>
        <v>0</v>
      </c>
      <c r="T474" s="4247">
        <f t="shared" si="64"/>
        <v>0</v>
      </c>
    </row>
    <row r="475" spans="3:20" x14ac:dyDescent="0.25">
      <c r="C475" s="4243" t="str">
        <f t="shared" si="52"/>
        <v>Conduct Hydraulic modelling</v>
      </c>
      <c r="D475" s="4237" t="s">
        <v>778</v>
      </c>
      <c r="E475" s="4244">
        <f t="shared" si="53"/>
        <v>0</v>
      </c>
      <c r="F475" s="4244">
        <f t="shared" si="54"/>
        <v>0</v>
      </c>
      <c r="G475" s="4244">
        <f t="shared" si="55"/>
        <v>0</v>
      </c>
      <c r="H475" s="4244">
        <f t="shared" si="56"/>
        <v>0</v>
      </c>
      <c r="I475" s="4244">
        <f t="shared" si="57"/>
        <v>0</v>
      </c>
      <c r="J475" s="4244">
        <f t="shared" si="58"/>
        <v>0</v>
      </c>
      <c r="K475" s="4244">
        <f t="shared" si="59"/>
        <v>0</v>
      </c>
      <c r="L475" s="4244">
        <f t="shared" si="60"/>
        <v>0</v>
      </c>
      <c r="M475" s="4244">
        <f t="shared" si="61"/>
        <v>0</v>
      </c>
      <c r="N475" s="4252">
        <f t="shared" si="62"/>
        <v>0</v>
      </c>
      <c r="O475" s="4245">
        <f>SUM(E475:N475)</f>
        <v>0</v>
      </c>
      <c r="P475" s="4246">
        <f>'WS Plan'!G159</f>
        <v>0</v>
      </c>
      <c r="Q475" s="4246">
        <f>'WS Plan'!H159</f>
        <v>0</v>
      </c>
      <c r="R475" s="4241" t="s">
        <v>891</v>
      </c>
      <c r="S475" s="4245">
        <f t="shared" si="63"/>
        <v>0</v>
      </c>
      <c r="T475" s="4247">
        <f t="shared" si="64"/>
        <v>0</v>
      </c>
    </row>
    <row r="476" spans="3:20" x14ac:dyDescent="0.25">
      <c r="C476" s="4243" t="str">
        <f t="shared" si="52"/>
        <v>Conduct Utilities survey (asset mapping)</v>
      </c>
      <c r="D476" s="4237" t="s">
        <v>778</v>
      </c>
      <c r="E476" s="4244">
        <f t="shared" si="53"/>
        <v>0</v>
      </c>
      <c r="F476" s="4244">
        <f t="shared" si="54"/>
        <v>0</v>
      </c>
      <c r="G476" s="4244">
        <f t="shared" si="55"/>
        <v>0</v>
      </c>
      <c r="H476" s="4244">
        <f t="shared" si="56"/>
        <v>0</v>
      </c>
      <c r="I476" s="4244">
        <f t="shared" si="57"/>
        <v>0</v>
      </c>
      <c r="J476" s="4244">
        <f t="shared" si="58"/>
        <v>0</v>
      </c>
      <c r="K476" s="4244">
        <f t="shared" si="59"/>
        <v>0</v>
      </c>
      <c r="L476" s="4244">
        <f t="shared" si="60"/>
        <v>0</v>
      </c>
      <c r="M476" s="4244">
        <f t="shared" si="61"/>
        <v>0</v>
      </c>
      <c r="N476" s="4252">
        <f t="shared" si="62"/>
        <v>0</v>
      </c>
      <c r="O476" s="4245">
        <f>SUM(E476:N476)</f>
        <v>0</v>
      </c>
      <c r="P476" s="4246">
        <f>'WS Plan'!G161</f>
        <v>0</v>
      </c>
      <c r="Q476" s="4246">
        <f>'WS Plan'!H161</f>
        <v>0</v>
      </c>
      <c r="R476" s="4241" t="s">
        <v>891</v>
      </c>
      <c r="S476" s="4245">
        <f t="shared" si="63"/>
        <v>0</v>
      </c>
      <c r="T476" s="4247">
        <f t="shared" si="64"/>
        <v>0</v>
      </c>
    </row>
    <row r="477" spans="3:20" ht="30" x14ac:dyDescent="0.25">
      <c r="C477" s="4243" t="str">
        <f t="shared" si="52"/>
        <v>Improve processes for regular checking of water losses</v>
      </c>
      <c r="D477" s="4237" t="s">
        <v>779</v>
      </c>
      <c r="E477" s="4244">
        <f t="shared" si="53"/>
        <v>0</v>
      </c>
      <c r="F477" s="4244">
        <f t="shared" si="54"/>
        <v>0</v>
      </c>
      <c r="G477" s="4244">
        <f t="shared" si="55"/>
        <v>0</v>
      </c>
      <c r="H477" s="4244">
        <f t="shared" si="56"/>
        <v>0</v>
      </c>
      <c r="I477" s="4244">
        <f t="shared" si="57"/>
        <v>0</v>
      </c>
      <c r="J477" s="4244">
        <f t="shared" si="58"/>
        <v>0</v>
      </c>
      <c r="K477" s="4244">
        <f t="shared" si="59"/>
        <v>0</v>
      </c>
      <c r="L477" s="4244">
        <f t="shared" si="60"/>
        <v>0</v>
      </c>
      <c r="M477" s="4244">
        <f t="shared" si="61"/>
        <v>0</v>
      </c>
      <c r="N477" s="4252">
        <f t="shared" si="62"/>
        <v>0</v>
      </c>
      <c r="O477" s="4245">
        <f t="shared" si="67"/>
        <v>0</v>
      </c>
      <c r="P477" s="4246">
        <f t="shared" ref="P477:Q479" si="68">$E$447</f>
        <v>2015</v>
      </c>
      <c r="Q477" s="4246">
        <f t="shared" si="68"/>
        <v>2015</v>
      </c>
      <c r="R477" s="4241" t="s">
        <v>891</v>
      </c>
      <c r="S477" s="4245">
        <f t="shared" si="63"/>
        <v>0</v>
      </c>
      <c r="T477" s="4247">
        <f t="shared" si="64"/>
        <v>0</v>
      </c>
    </row>
    <row r="478" spans="3:20" x14ac:dyDescent="0.25">
      <c r="C478" s="4243" t="str">
        <f t="shared" si="52"/>
        <v>Policy to introduce universal consumer meters</v>
      </c>
      <c r="D478" s="4237" t="s">
        <v>779</v>
      </c>
      <c r="E478" s="4244">
        <f t="shared" si="53"/>
        <v>0</v>
      </c>
      <c r="F478" s="4244">
        <f t="shared" si="54"/>
        <v>0</v>
      </c>
      <c r="G478" s="4244">
        <f t="shared" si="55"/>
        <v>0</v>
      </c>
      <c r="H478" s="4244">
        <f t="shared" si="56"/>
        <v>0</v>
      </c>
      <c r="I478" s="4244">
        <f t="shared" si="57"/>
        <v>0</v>
      </c>
      <c r="J478" s="4244">
        <f t="shared" si="58"/>
        <v>0</v>
      </c>
      <c r="K478" s="4244">
        <f t="shared" si="59"/>
        <v>0</v>
      </c>
      <c r="L478" s="4244">
        <f t="shared" si="60"/>
        <v>0</v>
      </c>
      <c r="M478" s="4244">
        <f t="shared" si="61"/>
        <v>0</v>
      </c>
      <c r="N478" s="4252">
        <f t="shared" si="62"/>
        <v>0</v>
      </c>
      <c r="O478" s="4245">
        <f t="shared" si="67"/>
        <v>0</v>
      </c>
      <c r="P478" s="4246">
        <f t="shared" si="68"/>
        <v>2015</v>
      </c>
      <c r="Q478" s="4246">
        <f t="shared" si="68"/>
        <v>2015</v>
      </c>
      <c r="R478" s="4241" t="s">
        <v>891</v>
      </c>
      <c r="S478" s="4245">
        <f t="shared" si="63"/>
        <v>0</v>
      </c>
      <c r="T478" s="4247">
        <f t="shared" si="64"/>
        <v>0</v>
      </c>
    </row>
    <row r="479" spans="3:20" ht="30" x14ac:dyDescent="0.25">
      <c r="C479" s="4253" t="str">
        <f t="shared" si="52"/>
        <v>Improve processes for management of consumer complaints</v>
      </c>
      <c r="D479" s="4237" t="s">
        <v>779</v>
      </c>
      <c r="E479" s="4244">
        <f t="shared" si="53"/>
        <v>0</v>
      </c>
      <c r="F479" s="4244">
        <f t="shared" si="54"/>
        <v>0</v>
      </c>
      <c r="G479" s="4244">
        <f t="shared" si="55"/>
        <v>0</v>
      </c>
      <c r="H479" s="4244">
        <f t="shared" si="56"/>
        <v>0</v>
      </c>
      <c r="I479" s="4244">
        <f t="shared" si="57"/>
        <v>0</v>
      </c>
      <c r="J479" s="4244">
        <f t="shared" si="58"/>
        <v>0</v>
      </c>
      <c r="K479" s="4244">
        <f t="shared" si="59"/>
        <v>0</v>
      </c>
      <c r="L479" s="4244">
        <f t="shared" si="60"/>
        <v>0</v>
      </c>
      <c r="M479" s="4244">
        <f t="shared" si="61"/>
        <v>0</v>
      </c>
      <c r="N479" s="4252">
        <f t="shared" si="62"/>
        <v>0</v>
      </c>
      <c r="O479" s="4245">
        <f>SUM(E479:N479)</f>
        <v>0</v>
      </c>
      <c r="P479" s="4246">
        <f t="shared" si="68"/>
        <v>2015</v>
      </c>
      <c r="Q479" s="4246">
        <f t="shared" si="68"/>
        <v>2015</v>
      </c>
      <c r="R479" s="4241" t="s">
        <v>891</v>
      </c>
      <c r="S479" s="4245">
        <f t="shared" si="63"/>
        <v>0</v>
      </c>
      <c r="T479" s="4247">
        <f t="shared" si="64"/>
        <v>0</v>
      </c>
    </row>
    <row r="480" spans="3:20" x14ac:dyDescent="0.25">
      <c r="C480" s="4253" t="str">
        <f t="shared" ref="C480:C498" si="69">C40</f>
        <v>Reduce losses in trunk main transmission network</v>
      </c>
      <c r="D480" s="4237" t="s">
        <v>781</v>
      </c>
      <c r="E480" s="4244">
        <f t="shared" si="53"/>
        <v>0</v>
      </c>
      <c r="F480" s="4244">
        <f t="shared" si="54"/>
        <v>0</v>
      </c>
      <c r="G480" s="4244">
        <f t="shared" si="55"/>
        <v>0</v>
      </c>
      <c r="H480" s="4244">
        <f t="shared" si="56"/>
        <v>0</v>
      </c>
      <c r="I480" s="4244">
        <f t="shared" si="57"/>
        <v>0</v>
      </c>
      <c r="J480" s="4244">
        <f t="shared" si="58"/>
        <v>0</v>
      </c>
      <c r="K480" s="4244">
        <f t="shared" si="59"/>
        <v>0</v>
      </c>
      <c r="L480" s="4244">
        <f t="shared" si="60"/>
        <v>0</v>
      </c>
      <c r="M480" s="4244">
        <f t="shared" si="61"/>
        <v>0</v>
      </c>
      <c r="N480" s="4252">
        <f t="shared" si="62"/>
        <v>0</v>
      </c>
      <c r="O480" s="4245">
        <f t="shared" si="67"/>
        <v>0</v>
      </c>
      <c r="P480" s="4246">
        <f>'WS Plan'!G174</f>
        <v>0</v>
      </c>
      <c r="Q480" s="4246">
        <f>'WS Plan'!H174</f>
        <v>0</v>
      </c>
      <c r="R480" s="4241" t="s">
        <v>891</v>
      </c>
      <c r="S480" s="4245">
        <f t="shared" si="63"/>
        <v>0</v>
      </c>
      <c r="T480" s="4247">
        <f t="shared" si="64"/>
        <v>0</v>
      </c>
    </row>
    <row r="481" spans="3:20" x14ac:dyDescent="0.25">
      <c r="C481" s="4253" t="str">
        <f t="shared" si="69"/>
        <v>Reduce losses at water treatment plant</v>
      </c>
      <c r="D481" s="4237" t="s">
        <v>781</v>
      </c>
      <c r="E481" s="4244">
        <f t="shared" ref="E481:E498" si="70">IF($D$447="PHASING","",IF($D$447=$D$6,G41,G96))</f>
        <v>0</v>
      </c>
      <c r="F481" s="4244">
        <f t="shared" ref="F481:F498" si="71">IF($D$447="PHASING","",IF($D$447=$D$6,H41,H96))</f>
        <v>0</v>
      </c>
      <c r="G481" s="4244">
        <f t="shared" ref="G481:G498" si="72">IF($D$447="PHASING","",IF($D$447=$D$6,I41,I96))</f>
        <v>0</v>
      </c>
      <c r="H481" s="4244">
        <f t="shared" ref="H481:H498" si="73">IF($D$447="PHASING","",IF($D$447=$D$6,J41,J96))</f>
        <v>0</v>
      </c>
      <c r="I481" s="4244">
        <f t="shared" ref="I481:I498" si="74">IF($D$447="PHASING","",IF($D$447=$D$6,K41,K96))</f>
        <v>0</v>
      </c>
      <c r="J481" s="4244">
        <f t="shared" ref="J481:J498" si="75">IF($D$447="PHASING","",IF($D$447=$D$6,L41,L96))</f>
        <v>0</v>
      </c>
      <c r="K481" s="4244">
        <f t="shared" ref="K481:K498" si="76">IF($D$447="PHASING","",IF($D$447=$D$6,M41,M96))</f>
        <v>0</v>
      </c>
      <c r="L481" s="4244">
        <f t="shared" ref="L481:L498" si="77">IF($D$447="PHASING","",IF($D$447=$D$6,N41,N96))</f>
        <v>0</v>
      </c>
      <c r="M481" s="4244">
        <f t="shared" ref="M481:M498" si="78">IF($D$447="PHASING","",IF($D$447=$D$6,O41,O96))</f>
        <v>0</v>
      </c>
      <c r="N481" s="4252">
        <f t="shared" ref="N481:N498" si="79">IF($D$447="PHASING","",IF($D$447=$D$6,P41,P96))</f>
        <v>0</v>
      </c>
      <c r="O481" s="4245">
        <f t="shared" si="67"/>
        <v>0</v>
      </c>
      <c r="P481" s="4246">
        <f>'WS Plan'!G178</f>
        <v>0</v>
      </c>
      <c r="Q481" s="4246">
        <f>'WS Plan'!H178</f>
        <v>0</v>
      </c>
      <c r="R481" s="4241" t="s">
        <v>891</v>
      </c>
      <c r="S481" s="4245">
        <f t="shared" ref="S481:S498" si="80">E41</f>
        <v>0</v>
      </c>
      <c r="T481" s="4247">
        <f t="shared" ref="T481:T498" si="81">U41</f>
        <v>0</v>
      </c>
    </row>
    <row r="482" spans="3:20" ht="30" x14ac:dyDescent="0.25">
      <c r="C482" s="4253" t="str">
        <f t="shared" si="69"/>
        <v>Reduce losses in treated water transmission network</v>
      </c>
      <c r="D482" s="4237" t="s">
        <v>781</v>
      </c>
      <c r="E482" s="4244">
        <f t="shared" si="70"/>
        <v>0</v>
      </c>
      <c r="F482" s="4244">
        <f t="shared" si="71"/>
        <v>0</v>
      </c>
      <c r="G482" s="4244">
        <f t="shared" si="72"/>
        <v>0</v>
      </c>
      <c r="H482" s="4244">
        <f t="shared" si="73"/>
        <v>0</v>
      </c>
      <c r="I482" s="4244">
        <f t="shared" si="74"/>
        <v>0</v>
      </c>
      <c r="J482" s="4244">
        <f t="shared" si="75"/>
        <v>0</v>
      </c>
      <c r="K482" s="4244">
        <f t="shared" si="76"/>
        <v>0</v>
      </c>
      <c r="L482" s="4244">
        <f t="shared" si="77"/>
        <v>0</v>
      </c>
      <c r="M482" s="4244">
        <f t="shared" si="78"/>
        <v>0</v>
      </c>
      <c r="N482" s="4252">
        <f t="shared" si="79"/>
        <v>0</v>
      </c>
      <c r="O482" s="4245">
        <f t="shared" si="67"/>
        <v>0</v>
      </c>
      <c r="P482" s="4246">
        <f>'WS Plan'!G182</f>
        <v>0</v>
      </c>
      <c r="Q482" s="4246">
        <f>'WS Plan'!H182</f>
        <v>0</v>
      </c>
      <c r="R482" s="4241" t="s">
        <v>891</v>
      </c>
      <c r="S482" s="4245">
        <f t="shared" si="80"/>
        <v>0</v>
      </c>
      <c r="T482" s="4247">
        <f t="shared" si="81"/>
        <v>0</v>
      </c>
    </row>
    <row r="483" spans="3:20" x14ac:dyDescent="0.25">
      <c r="C483" s="4253" t="str">
        <f t="shared" si="69"/>
        <v>Refurbishment of water storage reservoirs</v>
      </c>
      <c r="D483" s="4237" t="s">
        <v>781</v>
      </c>
      <c r="E483" s="4244">
        <f t="shared" si="70"/>
        <v>0</v>
      </c>
      <c r="F483" s="4244">
        <f t="shared" si="71"/>
        <v>0</v>
      </c>
      <c r="G483" s="4244">
        <f t="shared" si="72"/>
        <v>0</v>
      </c>
      <c r="H483" s="4244">
        <f t="shared" si="73"/>
        <v>0</v>
      </c>
      <c r="I483" s="4244">
        <f t="shared" si="74"/>
        <v>0</v>
      </c>
      <c r="J483" s="4244">
        <f t="shared" si="75"/>
        <v>0</v>
      </c>
      <c r="K483" s="4244">
        <f t="shared" si="76"/>
        <v>0</v>
      </c>
      <c r="L483" s="4244">
        <f t="shared" si="77"/>
        <v>0</v>
      </c>
      <c r="M483" s="4244">
        <f t="shared" si="78"/>
        <v>0</v>
      </c>
      <c r="N483" s="4252">
        <f t="shared" si="79"/>
        <v>0</v>
      </c>
      <c r="O483" s="4245">
        <f t="shared" si="67"/>
        <v>0</v>
      </c>
      <c r="P483" s="4246">
        <f>'WS Plan'!G189</f>
        <v>0</v>
      </c>
      <c r="Q483" s="4246">
        <f>'WS Plan'!H189</f>
        <v>0</v>
      </c>
      <c r="R483" s="4241" t="s">
        <v>891</v>
      </c>
      <c r="S483" s="4245">
        <f t="shared" si="80"/>
        <v>0</v>
      </c>
      <c r="T483" s="4247">
        <f t="shared" si="81"/>
        <v>0</v>
      </c>
    </row>
    <row r="484" spans="3:20" x14ac:dyDescent="0.25">
      <c r="C484" s="4253" t="str">
        <f t="shared" si="69"/>
        <v>Improvement in water supply distribution network</v>
      </c>
      <c r="D484" s="4237" t="s">
        <v>781</v>
      </c>
      <c r="E484" s="4244">
        <f t="shared" si="70"/>
        <v>0</v>
      </c>
      <c r="F484" s="4244">
        <f t="shared" si="71"/>
        <v>0</v>
      </c>
      <c r="G484" s="4244">
        <f t="shared" si="72"/>
        <v>0</v>
      </c>
      <c r="H484" s="4244">
        <f t="shared" si="73"/>
        <v>0</v>
      </c>
      <c r="I484" s="4244">
        <f t="shared" si="74"/>
        <v>0</v>
      </c>
      <c r="J484" s="4244">
        <f t="shared" si="75"/>
        <v>0</v>
      </c>
      <c r="K484" s="4244">
        <f t="shared" si="76"/>
        <v>0</v>
      </c>
      <c r="L484" s="4244">
        <f t="shared" si="77"/>
        <v>0</v>
      </c>
      <c r="M484" s="4244">
        <f t="shared" si="78"/>
        <v>0</v>
      </c>
      <c r="N484" s="4252">
        <f t="shared" si="79"/>
        <v>0</v>
      </c>
      <c r="O484" s="4245">
        <f t="shared" si="67"/>
        <v>0</v>
      </c>
      <c r="P484" s="4246">
        <f>'WS Plan'!G192</f>
        <v>0</v>
      </c>
      <c r="Q484" s="4246">
        <f>'WS Plan'!H192</f>
        <v>0</v>
      </c>
      <c r="R484" s="4241" t="s">
        <v>891</v>
      </c>
      <c r="S484" s="4245">
        <f t="shared" si="80"/>
        <v>0</v>
      </c>
      <c r="T484" s="4247">
        <f t="shared" si="81"/>
        <v>0</v>
      </c>
    </row>
    <row r="485" spans="3:20" x14ac:dyDescent="0.25">
      <c r="C485" s="4253" t="str">
        <f t="shared" si="69"/>
        <v>Plugging of leakages at valves</v>
      </c>
      <c r="D485" s="4237" t="s">
        <v>781</v>
      </c>
      <c r="E485" s="4244">
        <f t="shared" si="70"/>
        <v>0</v>
      </c>
      <c r="F485" s="4244">
        <f t="shared" si="71"/>
        <v>0</v>
      </c>
      <c r="G485" s="4244">
        <f t="shared" si="72"/>
        <v>0</v>
      </c>
      <c r="H485" s="4244">
        <f t="shared" si="73"/>
        <v>0</v>
      </c>
      <c r="I485" s="4244">
        <f t="shared" si="74"/>
        <v>0</v>
      </c>
      <c r="J485" s="4244">
        <f t="shared" si="75"/>
        <v>0</v>
      </c>
      <c r="K485" s="4244">
        <f t="shared" si="76"/>
        <v>0</v>
      </c>
      <c r="L485" s="4244">
        <f t="shared" si="77"/>
        <v>0</v>
      </c>
      <c r="M485" s="4244">
        <f t="shared" si="78"/>
        <v>0</v>
      </c>
      <c r="N485" s="4252">
        <f t="shared" si="79"/>
        <v>0</v>
      </c>
      <c r="O485" s="4245">
        <f t="shared" si="67"/>
        <v>0</v>
      </c>
      <c r="P485" s="4246">
        <f>'WS Plan'!G195</f>
        <v>0</v>
      </c>
      <c r="Q485" s="4246">
        <f>'WS Plan'!H195</f>
        <v>0</v>
      </c>
      <c r="R485" s="4241" t="s">
        <v>891</v>
      </c>
      <c r="S485" s="4245">
        <f t="shared" si="80"/>
        <v>0</v>
      </c>
      <c r="T485" s="4247">
        <f t="shared" si="81"/>
        <v>0</v>
      </c>
    </row>
    <row r="486" spans="3:20" x14ac:dyDescent="0.25">
      <c r="C486" s="4253" t="str">
        <f t="shared" si="69"/>
        <v>Replacement of service line connections</v>
      </c>
      <c r="D486" s="4237" t="s">
        <v>781</v>
      </c>
      <c r="E486" s="4244">
        <f t="shared" si="70"/>
        <v>0</v>
      </c>
      <c r="F486" s="4244">
        <f t="shared" si="71"/>
        <v>0</v>
      </c>
      <c r="G486" s="4244">
        <f t="shared" si="72"/>
        <v>0</v>
      </c>
      <c r="H486" s="4244">
        <f t="shared" si="73"/>
        <v>0</v>
      </c>
      <c r="I486" s="4244">
        <f t="shared" si="74"/>
        <v>0</v>
      </c>
      <c r="J486" s="4244">
        <f t="shared" si="75"/>
        <v>0</v>
      </c>
      <c r="K486" s="4244">
        <f t="shared" si="76"/>
        <v>0</v>
      </c>
      <c r="L486" s="4244">
        <f t="shared" si="77"/>
        <v>0</v>
      </c>
      <c r="M486" s="4244">
        <f t="shared" si="78"/>
        <v>0</v>
      </c>
      <c r="N486" s="4252">
        <f t="shared" si="79"/>
        <v>0</v>
      </c>
      <c r="O486" s="4245">
        <f t="shared" si="67"/>
        <v>0</v>
      </c>
      <c r="P486" s="4246">
        <f>'WS Plan'!G198</f>
        <v>0</v>
      </c>
      <c r="Q486" s="4246">
        <f>'WS Plan'!H198</f>
        <v>0</v>
      </c>
      <c r="R486" s="4241" t="s">
        <v>891</v>
      </c>
      <c r="S486" s="4245">
        <f t="shared" si="80"/>
        <v>0</v>
      </c>
      <c r="T486" s="4247">
        <f t="shared" si="81"/>
        <v>0</v>
      </c>
    </row>
    <row r="487" spans="3:20" x14ac:dyDescent="0.25">
      <c r="C487" s="4253" t="str">
        <f t="shared" si="69"/>
        <v>Reduce free water supply</v>
      </c>
      <c r="D487" s="4237" t="s">
        <v>781</v>
      </c>
      <c r="E487" s="4244">
        <f t="shared" si="70"/>
        <v>0</v>
      </c>
      <c r="F487" s="4244">
        <f t="shared" si="71"/>
        <v>0</v>
      </c>
      <c r="G487" s="4244">
        <f t="shared" si="72"/>
        <v>0</v>
      </c>
      <c r="H487" s="4244">
        <f t="shared" si="73"/>
        <v>0</v>
      </c>
      <c r="I487" s="4244">
        <f t="shared" si="74"/>
        <v>0</v>
      </c>
      <c r="J487" s="4244">
        <f t="shared" si="75"/>
        <v>0</v>
      </c>
      <c r="K487" s="4244">
        <f t="shared" si="76"/>
        <v>0</v>
      </c>
      <c r="L487" s="4244">
        <f t="shared" si="77"/>
        <v>0</v>
      </c>
      <c r="M487" s="4244">
        <f t="shared" si="78"/>
        <v>0</v>
      </c>
      <c r="N487" s="4252">
        <f t="shared" si="79"/>
        <v>0</v>
      </c>
      <c r="O487" s="4245">
        <f t="shared" si="67"/>
        <v>0</v>
      </c>
      <c r="P487" s="4246">
        <f>'WS Plan'!G202</f>
        <v>0</v>
      </c>
      <c r="Q487" s="4246">
        <f>'WS Plan'!H202</f>
        <v>0</v>
      </c>
      <c r="R487" s="4241" t="s">
        <v>891</v>
      </c>
      <c r="S487" s="4245">
        <f t="shared" si="80"/>
        <v>0</v>
      </c>
      <c r="T487" s="4247">
        <f t="shared" si="81"/>
        <v>0</v>
      </c>
    </row>
    <row r="488" spans="3:20" ht="30" x14ac:dyDescent="0.25">
      <c r="C488" s="4253" t="str">
        <f t="shared" si="69"/>
        <v>Repair non-functional metered water supply connections</v>
      </c>
      <c r="D488" s="4237" t="s">
        <v>781</v>
      </c>
      <c r="E488" s="4244">
        <f t="shared" si="70"/>
        <v>0</v>
      </c>
      <c r="F488" s="4244">
        <f t="shared" si="71"/>
        <v>0</v>
      </c>
      <c r="G488" s="4244">
        <f t="shared" si="72"/>
        <v>0</v>
      </c>
      <c r="H488" s="4244">
        <f t="shared" si="73"/>
        <v>0</v>
      </c>
      <c r="I488" s="4244">
        <f t="shared" si="74"/>
        <v>0</v>
      </c>
      <c r="J488" s="4244">
        <f t="shared" si="75"/>
        <v>0</v>
      </c>
      <c r="K488" s="4244">
        <f t="shared" si="76"/>
        <v>0</v>
      </c>
      <c r="L488" s="4244">
        <f t="shared" si="77"/>
        <v>0</v>
      </c>
      <c r="M488" s="4244">
        <f t="shared" si="78"/>
        <v>0</v>
      </c>
      <c r="N488" s="4252">
        <f t="shared" si="79"/>
        <v>0</v>
      </c>
      <c r="O488" s="4245">
        <f t="shared" si="67"/>
        <v>0</v>
      </c>
      <c r="P488" s="4246">
        <f>'WS Plan'!G206</f>
        <v>0</v>
      </c>
      <c r="Q488" s="4246">
        <f>'WS Plan'!H206</f>
        <v>0</v>
      </c>
      <c r="R488" s="4241" t="s">
        <v>891</v>
      </c>
      <c r="S488" s="4245">
        <f t="shared" si="80"/>
        <v>0</v>
      </c>
      <c r="T488" s="4247">
        <f t="shared" si="81"/>
        <v>0</v>
      </c>
    </row>
    <row r="489" spans="3:20" x14ac:dyDescent="0.25">
      <c r="C489" s="4253" t="str">
        <f t="shared" si="69"/>
        <v>Improve consumer grievance redressal system</v>
      </c>
      <c r="D489" s="4237" t="s">
        <v>781</v>
      </c>
      <c r="E489" s="4244">
        <f t="shared" si="70"/>
        <v>0</v>
      </c>
      <c r="F489" s="4244">
        <f t="shared" si="71"/>
        <v>0</v>
      </c>
      <c r="G489" s="4244">
        <f t="shared" si="72"/>
        <v>0</v>
      </c>
      <c r="H489" s="4244">
        <f t="shared" si="73"/>
        <v>0</v>
      </c>
      <c r="I489" s="4244">
        <f t="shared" si="74"/>
        <v>0</v>
      </c>
      <c r="J489" s="4244">
        <f t="shared" si="75"/>
        <v>0</v>
      </c>
      <c r="K489" s="4244">
        <f t="shared" si="76"/>
        <v>0</v>
      </c>
      <c r="L489" s="4244">
        <f t="shared" si="77"/>
        <v>0</v>
      </c>
      <c r="M489" s="4244">
        <f t="shared" si="78"/>
        <v>0</v>
      </c>
      <c r="N489" s="4252">
        <f t="shared" si="79"/>
        <v>0</v>
      </c>
      <c r="O489" s="4245">
        <f>SUM(E489:N489)</f>
        <v>0</v>
      </c>
      <c r="P489" s="4246">
        <f>'WS Plan'!G215</f>
        <v>0</v>
      </c>
      <c r="Q489" s="4246">
        <f>'WS Plan'!H215</f>
        <v>0</v>
      </c>
      <c r="R489" s="4241" t="s">
        <v>891</v>
      </c>
      <c r="S489" s="4245">
        <f t="shared" si="80"/>
        <v>0</v>
      </c>
      <c r="T489" s="4247">
        <f t="shared" si="81"/>
        <v>0</v>
      </c>
    </row>
    <row r="490" spans="3:20" x14ac:dyDescent="0.25">
      <c r="C490" s="4243" t="str">
        <f t="shared" si="69"/>
        <v>Metering of consumer water supply connections</v>
      </c>
      <c r="D490" s="4237" t="s">
        <v>780</v>
      </c>
      <c r="E490" s="4244">
        <f t="shared" si="70"/>
        <v>0</v>
      </c>
      <c r="F490" s="4244">
        <f t="shared" si="71"/>
        <v>0</v>
      </c>
      <c r="G490" s="4244">
        <f t="shared" si="72"/>
        <v>0</v>
      </c>
      <c r="H490" s="4244">
        <f t="shared" si="73"/>
        <v>0</v>
      </c>
      <c r="I490" s="4244">
        <f t="shared" si="74"/>
        <v>0</v>
      </c>
      <c r="J490" s="4244">
        <f t="shared" si="75"/>
        <v>0</v>
      </c>
      <c r="K490" s="4244">
        <f t="shared" si="76"/>
        <v>0</v>
      </c>
      <c r="L490" s="4244">
        <f t="shared" si="77"/>
        <v>0</v>
      </c>
      <c r="M490" s="4244">
        <f t="shared" si="78"/>
        <v>0</v>
      </c>
      <c r="N490" s="4252">
        <f t="shared" si="79"/>
        <v>0</v>
      </c>
      <c r="O490" s="4245">
        <f t="shared" si="67"/>
        <v>0</v>
      </c>
      <c r="P490" s="4246">
        <f>MIN('WS Plan'!G223,'WS Plan'!G229,'WS Plan'!G235,'WS Plan'!G241,'WS Plan'!G247)</f>
        <v>0</v>
      </c>
      <c r="Q490" s="4246">
        <f>MAX('WS Plan'!H223,'WS Plan'!H229,'WS Plan'!H235,'WS Plan'!H241,'WS Plan'!H247)</f>
        <v>0</v>
      </c>
      <c r="R490" s="4241" t="s">
        <v>891</v>
      </c>
      <c r="S490" s="4245">
        <f t="shared" si="80"/>
        <v>0</v>
      </c>
      <c r="T490" s="4247">
        <f t="shared" si="81"/>
        <v>0</v>
      </c>
    </row>
    <row r="491" spans="3:20" x14ac:dyDescent="0.25">
      <c r="C491" s="4232" t="str">
        <f t="shared" si="69"/>
        <v>Financial sustainaibility</v>
      </c>
      <c r="D491" s="4233"/>
      <c r="E491" s="4233">
        <f t="shared" si="70"/>
        <v>0</v>
      </c>
      <c r="F491" s="4233">
        <f t="shared" si="71"/>
        <v>0</v>
      </c>
      <c r="G491" s="4233">
        <f t="shared" si="72"/>
        <v>0</v>
      </c>
      <c r="H491" s="4233">
        <f t="shared" si="73"/>
        <v>0</v>
      </c>
      <c r="I491" s="4233">
        <f t="shared" si="74"/>
        <v>0</v>
      </c>
      <c r="J491" s="4233">
        <f t="shared" si="75"/>
        <v>0</v>
      </c>
      <c r="K491" s="4233">
        <f t="shared" si="76"/>
        <v>0</v>
      </c>
      <c r="L491" s="4233">
        <f t="shared" si="77"/>
        <v>0</v>
      </c>
      <c r="M491" s="4233">
        <f t="shared" si="78"/>
        <v>0</v>
      </c>
      <c r="N491" s="4233">
        <f t="shared" si="79"/>
        <v>0</v>
      </c>
      <c r="O491" s="4248">
        <f t="shared" si="67"/>
        <v>0</v>
      </c>
      <c r="P491" s="4249"/>
      <c r="Q491" s="4249"/>
      <c r="R491" s="4250" t="s">
        <v>891</v>
      </c>
      <c r="S491" s="4248">
        <f t="shared" si="80"/>
        <v>0</v>
      </c>
      <c r="T491" s="4251">
        <f t="shared" si="81"/>
        <v>0</v>
      </c>
    </row>
    <row r="492" spans="3:20" x14ac:dyDescent="0.25">
      <c r="C492" s="4243" t="str">
        <f t="shared" si="69"/>
        <v>Improve billing and collection of water supply bills</v>
      </c>
      <c r="D492" s="4237" t="s">
        <v>779</v>
      </c>
      <c r="E492" s="4244">
        <f t="shared" si="70"/>
        <v>0</v>
      </c>
      <c r="F492" s="4244">
        <f t="shared" si="71"/>
        <v>0</v>
      </c>
      <c r="G492" s="4244">
        <f t="shared" si="72"/>
        <v>0</v>
      </c>
      <c r="H492" s="4244">
        <f t="shared" si="73"/>
        <v>0</v>
      </c>
      <c r="I492" s="4244">
        <f t="shared" si="74"/>
        <v>0</v>
      </c>
      <c r="J492" s="4244">
        <f t="shared" si="75"/>
        <v>0</v>
      </c>
      <c r="K492" s="4244">
        <f t="shared" si="76"/>
        <v>0</v>
      </c>
      <c r="L492" s="4244">
        <f t="shared" si="77"/>
        <v>0</v>
      </c>
      <c r="M492" s="4244">
        <f t="shared" si="78"/>
        <v>0</v>
      </c>
      <c r="N492" s="4252">
        <f t="shared" si="79"/>
        <v>0</v>
      </c>
      <c r="O492" s="4245">
        <f t="shared" si="67"/>
        <v>0</v>
      </c>
      <c r="P492" s="4246">
        <f>$E$447</f>
        <v>2015</v>
      </c>
      <c r="Q492" s="4246">
        <f>$E$447</f>
        <v>2015</v>
      </c>
      <c r="R492" s="4241" t="s">
        <v>891</v>
      </c>
      <c r="S492" s="4245">
        <f t="shared" si="80"/>
        <v>0</v>
      </c>
      <c r="T492" s="4247">
        <f t="shared" si="81"/>
        <v>0</v>
      </c>
    </row>
    <row r="493" spans="3:20" ht="30" x14ac:dyDescent="0.25">
      <c r="C493" s="4243" t="str">
        <f t="shared" si="69"/>
        <v>Improve collection efficiency of water supply charges and taxes</v>
      </c>
      <c r="D493" s="4237" t="s">
        <v>781</v>
      </c>
      <c r="E493" s="4244">
        <f t="shared" si="70"/>
        <v>0</v>
      </c>
      <c r="F493" s="4244">
        <f t="shared" si="71"/>
        <v>0</v>
      </c>
      <c r="G493" s="4244">
        <f t="shared" si="72"/>
        <v>0</v>
      </c>
      <c r="H493" s="4244">
        <f t="shared" si="73"/>
        <v>0</v>
      </c>
      <c r="I493" s="4244">
        <f t="shared" si="74"/>
        <v>0</v>
      </c>
      <c r="J493" s="4244">
        <f t="shared" si="75"/>
        <v>0</v>
      </c>
      <c r="K493" s="4244">
        <f t="shared" si="76"/>
        <v>0</v>
      </c>
      <c r="L493" s="4244">
        <f t="shared" si="77"/>
        <v>0</v>
      </c>
      <c r="M493" s="4244">
        <f t="shared" si="78"/>
        <v>0</v>
      </c>
      <c r="N493" s="4252">
        <f t="shared" si="79"/>
        <v>0</v>
      </c>
      <c r="O493" s="4245">
        <f t="shared" si="67"/>
        <v>0</v>
      </c>
      <c r="P493" s="4246">
        <f>'WS Plan'!G262</f>
        <v>0</v>
      </c>
      <c r="Q493" s="4246">
        <f>'WS Plan'!H262</f>
        <v>0</v>
      </c>
      <c r="R493" s="4241" t="s">
        <v>891</v>
      </c>
      <c r="S493" s="4245">
        <f t="shared" si="80"/>
        <v>0</v>
      </c>
      <c r="T493" s="4247">
        <f t="shared" si="81"/>
        <v>0</v>
      </c>
    </row>
    <row r="494" spans="3:20" x14ac:dyDescent="0.25">
      <c r="C494" s="4243" t="str">
        <f t="shared" si="69"/>
        <v>Replace pumping machinery</v>
      </c>
      <c r="D494" s="4237" t="s">
        <v>781</v>
      </c>
      <c r="E494" s="4244">
        <f t="shared" si="70"/>
        <v>0</v>
      </c>
      <c r="F494" s="4244">
        <f t="shared" si="71"/>
        <v>0</v>
      </c>
      <c r="G494" s="4244">
        <f t="shared" si="72"/>
        <v>0</v>
      </c>
      <c r="H494" s="4244">
        <f t="shared" si="73"/>
        <v>0</v>
      </c>
      <c r="I494" s="4244">
        <f t="shared" si="74"/>
        <v>0</v>
      </c>
      <c r="J494" s="4244">
        <f t="shared" si="75"/>
        <v>0</v>
      </c>
      <c r="K494" s="4244">
        <f t="shared" si="76"/>
        <v>0</v>
      </c>
      <c r="L494" s="4244">
        <f t="shared" si="77"/>
        <v>0</v>
      </c>
      <c r="M494" s="4244">
        <f t="shared" si="78"/>
        <v>0</v>
      </c>
      <c r="N494" s="4252">
        <f t="shared" si="79"/>
        <v>0</v>
      </c>
      <c r="O494" s="4245">
        <f t="shared" si="67"/>
        <v>0</v>
      </c>
      <c r="P494" s="4246">
        <f>'WS Plan'!G268</f>
        <v>0</v>
      </c>
      <c r="Q494" s="4246">
        <f>'WS Plan'!H268</f>
        <v>0</v>
      </c>
      <c r="R494" s="4241" t="s">
        <v>891</v>
      </c>
      <c r="S494" s="4245">
        <f t="shared" si="80"/>
        <v>0</v>
      </c>
      <c r="T494" s="4247">
        <f t="shared" si="81"/>
        <v>0</v>
      </c>
    </row>
    <row r="495" spans="3:20" ht="30" x14ac:dyDescent="0.25">
      <c r="C495" s="4243" t="str">
        <f t="shared" si="69"/>
        <v>Other measures to optimise power and energy expenses</v>
      </c>
      <c r="D495" s="4237" t="s">
        <v>781</v>
      </c>
      <c r="E495" s="4244">
        <f t="shared" si="70"/>
        <v>0</v>
      </c>
      <c r="F495" s="4244">
        <f t="shared" si="71"/>
        <v>0</v>
      </c>
      <c r="G495" s="4244">
        <f t="shared" si="72"/>
        <v>0</v>
      </c>
      <c r="H495" s="4244">
        <f t="shared" si="73"/>
        <v>0</v>
      </c>
      <c r="I495" s="4244">
        <f t="shared" si="74"/>
        <v>0</v>
      </c>
      <c r="J495" s="4244">
        <f t="shared" si="75"/>
        <v>0</v>
      </c>
      <c r="K495" s="4244">
        <f t="shared" si="76"/>
        <v>0</v>
      </c>
      <c r="L495" s="4244">
        <f t="shared" si="77"/>
        <v>0</v>
      </c>
      <c r="M495" s="4244">
        <f t="shared" si="78"/>
        <v>0</v>
      </c>
      <c r="N495" s="4252">
        <f t="shared" si="79"/>
        <v>0</v>
      </c>
      <c r="O495" s="4245">
        <f t="shared" si="67"/>
        <v>0</v>
      </c>
      <c r="P495" s="4246">
        <f>'WS Plan'!G274</f>
        <v>0</v>
      </c>
      <c r="Q495" s="4246">
        <f>'WS Plan'!H274</f>
        <v>0</v>
      </c>
      <c r="R495" s="4241" t="s">
        <v>891</v>
      </c>
      <c r="S495" s="4245">
        <f t="shared" si="80"/>
        <v>0</v>
      </c>
      <c r="T495" s="4247">
        <f t="shared" si="81"/>
        <v>0</v>
      </c>
    </row>
    <row r="496" spans="3:20" x14ac:dyDescent="0.25">
      <c r="C496" s="4232" t="str">
        <f t="shared" si="69"/>
        <v>Generic actions</v>
      </c>
      <c r="D496" s="4233"/>
      <c r="E496" s="4233">
        <f t="shared" si="70"/>
        <v>0</v>
      </c>
      <c r="F496" s="4233">
        <f t="shared" si="71"/>
        <v>0</v>
      </c>
      <c r="G496" s="4233">
        <f t="shared" si="72"/>
        <v>0</v>
      </c>
      <c r="H496" s="4233">
        <f t="shared" si="73"/>
        <v>0</v>
      </c>
      <c r="I496" s="4233">
        <f t="shared" si="74"/>
        <v>0</v>
      </c>
      <c r="J496" s="4233">
        <f t="shared" si="75"/>
        <v>0</v>
      </c>
      <c r="K496" s="4233">
        <f t="shared" si="76"/>
        <v>0</v>
      </c>
      <c r="L496" s="4233">
        <f t="shared" si="77"/>
        <v>0</v>
      </c>
      <c r="M496" s="4233">
        <f t="shared" si="78"/>
        <v>0</v>
      </c>
      <c r="N496" s="4233">
        <f t="shared" si="79"/>
        <v>0</v>
      </c>
      <c r="O496" s="4248">
        <f t="shared" si="67"/>
        <v>0</v>
      </c>
      <c r="P496" s="4249"/>
      <c r="Q496" s="4249"/>
      <c r="R496" s="4250" t="s">
        <v>891</v>
      </c>
      <c r="S496" s="4248">
        <f t="shared" si="80"/>
        <v>0</v>
      </c>
      <c r="T496" s="4251">
        <f t="shared" si="81"/>
        <v>0</v>
      </c>
    </row>
    <row r="497" spans="2:20" x14ac:dyDescent="0.25">
      <c r="C497" s="4243" t="str">
        <f t="shared" si="69"/>
        <v>WS Customised action 1</v>
      </c>
      <c r="D497" s="4237" t="s">
        <v>787</v>
      </c>
      <c r="E497" s="4244">
        <f t="shared" si="70"/>
        <v>0</v>
      </c>
      <c r="F497" s="4244">
        <f t="shared" si="71"/>
        <v>0</v>
      </c>
      <c r="G497" s="4244">
        <f t="shared" si="72"/>
        <v>0</v>
      </c>
      <c r="H497" s="4244">
        <f t="shared" si="73"/>
        <v>0</v>
      </c>
      <c r="I497" s="4244">
        <f t="shared" si="74"/>
        <v>0</v>
      </c>
      <c r="J497" s="4244">
        <f t="shared" si="75"/>
        <v>0</v>
      </c>
      <c r="K497" s="4244">
        <f t="shared" si="76"/>
        <v>0</v>
      </c>
      <c r="L497" s="4244">
        <f t="shared" si="77"/>
        <v>0</v>
      </c>
      <c r="M497" s="4244">
        <f t="shared" si="78"/>
        <v>0</v>
      </c>
      <c r="N497" s="4252">
        <f t="shared" si="79"/>
        <v>0</v>
      </c>
      <c r="O497" s="4245">
        <f t="shared" si="67"/>
        <v>0</v>
      </c>
      <c r="P497" s="4246">
        <f>'WS Plan'!G283</f>
        <v>0</v>
      </c>
      <c r="Q497" s="4246">
        <f>'WS Plan'!H283</f>
        <v>0</v>
      </c>
      <c r="R497" s="4241" t="s">
        <v>891</v>
      </c>
      <c r="S497" s="4245">
        <f t="shared" si="80"/>
        <v>0</v>
      </c>
      <c r="T497" s="4247">
        <f t="shared" si="81"/>
        <v>0</v>
      </c>
    </row>
    <row r="498" spans="2:20" x14ac:dyDescent="0.25">
      <c r="C498" s="4243" t="str">
        <f t="shared" si="69"/>
        <v>WS Customised action 2</v>
      </c>
      <c r="D498" s="4237" t="s">
        <v>787</v>
      </c>
      <c r="E498" s="4244">
        <f t="shared" si="70"/>
        <v>0</v>
      </c>
      <c r="F498" s="4244">
        <f t="shared" si="71"/>
        <v>0</v>
      </c>
      <c r="G498" s="4244">
        <f t="shared" si="72"/>
        <v>0</v>
      </c>
      <c r="H498" s="4244">
        <f t="shared" si="73"/>
        <v>0</v>
      </c>
      <c r="I498" s="4244">
        <f t="shared" si="74"/>
        <v>0</v>
      </c>
      <c r="J498" s="4244">
        <f t="shared" si="75"/>
        <v>0</v>
      </c>
      <c r="K498" s="4244">
        <f t="shared" si="76"/>
        <v>0</v>
      </c>
      <c r="L498" s="4244">
        <f t="shared" si="77"/>
        <v>0</v>
      </c>
      <c r="M498" s="4244">
        <f t="shared" si="78"/>
        <v>0</v>
      </c>
      <c r="N498" s="4252">
        <f t="shared" si="79"/>
        <v>0</v>
      </c>
      <c r="O498" s="4245">
        <f t="shared" si="67"/>
        <v>0</v>
      </c>
      <c r="P498" s="4246">
        <f>'WS Plan'!G290</f>
        <v>0</v>
      </c>
      <c r="Q498" s="4246">
        <f>'WS Plan'!H290</f>
        <v>0</v>
      </c>
      <c r="R498" s="4241" t="s">
        <v>891</v>
      </c>
      <c r="S498" s="4245">
        <f t="shared" si="80"/>
        <v>0</v>
      </c>
      <c r="T498" s="4247">
        <f t="shared" si="81"/>
        <v>0</v>
      </c>
    </row>
    <row r="499" spans="2:20" x14ac:dyDescent="0.25">
      <c r="C499" s="4254"/>
      <c r="D499" s="4192"/>
      <c r="E499" s="4255"/>
      <c r="F499" s="4255"/>
      <c r="G499" s="4255"/>
      <c r="H499" s="4255"/>
      <c r="I499" s="4255"/>
      <c r="J499" s="4255"/>
      <c r="K499" s="4255"/>
      <c r="L499" s="4255"/>
      <c r="M499" s="4255"/>
      <c r="N499" s="4255"/>
      <c r="O499" s="4256"/>
      <c r="P499" s="4257"/>
      <c r="Q499" s="4257"/>
      <c r="R499" s="4256"/>
      <c r="S499" s="4258"/>
    </row>
    <row r="500" spans="2:20" ht="18.75" x14ac:dyDescent="0.3">
      <c r="C500" s="4228" t="s">
        <v>85</v>
      </c>
      <c r="D500" s="4229" t="str">
        <f>D447</f>
        <v>CAPEX</v>
      </c>
      <c r="E500" s="4259">
        <f t="shared" ref="E500:O500" si="82">E447</f>
        <v>2015</v>
      </c>
      <c r="F500" s="4259">
        <f t="shared" si="82"/>
        <v>2016</v>
      </c>
      <c r="G500" s="4259">
        <f t="shared" si="82"/>
        <v>2017</v>
      </c>
      <c r="H500" s="4259">
        <f t="shared" si="82"/>
        <v>2018</v>
      </c>
      <c r="I500" s="4259">
        <f t="shared" si="82"/>
        <v>2019</v>
      </c>
      <c r="J500" s="4259">
        <f t="shared" si="82"/>
        <v>2020</v>
      </c>
      <c r="K500" s="4259">
        <f t="shared" si="82"/>
        <v>2021</v>
      </c>
      <c r="L500" s="4259">
        <f t="shared" si="82"/>
        <v>2022</v>
      </c>
      <c r="M500" s="4259">
        <f t="shared" si="82"/>
        <v>2023</v>
      </c>
      <c r="N500" s="4259">
        <f t="shared" si="82"/>
        <v>2024</v>
      </c>
      <c r="O500" s="4260" t="str">
        <f t="shared" si="82"/>
        <v>Total</v>
      </c>
      <c r="P500" s="4261" t="s">
        <v>784</v>
      </c>
      <c r="Q500" s="4261" t="s">
        <v>785</v>
      </c>
      <c r="R500" s="4261" t="s">
        <v>161</v>
      </c>
      <c r="S500" s="4262" t="s">
        <v>783</v>
      </c>
      <c r="T500" s="4231" t="s">
        <v>1512</v>
      </c>
    </row>
    <row r="501" spans="2:20" x14ac:dyDescent="0.25">
      <c r="C501" s="4232" t="str">
        <f t="shared" ref="C501:C544" si="83">C176</f>
        <v>Access &amp; coverage</v>
      </c>
      <c r="D501" s="4233"/>
      <c r="E501" s="4233"/>
      <c r="F501" s="4233"/>
      <c r="G501" s="4233"/>
      <c r="H501" s="4233"/>
      <c r="I501" s="4233"/>
      <c r="J501" s="4233"/>
      <c r="K501" s="4233"/>
      <c r="L501" s="4233"/>
      <c r="M501" s="4233"/>
      <c r="N501" s="4233"/>
      <c r="O501" s="4248"/>
      <c r="P501" s="4263"/>
      <c r="Q501" s="4263"/>
      <c r="R501" s="4250"/>
      <c r="S501" s="4248"/>
      <c r="T501" s="4251"/>
    </row>
    <row r="502" spans="2:20" x14ac:dyDescent="0.25">
      <c r="C502" s="4264" t="str">
        <f t="shared" si="83"/>
        <v>Household survey to assess wastewater services</v>
      </c>
      <c r="D502" s="4237" t="s">
        <v>778</v>
      </c>
      <c r="E502" s="4238">
        <f t="shared" ref="E502:N502" si="84">IF($D$447="PHASING","",IF($D$500=$D$174,G177,G225))</f>
        <v>0</v>
      </c>
      <c r="F502" s="4238">
        <f t="shared" si="84"/>
        <v>0</v>
      </c>
      <c r="G502" s="4238">
        <f t="shared" si="84"/>
        <v>0</v>
      </c>
      <c r="H502" s="4238">
        <f t="shared" si="84"/>
        <v>0</v>
      </c>
      <c r="I502" s="4238">
        <f t="shared" si="84"/>
        <v>0</v>
      </c>
      <c r="J502" s="4238">
        <f t="shared" si="84"/>
        <v>0</v>
      </c>
      <c r="K502" s="4238">
        <f t="shared" si="84"/>
        <v>0</v>
      </c>
      <c r="L502" s="4238">
        <f t="shared" si="84"/>
        <v>0</v>
      </c>
      <c r="M502" s="4238">
        <f t="shared" si="84"/>
        <v>0</v>
      </c>
      <c r="N502" s="4238">
        <f t="shared" si="84"/>
        <v>0</v>
      </c>
      <c r="O502" s="4245">
        <f>SUM(E502:N502)</f>
        <v>0</v>
      </c>
      <c r="P502" s="4265">
        <f>'WW Plan'!G22</f>
        <v>0</v>
      </c>
      <c r="Q502" s="4265">
        <f>'WW Plan'!H22</f>
        <v>0</v>
      </c>
      <c r="R502" s="4241" t="s">
        <v>892</v>
      </c>
      <c r="S502" s="4245">
        <f t="shared" ref="S502:S512" si="85">E177</f>
        <v>0</v>
      </c>
      <c r="T502" s="4238">
        <f t="shared" ref="T502:T512" si="86">U177</f>
        <v>0</v>
      </c>
    </row>
    <row r="503" spans="2:20" x14ac:dyDescent="0.25">
      <c r="C503" s="4264" t="str">
        <f t="shared" si="83"/>
        <v>Surveys and monitoring of open defecation sites</v>
      </c>
      <c r="D503" s="4237" t="s">
        <v>778</v>
      </c>
      <c r="E503" s="4238">
        <f t="shared" ref="E503:E512" si="87">IF($D$447="PHASING","",IF($D$500=$D$174,G178,G226))</f>
        <v>0</v>
      </c>
      <c r="F503" s="4238">
        <f t="shared" ref="F503:F512" si="88">IF($D$447="PHASING","",IF($D$500=$D$174,H178,H226))</f>
        <v>0</v>
      </c>
      <c r="G503" s="4238">
        <f t="shared" ref="G503:G512" si="89">IF($D$447="PHASING","",IF($D$500=$D$174,I178,I226))</f>
        <v>0</v>
      </c>
      <c r="H503" s="4238">
        <f t="shared" ref="H503:H512" si="90">IF($D$447="PHASING","",IF($D$500=$D$174,J178,J226))</f>
        <v>0</v>
      </c>
      <c r="I503" s="4238">
        <f t="shared" ref="I503:I512" si="91">IF($D$447="PHASING","",IF($D$500=$D$174,K178,K226))</f>
        <v>0</v>
      </c>
      <c r="J503" s="4238">
        <f t="shared" ref="J503:J512" si="92">IF($D$447="PHASING","",IF($D$500=$D$174,L178,L226))</f>
        <v>0</v>
      </c>
      <c r="K503" s="4238">
        <f t="shared" ref="K503:K512" si="93">IF($D$447="PHASING","",IF($D$500=$D$174,M178,M226))</f>
        <v>0</v>
      </c>
      <c r="L503" s="4238">
        <f t="shared" ref="L503:L512" si="94">IF($D$447="PHASING","",IF($D$500=$D$174,N178,N226))</f>
        <v>0</v>
      </c>
      <c r="M503" s="4238">
        <f t="shared" ref="M503:M512" si="95">IF($D$447="PHASING","",IF($D$500=$D$174,O178,O226))</f>
        <v>0</v>
      </c>
      <c r="N503" s="4238">
        <f t="shared" ref="N503:N512" si="96">IF($D$447="PHASING","",IF($D$500=$D$174,P178,P226))</f>
        <v>0</v>
      </c>
      <c r="O503" s="4245">
        <f t="shared" ref="O503:O512" si="97">SUM(E503:N503)</f>
        <v>0</v>
      </c>
      <c r="P503" s="4265">
        <f>'WW Plan'!G28</f>
        <v>0</v>
      </c>
      <c r="Q503" s="4265">
        <f>'WW Plan'!H28</f>
        <v>0</v>
      </c>
      <c r="R503" s="4241" t="s">
        <v>892</v>
      </c>
      <c r="S503" s="4245">
        <f t="shared" si="85"/>
        <v>0</v>
      </c>
      <c r="T503" s="4238">
        <f t="shared" si="86"/>
        <v>0</v>
      </c>
    </row>
    <row r="504" spans="2:20" x14ac:dyDescent="0.25">
      <c r="C504" s="4264" t="str">
        <f t="shared" si="83"/>
        <v>Computerise wastewater records</v>
      </c>
      <c r="D504" s="4237" t="s">
        <v>778</v>
      </c>
      <c r="E504" s="4238">
        <f t="shared" si="87"/>
        <v>0</v>
      </c>
      <c r="F504" s="4238">
        <f t="shared" si="88"/>
        <v>0</v>
      </c>
      <c r="G504" s="4238">
        <f t="shared" si="89"/>
        <v>0</v>
      </c>
      <c r="H504" s="4238">
        <f t="shared" si="90"/>
        <v>0</v>
      </c>
      <c r="I504" s="4238">
        <f t="shared" si="91"/>
        <v>0</v>
      </c>
      <c r="J504" s="4238">
        <f t="shared" si="92"/>
        <v>0</v>
      </c>
      <c r="K504" s="4238">
        <f t="shared" si="93"/>
        <v>0</v>
      </c>
      <c r="L504" s="4238">
        <f t="shared" si="94"/>
        <v>0</v>
      </c>
      <c r="M504" s="4238">
        <f t="shared" si="95"/>
        <v>0</v>
      </c>
      <c r="N504" s="4238">
        <f t="shared" si="96"/>
        <v>0</v>
      </c>
      <c r="O504" s="4245">
        <f t="shared" si="97"/>
        <v>0</v>
      </c>
      <c r="P504" s="4265">
        <f>'WW Plan'!G32</f>
        <v>0</v>
      </c>
      <c r="Q504" s="4265">
        <f>'WW Plan'!H32</f>
        <v>0</v>
      </c>
      <c r="R504" s="4241" t="s">
        <v>892</v>
      </c>
      <c r="S504" s="4245">
        <f t="shared" si="85"/>
        <v>0</v>
      </c>
      <c r="T504" s="4238">
        <f t="shared" si="86"/>
        <v>0</v>
      </c>
    </row>
    <row r="505" spans="2:20" x14ac:dyDescent="0.25">
      <c r="C505" s="4264" t="str">
        <f t="shared" si="83"/>
        <v>Policy for providing sanitation services in slums</v>
      </c>
      <c r="D505" s="4237" t="s">
        <v>779</v>
      </c>
      <c r="E505" s="4238">
        <f t="shared" si="87"/>
        <v>0</v>
      </c>
      <c r="F505" s="4238">
        <f t="shared" si="88"/>
        <v>0</v>
      </c>
      <c r="G505" s="4238">
        <f t="shared" si="89"/>
        <v>0</v>
      </c>
      <c r="H505" s="4238">
        <f t="shared" si="90"/>
        <v>0</v>
      </c>
      <c r="I505" s="4238">
        <f t="shared" si="91"/>
        <v>0</v>
      </c>
      <c r="J505" s="4238">
        <f t="shared" si="92"/>
        <v>0</v>
      </c>
      <c r="K505" s="4238">
        <f t="shared" si="93"/>
        <v>0</v>
      </c>
      <c r="L505" s="4238">
        <f t="shared" si="94"/>
        <v>0</v>
      </c>
      <c r="M505" s="4238">
        <f t="shared" si="95"/>
        <v>0</v>
      </c>
      <c r="N505" s="4238">
        <f t="shared" si="96"/>
        <v>0</v>
      </c>
      <c r="O505" s="4245">
        <f t="shared" si="97"/>
        <v>0</v>
      </c>
      <c r="P505" s="4265">
        <f>$E$447</f>
        <v>2015</v>
      </c>
      <c r="Q505" s="4265">
        <f>$E$447</f>
        <v>2015</v>
      </c>
      <c r="R505" s="4241" t="s">
        <v>892</v>
      </c>
      <c r="S505" s="4245">
        <f t="shared" si="85"/>
        <v>0</v>
      </c>
      <c r="T505" s="4238">
        <f t="shared" si="86"/>
        <v>0</v>
      </c>
    </row>
    <row r="506" spans="2:20" ht="30" x14ac:dyDescent="0.25">
      <c r="C506" s="4264" t="str">
        <f t="shared" si="83"/>
        <v>Improve condition of existing individual toilets by providing safe sanitation disposal system</v>
      </c>
      <c r="D506" s="4237" t="s">
        <v>781</v>
      </c>
      <c r="E506" s="4238">
        <f t="shared" si="87"/>
        <v>63.9</v>
      </c>
      <c r="F506" s="4238">
        <f t="shared" si="88"/>
        <v>0</v>
      </c>
      <c r="G506" s="4238">
        <f t="shared" si="89"/>
        <v>0</v>
      </c>
      <c r="H506" s="4238">
        <f t="shared" si="90"/>
        <v>0</v>
      </c>
      <c r="I506" s="4238">
        <f t="shared" si="91"/>
        <v>0</v>
      </c>
      <c r="J506" s="4238">
        <f t="shared" si="92"/>
        <v>0</v>
      </c>
      <c r="K506" s="4238">
        <f t="shared" si="93"/>
        <v>0</v>
      </c>
      <c r="L506" s="4238">
        <f t="shared" si="94"/>
        <v>0</v>
      </c>
      <c r="M506" s="4238">
        <f t="shared" si="95"/>
        <v>0</v>
      </c>
      <c r="N506" s="4238">
        <f t="shared" si="96"/>
        <v>0</v>
      </c>
      <c r="O506" s="4245">
        <f t="shared" si="97"/>
        <v>63.9</v>
      </c>
      <c r="P506" s="4265">
        <f>'WW Plan'!G42</f>
        <v>2015</v>
      </c>
      <c r="Q506" s="4265">
        <f>'WW Plan'!H42</f>
        <v>2019</v>
      </c>
      <c r="R506" s="4241" t="s">
        <v>892</v>
      </c>
      <c r="S506" s="4245">
        <f t="shared" si="85"/>
        <v>63.9</v>
      </c>
      <c r="T506" s="4238">
        <f t="shared" si="86"/>
        <v>0.60000000000000009</v>
      </c>
    </row>
    <row r="507" spans="2:20" x14ac:dyDescent="0.25">
      <c r="C507" s="4264" t="str">
        <f t="shared" si="83"/>
        <v>Improve condition of existing Community toilets</v>
      </c>
      <c r="D507" s="4237" t="s">
        <v>781</v>
      </c>
      <c r="E507" s="4238">
        <f t="shared" si="87"/>
        <v>23</v>
      </c>
      <c r="F507" s="4238">
        <f t="shared" si="88"/>
        <v>24.610000000000003</v>
      </c>
      <c r="G507" s="4238">
        <f t="shared" si="89"/>
        <v>26.332699999999999</v>
      </c>
      <c r="H507" s="4238">
        <f t="shared" si="90"/>
        <v>0</v>
      </c>
      <c r="I507" s="4238">
        <f t="shared" si="91"/>
        <v>0</v>
      </c>
      <c r="J507" s="4238">
        <f t="shared" si="92"/>
        <v>0</v>
      </c>
      <c r="K507" s="4238">
        <f t="shared" si="93"/>
        <v>0</v>
      </c>
      <c r="L507" s="4238">
        <f t="shared" si="94"/>
        <v>0</v>
      </c>
      <c r="M507" s="4238">
        <f t="shared" si="95"/>
        <v>0</v>
      </c>
      <c r="N507" s="4238">
        <f t="shared" si="96"/>
        <v>0</v>
      </c>
      <c r="O507" s="4245">
        <f t="shared" si="97"/>
        <v>73.942700000000002</v>
      </c>
      <c r="P507" s="4265">
        <f>MIN('WW Plan'!G58,'WW Plan'!G67)</f>
        <v>2015</v>
      </c>
      <c r="Q507" s="4265">
        <f>MAX('WW Plan'!H58,'WW Plan'!H67)</f>
        <v>2017</v>
      </c>
      <c r="R507" s="4241" t="s">
        <v>892</v>
      </c>
      <c r="S507" s="4245">
        <f t="shared" si="85"/>
        <v>73.942700000000002</v>
      </c>
      <c r="T507" s="4238">
        <f t="shared" si="86"/>
        <v>0</v>
      </c>
    </row>
    <row r="508" spans="2:20" x14ac:dyDescent="0.25">
      <c r="C508" s="4264" t="str">
        <f t="shared" si="83"/>
        <v>Improve condition of existing Public toilets</v>
      </c>
      <c r="D508" s="4237" t="s">
        <v>781</v>
      </c>
      <c r="E508" s="4238">
        <f t="shared" si="87"/>
        <v>0</v>
      </c>
      <c r="F508" s="4238">
        <f t="shared" si="88"/>
        <v>0</v>
      </c>
      <c r="G508" s="4238">
        <f t="shared" si="89"/>
        <v>0</v>
      </c>
      <c r="H508" s="4238">
        <f t="shared" si="90"/>
        <v>0</v>
      </c>
      <c r="I508" s="4238">
        <f t="shared" si="91"/>
        <v>0</v>
      </c>
      <c r="J508" s="4238">
        <f t="shared" si="92"/>
        <v>0</v>
      </c>
      <c r="K508" s="4238">
        <f t="shared" si="93"/>
        <v>0</v>
      </c>
      <c r="L508" s="4238">
        <f t="shared" si="94"/>
        <v>0</v>
      </c>
      <c r="M508" s="4238">
        <f t="shared" si="95"/>
        <v>0</v>
      </c>
      <c r="N508" s="4238">
        <f t="shared" si="96"/>
        <v>0</v>
      </c>
      <c r="O508" s="4245">
        <f t="shared" si="97"/>
        <v>0</v>
      </c>
      <c r="P508" s="4265">
        <f>MIN('WW Plan'!G80,'WW Plan'!G86)</f>
        <v>0</v>
      </c>
      <c r="Q508" s="4265">
        <f>MAX('WW Plan'!H80,'WW Plan'!H86)</f>
        <v>0</v>
      </c>
      <c r="R508" s="4241" t="s">
        <v>892</v>
      </c>
      <c r="S508" s="4245">
        <f t="shared" si="85"/>
        <v>0</v>
      </c>
      <c r="T508" s="4238">
        <f t="shared" si="86"/>
        <v>0</v>
      </c>
    </row>
    <row r="509" spans="2:20" x14ac:dyDescent="0.25">
      <c r="B509" s="4070"/>
      <c r="C509" s="4191" t="str">
        <f t="shared" si="83"/>
        <v>Refurbishment of exisiting septic tanks in city</v>
      </c>
      <c r="D509" s="4130" t="s">
        <v>781</v>
      </c>
      <c r="E509" s="4238">
        <f t="shared" si="87"/>
        <v>0</v>
      </c>
      <c r="F509" s="4238">
        <f t="shared" si="88"/>
        <v>0</v>
      </c>
      <c r="G509" s="4238">
        <f t="shared" si="89"/>
        <v>0</v>
      </c>
      <c r="H509" s="4238">
        <f t="shared" si="90"/>
        <v>0</v>
      </c>
      <c r="I509" s="4238">
        <f t="shared" si="91"/>
        <v>0</v>
      </c>
      <c r="J509" s="4238">
        <f t="shared" si="92"/>
        <v>0</v>
      </c>
      <c r="K509" s="4238">
        <f t="shared" si="93"/>
        <v>0</v>
      </c>
      <c r="L509" s="4238">
        <f t="shared" si="94"/>
        <v>0</v>
      </c>
      <c r="M509" s="4238">
        <f t="shared" si="95"/>
        <v>0</v>
      </c>
      <c r="N509" s="4238">
        <f t="shared" si="96"/>
        <v>0</v>
      </c>
      <c r="O509" s="4245">
        <f t="shared" si="97"/>
        <v>0</v>
      </c>
      <c r="P509" s="4268">
        <f>'WW Plan'!G97</f>
        <v>0</v>
      </c>
      <c r="Q509" s="4268">
        <f>'WW Plan'!H97</f>
        <v>0</v>
      </c>
      <c r="R509" s="4269" t="s">
        <v>892</v>
      </c>
      <c r="S509" s="4267">
        <f t="shared" si="85"/>
        <v>0</v>
      </c>
      <c r="T509" s="4150">
        <f t="shared" si="86"/>
        <v>0</v>
      </c>
    </row>
    <row r="510" spans="2:20" ht="30" x14ac:dyDescent="0.25">
      <c r="C510" s="4270" t="str">
        <f t="shared" si="83"/>
        <v>Information, education and communication (IEC) campaigns for sanitation awareness</v>
      </c>
      <c r="D510" s="4237" t="s">
        <v>781</v>
      </c>
      <c r="E510" s="4238">
        <f t="shared" si="87"/>
        <v>0</v>
      </c>
      <c r="F510" s="4238">
        <f t="shared" si="88"/>
        <v>0</v>
      </c>
      <c r="G510" s="4238">
        <f t="shared" si="89"/>
        <v>0</v>
      </c>
      <c r="H510" s="4238">
        <f t="shared" si="90"/>
        <v>0</v>
      </c>
      <c r="I510" s="4238">
        <f t="shared" si="91"/>
        <v>0</v>
      </c>
      <c r="J510" s="4238">
        <f t="shared" si="92"/>
        <v>0</v>
      </c>
      <c r="K510" s="4238">
        <f t="shared" si="93"/>
        <v>0</v>
      </c>
      <c r="L510" s="4238">
        <f t="shared" si="94"/>
        <v>0</v>
      </c>
      <c r="M510" s="4238">
        <f t="shared" si="95"/>
        <v>0</v>
      </c>
      <c r="N510" s="4238">
        <f t="shared" si="96"/>
        <v>0</v>
      </c>
      <c r="O510" s="4245">
        <f t="shared" si="97"/>
        <v>0</v>
      </c>
      <c r="P510" s="4265">
        <f>'WW Plan'!G106</f>
        <v>0</v>
      </c>
      <c r="Q510" s="4265">
        <f>'WW Plan'!H106</f>
        <v>0</v>
      </c>
      <c r="R510" s="4241" t="s">
        <v>892</v>
      </c>
      <c r="S510" s="4245">
        <f t="shared" si="85"/>
        <v>0</v>
      </c>
      <c r="T510" s="4238">
        <f t="shared" si="86"/>
        <v>0</v>
      </c>
    </row>
    <row r="511" spans="2:20" x14ac:dyDescent="0.25">
      <c r="B511" s="4070"/>
      <c r="C511" s="4272" t="str">
        <f t="shared" si="83"/>
        <v>Construct new individual toilets</v>
      </c>
      <c r="D511" s="4130" t="s">
        <v>780</v>
      </c>
      <c r="E511" s="4238">
        <f t="shared" si="87"/>
        <v>197.7</v>
      </c>
      <c r="F511" s="4238">
        <f t="shared" si="88"/>
        <v>211.53899999999999</v>
      </c>
      <c r="G511" s="4238">
        <f t="shared" si="89"/>
        <v>226.34672999999998</v>
      </c>
      <c r="H511" s="4238">
        <f t="shared" si="90"/>
        <v>242.19100109999999</v>
      </c>
      <c r="I511" s="4238">
        <f t="shared" si="91"/>
        <v>259.14437117700004</v>
      </c>
      <c r="J511" s="4238">
        <f t="shared" si="92"/>
        <v>0</v>
      </c>
      <c r="K511" s="4238">
        <f t="shared" si="93"/>
        <v>0</v>
      </c>
      <c r="L511" s="4238">
        <f t="shared" si="94"/>
        <v>0</v>
      </c>
      <c r="M511" s="4238">
        <f t="shared" si="95"/>
        <v>0</v>
      </c>
      <c r="N511" s="4238">
        <f t="shared" si="96"/>
        <v>0</v>
      </c>
      <c r="O511" s="4245">
        <f t="shared" si="97"/>
        <v>1136.921102277</v>
      </c>
      <c r="P511" s="4268">
        <f>MIN('WW Plan'!G117,'WW Plan'!G123,'WW Plan'!G128)</f>
        <v>2015</v>
      </c>
      <c r="Q511" s="4268">
        <f>MAX('WW Plan'!H117,'WW Plan'!H123,'WW Plan'!H128)</f>
        <v>2019</v>
      </c>
      <c r="R511" s="4269" t="s">
        <v>892</v>
      </c>
      <c r="S511" s="4267">
        <f t="shared" si="85"/>
        <v>1136.921102277</v>
      </c>
      <c r="T511" s="4150">
        <f t="shared" si="86"/>
        <v>0.6</v>
      </c>
    </row>
    <row r="512" spans="2:20" x14ac:dyDescent="0.25">
      <c r="B512" s="4070"/>
      <c r="C512" s="4272" t="str">
        <f t="shared" si="83"/>
        <v>Construct new group toilets</v>
      </c>
      <c r="D512" s="4130" t="s">
        <v>780</v>
      </c>
      <c r="E512" s="4150">
        <f t="shared" si="87"/>
        <v>0</v>
      </c>
      <c r="F512" s="4150">
        <f t="shared" si="88"/>
        <v>0</v>
      </c>
      <c r="G512" s="4150">
        <f t="shared" si="89"/>
        <v>0</v>
      </c>
      <c r="H512" s="4150">
        <f t="shared" si="90"/>
        <v>0</v>
      </c>
      <c r="I512" s="4150">
        <f t="shared" si="91"/>
        <v>0</v>
      </c>
      <c r="J512" s="4150">
        <f t="shared" si="92"/>
        <v>0</v>
      </c>
      <c r="K512" s="4150">
        <f t="shared" si="93"/>
        <v>0</v>
      </c>
      <c r="L512" s="4150">
        <f t="shared" si="94"/>
        <v>0</v>
      </c>
      <c r="M512" s="4150">
        <f t="shared" si="95"/>
        <v>0</v>
      </c>
      <c r="N512" s="4266">
        <f t="shared" si="96"/>
        <v>0</v>
      </c>
      <c r="O512" s="4267">
        <f t="shared" si="97"/>
        <v>0</v>
      </c>
      <c r="P512" s="4268">
        <f>MIN('WW Plan'!G143,'WW Plan'!G148,'WW Plan'!G153)</f>
        <v>0</v>
      </c>
      <c r="Q512" s="4268">
        <f>MAX('WW Plan'!H143,'WW Plan'!H148,'WW Plan'!H153)</f>
        <v>0</v>
      </c>
      <c r="R512" s="4269" t="s">
        <v>892</v>
      </c>
      <c r="S512" s="4267">
        <f t="shared" si="85"/>
        <v>0</v>
      </c>
      <c r="T512" s="4150">
        <f t="shared" si="86"/>
        <v>0</v>
      </c>
    </row>
    <row r="513" spans="2:20" x14ac:dyDescent="0.25">
      <c r="C513" s="4270" t="str">
        <f t="shared" si="83"/>
        <v>Construct new community toilet blocks</v>
      </c>
      <c r="D513" s="4237" t="s">
        <v>780</v>
      </c>
      <c r="E513" s="4238">
        <f t="shared" ref="E513:E544" si="98">IF($D$447="PHASING","",IF($D$500=$D$174,G188,G236))</f>
        <v>0</v>
      </c>
      <c r="F513" s="4238">
        <f t="shared" ref="F513:F544" si="99">IF($D$447="PHASING","",IF($D$500=$D$174,H188,H236))</f>
        <v>0</v>
      </c>
      <c r="G513" s="4238">
        <f t="shared" ref="G513:G544" si="100">IF($D$447="PHASING","",IF($D$500=$D$174,I188,I236))</f>
        <v>0</v>
      </c>
      <c r="H513" s="4238">
        <f t="shared" ref="H513:H544" si="101">IF($D$447="PHASING","",IF($D$500=$D$174,J188,J236))</f>
        <v>0</v>
      </c>
      <c r="I513" s="4238">
        <f t="shared" ref="I513:I544" si="102">IF($D$447="PHASING","",IF($D$500=$D$174,K188,K236))</f>
        <v>0</v>
      </c>
      <c r="J513" s="4238">
        <f t="shared" ref="J513:J544" si="103">IF($D$447="PHASING","",IF($D$500=$D$174,L188,L236))</f>
        <v>0</v>
      </c>
      <c r="K513" s="4238">
        <f t="shared" ref="K513:K544" si="104">IF($D$447="PHASING","",IF($D$500=$D$174,M188,M236))</f>
        <v>0</v>
      </c>
      <c r="L513" s="4238">
        <f t="shared" ref="L513:L544" si="105">IF($D$447="PHASING","",IF($D$500=$D$174,N188,N236))</f>
        <v>0</v>
      </c>
      <c r="M513" s="4238">
        <f t="shared" ref="M513:M544" si="106">IF($D$447="PHASING","",IF($D$500=$D$174,O188,O236))</f>
        <v>0</v>
      </c>
      <c r="N513" s="4238">
        <f t="shared" ref="N513:N544" si="107">IF($D$447="PHASING","",IF($D$500=$D$174,P188,P236))</f>
        <v>0</v>
      </c>
      <c r="O513" s="4245">
        <f t="shared" ref="O513:O544" si="108">SUM(E513:N513)</f>
        <v>0</v>
      </c>
      <c r="P513" s="4268">
        <f>MIN('WW Plan'!G170,'WW Plan'!G174,'WW Plan'!G178)</f>
        <v>0</v>
      </c>
      <c r="Q513" s="4268">
        <f>MAX('WW Plan'!H170,'WW Plan'!H174,'WW Plan'!H178)</f>
        <v>0</v>
      </c>
      <c r="R513" s="4241" t="s">
        <v>892</v>
      </c>
      <c r="S513" s="4245">
        <f t="shared" ref="S513:S544" si="109">E188</f>
        <v>0</v>
      </c>
      <c r="T513" s="4238">
        <f t="shared" ref="T513:T544" si="110">U188</f>
        <v>0</v>
      </c>
    </row>
    <row r="514" spans="2:20" x14ac:dyDescent="0.25">
      <c r="B514" s="4070"/>
      <c r="C514" s="4191" t="str">
        <f t="shared" si="83"/>
        <v>Construct new public toilet blocks</v>
      </c>
      <c r="D514" s="4130" t="s">
        <v>780</v>
      </c>
      <c r="E514" s="4150">
        <f t="shared" si="98"/>
        <v>3.6666666666666661</v>
      </c>
      <c r="F514" s="4150">
        <f t="shared" si="99"/>
        <v>3.9233333333333329</v>
      </c>
      <c r="G514" s="4150">
        <f t="shared" si="100"/>
        <v>4.197966666666666</v>
      </c>
      <c r="H514" s="4150">
        <f t="shared" si="101"/>
        <v>0</v>
      </c>
      <c r="I514" s="4150">
        <f t="shared" si="102"/>
        <v>0</v>
      </c>
      <c r="J514" s="4150">
        <f t="shared" si="103"/>
        <v>0</v>
      </c>
      <c r="K514" s="4150">
        <f t="shared" si="104"/>
        <v>0</v>
      </c>
      <c r="L514" s="4150">
        <f t="shared" si="105"/>
        <v>0</v>
      </c>
      <c r="M514" s="4150">
        <f t="shared" si="106"/>
        <v>0</v>
      </c>
      <c r="N514" s="4266">
        <f t="shared" si="107"/>
        <v>0</v>
      </c>
      <c r="O514" s="4267">
        <f t="shared" si="108"/>
        <v>11.787966666666666</v>
      </c>
      <c r="P514" s="4268">
        <f>MIN('WW Plan'!G190,'WW Plan'!G194,'WW Plan'!G198)</f>
        <v>2015</v>
      </c>
      <c r="Q514" s="4268">
        <f>MAX('WW Plan'!H190,'WW Plan'!H194,'WW Plan'!H198)</f>
        <v>2017</v>
      </c>
      <c r="R514" s="4269" t="s">
        <v>892</v>
      </c>
      <c r="S514" s="4267">
        <f t="shared" si="109"/>
        <v>11.787966666666666</v>
      </c>
      <c r="T514" s="4150">
        <f t="shared" si="110"/>
        <v>0</v>
      </c>
    </row>
    <row r="515" spans="2:20" x14ac:dyDescent="0.25">
      <c r="C515" s="4232" t="str">
        <f t="shared" si="83"/>
        <v xml:space="preserve">Service levels &amp; quality </v>
      </c>
      <c r="D515" s="4233"/>
      <c r="E515" s="4233"/>
      <c r="F515" s="4233"/>
      <c r="G515" s="4233"/>
      <c r="H515" s="4233"/>
      <c r="I515" s="4233"/>
      <c r="J515" s="4233"/>
      <c r="K515" s="4233"/>
      <c r="L515" s="4233"/>
      <c r="M515" s="4233"/>
      <c r="N515" s="4233"/>
      <c r="O515" s="4248"/>
      <c r="P515" s="4249"/>
      <c r="Q515" s="4249"/>
      <c r="R515" s="4250" t="s">
        <v>892</v>
      </c>
      <c r="S515" s="4248">
        <f t="shared" si="109"/>
        <v>0</v>
      </c>
      <c r="T515" s="4273">
        <f t="shared" si="110"/>
        <v>0</v>
      </c>
    </row>
    <row r="516" spans="2:20" ht="30" x14ac:dyDescent="0.25">
      <c r="C516" s="4264" t="str">
        <f t="shared" si="83"/>
        <v>Process improvement for new sewerage connection applications</v>
      </c>
      <c r="D516" s="4237" t="s">
        <v>779</v>
      </c>
      <c r="E516" s="4238">
        <f t="shared" si="98"/>
        <v>0</v>
      </c>
      <c r="F516" s="4238">
        <f t="shared" si="99"/>
        <v>0</v>
      </c>
      <c r="G516" s="4238">
        <f t="shared" si="100"/>
        <v>0</v>
      </c>
      <c r="H516" s="4238">
        <f t="shared" si="101"/>
        <v>0</v>
      </c>
      <c r="I516" s="4238">
        <f t="shared" si="102"/>
        <v>0</v>
      </c>
      <c r="J516" s="4238">
        <f t="shared" si="103"/>
        <v>0</v>
      </c>
      <c r="K516" s="4238">
        <f t="shared" si="104"/>
        <v>0</v>
      </c>
      <c r="L516" s="4238">
        <f t="shared" si="105"/>
        <v>0</v>
      </c>
      <c r="M516" s="4238">
        <f t="shared" si="106"/>
        <v>0</v>
      </c>
      <c r="N516" s="4238">
        <f t="shared" si="107"/>
        <v>0</v>
      </c>
      <c r="O516" s="4245">
        <f t="shared" si="108"/>
        <v>0</v>
      </c>
      <c r="P516" s="4265">
        <f>$E$447</f>
        <v>2015</v>
      </c>
      <c r="Q516" s="4265">
        <f>$E$447</f>
        <v>2015</v>
      </c>
      <c r="R516" s="4241" t="s">
        <v>892</v>
      </c>
      <c r="S516" s="4245">
        <f t="shared" si="109"/>
        <v>0</v>
      </c>
      <c r="T516" s="4238">
        <f t="shared" si="110"/>
        <v>0</v>
      </c>
    </row>
    <row r="517" spans="2:20" ht="30" x14ac:dyDescent="0.25">
      <c r="C517" s="4264" t="str">
        <f t="shared" si="83"/>
        <v>Improve processes for regular cleaning of drains and sewers</v>
      </c>
      <c r="D517" s="4237" t="s">
        <v>779</v>
      </c>
      <c r="E517" s="4238">
        <f t="shared" si="98"/>
        <v>0</v>
      </c>
      <c r="F517" s="4238">
        <f t="shared" si="99"/>
        <v>0</v>
      </c>
      <c r="G517" s="4238">
        <f t="shared" si="100"/>
        <v>0</v>
      </c>
      <c r="H517" s="4238">
        <f t="shared" si="101"/>
        <v>0</v>
      </c>
      <c r="I517" s="4238">
        <f t="shared" si="102"/>
        <v>0</v>
      </c>
      <c r="J517" s="4238">
        <f t="shared" si="103"/>
        <v>0</v>
      </c>
      <c r="K517" s="4238">
        <f t="shared" si="104"/>
        <v>0</v>
      </c>
      <c r="L517" s="4238">
        <f t="shared" si="105"/>
        <v>0</v>
      </c>
      <c r="M517" s="4238">
        <f t="shared" si="106"/>
        <v>0</v>
      </c>
      <c r="N517" s="4271">
        <f t="shared" si="107"/>
        <v>0</v>
      </c>
      <c r="O517" s="4245">
        <f t="shared" si="108"/>
        <v>0</v>
      </c>
      <c r="P517" s="4265">
        <f>$E$447</f>
        <v>2015</v>
      </c>
      <c r="Q517" s="4265">
        <f>$E$447</f>
        <v>2015</v>
      </c>
      <c r="R517" s="4241" t="s">
        <v>892</v>
      </c>
      <c r="S517" s="4245">
        <f t="shared" si="109"/>
        <v>0</v>
      </c>
      <c r="T517" s="4238">
        <f t="shared" si="110"/>
        <v>0</v>
      </c>
    </row>
    <row r="518" spans="2:20" x14ac:dyDescent="0.25">
      <c r="C518" s="4264" t="str">
        <f t="shared" si="83"/>
        <v xml:space="preserve">Regularise unauthorised sewerage connections </v>
      </c>
      <c r="D518" s="4237" t="s">
        <v>781</v>
      </c>
      <c r="E518" s="4238">
        <f t="shared" si="98"/>
        <v>0</v>
      </c>
      <c r="F518" s="4238">
        <f t="shared" si="99"/>
        <v>0</v>
      </c>
      <c r="G518" s="4238">
        <f t="shared" si="100"/>
        <v>0</v>
      </c>
      <c r="H518" s="4238">
        <f t="shared" si="101"/>
        <v>0</v>
      </c>
      <c r="I518" s="4238">
        <f t="shared" si="102"/>
        <v>0</v>
      </c>
      <c r="J518" s="4238">
        <f t="shared" si="103"/>
        <v>0</v>
      </c>
      <c r="K518" s="4238">
        <f t="shared" si="104"/>
        <v>0</v>
      </c>
      <c r="L518" s="4238">
        <f t="shared" si="105"/>
        <v>0</v>
      </c>
      <c r="M518" s="4238">
        <f t="shared" si="106"/>
        <v>0</v>
      </c>
      <c r="N518" s="4238">
        <f t="shared" si="107"/>
        <v>0</v>
      </c>
      <c r="O518" s="4245">
        <f t="shared" si="108"/>
        <v>0</v>
      </c>
      <c r="P518" s="4265">
        <f>'WW Plan'!G213</f>
        <v>0</v>
      </c>
      <c r="Q518" s="4265">
        <f>'WW Plan'!H213</f>
        <v>0</v>
      </c>
      <c r="R518" s="4241" t="s">
        <v>892</v>
      </c>
      <c r="S518" s="4245">
        <f t="shared" si="109"/>
        <v>0</v>
      </c>
      <c r="T518" s="4238">
        <f t="shared" si="110"/>
        <v>0</v>
      </c>
    </row>
    <row r="519" spans="2:20" ht="30" x14ac:dyDescent="0.25">
      <c r="C519" s="4264" t="str">
        <f t="shared" si="83"/>
        <v>Increase connections using existing sewerage network</v>
      </c>
      <c r="D519" s="4237" t="s">
        <v>781</v>
      </c>
      <c r="E519" s="4238">
        <f t="shared" si="98"/>
        <v>0</v>
      </c>
      <c r="F519" s="4238">
        <f t="shared" si="99"/>
        <v>0</v>
      </c>
      <c r="G519" s="4238">
        <f t="shared" si="100"/>
        <v>0</v>
      </c>
      <c r="H519" s="4238">
        <f t="shared" si="101"/>
        <v>0</v>
      </c>
      <c r="I519" s="4238">
        <f t="shared" si="102"/>
        <v>0</v>
      </c>
      <c r="J519" s="4238">
        <f t="shared" si="103"/>
        <v>0</v>
      </c>
      <c r="K519" s="4238">
        <f t="shared" si="104"/>
        <v>0</v>
      </c>
      <c r="L519" s="4238">
        <f t="shared" si="105"/>
        <v>0</v>
      </c>
      <c r="M519" s="4238">
        <f t="shared" si="106"/>
        <v>0</v>
      </c>
      <c r="N519" s="4238">
        <f t="shared" si="107"/>
        <v>0</v>
      </c>
      <c r="O519" s="4245">
        <f t="shared" si="108"/>
        <v>0</v>
      </c>
      <c r="P519" s="4265">
        <f>'WW Plan'!G217</f>
        <v>0</v>
      </c>
      <c r="Q519" s="4265">
        <f>'WW Plan'!H217</f>
        <v>0</v>
      </c>
      <c r="R519" s="4241" t="s">
        <v>892</v>
      </c>
      <c r="S519" s="4245">
        <f t="shared" si="109"/>
        <v>0</v>
      </c>
      <c r="T519" s="4238">
        <f t="shared" si="110"/>
        <v>0</v>
      </c>
    </row>
    <row r="520" spans="2:20" ht="30" x14ac:dyDescent="0.25">
      <c r="C520" s="4274" t="str">
        <f t="shared" si="83"/>
        <v>Improve existing sewerage network and plug leakages</v>
      </c>
      <c r="D520" s="4237" t="s">
        <v>781</v>
      </c>
      <c r="E520" s="4238">
        <f t="shared" si="98"/>
        <v>0</v>
      </c>
      <c r="F520" s="4238">
        <f t="shared" si="99"/>
        <v>0</v>
      </c>
      <c r="G520" s="4238">
        <f t="shared" si="100"/>
        <v>0</v>
      </c>
      <c r="H520" s="4238">
        <f t="shared" si="101"/>
        <v>0</v>
      </c>
      <c r="I520" s="4238">
        <f t="shared" si="102"/>
        <v>0</v>
      </c>
      <c r="J520" s="4238">
        <f t="shared" si="103"/>
        <v>0</v>
      </c>
      <c r="K520" s="4238">
        <f t="shared" si="104"/>
        <v>0</v>
      </c>
      <c r="L520" s="4238">
        <f t="shared" si="105"/>
        <v>0</v>
      </c>
      <c r="M520" s="4238">
        <f t="shared" si="106"/>
        <v>0</v>
      </c>
      <c r="N520" s="4271">
        <f t="shared" si="107"/>
        <v>0</v>
      </c>
      <c r="O520" s="4245">
        <f t="shared" si="108"/>
        <v>0</v>
      </c>
      <c r="P520" s="4265">
        <f>'WW Plan'!G225</f>
        <v>0</v>
      </c>
      <c r="Q520" s="4265">
        <f>'WW Plan'!H225</f>
        <v>0</v>
      </c>
      <c r="R520" s="4241" t="s">
        <v>892</v>
      </c>
      <c r="S520" s="4245">
        <f t="shared" si="109"/>
        <v>0</v>
      </c>
      <c r="T520" s="4238">
        <f t="shared" si="110"/>
        <v>0</v>
      </c>
    </row>
    <row r="521" spans="2:20" ht="30" x14ac:dyDescent="0.25">
      <c r="C521" s="4274" t="str">
        <f t="shared" si="83"/>
        <v>Increase septage collection with existing suction emptier trucks</v>
      </c>
      <c r="D521" s="4237" t="s">
        <v>781</v>
      </c>
      <c r="E521" s="4238">
        <f t="shared" si="98"/>
        <v>0</v>
      </c>
      <c r="F521" s="4238">
        <f t="shared" si="99"/>
        <v>0</v>
      </c>
      <c r="G521" s="4238">
        <f t="shared" si="100"/>
        <v>0</v>
      </c>
      <c r="H521" s="4238">
        <f t="shared" si="101"/>
        <v>0</v>
      </c>
      <c r="I521" s="4238">
        <f t="shared" si="102"/>
        <v>0</v>
      </c>
      <c r="J521" s="4238">
        <f t="shared" si="103"/>
        <v>0</v>
      </c>
      <c r="K521" s="4238">
        <f t="shared" si="104"/>
        <v>0</v>
      </c>
      <c r="L521" s="4238">
        <f t="shared" si="105"/>
        <v>0</v>
      </c>
      <c r="M521" s="4238">
        <f t="shared" si="106"/>
        <v>0</v>
      </c>
      <c r="N521" s="4238">
        <f t="shared" si="107"/>
        <v>0</v>
      </c>
      <c r="O521" s="4245">
        <f t="shared" si="108"/>
        <v>0</v>
      </c>
      <c r="P521" s="4265">
        <f>'WW Plan'!G231</f>
        <v>2015</v>
      </c>
      <c r="Q521" s="4265">
        <f>'WW Plan'!H231</f>
        <v>2015</v>
      </c>
      <c r="R521" s="4241" t="s">
        <v>892</v>
      </c>
      <c r="S521" s="4245">
        <f t="shared" si="109"/>
        <v>0</v>
      </c>
      <c r="T521" s="4238">
        <f t="shared" si="110"/>
        <v>0</v>
      </c>
    </row>
    <row r="522" spans="2:20" x14ac:dyDescent="0.25">
      <c r="C522" s="4274" t="str">
        <f t="shared" si="83"/>
        <v>Increase efficiency of all existing treatment plants</v>
      </c>
      <c r="D522" s="4237" t="s">
        <v>781</v>
      </c>
      <c r="E522" s="4238">
        <f t="shared" si="98"/>
        <v>0</v>
      </c>
      <c r="F522" s="4238">
        <f t="shared" si="99"/>
        <v>0</v>
      </c>
      <c r="G522" s="4238">
        <f t="shared" si="100"/>
        <v>0</v>
      </c>
      <c r="H522" s="4238">
        <f t="shared" si="101"/>
        <v>0</v>
      </c>
      <c r="I522" s="4238">
        <f t="shared" si="102"/>
        <v>0</v>
      </c>
      <c r="J522" s="4238">
        <f t="shared" si="103"/>
        <v>0</v>
      </c>
      <c r="K522" s="4238">
        <f t="shared" si="104"/>
        <v>0</v>
      </c>
      <c r="L522" s="4238">
        <f t="shared" si="105"/>
        <v>0</v>
      </c>
      <c r="M522" s="4238">
        <f t="shared" si="106"/>
        <v>0</v>
      </c>
      <c r="N522" s="4271">
        <f t="shared" si="107"/>
        <v>0</v>
      </c>
      <c r="O522" s="4245">
        <f t="shared" si="108"/>
        <v>0</v>
      </c>
      <c r="P522" s="4265">
        <f>'WW Plan'!G241</f>
        <v>0</v>
      </c>
      <c r="Q522" s="4265">
        <f>'WW Plan'!H241</f>
        <v>0</v>
      </c>
      <c r="R522" s="4241" t="s">
        <v>892</v>
      </c>
      <c r="S522" s="4245">
        <f t="shared" si="109"/>
        <v>0</v>
      </c>
      <c r="T522" s="4238">
        <f t="shared" si="110"/>
        <v>0</v>
      </c>
    </row>
    <row r="523" spans="2:20" ht="30" x14ac:dyDescent="0.25">
      <c r="C523" s="4274" t="str">
        <f t="shared" si="83"/>
        <v>Upgrade open surface drains to closed drains for storm water drainage</v>
      </c>
      <c r="D523" s="4237" t="s">
        <v>781</v>
      </c>
      <c r="E523" s="4238">
        <f t="shared" si="98"/>
        <v>0</v>
      </c>
      <c r="F523" s="4238">
        <f t="shared" si="99"/>
        <v>0</v>
      </c>
      <c r="G523" s="4238">
        <f t="shared" si="100"/>
        <v>0</v>
      </c>
      <c r="H523" s="4238">
        <f t="shared" si="101"/>
        <v>0</v>
      </c>
      <c r="I523" s="4238">
        <f t="shared" si="102"/>
        <v>0</v>
      </c>
      <c r="J523" s="4238">
        <f t="shared" si="103"/>
        <v>0</v>
      </c>
      <c r="K523" s="4238">
        <f t="shared" si="104"/>
        <v>0</v>
      </c>
      <c r="L523" s="4238">
        <f t="shared" si="105"/>
        <v>0</v>
      </c>
      <c r="M523" s="4238">
        <f t="shared" si="106"/>
        <v>0</v>
      </c>
      <c r="N523" s="4271">
        <f t="shared" si="107"/>
        <v>0</v>
      </c>
      <c r="O523" s="4245">
        <f t="shared" si="108"/>
        <v>0</v>
      </c>
      <c r="P523" s="4265">
        <f>'WW Plan'!G256</f>
        <v>0</v>
      </c>
      <c r="Q523" s="4265">
        <f>'WW Plan'!H256</f>
        <v>0</v>
      </c>
      <c r="R523" s="4241" t="s">
        <v>892</v>
      </c>
      <c r="S523" s="4245">
        <f t="shared" si="109"/>
        <v>0</v>
      </c>
      <c r="T523" s="4238">
        <f t="shared" si="110"/>
        <v>0</v>
      </c>
    </row>
    <row r="524" spans="2:20" s="4195" customFormat="1" x14ac:dyDescent="0.25">
      <c r="B524" s="4275"/>
      <c r="C524" s="4274" t="str">
        <f t="shared" si="83"/>
        <v>Reduce water logging/flooding in city</v>
      </c>
      <c r="D524" s="4264" t="s">
        <v>781</v>
      </c>
      <c r="E524" s="4238">
        <f t="shared" si="98"/>
        <v>0</v>
      </c>
      <c r="F524" s="4238">
        <f t="shared" si="99"/>
        <v>0</v>
      </c>
      <c r="G524" s="4238">
        <f t="shared" si="100"/>
        <v>0</v>
      </c>
      <c r="H524" s="4238">
        <f t="shared" si="101"/>
        <v>0</v>
      </c>
      <c r="I524" s="4238">
        <f t="shared" si="102"/>
        <v>0</v>
      </c>
      <c r="J524" s="4238">
        <f t="shared" si="103"/>
        <v>0</v>
      </c>
      <c r="K524" s="4238">
        <f t="shared" si="104"/>
        <v>0</v>
      </c>
      <c r="L524" s="4238">
        <f t="shared" si="105"/>
        <v>0</v>
      </c>
      <c r="M524" s="4238">
        <f t="shared" si="106"/>
        <v>0</v>
      </c>
      <c r="N524" s="4238">
        <f t="shared" si="107"/>
        <v>0</v>
      </c>
      <c r="O524" s="4245">
        <f t="shared" si="108"/>
        <v>0</v>
      </c>
      <c r="P524" s="4265">
        <f>'WW Plan'!G264</f>
        <v>0</v>
      </c>
      <c r="Q524" s="4265">
        <f>'WW Plan'!H264</f>
        <v>0</v>
      </c>
      <c r="R524" s="4241" t="s">
        <v>892</v>
      </c>
      <c r="S524" s="4245">
        <f t="shared" si="109"/>
        <v>0</v>
      </c>
      <c r="T524" s="4238">
        <f t="shared" si="110"/>
        <v>0</v>
      </c>
    </row>
    <row r="525" spans="2:20" x14ac:dyDescent="0.25">
      <c r="C525" s="4274" t="str">
        <f t="shared" si="83"/>
        <v xml:space="preserve">Provide soak pits for wastewater disposal </v>
      </c>
      <c r="D525" s="4237" t="s">
        <v>780</v>
      </c>
      <c r="E525" s="4238">
        <f t="shared" si="98"/>
        <v>0</v>
      </c>
      <c r="F525" s="4238">
        <f t="shared" si="99"/>
        <v>0</v>
      </c>
      <c r="G525" s="4238">
        <f t="shared" si="100"/>
        <v>0</v>
      </c>
      <c r="H525" s="4238">
        <f t="shared" si="101"/>
        <v>0</v>
      </c>
      <c r="I525" s="4238">
        <f t="shared" si="102"/>
        <v>0</v>
      </c>
      <c r="J525" s="4238">
        <f t="shared" si="103"/>
        <v>0</v>
      </c>
      <c r="K525" s="4238">
        <f t="shared" si="104"/>
        <v>0</v>
      </c>
      <c r="L525" s="4238">
        <f t="shared" si="105"/>
        <v>0</v>
      </c>
      <c r="M525" s="4238">
        <f t="shared" si="106"/>
        <v>0</v>
      </c>
      <c r="N525" s="4238">
        <f t="shared" si="107"/>
        <v>0</v>
      </c>
      <c r="O525" s="4245">
        <f t="shared" si="108"/>
        <v>0</v>
      </c>
      <c r="P525" s="4265">
        <f>'WW Plan'!G275</f>
        <v>0</v>
      </c>
      <c r="Q525" s="4265">
        <f>'WW Plan'!H275</f>
        <v>0</v>
      </c>
      <c r="R525" s="4241" t="s">
        <v>892</v>
      </c>
      <c r="S525" s="4245">
        <f t="shared" si="109"/>
        <v>0</v>
      </c>
      <c r="T525" s="4238">
        <f t="shared" si="110"/>
        <v>0</v>
      </c>
    </row>
    <row r="526" spans="2:20" x14ac:dyDescent="0.25">
      <c r="C526" s="4274" t="str">
        <f t="shared" si="83"/>
        <v>Lay new settled sewer for wastewater conveyance</v>
      </c>
      <c r="D526" s="4237" t="s">
        <v>780</v>
      </c>
      <c r="E526" s="4238">
        <f t="shared" si="98"/>
        <v>0</v>
      </c>
      <c r="F526" s="4238">
        <f t="shared" si="99"/>
        <v>0</v>
      </c>
      <c r="G526" s="4238">
        <f t="shared" si="100"/>
        <v>0</v>
      </c>
      <c r="H526" s="4238">
        <f t="shared" si="101"/>
        <v>0</v>
      </c>
      <c r="I526" s="4238">
        <f t="shared" si="102"/>
        <v>0</v>
      </c>
      <c r="J526" s="4238">
        <f t="shared" si="103"/>
        <v>0</v>
      </c>
      <c r="K526" s="4238">
        <f t="shared" si="104"/>
        <v>0</v>
      </c>
      <c r="L526" s="4238">
        <f t="shared" si="105"/>
        <v>0</v>
      </c>
      <c r="M526" s="4238">
        <f t="shared" si="106"/>
        <v>0</v>
      </c>
      <c r="N526" s="4271">
        <f t="shared" si="107"/>
        <v>0</v>
      </c>
      <c r="O526" s="4245">
        <f t="shared" si="108"/>
        <v>0</v>
      </c>
      <c r="P526" s="4265">
        <f>'WW Plan'!G282</f>
        <v>0</v>
      </c>
      <c r="Q526" s="4265">
        <f>'WW Plan'!H282</f>
        <v>0</v>
      </c>
      <c r="R526" s="4241" t="s">
        <v>892</v>
      </c>
      <c r="S526" s="4245">
        <f t="shared" si="109"/>
        <v>0</v>
      </c>
      <c r="T526" s="4238">
        <f t="shared" si="110"/>
        <v>0</v>
      </c>
    </row>
    <row r="527" spans="2:20" ht="30" x14ac:dyDescent="0.25">
      <c r="B527" s="4070"/>
      <c r="C527" s="4274" t="str">
        <f t="shared" si="83"/>
        <v>Expand or lay new sewerage network for wastewater conveyance</v>
      </c>
      <c r="D527" s="4130" t="s">
        <v>780</v>
      </c>
      <c r="E527" s="4150">
        <f t="shared" si="98"/>
        <v>0</v>
      </c>
      <c r="F527" s="4150">
        <f t="shared" si="99"/>
        <v>0</v>
      </c>
      <c r="G527" s="4150">
        <f t="shared" si="100"/>
        <v>0</v>
      </c>
      <c r="H527" s="4150">
        <f t="shared" si="101"/>
        <v>0</v>
      </c>
      <c r="I527" s="4150">
        <f t="shared" si="102"/>
        <v>0</v>
      </c>
      <c r="J527" s="4150">
        <f t="shared" si="103"/>
        <v>0</v>
      </c>
      <c r="K527" s="4150">
        <f t="shared" si="104"/>
        <v>0</v>
      </c>
      <c r="L527" s="4150">
        <f t="shared" si="105"/>
        <v>0</v>
      </c>
      <c r="M527" s="4150">
        <f t="shared" si="106"/>
        <v>0</v>
      </c>
      <c r="N527" s="4266">
        <f t="shared" si="107"/>
        <v>0</v>
      </c>
      <c r="O527" s="4267">
        <f t="shared" si="108"/>
        <v>0</v>
      </c>
      <c r="P527" s="4265">
        <f>'WW Plan'!G293</f>
        <v>0</v>
      </c>
      <c r="Q527" s="4265">
        <f>'WW Plan'!H293</f>
        <v>0</v>
      </c>
      <c r="R527" s="4269" t="s">
        <v>892</v>
      </c>
      <c r="S527" s="4267">
        <f t="shared" si="109"/>
        <v>0</v>
      </c>
      <c r="T527" s="4150">
        <f t="shared" si="110"/>
        <v>0</v>
      </c>
    </row>
    <row r="528" spans="2:20" x14ac:dyDescent="0.25">
      <c r="C528" s="4274" t="str">
        <f t="shared" si="83"/>
        <v>Procure new suction emptier trucks</v>
      </c>
      <c r="D528" s="4237" t="s">
        <v>780</v>
      </c>
      <c r="E528" s="4238">
        <f t="shared" si="98"/>
        <v>12</v>
      </c>
      <c r="F528" s="4238">
        <f t="shared" si="99"/>
        <v>12.84</v>
      </c>
      <c r="G528" s="4238">
        <f t="shared" si="100"/>
        <v>0</v>
      </c>
      <c r="H528" s="4238">
        <f t="shared" si="101"/>
        <v>0</v>
      </c>
      <c r="I528" s="4238">
        <f t="shared" si="102"/>
        <v>0</v>
      </c>
      <c r="J528" s="4238">
        <f t="shared" si="103"/>
        <v>0</v>
      </c>
      <c r="K528" s="4238">
        <f t="shared" si="104"/>
        <v>0</v>
      </c>
      <c r="L528" s="4238">
        <f t="shared" si="105"/>
        <v>0</v>
      </c>
      <c r="M528" s="4238">
        <f t="shared" si="106"/>
        <v>0</v>
      </c>
      <c r="N528" s="4271">
        <f t="shared" si="107"/>
        <v>0</v>
      </c>
      <c r="O528" s="4245">
        <f t="shared" si="108"/>
        <v>24.84</v>
      </c>
      <c r="P528" s="4265">
        <f>'WW Plan'!G308</f>
        <v>2015</v>
      </c>
      <c r="Q528" s="4265">
        <f>'WW Plan'!H308</f>
        <v>2016</v>
      </c>
      <c r="R528" s="4241" t="s">
        <v>892</v>
      </c>
      <c r="S528" s="4245">
        <f t="shared" si="109"/>
        <v>24.84</v>
      </c>
      <c r="T528" s="4238">
        <f t="shared" si="110"/>
        <v>0</v>
      </c>
    </row>
    <row r="529" spans="3:20" x14ac:dyDescent="0.25">
      <c r="C529" s="4274" t="str">
        <f t="shared" si="83"/>
        <v>Construct/augment fecal sludge treatment plant</v>
      </c>
      <c r="D529" s="4237" t="s">
        <v>780</v>
      </c>
      <c r="E529" s="4238">
        <f t="shared" si="98"/>
        <v>45</v>
      </c>
      <c r="F529" s="4238">
        <f t="shared" si="99"/>
        <v>48.15</v>
      </c>
      <c r="G529" s="4238">
        <f t="shared" si="100"/>
        <v>0</v>
      </c>
      <c r="H529" s="4238">
        <f t="shared" si="101"/>
        <v>0</v>
      </c>
      <c r="I529" s="4238">
        <f t="shared" si="102"/>
        <v>0</v>
      </c>
      <c r="J529" s="4238">
        <f t="shared" si="103"/>
        <v>0</v>
      </c>
      <c r="K529" s="4238">
        <f t="shared" si="104"/>
        <v>0</v>
      </c>
      <c r="L529" s="4238">
        <f t="shared" si="105"/>
        <v>0</v>
      </c>
      <c r="M529" s="4238">
        <f t="shared" si="106"/>
        <v>0</v>
      </c>
      <c r="N529" s="4271">
        <f t="shared" si="107"/>
        <v>0</v>
      </c>
      <c r="O529" s="4245">
        <f t="shared" si="108"/>
        <v>93.15</v>
      </c>
      <c r="P529" s="4265">
        <f>'WW Plan'!G323</f>
        <v>2015</v>
      </c>
      <c r="Q529" s="4265">
        <f>'WW Plan'!H323</f>
        <v>2016</v>
      </c>
      <c r="R529" s="4241" t="s">
        <v>892</v>
      </c>
      <c r="S529" s="4245">
        <f t="shared" si="109"/>
        <v>93.15</v>
      </c>
      <c r="T529" s="4238">
        <f t="shared" si="110"/>
        <v>0</v>
      </c>
    </row>
    <row r="530" spans="3:20" ht="30" x14ac:dyDescent="0.25">
      <c r="C530" s="4274" t="str">
        <f t="shared" si="83"/>
        <v xml:space="preserve">Construct/augment treatment plant for effluent and sullage </v>
      </c>
      <c r="D530" s="4237" t="s">
        <v>780</v>
      </c>
      <c r="E530" s="4238">
        <f t="shared" si="98"/>
        <v>0</v>
      </c>
      <c r="F530" s="4238">
        <f t="shared" si="99"/>
        <v>0</v>
      </c>
      <c r="G530" s="4238">
        <f t="shared" si="100"/>
        <v>0</v>
      </c>
      <c r="H530" s="4238">
        <f t="shared" si="101"/>
        <v>0</v>
      </c>
      <c r="I530" s="4238">
        <f t="shared" si="102"/>
        <v>0</v>
      </c>
      <c r="J530" s="4238">
        <f t="shared" si="103"/>
        <v>0</v>
      </c>
      <c r="K530" s="4238">
        <f t="shared" si="104"/>
        <v>0</v>
      </c>
      <c r="L530" s="4238">
        <f t="shared" si="105"/>
        <v>0</v>
      </c>
      <c r="M530" s="4238">
        <f t="shared" si="106"/>
        <v>0</v>
      </c>
      <c r="N530" s="4271">
        <f t="shared" si="107"/>
        <v>0</v>
      </c>
      <c r="O530" s="4245">
        <f t="shared" si="108"/>
        <v>0</v>
      </c>
      <c r="P530" s="4265">
        <f>'WW Plan'!G332</f>
        <v>0</v>
      </c>
      <c r="Q530" s="4265">
        <f>'WW Plan'!H332</f>
        <v>0</v>
      </c>
      <c r="R530" s="4241" t="s">
        <v>892</v>
      </c>
      <c r="S530" s="4245">
        <f t="shared" si="109"/>
        <v>0</v>
      </c>
      <c r="T530" s="4238">
        <f t="shared" si="110"/>
        <v>0</v>
      </c>
    </row>
    <row r="531" spans="3:20" x14ac:dyDescent="0.25">
      <c r="C531" s="4274" t="str">
        <f t="shared" si="83"/>
        <v xml:space="preserve">Construct/augment sewage treatment plant </v>
      </c>
      <c r="D531" s="4237" t="s">
        <v>780</v>
      </c>
      <c r="E531" s="4238">
        <f t="shared" si="98"/>
        <v>0</v>
      </c>
      <c r="F531" s="4238">
        <f t="shared" si="99"/>
        <v>0</v>
      </c>
      <c r="G531" s="4238">
        <f t="shared" si="100"/>
        <v>0</v>
      </c>
      <c r="H531" s="4238">
        <f t="shared" si="101"/>
        <v>0</v>
      </c>
      <c r="I531" s="4238">
        <f t="shared" si="102"/>
        <v>0</v>
      </c>
      <c r="J531" s="4238">
        <f t="shared" si="103"/>
        <v>0</v>
      </c>
      <c r="K531" s="4238">
        <f t="shared" si="104"/>
        <v>0</v>
      </c>
      <c r="L531" s="4238">
        <f t="shared" si="105"/>
        <v>0</v>
      </c>
      <c r="M531" s="4238">
        <f t="shared" si="106"/>
        <v>0</v>
      </c>
      <c r="N531" s="4271">
        <f t="shared" si="107"/>
        <v>0</v>
      </c>
      <c r="O531" s="4245">
        <f t="shared" si="108"/>
        <v>0</v>
      </c>
      <c r="P531" s="4265">
        <f>'WW Plan'!G341</f>
        <v>0</v>
      </c>
      <c r="Q531" s="4265">
        <f>'WW Plan'!H341</f>
        <v>0</v>
      </c>
      <c r="R531" s="4241" t="s">
        <v>892</v>
      </c>
      <c r="S531" s="4245">
        <f t="shared" si="109"/>
        <v>0</v>
      </c>
      <c r="T531" s="4238">
        <f t="shared" si="110"/>
        <v>0</v>
      </c>
    </row>
    <row r="532" spans="3:20" ht="30" x14ac:dyDescent="0.25">
      <c r="C532" s="4274" t="str">
        <f t="shared" si="83"/>
        <v>Construct closed surface drains for storm water drainage</v>
      </c>
      <c r="D532" s="4237" t="s">
        <v>780</v>
      </c>
      <c r="E532" s="4238">
        <f t="shared" si="98"/>
        <v>0</v>
      </c>
      <c r="F532" s="4238">
        <f t="shared" si="99"/>
        <v>0</v>
      </c>
      <c r="G532" s="4238">
        <f t="shared" si="100"/>
        <v>0</v>
      </c>
      <c r="H532" s="4238">
        <f t="shared" si="101"/>
        <v>0</v>
      </c>
      <c r="I532" s="4238">
        <f t="shared" si="102"/>
        <v>0</v>
      </c>
      <c r="J532" s="4238">
        <f t="shared" si="103"/>
        <v>0</v>
      </c>
      <c r="K532" s="4238">
        <f t="shared" si="104"/>
        <v>0</v>
      </c>
      <c r="L532" s="4238">
        <f t="shared" si="105"/>
        <v>0</v>
      </c>
      <c r="M532" s="4238">
        <f t="shared" si="106"/>
        <v>0</v>
      </c>
      <c r="N532" s="4271">
        <f t="shared" si="107"/>
        <v>0</v>
      </c>
      <c r="O532" s="4245">
        <f t="shared" si="108"/>
        <v>0</v>
      </c>
      <c r="P532" s="4265">
        <f>'WW Plan'!G353</f>
        <v>0</v>
      </c>
      <c r="Q532" s="4265">
        <f>'WW Plan'!H353</f>
        <v>0</v>
      </c>
      <c r="R532" s="4241" t="s">
        <v>892</v>
      </c>
      <c r="S532" s="4245">
        <f t="shared" si="109"/>
        <v>0</v>
      </c>
      <c r="T532" s="4238">
        <f t="shared" si="110"/>
        <v>0</v>
      </c>
    </row>
    <row r="533" spans="3:20" x14ac:dyDescent="0.25">
      <c r="C533" s="4232" t="str">
        <f t="shared" si="83"/>
        <v>Eff in services</v>
      </c>
      <c r="D533" s="4233"/>
      <c r="E533" s="4233"/>
      <c r="F533" s="4233"/>
      <c r="G533" s="4233"/>
      <c r="H533" s="4233"/>
      <c r="I533" s="4233"/>
      <c r="J533" s="4233"/>
      <c r="K533" s="4233"/>
      <c r="L533" s="4233"/>
      <c r="M533" s="4233"/>
      <c r="N533" s="4233"/>
      <c r="O533" s="4248"/>
      <c r="P533" s="4249"/>
      <c r="Q533" s="4249"/>
      <c r="R533" s="4250"/>
      <c r="S533" s="4248">
        <f t="shared" si="109"/>
        <v>0</v>
      </c>
      <c r="T533" s="4273">
        <f t="shared" si="110"/>
        <v>0</v>
      </c>
    </row>
    <row r="534" spans="3:20" ht="30" x14ac:dyDescent="0.25">
      <c r="C534" s="4264" t="str">
        <f t="shared" si="83"/>
        <v>Improve wastewater and septage quality surveillance</v>
      </c>
      <c r="D534" s="4237" t="s">
        <v>779</v>
      </c>
      <c r="E534" s="4238">
        <f t="shared" si="98"/>
        <v>0</v>
      </c>
      <c r="F534" s="4238">
        <f t="shared" si="99"/>
        <v>0</v>
      </c>
      <c r="G534" s="4238">
        <f t="shared" si="100"/>
        <v>0</v>
      </c>
      <c r="H534" s="4238">
        <f t="shared" si="101"/>
        <v>0</v>
      </c>
      <c r="I534" s="4238">
        <f t="shared" si="102"/>
        <v>0</v>
      </c>
      <c r="J534" s="4238">
        <f t="shared" si="103"/>
        <v>0</v>
      </c>
      <c r="K534" s="4238">
        <f t="shared" si="104"/>
        <v>0</v>
      </c>
      <c r="L534" s="4238">
        <f t="shared" si="105"/>
        <v>0</v>
      </c>
      <c r="M534" s="4238">
        <f t="shared" si="106"/>
        <v>0</v>
      </c>
      <c r="N534" s="4271">
        <f t="shared" si="107"/>
        <v>0</v>
      </c>
      <c r="O534" s="4245">
        <f t="shared" si="108"/>
        <v>0</v>
      </c>
      <c r="P534" s="4265">
        <f>$E$447</f>
        <v>2015</v>
      </c>
      <c r="Q534" s="4265">
        <f>$E$447</f>
        <v>2015</v>
      </c>
      <c r="R534" s="4241" t="s">
        <v>892</v>
      </c>
      <c r="S534" s="4245">
        <f t="shared" si="109"/>
        <v>0</v>
      </c>
      <c r="T534" s="4238">
        <f t="shared" si="110"/>
        <v>0</v>
      </c>
    </row>
    <row r="535" spans="3:20" ht="30" x14ac:dyDescent="0.25">
      <c r="C535" s="4264" t="str">
        <f t="shared" si="83"/>
        <v>Improve processes for management of consumer complaints</v>
      </c>
      <c r="D535" s="4237" t="s">
        <v>779</v>
      </c>
      <c r="E535" s="4238">
        <f t="shared" si="98"/>
        <v>0</v>
      </c>
      <c r="F535" s="4238">
        <f t="shared" si="99"/>
        <v>0</v>
      </c>
      <c r="G535" s="4238">
        <f t="shared" si="100"/>
        <v>0</v>
      </c>
      <c r="H535" s="4238">
        <f t="shared" si="101"/>
        <v>0</v>
      </c>
      <c r="I535" s="4238">
        <f t="shared" si="102"/>
        <v>0</v>
      </c>
      <c r="J535" s="4238">
        <f t="shared" si="103"/>
        <v>0</v>
      </c>
      <c r="K535" s="4238">
        <f t="shared" si="104"/>
        <v>0</v>
      </c>
      <c r="L535" s="4238">
        <f t="shared" si="105"/>
        <v>0</v>
      </c>
      <c r="M535" s="4238">
        <f t="shared" si="106"/>
        <v>0</v>
      </c>
      <c r="N535" s="4271">
        <f t="shared" si="107"/>
        <v>0</v>
      </c>
      <c r="O535" s="4245">
        <f t="shared" si="108"/>
        <v>0</v>
      </c>
      <c r="P535" s="4265">
        <f>$E$447</f>
        <v>2015</v>
      </c>
      <c r="Q535" s="4265">
        <f>$E$447</f>
        <v>2015</v>
      </c>
      <c r="R535" s="4241" t="s">
        <v>892</v>
      </c>
      <c r="S535" s="4245">
        <f t="shared" si="109"/>
        <v>0</v>
      </c>
      <c r="T535" s="4238">
        <f t="shared" si="110"/>
        <v>0</v>
      </c>
    </row>
    <row r="536" spans="3:20" ht="30" x14ac:dyDescent="0.25">
      <c r="C536" s="4264" t="str">
        <f t="shared" si="83"/>
        <v>Increase in reuse/recycling of treated wastewater and septage</v>
      </c>
      <c r="D536" s="4237" t="s">
        <v>781</v>
      </c>
      <c r="E536" s="4238">
        <f t="shared" si="98"/>
        <v>0</v>
      </c>
      <c r="F536" s="4238">
        <f t="shared" si="99"/>
        <v>0</v>
      </c>
      <c r="G536" s="4238">
        <f t="shared" si="100"/>
        <v>0</v>
      </c>
      <c r="H536" s="4238">
        <f t="shared" si="101"/>
        <v>0</v>
      </c>
      <c r="I536" s="4238">
        <f t="shared" si="102"/>
        <v>0</v>
      </c>
      <c r="J536" s="4238">
        <f t="shared" si="103"/>
        <v>0</v>
      </c>
      <c r="K536" s="4238">
        <f t="shared" si="104"/>
        <v>0</v>
      </c>
      <c r="L536" s="4238">
        <f t="shared" si="105"/>
        <v>0</v>
      </c>
      <c r="M536" s="4238">
        <f t="shared" si="106"/>
        <v>0</v>
      </c>
      <c r="N536" s="4271">
        <f t="shared" si="107"/>
        <v>0</v>
      </c>
      <c r="O536" s="4245">
        <f t="shared" si="108"/>
        <v>0</v>
      </c>
      <c r="P536" s="4265">
        <f>MIN('WW Plan'!G372,'WW Plan'!G379,'WW Plan'!G386)</f>
        <v>0</v>
      </c>
      <c r="Q536" s="4265">
        <f>MAX('WW Plan'!H372,'WW Plan'!H379,'WW Plan'!H386)</f>
        <v>0</v>
      </c>
      <c r="R536" s="4241" t="s">
        <v>892</v>
      </c>
      <c r="S536" s="4245">
        <f t="shared" si="109"/>
        <v>0</v>
      </c>
      <c r="T536" s="4238">
        <f t="shared" si="110"/>
        <v>0</v>
      </c>
    </row>
    <row r="537" spans="3:20" ht="30" x14ac:dyDescent="0.25">
      <c r="C537" s="4264" t="str">
        <f t="shared" si="83"/>
        <v>Conduct regular wastewater and septage quality tests at laboratory, if not done</v>
      </c>
      <c r="D537" s="4237" t="s">
        <v>781</v>
      </c>
      <c r="E537" s="4238">
        <f t="shared" si="98"/>
        <v>0</v>
      </c>
      <c r="F537" s="4238">
        <f t="shared" si="99"/>
        <v>0</v>
      </c>
      <c r="G537" s="4238">
        <f t="shared" si="100"/>
        <v>0</v>
      </c>
      <c r="H537" s="4238">
        <f t="shared" si="101"/>
        <v>0</v>
      </c>
      <c r="I537" s="4238">
        <f t="shared" si="102"/>
        <v>0</v>
      </c>
      <c r="J537" s="4238">
        <f t="shared" si="103"/>
        <v>0</v>
      </c>
      <c r="K537" s="4238">
        <f t="shared" si="104"/>
        <v>0</v>
      </c>
      <c r="L537" s="4238">
        <f t="shared" si="105"/>
        <v>0</v>
      </c>
      <c r="M537" s="4238">
        <f t="shared" si="106"/>
        <v>0</v>
      </c>
      <c r="N537" s="4271">
        <f t="shared" si="107"/>
        <v>0</v>
      </c>
      <c r="O537" s="4245">
        <f t="shared" si="108"/>
        <v>0</v>
      </c>
      <c r="P537" s="4265">
        <f>'WW Plan'!G393</f>
        <v>0</v>
      </c>
      <c r="Q537" s="4265">
        <f>'WW Plan'!H393</f>
        <v>0</v>
      </c>
      <c r="R537" s="4241" t="s">
        <v>892</v>
      </c>
      <c r="S537" s="4245">
        <f t="shared" si="109"/>
        <v>0</v>
      </c>
      <c r="T537" s="4238">
        <f t="shared" si="110"/>
        <v>0</v>
      </c>
    </row>
    <row r="538" spans="3:20" x14ac:dyDescent="0.25">
      <c r="C538" s="4264" t="str">
        <f t="shared" si="83"/>
        <v>Improve consumer grievance redressal system</v>
      </c>
      <c r="D538" s="4237" t="s">
        <v>781</v>
      </c>
      <c r="E538" s="4238">
        <f t="shared" si="98"/>
        <v>0</v>
      </c>
      <c r="F538" s="4238">
        <f t="shared" si="99"/>
        <v>0</v>
      </c>
      <c r="G538" s="4238">
        <f t="shared" si="100"/>
        <v>0</v>
      </c>
      <c r="H538" s="4238">
        <f t="shared" si="101"/>
        <v>0</v>
      </c>
      <c r="I538" s="4238">
        <f t="shared" si="102"/>
        <v>0</v>
      </c>
      <c r="J538" s="4238">
        <f t="shared" si="103"/>
        <v>0</v>
      </c>
      <c r="K538" s="4238">
        <f t="shared" si="104"/>
        <v>0</v>
      </c>
      <c r="L538" s="4238">
        <f t="shared" si="105"/>
        <v>0</v>
      </c>
      <c r="M538" s="4238">
        <f t="shared" si="106"/>
        <v>0</v>
      </c>
      <c r="N538" s="4271">
        <f t="shared" si="107"/>
        <v>0</v>
      </c>
      <c r="O538" s="4245">
        <f t="shared" si="108"/>
        <v>0</v>
      </c>
      <c r="P538" s="4265">
        <f>'WW Plan'!G397</f>
        <v>0</v>
      </c>
      <c r="Q538" s="4265">
        <f>'WW Plan'!H397</f>
        <v>0</v>
      </c>
      <c r="R538" s="4241" t="s">
        <v>892</v>
      </c>
      <c r="S538" s="4245">
        <f t="shared" si="109"/>
        <v>0</v>
      </c>
      <c r="T538" s="4238">
        <f t="shared" si="110"/>
        <v>0</v>
      </c>
    </row>
    <row r="539" spans="3:20" x14ac:dyDescent="0.25">
      <c r="C539" s="4232" t="str">
        <f t="shared" si="83"/>
        <v>Financial sustainaibility</v>
      </c>
      <c r="D539" s="4233"/>
      <c r="E539" s="4233"/>
      <c r="F539" s="4233"/>
      <c r="G539" s="4233"/>
      <c r="H539" s="4233"/>
      <c r="I539" s="4233"/>
      <c r="J539" s="4233"/>
      <c r="K539" s="4233"/>
      <c r="L539" s="4233"/>
      <c r="M539" s="4233"/>
      <c r="N539" s="4233"/>
      <c r="O539" s="4248"/>
      <c r="P539" s="4249"/>
      <c r="Q539" s="4249"/>
      <c r="R539" s="4250"/>
      <c r="S539" s="4248">
        <f t="shared" si="109"/>
        <v>0</v>
      </c>
      <c r="T539" s="4273">
        <f t="shared" si="110"/>
        <v>0</v>
      </c>
    </row>
    <row r="540" spans="3:20" x14ac:dyDescent="0.25">
      <c r="C540" s="4264" t="str">
        <f t="shared" si="83"/>
        <v>Improve billing and collection of wastewater bills</v>
      </c>
      <c r="D540" s="4237" t="s">
        <v>779</v>
      </c>
      <c r="E540" s="4238">
        <f t="shared" si="98"/>
        <v>0</v>
      </c>
      <c r="F540" s="4238">
        <f t="shared" si="99"/>
        <v>0</v>
      </c>
      <c r="G540" s="4238">
        <f t="shared" si="100"/>
        <v>0</v>
      </c>
      <c r="H540" s="4238">
        <f t="shared" si="101"/>
        <v>0</v>
      </c>
      <c r="I540" s="4238">
        <f t="shared" si="102"/>
        <v>0</v>
      </c>
      <c r="J540" s="4238">
        <f t="shared" si="103"/>
        <v>0</v>
      </c>
      <c r="K540" s="4238">
        <f t="shared" si="104"/>
        <v>0</v>
      </c>
      <c r="L540" s="4238">
        <f t="shared" si="105"/>
        <v>0</v>
      </c>
      <c r="M540" s="4238">
        <f t="shared" si="106"/>
        <v>0</v>
      </c>
      <c r="N540" s="4271">
        <f t="shared" si="107"/>
        <v>0</v>
      </c>
      <c r="O540" s="4245">
        <f t="shared" si="108"/>
        <v>0</v>
      </c>
      <c r="P540" s="4265">
        <f>$E$447</f>
        <v>2015</v>
      </c>
      <c r="Q540" s="4265">
        <f>$E$447</f>
        <v>2015</v>
      </c>
      <c r="R540" s="4241" t="s">
        <v>892</v>
      </c>
      <c r="S540" s="4245">
        <f t="shared" si="109"/>
        <v>0</v>
      </c>
      <c r="T540" s="4238">
        <f t="shared" si="110"/>
        <v>0</v>
      </c>
    </row>
    <row r="541" spans="3:20" ht="30" x14ac:dyDescent="0.25">
      <c r="C541" s="4264" t="str">
        <f t="shared" si="83"/>
        <v>Improve collection efficiency of wastewater charges and taxes</v>
      </c>
      <c r="D541" s="4237" t="s">
        <v>781</v>
      </c>
      <c r="E541" s="4238">
        <f t="shared" si="98"/>
        <v>0</v>
      </c>
      <c r="F541" s="4238">
        <f t="shared" si="99"/>
        <v>0</v>
      </c>
      <c r="G541" s="4238">
        <f t="shared" si="100"/>
        <v>0</v>
      </c>
      <c r="H541" s="4238">
        <f t="shared" si="101"/>
        <v>0</v>
      </c>
      <c r="I541" s="4238">
        <f t="shared" si="102"/>
        <v>0</v>
      </c>
      <c r="J541" s="4238">
        <f t="shared" si="103"/>
        <v>0</v>
      </c>
      <c r="K541" s="4238">
        <f t="shared" si="104"/>
        <v>0</v>
      </c>
      <c r="L541" s="4238">
        <f t="shared" si="105"/>
        <v>0</v>
      </c>
      <c r="M541" s="4238">
        <f t="shared" si="106"/>
        <v>0</v>
      </c>
      <c r="N541" s="4271">
        <f t="shared" si="107"/>
        <v>0</v>
      </c>
      <c r="O541" s="4245">
        <f t="shared" si="108"/>
        <v>0</v>
      </c>
      <c r="P541" s="4265">
        <f>'WW Plan'!G411</f>
        <v>0</v>
      </c>
      <c r="Q541" s="4265">
        <f>'WW Plan'!H411</f>
        <v>0</v>
      </c>
      <c r="R541" s="4241" t="s">
        <v>892</v>
      </c>
      <c r="S541" s="4245">
        <f t="shared" si="109"/>
        <v>0</v>
      </c>
      <c r="T541" s="4238">
        <f t="shared" si="110"/>
        <v>0</v>
      </c>
    </row>
    <row r="542" spans="3:20" x14ac:dyDescent="0.25">
      <c r="C542" s="4232" t="str">
        <f t="shared" si="83"/>
        <v>Generic actions</v>
      </c>
      <c r="D542" s="4233"/>
      <c r="E542" s="4233"/>
      <c r="F542" s="4233"/>
      <c r="G542" s="4233"/>
      <c r="H542" s="4233"/>
      <c r="I542" s="4233"/>
      <c r="J542" s="4233"/>
      <c r="K542" s="4233"/>
      <c r="L542" s="4233"/>
      <c r="M542" s="4233"/>
      <c r="N542" s="4233"/>
      <c r="O542" s="4248"/>
      <c r="P542" s="4249"/>
      <c r="Q542" s="4249"/>
      <c r="R542" s="4250"/>
      <c r="S542" s="4248">
        <f t="shared" si="109"/>
        <v>0</v>
      </c>
      <c r="T542" s="4273">
        <f t="shared" si="110"/>
        <v>0</v>
      </c>
    </row>
    <row r="543" spans="3:20" x14ac:dyDescent="0.25">
      <c r="C543" s="4264" t="str">
        <f t="shared" si="83"/>
        <v>Interceptor sewer along river</v>
      </c>
      <c r="D543" s="4237" t="s">
        <v>787</v>
      </c>
      <c r="E543" s="4238">
        <f t="shared" si="98"/>
        <v>0</v>
      </c>
      <c r="F543" s="4238">
        <f t="shared" si="99"/>
        <v>0</v>
      </c>
      <c r="G543" s="4238">
        <f t="shared" si="100"/>
        <v>0</v>
      </c>
      <c r="H543" s="4238">
        <f t="shared" si="101"/>
        <v>0</v>
      </c>
      <c r="I543" s="4238">
        <f t="shared" si="102"/>
        <v>0</v>
      </c>
      <c r="J543" s="4238">
        <f t="shared" si="103"/>
        <v>0</v>
      </c>
      <c r="K543" s="4238">
        <f t="shared" si="104"/>
        <v>0</v>
      </c>
      <c r="L543" s="4238">
        <f t="shared" si="105"/>
        <v>0</v>
      </c>
      <c r="M543" s="4238">
        <f t="shared" si="106"/>
        <v>0</v>
      </c>
      <c r="N543" s="4271">
        <f t="shared" si="107"/>
        <v>0</v>
      </c>
      <c r="O543" s="4245">
        <f t="shared" si="108"/>
        <v>0</v>
      </c>
      <c r="P543" s="4265">
        <f>'WW Plan'!G423</f>
        <v>0</v>
      </c>
      <c r="Q543" s="4265">
        <f>'WW Plan'!H423</f>
        <v>0</v>
      </c>
      <c r="R543" s="4241" t="s">
        <v>892</v>
      </c>
      <c r="S543" s="4245">
        <f t="shared" si="109"/>
        <v>0</v>
      </c>
      <c r="T543" s="4238">
        <f t="shared" si="110"/>
        <v>0</v>
      </c>
    </row>
    <row r="544" spans="3:20" x14ac:dyDescent="0.25">
      <c r="C544" s="4264" t="str">
        <f t="shared" si="83"/>
        <v>Desilting and rehabilitation of drains</v>
      </c>
      <c r="D544" s="4237" t="s">
        <v>787</v>
      </c>
      <c r="E544" s="4238">
        <f t="shared" si="98"/>
        <v>0</v>
      </c>
      <c r="F544" s="4238">
        <f t="shared" si="99"/>
        <v>0</v>
      </c>
      <c r="G544" s="4238">
        <f t="shared" si="100"/>
        <v>0</v>
      </c>
      <c r="H544" s="4238">
        <f t="shared" si="101"/>
        <v>0</v>
      </c>
      <c r="I544" s="4238">
        <f t="shared" si="102"/>
        <v>0</v>
      </c>
      <c r="J544" s="4238">
        <f t="shared" si="103"/>
        <v>0</v>
      </c>
      <c r="K544" s="4238">
        <f t="shared" si="104"/>
        <v>0</v>
      </c>
      <c r="L544" s="4238">
        <f t="shared" si="105"/>
        <v>0</v>
      </c>
      <c r="M544" s="4238">
        <f t="shared" si="106"/>
        <v>0</v>
      </c>
      <c r="N544" s="4271">
        <f t="shared" si="107"/>
        <v>0</v>
      </c>
      <c r="O544" s="4245">
        <f t="shared" si="108"/>
        <v>0</v>
      </c>
      <c r="P544" s="4265">
        <f>'WW Plan'!G430</f>
        <v>0</v>
      </c>
      <c r="Q544" s="4265">
        <f>'WW Plan'!H430</f>
        <v>0</v>
      </c>
      <c r="R544" s="4241" t="s">
        <v>892</v>
      </c>
      <c r="S544" s="4245">
        <f t="shared" si="109"/>
        <v>0</v>
      </c>
      <c r="T544" s="4238">
        <f t="shared" si="110"/>
        <v>0</v>
      </c>
    </row>
    <row r="545" spans="3:21" x14ac:dyDescent="0.25">
      <c r="D545" s="4192"/>
      <c r="E545" s="4255"/>
      <c r="F545" s="4255"/>
      <c r="G545" s="4255"/>
      <c r="H545" s="4255"/>
      <c r="I545" s="4255"/>
      <c r="J545" s="4255"/>
      <c r="K545" s="4255"/>
      <c r="L545" s="4255"/>
      <c r="M545" s="4255"/>
      <c r="N545" s="4255"/>
      <c r="O545" s="4276"/>
      <c r="P545" s="4277"/>
      <c r="Q545" s="4277"/>
      <c r="R545" s="4276"/>
      <c r="S545" s="4258"/>
    </row>
    <row r="546" spans="3:21" ht="18.75" x14ac:dyDescent="0.3">
      <c r="C546" s="4228" t="s">
        <v>86</v>
      </c>
      <c r="D546" s="4229" t="str">
        <f>D500</f>
        <v>CAPEX</v>
      </c>
      <c r="E546" s="4259">
        <f t="shared" ref="E546:O546" si="111">E500</f>
        <v>2015</v>
      </c>
      <c r="F546" s="4259">
        <f t="shared" si="111"/>
        <v>2016</v>
      </c>
      <c r="G546" s="4259">
        <f t="shared" si="111"/>
        <v>2017</v>
      </c>
      <c r="H546" s="4259">
        <f t="shared" si="111"/>
        <v>2018</v>
      </c>
      <c r="I546" s="4259">
        <f t="shared" si="111"/>
        <v>2019</v>
      </c>
      <c r="J546" s="4259">
        <f t="shared" si="111"/>
        <v>2020</v>
      </c>
      <c r="K546" s="4259">
        <f t="shared" si="111"/>
        <v>2021</v>
      </c>
      <c r="L546" s="4259">
        <f t="shared" si="111"/>
        <v>2022</v>
      </c>
      <c r="M546" s="4259">
        <f t="shared" si="111"/>
        <v>2023</v>
      </c>
      <c r="N546" s="4259">
        <f t="shared" si="111"/>
        <v>2024</v>
      </c>
      <c r="O546" s="4262" t="str">
        <f t="shared" si="111"/>
        <v>Total</v>
      </c>
      <c r="P546" s="4278" t="s">
        <v>784</v>
      </c>
      <c r="Q546" s="4278" t="s">
        <v>785</v>
      </c>
      <c r="R546" s="4278" t="s">
        <v>161</v>
      </c>
      <c r="S546" s="4262" t="s">
        <v>783</v>
      </c>
      <c r="T546" s="4262" t="s">
        <v>1512</v>
      </c>
      <c r="U546" s="4148"/>
    </row>
    <row r="547" spans="3:21" x14ac:dyDescent="0.25">
      <c r="C547" s="4232" t="str">
        <f t="shared" ref="C547:C582" si="112">C324</f>
        <v>Access &amp; coverage</v>
      </c>
      <c r="D547" s="4233"/>
      <c r="E547" s="4233"/>
      <c r="F547" s="4233"/>
      <c r="G547" s="4233"/>
      <c r="H547" s="4233"/>
      <c r="I547" s="4233"/>
      <c r="J547" s="4233"/>
      <c r="K547" s="4233"/>
      <c r="L547" s="4233"/>
      <c r="M547" s="4233"/>
      <c r="N547" s="4233"/>
      <c r="O547" s="4248"/>
      <c r="P547" s="4263"/>
      <c r="Q547" s="4263"/>
      <c r="R547" s="4279"/>
      <c r="S547" s="4248"/>
      <c r="T547" s="4251"/>
    </row>
    <row r="548" spans="3:21" x14ac:dyDescent="0.25">
      <c r="C548" s="4264" t="str">
        <f t="shared" si="112"/>
        <v>Household survey to assess solid waste services</v>
      </c>
      <c r="D548" s="4237" t="s">
        <v>778</v>
      </c>
      <c r="E548" s="4238">
        <f t="shared" ref="E548:E582" si="113">IF($D$447="PHASING","",IF($D$546=$D$322,G325,G366))</f>
        <v>0</v>
      </c>
      <c r="F548" s="4238">
        <f t="shared" ref="F548:F582" si="114">IF($D$447="PHASING","",IF($D$546=$D$322,H325,H366))</f>
        <v>0</v>
      </c>
      <c r="G548" s="4238">
        <f t="shared" ref="G548:G582" si="115">IF($D$447="PHASING","",IF($D$546=$D$322,I325,I366))</f>
        <v>0</v>
      </c>
      <c r="H548" s="4238">
        <f t="shared" ref="H548:H582" si="116">IF($D$447="PHASING","",IF($D$546=$D$322,J325,J366))</f>
        <v>0</v>
      </c>
      <c r="I548" s="4238">
        <f t="shared" ref="I548:I582" si="117">IF($D$447="PHASING","",IF($D$546=$D$322,K325,K366))</f>
        <v>0</v>
      </c>
      <c r="J548" s="4238">
        <f t="shared" ref="J548:J582" si="118">IF($D$447="PHASING","",IF($D$546=$D$322,L325,L366))</f>
        <v>0</v>
      </c>
      <c r="K548" s="4238">
        <f t="shared" ref="K548:K582" si="119">IF($D$447="PHASING","",IF($D$546=$D$322,M325,M366))</f>
        <v>0</v>
      </c>
      <c r="L548" s="4238">
        <f t="shared" ref="L548:L582" si="120">IF($D$447="PHASING","",IF($D$546=$D$322,N325,N366))</f>
        <v>0</v>
      </c>
      <c r="M548" s="4238">
        <f t="shared" ref="M548:M582" si="121">IF($D$447="PHASING","",IF($D$546=$D$322,O325,O366))</f>
        <v>0</v>
      </c>
      <c r="N548" s="4238">
        <f t="shared" ref="N548:N582" si="122">IF($D$447="PHASING","",IF($D$546=$D$322,P325,P366))</f>
        <v>0</v>
      </c>
      <c r="O548" s="4245">
        <f t="shared" ref="O548:O573" si="123">SUM(E548:N548)</f>
        <v>0</v>
      </c>
      <c r="P548" s="4246">
        <f>'SW Plan'!G22</f>
        <v>0</v>
      </c>
      <c r="Q548" s="4246">
        <f>'SW Plan'!H22</f>
        <v>0</v>
      </c>
      <c r="R548" s="4241" t="s">
        <v>893</v>
      </c>
      <c r="S548" s="4245">
        <f t="shared" ref="S548:S582" si="124">E325</f>
        <v>0</v>
      </c>
      <c r="T548" s="4247"/>
    </row>
    <row r="549" spans="3:21" x14ac:dyDescent="0.25">
      <c r="C549" s="4264" t="str">
        <f t="shared" si="112"/>
        <v>Computerise solid waste records</v>
      </c>
      <c r="D549" s="4237" t="s">
        <v>778</v>
      </c>
      <c r="E549" s="4238">
        <f t="shared" si="113"/>
        <v>0</v>
      </c>
      <c r="F549" s="4238">
        <f t="shared" si="114"/>
        <v>0</v>
      </c>
      <c r="G549" s="4238">
        <f t="shared" si="115"/>
        <v>0</v>
      </c>
      <c r="H549" s="4238">
        <f t="shared" si="116"/>
        <v>0</v>
      </c>
      <c r="I549" s="4238">
        <f t="shared" si="117"/>
        <v>0</v>
      </c>
      <c r="J549" s="4238">
        <f t="shared" si="118"/>
        <v>0</v>
      </c>
      <c r="K549" s="4238">
        <f t="shared" si="119"/>
        <v>0</v>
      </c>
      <c r="L549" s="4238">
        <f t="shared" si="120"/>
        <v>0</v>
      </c>
      <c r="M549" s="4238">
        <f t="shared" si="121"/>
        <v>0</v>
      </c>
      <c r="N549" s="4271">
        <f t="shared" si="122"/>
        <v>0</v>
      </c>
      <c r="O549" s="4245">
        <f>SUM(E549:N549)</f>
        <v>0</v>
      </c>
      <c r="P549" s="4246">
        <f>'SW Plan'!G28</f>
        <v>0</v>
      </c>
      <c r="Q549" s="4246">
        <f>'SW Plan'!H28</f>
        <v>0</v>
      </c>
      <c r="R549" s="4241" t="s">
        <v>893</v>
      </c>
      <c r="S549" s="4245">
        <f t="shared" si="124"/>
        <v>0</v>
      </c>
      <c r="T549" s="4247"/>
    </row>
    <row r="550" spans="3:21" ht="30" x14ac:dyDescent="0.25">
      <c r="C550" s="4264" t="str">
        <f t="shared" si="112"/>
        <v>Prepare management plan to efficiently deploy manpower and resources</v>
      </c>
      <c r="D550" s="4237" t="s">
        <v>779</v>
      </c>
      <c r="E550" s="4238">
        <f t="shared" si="113"/>
        <v>0</v>
      </c>
      <c r="F550" s="4238">
        <f t="shared" si="114"/>
        <v>0</v>
      </c>
      <c r="G550" s="4238">
        <f t="shared" si="115"/>
        <v>0</v>
      </c>
      <c r="H550" s="4238">
        <f t="shared" si="116"/>
        <v>0</v>
      </c>
      <c r="I550" s="4238">
        <f t="shared" si="117"/>
        <v>0</v>
      </c>
      <c r="J550" s="4238">
        <f t="shared" si="118"/>
        <v>0</v>
      </c>
      <c r="K550" s="4238">
        <f t="shared" si="119"/>
        <v>0</v>
      </c>
      <c r="L550" s="4238">
        <f t="shared" si="120"/>
        <v>0</v>
      </c>
      <c r="M550" s="4238">
        <f t="shared" si="121"/>
        <v>0</v>
      </c>
      <c r="N550" s="4271">
        <f t="shared" si="122"/>
        <v>0</v>
      </c>
      <c r="O550" s="4245">
        <f t="shared" si="123"/>
        <v>0</v>
      </c>
      <c r="P550" s="4246">
        <f>$E$447</f>
        <v>2015</v>
      </c>
      <c r="Q550" s="4246">
        <f>$E$447</f>
        <v>2015</v>
      </c>
      <c r="R550" s="4241" t="s">
        <v>893</v>
      </c>
      <c r="S550" s="4245">
        <f t="shared" si="124"/>
        <v>0</v>
      </c>
      <c r="T550" s="4247"/>
    </row>
    <row r="551" spans="3:21" ht="30" x14ac:dyDescent="0.25">
      <c r="C551" s="4264" t="str">
        <f t="shared" si="112"/>
        <v>Procure equipments for street sweeping and drain cleaning</v>
      </c>
      <c r="D551" s="4237" t="s">
        <v>781</v>
      </c>
      <c r="E551" s="4238">
        <f t="shared" si="113"/>
        <v>0</v>
      </c>
      <c r="F551" s="4238">
        <f t="shared" si="114"/>
        <v>0</v>
      </c>
      <c r="G551" s="4238">
        <f t="shared" si="115"/>
        <v>0</v>
      </c>
      <c r="H551" s="4238">
        <f t="shared" si="116"/>
        <v>0</v>
      </c>
      <c r="I551" s="4238">
        <f t="shared" si="117"/>
        <v>0</v>
      </c>
      <c r="J551" s="4238">
        <f t="shared" si="118"/>
        <v>0</v>
      </c>
      <c r="K551" s="4238">
        <f t="shared" si="119"/>
        <v>0</v>
      </c>
      <c r="L551" s="4238">
        <f t="shared" si="120"/>
        <v>0</v>
      </c>
      <c r="M551" s="4238">
        <f t="shared" si="121"/>
        <v>0</v>
      </c>
      <c r="N551" s="4271">
        <f t="shared" si="122"/>
        <v>0</v>
      </c>
      <c r="O551" s="4245">
        <f t="shared" si="123"/>
        <v>0</v>
      </c>
      <c r="P551" s="4246">
        <f>'SW Plan'!G38</f>
        <v>0</v>
      </c>
      <c r="Q551" s="4246">
        <f>'SW Plan'!H38</f>
        <v>0</v>
      </c>
      <c r="R551" s="4241" t="s">
        <v>893</v>
      </c>
      <c r="S551" s="4245">
        <f t="shared" si="124"/>
        <v>0</v>
      </c>
      <c r="T551" s="4247"/>
    </row>
    <row r="552" spans="3:21" ht="45" x14ac:dyDescent="0.25">
      <c r="C552" s="4264" t="str">
        <f t="shared" si="112"/>
        <v xml:space="preserve">Procure equipments for door to door solid waste collection (collection bins, ghantagaadis, containerised cycle rickshaw, handcarts etc.) </v>
      </c>
      <c r="D552" s="4237" t="s">
        <v>781</v>
      </c>
      <c r="E552" s="4238">
        <f t="shared" si="113"/>
        <v>0</v>
      </c>
      <c r="F552" s="4238">
        <f t="shared" si="114"/>
        <v>0</v>
      </c>
      <c r="G552" s="4238">
        <f t="shared" si="115"/>
        <v>0</v>
      </c>
      <c r="H552" s="4238">
        <f t="shared" si="116"/>
        <v>0</v>
      </c>
      <c r="I552" s="4238">
        <f t="shared" si="117"/>
        <v>0</v>
      </c>
      <c r="J552" s="4238">
        <f t="shared" si="118"/>
        <v>0</v>
      </c>
      <c r="K552" s="4238">
        <f t="shared" si="119"/>
        <v>0</v>
      </c>
      <c r="L552" s="4238">
        <f t="shared" si="120"/>
        <v>0</v>
      </c>
      <c r="M552" s="4238">
        <f t="shared" si="121"/>
        <v>0</v>
      </c>
      <c r="N552" s="4271">
        <f t="shared" si="122"/>
        <v>0</v>
      </c>
      <c r="O552" s="4245">
        <f t="shared" si="123"/>
        <v>0</v>
      </c>
      <c r="P552" s="4246">
        <f>MIN('SW Plan'!G46,'SW Plan'!G49)</f>
        <v>0</v>
      </c>
      <c r="Q552" s="4246">
        <f>MAX('SW Plan'!H46,'SW Plan'!H49)</f>
        <v>0</v>
      </c>
      <c r="R552" s="4241" t="s">
        <v>893</v>
      </c>
      <c r="S552" s="4245">
        <f t="shared" si="124"/>
        <v>0</v>
      </c>
      <c r="T552" s="4247"/>
    </row>
    <row r="553" spans="3:21" ht="45" x14ac:dyDescent="0.25">
      <c r="C553" s="4264" t="str">
        <f t="shared" si="112"/>
        <v>Information, education and communication (IEC) campaign for awareness of solid waste management</v>
      </c>
      <c r="D553" s="4237" t="s">
        <v>781</v>
      </c>
      <c r="E553" s="4238">
        <f t="shared" si="113"/>
        <v>0</v>
      </c>
      <c r="F553" s="4238">
        <f t="shared" si="114"/>
        <v>0</v>
      </c>
      <c r="G553" s="4238">
        <f t="shared" si="115"/>
        <v>0</v>
      </c>
      <c r="H553" s="4238">
        <f t="shared" si="116"/>
        <v>0</v>
      </c>
      <c r="I553" s="4238">
        <f t="shared" si="117"/>
        <v>0</v>
      </c>
      <c r="J553" s="4238">
        <f t="shared" si="118"/>
        <v>0</v>
      </c>
      <c r="K553" s="4238">
        <f t="shared" si="119"/>
        <v>0</v>
      </c>
      <c r="L553" s="4238">
        <f t="shared" si="120"/>
        <v>0</v>
      </c>
      <c r="M553" s="4238">
        <f t="shared" si="121"/>
        <v>0</v>
      </c>
      <c r="N553" s="4271">
        <f t="shared" si="122"/>
        <v>0</v>
      </c>
      <c r="O553" s="4245">
        <f>SUM(E553:N553)</f>
        <v>0</v>
      </c>
      <c r="P553" s="4246">
        <f>'SW Plan'!G54</f>
        <v>0</v>
      </c>
      <c r="Q553" s="4246">
        <f>'SW Plan'!H54</f>
        <v>0</v>
      </c>
      <c r="R553" s="4241" t="s">
        <v>893</v>
      </c>
      <c r="S553" s="4245">
        <f t="shared" si="124"/>
        <v>0</v>
      </c>
      <c r="T553" s="4247"/>
    </row>
    <row r="554" spans="3:21" ht="30" x14ac:dyDescent="0.25">
      <c r="C554" s="4264" t="str">
        <f t="shared" si="112"/>
        <v>Employ additional staff on contract for improving solid waste service delivery</v>
      </c>
      <c r="D554" s="4237" t="s">
        <v>780</v>
      </c>
      <c r="E554" s="4238">
        <f t="shared" si="113"/>
        <v>0</v>
      </c>
      <c r="F554" s="4238">
        <f t="shared" si="114"/>
        <v>0</v>
      </c>
      <c r="G554" s="4238">
        <f t="shared" si="115"/>
        <v>0</v>
      </c>
      <c r="H554" s="4238">
        <f t="shared" si="116"/>
        <v>0</v>
      </c>
      <c r="I554" s="4238">
        <f t="shared" si="117"/>
        <v>0</v>
      </c>
      <c r="J554" s="4238">
        <f t="shared" si="118"/>
        <v>0</v>
      </c>
      <c r="K554" s="4238">
        <f t="shared" si="119"/>
        <v>0</v>
      </c>
      <c r="L554" s="4238">
        <f t="shared" si="120"/>
        <v>0</v>
      </c>
      <c r="M554" s="4238">
        <f t="shared" si="121"/>
        <v>0</v>
      </c>
      <c r="N554" s="4271">
        <f t="shared" si="122"/>
        <v>0</v>
      </c>
      <c r="O554" s="4245">
        <f t="shared" si="123"/>
        <v>0</v>
      </c>
      <c r="P554" s="4246">
        <f>MIN('SW Plan'!G62,'SW Plan'!G65)</f>
        <v>0</v>
      </c>
      <c r="Q554" s="4246">
        <f>MAX('SW Plan'!H62,'SW Plan'!H65)</f>
        <v>0</v>
      </c>
      <c r="R554" s="4241" t="s">
        <v>893</v>
      </c>
      <c r="S554" s="4245">
        <f t="shared" si="124"/>
        <v>0</v>
      </c>
      <c r="T554" s="4247"/>
    </row>
    <row r="555" spans="3:21" ht="30" x14ac:dyDescent="0.25">
      <c r="C555" s="4264" t="str">
        <f t="shared" si="112"/>
        <v>Engage with private service providers to provide solid waste services</v>
      </c>
      <c r="D555" s="4237" t="s">
        <v>780</v>
      </c>
      <c r="E555" s="4238">
        <f t="shared" si="113"/>
        <v>0</v>
      </c>
      <c r="F555" s="4238">
        <f t="shared" si="114"/>
        <v>0</v>
      </c>
      <c r="G555" s="4238">
        <f t="shared" si="115"/>
        <v>0</v>
      </c>
      <c r="H555" s="4238">
        <f t="shared" si="116"/>
        <v>0</v>
      </c>
      <c r="I555" s="4238">
        <f t="shared" si="117"/>
        <v>0</v>
      </c>
      <c r="J555" s="4238">
        <f t="shared" si="118"/>
        <v>0</v>
      </c>
      <c r="K555" s="4238">
        <f t="shared" si="119"/>
        <v>0</v>
      </c>
      <c r="L555" s="4238">
        <f t="shared" si="120"/>
        <v>0</v>
      </c>
      <c r="M555" s="4238">
        <f t="shared" si="121"/>
        <v>0</v>
      </c>
      <c r="N555" s="4271">
        <f t="shared" si="122"/>
        <v>0</v>
      </c>
      <c r="O555" s="4245">
        <f t="shared" si="123"/>
        <v>0</v>
      </c>
      <c r="P555" s="4246">
        <f>MIN('SW Plan'!G71,'SW Plan'!G76)</f>
        <v>0</v>
      </c>
      <c r="Q555" s="4246">
        <f>MAX('SW Plan'!H71,'SW Plan'!H76)</f>
        <v>0</v>
      </c>
      <c r="R555" s="4241" t="s">
        <v>893</v>
      </c>
      <c r="S555" s="4245">
        <f t="shared" si="124"/>
        <v>0</v>
      </c>
      <c r="T555" s="4247"/>
    </row>
    <row r="556" spans="3:21" x14ac:dyDescent="0.25">
      <c r="C556" s="4232" t="str">
        <f t="shared" si="112"/>
        <v>Service levels &amp; quality</v>
      </c>
      <c r="D556" s="4233"/>
      <c r="E556" s="4233">
        <f t="shared" si="113"/>
        <v>0</v>
      </c>
      <c r="F556" s="4233">
        <f t="shared" si="114"/>
        <v>0</v>
      </c>
      <c r="G556" s="4233">
        <f t="shared" si="115"/>
        <v>0</v>
      </c>
      <c r="H556" s="4233">
        <f t="shared" si="116"/>
        <v>0</v>
      </c>
      <c r="I556" s="4233">
        <f t="shared" si="117"/>
        <v>0</v>
      </c>
      <c r="J556" s="4233">
        <f t="shared" si="118"/>
        <v>0</v>
      </c>
      <c r="K556" s="4233">
        <f t="shared" si="119"/>
        <v>0</v>
      </c>
      <c r="L556" s="4233">
        <f t="shared" si="120"/>
        <v>0</v>
      </c>
      <c r="M556" s="4233">
        <f t="shared" si="121"/>
        <v>0</v>
      </c>
      <c r="N556" s="4233">
        <f t="shared" si="122"/>
        <v>0</v>
      </c>
      <c r="O556" s="4248"/>
      <c r="P556" s="4249"/>
      <c r="Q556" s="4249"/>
      <c r="R556" s="4250" t="s">
        <v>893</v>
      </c>
      <c r="S556" s="4248">
        <f t="shared" si="124"/>
        <v>0</v>
      </c>
      <c r="T556" s="4251"/>
    </row>
    <row r="557" spans="3:21" ht="30" x14ac:dyDescent="0.25">
      <c r="C557" s="4264" t="str">
        <f t="shared" si="112"/>
        <v>Track movement of solid waste transportation vehicles to achieve optimum operational efficiency</v>
      </c>
      <c r="D557" s="4237" t="s">
        <v>778</v>
      </c>
      <c r="E557" s="4238">
        <f t="shared" si="113"/>
        <v>0</v>
      </c>
      <c r="F557" s="4238">
        <f t="shared" si="114"/>
        <v>0</v>
      </c>
      <c r="G557" s="4238">
        <f t="shared" si="115"/>
        <v>0</v>
      </c>
      <c r="H557" s="4238">
        <f t="shared" si="116"/>
        <v>0</v>
      </c>
      <c r="I557" s="4238">
        <f t="shared" si="117"/>
        <v>0</v>
      </c>
      <c r="J557" s="4238">
        <f t="shared" si="118"/>
        <v>0</v>
      </c>
      <c r="K557" s="4238">
        <f t="shared" si="119"/>
        <v>0</v>
      </c>
      <c r="L557" s="4238">
        <f t="shared" si="120"/>
        <v>0</v>
      </c>
      <c r="M557" s="4238">
        <f t="shared" si="121"/>
        <v>0</v>
      </c>
      <c r="N557" s="4271">
        <f t="shared" si="122"/>
        <v>0</v>
      </c>
      <c r="O557" s="4245">
        <f>SUM(E557:N557)</f>
        <v>0</v>
      </c>
      <c r="P557" s="4246">
        <f>'SW Plan'!G90</f>
        <v>0</v>
      </c>
      <c r="Q557" s="4246">
        <f>'SW Plan'!H90</f>
        <v>0</v>
      </c>
      <c r="R557" s="4241" t="s">
        <v>893</v>
      </c>
      <c r="S557" s="4245">
        <f t="shared" si="124"/>
        <v>0</v>
      </c>
      <c r="T557" s="4247"/>
    </row>
    <row r="558" spans="3:21" ht="30" x14ac:dyDescent="0.25">
      <c r="C558" s="4264" t="str">
        <f t="shared" si="112"/>
        <v>Improve processes for maintaining daily logs of solid waste across SWM value chain</v>
      </c>
      <c r="D558" s="4237" t="s">
        <v>779</v>
      </c>
      <c r="E558" s="4238">
        <f t="shared" si="113"/>
        <v>0</v>
      </c>
      <c r="F558" s="4238">
        <f t="shared" si="114"/>
        <v>0</v>
      </c>
      <c r="G558" s="4238">
        <f t="shared" si="115"/>
        <v>0</v>
      </c>
      <c r="H558" s="4238">
        <f t="shared" si="116"/>
        <v>0</v>
      </c>
      <c r="I558" s="4238">
        <f t="shared" si="117"/>
        <v>0</v>
      </c>
      <c r="J558" s="4238">
        <f t="shared" si="118"/>
        <v>0</v>
      </c>
      <c r="K558" s="4238">
        <f t="shared" si="119"/>
        <v>0</v>
      </c>
      <c r="L558" s="4238">
        <f t="shared" si="120"/>
        <v>0</v>
      </c>
      <c r="M558" s="4238">
        <f t="shared" si="121"/>
        <v>0</v>
      </c>
      <c r="N558" s="4271">
        <f t="shared" si="122"/>
        <v>0</v>
      </c>
      <c r="O558" s="4245">
        <f t="shared" si="123"/>
        <v>0</v>
      </c>
      <c r="P558" s="4246">
        <f>$E$447</f>
        <v>2015</v>
      </c>
      <c r="Q558" s="4246">
        <f>$E$447</f>
        <v>2015</v>
      </c>
      <c r="R558" s="4241" t="s">
        <v>893</v>
      </c>
      <c r="S558" s="4245">
        <f t="shared" si="124"/>
        <v>0</v>
      </c>
      <c r="T558" s="4247"/>
    </row>
    <row r="559" spans="3:21" ht="30" x14ac:dyDescent="0.25">
      <c r="C559" s="4264" t="str">
        <f t="shared" si="112"/>
        <v>Process for periodic estimation of recyclable material collected by recyclers</v>
      </c>
      <c r="D559" s="4237" t="s">
        <v>779</v>
      </c>
      <c r="E559" s="4238">
        <f t="shared" si="113"/>
        <v>0</v>
      </c>
      <c r="F559" s="4238">
        <f t="shared" si="114"/>
        <v>0</v>
      </c>
      <c r="G559" s="4238">
        <f t="shared" si="115"/>
        <v>0</v>
      </c>
      <c r="H559" s="4238">
        <f t="shared" si="116"/>
        <v>0</v>
      </c>
      <c r="I559" s="4238">
        <f t="shared" si="117"/>
        <v>0</v>
      </c>
      <c r="J559" s="4238">
        <f t="shared" si="118"/>
        <v>0</v>
      </c>
      <c r="K559" s="4238">
        <f t="shared" si="119"/>
        <v>0</v>
      </c>
      <c r="L559" s="4238">
        <f t="shared" si="120"/>
        <v>0</v>
      </c>
      <c r="M559" s="4238">
        <f t="shared" si="121"/>
        <v>0</v>
      </c>
      <c r="N559" s="4271">
        <f t="shared" si="122"/>
        <v>0</v>
      </c>
      <c r="O559" s="4245">
        <f t="shared" si="123"/>
        <v>0</v>
      </c>
      <c r="P559" s="4246">
        <f>$E$447</f>
        <v>2015</v>
      </c>
      <c r="Q559" s="4246">
        <f>$E$447</f>
        <v>2015</v>
      </c>
      <c r="R559" s="4241" t="s">
        <v>893</v>
      </c>
      <c r="S559" s="4245">
        <f t="shared" si="124"/>
        <v>0</v>
      </c>
      <c r="T559" s="4247"/>
    </row>
    <row r="560" spans="3:21" ht="30" x14ac:dyDescent="0.25">
      <c r="C560" s="4274" t="str">
        <f t="shared" si="112"/>
        <v xml:space="preserve">Segregation of collection and transportation of solid waste </v>
      </c>
      <c r="D560" s="4237" t="s">
        <v>781</v>
      </c>
      <c r="E560" s="4238">
        <f t="shared" si="113"/>
        <v>0</v>
      </c>
      <c r="F560" s="4238">
        <f t="shared" si="114"/>
        <v>0</v>
      </c>
      <c r="G560" s="4238">
        <f t="shared" si="115"/>
        <v>0</v>
      </c>
      <c r="H560" s="4238">
        <f t="shared" si="116"/>
        <v>0</v>
      </c>
      <c r="I560" s="4238">
        <f t="shared" si="117"/>
        <v>0</v>
      </c>
      <c r="J560" s="4238">
        <f t="shared" si="118"/>
        <v>0</v>
      </c>
      <c r="K560" s="4238">
        <f t="shared" si="119"/>
        <v>0</v>
      </c>
      <c r="L560" s="4238">
        <f t="shared" si="120"/>
        <v>0</v>
      </c>
      <c r="M560" s="4238">
        <f t="shared" si="121"/>
        <v>0</v>
      </c>
      <c r="N560" s="4271">
        <f t="shared" si="122"/>
        <v>0</v>
      </c>
      <c r="O560" s="4245">
        <f>SUM(E560:N560)</f>
        <v>0</v>
      </c>
      <c r="P560" s="4246">
        <f>'SW Plan'!G101</f>
        <v>0</v>
      </c>
      <c r="Q560" s="4246">
        <f>'SW Plan'!H101</f>
        <v>0</v>
      </c>
      <c r="R560" s="4241" t="s">
        <v>893</v>
      </c>
      <c r="S560" s="4245">
        <f t="shared" si="124"/>
        <v>0</v>
      </c>
      <c r="T560" s="4247"/>
    </row>
    <row r="561" spans="3:20" ht="30" x14ac:dyDescent="0.25">
      <c r="C561" s="4274" t="str">
        <f t="shared" si="112"/>
        <v>Improve solid waste collection through secondary storage bins</v>
      </c>
      <c r="D561" s="4237" t="s">
        <v>781</v>
      </c>
      <c r="E561" s="4238">
        <f t="shared" si="113"/>
        <v>0</v>
      </c>
      <c r="F561" s="4238">
        <f t="shared" si="114"/>
        <v>0</v>
      </c>
      <c r="G561" s="4238">
        <f t="shared" si="115"/>
        <v>0</v>
      </c>
      <c r="H561" s="4238">
        <f t="shared" si="116"/>
        <v>0</v>
      </c>
      <c r="I561" s="4238">
        <f t="shared" si="117"/>
        <v>0</v>
      </c>
      <c r="J561" s="4238">
        <f t="shared" si="118"/>
        <v>0</v>
      </c>
      <c r="K561" s="4238">
        <f t="shared" si="119"/>
        <v>0</v>
      </c>
      <c r="L561" s="4238">
        <f t="shared" si="120"/>
        <v>0</v>
      </c>
      <c r="M561" s="4238">
        <f t="shared" si="121"/>
        <v>0</v>
      </c>
      <c r="N561" s="4271">
        <f t="shared" si="122"/>
        <v>0</v>
      </c>
      <c r="O561" s="4245">
        <f t="shared" si="123"/>
        <v>0</v>
      </c>
      <c r="P561" s="4246">
        <f>'SW Plan'!G106</f>
        <v>0</v>
      </c>
      <c r="Q561" s="4246">
        <f>'SW Plan'!H106</f>
        <v>0</v>
      </c>
      <c r="R561" s="4241" t="s">
        <v>893</v>
      </c>
      <c r="S561" s="4245">
        <f t="shared" si="124"/>
        <v>0</v>
      </c>
      <c r="T561" s="4247"/>
    </row>
    <row r="562" spans="3:20" x14ac:dyDescent="0.25">
      <c r="C562" s="4274" t="str">
        <f t="shared" si="112"/>
        <v>Install litter bins at public places</v>
      </c>
      <c r="D562" s="4237" t="s">
        <v>781</v>
      </c>
      <c r="E562" s="4238">
        <f t="shared" si="113"/>
        <v>0</v>
      </c>
      <c r="F562" s="4238">
        <f t="shared" si="114"/>
        <v>0</v>
      </c>
      <c r="G562" s="4238">
        <f t="shared" si="115"/>
        <v>0</v>
      </c>
      <c r="H562" s="4238">
        <f t="shared" si="116"/>
        <v>0</v>
      </c>
      <c r="I562" s="4238">
        <f t="shared" si="117"/>
        <v>0</v>
      </c>
      <c r="J562" s="4238">
        <f t="shared" si="118"/>
        <v>0</v>
      </c>
      <c r="K562" s="4238">
        <f t="shared" si="119"/>
        <v>0</v>
      </c>
      <c r="L562" s="4238">
        <f t="shared" si="120"/>
        <v>0</v>
      </c>
      <c r="M562" s="4238">
        <f t="shared" si="121"/>
        <v>0</v>
      </c>
      <c r="N562" s="4271">
        <f t="shared" si="122"/>
        <v>0</v>
      </c>
      <c r="O562" s="4245">
        <f t="shared" si="123"/>
        <v>0</v>
      </c>
      <c r="P562" s="4246">
        <f>'SW Plan'!G119</f>
        <v>0</v>
      </c>
      <c r="Q562" s="4246">
        <f>'SW Plan'!H119</f>
        <v>0</v>
      </c>
      <c r="R562" s="4241" t="s">
        <v>893</v>
      </c>
      <c r="S562" s="4245">
        <f t="shared" si="124"/>
        <v>0</v>
      </c>
      <c r="T562" s="4247"/>
    </row>
    <row r="563" spans="3:20" ht="30" x14ac:dyDescent="0.25">
      <c r="C563" s="4274" t="str">
        <f t="shared" si="112"/>
        <v>Improve collection efficiency of solid waste with existing vehicles</v>
      </c>
      <c r="D563" s="4237" t="s">
        <v>781</v>
      </c>
      <c r="E563" s="4238">
        <f t="shared" si="113"/>
        <v>0</v>
      </c>
      <c r="F563" s="4238">
        <f t="shared" si="114"/>
        <v>0</v>
      </c>
      <c r="G563" s="4238">
        <f t="shared" si="115"/>
        <v>0</v>
      </c>
      <c r="H563" s="4238">
        <f t="shared" si="116"/>
        <v>0</v>
      </c>
      <c r="I563" s="4238">
        <f t="shared" si="117"/>
        <v>0</v>
      </c>
      <c r="J563" s="4238">
        <f t="shared" si="118"/>
        <v>0</v>
      </c>
      <c r="K563" s="4238">
        <f t="shared" si="119"/>
        <v>0</v>
      </c>
      <c r="L563" s="4238">
        <f t="shared" si="120"/>
        <v>0</v>
      </c>
      <c r="M563" s="4238">
        <f t="shared" si="121"/>
        <v>0</v>
      </c>
      <c r="N563" s="4271">
        <f t="shared" si="122"/>
        <v>0</v>
      </c>
      <c r="O563" s="4245">
        <f t="shared" si="123"/>
        <v>0</v>
      </c>
      <c r="P563" s="4246">
        <f>'SW Plan'!G123</f>
        <v>0</v>
      </c>
      <c r="Q563" s="4246">
        <f>'SW Plan'!H123</f>
        <v>0</v>
      </c>
      <c r="R563" s="4241" t="s">
        <v>893</v>
      </c>
      <c r="S563" s="4245">
        <f t="shared" si="124"/>
        <v>0</v>
      </c>
      <c r="T563" s="4247"/>
    </row>
    <row r="564" spans="3:20" x14ac:dyDescent="0.25">
      <c r="C564" s="4274" t="str">
        <f t="shared" si="112"/>
        <v>Repair existing solid waste processing plant</v>
      </c>
      <c r="D564" s="4237" t="s">
        <v>781</v>
      </c>
      <c r="E564" s="4238">
        <f t="shared" si="113"/>
        <v>0</v>
      </c>
      <c r="F564" s="4238">
        <f t="shared" si="114"/>
        <v>0</v>
      </c>
      <c r="G564" s="4238">
        <f t="shared" si="115"/>
        <v>0</v>
      </c>
      <c r="H564" s="4238">
        <f t="shared" si="116"/>
        <v>0</v>
      </c>
      <c r="I564" s="4238">
        <f t="shared" si="117"/>
        <v>0</v>
      </c>
      <c r="J564" s="4238">
        <f t="shared" si="118"/>
        <v>0</v>
      </c>
      <c r="K564" s="4238">
        <f t="shared" si="119"/>
        <v>0</v>
      </c>
      <c r="L564" s="4238">
        <f t="shared" si="120"/>
        <v>0</v>
      </c>
      <c r="M564" s="4238">
        <f t="shared" si="121"/>
        <v>0</v>
      </c>
      <c r="N564" s="4271">
        <f t="shared" si="122"/>
        <v>0</v>
      </c>
      <c r="O564" s="4245">
        <f>SUM(E564:N564)</f>
        <v>0</v>
      </c>
      <c r="P564" s="4246">
        <f>'SW Plan'!G135</f>
        <v>0</v>
      </c>
      <c r="Q564" s="4246">
        <f>'SW Plan'!H135</f>
        <v>0</v>
      </c>
      <c r="R564" s="4241" t="s">
        <v>893</v>
      </c>
      <c r="S564" s="4245">
        <f t="shared" si="124"/>
        <v>0</v>
      </c>
      <c r="T564" s="4247"/>
    </row>
    <row r="565" spans="3:20" ht="30" x14ac:dyDescent="0.25">
      <c r="C565" s="4274" t="str">
        <f t="shared" si="112"/>
        <v>Procure new vehicles for solid waste collection and transportation</v>
      </c>
      <c r="D565" s="4237" t="s">
        <v>780</v>
      </c>
      <c r="E565" s="4238">
        <f t="shared" si="113"/>
        <v>0</v>
      </c>
      <c r="F565" s="4238">
        <f t="shared" si="114"/>
        <v>0</v>
      </c>
      <c r="G565" s="4238">
        <f t="shared" si="115"/>
        <v>0</v>
      </c>
      <c r="H565" s="4238">
        <f t="shared" si="116"/>
        <v>0</v>
      </c>
      <c r="I565" s="4238">
        <f t="shared" si="117"/>
        <v>0</v>
      </c>
      <c r="J565" s="4238">
        <f t="shared" si="118"/>
        <v>0</v>
      </c>
      <c r="K565" s="4238">
        <f t="shared" si="119"/>
        <v>0</v>
      </c>
      <c r="L565" s="4238">
        <f t="shared" si="120"/>
        <v>0</v>
      </c>
      <c r="M565" s="4238">
        <f t="shared" si="121"/>
        <v>0</v>
      </c>
      <c r="N565" s="4271">
        <f t="shared" si="122"/>
        <v>0</v>
      </c>
      <c r="O565" s="4245">
        <f t="shared" si="123"/>
        <v>0</v>
      </c>
      <c r="P565" s="4246">
        <f>'SW Plan'!G146</f>
        <v>0</v>
      </c>
      <c r="Q565" s="4246">
        <f>'SW Plan'!H146</f>
        <v>0</v>
      </c>
      <c r="R565" s="4241" t="s">
        <v>893</v>
      </c>
      <c r="S565" s="4245">
        <f t="shared" si="124"/>
        <v>0</v>
      </c>
      <c r="T565" s="4247"/>
    </row>
    <row r="566" spans="3:20" x14ac:dyDescent="0.25">
      <c r="C566" s="4274" t="str">
        <f t="shared" si="112"/>
        <v>Construct new solid waste transfer station</v>
      </c>
      <c r="D566" s="4237" t="s">
        <v>780</v>
      </c>
      <c r="E566" s="4238">
        <f t="shared" si="113"/>
        <v>0</v>
      </c>
      <c r="F566" s="4238">
        <f t="shared" si="114"/>
        <v>0</v>
      </c>
      <c r="G566" s="4238">
        <f t="shared" si="115"/>
        <v>0</v>
      </c>
      <c r="H566" s="4238">
        <f t="shared" si="116"/>
        <v>0</v>
      </c>
      <c r="I566" s="4238">
        <f t="shared" si="117"/>
        <v>0</v>
      </c>
      <c r="J566" s="4238">
        <f t="shared" si="118"/>
        <v>0</v>
      </c>
      <c r="K566" s="4238">
        <f t="shared" si="119"/>
        <v>0</v>
      </c>
      <c r="L566" s="4238">
        <f t="shared" si="120"/>
        <v>0</v>
      </c>
      <c r="M566" s="4238">
        <f t="shared" si="121"/>
        <v>0</v>
      </c>
      <c r="N566" s="4271">
        <f t="shared" si="122"/>
        <v>0</v>
      </c>
      <c r="O566" s="4245">
        <f t="shared" si="123"/>
        <v>0</v>
      </c>
      <c r="P566" s="4246">
        <f>'SW Plan'!G164</f>
        <v>0</v>
      </c>
      <c r="Q566" s="4246">
        <f>'SW Plan'!H164</f>
        <v>0</v>
      </c>
      <c r="R566" s="4241" t="s">
        <v>893</v>
      </c>
      <c r="S566" s="4245">
        <f t="shared" si="124"/>
        <v>0</v>
      </c>
      <c r="T566" s="4247"/>
    </row>
    <row r="567" spans="3:20" ht="30" x14ac:dyDescent="0.25">
      <c r="C567" s="4274" t="str">
        <f t="shared" si="112"/>
        <v>Install weigh bridges to quantify solid waste collected and transported</v>
      </c>
      <c r="D567" s="4237" t="s">
        <v>780</v>
      </c>
      <c r="E567" s="4238">
        <f t="shared" si="113"/>
        <v>0</v>
      </c>
      <c r="F567" s="4238">
        <f t="shared" si="114"/>
        <v>0</v>
      </c>
      <c r="G567" s="4238">
        <f t="shared" si="115"/>
        <v>0</v>
      </c>
      <c r="H567" s="4238">
        <f t="shared" si="116"/>
        <v>0</v>
      </c>
      <c r="I567" s="4238">
        <f t="shared" si="117"/>
        <v>0</v>
      </c>
      <c r="J567" s="4238">
        <f t="shared" si="118"/>
        <v>0</v>
      </c>
      <c r="K567" s="4238">
        <f t="shared" si="119"/>
        <v>0</v>
      </c>
      <c r="L567" s="4238">
        <f t="shared" si="120"/>
        <v>0</v>
      </c>
      <c r="M567" s="4238">
        <f t="shared" si="121"/>
        <v>0</v>
      </c>
      <c r="N567" s="4271">
        <f t="shared" si="122"/>
        <v>0</v>
      </c>
      <c r="O567" s="4245">
        <f t="shared" si="123"/>
        <v>0</v>
      </c>
      <c r="P567" s="4246">
        <f>'SW Plan'!G171</f>
        <v>0</v>
      </c>
      <c r="Q567" s="4246">
        <f>'SW Plan'!H171</f>
        <v>0</v>
      </c>
      <c r="R567" s="4241" t="s">
        <v>893</v>
      </c>
      <c r="S567" s="4245">
        <f t="shared" si="124"/>
        <v>0</v>
      </c>
      <c r="T567" s="4247"/>
    </row>
    <row r="568" spans="3:20" x14ac:dyDescent="0.25">
      <c r="C568" s="4274" t="str">
        <f t="shared" si="112"/>
        <v>Construct new solid waste processing plant</v>
      </c>
      <c r="D568" s="4237" t="s">
        <v>780</v>
      </c>
      <c r="E568" s="4238">
        <f t="shared" si="113"/>
        <v>0</v>
      </c>
      <c r="F568" s="4238">
        <f t="shared" si="114"/>
        <v>0</v>
      </c>
      <c r="G568" s="4238">
        <f t="shared" si="115"/>
        <v>0</v>
      </c>
      <c r="H568" s="4238">
        <f t="shared" si="116"/>
        <v>0</v>
      </c>
      <c r="I568" s="4238">
        <f t="shared" si="117"/>
        <v>0</v>
      </c>
      <c r="J568" s="4238">
        <f t="shared" si="118"/>
        <v>0</v>
      </c>
      <c r="K568" s="4238">
        <f t="shared" si="119"/>
        <v>0</v>
      </c>
      <c r="L568" s="4238">
        <f t="shared" si="120"/>
        <v>0</v>
      </c>
      <c r="M568" s="4238">
        <f t="shared" si="121"/>
        <v>0</v>
      </c>
      <c r="N568" s="4271">
        <f t="shared" si="122"/>
        <v>0</v>
      </c>
      <c r="O568" s="4245">
        <f>SUM(E568:N568)</f>
        <v>0</v>
      </c>
      <c r="P568" s="4246">
        <f>'SW Plan'!G175</f>
        <v>0</v>
      </c>
      <c r="Q568" s="4246">
        <f>'SW Plan'!H175</f>
        <v>0</v>
      </c>
      <c r="R568" s="4241" t="s">
        <v>893</v>
      </c>
      <c r="S568" s="4245">
        <f t="shared" si="124"/>
        <v>0</v>
      </c>
      <c r="T568" s="4247"/>
    </row>
    <row r="569" spans="3:20" x14ac:dyDescent="0.25">
      <c r="C569" s="4232" t="str">
        <f t="shared" si="112"/>
        <v>Eff in services</v>
      </c>
      <c r="D569" s="4233"/>
      <c r="E569" s="4233">
        <f t="shared" si="113"/>
        <v>0</v>
      </c>
      <c r="F569" s="4233">
        <f t="shared" si="114"/>
        <v>0</v>
      </c>
      <c r="G569" s="4233">
        <f t="shared" si="115"/>
        <v>0</v>
      </c>
      <c r="H569" s="4233">
        <f t="shared" si="116"/>
        <v>0</v>
      </c>
      <c r="I569" s="4233">
        <f t="shared" si="117"/>
        <v>0</v>
      </c>
      <c r="J569" s="4233">
        <f t="shared" si="118"/>
        <v>0</v>
      </c>
      <c r="K569" s="4233">
        <f t="shared" si="119"/>
        <v>0</v>
      </c>
      <c r="L569" s="4233">
        <f t="shared" si="120"/>
        <v>0</v>
      </c>
      <c r="M569" s="4233">
        <f t="shared" si="121"/>
        <v>0</v>
      </c>
      <c r="N569" s="4233">
        <f t="shared" si="122"/>
        <v>0</v>
      </c>
      <c r="O569" s="4248"/>
      <c r="P569" s="4249"/>
      <c r="Q569" s="4249"/>
      <c r="R569" s="4250" t="s">
        <v>893</v>
      </c>
      <c r="S569" s="4248">
        <f t="shared" si="124"/>
        <v>0</v>
      </c>
      <c r="T569" s="4251"/>
    </row>
    <row r="570" spans="3:20" ht="30" x14ac:dyDescent="0.25">
      <c r="C570" s="4264" t="str">
        <f t="shared" si="112"/>
        <v>Improve processes for management of consumer complaints</v>
      </c>
      <c r="D570" s="4237" t="s">
        <v>779</v>
      </c>
      <c r="E570" s="4238">
        <f t="shared" si="113"/>
        <v>0</v>
      </c>
      <c r="F570" s="4238">
        <f t="shared" si="114"/>
        <v>0</v>
      </c>
      <c r="G570" s="4238">
        <f t="shared" si="115"/>
        <v>0</v>
      </c>
      <c r="H570" s="4238">
        <f t="shared" si="116"/>
        <v>0</v>
      </c>
      <c r="I570" s="4238">
        <f t="shared" si="117"/>
        <v>0</v>
      </c>
      <c r="J570" s="4238">
        <f t="shared" si="118"/>
        <v>0</v>
      </c>
      <c r="K570" s="4238">
        <f t="shared" si="119"/>
        <v>0</v>
      </c>
      <c r="L570" s="4238">
        <f t="shared" si="120"/>
        <v>0</v>
      </c>
      <c r="M570" s="4238">
        <f t="shared" si="121"/>
        <v>0</v>
      </c>
      <c r="N570" s="4271">
        <f t="shared" si="122"/>
        <v>0</v>
      </c>
      <c r="O570" s="4245">
        <f t="shared" si="123"/>
        <v>0</v>
      </c>
      <c r="P570" s="4246">
        <f t="shared" ref="P570:Q573" si="125">$E$447</f>
        <v>2015</v>
      </c>
      <c r="Q570" s="4246">
        <f t="shared" si="125"/>
        <v>2015</v>
      </c>
      <c r="R570" s="4241" t="s">
        <v>893</v>
      </c>
      <c r="S570" s="4245">
        <f t="shared" si="124"/>
        <v>0</v>
      </c>
      <c r="T570" s="4247"/>
    </row>
    <row r="571" spans="3:20" ht="30" x14ac:dyDescent="0.25">
      <c r="C571" s="4264" t="str">
        <f t="shared" si="112"/>
        <v>Process for allotment of government land for processing and disposal of solid waste</v>
      </c>
      <c r="D571" s="4237" t="s">
        <v>779</v>
      </c>
      <c r="E571" s="4238">
        <f t="shared" si="113"/>
        <v>0</v>
      </c>
      <c r="F571" s="4238">
        <f t="shared" si="114"/>
        <v>0</v>
      </c>
      <c r="G571" s="4238">
        <f t="shared" si="115"/>
        <v>0</v>
      </c>
      <c r="H571" s="4238">
        <f t="shared" si="116"/>
        <v>0</v>
      </c>
      <c r="I571" s="4238">
        <f t="shared" si="117"/>
        <v>0</v>
      </c>
      <c r="J571" s="4238">
        <f t="shared" si="118"/>
        <v>0</v>
      </c>
      <c r="K571" s="4238">
        <f t="shared" si="119"/>
        <v>0</v>
      </c>
      <c r="L571" s="4238">
        <f t="shared" si="120"/>
        <v>0</v>
      </c>
      <c r="M571" s="4238">
        <f t="shared" si="121"/>
        <v>0</v>
      </c>
      <c r="N571" s="4271">
        <f t="shared" si="122"/>
        <v>0</v>
      </c>
      <c r="O571" s="4245">
        <f t="shared" si="123"/>
        <v>0</v>
      </c>
      <c r="P571" s="4246">
        <f t="shared" si="125"/>
        <v>2015</v>
      </c>
      <c r="Q571" s="4246">
        <f t="shared" si="125"/>
        <v>2015</v>
      </c>
      <c r="R571" s="4241" t="s">
        <v>893</v>
      </c>
      <c r="S571" s="4245">
        <f t="shared" si="124"/>
        <v>0</v>
      </c>
      <c r="T571" s="4247"/>
    </row>
    <row r="572" spans="3:20" ht="30" x14ac:dyDescent="0.25">
      <c r="C572" s="4264" t="str">
        <f t="shared" si="112"/>
        <v xml:space="preserve">Process to obtain authorisation from concerned authorities and furnish annual report of compliance </v>
      </c>
      <c r="D572" s="4237" t="s">
        <v>779</v>
      </c>
      <c r="E572" s="4238">
        <f t="shared" si="113"/>
        <v>0</v>
      </c>
      <c r="F572" s="4238">
        <f t="shared" si="114"/>
        <v>0</v>
      </c>
      <c r="G572" s="4238">
        <f t="shared" si="115"/>
        <v>0</v>
      </c>
      <c r="H572" s="4238">
        <f t="shared" si="116"/>
        <v>0</v>
      </c>
      <c r="I572" s="4238">
        <f t="shared" si="117"/>
        <v>0</v>
      </c>
      <c r="J572" s="4238">
        <f t="shared" si="118"/>
        <v>0</v>
      </c>
      <c r="K572" s="4238">
        <f t="shared" si="119"/>
        <v>0</v>
      </c>
      <c r="L572" s="4238">
        <f t="shared" si="120"/>
        <v>0</v>
      </c>
      <c r="M572" s="4238">
        <f t="shared" si="121"/>
        <v>0</v>
      </c>
      <c r="N572" s="4271">
        <f t="shared" si="122"/>
        <v>0</v>
      </c>
      <c r="O572" s="4245">
        <f t="shared" si="123"/>
        <v>0</v>
      </c>
      <c r="P572" s="4246">
        <f t="shared" si="125"/>
        <v>2015</v>
      </c>
      <c r="Q572" s="4246">
        <f t="shared" si="125"/>
        <v>2015</v>
      </c>
      <c r="R572" s="4241" t="s">
        <v>893</v>
      </c>
      <c r="S572" s="4245">
        <f t="shared" si="124"/>
        <v>0</v>
      </c>
      <c r="T572" s="4247"/>
    </row>
    <row r="573" spans="3:20" ht="30" x14ac:dyDescent="0.25">
      <c r="C573" s="4264" t="str">
        <f t="shared" si="112"/>
        <v>Review of operating practices at scientific landfill sites to ensure compliance with MSW Rules 2000</v>
      </c>
      <c r="D573" s="4237" t="s">
        <v>779</v>
      </c>
      <c r="E573" s="4238">
        <f t="shared" si="113"/>
        <v>0</v>
      </c>
      <c r="F573" s="4238">
        <f t="shared" si="114"/>
        <v>0</v>
      </c>
      <c r="G573" s="4238">
        <f t="shared" si="115"/>
        <v>0</v>
      </c>
      <c r="H573" s="4238">
        <f t="shared" si="116"/>
        <v>0</v>
      </c>
      <c r="I573" s="4238">
        <f t="shared" si="117"/>
        <v>0</v>
      </c>
      <c r="J573" s="4238">
        <f t="shared" si="118"/>
        <v>0</v>
      </c>
      <c r="K573" s="4238">
        <f t="shared" si="119"/>
        <v>0</v>
      </c>
      <c r="L573" s="4238">
        <f t="shared" si="120"/>
        <v>0</v>
      </c>
      <c r="M573" s="4238">
        <f t="shared" si="121"/>
        <v>0</v>
      </c>
      <c r="N573" s="4271">
        <f t="shared" si="122"/>
        <v>0</v>
      </c>
      <c r="O573" s="4245">
        <f t="shared" si="123"/>
        <v>0</v>
      </c>
      <c r="P573" s="4246">
        <f t="shared" si="125"/>
        <v>2015</v>
      </c>
      <c r="Q573" s="4246">
        <f t="shared" si="125"/>
        <v>2015</v>
      </c>
      <c r="R573" s="4241" t="s">
        <v>893</v>
      </c>
      <c r="S573" s="4245">
        <f t="shared" si="124"/>
        <v>0</v>
      </c>
      <c r="T573" s="4247"/>
    </row>
    <row r="574" spans="3:20" x14ac:dyDescent="0.25">
      <c r="C574" s="4264" t="str">
        <f t="shared" si="112"/>
        <v>Improve consumer grievance redressal system</v>
      </c>
      <c r="D574" s="4237" t="s">
        <v>781</v>
      </c>
      <c r="E574" s="4238">
        <f t="shared" si="113"/>
        <v>0</v>
      </c>
      <c r="F574" s="4238">
        <f t="shared" si="114"/>
        <v>0</v>
      </c>
      <c r="G574" s="4238">
        <f t="shared" si="115"/>
        <v>0</v>
      </c>
      <c r="H574" s="4238">
        <f t="shared" si="116"/>
        <v>0</v>
      </c>
      <c r="I574" s="4238">
        <f t="shared" si="117"/>
        <v>0</v>
      </c>
      <c r="J574" s="4238">
        <f t="shared" si="118"/>
        <v>0</v>
      </c>
      <c r="K574" s="4238">
        <f t="shared" si="119"/>
        <v>0</v>
      </c>
      <c r="L574" s="4238">
        <f t="shared" si="120"/>
        <v>0</v>
      </c>
      <c r="M574" s="4238">
        <f t="shared" si="121"/>
        <v>0</v>
      </c>
      <c r="N574" s="4271">
        <f t="shared" si="122"/>
        <v>0</v>
      </c>
      <c r="O574" s="4245">
        <f t="shared" ref="O574:O582" si="126">SUM(E574:N574)</f>
        <v>0</v>
      </c>
      <c r="P574" s="4246">
        <f>'SW Plan'!G202</f>
        <v>0</v>
      </c>
      <c r="Q574" s="4246">
        <f>'SW Plan'!H202</f>
        <v>0</v>
      </c>
      <c r="R574" s="4241" t="s">
        <v>893</v>
      </c>
      <c r="S574" s="4245">
        <f t="shared" si="124"/>
        <v>0</v>
      </c>
      <c r="T574" s="4247"/>
    </row>
    <row r="575" spans="3:20" ht="30" x14ac:dyDescent="0.25">
      <c r="C575" s="4264" t="str">
        <f t="shared" si="112"/>
        <v>Construct sanitary landfill facility for solid waste disposal</v>
      </c>
      <c r="D575" s="4237" t="s">
        <v>780</v>
      </c>
      <c r="E575" s="4238">
        <f t="shared" si="113"/>
        <v>0</v>
      </c>
      <c r="F575" s="4238">
        <f t="shared" si="114"/>
        <v>0</v>
      </c>
      <c r="G575" s="4238">
        <f t="shared" si="115"/>
        <v>0</v>
      </c>
      <c r="H575" s="4238">
        <f t="shared" si="116"/>
        <v>0</v>
      </c>
      <c r="I575" s="4238">
        <f t="shared" si="117"/>
        <v>0</v>
      </c>
      <c r="J575" s="4238">
        <f t="shared" si="118"/>
        <v>0</v>
      </c>
      <c r="K575" s="4238">
        <f t="shared" si="119"/>
        <v>0</v>
      </c>
      <c r="L575" s="4238">
        <f t="shared" si="120"/>
        <v>0</v>
      </c>
      <c r="M575" s="4238">
        <f t="shared" si="121"/>
        <v>0</v>
      </c>
      <c r="N575" s="4271">
        <f t="shared" si="122"/>
        <v>0</v>
      </c>
      <c r="O575" s="4245">
        <f t="shared" si="126"/>
        <v>0</v>
      </c>
      <c r="P575" s="4246">
        <f>'SW Plan'!G209</f>
        <v>0</v>
      </c>
      <c r="Q575" s="4246">
        <f>'SW Plan'!H209</f>
        <v>0</v>
      </c>
      <c r="R575" s="4241" t="s">
        <v>893</v>
      </c>
      <c r="S575" s="4245">
        <f t="shared" si="124"/>
        <v>0</v>
      </c>
      <c r="T575" s="4247"/>
    </row>
    <row r="576" spans="3:20" ht="30" x14ac:dyDescent="0.25">
      <c r="C576" s="4264" t="str">
        <f t="shared" si="112"/>
        <v>Closure of existing dumping site in scientific manner as prescribed by MSW Rules 2000</v>
      </c>
      <c r="D576" s="4237" t="s">
        <v>780</v>
      </c>
      <c r="E576" s="4238">
        <f t="shared" si="113"/>
        <v>0</v>
      </c>
      <c r="F576" s="4238">
        <f t="shared" si="114"/>
        <v>0</v>
      </c>
      <c r="G576" s="4238">
        <f t="shared" si="115"/>
        <v>0</v>
      </c>
      <c r="H576" s="4238">
        <f t="shared" si="116"/>
        <v>0</v>
      </c>
      <c r="I576" s="4238">
        <f t="shared" si="117"/>
        <v>0</v>
      </c>
      <c r="J576" s="4238">
        <f t="shared" si="118"/>
        <v>0</v>
      </c>
      <c r="K576" s="4238">
        <f t="shared" si="119"/>
        <v>0</v>
      </c>
      <c r="L576" s="4238">
        <f t="shared" si="120"/>
        <v>0</v>
      </c>
      <c r="M576" s="4238">
        <f t="shared" si="121"/>
        <v>0</v>
      </c>
      <c r="N576" s="4271">
        <f t="shared" si="122"/>
        <v>0</v>
      </c>
      <c r="O576" s="4245">
        <f t="shared" si="126"/>
        <v>0</v>
      </c>
      <c r="P576" s="4246">
        <f>'SW Plan'!G215</f>
        <v>0</v>
      </c>
      <c r="Q576" s="4246">
        <f>'SW Plan'!H215</f>
        <v>0</v>
      </c>
      <c r="R576" s="4241" t="s">
        <v>893</v>
      </c>
      <c r="S576" s="4245">
        <f t="shared" si="124"/>
        <v>0</v>
      </c>
      <c r="T576" s="4247"/>
    </row>
    <row r="577" spans="1:26" x14ac:dyDescent="0.25">
      <c r="C577" s="4232" t="str">
        <f t="shared" si="112"/>
        <v>Financial sustainaibility</v>
      </c>
      <c r="D577" s="4233"/>
      <c r="E577" s="4233">
        <f t="shared" si="113"/>
        <v>0</v>
      </c>
      <c r="F577" s="4233">
        <f t="shared" si="114"/>
        <v>0</v>
      </c>
      <c r="G577" s="4233">
        <f t="shared" si="115"/>
        <v>0</v>
      </c>
      <c r="H577" s="4233">
        <f t="shared" si="116"/>
        <v>0</v>
      </c>
      <c r="I577" s="4233">
        <f t="shared" si="117"/>
        <v>0</v>
      </c>
      <c r="J577" s="4233">
        <f t="shared" si="118"/>
        <v>0</v>
      </c>
      <c r="K577" s="4233">
        <f t="shared" si="119"/>
        <v>0</v>
      </c>
      <c r="L577" s="4233">
        <f t="shared" si="120"/>
        <v>0</v>
      </c>
      <c r="M577" s="4233">
        <f t="shared" si="121"/>
        <v>0</v>
      </c>
      <c r="N577" s="4233">
        <f t="shared" si="122"/>
        <v>0</v>
      </c>
      <c r="O577" s="4248"/>
      <c r="P577" s="4249"/>
      <c r="Q577" s="4249"/>
      <c r="R577" s="4250" t="s">
        <v>893</v>
      </c>
      <c r="S577" s="4248">
        <f t="shared" si="124"/>
        <v>0</v>
      </c>
      <c r="T577" s="4251"/>
    </row>
    <row r="578" spans="1:26" x14ac:dyDescent="0.25">
      <c r="C578" s="4264" t="str">
        <f t="shared" si="112"/>
        <v>Improve billing and collection of solid waste bills</v>
      </c>
      <c r="D578" s="4237" t="s">
        <v>779</v>
      </c>
      <c r="E578" s="4238">
        <f t="shared" si="113"/>
        <v>0</v>
      </c>
      <c r="F578" s="4238">
        <f t="shared" si="114"/>
        <v>0</v>
      </c>
      <c r="G578" s="4238">
        <f t="shared" si="115"/>
        <v>0</v>
      </c>
      <c r="H578" s="4238">
        <f t="shared" si="116"/>
        <v>0</v>
      </c>
      <c r="I578" s="4238">
        <f t="shared" si="117"/>
        <v>0</v>
      </c>
      <c r="J578" s="4238">
        <f t="shared" si="118"/>
        <v>0</v>
      </c>
      <c r="K578" s="4238">
        <f t="shared" si="119"/>
        <v>0</v>
      </c>
      <c r="L578" s="4238">
        <f t="shared" si="120"/>
        <v>0</v>
      </c>
      <c r="M578" s="4238">
        <f t="shared" si="121"/>
        <v>0</v>
      </c>
      <c r="N578" s="4271">
        <f t="shared" si="122"/>
        <v>0</v>
      </c>
      <c r="O578" s="4245">
        <f t="shared" si="126"/>
        <v>0</v>
      </c>
      <c r="P578" s="4246">
        <f>$E$447</f>
        <v>2015</v>
      </c>
      <c r="Q578" s="4246">
        <f>$E$447</f>
        <v>2015</v>
      </c>
      <c r="R578" s="4241" t="s">
        <v>893</v>
      </c>
      <c r="S578" s="4245">
        <f t="shared" si="124"/>
        <v>0</v>
      </c>
      <c r="T578" s="4247"/>
    </row>
    <row r="579" spans="1:26" ht="30" x14ac:dyDescent="0.25">
      <c r="C579" s="4264" t="str">
        <f t="shared" si="112"/>
        <v>Improve collection efficiency of solid waste charges and taxes</v>
      </c>
      <c r="D579" s="4237" t="s">
        <v>781</v>
      </c>
      <c r="E579" s="4238">
        <f t="shared" si="113"/>
        <v>0</v>
      </c>
      <c r="F579" s="4238">
        <f t="shared" si="114"/>
        <v>0</v>
      </c>
      <c r="G579" s="4238">
        <f t="shared" si="115"/>
        <v>0</v>
      </c>
      <c r="H579" s="4238">
        <f t="shared" si="116"/>
        <v>0</v>
      </c>
      <c r="I579" s="4238">
        <f t="shared" si="117"/>
        <v>0</v>
      </c>
      <c r="J579" s="4238">
        <f t="shared" si="118"/>
        <v>0</v>
      </c>
      <c r="K579" s="4238">
        <f t="shared" si="119"/>
        <v>0</v>
      </c>
      <c r="L579" s="4238">
        <f t="shared" si="120"/>
        <v>0</v>
      </c>
      <c r="M579" s="4238">
        <f t="shared" si="121"/>
        <v>0</v>
      </c>
      <c r="N579" s="4271">
        <f t="shared" si="122"/>
        <v>0</v>
      </c>
      <c r="O579" s="4245">
        <f t="shared" si="126"/>
        <v>0</v>
      </c>
      <c r="P579" s="4246">
        <f>'SW Plan'!G227</f>
        <v>0</v>
      </c>
      <c r="Q579" s="4246">
        <f>'SW Plan'!H227</f>
        <v>0</v>
      </c>
      <c r="R579" s="4241" t="s">
        <v>893</v>
      </c>
      <c r="S579" s="4245">
        <f t="shared" si="124"/>
        <v>0</v>
      </c>
      <c r="T579" s="4247"/>
    </row>
    <row r="580" spans="1:26" x14ac:dyDescent="0.25">
      <c r="C580" s="4232" t="str">
        <f t="shared" si="112"/>
        <v>Generic actions</v>
      </c>
      <c r="D580" s="4233"/>
      <c r="E580" s="4233">
        <f t="shared" si="113"/>
        <v>0</v>
      </c>
      <c r="F580" s="4233">
        <f t="shared" si="114"/>
        <v>0</v>
      </c>
      <c r="G580" s="4233">
        <f t="shared" si="115"/>
        <v>0</v>
      </c>
      <c r="H580" s="4233">
        <f t="shared" si="116"/>
        <v>0</v>
      </c>
      <c r="I580" s="4233">
        <f t="shared" si="117"/>
        <v>0</v>
      </c>
      <c r="J580" s="4233">
        <f t="shared" si="118"/>
        <v>0</v>
      </c>
      <c r="K580" s="4233">
        <f t="shared" si="119"/>
        <v>0</v>
      </c>
      <c r="L580" s="4233">
        <f t="shared" si="120"/>
        <v>0</v>
      </c>
      <c r="M580" s="4233">
        <f t="shared" si="121"/>
        <v>0</v>
      </c>
      <c r="N580" s="4233">
        <f t="shared" si="122"/>
        <v>0</v>
      </c>
      <c r="O580" s="4248"/>
      <c r="P580" s="4249"/>
      <c r="Q580" s="4249"/>
      <c r="R580" s="4250" t="s">
        <v>893</v>
      </c>
      <c r="S580" s="4248">
        <f t="shared" si="124"/>
        <v>0</v>
      </c>
      <c r="T580" s="4251"/>
    </row>
    <row r="581" spans="1:26" x14ac:dyDescent="0.25">
      <c r="C581" s="4264" t="str">
        <f t="shared" si="112"/>
        <v>SW Customised action 1</v>
      </c>
      <c r="D581" s="4237" t="s">
        <v>787</v>
      </c>
      <c r="E581" s="4238">
        <f t="shared" si="113"/>
        <v>0</v>
      </c>
      <c r="F581" s="4238">
        <f t="shared" si="114"/>
        <v>0</v>
      </c>
      <c r="G581" s="4238">
        <f t="shared" si="115"/>
        <v>0</v>
      </c>
      <c r="H581" s="4238">
        <f t="shared" si="116"/>
        <v>0</v>
      </c>
      <c r="I581" s="4238">
        <f t="shared" si="117"/>
        <v>0</v>
      </c>
      <c r="J581" s="4238">
        <f t="shared" si="118"/>
        <v>0</v>
      </c>
      <c r="K581" s="4238">
        <f t="shared" si="119"/>
        <v>0</v>
      </c>
      <c r="L581" s="4238">
        <f t="shared" si="120"/>
        <v>0</v>
      </c>
      <c r="M581" s="4238">
        <f t="shared" si="121"/>
        <v>0</v>
      </c>
      <c r="N581" s="4271">
        <f t="shared" si="122"/>
        <v>0</v>
      </c>
      <c r="O581" s="4245">
        <f t="shared" si="126"/>
        <v>0</v>
      </c>
      <c r="P581" s="4246">
        <f>'SW Plan'!G239</f>
        <v>0</v>
      </c>
      <c r="Q581" s="4246">
        <f>'SW Plan'!H239</f>
        <v>0</v>
      </c>
      <c r="R581" s="4241" t="s">
        <v>893</v>
      </c>
      <c r="S581" s="4245">
        <f t="shared" si="124"/>
        <v>0</v>
      </c>
      <c r="T581" s="4247"/>
    </row>
    <row r="582" spans="1:26" x14ac:dyDescent="0.25">
      <c r="C582" s="4264" t="str">
        <f t="shared" si="112"/>
        <v>SW Customised action 2</v>
      </c>
      <c r="D582" s="4237" t="s">
        <v>787</v>
      </c>
      <c r="E582" s="4238">
        <f t="shared" si="113"/>
        <v>0</v>
      </c>
      <c r="F582" s="4238">
        <f t="shared" si="114"/>
        <v>0</v>
      </c>
      <c r="G582" s="4238">
        <f t="shared" si="115"/>
        <v>0</v>
      </c>
      <c r="H582" s="4238">
        <f t="shared" si="116"/>
        <v>0</v>
      </c>
      <c r="I582" s="4238">
        <f t="shared" si="117"/>
        <v>0</v>
      </c>
      <c r="J582" s="4238">
        <f t="shared" si="118"/>
        <v>0</v>
      </c>
      <c r="K582" s="4238">
        <f t="shared" si="119"/>
        <v>0</v>
      </c>
      <c r="L582" s="4238">
        <f t="shared" si="120"/>
        <v>0</v>
      </c>
      <c r="M582" s="4238">
        <f t="shared" si="121"/>
        <v>0</v>
      </c>
      <c r="N582" s="4271">
        <f t="shared" si="122"/>
        <v>0</v>
      </c>
      <c r="O582" s="4245">
        <f t="shared" si="126"/>
        <v>0</v>
      </c>
      <c r="P582" s="4246">
        <f>'SW Plan'!G246</f>
        <v>0</v>
      </c>
      <c r="Q582" s="4246">
        <f>'SW Plan'!H246</f>
        <v>0</v>
      </c>
      <c r="R582" s="4241" t="s">
        <v>893</v>
      </c>
      <c r="S582" s="4245">
        <f t="shared" si="124"/>
        <v>0</v>
      </c>
      <c r="T582" s="4247"/>
    </row>
    <row r="583" spans="1:26" x14ac:dyDescent="0.25">
      <c r="D583" s="4192"/>
      <c r="E583" s="4255"/>
      <c r="F583" s="4255"/>
      <c r="G583" s="4255"/>
      <c r="H583" s="4255"/>
      <c r="I583" s="4255"/>
      <c r="J583" s="4255"/>
      <c r="K583" s="4255"/>
      <c r="L583" s="4255"/>
      <c r="M583" s="4255"/>
      <c r="N583" s="4255"/>
      <c r="O583" s="4276"/>
      <c r="P583" s="4277"/>
      <c r="Q583" s="4280"/>
      <c r="R583" s="4258"/>
      <c r="S583" s="4258"/>
    </row>
    <row r="584" spans="1:26" s="4179" customFormat="1" x14ac:dyDescent="0.25">
      <c r="D584" s="4180"/>
    </row>
    <row r="585" spans="1:26" x14ac:dyDescent="0.25">
      <c r="D585" s="4192"/>
      <c r="E585" s="4255"/>
      <c r="F585" s="4255"/>
      <c r="G585" s="4255"/>
      <c r="H585" s="4255"/>
      <c r="I585" s="4255"/>
      <c r="J585" s="4255"/>
      <c r="K585" s="4255"/>
      <c r="L585" s="4255"/>
      <c r="M585" s="4255"/>
      <c r="N585" s="4255"/>
      <c r="P585" s="4281"/>
      <c r="Q585" s="4282"/>
    </row>
    <row r="586" spans="1:26" s="4093" customFormat="1" ht="23.25" x14ac:dyDescent="0.25">
      <c r="A586" s="4089"/>
      <c r="B586" s="4089"/>
      <c r="C586" s="4090" t="s">
        <v>3094</v>
      </c>
      <c r="D586" s="4227"/>
      <c r="E586" s="4092"/>
      <c r="F586" s="4092"/>
      <c r="G586" s="4092"/>
      <c r="H586" s="4092"/>
      <c r="I586" s="4092"/>
      <c r="J586" s="4092"/>
      <c r="K586" s="4092"/>
      <c r="L586" s="4092"/>
      <c r="M586" s="4092"/>
      <c r="N586" s="4092"/>
      <c r="O586" s="4092"/>
      <c r="P586" s="4092"/>
      <c r="Q586" s="4092"/>
      <c r="R586" s="4092"/>
      <c r="S586" s="4092"/>
    </row>
    <row r="587" spans="1:26" s="4076" customFormat="1" x14ac:dyDescent="0.25">
      <c r="C587" s="4283" t="s">
        <v>900</v>
      </c>
      <c r="D587" s="4284">
        <f t="shared" ref="D587:M587" si="127">G7</f>
        <v>2015</v>
      </c>
      <c r="E587" s="4285">
        <f t="shared" si="127"/>
        <v>2016</v>
      </c>
      <c r="F587" s="4285">
        <f t="shared" si="127"/>
        <v>2017</v>
      </c>
      <c r="G587" s="4285">
        <f t="shared" si="127"/>
        <v>2018</v>
      </c>
      <c r="H587" s="4285">
        <f t="shared" si="127"/>
        <v>2019</v>
      </c>
      <c r="I587" s="4285">
        <f t="shared" si="127"/>
        <v>2020</v>
      </c>
      <c r="J587" s="4285">
        <f t="shared" si="127"/>
        <v>2021</v>
      </c>
      <c r="K587" s="4285">
        <f t="shared" si="127"/>
        <v>2022</v>
      </c>
      <c r="L587" s="4285">
        <f t="shared" si="127"/>
        <v>2023</v>
      </c>
      <c r="M587" s="4285">
        <f t="shared" si="127"/>
        <v>2024</v>
      </c>
      <c r="N587" s="4285" t="s">
        <v>16</v>
      </c>
      <c r="O587" s="4071"/>
      <c r="P587" s="4071"/>
    </row>
    <row r="588" spans="1:26" x14ac:dyDescent="0.25">
      <c r="C588" s="1632" t="s">
        <v>898</v>
      </c>
      <c r="D588" s="4085">
        <f t="shared" ref="D588:M588" si="128">G59</f>
        <v>0</v>
      </c>
      <c r="E588" s="4286">
        <f t="shared" si="128"/>
        <v>0</v>
      </c>
      <c r="F588" s="4286">
        <f t="shared" si="128"/>
        <v>0</v>
      </c>
      <c r="G588" s="4286">
        <f t="shared" si="128"/>
        <v>0</v>
      </c>
      <c r="H588" s="4286">
        <f t="shared" si="128"/>
        <v>0</v>
      </c>
      <c r="I588" s="4286">
        <f t="shared" si="128"/>
        <v>0</v>
      </c>
      <c r="J588" s="4286">
        <f t="shared" si="128"/>
        <v>0</v>
      </c>
      <c r="K588" s="4286">
        <f t="shared" si="128"/>
        <v>0</v>
      </c>
      <c r="L588" s="4286">
        <f t="shared" si="128"/>
        <v>0</v>
      </c>
      <c r="M588" s="4286">
        <f t="shared" si="128"/>
        <v>0</v>
      </c>
      <c r="N588" s="4074">
        <f>SUM(D588:M588)</f>
        <v>0</v>
      </c>
    </row>
    <row r="589" spans="1:26" x14ac:dyDescent="0.25">
      <c r="C589" s="1632" t="s">
        <v>494</v>
      </c>
      <c r="D589" s="4085">
        <f t="shared" ref="D589:M589" si="129">G114</f>
        <v>0</v>
      </c>
      <c r="E589" s="4286">
        <f t="shared" si="129"/>
        <v>0</v>
      </c>
      <c r="F589" s="4286">
        <f t="shared" si="129"/>
        <v>0</v>
      </c>
      <c r="G589" s="4286">
        <f t="shared" si="129"/>
        <v>0</v>
      </c>
      <c r="H589" s="4286">
        <f t="shared" si="129"/>
        <v>0</v>
      </c>
      <c r="I589" s="4286">
        <f t="shared" si="129"/>
        <v>0</v>
      </c>
      <c r="J589" s="4286">
        <f t="shared" si="129"/>
        <v>0</v>
      </c>
      <c r="K589" s="4286">
        <f t="shared" si="129"/>
        <v>0</v>
      </c>
      <c r="L589" s="4286">
        <f t="shared" si="129"/>
        <v>0</v>
      </c>
      <c r="M589" s="4286">
        <f t="shared" si="129"/>
        <v>0</v>
      </c>
      <c r="N589" s="4074">
        <f t="shared" ref="N589:N602" si="130">SUM(D589:M589)</f>
        <v>0</v>
      </c>
    </row>
    <row r="590" spans="1:26" x14ac:dyDescent="0.25">
      <c r="C590" s="1632" t="s">
        <v>495</v>
      </c>
      <c r="D590" s="4085">
        <f>MAX('WS calcu'!F764-'WS calcu'!F763,0)</f>
        <v>0</v>
      </c>
      <c r="E590" s="4085">
        <f>MAX('WS calcu'!G764-'WS calcu'!G763,0)</f>
        <v>0</v>
      </c>
      <c r="F590" s="4085">
        <f>MAX('WS calcu'!H764-'WS calcu'!H763,0)</f>
        <v>0</v>
      </c>
      <c r="G590" s="4085">
        <f>MAX('WS calcu'!I764-'WS calcu'!I763,0)</f>
        <v>0</v>
      </c>
      <c r="H590" s="4085">
        <f>MAX('WS calcu'!J764-'WS calcu'!J763,0)</f>
        <v>0</v>
      </c>
      <c r="I590" s="4085">
        <f>MAX('WS calcu'!K764-'WS calcu'!K763,0)</f>
        <v>0</v>
      </c>
      <c r="J590" s="4085">
        <f>MAX('WS calcu'!L764-'WS calcu'!L763,0)</f>
        <v>0</v>
      </c>
      <c r="K590" s="4085">
        <f>MAX('WS calcu'!M764-'WS calcu'!M763,0)</f>
        <v>0</v>
      </c>
      <c r="L590" s="4085">
        <f>MAX('WS calcu'!N764-'WS calcu'!N763,0)</f>
        <v>0</v>
      </c>
      <c r="M590" s="4085">
        <f>MAX('WS calcu'!O764-'WS calcu'!O763,0)</f>
        <v>0</v>
      </c>
      <c r="N590" s="4074">
        <f t="shared" si="130"/>
        <v>0</v>
      </c>
    </row>
    <row r="591" spans="1:26" s="4076" customFormat="1" ht="18.75" x14ac:dyDescent="0.3">
      <c r="C591" s="4287" t="s">
        <v>901</v>
      </c>
      <c r="D591" s="4288"/>
      <c r="E591" s="4173"/>
      <c r="F591" s="4173"/>
      <c r="G591" s="4173"/>
      <c r="H591" s="4173"/>
      <c r="I591" s="4173"/>
      <c r="J591" s="4173"/>
      <c r="K591" s="4173"/>
      <c r="L591" s="4173"/>
      <c r="M591" s="4173"/>
      <c r="O591" s="4071"/>
      <c r="P591" s="4079" t="str">
        <f>'Action Plan finance'!$D$14</f>
        <v>TOTAL  WSS</v>
      </c>
      <c r="Q591" s="4079"/>
    </row>
    <row r="592" spans="1:26" x14ac:dyDescent="0.25">
      <c r="C592" s="1632" t="s">
        <v>493</v>
      </c>
      <c r="D592" s="4289">
        <f t="shared" ref="D592:M592" si="131">G220</f>
        <v>345.26666666666671</v>
      </c>
      <c r="E592" s="4290">
        <f t="shared" si="131"/>
        <v>301.06233333333336</v>
      </c>
      <c r="F592" s="4290">
        <f t="shared" si="131"/>
        <v>256.87739666666664</v>
      </c>
      <c r="G592" s="4290">
        <f t="shared" si="131"/>
        <v>242.19100109999999</v>
      </c>
      <c r="H592" s="4290">
        <f t="shared" si="131"/>
        <v>259.14437117700004</v>
      </c>
      <c r="I592" s="4290">
        <f t="shared" si="131"/>
        <v>0</v>
      </c>
      <c r="J592" s="4290">
        <f t="shared" si="131"/>
        <v>0</v>
      </c>
      <c r="K592" s="4290">
        <f t="shared" si="131"/>
        <v>0</v>
      </c>
      <c r="L592" s="4290">
        <f t="shared" si="131"/>
        <v>0</v>
      </c>
      <c r="M592" s="4290">
        <f t="shared" si="131"/>
        <v>0</v>
      </c>
      <c r="N592" s="4291">
        <f t="shared" si="130"/>
        <v>1404.5417689436667</v>
      </c>
      <c r="P592" s="4080" t="s">
        <v>211</v>
      </c>
      <c r="Q592" s="4081">
        <f t="shared" ref="Q592:Z592" si="132">D587</f>
        <v>2015</v>
      </c>
      <c r="R592" s="4082">
        <f t="shared" si="132"/>
        <v>2016</v>
      </c>
      <c r="S592" s="4082">
        <f t="shared" si="132"/>
        <v>2017</v>
      </c>
      <c r="T592" s="4082">
        <f t="shared" si="132"/>
        <v>2018</v>
      </c>
      <c r="U592" s="4082">
        <f t="shared" si="132"/>
        <v>2019</v>
      </c>
      <c r="V592" s="4082">
        <f t="shared" si="132"/>
        <v>2020</v>
      </c>
      <c r="W592" s="4082">
        <f t="shared" si="132"/>
        <v>2021</v>
      </c>
      <c r="X592" s="4082">
        <f t="shared" si="132"/>
        <v>2022</v>
      </c>
      <c r="Y592" s="4082">
        <f t="shared" si="132"/>
        <v>2023</v>
      </c>
      <c r="Z592" s="4082">
        <f t="shared" si="132"/>
        <v>2024</v>
      </c>
    </row>
    <row r="593" spans="1:26" x14ac:dyDescent="0.25">
      <c r="C593" s="1632" t="s">
        <v>494</v>
      </c>
      <c r="D593" s="4289">
        <f t="shared" ref="D593:M593" si="133">G268</f>
        <v>2.5116666666666667</v>
      </c>
      <c r="E593" s="4290">
        <f t="shared" si="133"/>
        <v>16.898</v>
      </c>
      <c r="F593" s="4290">
        <f t="shared" si="133"/>
        <v>24.158531249999999</v>
      </c>
      <c r="G593" s="4290">
        <f t="shared" si="133"/>
        <v>25.366457812500002</v>
      </c>
      <c r="H593" s="4290">
        <f t="shared" si="133"/>
        <v>26.634780703125006</v>
      </c>
      <c r="I593" s="4290">
        <f t="shared" si="133"/>
        <v>27.96651973828126</v>
      </c>
      <c r="J593" s="4290">
        <f t="shared" si="133"/>
        <v>29.364845725195323</v>
      </c>
      <c r="K593" s="4290">
        <f t="shared" si="133"/>
        <v>30.833088011455089</v>
      </c>
      <c r="L593" s="4290">
        <f t="shared" si="133"/>
        <v>32.374742412027842</v>
      </c>
      <c r="M593" s="4290">
        <f t="shared" si="133"/>
        <v>33.993479532629237</v>
      </c>
      <c r="N593" s="4291">
        <f t="shared" si="130"/>
        <v>250.10211185188044</v>
      </c>
      <c r="P593" s="4292" t="s">
        <v>493</v>
      </c>
      <c r="Q593" s="4083">
        <f>IF($P$591=$C$587,D588,IF($P$591=$C$591,D592,IF($P$591=$C$595,D596,D600)))</f>
        <v>345.26666666666671</v>
      </c>
      <c r="R593" s="4293">
        <f t="shared" ref="Q593:Z595" si="134">IF($P$591=$C$587,E588,IF($P$591=$C$591,E592,IF($P$591=$C$595,E596,E600)))</f>
        <v>301.06233333333336</v>
      </c>
      <c r="S593" s="4293">
        <f t="shared" si="134"/>
        <v>256.87739666666664</v>
      </c>
      <c r="T593" s="4293">
        <f t="shared" si="134"/>
        <v>242.19100109999999</v>
      </c>
      <c r="U593" s="4293">
        <f t="shared" si="134"/>
        <v>259.14437117700004</v>
      </c>
      <c r="V593" s="4293">
        <f t="shared" si="134"/>
        <v>0</v>
      </c>
      <c r="W593" s="4293">
        <f t="shared" si="134"/>
        <v>0</v>
      </c>
      <c r="X593" s="4293">
        <f t="shared" si="134"/>
        <v>0</v>
      </c>
      <c r="Y593" s="4293">
        <f t="shared" si="134"/>
        <v>0</v>
      </c>
      <c r="Z593" s="4293">
        <f t="shared" si="134"/>
        <v>0</v>
      </c>
    </row>
    <row r="594" spans="1:26" x14ac:dyDescent="0.25">
      <c r="C594" s="1632" t="s">
        <v>495</v>
      </c>
      <c r="D594" s="4289">
        <f>MAX('WW calcu'!F973-'WW calcu'!F972,0)</f>
        <v>1.4133333333333336</v>
      </c>
      <c r="E594" s="4289">
        <f>MAX('WW calcu'!G973-'WW calcu'!G972,0)</f>
        <v>1.4345333333333334</v>
      </c>
      <c r="F594" s="4289">
        <f>MAX('WW calcu'!H973-'WW calcu'!H972,0)</f>
        <v>1.4563693333333336</v>
      </c>
      <c r="G594" s="4289">
        <f>MAX('WW calcu'!I973-'WW calcu'!I972,0)</f>
        <v>17.201518364333332</v>
      </c>
      <c r="H594" s="4289">
        <f>MAX('WW calcu'!J973-'WW calcu'!J972,0)</f>
        <v>17.470973915263336</v>
      </c>
      <c r="I594" s="4289">
        <f>MAX('WW calcu'!K973-'WW calcu'!K972,0)</f>
        <v>0</v>
      </c>
      <c r="J594" s="4289">
        <f>MAX('WW calcu'!L973-'WW calcu'!L972,0)</f>
        <v>0</v>
      </c>
      <c r="K594" s="4289">
        <f>MAX('WW calcu'!M973-'WW calcu'!M972,0)</f>
        <v>0</v>
      </c>
      <c r="L594" s="4289">
        <f>MAX('WW calcu'!N973-'WW calcu'!N972,0)</f>
        <v>0</v>
      </c>
      <c r="M594" s="4289">
        <f>MAX('WW calcu'!O973-'WW calcu'!O972,0)</f>
        <v>0</v>
      </c>
      <c r="N594" s="4291">
        <f t="shared" si="130"/>
        <v>38.976728279596671</v>
      </c>
      <c r="P594" s="4292" t="s">
        <v>494</v>
      </c>
      <c r="Q594" s="4083">
        <f t="shared" si="134"/>
        <v>2.5116666666666667</v>
      </c>
      <c r="R594" s="4293">
        <f t="shared" si="134"/>
        <v>16.898</v>
      </c>
      <c r="S594" s="4293">
        <f t="shared" si="134"/>
        <v>24.158531249999999</v>
      </c>
      <c r="T594" s="4293">
        <f t="shared" si="134"/>
        <v>25.366457812500002</v>
      </c>
      <c r="U594" s="4293">
        <f t="shared" si="134"/>
        <v>26.634780703125006</v>
      </c>
      <c r="V594" s="4293">
        <f t="shared" si="134"/>
        <v>27.96651973828126</v>
      </c>
      <c r="W594" s="4293">
        <f t="shared" si="134"/>
        <v>29.364845725195323</v>
      </c>
      <c r="X594" s="4293">
        <f t="shared" si="134"/>
        <v>30.833088011455089</v>
      </c>
      <c r="Y594" s="4293">
        <f t="shared" si="134"/>
        <v>32.374742412027842</v>
      </c>
      <c r="Z594" s="4293">
        <f t="shared" si="134"/>
        <v>33.993479532629237</v>
      </c>
    </row>
    <row r="595" spans="1:26" s="4076" customFormat="1" x14ac:dyDescent="0.25">
      <c r="C595" s="4287" t="s">
        <v>902</v>
      </c>
      <c r="D595" s="4288"/>
      <c r="E595" s="4173"/>
      <c r="F595" s="4173"/>
      <c r="G595" s="4173"/>
      <c r="H595" s="4173"/>
      <c r="I595" s="4173"/>
      <c r="J595" s="4173"/>
      <c r="K595" s="4173"/>
      <c r="L595" s="4173"/>
      <c r="M595" s="4173"/>
      <c r="O595" s="4071"/>
      <c r="P595" s="4292" t="s">
        <v>495</v>
      </c>
      <c r="Q595" s="4083">
        <f t="shared" si="134"/>
        <v>1.4133333333333336</v>
      </c>
      <c r="R595" s="4293">
        <f t="shared" si="134"/>
        <v>1.4345333333333334</v>
      </c>
      <c r="S595" s="4293">
        <f t="shared" si="134"/>
        <v>1.4563693333333336</v>
      </c>
      <c r="T595" s="4293">
        <f t="shared" si="134"/>
        <v>17.201518364333332</v>
      </c>
      <c r="U595" s="4293">
        <f t="shared" si="134"/>
        <v>17.470973915263336</v>
      </c>
      <c r="V595" s="4293">
        <f t="shared" si="134"/>
        <v>0</v>
      </c>
      <c r="W595" s="4293">
        <f t="shared" si="134"/>
        <v>0</v>
      </c>
      <c r="X595" s="4293">
        <f t="shared" si="134"/>
        <v>0</v>
      </c>
      <c r="Y595" s="4293">
        <f t="shared" si="134"/>
        <v>0</v>
      </c>
      <c r="Z595" s="4293">
        <f t="shared" si="134"/>
        <v>0</v>
      </c>
    </row>
    <row r="596" spans="1:26" x14ac:dyDescent="0.25">
      <c r="C596" s="1632" t="s">
        <v>493</v>
      </c>
      <c r="D596" s="4289">
        <f t="shared" ref="D596:M596" si="135">G360</f>
        <v>0</v>
      </c>
      <c r="E596" s="4290">
        <f t="shared" si="135"/>
        <v>0</v>
      </c>
      <c r="F596" s="4290">
        <f t="shared" si="135"/>
        <v>0</v>
      </c>
      <c r="G596" s="4290">
        <f t="shared" si="135"/>
        <v>0</v>
      </c>
      <c r="H596" s="4290">
        <f t="shared" si="135"/>
        <v>0</v>
      </c>
      <c r="I596" s="4290">
        <f t="shared" si="135"/>
        <v>0</v>
      </c>
      <c r="J596" s="4290">
        <f t="shared" si="135"/>
        <v>0</v>
      </c>
      <c r="K596" s="4290">
        <f t="shared" si="135"/>
        <v>0</v>
      </c>
      <c r="L596" s="4290">
        <f t="shared" si="135"/>
        <v>0</v>
      </c>
      <c r="M596" s="4290">
        <f t="shared" si="135"/>
        <v>0</v>
      </c>
      <c r="N596" s="4291">
        <f t="shared" si="130"/>
        <v>0</v>
      </c>
    </row>
    <row r="597" spans="1:26" x14ac:dyDescent="0.25">
      <c r="C597" s="1632" t="s">
        <v>494</v>
      </c>
      <c r="D597" s="4289">
        <f t="shared" ref="D597:M597" si="136">G401</f>
        <v>0</v>
      </c>
      <c r="E597" s="4290">
        <f t="shared" si="136"/>
        <v>0</v>
      </c>
      <c r="F597" s="4290">
        <f t="shared" si="136"/>
        <v>0</v>
      </c>
      <c r="G597" s="4290">
        <f t="shared" si="136"/>
        <v>0</v>
      </c>
      <c r="H597" s="4290">
        <f t="shared" si="136"/>
        <v>0</v>
      </c>
      <c r="I597" s="4290">
        <f t="shared" si="136"/>
        <v>0</v>
      </c>
      <c r="J597" s="4290">
        <f t="shared" si="136"/>
        <v>0</v>
      </c>
      <c r="K597" s="4290">
        <f t="shared" si="136"/>
        <v>0</v>
      </c>
      <c r="L597" s="4290">
        <f t="shared" si="136"/>
        <v>0</v>
      </c>
      <c r="M597" s="4290">
        <f t="shared" si="136"/>
        <v>0</v>
      </c>
      <c r="N597" s="4291">
        <f t="shared" si="130"/>
        <v>0</v>
      </c>
    </row>
    <row r="598" spans="1:26" x14ac:dyDescent="0.25">
      <c r="C598" s="1632" t="s">
        <v>495</v>
      </c>
      <c r="D598" s="4085">
        <f>MAX('MSW calcu'!G236-'MSW calcu'!G235,0)</f>
        <v>0</v>
      </c>
      <c r="E598" s="4085">
        <f>MAX('MSW calcu'!H236-'MSW calcu'!H235,0)</f>
        <v>0</v>
      </c>
      <c r="F598" s="4085">
        <f>MAX('MSW calcu'!I236-'MSW calcu'!I235,0)</f>
        <v>0</v>
      </c>
      <c r="G598" s="4085">
        <f>MAX('MSW calcu'!J236-'MSW calcu'!J235,0)</f>
        <v>0</v>
      </c>
      <c r="H598" s="4085">
        <f>MAX('MSW calcu'!K236-'MSW calcu'!K235,0)</f>
        <v>0</v>
      </c>
      <c r="I598" s="4085">
        <f>MAX('MSW calcu'!L236-'MSW calcu'!L235,0)</f>
        <v>0</v>
      </c>
      <c r="J598" s="4085">
        <f>MAX('MSW calcu'!M236-'MSW calcu'!M235,0)</f>
        <v>0</v>
      </c>
      <c r="K598" s="4085">
        <f>MAX('MSW calcu'!N236-'MSW calcu'!N235,0)</f>
        <v>0</v>
      </c>
      <c r="L598" s="4085">
        <f>MAX('MSW calcu'!O236-'MSW calcu'!O235,0)</f>
        <v>0</v>
      </c>
      <c r="M598" s="4085">
        <f>MAX('MSW calcu'!P236-'MSW calcu'!P235,0)</f>
        <v>0</v>
      </c>
      <c r="N598" s="4074">
        <f t="shared" si="130"/>
        <v>0</v>
      </c>
    </row>
    <row r="599" spans="1:26" s="4076" customFormat="1" x14ac:dyDescent="0.25">
      <c r="C599" s="4287" t="s">
        <v>903</v>
      </c>
      <c r="D599" s="4078"/>
      <c r="O599" s="4071"/>
    </row>
    <row r="600" spans="1:26" x14ac:dyDescent="0.25">
      <c r="C600" s="1632" t="s">
        <v>493</v>
      </c>
      <c r="D600" s="4085">
        <f t="shared" ref="D600:M600" si="137">D588+D592+D596</f>
        <v>345.26666666666671</v>
      </c>
      <c r="E600" s="4286">
        <f t="shared" si="137"/>
        <v>301.06233333333336</v>
      </c>
      <c r="F600" s="4286">
        <f t="shared" si="137"/>
        <v>256.87739666666664</v>
      </c>
      <c r="G600" s="4286">
        <f t="shared" si="137"/>
        <v>242.19100109999999</v>
      </c>
      <c r="H600" s="4286">
        <f t="shared" si="137"/>
        <v>259.14437117700004</v>
      </c>
      <c r="I600" s="4286">
        <f t="shared" si="137"/>
        <v>0</v>
      </c>
      <c r="J600" s="4286">
        <f t="shared" si="137"/>
        <v>0</v>
      </c>
      <c r="K600" s="4286">
        <f t="shared" si="137"/>
        <v>0</v>
      </c>
      <c r="L600" s="4286">
        <f t="shared" si="137"/>
        <v>0</v>
      </c>
      <c r="M600" s="4286">
        <f t="shared" si="137"/>
        <v>0</v>
      </c>
      <c r="N600" s="4074">
        <f t="shared" si="130"/>
        <v>1404.5417689436667</v>
      </c>
    </row>
    <row r="601" spans="1:26" x14ac:dyDescent="0.25">
      <c r="C601" s="1632" t="s">
        <v>494</v>
      </c>
      <c r="D601" s="4085">
        <f t="shared" ref="D601:M601" si="138">D589+D593+D597</f>
        <v>2.5116666666666667</v>
      </c>
      <c r="E601" s="4286">
        <f t="shared" si="138"/>
        <v>16.898</v>
      </c>
      <c r="F601" s="4286">
        <f t="shared" si="138"/>
        <v>24.158531249999999</v>
      </c>
      <c r="G601" s="4286">
        <f t="shared" si="138"/>
        <v>25.366457812500002</v>
      </c>
      <c r="H601" s="4286">
        <f t="shared" si="138"/>
        <v>26.634780703125006</v>
      </c>
      <c r="I601" s="4286">
        <f t="shared" si="138"/>
        <v>27.96651973828126</v>
      </c>
      <c r="J601" s="4286">
        <f t="shared" si="138"/>
        <v>29.364845725195323</v>
      </c>
      <c r="K601" s="4286">
        <f t="shared" si="138"/>
        <v>30.833088011455089</v>
      </c>
      <c r="L601" s="4286">
        <f t="shared" si="138"/>
        <v>32.374742412027842</v>
      </c>
      <c r="M601" s="4286">
        <f t="shared" si="138"/>
        <v>33.993479532629237</v>
      </c>
      <c r="N601" s="4074">
        <f t="shared" si="130"/>
        <v>250.10211185188044</v>
      </c>
    </row>
    <row r="602" spans="1:26" x14ac:dyDescent="0.25">
      <c r="C602" s="1632" t="s">
        <v>495</v>
      </c>
      <c r="D602" s="4085">
        <f t="shared" ref="D602:M602" si="139">D590+D594+D598</f>
        <v>1.4133333333333336</v>
      </c>
      <c r="E602" s="4286">
        <f t="shared" si="139"/>
        <v>1.4345333333333334</v>
      </c>
      <c r="F602" s="4286">
        <f t="shared" si="139"/>
        <v>1.4563693333333336</v>
      </c>
      <c r="G602" s="4286">
        <f t="shared" si="139"/>
        <v>17.201518364333332</v>
      </c>
      <c r="H602" s="4286">
        <f t="shared" si="139"/>
        <v>17.470973915263336</v>
      </c>
      <c r="I602" s="4286">
        <f t="shared" si="139"/>
        <v>0</v>
      </c>
      <c r="J602" s="4286">
        <f t="shared" si="139"/>
        <v>0</v>
      </c>
      <c r="K602" s="4286">
        <f t="shared" si="139"/>
        <v>0</v>
      </c>
      <c r="L602" s="4286">
        <f t="shared" si="139"/>
        <v>0</v>
      </c>
      <c r="M602" s="4286">
        <f t="shared" si="139"/>
        <v>0</v>
      </c>
      <c r="N602" s="4074">
        <f t="shared" si="130"/>
        <v>38.976728279596671</v>
      </c>
    </row>
    <row r="604" spans="1:26" s="4179" customFormat="1" x14ac:dyDescent="0.25">
      <c r="D604" s="4180"/>
    </row>
    <row r="605" spans="1:26" x14ac:dyDescent="0.25">
      <c r="C605" s="4076"/>
      <c r="D605" s="4078"/>
      <c r="E605" s="4076"/>
    </row>
    <row r="606" spans="1:26" ht="23.25" x14ac:dyDescent="0.25">
      <c r="A606" s="4089"/>
      <c r="B606" s="4089"/>
      <c r="C606" s="4090" t="s">
        <v>3095</v>
      </c>
      <c r="D606" s="4227"/>
      <c r="E606" s="4092"/>
      <c r="F606" s="4092"/>
      <c r="G606" s="4092"/>
      <c r="H606" s="4092"/>
      <c r="I606" s="4092"/>
      <c r="J606" s="4092"/>
      <c r="K606" s="4092"/>
      <c r="L606" s="4092"/>
      <c r="M606" s="4092"/>
      <c r="N606" s="4092"/>
      <c r="O606" s="4092"/>
      <c r="P606" s="4092"/>
      <c r="Q606" s="4092"/>
      <c r="R606" s="4092"/>
      <c r="S606" s="4092"/>
      <c r="T606" s="4093"/>
      <c r="U606" s="4093"/>
      <c r="V606" s="4093"/>
      <c r="W606" s="4093"/>
      <c r="X606" s="4093"/>
      <c r="Y606" s="4093"/>
      <c r="Z606" s="4093"/>
    </row>
    <row r="607" spans="1:26" x14ac:dyDescent="0.25">
      <c r="A607" s="4076"/>
      <c r="B607" s="4076"/>
      <c r="C607" s="4294" t="s">
        <v>900</v>
      </c>
      <c r="D607" s="4284">
        <f>D587</f>
        <v>2015</v>
      </c>
      <c r="E607" s="4284">
        <f t="shared" ref="E607:N607" si="140">E587</f>
        <v>2016</v>
      </c>
      <c r="F607" s="4284">
        <f t="shared" si="140"/>
        <v>2017</v>
      </c>
      <c r="G607" s="4284">
        <f t="shared" si="140"/>
        <v>2018</v>
      </c>
      <c r="H607" s="4284">
        <f t="shared" si="140"/>
        <v>2019</v>
      </c>
      <c r="I607" s="4284">
        <f t="shared" si="140"/>
        <v>2020</v>
      </c>
      <c r="J607" s="4284">
        <f t="shared" si="140"/>
        <v>2021</v>
      </c>
      <c r="K607" s="4284">
        <f t="shared" si="140"/>
        <v>2022</v>
      </c>
      <c r="L607" s="4284">
        <f t="shared" si="140"/>
        <v>2023</v>
      </c>
      <c r="M607" s="4284">
        <f t="shared" si="140"/>
        <v>2024</v>
      </c>
      <c r="N607" s="4284" t="str">
        <f t="shared" si="140"/>
        <v>Total</v>
      </c>
      <c r="Q607" s="4076"/>
      <c r="R607" s="4076"/>
      <c r="S607" s="4076"/>
      <c r="T607" s="4076"/>
      <c r="U607" s="4076"/>
      <c r="V607" s="4076"/>
      <c r="W607" s="4076"/>
      <c r="X607" s="4076"/>
      <c r="Y607" s="4076"/>
      <c r="Z607" s="4076"/>
    </row>
    <row r="608" spans="1:26" x14ac:dyDescent="0.25">
      <c r="C608" s="4072" t="s">
        <v>3746</v>
      </c>
      <c r="D608" s="4073">
        <f t="shared" ref="D608:M608" ca="1" si="141">SUMPRODUCT(G$9:G$58,$V$9:$V$58)</f>
        <v>0</v>
      </c>
      <c r="E608" s="4073">
        <f t="shared" ca="1" si="141"/>
        <v>0</v>
      </c>
      <c r="F608" s="4073">
        <f t="shared" ca="1" si="141"/>
        <v>0</v>
      </c>
      <c r="G608" s="4073">
        <f t="shared" ca="1" si="141"/>
        <v>0</v>
      </c>
      <c r="H608" s="4073">
        <f t="shared" ca="1" si="141"/>
        <v>0</v>
      </c>
      <c r="I608" s="4073">
        <f t="shared" ca="1" si="141"/>
        <v>0</v>
      </c>
      <c r="J608" s="4073">
        <f t="shared" ca="1" si="141"/>
        <v>0</v>
      </c>
      <c r="K608" s="4073">
        <f t="shared" ca="1" si="141"/>
        <v>0</v>
      </c>
      <c r="L608" s="4073">
        <f t="shared" ca="1" si="141"/>
        <v>0</v>
      </c>
      <c r="M608" s="4073">
        <f t="shared" ca="1" si="141"/>
        <v>0</v>
      </c>
      <c r="N608" s="4074">
        <f t="shared" ref="N608:N613" ca="1" si="142">SUM(D608:M608)</f>
        <v>0</v>
      </c>
    </row>
    <row r="609" spans="1:26" x14ac:dyDescent="0.25">
      <c r="C609" s="4072" t="s">
        <v>1374</v>
      </c>
      <c r="D609" s="4073">
        <f t="shared" ref="D609:M609" ca="1" si="143">SUMPRODUCT(G$9:G$58,$Q$9:$Q$58)</f>
        <v>0</v>
      </c>
      <c r="E609" s="4073">
        <f t="shared" ca="1" si="143"/>
        <v>0</v>
      </c>
      <c r="F609" s="4073">
        <f t="shared" ca="1" si="143"/>
        <v>0</v>
      </c>
      <c r="G609" s="4073">
        <f t="shared" ca="1" si="143"/>
        <v>0</v>
      </c>
      <c r="H609" s="4073">
        <f t="shared" ca="1" si="143"/>
        <v>0</v>
      </c>
      <c r="I609" s="4073">
        <f t="shared" ca="1" si="143"/>
        <v>0</v>
      </c>
      <c r="J609" s="4073">
        <f t="shared" ca="1" si="143"/>
        <v>0</v>
      </c>
      <c r="K609" s="4073">
        <f t="shared" ca="1" si="143"/>
        <v>0</v>
      </c>
      <c r="L609" s="4073">
        <f t="shared" ca="1" si="143"/>
        <v>0</v>
      </c>
      <c r="M609" s="4073">
        <f t="shared" ca="1" si="143"/>
        <v>0</v>
      </c>
      <c r="N609" s="4074">
        <f t="shared" ca="1" si="142"/>
        <v>0</v>
      </c>
    </row>
    <row r="610" spans="1:26" x14ac:dyDescent="0.25">
      <c r="C610" s="4072" t="s">
        <v>1375</v>
      </c>
      <c r="D610" s="4073">
        <f t="shared" ref="D610:M610" ca="1" si="144">SUMPRODUCT(G$9:G$58,$R$9:$R$58)</f>
        <v>0</v>
      </c>
      <c r="E610" s="4073">
        <f t="shared" ca="1" si="144"/>
        <v>0</v>
      </c>
      <c r="F610" s="4073">
        <f t="shared" ca="1" si="144"/>
        <v>0</v>
      </c>
      <c r="G610" s="4073">
        <f t="shared" ca="1" si="144"/>
        <v>0</v>
      </c>
      <c r="H610" s="4073">
        <f t="shared" ca="1" si="144"/>
        <v>0</v>
      </c>
      <c r="I610" s="4073">
        <f t="shared" ca="1" si="144"/>
        <v>0</v>
      </c>
      <c r="J610" s="4073">
        <f t="shared" ca="1" si="144"/>
        <v>0</v>
      </c>
      <c r="K610" s="4073">
        <f t="shared" ca="1" si="144"/>
        <v>0</v>
      </c>
      <c r="L610" s="4073">
        <f t="shared" ca="1" si="144"/>
        <v>0</v>
      </c>
      <c r="M610" s="4073">
        <f t="shared" ca="1" si="144"/>
        <v>0</v>
      </c>
      <c r="N610" s="4074">
        <f t="shared" ca="1" si="142"/>
        <v>0</v>
      </c>
    </row>
    <row r="611" spans="1:26" x14ac:dyDescent="0.25">
      <c r="C611" s="4072" t="s">
        <v>1240</v>
      </c>
      <c r="D611" s="4073">
        <f t="shared" ref="D611:M611" ca="1" si="145">SUMPRODUCT(G$9:G$58,$S$9:$S$58)</f>
        <v>0</v>
      </c>
      <c r="E611" s="4073">
        <f t="shared" ca="1" si="145"/>
        <v>0</v>
      </c>
      <c r="F611" s="4073">
        <f t="shared" ca="1" si="145"/>
        <v>0</v>
      </c>
      <c r="G611" s="4073">
        <f t="shared" ca="1" si="145"/>
        <v>0</v>
      </c>
      <c r="H611" s="4073">
        <f t="shared" ca="1" si="145"/>
        <v>0</v>
      </c>
      <c r="I611" s="4073">
        <f t="shared" ca="1" si="145"/>
        <v>0</v>
      </c>
      <c r="J611" s="4073">
        <f t="shared" ca="1" si="145"/>
        <v>0</v>
      </c>
      <c r="K611" s="4073">
        <f t="shared" ca="1" si="145"/>
        <v>0</v>
      </c>
      <c r="L611" s="4073">
        <f t="shared" ca="1" si="145"/>
        <v>0</v>
      </c>
      <c r="M611" s="4073">
        <f t="shared" ca="1" si="145"/>
        <v>0</v>
      </c>
      <c r="N611" s="4074">
        <f t="shared" ca="1" si="142"/>
        <v>0</v>
      </c>
    </row>
    <row r="612" spans="1:26" x14ac:dyDescent="0.25">
      <c r="C612" s="4075" t="s">
        <v>2963</v>
      </c>
      <c r="D612" s="4073">
        <f t="shared" ref="D612:M612" ca="1" si="146">SUMPRODUCT(G$9:G$58,$T$9:$T$58)</f>
        <v>0</v>
      </c>
      <c r="E612" s="4073">
        <f t="shared" ca="1" si="146"/>
        <v>0</v>
      </c>
      <c r="F612" s="4073">
        <f t="shared" ca="1" si="146"/>
        <v>0</v>
      </c>
      <c r="G612" s="4073">
        <f t="shared" ca="1" si="146"/>
        <v>0</v>
      </c>
      <c r="H612" s="4073">
        <f t="shared" ca="1" si="146"/>
        <v>0</v>
      </c>
      <c r="I612" s="4073">
        <f t="shared" ca="1" si="146"/>
        <v>0</v>
      </c>
      <c r="J612" s="4073">
        <f t="shared" ca="1" si="146"/>
        <v>0</v>
      </c>
      <c r="K612" s="4073">
        <f t="shared" ca="1" si="146"/>
        <v>0</v>
      </c>
      <c r="L612" s="4073">
        <f t="shared" ca="1" si="146"/>
        <v>0</v>
      </c>
      <c r="M612" s="4073">
        <f t="shared" ca="1" si="146"/>
        <v>0</v>
      </c>
      <c r="N612" s="4074">
        <f t="shared" ca="1" si="142"/>
        <v>0</v>
      </c>
    </row>
    <row r="613" spans="1:26" x14ac:dyDescent="0.25">
      <c r="C613" s="4075" t="s">
        <v>1259</v>
      </c>
      <c r="D613" s="4073">
        <f t="shared" ref="D613:M613" si="147">SUMPRODUCT(G$9:G$58,$U$9:$U$58)</f>
        <v>0</v>
      </c>
      <c r="E613" s="4073">
        <f t="shared" si="147"/>
        <v>0</v>
      </c>
      <c r="F613" s="4073">
        <f t="shared" si="147"/>
        <v>0</v>
      </c>
      <c r="G613" s="4073">
        <f t="shared" si="147"/>
        <v>0</v>
      </c>
      <c r="H613" s="4073">
        <f t="shared" si="147"/>
        <v>0</v>
      </c>
      <c r="I613" s="4073">
        <f t="shared" si="147"/>
        <v>0</v>
      </c>
      <c r="J613" s="4073">
        <f t="shared" si="147"/>
        <v>0</v>
      </c>
      <c r="K613" s="4073">
        <f t="shared" si="147"/>
        <v>0</v>
      </c>
      <c r="L613" s="4073">
        <f t="shared" si="147"/>
        <v>0</v>
      </c>
      <c r="M613" s="4073">
        <f t="shared" si="147"/>
        <v>0</v>
      </c>
      <c r="N613" s="4074">
        <f t="shared" si="142"/>
        <v>0</v>
      </c>
    </row>
    <row r="614" spans="1:26" ht="18.75" x14ac:dyDescent="0.3">
      <c r="A614" s="4076"/>
      <c r="B614" s="4076"/>
      <c r="C614" s="4077" t="s">
        <v>901</v>
      </c>
      <c r="D614" s="4078"/>
      <c r="E614" s="4076"/>
      <c r="F614" s="4076"/>
      <c r="G614" s="4076"/>
      <c r="H614" s="4076"/>
      <c r="I614" s="4076"/>
      <c r="J614" s="4076"/>
      <c r="K614" s="4076"/>
      <c r="L614" s="4076"/>
      <c r="M614" s="4076"/>
      <c r="N614" s="4076"/>
      <c r="P614" s="4079" t="str">
        <f>'Action Plan finance'!$D$14</f>
        <v>TOTAL  WSS</v>
      </c>
      <c r="Q614" s="4079"/>
      <c r="R614" s="4076"/>
      <c r="S614" s="4076"/>
      <c r="T614" s="4076"/>
      <c r="U614" s="4076"/>
      <c r="V614" s="4076"/>
      <c r="W614" s="4076"/>
      <c r="X614" s="4076"/>
      <c r="Y614" s="4076"/>
      <c r="Z614" s="4076"/>
    </row>
    <row r="615" spans="1:26" x14ac:dyDescent="0.25">
      <c r="C615" s="4072" t="s">
        <v>3746</v>
      </c>
      <c r="D615" s="4073">
        <f t="shared" ref="D615:M615" ca="1" si="148">SUMPRODUCT(G$177:G$219,$V$177:$V$219)</f>
        <v>-28.473333333333329</v>
      </c>
      <c r="E615" s="4073">
        <f t="shared" ca="1" si="148"/>
        <v>-57.815666666666679</v>
      </c>
      <c r="F615" s="4073">
        <f t="shared" ca="1" si="148"/>
        <v>-114.75714333333335</v>
      </c>
      <c r="G615" s="4073">
        <f t="shared" ca="1" si="148"/>
        <v>-145.31460066000002</v>
      </c>
      <c r="H615" s="4073">
        <f t="shared" ca="1" si="148"/>
        <v>-155.48662270620005</v>
      </c>
      <c r="I615" s="4073">
        <f t="shared" ca="1" si="148"/>
        <v>0</v>
      </c>
      <c r="J615" s="4073">
        <f t="shared" ca="1" si="148"/>
        <v>0</v>
      </c>
      <c r="K615" s="4073">
        <f t="shared" ca="1" si="148"/>
        <v>0</v>
      </c>
      <c r="L615" s="4073">
        <f t="shared" ca="1" si="148"/>
        <v>0</v>
      </c>
      <c r="M615" s="4073">
        <f t="shared" ca="1" si="148"/>
        <v>0</v>
      </c>
      <c r="N615" s="4074">
        <f ca="1">SUM(D615:M615)</f>
        <v>-501.84736669953338</v>
      </c>
      <c r="P615" s="4080" t="s">
        <v>211</v>
      </c>
      <c r="Q615" s="4081">
        <f t="shared" ref="Q615:Z615" si="149">D607</f>
        <v>2015</v>
      </c>
      <c r="R615" s="4082">
        <f t="shared" si="149"/>
        <v>2016</v>
      </c>
      <c r="S615" s="4082">
        <f t="shared" si="149"/>
        <v>2017</v>
      </c>
      <c r="T615" s="4082">
        <f t="shared" si="149"/>
        <v>2018</v>
      </c>
      <c r="U615" s="4082">
        <f t="shared" si="149"/>
        <v>2019</v>
      </c>
      <c r="V615" s="4082">
        <f t="shared" si="149"/>
        <v>2020</v>
      </c>
      <c r="W615" s="4082">
        <f t="shared" si="149"/>
        <v>2021</v>
      </c>
      <c r="X615" s="4082">
        <f t="shared" si="149"/>
        <v>2022</v>
      </c>
      <c r="Y615" s="4082">
        <f t="shared" si="149"/>
        <v>2023</v>
      </c>
      <c r="Z615" s="4082">
        <f t="shared" si="149"/>
        <v>2024</v>
      </c>
    </row>
    <row r="616" spans="1:26" x14ac:dyDescent="0.25">
      <c r="C616" s="4072" t="s">
        <v>1374</v>
      </c>
      <c r="D616" s="4073">
        <f t="shared" ref="D616:M616" ca="1" si="150">SUMPRODUCT(G$177:G$219,$Q$177:$Q$219)</f>
        <v>10.600000000000001</v>
      </c>
      <c r="E616" s="4073">
        <f t="shared" ca="1" si="150"/>
        <v>11.342000000000001</v>
      </c>
      <c r="F616" s="4073">
        <f t="shared" ca="1" si="150"/>
        <v>5.26654</v>
      </c>
      <c r="G616" s="4073">
        <f t="shared" ca="1" si="150"/>
        <v>0</v>
      </c>
      <c r="H616" s="4073">
        <f t="shared" ca="1" si="150"/>
        <v>0</v>
      </c>
      <c r="I616" s="4073">
        <f t="shared" ca="1" si="150"/>
        <v>0</v>
      </c>
      <c r="J616" s="4073">
        <f t="shared" ca="1" si="150"/>
        <v>0</v>
      </c>
      <c r="K616" s="4073">
        <f t="shared" ca="1" si="150"/>
        <v>0</v>
      </c>
      <c r="L616" s="4073">
        <f t="shared" ca="1" si="150"/>
        <v>0</v>
      </c>
      <c r="M616" s="4073">
        <f t="shared" ca="1" si="150"/>
        <v>0</v>
      </c>
      <c r="N616" s="4074">
        <f ca="1">SUM(D616:M616)</f>
        <v>27.208539999999999</v>
      </c>
      <c r="P616" s="4072" t="s">
        <v>3746</v>
      </c>
      <c r="Q616" s="4083">
        <f t="shared" ref="Q616:Q621" ca="1" si="151">IF($P$591=$C$587,D608,IF($P$591=$C$591,D615,IF($P$591=$C$595,D622,D629)))</f>
        <v>-28.473333333333329</v>
      </c>
      <c r="R616" s="4083">
        <f t="shared" ref="R616:Z621" ca="1" si="152">IF($P$591=$C$587,E608,IF($P$591=$C$591,E615,IF($P$591=$C$595,E622,E629)))</f>
        <v>-57.815666666666679</v>
      </c>
      <c r="S616" s="4083">
        <f t="shared" ca="1" si="152"/>
        <v>-114.75714333333335</v>
      </c>
      <c r="T616" s="4083">
        <f t="shared" ca="1" si="152"/>
        <v>-145.31460066000002</v>
      </c>
      <c r="U616" s="4083">
        <f t="shared" ca="1" si="152"/>
        <v>-155.48662270620005</v>
      </c>
      <c r="V616" s="4083">
        <f t="shared" ca="1" si="152"/>
        <v>0</v>
      </c>
      <c r="W616" s="4083">
        <f t="shared" ca="1" si="152"/>
        <v>0</v>
      </c>
      <c r="X616" s="4083">
        <f t="shared" ca="1" si="152"/>
        <v>0</v>
      </c>
      <c r="Y616" s="4083">
        <f t="shared" ca="1" si="152"/>
        <v>0</v>
      </c>
      <c r="Z616" s="4083">
        <f t="shared" ca="1" si="152"/>
        <v>0</v>
      </c>
    </row>
    <row r="617" spans="1:26" x14ac:dyDescent="0.25">
      <c r="C617" s="4072" t="s">
        <v>1375</v>
      </c>
      <c r="D617" s="4073">
        <f t="shared" ref="D617:M617" ca="1" si="153">SUMPRODUCT(G$177:G$219,$R$177:$R$219)</f>
        <v>8.48</v>
      </c>
      <c r="E617" s="4073">
        <f t="shared" ca="1" si="153"/>
        <v>9.0736000000000008</v>
      </c>
      <c r="F617" s="4073">
        <f t="shared" ca="1" si="153"/>
        <v>4.2132319999999996</v>
      </c>
      <c r="G617" s="4073">
        <f t="shared" ca="1" si="153"/>
        <v>0</v>
      </c>
      <c r="H617" s="4073">
        <f t="shared" ca="1" si="153"/>
        <v>0</v>
      </c>
      <c r="I617" s="4073">
        <f t="shared" ca="1" si="153"/>
        <v>0</v>
      </c>
      <c r="J617" s="4073">
        <f t="shared" ca="1" si="153"/>
        <v>0</v>
      </c>
      <c r="K617" s="4073">
        <f t="shared" ca="1" si="153"/>
        <v>0</v>
      </c>
      <c r="L617" s="4073">
        <f t="shared" ca="1" si="153"/>
        <v>0</v>
      </c>
      <c r="M617" s="4073">
        <f t="shared" ca="1" si="153"/>
        <v>0</v>
      </c>
      <c r="N617" s="4074"/>
      <c r="P617" s="4072" t="s">
        <v>1374</v>
      </c>
      <c r="Q617" s="4083">
        <f t="shared" ca="1" si="151"/>
        <v>10.600000000000001</v>
      </c>
      <c r="R617" s="4083">
        <f t="shared" ca="1" si="152"/>
        <v>11.342000000000001</v>
      </c>
      <c r="S617" s="4083">
        <f t="shared" ca="1" si="152"/>
        <v>5.26654</v>
      </c>
      <c r="T617" s="4083">
        <f t="shared" ca="1" si="152"/>
        <v>0</v>
      </c>
      <c r="U617" s="4083">
        <f t="shared" ca="1" si="152"/>
        <v>0</v>
      </c>
      <c r="V617" s="4083">
        <f t="shared" ca="1" si="152"/>
        <v>0</v>
      </c>
      <c r="W617" s="4083">
        <f t="shared" ca="1" si="152"/>
        <v>0</v>
      </c>
      <c r="X617" s="4083">
        <f t="shared" ca="1" si="152"/>
        <v>0</v>
      </c>
      <c r="Y617" s="4083">
        <f t="shared" ca="1" si="152"/>
        <v>0</v>
      </c>
      <c r="Z617" s="4083">
        <f t="shared" ca="1" si="152"/>
        <v>0</v>
      </c>
    </row>
    <row r="618" spans="1:26" x14ac:dyDescent="0.25">
      <c r="C618" s="4072" t="s">
        <v>1240</v>
      </c>
      <c r="D618" s="4073">
        <f t="shared" ref="D618:M618" ca="1" si="154">SUMPRODUCT(G$177:G$219,$S$177:$S$219)</f>
        <v>0</v>
      </c>
      <c r="E618" s="4073">
        <f t="shared" ca="1" si="154"/>
        <v>0</v>
      </c>
      <c r="F618" s="4073">
        <f t="shared" ca="1" si="154"/>
        <v>0</v>
      </c>
      <c r="G618" s="4073">
        <f t="shared" ca="1" si="154"/>
        <v>0</v>
      </c>
      <c r="H618" s="4073">
        <f t="shared" ca="1" si="154"/>
        <v>0</v>
      </c>
      <c r="I618" s="4073">
        <f t="shared" ca="1" si="154"/>
        <v>0</v>
      </c>
      <c r="J618" s="4073">
        <f t="shared" ca="1" si="154"/>
        <v>0</v>
      </c>
      <c r="K618" s="4073">
        <f t="shared" ca="1" si="154"/>
        <v>0</v>
      </c>
      <c r="L618" s="4073">
        <f t="shared" ca="1" si="154"/>
        <v>0</v>
      </c>
      <c r="M618" s="4073">
        <f t="shared" ca="1" si="154"/>
        <v>0</v>
      </c>
      <c r="N618" s="4074">
        <f ca="1">SUM(D618:M618)</f>
        <v>0</v>
      </c>
      <c r="P618" s="4072" t="s">
        <v>1375</v>
      </c>
      <c r="Q618" s="4083">
        <f t="shared" ca="1" si="151"/>
        <v>8.48</v>
      </c>
      <c r="R618" s="4083">
        <f t="shared" ca="1" si="152"/>
        <v>9.0736000000000008</v>
      </c>
      <c r="S618" s="4083">
        <f t="shared" ca="1" si="152"/>
        <v>4.2132319999999996</v>
      </c>
      <c r="T618" s="4083">
        <f t="shared" ca="1" si="152"/>
        <v>0</v>
      </c>
      <c r="U618" s="4083">
        <f t="shared" ca="1" si="152"/>
        <v>0</v>
      </c>
      <c r="V618" s="4083">
        <f t="shared" ca="1" si="152"/>
        <v>0</v>
      </c>
      <c r="W618" s="4083">
        <f t="shared" ca="1" si="152"/>
        <v>0</v>
      </c>
      <c r="X618" s="4083">
        <f t="shared" ca="1" si="152"/>
        <v>0</v>
      </c>
      <c r="Y618" s="4083">
        <f t="shared" ca="1" si="152"/>
        <v>0</v>
      </c>
      <c r="Z618" s="4083">
        <f t="shared" ca="1" si="152"/>
        <v>0</v>
      </c>
    </row>
    <row r="619" spans="1:26" x14ac:dyDescent="0.25">
      <c r="C619" s="4075" t="s">
        <v>2963</v>
      </c>
      <c r="D619" s="4073">
        <f t="shared" ref="D619:M619" ca="1" si="155">SUMPRODUCT(G$177:G$219,$T$177:$T$219)</f>
        <v>197.7</v>
      </c>
      <c r="E619" s="4073">
        <f t="shared" ca="1" si="155"/>
        <v>211.53899999999999</v>
      </c>
      <c r="F619" s="4073">
        <f t="shared" ca="1" si="155"/>
        <v>226.34672999999998</v>
      </c>
      <c r="G619" s="4073">
        <f t="shared" ca="1" si="155"/>
        <v>242.19100109999999</v>
      </c>
      <c r="H619" s="4073">
        <f t="shared" ca="1" si="155"/>
        <v>259.14437117700004</v>
      </c>
      <c r="I619" s="4073">
        <f t="shared" ca="1" si="155"/>
        <v>0</v>
      </c>
      <c r="J619" s="4073">
        <f t="shared" ca="1" si="155"/>
        <v>0</v>
      </c>
      <c r="K619" s="4073">
        <f t="shared" ca="1" si="155"/>
        <v>0</v>
      </c>
      <c r="L619" s="4073">
        <f t="shared" ca="1" si="155"/>
        <v>0</v>
      </c>
      <c r="M619" s="4073">
        <f t="shared" ca="1" si="155"/>
        <v>0</v>
      </c>
      <c r="N619" s="4074">
        <f ca="1">SUM(D619:M619)</f>
        <v>1136.921102277</v>
      </c>
      <c r="P619" s="4072" t="s">
        <v>3747</v>
      </c>
      <c r="Q619" s="4083">
        <f t="shared" ca="1" si="151"/>
        <v>0</v>
      </c>
      <c r="R619" s="4083">
        <f t="shared" ca="1" si="152"/>
        <v>0</v>
      </c>
      <c r="S619" s="4083">
        <f t="shared" ca="1" si="152"/>
        <v>0</v>
      </c>
      <c r="T619" s="4083">
        <f t="shared" ca="1" si="152"/>
        <v>0</v>
      </c>
      <c r="U619" s="4083">
        <f t="shared" ca="1" si="152"/>
        <v>0</v>
      </c>
      <c r="V619" s="4083">
        <f t="shared" ca="1" si="152"/>
        <v>0</v>
      </c>
      <c r="W619" s="4083">
        <f t="shared" ca="1" si="152"/>
        <v>0</v>
      </c>
      <c r="X619" s="4083">
        <f t="shared" ca="1" si="152"/>
        <v>0</v>
      </c>
      <c r="Y619" s="4083">
        <f t="shared" ca="1" si="152"/>
        <v>0</v>
      </c>
      <c r="Z619" s="4083">
        <f t="shared" ca="1" si="152"/>
        <v>0</v>
      </c>
    </row>
    <row r="620" spans="1:26" x14ac:dyDescent="0.25">
      <c r="C620" s="4075" t="s">
        <v>1259</v>
      </c>
      <c r="D620" s="4073">
        <f t="shared" ref="D620:M620" si="156">SUMPRODUCT(G$177:G$219,$U$177:$U$219)</f>
        <v>156.95999999999998</v>
      </c>
      <c r="E620" s="4073">
        <f t="shared" si="156"/>
        <v>126.92339999999999</v>
      </c>
      <c r="F620" s="4073">
        <f t="shared" si="156"/>
        <v>135.80803799999998</v>
      </c>
      <c r="G620" s="4073">
        <f t="shared" si="156"/>
        <v>145.31460066</v>
      </c>
      <c r="H620" s="4073">
        <f t="shared" si="156"/>
        <v>155.48662270620002</v>
      </c>
      <c r="I620" s="4073">
        <f t="shared" si="156"/>
        <v>0</v>
      </c>
      <c r="J620" s="4073">
        <f t="shared" si="156"/>
        <v>0</v>
      </c>
      <c r="K620" s="4073">
        <f t="shared" si="156"/>
        <v>0</v>
      </c>
      <c r="L620" s="4073">
        <f t="shared" si="156"/>
        <v>0</v>
      </c>
      <c r="M620" s="4073">
        <f t="shared" si="156"/>
        <v>0</v>
      </c>
      <c r="N620" s="4074">
        <f>SUM(D620:M620)</f>
        <v>720.49266136619997</v>
      </c>
      <c r="P620" s="4075" t="s">
        <v>2963</v>
      </c>
      <c r="Q620" s="4083">
        <f t="shared" ca="1" si="151"/>
        <v>197.7</v>
      </c>
      <c r="R620" s="4083">
        <f t="shared" ca="1" si="152"/>
        <v>211.53899999999999</v>
      </c>
      <c r="S620" s="4083">
        <f t="shared" ca="1" si="152"/>
        <v>226.34672999999998</v>
      </c>
      <c r="T620" s="4083">
        <f t="shared" ca="1" si="152"/>
        <v>242.19100109999999</v>
      </c>
      <c r="U620" s="4083">
        <f t="shared" ca="1" si="152"/>
        <v>259.14437117700004</v>
      </c>
      <c r="V620" s="4083">
        <f t="shared" ca="1" si="152"/>
        <v>0</v>
      </c>
      <c r="W620" s="4083">
        <f t="shared" ca="1" si="152"/>
        <v>0</v>
      </c>
      <c r="X620" s="4083">
        <f t="shared" ca="1" si="152"/>
        <v>0</v>
      </c>
      <c r="Y620" s="4083">
        <f t="shared" ca="1" si="152"/>
        <v>0</v>
      </c>
      <c r="Z620" s="4083">
        <f t="shared" ca="1" si="152"/>
        <v>0</v>
      </c>
    </row>
    <row r="621" spans="1:26" x14ac:dyDescent="0.25">
      <c r="A621" s="4076"/>
      <c r="B621" s="4076"/>
      <c r="C621" s="4077" t="s">
        <v>902</v>
      </c>
      <c r="D621" s="4078"/>
      <c r="E621" s="4076"/>
      <c r="F621" s="4076"/>
      <c r="G621" s="4076"/>
      <c r="H621" s="4076"/>
      <c r="I621" s="4076"/>
      <c r="J621" s="4076"/>
      <c r="K621" s="4076"/>
      <c r="L621" s="4076"/>
      <c r="M621" s="4076"/>
      <c r="N621" s="4076"/>
      <c r="P621" s="4075" t="s">
        <v>1259</v>
      </c>
      <c r="Q621" s="4083">
        <f t="shared" si="151"/>
        <v>156.95999999999998</v>
      </c>
      <c r="R621" s="4083">
        <f t="shared" si="152"/>
        <v>126.92339999999999</v>
      </c>
      <c r="S621" s="4083">
        <f t="shared" si="152"/>
        <v>135.80803799999998</v>
      </c>
      <c r="T621" s="4083">
        <f t="shared" si="152"/>
        <v>145.31460066</v>
      </c>
      <c r="U621" s="4083">
        <f t="shared" si="152"/>
        <v>155.48662270620002</v>
      </c>
      <c r="V621" s="4083">
        <f t="shared" si="152"/>
        <v>0</v>
      </c>
      <c r="W621" s="4083">
        <f t="shared" si="152"/>
        <v>0</v>
      </c>
      <c r="X621" s="4083">
        <f t="shared" si="152"/>
        <v>0</v>
      </c>
      <c r="Y621" s="4083">
        <f t="shared" si="152"/>
        <v>0</v>
      </c>
      <c r="Z621" s="4083">
        <f t="shared" si="152"/>
        <v>0</v>
      </c>
    </row>
    <row r="622" spans="1:26" x14ac:dyDescent="0.25">
      <c r="C622" s="4072" t="s">
        <v>3746</v>
      </c>
      <c r="D622" s="4073">
        <f t="shared" ref="D622:M622" ca="1" si="157">SUMPRODUCT(G$325:G$359,$V$325:$V$359)</f>
        <v>0</v>
      </c>
      <c r="E622" s="4073">
        <f t="shared" ca="1" si="157"/>
        <v>0</v>
      </c>
      <c r="F622" s="4073">
        <f t="shared" ca="1" si="157"/>
        <v>0</v>
      </c>
      <c r="G622" s="4073">
        <f t="shared" ca="1" si="157"/>
        <v>0</v>
      </c>
      <c r="H622" s="4073">
        <f t="shared" ca="1" si="157"/>
        <v>0</v>
      </c>
      <c r="I622" s="4073">
        <f t="shared" ca="1" si="157"/>
        <v>0</v>
      </c>
      <c r="J622" s="4073">
        <f t="shared" ca="1" si="157"/>
        <v>0</v>
      </c>
      <c r="K622" s="4073">
        <f t="shared" ca="1" si="157"/>
        <v>0</v>
      </c>
      <c r="L622" s="4073">
        <f t="shared" ca="1" si="157"/>
        <v>0</v>
      </c>
      <c r="M622" s="4073">
        <f t="shared" ca="1" si="157"/>
        <v>0</v>
      </c>
      <c r="N622" s="4074">
        <f t="shared" ref="N622:N627" ca="1" si="158">SUM(D622:M622)</f>
        <v>0</v>
      </c>
    </row>
    <row r="623" spans="1:26" x14ac:dyDescent="0.25">
      <c r="C623" s="4072" t="s">
        <v>1374</v>
      </c>
      <c r="D623" s="4073">
        <f t="shared" ref="D623:M623" ca="1" si="159">SUMPRODUCT(G$325:G$359,$Q$325:$Q$359)</f>
        <v>0</v>
      </c>
      <c r="E623" s="4073">
        <f t="shared" ca="1" si="159"/>
        <v>0</v>
      </c>
      <c r="F623" s="4073">
        <f t="shared" ca="1" si="159"/>
        <v>0</v>
      </c>
      <c r="G623" s="4073">
        <f t="shared" ca="1" si="159"/>
        <v>0</v>
      </c>
      <c r="H623" s="4073">
        <f t="shared" ca="1" si="159"/>
        <v>0</v>
      </c>
      <c r="I623" s="4073">
        <f t="shared" ca="1" si="159"/>
        <v>0</v>
      </c>
      <c r="J623" s="4073">
        <f t="shared" ca="1" si="159"/>
        <v>0</v>
      </c>
      <c r="K623" s="4073">
        <f t="shared" ca="1" si="159"/>
        <v>0</v>
      </c>
      <c r="L623" s="4073">
        <f t="shared" ca="1" si="159"/>
        <v>0</v>
      </c>
      <c r="M623" s="4073">
        <f t="shared" ca="1" si="159"/>
        <v>0</v>
      </c>
      <c r="N623" s="4074">
        <f t="shared" ca="1" si="158"/>
        <v>0</v>
      </c>
    </row>
    <row r="624" spans="1:26" x14ac:dyDescent="0.25">
      <c r="C624" s="4072" t="s">
        <v>1375</v>
      </c>
      <c r="D624" s="4073">
        <f t="shared" ref="D624:M624" ca="1" si="160">SUMPRODUCT(G$325:G$359,$R$325:$R$359)</f>
        <v>0</v>
      </c>
      <c r="E624" s="4073">
        <f t="shared" ca="1" si="160"/>
        <v>0</v>
      </c>
      <c r="F624" s="4073">
        <f t="shared" ca="1" si="160"/>
        <v>0</v>
      </c>
      <c r="G624" s="4073">
        <f t="shared" ca="1" si="160"/>
        <v>0</v>
      </c>
      <c r="H624" s="4073">
        <f t="shared" ca="1" si="160"/>
        <v>0</v>
      </c>
      <c r="I624" s="4073">
        <f t="shared" ca="1" si="160"/>
        <v>0</v>
      </c>
      <c r="J624" s="4073">
        <f t="shared" ca="1" si="160"/>
        <v>0</v>
      </c>
      <c r="K624" s="4073">
        <f t="shared" ca="1" si="160"/>
        <v>0</v>
      </c>
      <c r="L624" s="4073">
        <f t="shared" ca="1" si="160"/>
        <v>0</v>
      </c>
      <c r="M624" s="4073">
        <f t="shared" ca="1" si="160"/>
        <v>0</v>
      </c>
      <c r="N624" s="4074">
        <f t="shared" ca="1" si="158"/>
        <v>0</v>
      </c>
      <c r="P624" s="1469" t="s">
        <v>1112</v>
      </c>
      <c r="Q624" s="4084">
        <f ca="1">Q617+Q618</f>
        <v>19.080000000000002</v>
      </c>
      <c r="R624" s="4084">
        <f t="shared" ref="R624:Z624" ca="1" si="161">R617+R618</f>
        <v>20.415600000000001</v>
      </c>
      <c r="S624" s="4084">
        <f t="shared" ca="1" si="161"/>
        <v>9.4797720000000005</v>
      </c>
      <c r="T624" s="4084">
        <f t="shared" ca="1" si="161"/>
        <v>0</v>
      </c>
      <c r="U624" s="4084">
        <f t="shared" ca="1" si="161"/>
        <v>0</v>
      </c>
      <c r="V624" s="4084">
        <f t="shared" ca="1" si="161"/>
        <v>0</v>
      </c>
      <c r="W624" s="4084">
        <f t="shared" ca="1" si="161"/>
        <v>0</v>
      </c>
      <c r="X624" s="4084">
        <f t="shared" ca="1" si="161"/>
        <v>0</v>
      </c>
      <c r="Y624" s="4084">
        <f t="shared" ca="1" si="161"/>
        <v>0</v>
      </c>
      <c r="Z624" s="4084">
        <f t="shared" ca="1" si="161"/>
        <v>0</v>
      </c>
    </row>
    <row r="625" spans="1:26" x14ac:dyDescent="0.25">
      <c r="C625" s="4072" t="s">
        <v>1240</v>
      </c>
      <c r="D625" s="4073">
        <f t="shared" ref="D625:M625" ca="1" si="162">SUMPRODUCT(G$325:G$359,$S$325:$S$359)</f>
        <v>0</v>
      </c>
      <c r="E625" s="4073">
        <f t="shared" ca="1" si="162"/>
        <v>0</v>
      </c>
      <c r="F625" s="4073">
        <f t="shared" ca="1" si="162"/>
        <v>0</v>
      </c>
      <c r="G625" s="4073">
        <f t="shared" ca="1" si="162"/>
        <v>0</v>
      </c>
      <c r="H625" s="4073">
        <f t="shared" ca="1" si="162"/>
        <v>0</v>
      </c>
      <c r="I625" s="4073">
        <f t="shared" ca="1" si="162"/>
        <v>0</v>
      </c>
      <c r="J625" s="4073">
        <f t="shared" ca="1" si="162"/>
        <v>0</v>
      </c>
      <c r="K625" s="4073">
        <f t="shared" ca="1" si="162"/>
        <v>0</v>
      </c>
      <c r="L625" s="4073">
        <f t="shared" ca="1" si="162"/>
        <v>0</v>
      </c>
      <c r="M625" s="4073">
        <f t="shared" ca="1" si="162"/>
        <v>0</v>
      </c>
      <c r="N625" s="4074">
        <f t="shared" ca="1" si="158"/>
        <v>0</v>
      </c>
      <c r="P625" s="1469" t="s">
        <v>3747</v>
      </c>
      <c r="Q625" s="4084">
        <f ca="1">Q619</f>
        <v>0</v>
      </c>
      <c r="R625" s="4084">
        <f t="shared" ref="R625:Z625" ca="1" si="163">R619</f>
        <v>0</v>
      </c>
      <c r="S625" s="4084">
        <f t="shared" ca="1" si="163"/>
        <v>0</v>
      </c>
      <c r="T625" s="4084">
        <f t="shared" ca="1" si="163"/>
        <v>0</v>
      </c>
      <c r="U625" s="4084">
        <f t="shared" ca="1" si="163"/>
        <v>0</v>
      </c>
      <c r="V625" s="4084">
        <f t="shared" ca="1" si="163"/>
        <v>0</v>
      </c>
      <c r="W625" s="4084">
        <f t="shared" ca="1" si="163"/>
        <v>0</v>
      </c>
      <c r="X625" s="4084">
        <f t="shared" ca="1" si="163"/>
        <v>0</v>
      </c>
      <c r="Y625" s="4084">
        <f t="shared" ca="1" si="163"/>
        <v>0</v>
      </c>
      <c r="Z625" s="4084">
        <f t="shared" ca="1" si="163"/>
        <v>0</v>
      </c>
    </row>
    <row r="626" spans="1:26" x14ac:dyDescent="0.25">
      <c r="C626" s="4075" t="s">
        <v>2963</v>
      </c>
      <c r="D626" s="4073">
        <f t="shared" ref="D626:M626" ca="1" si="164">SUMPRODUCT(G$325:G$359,$T$325:$T$359)</f>
        <v>0</v>
      </c>
      <c r="E626" s="4073">
        <f t="shared" ca="1" si="164"/>
        <v>0</v>
      </c>
      <c r="F626" s="4073">
        <f t="shared" ca="1" si="164"/>
        <v>0</v>
      </c>
      <c r="G626" s="4073">
        <f t="shared" ca="1" si="164"/>
        <v>0</v>
      </c>
      <c r="H626" s="4073">
        <f t="shared" ca="1" si="164"/>
        <v>0</v>
      </c>
      <c r="I626" s="4073">
        <f t="shared" ca="1" si="164"/>
        <v>0</v>
      </c>
      <c r="J626" s="4073">
        <f t="shared" ca="1" si="164"/>
        <v>0</v>
      </c>
      <c r="K626" s="4073">
        <f t="shared" ca="1" si="164"/>
        <v>0</v>
      </c>
      <c r="L626" s="4073">
        <f t="shared" ca="1" si="164"/>
        <v>0</v>
      </c>
      <c r="M626" s="4073">
        <f t="shared" ca="1" si="164"/>
        <v>0</v>
      </c>
      <c r="N626" s="4074">
        <f t="shared" ca="1" si="158"/>
        <v>0</v>
      </c>
      <c r="P626" s="1469" t="s">
        <v>1513</v>
      </c>
      <c r="Q626" s="4084">
        <f ca="1">Q620+Q621</f>
        <v>354.65999999999997</v>
      </c>
      <c r="R626" s="4084">
        <f t="shared" ref="R626:Z626" ca="1" si="165">R620+R621</f>
        <v>338.4624</v>
      </c>
      <c r="S626" s="4084">
        <f t="shared" ca="1" si="165"/>
        <v>362.15476799999999</v>
      </c>
      <c r="T626" s="4084">
        <f t="shared" ca="1" si="165"/>
        <v>387.50560175999999</v>
      </c>
      <c r="U626" s="4084">
        <f t="shared" ca="1" si="165"/>
        <v>414.63099388320006</v>
      </c>
      <c r="V626" s="4084">
        <f t="shared" ca="1" si="165"/>
        <v>0</v>
      </c>
      <c r="W626" s="4084">
        <f t="shared" ca="1" si="165"/>
        <v>0</v>
      </c>
      <c r="X626" s="4084">
        <f t="shared" ca="1" si="165"/>
        <v>0</v>
      </c>
      <c r="Y626" s="4084">
        <f t="shared" ca="1" si="165"/>
        <v>0</v>
      </c>
      <c r="Z626" s="4084">
        <f t="shared" ca="1" si="165"/>
        <v>0</v>
      </c>
    </row>
    <row r="627" spans="1:26" x14ac:dyDescent="0.25">
      <c r="C627" s="4075" t="s">
        <v>1259</v>
      </c>
      <c r="D627" s="4073">
        <f t="shared" ref="D627:M627" si="166">SUMPRODUCT(G$325:G$359,$U$325:$U$359)</f>
        <v>0</v>
      </c>
      <c r="E627" s="4073">
        <f t="shared" si="166"/>
        <v>0</v>
      </c>
      <c r="F627" s="4073">
        <f t="shared" si="166"/>
        <v>0</v>
      </c>
      <c r="G627" s="4073">
        <f t="shared" si="166"/>
        <v>0</v>
      </c>
      <c r="H627" s="4073">
        <f t="shared" si="166"/>
        <v>0</v>
      </c>
      <c r="I627" s="4073">
        <f t="shared" si="166"/>
        <v>0</v>
      </c>
      <c r="J627" s="4073">
        <f t="shared" si="166"/>
        <v>0</v>
      </c>
      <c r="K627" s="4073">
        <f t="shared" si="166"/>
        <v>0</v>
      </c>
      <c r="L627" s="4073">
        <f t="shared" si="166"/>
        <v>0</v>
      </c>
      <c r="M627" s="4073">
        <f t="shared" si="166"/>
        <v>0</v>
      </c>
      <c r="N627" s="4074">
        <f t="shared" si="158"/>
        <v>0</v>
      </c>
      <c r="P627" s="1469" t="s">
        <v>3746</v>
      </c>
      <c r="Q627" s="4084">
        <f ca="1">Q616</f>
        <v>-28.473333333333329</v>
      </c>
      <c r="R627" s="4084">
        <f t="shared" ref="R627:Z627" ca="1" si="167">R616</f>
        <v>-57.815666666666679</v>
      </c>
      <c r="S627" s="4084">
        <f t="shared" ca="1" si="167"/>
        <v>-114.75714333333335</v>
      </c>
      <c r="T627" s="4084">
        <f t="shared" ca="1" si="167"/>
        <v>-145.31460066000002</v>
      </c>
      <c r="U627" s="4084">
        <f t="shared" ca="1" si="167"/>
        <v>-155.48662270620005</v>
      </c>
      <c r="V627" s="4084">
        <f t="shared" ca="1" si="167"/>
        <v>0</v>
      </c>
      <c r="W627" s="4084">
        <f t="shared" ca="1" si="167"/>
        <v>0</v>
      </c>
      <c r="X627" s="4084">
        <f t="shared" ca="1" si="167"/>
        <v>0</v>
      </c>
      <c r="Y627" s="4084">
        <f t="shared" ca="1" si="167"/>
        <v>0</v>
      </c>
      <c r="Z627" s="4084">
        <f t="shared" ca="1" si="167"/>
        <v>0</v>
      </c>
    </row>
    <row r="628" spans="1:26" x14ac:dyDescent="0.25">
      <c r="A628" s="4076"/>
      <c r="B628" s="4076"/>
      <c r="C628" s="4077" t="s">
        <v>903</v>
      </c>
      <c r="D628" s="4078"/>
      <c r="E628" s="4076"/>
      <c r="F628" s="4076"/>
      <c r="G628" s="4076"/>
      <c r="H628" s="4076"/>
      <c r="I628" s="4076"/>
      <c r="J628" s="4076"/>
      <c r="K628" s="4076"/>
      <c r="L628" s="4076"/>
      <c r="M628" s="4076"/>
      <c r="N628" s="4076"/>
      <c r="P628" s="4076"/>
      <c r="Q628" s="4076"/>
      <c r="R628" s="4076"/>
      <c r="S628" s="4076"/>
      <c r="T628" s="4076"/>
      <c r="U628" s="4076"/>
      <c r="V628" s="4076"/>
      <c r="W628" s="4076"/>
      <c r="X628" s="4076"/>
      <c r="Y628" s="4076"/>
      <c r="Z628" s="4076"/>
    </row>
    <row r="629" spans="1:26" x14ac:dyDescent="0.25">
      <c r="C629" s="4072" t="s">
        <v>3746</v>
      </c>
      <c r="D629" s="4085">
        <f ca="1">D608+D615+D622</f>
        <v>-28.473333333333329</v>
      </c>
      <c r="E629" s="4085">
        <f t="shared" ref="E629:M629" ca="1" si="168">E608+E615+E622</f>
        <v>-57.815666666666679</v>
      </c>
      <c r="F629" s="4085">
        <f t="shared" ca="1" si="168"/>
        <v>-114.75714333333335</v>
      </c>
      <c r="G629" s="4085">
        <f t="shared" ca="1" si="168"/>
        <v>-145.31460066000002</v>
      </c>
      <c r="H629" s="4085">
        <f t="shared" ca="1" si="168"/>
        <v>-155.48662270620005</v>
      </c>
      <c r="I629" s="4085">
        <f t="shared" ca="1" si="168"/>
        <v>0</v>
      </c>
      <c r="J629" s="4085">
        <f t="shared" ca="1" si="168"/>
        <v>0</v>
      </c>
      <c r="K629" s="4085">
        <f t="shared" ca="1" si="168"/>
        <v>0</v>
      </c>
      <c r="L629" s="4085">
        <f t="shared" ca="1" si="168"/>
        <v>0</v>
      </c>
      <c r="M629" s="4085">
        <f t="shared" ca="1" si="168"/>
        <v>0</v>
      </c>
      <c r="N629" s="4074">
        <f t="shared" ref="N629:N634" ca="1" si="169">SUM(D629:M629)</f>
        <v>-501.84736669953338</v>
      </c>
    </row>
    <row r="630" spans="1:26" x14ac:dyDescent="0.25">
      <c r="C630" s="4072" t="s">
        <v>1374</v>
      </c>
      <c r="D630" s="4085">
        <f t="shared" ref="D630:M634" ca="1" si="170">D609+D616+D623</f>
        <v>10.600000000000001</v>
      </c>
      <c r="E630" s="4085">
        <f t="shared" ca="1" si="170"/>
        <v>11.342000000000001</v>
      </c>
      <c r="F630" s="4085">
        <f t="shared" ca="1" si="170"/>
        <v>5.26654</v>
      </c>
      <c r="G630" s="4085">
        <f t="shared" ca="1" si="170"/>
        <v>0</v>
      </c>
      <c r="H630" s="4085">
        <f t="shared" ca="1" si="170"/>
        <v>0</v>
      </c>
      <c r="I630" s="4085">
        <f t="shared" ca="1" si="170"/>
        <v>0</v>
      </c>
      <c r="J630" s="4085">
        <f t="shared" ca="1" si="170"/>
        <v>0</v>
      </c>
      <c r="K630" s="4085">
        <f t="shared" ca="1" si="170"/>
        <v>0</v>
      </c>
      <c r="L630" s="4085">
        <f t="shared" ca="1" si="170"/>
        <v>0</v>
      </c>
      <c r="M630" s="4085">
        <f t="shared" ca="1" si="170"/>
        <v>0</v>
      </c>
      <c r="N630" s="4074">
        <f t="shared" ca="1" si="169"/>
        <v>27.208539999999999</v>
      </c>
    </row>
    <row r="631" spans="1:26" x14ac:dyDescent="0.25">
      <c r="C631" s="4072" t="s">
        <v>1375</v>
      </c>
      <c r="D631" s="4085">
        <f t="shared" ca="1" si="170"/>
        <v>8.48</v>
      </c>
      <c r="E631" s="4085">
        <f t="shared" ca="1" si="170"/>
        <v>9.0736000000000008</v>
      </c>
      <c r="F631" s="4085">
        <f t="shared" ca="1" si="170"/>
        <v>4.2132319999999996</v>
      </c>
      <c r="G631" s="4085">
        <f t="shared" ca="1" si="170"/>
        <v>0</v>
      </c>
      <c r="H631" s="4085">
        <f t="shared" ca="1" si="170"/>
        <v>0</v>
      </c>
      <c r="I631" s="4085">
        <f t="shared" ca="1" si="170"/>
        <v>0</v>
      </c>
      <c r="J631" s="4085">
        <f t="shared" ca="1" si="170"/>
        <v>0</v>
      </c>
      <c r="K631" s="4085">
        <f t="shared" ca="1" si="170"/>
        <v>0</v>
      </c>
      <c r="L631" s="4085">
        <f t="shared" ca="1" si="170"/>
        <v>0</v>
      </c>
      <c r="M631" s="4085">
        <f t="shared" ca="1" si="170"/>
        <v>0</v>
      </c>
      <c r="N631" s="4074">
        <f t="shared" ca="1" si="169"/>
        <v>21.766832000000001</v>
      </c>
    </row>
    <row r="632" spans="1:26" x14ac:dyDescent="0.25">
      <c r="C632" s="4072" t="s">
        <v>1240</v>
      </c>
      <c r="D632" s="4085">
        <f t="shared" ca="1" si="170"/>
        <v>0</v>
      </c>
      <c r="E632" s="4085">
        <f t="shared" ca="1" si="170"/>
        <v>0</v>
      </c>
      <c r="F632" s="4085">
        <f t="shared" ca="1" si="170"/>
        <v>0</v>
      </c>
      <c r="G632" s="4085">
        <f t="shared" ca="1" si="170"/>
        <v>0</v>
      </c>
      <c r="H632" s="4085">
        <f t="shared" ca="1" si="170"/>
        <v>0</v>
      </c>
      <c r="I632" s="4085">
        <f t="shared" ca="1" si="170"/>
        <v>0</v>
      </c>
      <c r="J632" s="4085">
        <f t="shared" ca="1" si="170"/>
        <v>0</v>
      </c>
      <c r="K632" s="4085">
        <f t="shared" ca="1" si="170"/>
        <v>0</v>
      </c>
      <c r="L632" s="4085">
        <f t="shared" ca="1" si="170"/>
        <v>0</v>
      </c>
      <c r="M632" s="4085">
        <f t="shared" ca="1" si="170"/>
        <v>0</v>
      </c>
      <c r="N632" s="4074">
        <f t="shared" ca="1" si="169"/>
        <v>0</v>
      </c>
    </row>
    <row r="633" spans="1:26" x14ac:dyDescent="0.25">
      <c r="C633" s="4075" t="s">
        <v>2963</v>
      </c>
      <c r="D633" s="4085">
        <f t="shared" ca="1" si="170"/>
        <v>197.7</v>
      </c>
      <c r="E633" s="4085">
        <f t="shared" ca="1" si="170"/>
        <v>211.53899999999999</v>
      </c>
      <c r="F633" s="4085">
        <f t="shared" ca="1" si="170"/>
        <v>226.34672999999998</v>
      </c>
      <c r="G633" s="4085">
        <f t="shared" ca="1" si="170"/>
        <v>242.19100109999999</v>
      </c>
      <c r="H633" s="4085">
        <f t="shared" ca="1" si="170"/>
        <v>259.14437117700004</v>
      </c>
      <c r="I633" s="4085">
        <f t="shared" ca="1" si="170"/>
        <v>0</v>
      </c>
      <c r="J633" s="4085">
        <f t="shared" ca="1" si="170"/>
        <v>0</v>
      </c>
      <c r="K633" s="4085">
        <f t="shared" ca="1" si="170"/>
        <v>0</v>
      </c>
      <c r="L633" s="4085">
        <f t="shared" ca="1" si="170"/>
        <v>0</v>
      </c>
      <c r="M633" s="4085">
        <f t="shared" ca="1" si="170"/>
        <v>0</v>
      </c>
      <c r="N633" s="4074">
        <f t="shared" ca="1" si="169"/>
        <v>1136.921102277</v>
      </c>
    </row>
    <row r="634" spans="1:26" x14ac:dyDescent="0.25">
      <c r="C634" s="4075" t="s">
        <v>1259</v>
      </c>
      <c r="D634" s="4085">
        <f t="shared" si="170"/>
        <v>156.95999999999998</v>
      </c>
      <c r="E634" s="4085">
        <f t="shared" si="170"/>
        <v>126.92339999999999</v>
      </c>
      <c r="F634" s="4085">
        <f t="shared" si="170"/>
        <v>135.80803799999998</v>
      </c>
      <c r="G634" s="4085">
        <f t="shared" si="170"/>
        <v>145.31460066</v>
      </c>
      <c r="H634" s="4085">
        <f t="shared" si="170"/>
        <v>155.48662270620002</v>
      </c>
      <c r="I634" s="4085">
        <f t="shared" si="170"/>
        <v>0</v>
      </c>
      <c r="J634" s="4085">
        <f t="shared" si="170"/>
        <v>0</v>
      </c>
      <c r="K634" s="4085">
        <f t="shared" si="170"/>
        <v>0</v>
      </c>
      <c r="L634" s="4085">
        <f t="shared" si="170"/>
        <v>0</v>
      </c>
      <c r="M634" s="4085">
        <f t="shared" si="170"/>
        <v>0</v>
      </c>
      <c r="N634" s="4074">
        <f t="shared" si="169"/>
        <v>720.49266136619997</v>
      </c>
    </row>
    <row r="635" spans="1:26" x14ac:dyDescent="0.25">
      <c r="C635" s="4076"/>
      <c r="D635" s="4078"/>
      <c r="E635" s="4076"/>
    </row>
    <row r="636" spans="1:26" s="4179" customFormat="1" x14ac:dyDescent="0.25">
      <c r="D636" s="4180"/>
    </row>
    <row r="637" spans="1:26" ht="15.75" thickBot="1" x14ac:dyDescent="0.3">
      <c r="C637" s="4076"/>
      <c r="D637" s="4078"/>
      <c r="E637" s="4076"/>
    </row>
    <row r="638" spans="1:26" s="4093" customFormat="1" ht="23.25" x14ac:dyDescent="0.25">
      <c r="B638" s="5823"/>
      <c r="C638" s="5824" t="s">
        <v>497</v>
      </c>
      <c r="D638" s="5825"/>
      <c r="E638" s="5826"/>
      <c r="F638" s="5826"/>
      <c r="G638" s="5826"/>
      <c r="H638" s="5826"/>
      <c r="I638" s="5826"/>
      <c r="J638" s="5826"/>
      <c r="K638" s="5826"/>
      <c r="L638" s="5826"/>
      <c r="M638" s="5827"/>
    </row>
    <row r="639" spans="1:26" x14ac:dyDescent="0.25">
      <c r="B639" s="4295">
        <v>1</v>
      </c>
      <c r="C639" s="4296" t="s">
        <v>482</v>
      </c>
      <c r="D639" s="4297">
        <f>'Financing Plan'!$J110</f>
        <v>0.1</v>
      </c>
      <c r="E639" s="4298"/>
      <c r="F639" s="4298"/>
      <c r="G639" s="4298"/>
      <c r="H639" s="4298"/>
      <c r="I639" s="4298"/>
      <c r="J639" s="4298"/>
      <c r="K639" s="4298"/>
      <c r="L639" s="4298"/>
      <c r="M639" s="4299"/>
    </row>
    <row r="640" spans="1:26" x14ac:dyDescent="0.25">
      <c r="B640" s="4295">
        <v>2</v>
      </c>
      <c r="C640" s="4300" t="s">
        <v>478</v>
      </c>
      <c r="D640" s="4301">
        <f>'Financing Plan'!$J111</f>
        <v>3</v>
      </c>
      <c r="E640" s="4302"/>
      <c r="F640" s="4303"/>
      <c r="G640" s="4302"/>
      <c r="H640" s="4302"/>
      <c r="I640" s="4302"/>
      <c r="J640" s="4302"/>
      <c r="K640" s="4302"/>
      <c r="L640" s="4302"/>
      <c r="M640" s="4304"/>
    </row>
    <row r="641" spans="2:15" x14ac:dyDescent="0.25">
      <c r="B641" s="4295">
        <v>3</v>
      </c>
      <c r="C641" s="4300" t="s">
        <v>479</v>
      </c>
      <c r="D641" s="4301">
        <f>'Financing Plan'!$J112</f>
        <v>15</v>
      </c>
      <c r="E641" s="4305"/>
      <c r="F641" s="4305"/>
      <c r="G641" s="4305"/>
      <c r="H641" s="4305"/>
      <c r="I641" s="4305"/>
      <c r="J641" s="4305"/>
      <c r="K641" s="4305"/>
      <c r="L641" s="4305"/>
      <c r="M641" s="4306"/>
    </row>
    <row r="642" spans="2:15" x14ac:dyDescent="0.25">
      <c r="B642" s="4307" t="s">
        <v>3</v>
      </c>
      <c r="C642" s="4308" t="s">
        <v>4</v>
      </c>
      <c r="D642" s="5819">
        <f>'General info'!$E$20+1</f>
        <v>2015</v>
      </c>
      <c r="E642" s="4308">
        <f>D642+1</f>
        <v>2016</v>
      </c>
      <c r="F642" s="4308">
        <f t="shared" ref="F642:M642" si="171">E642+1</f>
        <v>2017</v>
      </c>
      <c r="G642" s="4308">
        <f t="shared" si="171"/>
        <v>2018</v>
      </c>
      <c r="H642" s="4308">
        <f t="shared" si="171"/>
        <v>2019</v>
      </c>
      <c r="I642" s="4308">
        <f t="shared" si="171"/>
        <v>2020</v>
      </c>
      <c r="J642" s="4308">
        <f t="shared" si="171"/>
        <v>2021</v>
      </c>
      <c r="K642" s="4308">
        <f t="shared" si="171"/>
        <v>2022</v>
      </c>
      <c r="L642" s="4308">
        <f t="shared" si="171"/>
        <v>2023</v>
      </c>
      <c r="M642" s="4309">
        <f t="shared" si="171"/>
        <v>2024</v>
      </c>
    </row>
    <row r="643" spans="2:15" x14ac:dyDescent="0.25">
      <c r="B643" s="4310"/>
      <c r="C643" s="4311" t="s">
        <v>1103</v>
      </c>
      <c r="D643" s="4312">
        <f ca="1">'Financing Plan'!E109+'Financing Plan'!E108</f>
        <v>0</v>
      </c>
      <c r="E643" s="4312">
        <f ca="1">'Financing Plan'!F109+'Financing Plan'!F108</f>
        <v>0</v>
      </c>
      <c r="F643" s="4312">
        <f ca="1">'Financing Plan'!G109+'Financing Plan'!G108</f>
        <v>36</v>
      </c>
      <c r="G643" s="4312">
        <f ca="1">'Financing Plan'!H109+'Financing Plan'!H108</f>
        <v>0</v>
      </c>
      <c r="H643" s="4312">
        <f ca="1">'Financing Plan'!I109+'Financing Plan'!I108</f>
        <v>0</v>
      </c>
      <c r="I643" s="4312">
        <f ca="1">'Financing Plan'!J109+'Financing Plan'!J108</f>
        <v>0</v>
      </c>
      <c r="J643" s="4312">
        <f ca="1">'Financing Plan'!K109+'Financing Plan'!K108</f>
        <v>0</v>
      </c>
      <c r="K643" s="4312">
        <f ca="1">'Financing Plan'!L109+'Financing Plan'!L108</f>
        <v>0</v>
      </c>
      <c r="L643" s="4312">
        <f ca="1">'Financing Plan'!M109+'Financing Plan'!M108</f>
        <v>0</v>
      </c>
      <c r="M643" s="5828">
        <f ca="1">'Financing Plan'!N109+'Financing Plan'!N108</f>
        <v>0</v>
      </c>
    </row>
    <row r="644" spans="2:15" x14ac:dyDescent="0.25">
      <c r="B644" s="4313"/>
      <c r="C644" s="4314" t="s">
        <v>483</v>
      </c>
      <c r="D644" s="5821">
        <f ca="1">D$643+(D$643*$D$639*$D$640)</f>
        <v>0</v>
      </c>
      <c r="E644" s="4315"/>
      <c r="F644" s="4315"/>
      <c r="G644" s="4315"/>
      <c r="H644" s="4315"/>
      <c r="I644" s="4315"/>
      <c r="J644" s="4315"/>
      <c r="K644" s="4315"/>
      <c r="L644" s="4315"/>
      <c r="M644" s="4316"/>
    </row>
    <row r="645" spans="2:15" x14ac:dyDescent="0.25">
      <c r="B645" s="4317"/>
      <c r="C645" s="4318" t="s">
        <v>61</v>
      </c>
      <c r="D645" s="4319"/>
      <c r="E645" s="5820" t="b">
        <f ca="1">IF($D$644&lt;&gt;0,IF(AND($E$642&lt;=$D$642+$D$640+$D$641,E$642&gt;=$D$642+$D$640+1),-PPMT($D$639,E$642-$D$642-$D$640,$D$641,$D$644,0),0))</f>
        <v>0</v>
      </c>
      <c r="F645" s="4320" t="b">
        <f t="shared" ref="F645:M645" ca="1" si="172">IF($D$644&lt;&gt;0,IF(AND($E$642&lt;=$D$642+$D$640+$D$641,F$642&gt;=$D$642+$D$640+1),-PPMT($D$639,F$642-$D$642-$D$640,$D$641,$D$644,0),0))</f>
        <v>0</v>
      </c>
      <c r="G645" s="4320" t="b">
        <f t="shared" ca="1" si="172"/>
        <v>0</v>
      </c>
      <c r="H645" s="4320" t="b">
        <f t="shared" ca="1" si="172"/>
        <v>0</v>
      </c>
      <c r="I645" s="4320" t="b">
        <f t="shared" ca="1" si="172"/>
        <v>0</v>
      </c>
      <c r="J645" s="4320" t="b">
        <f t="shared" ca="1" si="172"/>
        <v>0</v>
      </c>
      <c r="K645" s="4320" t="b">
        <f t="shared" ca="1" si="172"/>
        <v>0</v>
      </c>
      <c r="L645" s="4320" t="b">
        <f t="shared" ca="1" si="172"/>
        <v>0</v>
      </c>
      <c r="M645" s="4321" t="b">
        <f t="shared" ca="1" si="172"/>
        <v>0</v>
      </c>
      <c r="N645" s="5817"/>
    </row>
    <row r="646" spans="2:15" x14ac:dyDescent="0.25">
      <c r="B646" s="4317"/>
      <c r="C646" s="4318" t="s">
        <v>62</v>
      </c>
      <c r="D646" s="4319"/>
      <c r="E646" s="5820">
        <f ca="1">IF($D$644&lt;&gt;0,IF(AND($E$642&lt;=$D$642+$D$640+$D$641,E$642&gt;=$D$642+$D$640+1),-IPMT($D$639,E$642-$D$642-$D$640,$D$641,$D$644),0),0)</f>
        <v>0</v>
      </c>
      <c r="F646" s="4320">
        <f t="shared" ref="F646:M646" ca="1" si="173">IF($D$644&lt;&gt;0,IF(AND($E$642&lt;=$D$642+$D$640+$D$641,F$642&gt;=$D$642+$D$640+1),-IPMT($D$639,F$642-$D$642-$D$640,$D$641,$D$644),0),0)</f>
        <v>0</v>
      </c>
      <c r="G646" s="4320">
        <f t="shared" ca="1" si="173"/>
        <v>0</v>
      </c>
      <c r="H646" s="4320">
        <f t="shared" ca="1" si="173"/>
        <v>0</v>
      </c>
      <c r="I646" s="4320">
        <f t="shared" ca="1" si="173"/>
        <v>0</v>
      </c>
      <c r="J646" s="4320">
        <f t="shared" ca="1" si="173"/>
        <v>0</v>
      </c>
      <c r="K646" s="4320">
        <f t="shared" ca="1" si="173"/>
        <v>0</v>
      </c>
      <c r="L646" s="4320">
        <f t="shared" ca="1" si="173"/>
        <v>0</v>
      </c>
      <c r="M646" s="4321">
        <f t="shared" ca="1" si="173"/>
        <v>0</v>
      </c>
      <c r="N646" s="5817"/>
      <c r="O646" s="5817"/>
    </row>
    <row r="647" spans="2:15" x14ac:dyDescent="0.25">
      <c r="B647" s="4317"/>
      <c r="C647" s="4318" t="s">
        <v>16</v>
      </c>
      <c r="D647" s="4319"/>
      <c r="E647" s="4320">
        <f t="shared" ref="E647:M647" ca="1" si="174">E645+E646</f>
        <v>0</v>
      </c>
      <c r="F647" s="4320">
        <f t="shared" ca="1" si="174"/>
        <v>0</v>
      </c>
      <c r="G647" s="4320">
        <f t="shared" ca="1" si="174"/>
        <v>0</v>
      </c>
      <c r="H647" s="4320">
        <f t="shared" ca="1" si="174"/>
        <v>0</v>
      </c>
      <c r="I647" s="4320">
        <f t="shared" ca="1" si="174"/>
        <v>0</v>
      </c>
      <c r="J647" s="4320">
        <f t="shared" ca="1" si="174"/>
        <v>0</v>
      </c>
      <c r="K647" s="4320">
        <f t="shared" ca="1" si="174"/>
        <v>0</v>
      </c>
      <c r="L647" s="4320">
        <f t="shared" ca="1" si="174"/>
        <v>0</v>
      </c>
      <c r="M647" s="4321">
        <f t="shared" ca="1" si="174"/>
        <v>0</v>
      </c>
      <c r="N647" s="5817"/>
    </row>
    <row r="648" spans="2:15" x14ac:dyDescent="0.25">
      <c r="B648" s="4317"/>
      <c r="C648" s="4322" t="s">
        <v>484</v>
      </c>
      <c r="D648" s="4323"/>
      <c r="E648" s="5821">
        <f ca="1">E$643+(E$643*$D$639*$D$640)</f>
        <v>0</v>
      </c>
      <c r="F648" s="4324"/>
      <c r="G648" s="4324"/>
      <c r="H648" s="4324"/>
      <c r="I648" s="4324"/>
      <c r="J648" s="4324"/>
      <c r="K648" s="4324"/>
      <c r="L648" s="4324"/>
      <c r="M648" s="4325"/>
    </row>
    <row r="649" spans="2:15" x14ac:dyDescent="0.25">
      <c r="B649" s="4317"/>
      <c r="C649" s="4318" t="s">
        <v>61</v>
      </c>
      <c r="D649" s="4326"/>
      <c r="E649" s="4320"/>
      <c r="F649" s="5820" t="b">
        <f ca="1">IF($E$648&lt;&gt;0,IF(AND($E$642&lt;=$E$642+$D$640+$D$641,F$642&gt;=$E$642+$D$640+1),-PPMT($D$639,F$642-$E$642-$D$640,$D$641,$E$648,0),0))</f>
        <v>0</v>
      </c>
      <c r="G649" s="4320" t="b">
        <f t="shared" ref="G649:M649" ca="1" si="175">IF($E$648&lt;&gt;0,IF(AND($E$642&lt;=$E$642+$D$640+$D$641,G$642&gt;=$E$642+$D$640+1),-PPMT($D$639,G$642-$E$642-$D$640,$D$641,$E$648,0),0))</f>
        <v>0</v>
      </c>
      <c r="H649" s="4320" t="b">
        <f t="shared" ca="1" si="175"/>
        <v>0</v>
      </c>
      <c r="I649" s="4320" t="b">
        <f t="shared" ca="1" si="175"/>
        <v>0</v>
      </c>
      <c r="J649" s="4320" t="b">
        <f t="shared" ca="1" si="175"/>
        <v>0</v>
      </c>
      <c r="K649" s="4320" t="b">
        <f t="shared" ca="1" si="175"/>
        <v>0</v>
      </c>
      <c r="L649" s="4320" t="b">
        <f t="shared" ca="1" si="175"/>
        <v>0</v>
      </c>
      <c r="M649" s="4321" t="b">
        <f t="shared" ca="1" si="175"/>
        <v>0</v>
      </c>
    </row>
    <row r="650" spans="2:15" x14ac:dyDescent="0.25">
      <c r="B650" s="4317"/>
      <c r="C650" s="4318" t="s">
        <v>62</v>
      </c>
      <c r="D650" s="4326"/>
      <c r="E650" s="4320"/>
      <c r="F650" s="5820" t="b">
        <f ca="1">IF($E$648&lt;&gt;0,IF(AND($E$642&lt;=$E$642+$D$640+$D$641,F$642&gt;=$E$642+$D$640+1),-IPMT($D$639,F$642-$E$642-$D$640,$D$641,$E$648,0),0))</f>
        <v>0</v>
      </c>
      <c r="G650" s="4320" t="b">
        <f t="shared" ref="G650:M650" ca="1" si="176">IF($E$648&lt;&gt;0,IF(AND($E$642&lt;=$E$642+$D$640+$D$641,G$642&gt;=$E$642+$D$640+1),-IPMT($D$639,G$642-$E$642-$D$640,$D$641,$E$648,0),0))</f>
        <v>0</v>
      </c>
      <c r="H650" s="4320" t="b">
        <f t="shared" ca="1" si="176"/>
        <v>0</v>
      </c>
      <c r="I650" s="4320" t="b">
        <f t="shared" ca="1" si="176"/>
        <v>0</v>
      </c>
      <c r="J650" s="4320" t="b">
        <f t="shared" ca="1" si="176"/>
        <v>0</v>
      </c>
      <c r="K650" s="4320" t="b">
        <f t="shared" ca="1" si="176"/>
        <v>0</v>
      </c>
      <c r="L650" s="4320" t="b">
        <f t="shared" ca="1" si="176"/>
        <v>0</v>
      </c>
      <c r="M650" s="4321" t="b">
        <f t="shared" ca="1" si="176"/>
        <v>0</v>
      </c>
    </row>
    <row r="651" spans="2:15" x14ac:dyDescent="0.25">
      <c r="B651" s="4317"/>
      <c r="C651" s="4318" t="s">
        <v>16</v>
      </c>
      <c r="D651" s="4326"/>
      <c r="E651" s="4320"/>
      <c r="F651" s="4320">
        <f t="shared" ref="F651:M651" ca="1" si="177">F649+F650</f>
        <v>0</v>
      </c>
      <c r="G651" s="4320">
        <f t="shared" ca="1" si="177"/>
        <v>0</v>
      </c>
      <c r="H651" s="4320">
        <f t="shared" ca="1" si="177"/>
        <v>0</v>
      </c>
      <c r="I651" s="4320">
        <f t="shared" ca="1" si="177"/>
        <v>0</v>
      </c>
      <c r="J651" s="4320">
        <f t="shared" ca="1" si="177"/>
        <v>0</v>
      </c>
      <c r="K651" s="4320">
        <f t="shared" ca="1" si="177"/>
        <v>0</v>
      </c>
      <c r="L651" s="4320">
        <f t="shared" ca="1" si="177"/>
        <v>0</v>
      </c>
      <c r="M651" s="4321">
        <f t="shared" ca="1" si="177"/>
        <v>0</v>
      </c>
    </row>
    <row r="652" spans="2:15" x14ac:dyDescent="0.25">
      <c r="B652" s="4317"/>
      <c r="C652" s="4322" t="s">
        <v>485</v>
      </c>
      <c r="D652" s="4323"/>
      <c r="E652" s="4324"/>
      <c r="F652" s="5821">
        <f ca="1">F$643+(F$643*$D$639*$D$640)</f>
        <v>46.8</v>
      </c>
      <c r="G652" s="4324"/>
      <c r="H652" s="4324"/>
      <c r="I652" s="4324"/>
      <c r="J652" s="4324"/>
      <c r="K652" s="4324"/>
      <c r="L652" s="4324"/>
      <c r="M652" s="4325"/>
    </row>
    <row r="653" spans="2:15" x14ac:dyDescent="0.25">
      <c r="B653" s="4317"/>
      <c r="C653" s="4318" t="s">
        <v>61</v>
      </c>
      <c r="D653" s="4326"/>
      <c r="E653" s="4327"/>
      <c r="F653" s="4320"/>
      <c r="G653" s="5820">
        <f ca="1">IF($F$652&lt;&gt;0,IF(AND($F$642&lt;=$F$642+$D$640+$D$641,G$642&gt;=$F$642+$D$640+1),-PPMT($D$639,G$642-$F$642-$D$640,$D$641,$F$652,0),0))</f>
        <v>0</v>
      </c>
      <c r="H653" s="4320">
        <f t="shared" ref="H653:M653" ca="1" si="178">IF($F$652&lt;&gt;0,IF(AND($F$642&lt;=$F$642+$D$640+$D$641,H$642&gt;=$F$642+$D$640+1),-PPMT($D$639,H$642-$F$642-$D$640,$D$641,$F$652,0),0))</f>
        <v>0</v>
      </c>
      <c r="I653" s="4320">
        <f t="shared" ca="1" si="178"/>
        <v>0</v>
      </c>
      <c r="J653" s="4320">
        <f t="shared" ca="1" si="178"/>
        <v>1.47297275832902</v>
      </c>
      <c r="K653" s="4320">
        <f t="shared" ca="1" si="178"/>
        <v>1.6202700341619221</v>
      </c>
      <c r="L653" s="4320">
        <f t="shared" ca="1" si="178"/>
        <v>1.782297037578114</v>
      </c>
      <c r="M653" s="4321">
        <f t="shared" ca="1" si="178"/>
        <v>1.9605267413359257</v>
      </c>
    </row>
    <row r="654" spans="2:15" x14ac:dyDescent="0.25">
      <c r="B654" s="4317"/>
      <c r="C654" s="4318" t="s">
        <v>62</v>
      </c>
      <c r="D654" s="4326"/>
      <c r="E654" s="4327"/>
      <c r="F654" s="4320"/>
      <c r="G654" s="5820">
        <f ca="1">IF($F$652&lt;&gt;0,IF(AND($F$642&lt;=$F$642+$D$640+$D$641,G$642&gt;=$F$642+$D$640+1),-IPMT($D$639,G$642-$F$642-$D$640,$D$641,$F$652,0),0))</f>
        <v>0</v>
      </c>
      <c r="H654" s="4320">
        <f t="shared" ref="H654:M654" ca="1" si="179">IF($F$652&lt;&gt;0,IF(AND($F$642&lt;=$F$642+$D$640+$D$641,H$642&gt;=$F$642+$D$640+1),-IPMT($D$639,H$642-$F$642-$D$640,$D$641,$F$652,0),0))</f>
        <v>0</v>
      </c>
      <c r="I654" s="4320">
        <f t="shared" ca="1" si="179"/>
        <v>0</v>
      </c>
      <c r="J654" s="4320">
        <f t="shared" ca="1" si="179"/>
        <v>4.68</v>
      </c>
      <c r="K654" s="4320">
        <f t="shared" ca="1" si="179"/>
        <v>4.5327027241670974</v>
      </c>
      <c r="L654" s="4320">
        <f t="shared" ca="1" si="179"/>
        <v>4.3706757207509055</v>
      </c>
      <c r="M654" s="4321">
        <f t="shared" ca="1" si="179"/>
        <v>4.1924460169930944</v>
      </c>
    </row>
    <row r="655" spans="2:15" x14ac:dyDescent="0.25">
      <c r="B655" s="4317"/>
      <c r="C655" s="4318" t="s">
        <v>16</v>
      </c>
      <c r="D655" s="4326"/>
      <c r="E655" s="4327"/>
      <c r="F655" s="4320"/>
      <c r="G655" s="4320">
        <f t="shared" ref="G655:M655" ca="1" si="180">G653+G654</f>
        <v>0</v>
      </c>
      <c r="H655" s="4320">
        <f t="shared" ca="1" si="180"/>
        <v>0</v>
      </c>
      <c r="I655" s="4320">
        <f t="shared" ca="1" si="180"/>
        <v>0</v>
      </c>
      <c r="J655" s="4320">
        <f t="shared" ca="1" si="180"/>
        <v>6.1529727583290192</v>
      </c>
      <c r="K655" s="4320">
        <f t="shared" ca="1" si="180"/>
        <v>6.1529727583290192</v>
      </c>
      <c r="L655" s="4320">
        <f t="shared" ca="1" si="180"/>
        <v>6.1529727583290192</v>
      </c>
      <c r="M655" s="4321">
        <f t="shared" ca="1" si="180"/>
        <v>6.1529727583290201</v>
      </c>
    </row>
    <row r="656" spans="2:15" x14ac:dyDescent="0.25">
      <c r="B656" s="4317"/>
      <c r="C656" s="4322" t="s">
        <v>486</v>
      </c>
      <c r="D656" s="4323"/>
      <c r="E656" s="4324"/>
      <c r="F656" s="4324"/>
      <c r="G656" s="5821">
        <f ca="1">G$643+(G$643*$D$639*$D$640)</f>
        <v>0</v>
      </c>
      <c r="H656" s="4324"/>
      <c r="I656" s="4324"/>
      <c r="J656" s="4324"/>
      <c r="K656" s="4324"/>
      <c r="L656" s="4324"/>
      <c r="M656" s="4325"/>
    </row>
    <row r="657" spans="2:13" x14ac:dyDescent="0.25">
      <c r="B657" s="4317"/>
      <c r="C657" s="4318" t="s">
        <v>61</v>
      </c>
      <c r="D657" s="4328"/>
      <c r="E657" s="4329"/>
      <c r="F657" s="4330"/>
      <c r="G657" s="4320"/>
      <c r="H657" s="5820" t="b">
        <f ca="1">IF($G$656&lt;&gt;0,IF(AND($G$642&lt;=$G$642+$D$640+$D$641,H$642&gt;=$G$642+$D$640+1),-PPMT($D$639,H$642-$G$642-$D$640,$D$641,$G$656,0),0))</f>
        <v>0</v>
      </c>
      <c r="I657" s="4320" t="b">
        <f t="shared" ref="I657:M657" ca="1" si="181">IF($G$656&lt;&gt;0,IF(AND($G$642&lt;=$G$642+$D$640+$D$641,I$642&gt;=$G$642+$D$640+1),-PPMT($D$639,I$642-$G$642-$D$640,$D$641,$G$656,0),0))</f>
        <v>0</v>
      </c>
      <c r="J657" s="4320" t="b">
        <f t="shared" ca="1" si="181"/>
        <v>0</v>
      </c>
      <c r="K657" s="4320" t="b">
        <f t="shared" ca="1" si="181"/>
        <v>0</v>
      </c>
      <c r="L657" s="4320" t="b">
        <f t="shared" ca="1" si="181"/>
        <v>0</v>
      </c>
      <c r="M657" s="4321" t="b">
        <f t="shared" ca="1" si="181"/>
        <v>0</v>
      </c>
    </row>
    <row r="658" spans="2:13" x14ac:dyDescent="0.25">
      <c r="B658" s="4317"/>
      <c r="C658" s="4318" t="s">
        <v>62</v>
      </c>
      <c r="D658" s="4331"/>
      <c r="E658" s="4332"/>
      <c r="F658" s="4333"/>
      <c r="G658" s="4320"/>
      <c r="H658" s="5820" t="b">
        <f ca="1">IF($G$656&lt;&gt;0,IF(AND($G$642&lt;=$G$642+$D$640+$D$641,H$642&gt;=$G$642+$D$640+1),-IPMT($D$639,H$642-$G$642-$D$640,$D$641,$G$656,0),0))</f>
        <v>0</v>
      </c>
      <c r="I658" s="4320" t="b">
        <f t="shared" ref="I658:M658" ca="1" si="182">IF($G$656&lt;&gt;0,IF(AND($G$642&lt;=$G$642+$D$640+$D$641,I$642&gt;=$G$642+$D$640+1),-IPMT($D$639,I$642-$G$642-$D$640,$D$641,$G$656,0),0))</f>
        <v>0</v>
      </c>
      <c r="J658" s="4320" t="b">
        <f t="shared" ca="1" si="182"/>
        <v>0</v>
      </c>
      <c r="K658" s="4320" t="b">
        <f t="shared" ca="1" si="182"/>
        <v>0</v>
      </c>
      <c r="L658" s="4320" t="b">
        <f t="shared" ca="1" si="182"/>
        <v>0</v>
      </c>
      <c r="M658" s="4321" t="b">
        <f t="shared" ca="1" si="182"/>
        <v>0</v>
      </c>
    </row>
    <row r="659" spans="2:13" x14ac:dyDescent="0.25">
      <c r="B659" s="4317"/>
      <c r="C659" s="4318" t="s">
        <v>16</v>
      </c>
      <c r="D659" s="4334"/>
      <c r="E659" s="4315"/>
      <c r="F659" s="4335"/>
      <c r="G659" s="4320"/>
      <c r="H659" s="4320">
        <f t="shared" ref="H659:M659" ca="1" si="183">H657+H658</f>
        <v>0</v>
      </c>
      <c r="I659" s="4320">
        <f t="shared" ca="1" si="183"/>
        <v>0</v>
      </c>
      <c r="J659" s="4320">
        <f t="shared" ca="1" si="183"/>
        <v>0</v>
      </c>
      <c r="K659" s="4320">
        <f t="shared" ca="1" si="183"/>
        <v>0</v>
      </c>
      <c r="L659" s="4320">
        <f t="shared" ca="1" si="183"/>
        <v>0</v>
      </c>
      <c r="M659" s="4321">
        <f t="shared" ca="1" si="183"/>
        <v>0</v>
      </c>
    </row>
    <row r="660" spans="2:13" x14ac:dyDescent="0.25">
      <c r="B660" s="4317"/>
      <c r="C660" s="4322" t="s">
        <v>487</v>
      </c>
      <c r="D660" s="4323"/>
      <c r="E660" s="4324"/>
      <c r="F660" s="4324"/>
      <c r="G660" s="4324"/>
      <c r="H660" s="5821">
        <f ca="1">H$643+(H$643*$D$639*$D$640)</f>
        <v>0</v>
      </c>
      <c r="I660" s="4324"/>
      <c r="J660" s="4324"/>
      <c r="K660" s="4324"/>
      <c r="L660" s="4324"/>
      <c r="M660" s="4325"/>
    </row>
    <row r="661" spans="2:13" x14ac:dyDescent="0.25">
      <c r="B661" s="4317"/>
      <c r="C661" s="4318" t="s">
        <v>61</v>
      </c>
      <c r="D661" s="4336"/>
      <c r="E661" s="4337"/>
      <c r="F661" s="4337"/>
      <c r="G661" s="4320"/>
      <c r="H661" s="4320"/>
      <c r="I661" s="5820" t="b">
        <f ca="1">IF($H$660&lt;&gt;0,IF(AND($H$642&lt;=$H$642+$D$640+$D$641,I$642&gt;=$H$642+$D$640+1),-PPMT($D$639,I$642-$H$642-$D$640,$D$641,$H$660,0),0))</f>
        <v>0</v>
      </c>
      <c r="J661" s="4320" t="b">
        <f t="shared" ref="J661:M661" ca="1" si="184">IF($H$660&lt;&gt;0,IF(AND($H$642&lt;=$H$642+$D$640+$D$641,J$642&gt;=$H$642+$D$640+1),-PPMT($D$639,J$642-$H$642-$D$640,$D$641,$H$660,0),0))</f>
        <v>0</v>
      </c>
      <c r="K661" s="4320" t="b">
        <f t="shared" ca="1" si="184"/>
        <v>0</v>
      </c>
      <c r="L661" s="4320" t="b">
        <f t="shared" ca="1" si="184"/>
        <v>0</v>
      </c>
      <c r="M661" s="4321" t="b">
        <f t="shared" ca="1" si="184"/>
        <v>0</v>
      </c>
    </row>
    <row r="662" spans="2:13" x14ac:dyDescent="0.25">
      <c r="B662" s="4317"/>
      <c r="C662" s="4318" t="s">
        <v>62</v>
      </c>
      <c r="D662" s="4338"/>
      <c r="E662" s="4327"/>
      <c r="F662" s="4327"/>
      <c r="G662" s="4320"/>
      <c r="H662" s="4320"/>
      <c r="I662" s="5820" t="b">
        <f ca="1">IF($H$660&lt;&gt;0,IF(AND($H$642&lt;=$H$642+$D$640+$D$641,I$642&gt;=$H$642+$D$640+1),-IPMT($D$639,I$642-$H$642-$D$640,$D$641,$H$660,0),0))</f>
        <v>0</v>
      </c>
      <c r="J662" s="4320" t="b">
        <f t="shared" ref="J662:M662" ca="1" si="185">IF($H$660&lt;&gt;0,IF(AND($H$642&lt;=$H$642+$D$640+$D$641,J$642&gt;=$H$642+$D$640+1),-IPMT($D$639,J$642-$H$642-$D$640,$D$641,$H$660,0),0))</f>
        <v>0</v>
      </c>
      <c r="K662" s="4320" t="b">
        <f t="shared" ca="1" si="185"/>
        <v>0</v>
      </c>
      <c r="L662" s="4320" t="b">
        <f t="shared" ca="1" si="185"/>
        <v>0</v>
      </c>
      <c r="M662" s="4321" t="b">
        <f t="shared" ca="1" si="185"/>
        <v>0</v>
      </c>
    </row>
    <row r="663" spans="2:13" x14ac:dyDescent="0.25">
      <c r="B663" s="4317"/>
      <c r="C663" s="4318" t="s">
        <v>16</v>
      </c>
      <c r="D663" s="4339"/>
      <c r="E663" s="4340"/>
      <c r="F663" s="4340"/>
      <c r="G663" s="4320"/>
      <c r="H663" s="4320"/>
      <c r="I663" s="4320">
        <f ca="1">I661+I662</f>
        <v>0</v>
      </c>
      <c r="J663" s="4320">
        <f ca="1">J661+J662</f>
        <v>0</v>
      </c>
      <c r="K663" s="4320">
        <f ca="1">K661+K662</f>
        <v>0</v>
      </c>
      <c r="L663" s="4320">
        <f ca="1">L661+L662</f>
        <v>0</v>
      </c>
      <c r="M663" s="4321">
        <f ca="1">M661+M662</f>
        <v>0</v>
      </c>
    </row>
    <row r="664" spans="2:13" x14ac:dyDescent="0.25">
      <c r="B664" s="4317"/>
      <c r="C664" s="4322" t="s">
        <v>488</v>
      </c>
      <c r="D664" s="4323"/>
      <c r="E664" s="4324"/>
      <c r="F664" s="4324"/>
      <c r="G664" s="4324"/>
      <c r="H664" s="4324"/>
      <c r="I664" s="5821">
        <f ca="1">I$643+(I$643*$D$639*$D$640)</f>
        <v>0</v>
      </c>
      <c r="J664" s="4324"/>
      <c r="K664" s="4324"/>
      <c r="L664" s="4324"/>
      <c r="M664" s="4325"/>
    </row>
    <row r="665" spans="2:13" x14ac:dyDescent="0.25">
      <c r="B665" s="4317"/>
      <c r="C665" s="4318" t="s">
        <v>61</v>
      </c>
      <c r="D665" s="4341"/>
      <c r="E665" s="4342"/>
      <c r="F665" s="4342"/>
      <c r="G665" s="4343"/>
      <c r="H665" s="4343"/>
      <c r="I665" s="4320"/>
      <c r="J665" s="5820" t="b">
        <f ca="1">IF($I$664&lt;&gt;0,IF(AND($I$642&lt;=$I$642+$D$640+$D$641,J$642&gt;=$I$642+$D$640+1),-PPMT($D$639,J$642-$I$642-$D$640,$D$641,$I$664,0),0))</f>
        <v>0</v>
      </c>
      <c r="K665" s="4320" t="b">
        <f t="shared" ref="K665:M665" ca="1" si="186">IF($I$664&lt;&gt;0,IF(AND($I$642&lt;=$I$642+$D$640+$D$641,K$642&gt;=$I$642+$D$640+1),-PPMT($D$639,K$642-$I$642-$D$640,$D$641,$I$664,0),0))</f>
        <v>0</v>
      </c>
      <c r="L665" s="4320" t="b">
        <f t="shared" ca="1" si="186"/>
        <v>0</v>
      </c>
      <c r="M665" s="4321" t="b">
        <f t="shared" ca="1" si="186"/>
        <v>0</v>
      </c>
    </row>
    <row r="666" spans="2:13" x14ac:dyDescent="0.25">
      <c r="B666" s="4317"/>
      <c r="C666" s="4318" t="s">
        <v>62</v>
      </c>
      <c r="D666" s="4344"/>
      <c r="E666" s="4097"/>
      <c r="F666" s="4097"/>
      <c r="G666" s="4345"/>
      <c r="H666" s="4345"/>
      <c r="I666" s="4320"/>
      <c r="J666" s="5820" t="b">
        <f ca="1">IF($I$664&lt;&gt;0,IF(AND($I$642&lt;=$I$642+$D$640+$D$641,J$642&gt;=$I$642+$D$640+1),-IPMT($D$639,J$642-$I$642-$D$640,$D$641,$I$664,0),0))</f>
        <v>0</v>
      </c>
      <c r="K666" s="4320" t="b">
        <f t="shared" ref="K666:M666" ca="1" si="187">IF($I$664&lt;&gt;0,IF(AND($I$642&lt;=$I$642+$D$640+$D$641,K$642&gt;=$I$642+$D$640+1),-IPMT($D$639,K$642-$I$642-$D$640,$D$641,$I$664,0),0))</f>
        <v>0</v>
      </c>
      <c r="L666" s="4320" t="b">
        <f t="shared" ca="1" si="187"/>
        <v>0</v>
      </c>
      <c r="M666" s="4321" t="b">
        <f t="shared" ca="1" si="187"/>
        <v>0</v>
      </c>
    </row>
    <row r="667" spans="2:13" x14ac:dyDescent="0.25">
      <c r="B667" s="4317"/>
      <c r="C667" s="4318" t="s">
        <v>16</v>
      </c>
      <c r="D667" s="4346"/>
      <c r="E667" s="4347"/>
      <c r="F667" s="4347"/>
      <c r="G667" s="4348"/>
      <c r="H667" s="4348"/>
      <c r="I667" s="4320"/>
      <c r="J667" s="4320">
        <f ca="1">J665+J666</f>
        <v>0</v>
      </c>
      <c r="K667" s="4320">
        <f ca="1">K665+K666</f>
        <v>0</v>
      </c>
      <c r="L667" s="4320">
        <f ca="1">L665+L666</f>
        <v>0</v>
      </c>
      <c r="M667" s="4321">
        <f ca="1">M665+M666</f>
        <v>0</v>
      </c>
    </row>
    <row r="668" spans="2:13" x14ac:dyDescent="0.25">
      <c r="B668" s="4317"/>
      <c r="C668" s="4322" t="s">
        <v>489</v>
      </c>
      <c r="D668" s="4323"/>
      <c r="E668" s="4324"/>
      <c r="F668" s="4324"/>
      <c r="G668" s="4324"/>
      <c r="H668" s="4324"/>
      <c r="I668" s="4324"/>
      <c r="J668" s="5821">
        <f ca="1">J$643+(J$643*$D$639*$D$640)</f>
        <v>0</v>
      </c>
      <c r="K668" s="4324"/>
      <c r="L668" s="4324"/>
      <c r="M668" s="4325"/>
    </row>
    <row r="669" spans="2:13" x14ac:dyDescent="0.25">
      <c r="B669" s="4317"/>
      <c r="C669" s="4318" t="s">
        <v>61</v>
      </c>
      <c r="D669" s="4349"/>
      <c r="E669" s="4350"/>
      <c r="F669" s="4350"/>
      <c r="G669" s="4350"/>
      <c r="H669" s="4350"/>
      <c r="I669" s="4351"/>
      <c r="J669" s="4320"/>
      <c r="K669" s="5820" t="b">
        <f ca="1">IF($J$668&lt;&gt;0,IF(AND($J$642&lt;=$J$642+$D$640+$D$641,K$642&gt;=$J$642+$D$640+1),-PPMT($D$639,K$642-$J$642-$D$640,$D$641,$J$668,0),0))</f>
        <v>0</v>
      </c>
      <c r="L669" s="4320" t="b">
        <f t="shared" ref="L669:M669" ca="1" si="188">IF($J$668&lt;&gt;0,IF(AND($J$642&lt;=$J$642+$D$640+$D$641,L$642&gt;=$J$642+$D$640+1),-PPMT($D$639,L$642-$J$642-$D$640,$D$641,$J$668,0),0))</f>
        <v>0</v>
      </c>
      <c r="M669" s="4321" t="b">
        <f t="shared" ca="1" si="188"/>
        <v>0</v>
      </c>
    </row>
    <row r="670" spans="2:13" x14ac:dyDescent="0.25">
      <c r="B670" s="4317"/>
      <c r="C670" s="4318" t="s">
        <v>62</v>
      </c>
      <c r="D670" s="4352"/>
      <c r="E670" s="4353"/>
      <c r="F670" s="4353"/>
      <c r="G670" s="4353"/>
      <c r="H670" s="4353"/>
      <c r="I670" s="4354"/>
      <c r="J670" s="4320"/>
      <c r="K670" s="5820" t="b">
        <f ca="1">IF($J$668&lt;&gt;0,IF(AND($J$642&lt;=$J$642+$D$640+$D$641,K$642&gt;=$J$642+$D$640+1),-IPMT($D$639,K$642-$J$642-$D$640,$D$641,$J$668,0),0))</f>
        <v>0</v>
      </c>
      <c r="L670" s="4320" t="b">
        <f t="shared" ref="L670:M670" ca="1" si="189">IF($J$668&lt;&gt;0,IF(AND($J$642&lt;=$J$642+$D$640+$D$641,L$642&gt;=$J$642+$D$640+1),-IPMT($D$639,L$642-$J$642-$D$640,$D$641,$J$668,0),0))</f>
        <v>0</v>
      </c>
      <c r="M670" s="4321" t="b">
        <f t="shared" ca="1" si="189"/>
        <v>0</v>
      </c>
    </row>
    <row r="671" spans="2:13" x14ac:dyDescent="0.25">
      <c r="B671" s="4317"/>
      <c r="C671" s="4318" t="s">
        <v>16</v>
      </c>
      <c r="D671" s="4355"/>
      <c r="E671" s="4356"/>
      <c r="F671" s="4356"/>
      <c r="G671" s="4356"/>
      <c r="H671" s="4356"/>
      <c r="I671" s="4357"/>
      <c r="J671" s="4320"/>
      <c r="K671" s="4320">
        <f ca="1">K669+K670</f>
        <v>0</v>
      </c>
      <c r="L671" s="4320">
        <f ca="1">L669+L670</f>
        <v>0</v>
      </c>
      <c r="M671" s="4321">
        <f ca="1">M669+M670</f>
        <v>0</v>
      </c>
    </row>
    <row r="672" spans="2:13" x14ac:dyDescent="0.25">
      <c r="B672" s="4317"/>
      <c r="C672" s="4358" t="s">
        <v>490</v>
      </c>
      <c r="D672" s="4323"/>
      <c r="E672" s="4359"/>
      <c r="F672" s="4359"/>
      <c r="G672" s="4359"/>
      <c r="H672" s="4359"/>
      <c r="I672" s="4359"/>
      <c r="J672" s="4359"/>
      <c r="K672" s="5821">
        <f ca="1">K$643+(K$643*$D$639*$D$640)</f>
        <v>0</v>
      </c>
      <c r="L672" s="4324"/>
      <c r="M672" s="4325"/>
    </row>
    <row r="673" spans="2:21" x14ac:dyDescent="0.25">
      <c r="B673" s="4317"/>
      <c r="C673" s="4360" t="s">
        <v>61</v>
      </c>
      <c r="D673" s="4349"/>
      <c r="E673" s="4361"/>
      <c r="F673" s="4361"/>
      <c r="G673" s="4361"/>
      <c r="H673" s="4361"/>
      <c r="I673" s="4361"/>
      <c r="J673" s="4362"/>
      <c r="K673" s="4363"/>
      <c r="L673" s="5820" t="b">
        <f ca="1">IF($K$672&lt;&gt;0,IF(AND($K$642&lt;=$K$642+$D$640+$D$641,L$642&gt;=$K$642+$D$640+1),-PPMT($D$639,L$642-$K$642-$D$640,$D$641,$K$672,0),0))</f>
        <v>0</v>
      </c>
      <c r="M673" s="4321" t="b">
        <f ca="1">IF($K$672&lt;&gt;0,IF(AND($K$642&lt;=$K$642+$D$640+$D$641,M$642&gt;=$K$642+$D$640+1),-PPMT($D$639,M$642-$K$642-$D$640,$D$641,$K$672,0),0))</f>
        <v>0</v>
      </c>
    </row>
    <row r="674" spans="2:21" x14ac:dyDescent="0.25">
      <c r="B674" s="4317"/>
      <c r="C674" s="4360" t="s">
        <v>62</v>
      </c>
      <c r="D674" s="4352"/>
      <c r="E674" s="4364"/>
      <c r="F674" s="4364"/>
      <c r="G674" s="4364"/>
      <c r="H674" s="4364"/>
      <c r="I674" s="4364"/>
      <c r="J674" s="4365"/>
      <c r="K674" s="4363"/>
      <c r="L674" s="5820" t="b">
        <f ca="1">IF($K$672&lt;&gt;0,IF(AND($K$642&lt;=$K$642+$D$640+$D$641,L$642&gt;=$K$642+$D$640+1),-IPMT($D$639,L$642-$K$642-$D$640,$D$641,$K$672,0),0))</f>
        <v>0</v>
      </c>
      <c r="M674" s="4321" t="b">
        <f ca="1">IF($K$672&lt;&gt;0,IF(AND($K$642&lt;=$K$642+$D$640+$D$641,M$642&gt;=$K$642+$D$640+1),-IPMT($D$639,M$642-$K$642-$D$640,$D$641,$K$672,0),0))</f>
        <v>0</v>
      </c>
      <c r="P674" s="4366"/>
      <c r="Q674" s="4366"/>
      <c r="R674" s="4366"/>
      <c r="S674" s="4366"/>
      <c r="T674" s="4366"/>
      <c r="U674" s="4366"/>
    </row>
    <row r="675" spans="2:21" x14ac:dyDescent="0.25">
      <c r="B675" s="4317"/>
      <c r="C675" s="4360" t="s">
        <v>16</v>
      </c>
      <c r="D675" s="4355"/>
      <c r="E675" s="4367"/>
      <c r="F675" s="4367"/>
      <c r="G675" s="4367"/>
      <c r="H675" s="4367"/>
      <c r="I675" s="4367"/>
      <c r="J675" s="4368"/>
      <c r="K675" s="4363"/>
      <c r="L675" s="4320">
        <f ca="1">L673+L674</f>
        <v>0</v>
      </c>
      <c r="M675" s="4321">
        <f ca="1">M673+M674</f>
        <v>0</v>
      </c>
      <c r="P675" s="4366"/>
      <c r="Q675" s="4366"/>
      <c r="R675" s="4366"/>
      <c r="S675" s="4366"/>
      <c r="T675" s="4366"/>
      <c r="U675" s="4366"/>
    </row>
    <row r="676" spans="2:21" x14ac:dyDescent="0.25">
      <c r="B676" s="4317"/>
      <c r="C676" s="4358" t="s">
        <v>491</v>
      </c>
      <c r="D676" s="4323"/>
      <c r="E676" s="4359"/>
      <c r="F676" s="4359"/>
      <c r="G676" s="4359"/>
      <c r="H676" s="4359"/>
      <c r="I676" s="4359"/>
      <c r="J676" s="4359"/>
      <c r="K676" s="4359"/>
      <c r="L676" s="5821">
        <f ca="1">L$643+(L$643*$D$639*$D$640)</f>
        <v>0</v>
      </c>
      <c r="M676" s="4325"/>
      <c r="P676" s="4366"/>
      <c r="Q676" s="4369"/>
      <c r="R676" s="4369"/>
      <c r="S676" s="4369"/>
      <c r="T676" s="4369"/>
      <c r="U676" s="4369"/>
    </row>
    <row r="677" spans="2:21" ht="23.25" x14ac:dyDescent="0.25">
      <c r="B677" s="4317"/>
      <c r="C677" s="4360" t="s">
        <v>61</v>
      </c>
      <c r="D677" s="4349"/>
      <c r="E677" s="4361"/>
      <c r="F677" s="4361"/>
      <c r="G677" s="4361"/>
      <c r="H677" s="4361"/>
      <c r="I677" s="4361"/>
      <c r="J677" s="4361"/>
      <c r="K677" s="4362"/>
      <c r="L677" s="4320"/>
      <c r="M677" s="5822" t="b">
        <f ca="1">IF($L$676&lt;&gt;0,IF(AND($L$642&lt;=$L$642+$D$640+$D$641,M$642&gt;=$L$642+$D$640+1),-PPMT($D$639,M$642-$L$642-$D$640,$D$641,$L$676,0),0))</f>
        <v>0</v>
      </c>
      <c r="O677" s="4090" t="s">
        <v>1096</v>
      </c>
      <c r="P677" s="4090"/>
      <c r="Q677" s="4090"/>
      <c r="R677" s="4090"/>
      <c r="S677" s="4090"/>
      <c r="T677" s="4090"/>
      <c r="U677" s="4090"/>
    </row>
    <row r="678" spans="2:21" ht="31.5" x14ac:dyDescent="0.25">
      <c r="B678" s="4317"/>
      <c r="C678" s="4360" t="s">
        <v>62</v>
      </c>
      <c r="D678" s="4352"/>
      <c r="E678" s="4364"/>
      <c r="F678" s="4364"/>
      <c r="G678" s="4364"/>
      <c r="H678" s="4364"/>
      <c r="I678" s="4364"/>
      <c r="J678" s="4364"/>
      <c r="K678" s="4365"/>
      <c r="L678" s="4320"/>
      <c r="M678" s="5822" t="b">
        <f ca="1">IF($L$676&lt;&gt;0,IF(AND($L$642&lt;=$L$642+$D$640+$D$641,M$642&gt;=$L$642+$D$640+1),-IPMT($D$639,M$642-$L$642-$D$640,$D$641,$L$676,0),0))</f>
        <v>0</v>
      </c>
      <c r="O678" s="4370" t="s">
        <v>1101</v>
      </c>
      <c r="P678" s="4371" t="str">
        <f>'Financial Projections'!E106</f>
        <v xml:space="preserve">2009 </v>
      </c>
      <c r="Q678" s="4371" t="str">
        <f>'Financial Projections'!F106</f>
        <v>2010  (A)</v>
      </c>
      <c r="R678" s="4371" t="str">
        <f>'Financial Projections'!G106</f>
        <v>2011  (A)</v>
      </c>
      <c r="S678" s="4371" t="str">
        <f>'Financial Projections'!H106</f>
        <v>2012  (A)</v>
      </c>
      <c r="T678" s="4371" t="str">
        <f>'Financial Projections'!I106</f>
        <v>2013  (RE)</v>
      </c>
      <c r="U678" s="4371" t="str">
        <f>'Financial Projections'!J106</f>
        <v>2014 (BE)</v>
      </c>
    </row>
    <row r="679" spans="2:21" x14ac:dyDescent="0.25">
      <c r="B679" s="4317"/>
      <c r="C679" s="4360" t="s">
        <v>16</v>
      </c>
      <c r="D679" s="4355"/>
      <c r="E679" s="4367"/>
      <c r="F679" s="4367"/>
      <c r="G679" s="4367"/>
      <c r="H679" s="4367"/>
      <c r="I679" s="4367"/>
      <c r="J679" s="4367"/>
      <c r="K679" s="4368"/>
      <c r="L679" s="4320"/>
      <c r="M679" s="4321">
        <f ca="1">M677+M678</f>
        <v>0</v>
      </c>
      <c r="O679" s="7309" t="s">
        <v>1102</v>
      </c>
      <c r="P679" s="7310"/>
      <c r="Q679" s="7310"/>
      <c r="R679" s="7310"/>
      <c r="S679" s="7310"/>
      <c r="T679" s="7310"/>
      <c r="U679" s="7311"/>
    </row>
    <row r="680" spans="2:21" x14ac:dyDescent="0.25">
      <c r="B680" s="4317"/>
      <c r="C680" s="4358" t="s">
        <v>492</v>
      </c>
      <c r="D680" s="4323"/>
      <c r="E680" s="4359"/>
      <c r="F680" s="4359"/>
      <c r="G680" s="4359"/>
      <c r="H680" s="4359"/>
      <c r="I680" s="4359"/>
      <c r="J680" s="4359"/>
      <c r="K680" s="4359"/>
      <c r="L680" s="4324"/>
      <c r="M680" s="5829">
        <f ca="1">M$643+(M$643*$D$639*$D$640)</f>
        <v>0</v>
      </c>
      <c r="O680" s="5328" t="s">
        <v>1098</v>
      </c>
      <c r="P680" s="4372">
        <f>SUM('Financial Projections'!E228:E230)-'Financial Projections'!E242</f>
        <v>0</v>
      </c>
      <c r="Q680" s="4372">
        <f>SUM('Financial Projections'!F228:F230)-'Financial Projections'!F242</f>
        <v>0</v>
      </c>
      <c r="R680" s="4372">
        <f>SUM('Financial Projections'!G228:G230)-'Financial Projections'!G242</f>
        <v>0</v>
      </c>
      <c r="S680" s="4372">
        <f>SUM('Financial Projections'!H228:H230)-'Financial Projections'!H242</f>
        <v>0</v>
      </c>
      <c r="T680" s="4372">
        <f>SUM('Financial Projections'!I228:I230)-'Financial Projections'!I242</f>
        <v>0</v>
      </c>
      <c r="U680" s="4372">
        <f>SUM('Financial Projections'!J228:J230)-'Financial Projections'!J242</f>
        <v>0</v>
      </c>
    </row>
    <row r="681" spans="2:21" x14ac:dyDescent="0.25">
      <c r="B681" s="4317"/>
      <c r="C681" s="4360" t="s">
        <v>61</v>
      </c>
      <c r="D681" s="4349"/>
      <c r="E681" s="4361"/>
      <c r="F681" s="4361"/>
      <c r="G681" s="4361"/>
      <c r="H681" s="4361"/>
      <c r="I681" s="4361"/>
      <c r="J681" s="4361"/>
      <c r="K681" s="4361"/>
      <c r="L681" s="4362"/>
      <c r="M681" s="4373"/>
      <c r="O681" s="5328" t="s">
        <v>1099</v>
      </c>
      <c r="P681" s="4374">
        <f t="shared" ref="P681:U681" si="190">IFERROR(P682/P680,0)</f>
        <v>0</v>
      </c>
      <c r="Q681" s="4374">
        <f t="shared" si="190"/>
        <v>0</v>
      </c>
      <c r="R681" s="4374">
        <f t="shared" si="190"/>
        <v>0</v>
      </c>
      <c r="S681" s="4374">
        <f t="shared" si="190"/>
        <v>0</v>
      </c>
      <c r="T681" s="4374">
        <f t="shared" si="190"/>
        <v>0</v>
      </c>
      <c r="U681" s="4374">
        <f t="shared" si="190"/>
        <v>0</v>
      </c>
    </row>
    <row r="682" spans="2:21" ht="30" x14ac:dyDescent="0.25">
      <c r="B682" s="4317"/>
      <c r="C682" s="4360" t="s">
        <v>62</v>
      </c>
      <c r="D682" s="4352"/>
      <c r="E682" s="4364"/>
      <c r="F682" s="4364"/>
      <c r="G682" s="4364"/>
      <c r="H682" s="4364"/>
      <c r="I682" s="4364"/>
      <c r="J682" s="4364"/>
      <c r="K682" s="4364"/>
      <c r="L682" s="4365"/>
      <c r="M682" s="4373"/>
      <c r="O682" s="5328" t="s">
        <v>1100</v>
      </c>
      <c r="P682" s="4372">
        <f>-MIN(('Financial Projections'!E103+'Financial Projections'!E148+'Financial Projections'!E191)-('Financial Projections'!E114+'Financial Projections'!E158+'Financial Projections'!E200),0)</f>
        <v>0</v>
      </c>
      <c r="Q682" s="4372">
        <f>-MIN(('Financial Projections'!F103+'Financial Projections'!F148+'Financial Projections'!F191)-('Financial Projections'!F114+'Financial Projections'!F158+'Financial Projections'!F200),0)</f>
        <v>0</v>
      </c>
      <c r="R682" s="4372">
        <f>-MIN(('Financial Projections'!G103+'Financial Projections'!G148+'Financial Projections'!G191)-('Financial Projections'!G114+'Financial Projections'!G158+'Financial Projections'!G200),0)</f>
        <v>0</v>
      </c>
      <c r="S682" s="4372">
        <f>-MIN(('Financial Projections'!H103+'Financial Projections'!H148+'Financial Projections'!H191)-('Financial Projections'!H114+'Financial Projections'!H158+'Financial Projections'!H200),0)</f>
        <v>0</v>
      </c>
      <c r="T682" s="4372">
        <f>-MIN(('Financial Projections'!I103+'Financial Projections'!I148+'Financial Projections'!I191)-('Financial Projections'!I114+'Financial Projections'!I158+'Financial Projections'!I200),0)</f>
        <v>0</v>
      </c>
      <c r="U682" s="4372">
        <f>-MIN(('Financial Projections'!J103+'Financial Projections'!J148+'Financial Projections'!J191)-('Financial Projections'!J114+'Financial Projections'!J158+'Financial Projections'!J200),0)</f>
        <v>0</v>
      </c>
    </row>
    <row r="683" spans="2:21" x14ac:dyDescent="0.25">
      <c r="B683" s="4317"/>
      <c r="C683" s="4360" t="s">
        <v>16</v>
      </c>
      <c r="D683" s="4355"/>
      <c r="E683" s="4367"/>
      <c r="F683" s="4367"/>
      <c r="G683" s="4367"/>
      <c r="H683" s="4367"/>
      <c r="I683" s="4367"/>
      <c r="J683" s="4367"/>
      <c r="K683" s="4367"/>
      <c r="L683" s="4368"/>
      <c r="M683" s="4373"/>
      <c r="O683" s="7309" t="s">
        <v>1097</v>
      </c>
      <c r="P683" s="7310"/>
      <c r="Q683" s="7310"/>
      <c r="R683" s="7310"/>
      <c r="S683" s="7310"/>
      <c r="T683" s="7310"/>
      <c r="U683" s="7311"/>
    </row>
    <row r="684" spans="2:21" x14ac:dyDescent="0.25">
      <c r="B684" s="4317"/>
      <c r="C684" s="4358" t="s">
        <v>61</v>
      </c>
      <c r="D684" s="4375">
        <f t="shared" ref="D684:M686" si="191">SUMIF($C$644:$C$683,$C684,D$644:D$683)</f>
        <v>0</v>
      </c>
      <c r="E684" s="4376">
        <f t="shared" ca="1" si="191"/>
        <v>0</v>
      </c>
      <c r="F684" s="4376">
        <f t="shared" ca="1" si="191"/>
        <v>0</v>
      </c>
      <c r="G684" s="4376">
        <f t="shared" ca="1" si="191"/>
        <v>0</v>
      </c>
      <c r="H684" s="4376">
        <f t="shared" ca="1" si="191"/>
        <v>0</v>
      </c>
      <c r="I684" s="4376">
        <f t="shared" ca="1" si="191"/>
        <v>0</v>
      </c>
      <c r="J684" s="4376">
        <f t="shared" ca="1" si="191"/>
        <v>1.47297275832902</v>
      </c>
      <c r="K684" s="4376">
        <f t="shared" ca="1" si="191"/>
        <v>1.6202700341619221</v>
      </c>
      <c r="L684" s="4376">
        <f t="shared" ca="1" si="191"/>
        <v>1.782297037578114</v>
      </c>
      <c r="M684" s="4377">
        <f t="shared" ca="1" si="191"/>
        <v>1.9605267413359257</v>
      </c>
      <c r="O684" s="5328" t="s">
        <v>1098</v>
      </c>
      <c r="P684" s="4372">
        <f>'Financial Projections'!E252-'Financial Projections'!E261</f>
        <v>0</v>
      </c>
      <c r="Q684" s="4372">
        <f>'Financial Projections'!F252-'Financial Projections'!F261</f>
        <v>0</v>
      </c>
      <c r="R684" s="4372">
        <f>'Financial Projections'!G252-'Financial Projections'!G261</f>
        <v>0</v>
      </c>
      <c r="S684" s="4372">
        <f>'Financial Projections'!H252-'Financial Projections'!H261</f>
        <v>0</v>
      </c>
      <c r="T684" s="4372">
        <f>'Financial Projections'!I252-'Financial Projections'!I261</f>
        <v>0</v>
      </c>
      <c r="U684" s="4372">
        <f>'Financial Projections'!J252-'Financial Projections'!J261</f>
        <v>0</v>
      </c>
    </row>
    <row r="685" spans="2:21" x14ac:dyDescent="0.25">
      <c r="B685" s="4317"/>
      <c r="C685" s="4358" t="s">
        <v>62</v>
      </c>
      <c r="D685" s="4375">
        <f t="shared" si="191"/>
        <v>0</v>
      </c>
      <c r="E685" s="4376">
        <f t="shared" ca="1" si="191"/>
        <v>0</v>
      </c>
      <c r="F685" s="4376">
        <f t="shared" ca="1" si="191"/>
        <v>0</v>
      </c>
      <c r="G685" s="4376">
        <f t="shared" ca="1" si="191"/>
        <v>0</v>
      </c>
      <c r="H685" s="4376">
        <f t="shared" ca="1" si="191"/>
        <v>0</v>
      </c>
      <c r="I685" s="4376">
        <f t="shared" ca="1" si="191"/>
        <v>0</v>
      </c>
      <c r="J685" s="4376">
        <f t="shared" ca="1" si="191"/>
        <v>4.68</v>
      </c>
      <c r="K685" s="4376">
        <f t="shared" ca="1" si="191"/>
        <v>4.5327027241670974</v>
      </c>
      <c r="L685" s="4376">
        <f t="shared" ca="1" si="191"/>
        <v>4.3706757207509055</v>
      </c>
      <c r="M685" s="4377">
        <f t="shared" ca="1" si="191"/>
        <v>4.1924460169930944</v>
      </c>
      <c r="O685" s="5328" t="s">
        <v>1099</v>
      </c>
      <c r="P685" s="4374">
        <f t="shared" ref="P685:U685" si="192">IFERROR(P686/P684,0)</f>
        <v>0</v>
      </c>
      <c r="Q685" s="4374">
        <f t="shared" si="192"/>
        <v>0</v>
      </c>
      <c r="R685" s="4374">
        <f t="shared" si="192"/>
        <v>0</v>
      </c>
      <c r="S685" s="4374">
        <f t="shared" si="192"/>
        <v>0</v>
      </c>
      <c r="T685" s="4374">
        <f t="shared" si="192"/>
        <v>0</v>
      </c>
      <c r="U685" s="4374">
        <f t="shared" si="192"/>
        <v>0</v>
      </c>
    </row>
    <row r="686" spans="2:21" ht="30.75" thickBot="1" x14ac:dyDescent="0.3">
      <c r="B686" s="4378"/>
      <c r="C686" s="4379" t="s">
        <v>16</v>
      </c>
      <c r="D686" s="4380">
        <f t="shared" si="191"/>
        <v>0</v>
      </c>
      <c r="E686" s="4381">
        <f t="shared" ca="1" si="191"/>
        <v>0</v>
      </c>
      <c r="F686" s="4381">
        <f t="shared" ca="1" si="191"/>
        <v>0</v>
      </c>
      <c r="G686" s="4381">
        <f t="shared" ca="1" si="191"/>
        <v>0</v>
      </c>
      <c r="H686" s="4381">
        <f t="shared" ca="1" si="191"/>
        <v>0</v>
      </c>
      <c r="I686" s="4381">
        <f t="shared" ca="1" si="191"/>
        <v>0</v>
      </c>
      <c r="J686" s="4381">
        <f t="shared" ca="1" si="191"/>
        <v>6.1529727583290192</v>
      </c>
      <c r="K686" s="4381">
        <f t="shared" ca="1" si="191"/>
        <v>6.1529727583290192</v>
      </c>
      <c r="L686" s="4381">
        <f t="shared" ca="1" si="191"/>
        <v>6.1529727583290192</v>
      </c>
      <c r="M686" s="4382">
        <f t="shared" ca="1" si="191"/>
        <v>6.1529727583290201</v>
      </c>
      <c r="O686" s="5328" t="s">
        <v>1100</v>
      </c>
      <c r="P686" s="4372">
        <f>-MIN(('Financial Projections'!E124+'Financial Projections'!E169+'Financial Projections'!E211)-('Financial Projections'!E134+'Financial Projections'!E179+'Financial Projections'!E221),0)</f>
        <v>0</v>
      </c>
      <c r="Q686" s="4372">
        <f>-MIN(('Financial Projections'!F124+'Financial Projections'!F169+'Financial Projections'!F211)-('Financial Projections'!F134+'Financial Projections'!F179+'Financial Projections'!F221),0)</f>
        <v>0</v>
      </c>
      <c r="R686" s="4372">
        <f>-MIN(('Financial Projections'!G124+'Financial Projections'!G169+'Financial Projections'!G211)-('Financial Projections'!G134+'Financial Projections'!G179+'Financial Projections'!G221),0)</f>
        <v>0</v>
      </c>
      <c r="S686" s="4372">
        <f>-MIN(('Financial Projections'!H124+'Financial Projections'!H169+'Financial Projections'!H211)-('Financial Projections'!H134+'Financial Projections'!H179+'Financial Projections'!H221),0)</f>
        <v>0</v>
      </c>
      <c r="T686" s="4372">
        <f>-MIN(('Financial Projections'!I124+'Financial Projections'!I169+'Financial Projections'!I211)-('Financial Projections'!I134+'Financial Projections'!I179+'Financial Projections'!I221),0)</f>
        <v>0</v>
      </c>
      <c r="U686" s="4372">
        <f>-MIN(('Financial Projections'!J124+'Financial Projections'!J169+'Financial Projections'!J211)-('Financial Projections'!J134+'Financial Projections'!J179+'Financial Projections'!J221),0)</f>
        <v>0</v>
      </c>
    </row>
    <row r="688" spans="2:21" s="4383" customFormat="1" x14ac:dyDescent="0.25">
      <c r="D688" s="4384"/>
      <c r="E688" s="4385"/>
    </row>
    <row r="691" spans="2:25" s="4093" customFormat="1" ht="23.25" x14ac:dyDescent="0.25">
      <c r="B691" s="4089"/>
      <c r="C691" s="4090" t="s">
        <v>538</v>
      </c>
      <c r="D691" s="4091"/>
      <c r="E691" s="4092"/>
      <c r="F691" s="4092"/>
      <c r="G691" s="4092"/>
      <c r="H691" s="4092"/>
      <c r="I691" s="4092"/>
      <c r="J691" s="4092"/>
      <c r="K691" s="4092"/>
      <c r="L691" s="4092"/>
      <c r="M691" s="4092"/>
      <c r="N691" s="4092"/>
      <c r="O691" s="4092"/>
      <c r="P691" s="4092"/>
      <c r="Q691" s="4092"/>
      <c r="R691" s="4092"/>
      <c r="S691" s="4092"/>
      <c r="T691" s="4092"/>
      <c r="U691" s="4092"/>
      <c r="V691" s="4092"/>
      <c r="W691" s="4092"/>
      <c r="X691" s="4092"/>
      <c r="Y691" s="4092"/>
    </row>
    <row r="692" spans="2:25" s="4097" customFormat="1" ht="21" x14ac:dyDescent="0.25">
      <c r="B692" s="4094"/>
      <c r="C692" s="4095" t="s">
        <v>539</v>
      </c>
      <c r="D692" s="4386"/>
      <c r="E692" s="1647"/>
      <c r="F692" s="1647"/>
      <c r="G692" s="1647"/>
      <c r="H692" s="1647"/>
      <c r="I692" s="1647"/>
      <c r="J692" s="1647"/>
      <c r="K692" s="1647"/>
      <c r="L692" s="1647"/>
      <c r="M692" s="1647"/>
      <c r="N692" s="1647"/>
      <c r="O692" s="4095" t="s">
        <v>545</v>
      </c>
      <c r="P692" s="4387"/>
      <c r="Q692" s="1647"/>
      <c r="R692" s="1647"/>
      <c r="S692" s="1647"/>
      <c r="T692" s="1647"/>
      <c r="U692" s="1647"/>
      <c r="V692" s="1647"/>
      <c r="W692" s="1647"/>
      <c r="X692" s="1647"/>
      <c r="Y692" s="1647"/>
    </row>
    <row r="693" spans="2:25" x14ac:dyDescent="0.25">
      <c r="B693" s="4098" t="s">
        <v>3</v>
      </c>
      <c r="C693" s="4098" t="s">
        <v>4</v>
      </c>
      <c r="D693" s="4388">
        <f>'Financial Projections'!K$97</f>
        <v>2015</v>
      </c>
      <c r="E693" s="4389">
        <f>'Financial Projections'!L$97</f>
        <v>2016</v>
      </c>
      <c r="F693" s="4389">
        <f>'Financial Projections'!M$97</f>
        <v>2017</v>
      </c>
      <c r="G693" s="4389">
        <f>'Financial Projections'!N$97</f>
        <v>2018</v>
      </c>
      <c r="H693" s="4389">
        <f>'Financial Projections'!O$97</f>
        <v>2019</v>
      </c>
      <c r="I693" s="4389">
        <f>'Financial Projections'!P$97</f>
        <v>2020</v>
      </c>
      <c r="J693" s="4389">
        <f>'Financial Projections'!Q$97</f>
        <v>2021</v>
      </c>
      <c r="K693" s="4389">
        <f>'Financial Projections'!R$97</f>
        <v>2022</v>
      </c>
      <c r="L693" s="4389">
        <f>'Financial Projections'!S$97</f>
        <v>2023</v>
      </c>
      <c r="M693" s="4389">
        <f>'Financial Projections'!T$97</f>
        <v>2024</v>
      </c>
      <c r="N693" s="4070"/>
      <c r="O693" s="4098" t="s">
        <v>4</v>
      </c>
      <c r="P693" s="4388">
        <f>D693</f>
        <v>2015</v>
      </c>
      <c r="Q693" s="4388">
        <f t="shared" ref="Q693:Y693" si="193">E693</f>
        <v>2016</v>
      </c>
      <c r="R693" s="4388">
        <f t="shared" si="193"/>
        <v>2017</v>
      </c>
      <c r="S693" s="4388">
        <f t="shared" si="193"/>
        <v>2018</v>
      </c>
      <c r="T693" s="4388">
        <f t="shared" si="193"/>
        <v>2019</v>
      </c>
      <c r="U693" s="4388">
        <f t="shared" si="193"/>
        <v>2020</v>
      </c>
      <c r="V693" s="4388">
        <f t="shared" si="193"/>
        <v>2021</v>
      </c>
      <c r="W693" s="4388">
        <f t="shared" si="193"/>
        <v>2022</v>
      </c>
      <c r="X693" s="4388">
        <f t="shared" si="193"/>
        <v>2023</v>
      </c>
      <c r="Y693" s="4388">
        <f t="shared" si="193"/>
        <v>2024</v>
      </c>
    </row>
    <row r="694" spans="2:25" s="4148" customFormat="1" x14ac:dyDescent="0.25">
      <c r="B694" s="4390"/>
      <c r="C694" s="4390" t="s">
        <v>181</v>
      </c>
      <c r="D694" s="4391"/>
      <c r="E694" s="4392"/>
      <c r="F694" s="4392"/>
      <c r="G694" s="4392"/>
      <c r="H694" s="4392"/>
      <c r="I694" s="4392"/>
      <c r="J694" s="4392"/>
      <c r="K694" s="4392"/>
      <c r="L694" s="4392"/>
      <c r="M694" s="4393"/>
      <c r="O694" s="4390" t="s">
        <v>181</v>
      </c>
      <c r="P694" s="4391"/>
      <c r="Q694" s="4392"/>
      <c r="R694" s="4392"/>
      <c r="S694" s="4392"/>
      <c r="T694" s="4392"/>
      <c r="U694" s="4392"/>
      <c r="V694" s="4392"/>
      <c r="W694" s="4392"/>
      <c r="X694" s="4392"/>
      <c r="Y694" s="4393"/>
    </row>
    <row r="695" spans="2:25" x14ac:dyDescent="0.25">
      <c r="B695" s="1632"/>
      <c r="C695" s="1632" t="s">
        <v>540</v>
      </c>
      <c r="D695" s="4274">
        <f ca="1">SUM('Financial Projections'!K22:K101)</f>
        <v>12586.804376308683</v>
      </c>
      <c r="E695" s="4394">
        <f ca="1">SUM('Financial Projections'!L22:L101)</f>
        <v>12597.797069179684</v>
      </c>
      <c r="F695" s="4394">
        <f ca="1">SUM('Financial Projections'!M22:M101)</f>
        <v>12689.07833134009</v>
      </c>
      <c r="G695" s="4394">
        <f ca="1">SUM('Financial Projections'!N22:N101)</f>
        <v>12883.439009928192</v>
      </c>
      <c r="H695" s="4394">
        <f ca="1">SUM('Financial Projections'!O22:O101)</f>
        <v>13139.344249514746</v>
      </c>
      <c r="I695" s="4394">
        <f ca="1">SUM('Financial Projections'!P22:P101)</f>
        <v>11929.056108409653</v>
      </c>
      <c r="J695" s="4394">
        <f ca="1">SUM('Financial Projections'!Q22:Q101)</f>
        <v>12112.468634771902</v>
      </c>
      <c r="K695" s="4394">
        <f ca="1">SUM('Financial Projections'!R22:R101)</f>
        <v>12303.841981985459</v>
      </c>
      <c r="L695" s="4394">
        <f ca="1">SUM('Financial Projections'!S22:S101)</f>
        <v>12503.435397241621</v>
      </c>
      <c r="M695" s="4394">
        <f ca="1">SUM('Financial Projections'!T22:T101)</f>
        <v>12711.58814173875</v>
      </c>
      <c r="N695" s="4395"/>
      <c r="O695" s="4394" t="s">
        <v>546</v>
      </c>
      <c r="P695" s="4274">
        <f>SUM('Financial Projections'!K119:K122)</f>
        <v>0</v>
      </c>
      <c r="Q695" s="4394">
        <f>SUM('Financial Projections'!L119:L122)</f>
        <v>0</v>
      </c>
      <c r="R695" s="4394">
        <f>SUM('Financial Projections'!M119:M122)</f>
        <v>0</v>
      </c>
      <c r="S695" s="4394">
        <f>SUM('Financial Projections'!N119:N122)</f>
        <v>0</v>
      </c>
      <c r="T695" s="4394">
        <f>SUM('Financial Projections'!O119:O122)</f>
        <v>0</v>
      </c>
      <c r="U695" s="4394">
        <f>SUM('Financial Projections'!P119:P122)</f>
        <v>0</v>
      </c>
      <c r="V695" s="4394">
        <f>SUM('Financial Projections'!Q119:Q122)</f>
        <v>0</v>
      </c>
      <c r="W695" s="4394">
        <f>SUM('Financial Projections'!R119:R122)</f>
        <v>0</v>
      </c>
      <c r="X695" s="4394">
        <f>SUM('Financial Projections'!S119:S122)</f>
        <v>0</v>
      </c>
      <c r="Y695" s="4394">
        <f>SUM('Financial Projections'!T119:T122)</f>
        <v>0</v>
      </c>
    </row>
    <row r="696" spans="2:25" x14ac:dyDescent="0.25">
      <c r="B696" s="1632"/>
      <c r="C696" s="1632" t="s">
        <v>541</v>
      </c>
      <c r="D696" s="4274">
        <f>SUM('Financial Projections'!K107:K112)</f>
        <v>0</v>
      </c>
      <c r="E696" s="4394">
        <f>SUM('Financial Projections'!L107:L112)</f>
        <v>0</v>
      </c>
      <c r="F696" s="4394">
        <f>SUM('Financial Projections'!M107:M112)</f>
        <v>0</v>
      </c>
      <c r="G696" s="4394">
        <f>SUM('Financial Projections'!N107:N112)</f>
        <v>0</v>
      </c>
      <c r="H696" s="4394">
        <f>SUM('Financial Projections'!O107:O112)</f>
        <v>0</v>
      </c>
      <c r="I696" s="4394">
        <f>SUM('Financial Projections'!P107:P112)</f>
        <v>0</v>
      </c>
      <c r="J696" s="4394">
        <f>SUM('Financial Projections'!Q107:Q112)</f>
        <v>0</v>
      </c>
      <c r="K696" s="4394">
        <f>SUM('Financial Projections'!R107:R112)</f>
        <v>0</v>
      </c>
      <c r="L696" s="4394">
        <f>SUM('Financial Projections'!S107:S112)</f>
        <v>0</v>
      </c>
      <c r="M696" s="4394">
        <f>SUM('Financial Projections'!T107:T112)</f>
        <v>0</v>
      </c>
      <c r="N696" s="4395"/>
      <c r="O696" s="4394" t="s">
        <v>493</v>
      </c>
      <c r="P696" s="4274">
        <f>SUM('Financial Projections'!K128:K132)</f>
        <v>0</v>
      </c>
      <c r="Q696" s="4394">
        <f>SUM('Financial Projections'!L128:L132)</f>
        <v>0</v>
      </c>
      <c r="R696" s="4394">
        <f>SUM('Financial Projections'!M128:M132)</f>
        <v>0</v>
      </c>
      <c r="S696" s="4394">
        <f>SUM('Financial Projections'!N128:N132)</f>
        <v>0</v>
      </c>
      <c r="T696" s="4394">
        <f>SUM('Financial Projections'!O128:O132)</f>
        <v>0</v>
      </c>
      <c r="U696" s="4394">
        <f>SUM('Financial Projections'!P128:P132)</f>
        <v>0</v>
      </c>
      <c r="V696" s="4394">
        <f>SUM('Financial Projections'!Q128:Q132)</f>
        <v>0</v>
      </c>
      <c r="W696" s="4394">
        <f>SUM('Financial Projections'!R128:R132)</f>
        <v>0</v>
      </c>
      <c r="X696" s="4394">
        <f>SUM('Financial Projections'!S128:S132)</f>
        <v>0</v>
      </c>
      <c r="Y696" s="4394">
        <f>SUM('Financial Projections'!T128:T132)</f>
        <v>0</v>
      </c>
    </row>
    <row r="697" spans="2:25" x14ac:dyDescent="0.25">
      <c r="B697" s="1632"/>
      <c r="C697" s="1632" t="s">
        <v>544</v>
      </c>
      <c r="D697" s="4274">
        <f ca="1">D695-D696</f>
        <v>12586.804376308683</v>
      </c>
      <c r="E697" s="4394">
        <f t="shared" ref="E697:M697" ca="1" si="194">E695-E696</f>
        <v>12597.797069179684</v>
      </c>
      <c r="F697" s="4394">
        <f t="shared" ca="1" si="194"/>
        <v>12689.07833134009</v>
      </c>
      <c r="G697" s="4394">
        <f t="shared" ca="1" si="194"/>
        <v>12883.439009928192</v>
      </c>
      <c r="H697" s="4394">
        <f t="shared" ca="1" si="194"/>
        <v>13139.344249514746</v>
      </c>
      <c r="I697" s="4394">
        <f t="shared" ca="1" si="194"/>
        <v>11929.056108409653</v>
      </c>
      <c r="J697" s="4394">
        <f t="shared" ca="1" si="194"/>
        <v>12112.468634771902</v>
      </c>
      <c r="K697" s="4394">
        <f t="shared" ca="1" si="194"/>
        <v>12303.841981985459</v>
      </c>
      <c r="L697" s="4394">
        <f t="shared" ca="1" si="194"/>
        <v>12503.435397241621</v>
      </c>
      <c r="M697" s="4394">
        <f t="shared" ca="1" si="194"/>
        <v>12711.58814173875</v>
      </c>
      <c r="N697" s="4395"/>
      <c r="O697" s="4394" t="s">
        <v>544</v>
      </c>
      <c r="P697" s="4274">
        <f t="shared" ref="P697:Y697" si="195">P695-P696</f>
        <v>0</v>
      </c>
      <c r="Q697" s="4394">
        <f t="shared" si="195"/>
        <v>0</v>
      </c>
      <c r="R697" s="4394">
        <f t="shared" si="195"/>
        <v>0</v>
      </c>
      <c r="S697" s="4394">
        <f t="shared" si="195"/>
        <v>0</v>
      </c>
      <c r="T697" s="4394">
        <f t="shared" si="195"/>
        <v>0</v>
      </c>
      <c r="U697" s="4394">
        <f t="shared" si="195"/>
        <v>0</v>
      </c>
      <c r="V697" s="4394">
        <f t="shared" si="195"/>
        <v>0</v>
      </c>
      <c r="W697" s="4394">
        <f t="shared" si="195"/>
        <v>0</v>
      </c>
      <c r="X697" s="4394">
        <f t="shared" si="195"/>
        <v>0</v>
      </c>
      <c r="Y697" s="4394">
        <f t="shared" si="195"/>
        <v>0</v>
      </c>
    </row>
    <row r="698" spans="2:25" s="4148" customFormat="1" x14ac:dyDescent="0.25">
      <c r="B698" s="4390"/>
      <c r="C698" s="4390" t="s">
        <v>182</v>
      </c>
      <c r="D698" s="4396"/>
      <c r="E698" s="4397"/>
      <c r="F698" s="4397"/>
      <c r="G698" s="4397"/>
      <c r="H698" s="4397"/>
      <c r="I698" s="4397"/>
      <c r="J698" s="4397"/>
      <c r="K698" s="4397"/>
      <c r="L698" s="4397"/>
      <c r="M698" s="4398"/>
      <c r="N698" s="4399"/>
      <c r="O698" s="4390" t="s">
        <v>182</v>
      </c>
      <c r="P698" s="4396"/>
      <c r="Q698" s="4397"/>
      <c r="R698" s="4397"/>
      <c r="S698" s="4397"/>
      <c r="T698" s="4397"/>
      <c r="U698" s="4397"/>
      <c r="V698" s="4397"/>
      <c r="W698" s="4397"/>
      <c r="X698" s="4397"/>
      <c r="Y698" s="4398"/>
    </row>
    <row r="699" spans="2:25" x14ac:dyDescent="0.25">
      <c r="B699" s="1632"/>
      <c r="C699" s="1632" t="s">
        <v>540</v>
      </c>
      <c r="D699" s="4274">
        <f ca="1">SUM('Financial Projections'!K41:K146)</f>
        <v>18633.082070740682</v>
      </c>
      <c r="E699" s="4394">
        <f ca="1">SUM('Financial Projections'!L41:L146)</f>
        <v>18647.100317500328</v>
      </c>
      <c r="F699" s="4394">
        <f ca="1">SUM('Financial Projections'!M41:M146)</f>
        <v>18741.407644627143</v>
      </c>
      <c r="G699" s="4394">
        <f ca="1">SUM('Financial Projections'!N41:N146)</f>
        <v>18938.794909480985</v>
      </c>
      <c r="H699" s="4394">
        <f ca="1">SUM('Financial Projections'!O41:O146)</f>
        <v>19197.727267058595</v>
      </c>
      <c r="I699" s="4394">
        <f ca="1">SUM('Financial Projections'!P41:P146)</f>
        <v>17990.466786304383</v>
      </c>
      <c r="J699" s="4394">
        <f ca="1">SUM('Financial Projections'!Q41:Q146)</f>
        <v>18176.907526224524</v>
      </c>
      <c r="K699" s="4394">
        <f ca="1">SUM('Financial Projections'!R41:R146)</f>
        <v>18371.309651267133</v>
      </c>
      <c r="L699" s="4394">
        <f ca="1">SUM('Financial Projections'!S41:S146)</f>
        <v>18573.932419908928</v>
      </c>
      <c r="M699" s="4394">
        <f ca="1">SUM('Financial Projections'!T41:T146)</f>
        <v>18785.115104859404</v>
      </c>
      <c r="N699" s="4395"/>
      <c r="O699" s="4394" t="s">
        <v>546</v>
      </c>
      <c r="P699" s="4274">
        <f>SUM('Financial Projections'!K164:K167)</f>
        <v>0</v>
      </c>
      <c r="Q699" s="4394">
        <f>SUM('Financial Projections'!L164:L167)</f>
        <v>0</v>
      </c>
      <c r="R699" s="4394">
        <f>SUM('Financial Projections'!M164:M167)</f>
        <v>0</v>
      </c>
      <c r="S699" s="4394">
        <f>SUM('Financial Projections'!N164:N167)</f>
        <v>0</v>
      </c>
      <c r="T699" s="4394">
        <f>SUM('Financial Projections'!O164:O167)</f>
        <v>0</v>
      </c>
      <c r="U699" s="4394">
        <f>SUM('Financial Projections'!P164:P167)</f>
        <v>0</v>
      </c>
      <c r="V699" s="4394">
        <f>SUM('Financial Projections'!Q164:Q167)</f>
        <v>0</v>
      </c>
      <c r="W699" s="4394">
        <f>SUM('Financial Projections'!R164:R167)</f>
        <v>0</v>
      </c>
      <c r="X699" s="4394">
        <f>SUM('Financial Projections'!S164:S167)</f>
        <v>0</v>
      </c>
      <c r="Y699" s="4394">
        <f>SUM('Financial Projections'!T164:T167)</f>
        <v>0</v>
      </c>
    </row>
    <row r="700" spans="2:25" x14ac:dyDescent="0.25">
      <c r="B700" s="1632"/>
      <c r="C700" s="1632" t="s">
        <v>541</v>
      </c>
      <c r="D700" s="4274">
        <f>SUM('Financial Projections'!K152:K156)</f>
        <v>8.31844802048</v>
      </c>
      <c r="E700" s="4394">
        <f>SUM('Financial Projections'!L152:L156)</f>
        <v>8.6511859412992003</v>
      </c>
      <c r="F700" s="4394">
        <f>SUM('Financial Projections'!M152:M156)</f>
        <v>8.9972333789511687</v>
      </c>
      <c r="G700" s="4394">
        <f>SUM('Financial Projections'!N152:N156)</f>
        <v>9.3571227141092166</v>
      </c>
      <c r="H700" s="4394">
        <f>SUM('Financial Projections'!O152:O156)</f>
        <v>9.7314076226735864</v>
      </c>
      <c r="I700" s="4394">
        <f>SUM('Financial Projections'!P152:P156)</f>
        <v>10.12066392758053</v>
      </c>
      <c r="J700" s="4394">
        <f>SUM('Financial Projections'!Q152:Q156)</f>
        <v>10.525490484683752</v>
      </c>
      <c r="K700" s="4394">
        <f>SUM('Financial Projections'!R152:R156)</f>
        <v>10.946510104071102</v>
      </c>
      <c r="L700" s="4394">
        <f>SUM('Financial Projections'!S152:S156)</f>
        <v>11.384370508233946</v>
      </c>
      <c r="M700" s="4394">
        <f>SUM('Financial Projections'!T152:T156)</f>
        <v>11.839745328563305</v>
      </c>
      <c r="N700" s="4395"/>
      <c r="O700" s="4394" t="s">
        <v>493</v>
      </c>
      <c r="P700" s="4274">
        <f>SUM('Financial Projections'!K173:K177)</f>
        <v>0</v>
      </c>
      <c r="Q700" s="4394">
        <f>SUM('Financial Projections'!L173:L177)</f>
        <v>0</v>
      </c>
      <c r="R700" s="4394">
        <f>SUM('Financial Projections'!M173:M177)</f>
        <v>0</v>
      </c>
      <c r="S700" s="4394">
        <f>SUM('Financial Projections'!N173:N177)</f>
        <v>0</v>
      </c>
      <c r="T700" s="4394">
        <f>SUM('Financial Projections'!O173:O177)</f>
        <v>0</v>
      </c>
      <c r="U700" s="4394">
        <f>SUM('Financial Projections'!P173:P177)</f>
        <v>0</v>
      </c>
      <c r="V700" s="4394">
        <f>SUM('Financial Projections'!Q173:Q177)</f>
        <v>0</v>
      </c>
      <c r="W700" s="4394">
        <f>SUM('Financial Projections'!R173:R177)</f>
        <v>0</v>
      </c>
      <c r="X700" s="4394">
        <f>SUM('Financial Projections'!S173:S177)</f>
        <v>0</v>
      </c>
      <c r="Y700" s="4394">
        <f>SUM('Financial Projections'!T173:T177)</f>
        <v>0</v>
      </c>
    </row>
    <row r="701" spans="2:25" x14ac:dyDescent="0.25">
      <c r="B701" s="1632"/>
      <c r="C701" s="1632" t="s">
        <v>544</v>
      </c>
      <c r="D701" s="4274">
        <f t="shared" ref="D701:M701" ca="1" si="196">D699-D700</f>
        <v>18624.763622720202</v>
      </c>
      <c r="E701" s="4394">
        <f t="shared" ca="1" si="196"/>
        <v>18638.449131559028</v>
      </c>
      <c r="F701" s="4394">
        <f t="shared" ca="1" si="196"/>
        <v>18732.410411248191</v>
      </c>
      <c r="G701" s="4394">
        <f t="shared" ca="1" si="196"/>
        <v>18929.437786766874</v>
      </c>
      <c r="H701" s="4394">
        <f t="shared" ca="1" si="196"/>
        <v>19187.995859435923</v>
      </c>
      <c r="I701" s="4394">
        <f t="shared" ca="1" si="196"/>
        <v>17980.346122376803</v>
      </c>
      <c r="J701" s="4394">
        <f t="shared" ca="1" si="196"/>
        <v>18166.38203573984</v>
      </c>
      <c r="K701" s="4394">
        <f t="shared" ca="1" si="196"/>
        <v>18360.363141163063</v>
      </c>
      <c r="L701" s="4394">
        <f t="shared" ca="1" si="196"/>
        <v>18562.548049400695</v>
      </c>
      <c r="M701" s="4394">
        <f t="shared" ca="1" si="196"/>
        <v>18773.275359530842</v>
      </c>
      <c r="N701" s="4395"/>
      <c r="O701" s="4394" t="s">
        <v>544</v>
      </c>
      <c r="P701" s="4274">
        <f t="shared" ref="P701:Y701" si="197">P699-P700</f>
        <v>0</v>
      </c>
      <c r="Q701" s="4394">
        <f t="shared" si="197"/>
        <v>0</v>
      </c>
      <c r="R701" s="4394">
        <f t="shared" si="197"/>
        <v>0</v>
      </c>
      <c r="S701" s="4394">
        <f t="shared" si="197"/>
        <v>0</v>
      </c>
      <c r="T701" s="4394">
        <f t="shared" si="197"/>
        <v>0</v>
      </c>
      <c r="U701" s="4394">
        <f t="shared" si="197"/>
        <v>0</v>
      </c>
      <c r="V701" s="4394">
        <f t="shared" si="197"/>
        <v>0</v>
      </c>
      <c r="W701" s="4394">
        <f t="shared" si="197"/>
        <v>0</v>
      </c>
      <c r="X701" s="4394">
        <f t="shared" si="197"/>
        <v>0</v>
      </c>
      <c r="Y701" s="4394">
        <f t="shared" si="197"/>
        <v>0</v>
      </c>
    </row>
    <row r="702" spans="2:25" s="4148" customFormat="1" x14ac:dyDescent="0.25">
      <c r="B702" s="4390"/>
      <c r="C702" s="4390" t="s">
        <v>183</v>
      </c>
      <c r="D702" s="4396"/>
      <c r="E702" s="4397"/>
      <c r="F702" s="4397"/>
      <c r="G702" s="4397"/>
      <c r="H702" s="4397"/>
      <c r="I702" s="4397"/>
      <c r="J702" s="4397"/>
      <c r="K702" s="4397"/>
      <c r="L702" s="4397"/>
      <c r="M702" s="4398"/>
      <c r="N702" s="4399"/>
      <c r="O702" s="4390" t="s">
        <v>183</v>
      </c>
      <c r="P702" s="4396"/>
      <c r="Q702" s="4397"/>
      <c r="R702" s="4397"/>
      <c r="S702" s="4397"/>
      <c r="T702" s="4397"/>
      <c r="U702" s="4397"/>
      <c r="V702" s="4397"/>
      <c r="W702" s="4397"/>
      <c r="X702" s="4397"/>
      <c r="Y702" s="4398"/>
    </row>
    <row r="703" spans="2:25" x14ac:dyDescent="0.25">
      <c r="B703" s="1632"/>
      <c r="C703" s="1632" t="s">
        <v>540</v>
      </c>
      <c r="D703" s="4274">
        <f ca="1">SUM('Financial Projections'!K60:K189)</f>
        <v>22982.120093627826</v>
      </c>
      <c r="E703" s="4394">
        <f ca="1">SUM('Financial Projections'!L60:L189)</f>
        <v>23075.86782371829</v>
      </c>
      <c r="F703" s="4394">
        <f ca="1">SUM('Financial Projections'!M60:M189)</f>
        <v>23208.246359796594</v>
      </c>
      <c r="G703" s="4394">
        <f ca="1">SUM('Financial Projections'!N60:N189)</f>
        <v>23355.184921559787</v>
      </c>
      <c r="H703" s="4394">
        <f ca="1">SUM('Financial Projections'!O60:O189)</f>
        <v>23511.300978467701</v>
      </c>
      <c r="I703" s="4394">
        <f ca="1">SUM('Financial Projections'!P60:P189)</f>
        <v>23674.841441056185</v>
      </c>
      <c r="J703" s="4394">
        <f ca="1">SUM('Financial Projections'!Q60:Q189)</f>
        <v>23845.399707074645</v>
      </c>
      <c r="K703" s="4394">
        <f ca="1">SUM('Financial Projections'!R60:R189)</f>
        <v>24022.971186254916</v>
      </c>
      <c r="L703" s="4394">
        <f ca="1">SUM('Financial Projections'!S60:S189)</f>
        <v>24207.767566545059</v>
      </c>
      <c r="M703" s="4394">
        <f ca="1">SUM('Financial Projections'!T60:T189)</f>
        <v>24400.078165122257</v>
      </c>
      <c r="N703" s="4395"/>
      <c r="O703" s="4394" t="s">
        <v>546</v>
      </c>
      <c r="P703" s="4274">
        <f>SUM('Financial Projections'!K206:K209)</f>
        <v>0</v>
      </c>
      <c r="Q703" s="4394">
        <f>SUM('Financial Projections'!L206:L209)</f>
        <v>0</v>
      </c>
      <c r="R703" s="4394">
        <f>SUM('Financial Projections'!M206:M209)</f>
        <v>0</v>
      </c>
      <c r="S703" s="4394">
        <f>SUM('Financial Projections'!N206:N209)</f>
        <v>0</v>
      </c>
      <c r="T703" s="4394">
        <f>SUM('Financial Projections'!O206:O209)</f>
        <v>0</v>
      </c>
      <c r="U703" s="4394">
        <f>SUM('Financial Projections'!P206:P209)</f>
        <v>0</v>
      </c>
      <c r="V703" s="4394">
        <f>SUM('Financial Projections'!Q206:Q209)</f>
        <v>0</v>
      </c>
      <c r="W703" s="4394">
        <f>SUM('Financial Projections'!R206:R209)</f>
        <v>0</v>
      </c>
      <c r="X703" s="4394">
        <f>SUM('Financial Projections'!S206:S209)</f>
        <v>0</v>
      </c>
      <c r="Y703" s="4394">
        <f>SUM('Financial Projections'!T206:T209)</f>
        <v>0</v>
      </c>
    </row>
    <row r="704" spans="2:25" x14ac:dyDescent="0.25">
      <c r="B704" s="1632"/>
      <c r="C704" s="1632" t="s">
        <v>541</v>
      </c>
      <c r="D704" s="4274">
        <f>SUM('Financial Projections'!K195:K198)</f>
        <v>0</v>
      </c>
      <c r="E704" s="4394">
        <f>SUM('Financial Projections'!L195:L198)</f>
        <v>0</v>
      </c>
      <c r="F704" s="4394">
        <f>SUM('Financial Projections'!M195:M198)</f>
        <v>0</v>
      </c>
      <c r="G704" s="4394">
        <f>SUM('Financial Projections'!N195:N198)</f>
        <v>0</v>
      </c>
      <c r="H704" s="4394">
        <f>SUM('Financial Projections'!O195:O198)</f>
        <v>0</v>
      </c>
      <c r="I704" s="4394">
        <f>SUM('Financial Projections'!P195:P198)</f>
        <v>0</v>
      </c>
      <c r="J704" s="4394">
        <f>SUM('Financial Projections'!Q195:Q198)</f>
        <v>0</v>
      </c>
      <c r="K704" s="4394">
        <f>SUM('Financial Projections'!R195:R198)</f>
        <v>0</v>
      </c>
      <c r="L704" s="4394">
        <f>SUM('Financial Projections'!S195:S198)</f>
        <v>0</v>
      </c>
      <c r="M704" s="4394">
        <f>SUM('Financial Projections'!T195:T198)</f>
        <v>0</v>
      </c>
      <c r="N704" s="4395"/>
      <c r="O704" s="4394" t="s">
        <v>493</v>
      </c>
      <c r="P704" s="4274">
        <f>SUM('Financial Projections'!K215:K219)</f>
        <v>0</v>
      </c>
      <c r="Q704" s="4394">
        <f>SUM('Financial Projections'!L215:L219)</f>
        <v>0</v>
      </c>
      <c r="R704" s="4394">
        <f>SUM('Financial Projections'!M215:M219)</f>
        <v>0</v>
      </c>
      <c r="S704" s="4394">
        <f>SUM('Financial Projections'!N215:N219)</f>
        <v>0</v>
      </c>
      <c r="T704" s="4394">
        <f>SUM('Financial Projections'!O215:O219)</f>
        <v>0</v>
      </c>
      <c r="U704" s="4394">
        <f>SUM('Financial Projections'!P215:P219)</f>
        <v>0</v>
      </c>
      <c r="V704" s="4394">
        <f>SUM('Financial Projections'!Q215:Q219)</f>
        <v>0</v>
      </c>
      <c r="W704" s="4394">
        <f>SUM('Financial Projections'!R215:R219)</f>
        <v>0</v>
      </c>
      <c r="X704" s="4394">
        <f>SUM('Financial Projections'!S215:S219)</f>
        <v>0</v>
      </c>
      <c r="Y704" s="4394">
        <f>SUM('Financial Projections'!T215:T219)</f>
        <v>0</v>
      </c>
    </row>
    <row r="705" spans="2:26" x14ac:dyDescent="0.25">
      <c r="B705" s="1632"/>
      <c r="C705" s="1632" t="s">
        <v>544</v>
      </c>
      <c r="D705" s="4274">
        <f t="shared" ref="D705:M705" ca="1" si="198">D703-D704</f>
        <v>22982.120093627826</v>
      </c>
      <c r="E705" s="4394">
        <f t="shared" ca="1" si="198"/>
        <v>23075.86782371829</v>
      </c>
      <c r="F705" s="4394">
        <f t="shared" ca="1" si="198"/>
        <v>23208.246359796594</v>
      </c>
      <c r="G705" s="4394">
        <f t="shared" ca="1" si="198"/>
        <v>23355.184921559787</v>
      </c>
      <c r="H705" s="4394">
        <f t="shared" ca="1" si="198"/>
        <v>23511.300978467701</v>
      </c>
      <c r="I705" s="4394">
        <f t="shared" ca="1" si="198"/>
        <v>23674.841441056185</v>
      </c>
      <c r="J705" s="4394">
        <f t="shared" ca="1" si="198"/>
        <v>23845.399707074645</v>
      </c>
      <c r="K705" s="4394">
        <f t="shared" ca="1" si="198"/>
        <v>24022.971186254916</v>
      </c>
      <c r="L705" s="4394">
        <f t="shared" ca="1" si="198"/>
        <v>24207.767566545059</v>
      </c>
      <c r="M705" s="4394">
        <f t="shared" ca="1" si="198"/>
        <v>24400.078165122257</v>
      </c>
      <c r="N705" s="4395"/>
      <c r="O705" s="4394" t="s">
        <v>544</v>
      </c>
      <c r="P705" s="4274">
        <f t="shared" ref="P705:Y705" si="199">P703-P704</f>
        <v>0</v>
      </c>
      <c r="Q705" s="4394">
        <f t="shared" si="199"/>
        <v>0</v>
      </c>
      <c r="R705" s="4394">
        <f t="shared" si="199"/>
        <v>0</v>
      </c>
      <c r="S705" s="4394">
        <f t="shared" si="199"/>
        <v>0</v>
      </c>
      <c r="T705" s="4394">
        <f t="shared" si="199"/>
        <v>0</v>
      </c>
      <c r="U705" s="4394">
        <f t="shared" si="199"/>
        <v>0</v>
      </c>
      <c r="V705" s="4394">
        <f t="shared" si="199"/>
        <v>0</v>
      </c>
      <c r="W705" s="4394">
        <f t="shared" si="199"/>
        <v>0</v>
      </c>
      <c r="X705" s="4394">
        <f t="shared" si="199"/>
        <v>0</v>
      </c>
      <c r="Y705" s="4394">
        <f t="shared" si="199"/>
        <v>0</v>
      </c>
    </row>
    <row r="706" spans="2:26" s="4148" customFormat="1" x14ac:dyDescent="0.25">
      <c r="B706" s="4390"/>
      <c r="C706" s="4390" t="s">
        <v>543</v>
      </c>
      <c r="D706" s="4396"/>
      <c r="E706" s="4397"/>
      <c r="F706" s="4397"/>
      <c r="G706" s="4397"/>
      <c r="H706" s="4397"/>
      <c r="I706" s="4397"/>
      <c r="J706" s="4397"/>
      <c r="K706" s="4397"/>
      <c r="L706" s="4397"/>
      <c r="M706" s="4398"/>
      <c r="N706" s="4399"/>
      <c r="O706" s="4390" t="s">
        <v>543</v>
      </c>
      <c r="P706" s="4396"/>
      <c r="Q706" s="4397"/>
      <c r="R706" s="4397"/>
      <c r="S706" s="4397"/>
      <c r="T706" s="4397"/>
      <c r="U706" s="4397"/>
      <c r="V706" s="4397"/>
      <c r="W706" s="4397"/>
      <c r="X706" s="4397"/>
      <c r="Y706" s="4398"/>
    </row>
    <row r="707" spans="2:26" s="4148" customFormat="1" x14ac:dyDescent="0.25">
      <c r="B707" s="1654"/>
      <c r="C707" s="1654" t="s">
        <v>540</v>
      </c>
      <c r="D707" s="4400">
        <f t="shared" ref="D707:J707" ca="1" si="200">D695+D699+D703</f>
        <v>54202.00654067719</v>
      </c>
      <c r="E707" s="4401">
        <f t="shared" ca="1" si="200"/>
        <v>54320.765210398298</v>
      </c>
      <c r="F707" s="4401">
        <f t="shared" ca="1" si="200"/>
        <v>54638.732335763823</v>
      </c>
      <c r="G707" s="4401">
        <f t="shared" ca="1" si="200"/>
        <v>55177.418840968967</v>
      </c>
      <c r="H707" s="4401">
        <f t="shared" ca="1" si="200"/>
        <v>55848.37249504104</v>
      </c>
      <c r="I707" s="4401">
        <f t="shared" ca="1" si="200"/>
        <v>53594.364335770224</v>
      </c>
      <c r="J707" s="4401">
        <f t="shared" ca="1" si="200"/>
        <v>54134.775868071069</v>
      </c>
      <c r="K707" s="4401">
        <f t="shared" ref="K707:M708" ca="1" si="201">K695+K699+K703</f>
        <v>54698.122819507509</v>
      </c>
      <c r="L707" s="4401">
        <f t="shared" ca="1" si="201"/>
        <v>55285.135383695611</v>
      </c>
      <c r="M707" s="4401">
        <f t="shared" ca="1" si="201"/>
        <v>55896.781411720411</v>
      </c>
      <c r="N707" s="4399"/>
      <c r="O707" s="4401" t="s">
        <v>546</v>
      </c>
      <c r="P707" s="4400">
        <f t="shared" ref="P707:V707" si="202">P695+P699+P703</f>
        <v>0</v>
      </c>
      <c r="Q707" s="4401">
        <f t="shared" si="202"/>
        <v>0</v>
      </c>
      <c r="R707" s="4401">
        <f t="shared" si="202"/>
        <v>0</v>
      </c>
      <c r="S707" s="4401">
        <f t="shared" si="202"/>
        <v>0</v>
      </c>
      <c r="T707" s="4401">
        <f t="shared" si="202"/>
        <v>0</v>
      </c>
      <c r="U707" s="4401">
        <f t="shared" si="202"/>
        <v>0</v>
      </c>
      <c r="V707" s="4401">
        <f t="shared" si="202"/>
        <v>0</v>
      </c>
      <c r="W707" s="4401">
        <f t="shared" ref="W707:Y708" si="203">W695+W699+W703</f>
        <v>0</v>
      </c>
      <c r="X707" s="4401">
        <f t="shared" si="203"/>
        <v>0</v>
      </c>
      <c r="Y707" s="4401">
        <f t="shared" si="203"/>
        <v>0</v>
      </c>
    </row>
    <row r="708" spans="2:26" s="4148" customFormat="1" x14ac:dyDescent="0.25">
      <c r="B708" s="1654"/>
      <c r="C708" s="1654" t="s">
        <v>541</v>
      </c>
      <c r="D708" s="4400">
        <f t="shared" ref="D708:J708" si="204">D696+D700+D704</f>
        <v>8.31844802048</v>
      </c>
      <c r="E708" s="4401">
        <f t="shared" si="204"/>
        <v>8.6511859412992003</v>
      </c>
      <c r="F708" s="4401">
        <f t="shared" si="204"/>
        <v>8.9972333789511687</v>
      </c>
      <c r="G708" s="4401">
        <f t="shared" si="204"/>
        <v>9.3571227141092166</v>
      </c>
      <c r="H708" s="4401">
        <f t="shared" si="204"/>
        <v>9.7314076226735864</v>
      </c>
      <c r="I708" s="4401">
        <f t="shared" si="204"/>
        <v>10.12066392758053</v>
      </c>
      <c r="J708" s="4401">
        <f t="shared" si="204"/>
        <v>10.525490484683752</v>
      </c>
      <c r="K708" s="4401">
        <f t="shared" si="201"/>
        <v>10.946510104071102</v>
      </c>
      <c r="L708" s="4401">
        <f t="shared" si="201"/>
        <v>11.384370508233946</v>
      </c>
      <c r="M708" s="4401">
        <f t="shared" si="201"/>
        <v>11.839745328563305</v>
      </c>
      <c r="N708" s="4399"/>
      <c r="O708" s="4401" t="s">
        <v>493</v>
      </c>
      <c r="P708" s="4400">
        <f t="shared" ref="P708:V708" si="205">P696+P700+P704</f>
        <v>0</v>
      </c>
      <c r="Q708" s="4401">
        <f t="shared" si="205"/>
        <v>0</v>
      </c>
      <c r="R708" s="4401">
        <f t="shared" si="205"/>
        <v>0</v>
      </c>
      <c r="S708" s="4401">
        <f t="shared" si="205"/>
        <v>0</v>
      </c>
      <c r="T708" s="4401">
        <f t="shared" si="205"/>
        <v>0</v>
      </c>
      <c r="U708" s="4401">
        <f t="shared" si="205"/>
        <v>0</v>
      </c>
      <c r="V708" s="4401">
        <f t="shared" si="205"/>
        <v>0</v>
      </c>
      <c r="W708" s="4401">
        <f t="shared" si="203"/>
        <v>0</v>
      </c>
      <c r="X708" s="4401">
        <f t="shared" si="203"/>
        <v>0</v>
      </c>
      <c r="Y708" s="4401">
        <f t="shared" si="203"/>
        <v>0</v>
      </c>
    </row>
    <row r="709" spans="2:26" s="4148" customFormat="1" x14ac:dyDescent="0.25">
      <c r="B709" s="1654"/>
      <c r="C709" s="1654" t="s">
        <v>544</v>
      </c>
      <c r="D709" s="4400">
        <f t="shared" ref="D709:M709" ca="1" si="206">D707-D708</f>
        <v>54193.68809265671</v>
      </c>
      <c r="E709" s="4401">
        <f t="shared" ca="1" si="206"/>
        <v>54312.114024456998</v>
      </c>
      <c r="F709" s="4401">
        <f t="shared" ca="1" si="206"/>
        <v>54629.735102384875</v>
      </c>
      <c r="G709" s="4401">
        <f t="shared" ca="1" si="206"/>
        <v>55168.061718254859</v>
      </c>
      <c r="H709" s="4401">
        <f t="shared" ca="1" si="206"/>
        <v>55838.641087418364</v>
      </c>
      <c r="I709" s="4401">
        <f t="shared" ca="1" si="206"/>
        <v>53584.243671842647</v>
      </c>
      <c r="J709" s="4401">
        <f t="shared" ca="1" si="206"/>
        <v>54124.250377586388</v>
      </c>
      <c r="K709" s="4401">
        <f t="shared" ca="1" si="206"/>
        <v>54687.17630940344</v>
      </c>
      <c r="L709" s="4401">
        <f t="shared" ca="1" si="206"/>
        <v>55273.751013187379</v>
      </c>
      <c r="M709" s="4401">
        <f t="shared" ca="1" si="206"/>
        <v>55884.941666391846</v>
      </c>
      <c r="N709" s="4399"/>
      <c r="O709" s="4401" t="s">
        <v>544</v>
      </c>
      <c r="P709" s="4400">
        <f t="shared" ref="P709:Y709" si="207">P707-P708</f>
        <v>0</v>
      </c>
      <c r="Q709" s="4401">
        <f t="shared" si="207"/>
        <v>0</v>
      </c>
      <c r="R709" s="4401">
        <f t="shared" si="207"/>
        <v>0</v>
      </c>
      <c r="S709" s="4401">
        <f t="shared" si="207"/>
        <v>0</v>
      </c>
      <c r="T709" s="4401">
        <f t="shared" si="207"/>
        <v>0</v>
      </c>
      <c r="U709" s="4401">
        <f t="shared" si="207"/>
        <v>0</v>
      </c>
      <c r="V709" s="4401">
        <f t="shared" si="207"/>
        <v>0</v>
      </c>
      <c r="W709" s="4401">
        <f t="shared" si="207"/>
        <v>0</v>
      </c>
      <c r="X709" s="4401">
        <f t="shared" si="207"/>
        <v>0</v>
      </c>
      <c r="Y709" s="4401">
        <f t="shared" si="207"/>
        <v>0</v>
      </c>
    </row>
    <row r="710" spans="2:26" x14ac:dyDescent="0.25">
      <c r="D710" s="4402"/>
      <c r="E710" s="4071"/>
      <c r="N710" s="4070"/>
    </row>
    <row r="711" spans="2:26" x14ac:dyDescent="0.25">
      <c r="D711" s="4402"/>
      <c r="E711" s="4071"/>
      <c r="N711" s="4070"/>
    </row>
    <row r="712" spans="2:26" s="4093" customFormat="1" ht="23.25" x14ac:dyDescent="0.25">
      <c r="B712" s="4089"/>
      <c r="C712" s="4090" t="s">
        <v>3096</v>
      </c>
      <c r="D712" s="4227"/>
      <c r="E712" s="4092"/>
      <c r="F712" s="4092"/>
      <c r="G712" s="4092"/>
      <c r="H712" s="4092"/>
      <c r="I712" s="4092"/>
      <c r="J712" s="4092"/>
      <c r="K712" s="4092"/>
      <c r="L712" s="4092"/>
      <c r="M712" s="4092"/>
      <c r="N712" s="4092"/>
      <c r="O712" s="4092"/>
      <c r="P712" s="4092"/>
      <c r="Q712" s="4092"/>
      <c r="R712" s="4092"/>
      <c r="S712" s="4092"/>
      <c r="T712" s="4092"/>
      <c r="U712" s="4092"/>
      <c r="V712" s="4092"/>
      <c r="W712" s="4092"/>
      <c r="X712" s="4092"/>
      <c r="Y712" s="4092"/>
    </row>
    <row r="713" spans="2:26" s="4097" customFormat="1" ht="21" x14ac:dyDescent="0.25">
      <c r="B713" s="4094"/>
      <c r="C713" s="4095" t="s">
        <v>539</v>
      </c>
      <c r="D713" s="4386"/>
      <c r="E713" s="1647"/>
      <c r="F713" s="1647"/>
      <c r="G713" s="1647"/>
      <c r="H713" s="1647"/>
      <c r="I713" s="1647"/>
      <c r="J713" s="1647"/>
      <c r="K713" s="1647"/>
      <c r="L713" s="1647"/>
      <c r="M713" s="1647"/>
      <c r="N713" s="1647"/>
      <c r="O713" s="4095" t="s">
        <v>545</v>
      </c>
      <c r="P713" s="4387"/>
      <c r="Q713" s="1647"/>
      <c r="R713" s="1647"/>
      <c r="S713" s="1647"/>
      <c r="T713" s="1647"/>
      <c r="U713" s="1647"/>
      <c r="V713" s="1647"/>
      <c r="W713" s="1647"/>
      <c r="X713" s="1647"/>
      <c r="Y713" s="1647"/>
    </row>
    <row r="714" spans="2:26" x14ac:dyDescent="0.25">
      <c r="B714" s="4098" t="s">
        <v>3</v>
      </c>
      <c r="C714" s="4098" t="s">
        <v>4</v>
      </c>
      <c r="D714" s="4388">
        <f>'Financial Projections'!K$97</f>
        <v>2015</v>
      </c>
      <c r="E714" s="4389">
        <f>'Financial Projections'!L$97</f>
        <v>2016</v>
      </c>
      <c r="F714" s="4389">
        <f>'Financial Projections'!M$97</f>
        <v>2017</v>
      </c>
      <c r="G714" s="4389">
        <f>'Financial Projections'!N$97</f>
        <v>2018</v>
      </c>
      <c r="H714" s="4389">
        <f>'Financial Projections'!O$97</f>
        <v>2019</v>
      </c>
      <c r="I714" s="4389">
        <f>'Financial Projections'!P$97</f>
        <v>2020</v>
      </c>
      <c r="J714" s="4389">
        <f>'Financial Projections'!Q$97</f>
        <v>2021</v>
      </c>
      <c r="K714" s="4389">
        <f>'Financial Projections'!R$97</f>
        <v>2022</v>
      </c>
      <c r="L714" s="4389">
        <f>'Financial Projections'!S$97</f>
        <v>2023</v>
      </c>
      <c r="M714" s="4389">
        <f>'Financial Projections'!T$97</f>
        <v>2024</v>
      </c>
      <c r="O714" s="4098" t="s">
        <v>4</v>
      </c>
      <c r="P714" s="4388">
        <f>D714</f>
        <v>2015</v>
      </c>
      <c r="Q714" s="4388">
        <f t="shared" ref="Q714:Y714" si="208">E714</f>
        <v>2016</v>
      </c>
      <c r="R714" s="4388">
        <f t="shared" si="208"/>
        <v>2017</v>
      </c>
      <c r="S714" s="4388">
        <f t="shared" si="208"/>
        <v>2018</v>
      </c>
      <c r="T714" s="4388">
        <f t="shared" si="208"/>
        <v>2019</v>
      </c>
      <c r="U714" s="4388">
        <f t="shared" si="208"/>
        <v>2020</v>
      </c>
      <c r="V714" s="4388">
        <f t="shared" si="208"/>
        <v>2021</v>
      </c>
      <c r="W714" s="4388">
        <f t="shared" si="208"/>
        <v>2022</v>
      </c>
      <c r="X714" s="4388">
        <f t="shared" si="208"/>
        <v>2023</v>
      </c>
      <c r="Y714" s="4388">
        <f t="shared" si="208"/>
        <v>2024</v>
      </c>
      <c r="Z714" s="4097"/>
    </row>
    <row r="715" spans="2:26" s="4148" customFormat="1" x14ac:dyDescent="0.25">
      <c r="B715" s="4390"/>
      <c r="C715" s="4390" t="s">
        <v>181</v>
      </c>
      <c r="D715" s="4403"/>
      <c r="E715" s="4404"/>
      <c r="F715" s="4404"/>
      <c r="G715" s="4404"/>
      <c r="H715" s="4404"/>
      <c r="I715" s="4404"/>
      <c r="J715" s="4404"/>
      <c r="K715" s="4404"/>
      <c r="L715" s="4404"/>
      <c r="M715" s="4405"/>
      <c r="O715" s="4390" t="s">
        <v>181</v>
      </c>
      <c r="P715" s="4391"/>
      <c r="Q715" s="4392"/>
      <c r="R715" s="4392"/>
      <c r="S715" s="4392"/>
      <c r="T715" s="4392"/>
      <c r="U715" s="4392"/>
      <c r="V715" s="4392"/>
      <c r="W715" s="4392"/>
      <c r="X715" s="4392"/>
      <c r="Y715" s="4393"/>
      <c r="Z715" s="4097"/>
    </row>
    <row r="716" spans="2:26" x14ac:dyDescent="0.25">
      <c r="B716" s="1632"/>
      <c r="C716" s="1632" t="s">
        <v>540</v>
      </c>
      <c r="D716" s="6016">
        <f>'WS calcu'!F764</f>
        <v>0</v>
      </c>
      <c r="E716" s="6016">
        <f>'WS calcu'!G764</f>
        <v>0</v>
      </c>
      <c r="F716" s="6016">
        <f>'WS calcu'!H764</f>
        <v>0</v>
      </c>
      <c r="G716" s="6016">
        <f>'WS calcu'!I764</f>
        <v>0</v>
      </c>
      <c r="H716" s="6016">
        <f>'WS calcu'!J764</f>
        <v>0</v>
      </c>
      <c r="I716" s="6016">
        <f>'WS calcu'!K764</f>
        <v>0</v>
      </c>
      <c r="J716" s="6016">
        <f>'WS calcu'!L764</f>
        <v>0</v>
      </c>
      <c r="K716" s="6016">
        <f>'WS calcu'!M764</f>
        <v>0</v>
      </c>
      <c r="L716" s="6016">
        <f>'WS calcu'!N764</f>
        <v>0</v>
      </c>
      <c r="M716" s="6016">
        <f>'WS calcu'!O764</f>
        <v>0</v>
      </c>
      <c r="N716" s="4070"/>
      <c r="O716" s="1632" t="s">
        <v>546</v>
      </c>
      <c r="P716" s="4274">
        <f t="shared" ref="P716:Y716" si="209">P695</f>
        <v>0</v>
      </c>
      <c r="Q716" s="4394">
        <f t="shared" si="209"/>
        <v>0</v>
      </c>
      <c r="R716" s="4394">
        <f t="shared" si="209"/>
        <v>0</v>
      </c>
      <c r="S716" s="4394">
        <f t="shared" si="209"/>
        <v>0</v>
      </c>
      <c r="T716" s="4394">
        <f t="shared" si="209"/>
        <v>0</v>
      </c>
      <c r="U716" s="4394">
        <f t="shared" si="209"/>
        <v>0</v>
      </c>
      <c r="V716" s="4394">
        <f t="shared" si="209"/>
        <v>0</v>
      </c>
      <c r="W716" s="4394">
        <f t="shared" si="209"/>
        <v>0</v>
      </c>
      <c r="X716" s="4394">
        <f t="shared" si="209"/>
        <v>0</v>
      </c>
      <c r="Y716" s="4394">
        <f t="shared" si="209"/>
        <v>0</v>
      </c>
      <c r="Z716" s="4097"/>
    </row>
    <row r="717" spans="2:26" x14ac:dyDescent="0.25">
      <c r="B717" s="1632"/>
      <c r="C717" s="1632" t="s">
        <v>541</v>
      </c>
      <c r="D717" s="4274">
        <f t="shared" ref="D717:M717" si="210">G114+D696</f>
        <v>0</v>
      </c>
      <c r="E717" s="4394">
        <f t="shared" si="210"/>
        <v>0</v>
      </c>
      <c r="F717" s="4394">
        <f t="shared" si="210"/>
        <v>0</v>
      </c>
      <c r="G717" s="4394">
        <f t="shared" si="210"/>
        <v>0</v>
      </c>
      <c r="H717" s="4394">
        <f t="shared" si="210"/>
        <v>0</v>
      </c>
      <c r="I717" s="4394">
        <f t="shared" si="210"/>
        <v>0</v>
      </c>
      <c r="J717" s="4394">
        <f t="shared" si="210"/>
        <v>0</v>
      </c>
      <c r="K717" s="4394">
        <f t="shared" si="210"/>
        <v>0</v>
      </c>
      <c r="L717" s="4394">
        <f t="shared" si="210"/>
        <v>0</v>
      </c>
      <c r="M717" s="4394">
        <f t="shared" si="210"/>
        <v>0</v>
      </c>
      <c r="N717" s="4070"/>
      <c r="O717" s="1632" t="s">
        <v>493</v>
      </c>
      <c r="P717" s="4274">
        <f>SUM('Financial Projections'!K128:K133)</f>
        <v>0</v>
      </c>
      <c r="Q717" s="4394">
        <f>SUM('Financial Projections'!L128:L133)</f>
        <v>0</v>
      </c>
      <c r="R717" s="4394">
        <f>SUM('Financial Projections'!M128:M133)</f>
        <v>0</v>
      </c>
      <c r="S717" s="4394">
        <f>SUM('Financial Projections'!N128:N133)</f>
        <v>0</v>
      </c>
      <c r="T717" s="4394">
        <f>SUM('Financial Projections'!O128:O133)</f>
        <v>0</v>
      </c>
      <c r="U717" s="4394">
        <f>SUM('Financial Projections'!P128:P133)</f>
        <v>0</v>
      </c>
      <c r="V717" s="4394">
        <f>SUM('Financial Projections'!Q128:Q133)</f>
        <v>0</v>
      </c>
      <c r="W717" s="4394">
        <f>SUM('Financial Projections'!R128:R133)</f>
        <v>0</v>
      </c>
      <c r="X717" s="4394">
        <f>SUM('Financial Projections'!S128:S133)</f>
        <v>0</v>
      </c>
      <c r="Y717" s="4394">
        <f>SUM('Financial Projections'!T128:T133)</f>
        <v>0</v>
      </c>
      <c r="Z717" s="4097"/>
    </row>
    <row r="718" spans="2:26" x14ac:dyDescent="0.25">
      <c r="B718" s="1632"/>
      <c r="C718" s="1632" t="s">
        <v>544</v>
      </c>
      <c r="D718" s="4274">
        <f t="shared" ref="D718:M718" si="211">D716-D717</f>
        <v>0</v>
      </c>
      <c r="E718" s="4394">
        <f t="shared" si="211"/>
        <v>0</v>
      </c>
      <c r="F718" s="4394">
        <f t="shared" si="211"/>
        <v>0</v>
      </c>
      <c r="G718" s="4394">
        <f t="shared" si="211"/>
        <v>0</v>
      </c>
      <c r="H718" s="4394">
        <f t="shared" si="211"/>
        <v>0</v>
      </c>
      <c r="I718" s="4394">
        <f t="shared" si="211"/>
        <v>0</v>
      </c>
      <c r="J718" s="4394">
        <f t="shared" si="211"/>
        <v>0</v>
      </c>
      <c r="K718" s="4394">
        <f t="shared" si="211"/>
        <v>0</v>
      </c>
      <c r="L718" s="4394">
        <f t="shared" si="211"/>
        <v>0</v>
      </c>
      <c r="M718" s="4394">
        <f t="shared" si="211"/>
        <v>0</v>
      </c>
      <c r="N718" s="4070"/>
      <c r="O718" s="1632" t="s">
        <v>544</v>
      </c>
      <c r="P718" s="4274">
        <f t="shared" ref="P718:Y718" si="212">P716-P717</f>
        <v>0</v>
      </c>
      <c r="Q718" s="4394">
        <f t="shared" si="212"/>
        <v>0</v>
      </c>
      <c r="R718" s="4394">
        <f t="shared" si="212"/>
        <v>0</v>
      </c>
      <c r="S718" s="4394">
        <f t="shared" si="212"/>
        <v>0</v>
      </c>
      <c r="T718" s="4394">
        <f t="shared" si="212"/>
        <v>0</v>
      </c>
      <c r="U718" s="4394">
        <f t="shared" si="212"/>
        <v>0</v>
      </c>
      <c r="V718" s="4394">
        <f t="shared" si="212"/>
        <v>0</v>
      </c>
      <c r="W718" s="4394">
        <f t="shared" si="212"/>
        <v>0</v>
      </c>
      <c r="X718" s="4394">
        <f t="shared" si="212"/>
        <v>0</v>
      </c>
      <c r="Y718" s="4394">
        <f t="shared" si="212"/>
        <v>0</v>
      </c>
      <c r="Z718" s="4097"/>
    </row>
    <row r="719" spans="2:26" s="4148" customFormat="1" x14ac:dyDescent="0.25">
      <c r="B719" s="4390"/>
      <c r="C719" s="4390" t="s">
        <v>182</v>
      </c>
      <c r="D719" s="4396"/>
      <c r="E719" s="4397"/>
      <c r="F719" s="4397"/>
      <c r="G719" s="4397"/>
      <c r="H719" s="4397"/>
      <c r="I719" s="4397"/>
      <c r="J719" s="4397"/>
      <c r="K719" s="4397"/>
      <c r="L719" s="4397"/>
      <c r="M719" s="4398"/>
      <c r="O719" s="4390" t="s">
        <v>182</v>
      </c>
      <c r="P719" s="4396"/>
      <c r="Q719" s="4397"/>
      <c r="R719" s="4397"/>
      <c r="S719" s="4397"/>
      <c r="T719" s="4397"/>
      <c r="U719" s="4397"/>
      <c r="V719" s="4397"/>
      <c r="W719" s="4397"/>
      <c r="X719" s="4397"/>
      <c r="Y719" s="4398"/>
      <c r="Z719" s="4097"/>
    </row>
    <row r="720" spans="2:26" x14ac:dyDescent="0.25">
      <c r="B720" s="1632"/>
      <c r="C720" s="1632" t="s">
        <v>540</v>
      </c>
      <c r="D720" s="4274">
        <f>'WW calcu'!F973+SUM('Financial Projections'!K41:K42)</f>
        <v>1.4133333333333336</v>
      </c>
      <c r="E720" s="4274">
        <f>'WW calcu'!G973+SUM('Financial Projections'!L41:L42)</f>
        <v>1.4345333333333334</v>
      </c>
      <c r="F720" s="4274">
        <f>'WW calcu'!H973+SUM('Financial Projections'!M41:M42)</f>
        <v>1.4563693333333336</v>
      </c>
      <c r="G720" s="4274">
        <f>'WW calcu'!I973+SUM('Financial Projections'!N41:N42)</f>
        <v>17.201518364333332</v>
      </c>
      <c r="H720" s="4274">
        <f>'WW calcu'!J973+SUM('Financial Projections'!O41:O42)</f>
        <v>17.470973915263336</v>
      </c>
      <c r="I720" s="4274">
        <f>'WW calcu'!K973+SUM('Financial Projections'!P41:P42)</f>
        <v>0</v>
      </c>
      <c r="J720" s="4274">
        <f>'WW calcu'!L973+SUM('Financial Projections'!Q41:Q42)</f>
        <v>0</v>
      </c>
      <c r="K720" s="4274">
        <f>'WW calcu'!M973+SUM('Financial Projections'!R41:R42)</f>
        <v>0</v>
      </c>
      <c r="L720" s="4274">
        <f>'WW calcu'!N973+SUM('Financial Projections'!S41:S42)</f>
        <v>0</v>
      </c>
      <c r="M720" s="4274">
        <f>'WW calcu'!O973+SUM('Financial Projections'!T41:T42)</f>
        <v>0</v>
      </c>
      <c r="N720" s="4148"/>
      <c r="O720" s="1632" t="s">
        <v>546</v>
      </c>
      <c r="P720" s="4274">
        <f t="shared" ref="P720:Y720" si="213">P699</f>
        <v>0</v>
      </c>
      <c r="Q720" s="4394">
        <f t="shared" si="213"/>
        <v>0</v>
      </c>
      <c r="R720" s="4394">
        <f t="shared" si="213"/>
        <v>0</v>
      </c>
      <c r="S720" s="4394">
        <f t="shared" si="213"/>
        <v>0</v>
      </c>
      <c r="T720" s="4394">
        <f t="shared" si="213"/>
        <v>0</v>
      </c>
      <c r="U720" s="4394">
        <f t="shared" si="213"/>
        <v>0</v>
      </c>
      <c r="V720" s="4394">
        <f t="shared" si="213"/>
        <v>0</v>
      </c>
      <c r="W720" s="4394">
        <f t="shared" si="213"/>
        <v>0</v>
      </c>
      <c r="X720" s="4394">
        <f t="shared" si="213"/>
        <v>0</v>
      </c>
      <c r="Y720" s="4394">
        <f t="shared" si="213"/>
        <v>0</v>
      </c>
      <c r="Z720" s="4097"/>
    </row>
    <row r="721" spans="2:27" x14ac:dyDescent="0.25">
      <c r="B721" s="1632"/>
      <c r="C721" s="1632" t="s">
        <v>541</v>
      </c>
      <c r="D721" s="4274">
        <f t="shared" ref="D721:M721" si="214">G268+D700</f>
        <v>10.830114687146667</v>
      </c>
      <c r="E721" s="4394">
        <f t="shared" si="214"/>
        <v>25.5491859412992</v>
      </c>
      <c r="F721" s="4394">
        <f t="shared" si="214"/>
        <v>33.155764628951168</v>
      </c>
      <c r="G721" s="4394">
        <f t="shared" si="214"/>
        <v>34.723580526609219</v>
      </c>
      <c r="H721" s="4394">
        <f t="shared" si="214"/>
        <v>36.366188325798589</v>
      </c>
      <c r="I721" s="4394">
        <f t="shared" si="214"/>
        <v>38.087183665861787</v>
      </c>
      <c r="J721" s="4394">
        <f t="shared" si="214"/>
        <v>39.890336209879074</v>
      </c>
      <c r="K721" s="4394">
        <f t="shared" si="214"/>
        <v>41.779598115526191</v>
      </c>
      <c r="L721" s="4394">
        <f t="shared" si="214"/>
        <v>43.759112920261785</v>
      </c>
      <c r="M721" s="4394">
        <f t="shared" si="214"/>
        <v>45.833224861192541</v>
      </c>
      <c r="N721" s="4148"/>
      <c r="O721" s="1632" t="s">
        <v>493</v>
      </c>
      <c r="P721" s="4274">
        <f>SUM('Financial Projections'!K173:K178)</f>
        <v>0</v>
      </c>
      <c r="Q721" s="4394">
        <f>SUM('Financial Projections'!L173:L178)</f>
        <v>0</v>
      </c>
      <c r="R721" s="4394">
        <f>SUM('Financial Projections'!M173:M178)</f>
        <v>0</v>
      </c>
      <c r="S721" s="4394">
        <f>SUM('Financial Projections'!N173:N178)</f>
        <v>0</v>
      </c>
      <c r="T721" s="4394">
        <f>SUM('Financial Projections'!O173:O178)</f>
        <v>0</v>
      </c>
      <c r="U721" s="4394">
        <f>SUM('Financial Projections'!P173:P178)</f>
        <v>0</v>
      </c>
      <c r="V721" s="4394">
        <f>SUM('Financial Projections'!Q173:Q178)</f>
        <v>0</v>
      </c>
      <c r="W721" s="4394">
        <f>SUM('Financial Projections'!R173:R178)</f>
        <v>0</v>
      </c>
      <c r="X721" s="4394">
        <f>SUM('Financial Projections'!S173:S178)</f>
        <v>0</v>
      </c>
      <c r="Y721" s="4394">
        <f>SUM('Financial Projections'!T173:T178)</f>
        <v>0</v>
      </c>
      <c r="Z721" s="4097"/>
    </row>
    <row r="722" spans="2:27" x14ac:dyDescent="0.25">
      <c r="B722" s="1632"/>
      <c r="C722" s="1632" t="s">
        <v>544</v>
      </c>
      <c r="D722" s="4274">
        <f>D720-D721</f>
        <v>-9.4167813538133327</v>
      </c>
      <c r="E722" s="4394">
        <f t="shared" ref="E722:M722" si="215">E720-E721</f>
        <v>-24.114652607965866</v>
      </c>
      <c r="F722" s="4394">
        <f t="shared" si="215"/>
        <v>-31.699395295617833</v>
      </c>
      <c r="G722" s="4394">
        <f t="shared" si="215"/>
        <v>-17.522062162275887</v>
      </c>
      <c r="H722" s="4394">
        <f t="shared" si="215"/>
        <v>-18.895214410535253</v>
      </c>
      <c r="I722" s="4394">
        <f t="shared" si="215"/>
        <v>-38.087183665861787</v>
      </c>
      <c r="J722" s="4394">
        <f t="shared" si="215"/>
        <v>-39.890336209879074</v>
      </c>
      <c r="K722" s="4394">
        <f t="shared" si="215"/>
        <v>-41.779598115526191</v>
      </c>
      <c r="L722" s="4394">
        <f t="shared" si="215"/>
        <v>-43.759112920261785</v>
      </c>
      <c r="M722" s="4394">
        <f t="shared" si="215"/>
        <v>-45.833224861192541</v>
      </c>
      <c r="N722" s="4070"/>
      <c r="O722" s="1632" t="s">
        <v>544</v>
      </c>
      <c r="P722" s="4274">
        <f t="shared" ref="P722:Y722" si="216">P720-P721</f>
        <v>0</v>
      </c>
      <c r="Q722" s="4394">
        <f t="shared" si="216"/>
        <v>0</v>
      </c>
      <c r="R722" s="4394">
        <f t="shared" si="216"/>
        <v>0</v>
      </c>
      <c r="S722" s="4394">
        <f t="shared" si="216"/>
        <v>0</v>
      </c>
      <c r="T722" s="4394">
        <f t="shared" si="216"/>
        <v>0</v>
      </c>
      <c r="U722" s="4394">
        <f t="shared" si="216"/>
        <v>0</v>
      </c>
      <c r="V722" s="4394">
        <f t="shared" si="216"/>
        <v>0</v>
      </c>
      <c r="W722" s="4394">
        <f t="shared" si="216"/>
        <v>0</v>
      </c>
      <c r="X722" s="4394">
        <f t="shared" si="216"/>
        <v>0</v>
      </c>
      <c r="Y722" s="4394">
        <f t="shared" si="216"/>
        <v>0</v>
      </c>
      <c r="Z722" s="4097"/>
    </row>
    <row r="723" spans="2:27" s="4148" customFormat="1" x14ac:dyDescent="0.25">
      <c r="B723" s="4390"/>
      <c r="C723" s="4390" t="s">
        <v>183</v>
      </c>
      <c r="D723" s="4396"/>
      <c r="E723" s="4397"/>
      <c r="F723" s="4397"/>
      <c r="G723" s="4397"/>
      <c r="H723" s="4397"/>
      <c r="I723" s="4397"/>
      <c r="J723" s="4397"/>
      <c r="K723" s="4397"/>
      <c r="L723" s="4397"/>
      <c r="M723" s="4398"/>
      <c r="O723" s="4390" t="s">
        <v>183</v>
      </c>
      <c r="P723" s="4396"/>
      <c r="Q723" s="4397"/>
      <c r="R723" s="4397"/>
      <c r="S723" s="4397"/>
      <c r="T723" s="4397"/>
      <c r="U723" s="4397"/>
      <c r="V723" s="4397"/>
      <c r="W723" s="4397"/>
      <c r="X723" s="4397"/>
      <c r="Y723" s="4398"/>
      <c r="Z723" s="4097"/>
    </row>
    <row r="724" spans="2:27" x14ac:dyDescent="0.25">
      <c r="B724" s="1632"/>
      <c r="C724" s="1632" t="s">
        <v>540</v>
      </c>
      <c r="D724" s="4274">
        <f>'MSW calcu'!G236+SUM('Financial Projections'!K187:K189)</f>
        <v>0</v>
      </c>
      <c r="E724" s="4274">
        <f>'MSW calcu'!H236+SUM('Financial Projections'!L187:L189)</f>
        <v>0</v>
      </c>
      <c r="F724" s="4274">
        <f>'MSW calcu'!I236+SUM('Financial Projections'!M187:M189)</f>
        <v>0</v>
      </c>
      <c r="G724" s="4274">
        <f>'MSW calcu'!J236+SUM('Financial Projections'!N187:N189)</f>
        <v>0</v>
      </c>
      <c r="H724" s="4274">
        <f>'MSW calcu'!K236+SUM('Financial Projections'!O187:O189)</f>
        <v>0</v>
      </c>
      <c r="I724" s="4274">
        <f>'MSW calcu'!L236+SUM('Financial Projections'!P187:P189)</f>
        <v>0</v>
      </c>
      <c r="J724" s="4274">
        <f>'MSW calcu'!M236+SUM('Financial Projections'!Q187:Q189)</f>
        <v>0</v>
      </c>
      <c r="K724" s="4274">
        <f>'MSW calcu'!N236+SUM('Financial Projections'!R187:R189)</f>
        <v>0</v>
      </c>
      <c r="L724" s="4274">
        <f>'MSW calcu'!O236+SUM('Financial Projections'!S187:S189)</f>
        <v>0</v>
      </c>
      <c r="M724" s="4274">
        <f>'MSW calcu'!P236+SUM('Financial Projections'!T187:T189)</f>
        <v>0</v>
      </c>
      <c r="N724" s="4148"/>
      <c r="O724" s="1632" t="s">
        <v>546</v>
      </c>
      <c r="P724" s="4274">
        <f t="shared" ref="P724:Y724" si="217">P703</f>
        <v>0</v>
      </c>
      <c r="Q724" s="4394">
        <f t="shared" si="217"/>
        <v>0</v>
      </c>
      <c r="R724" s="4394">
        <f t="shared" si="217"/>
        <v>0</v>
      </c>
      <c r="S724" s="4394">
        <f t="shared" si="217"/>
        <v>0</v>
      </c>
      <c r="T724" s="4394">
        <f t="shared" si="217"/>
        <v>0</v>
      </c>
      <c r="U724" s="4394">
        <f t="shared" si="217"/>
        <v>0</v>
      </c>
      <c r="V724" s="4394">
        <f t="shared" si="217"/>
        <v>0</v>
      </c>
      <c r="W724" s="4394">
        <f t="shared" si="217"/>
        <v>0</v>
      </c>
      <c r="X724" s="4394">
        <f t="shared" si="217"/>
        <v>0</v>
      </c>
      <c r="Y724" s="4394">
        <f t="shared" si="217"/>
        <v>0</v>
      </c>
      <c r="Z724" s="4097"/>
    </row>
    <row r="725" spans="2:27" x14ac:dyDescent="0.25">
      <c r="B725" s="1632"/>
      <c r="C725" s="1632" t="s">
        <v>541</v>
      </c>
      <c r="D725" s="4274">
        <f t="shared" ref="D725:M725" si="218">G401+D704</f>
        <v>0</v>
      </c>
      <c r="E725" s="4394">
        <f t="shared" si="218"/>
        <v>0</v>
      </c>
      <c r="F725" s="4394">
        <f t="shared" si="218"/>
        <v>0</v>
      </c>
      <c r="G725" s="4394">
        <f t="shared" si="218"/>
        <v>0</v>
      </c>
      <c r="H725" s="4394">
        <f t="shared" si="218"/>
        <v>0</v>
      </c>
      <c r="I725" s="4394">
        <f t="shared" si="218"/>
        <v>0</v>
      </c>
      <c r="J725" s="4394">
        <f t="shared" si="218"/>
        <v>0</v>
      </c>
      <c r="K725" s="4394">
        <f t="shared" si="218"/>
        <v>0</v>
      </c>
      <c r="L725" s="4394">
        <f t="shared" si="218"/>
        <v>0</v>
      </c>
      <c r="M725" s="4394">
        <f t="shared" si="218"/>
        <v>0</v>
      </c>
      <c r="N725" s="4070"/>
      <c r="O725" s="1632" t="s">
        <v>493</v>
      </c>
      <c r="P725" s="4274">
        <f>SUM('Financial Projections'!K215:K220)</f>
        <v>0</v>
      </c>
      <c r="Q725" s="4394">
        <f>SUM('Financial Projections'!L215:L220)</f>
        <v>0</v>
      </c>
      <c r="R725" s="4394">
        <f>SUM('Financial Projections'!M215:M220)</f>
        <v>0</v>
      </c>
      <c r="S725" s="4394">
        <f>SUM('Financial Projections'!N215:N220)</f>
        <v>0</v>
      </c>
      <c r="T725" s="4394">
        <f>SUM('Financial Projections'!O215:O220)</f>
        <v>0</v>
      </c>
      <c r="U725" s="4394">
        <f>SUM('Financial Projections'!P215:P220)</f>
        <v>0</v>
      </c>
      <c r="V725" s="4394">
        <f>SUM('Financial Projections'!Q215:Q220)</f>
        <v>0</v>
      </c>
      <c r="W725" s="4394">
        <f>SUM('Financial Projections'!R215:R220)</f>
        <v>0</v>
      </c>
      <c r="X725" s="4394">
        <f>SUM('Financial Projections'!S215:S220)</f>
        <v>0</v>
      </c>
      <c r="Y725" s="4394">
        <f>SUM('Financial Projections'!T215:T220)</f>
        <v>0</v>
      </c>
      <c r="Z725" s="4097"/>
    </row>
    <row r="726" spans="2:27" x14ac:dyDescent="0.25">
      <c r="B726" s="1632"/>
      <c r="C726" s="1632" t="s">
        <v>544</v>
      </c>
      <c r="D726" s="4274">
        <f>D724-D725</f>
        <v>0</v>
      </c>
      <c r="E726" s="4394">
        <f t="shared" ref="E726:M726" si="219">E724-E725</f>
        <v>0</v>
      </c>
      <c r="F726" s="4394">
        <f t="shared" si="219"/>
        <v>0</v>
      </c>
      <c r="G726" s="4394">
        <f t="shared" si="219"/>
        <v>0</v>
      </c>
      <c r="H726" s="4394">
        <f t="shared" si="219"/>
        <v>0</v>
      </c>
      <c r="I726" s="4394">
        <f t="shared" si="219"/>
        <v>0</v>
      </c>
      <c r="J726" s="4394">
        <f t="shared" si="219"/>
        <v>0</v>
      </c>
      <c r="K726" s="4394">
        <f t="shared" si="219"/>
        <v>0</v>
      </c>
      <c r="L726" s="4394">
        <f t="shared" si="219"/>
        <v>0</v>
      </c>
      <c r="M726" s="4394">
        <f t="shared" si="219"/>
        <v>0</v>
      </c>
      <c r="N726" s="4070"/>
      <c r="O726" s="1632" t="s">
        <v>544</v>
      </c>
      <c r="P726" s="4274">
        <f t="shared" ref="P726:Y726" si="220">P724-P725</f>
        <v>0</v>
      </c>
      <c r="Q726" s="4394">
        <f t="shared" si="220"/>
        <v>0</v>
      </c>
      <c r="R726" s="4394">
        <f t="shared" si="220"/>
        <v>0</v>
      </c>
      <c r="S726" s="4394">
        <f t="shared" si="220"/>
        <v>0</v>
      </c>
      <c r="T726" s="4394">
        <f t="shared" si="220"/>
        <v>0</v>
      </c>
      <c r="U726" s="4394">
        <f t="shared" si="220"/>
        <v>0</v>
      </c>
      <c r="V726" s="4394">
        <f t="shared" si="220"/>
        <v>0</v>
      </c>
      <c r="W726" s="4394">
        <f t="shared" si="220"/>
        <v>0</v>
      </c>
      <c r="X726" s="4394">
        <f t="shared" si="220"/>
        <v>0</v>
      </c>
      <c r="Y726" s="4394">
        <f t="shared" si="220"/>
        <v>0</v>
      </c>
      <c r="Z726" s="4097"/>
    </row>
    <row r="727" spans="2:27" s="4148" customFormat="1" x14ac:dyDescent="0.25">
      <c r="B727" s="4390"/>
      <c r="C727" s="4390" t="s">
        <v>543</v>
      </c>
      <c r="D727" s="4396"/>
      <c r="E727" s="4397"/>
      <c r="F727" s="4397"/>
      <c r="G727" s="4397"/>
      <c r="H727" s="4397"/>
      <c r="I727" s="4397"/>
      <c r="J727" s="4397"/>
      <c r="K727" s="4397"/>
      <c r="L727" s="4397"/>
      <c r="M727" s="4398"/>
      <c r="O727" s="4390" t="s">
        <v>543</v>
      </c>
      <c r="P727" s="4396"/>
      <c r="Q727" s="4397"/>
      <c r="R727" s="4397"/>
      <c r="S727" s="4397"/>
      <c r="T727" s="4397"/>
      <c r="U727" s="4397"/>
      <c r="V727" s="4397"/>
      <c r="W727" s="4397"/>
      <c r="X727" s="4397"/>
      <c r="Y727" s="4398"/>
      <c r="Z727" s="4097"/>
    </row>
    <row r="728" spans="2:27" s="4148" customFormat="1" x14ac:dyDescent="0.25">
      <c r="B728" s="1654"/>
      <c r="C728" s="1654" t="s">
        <v>540</v>
      </c>
      <c r="D728" s="4400">
        <f>D716+D720+D724</f>
        <v>1.4133333333333336</v>
      </c>
      <c r="E728" s="4401">
        <f t="shared" ref="E728:M728" si="221">E716+E720+E724</f>
        <v>1.4345333333333334</v>
      </c>
      <c r="F728" s="4401">
        <f t="shared" si="221"/>
        <v>1.4563693333333336</v>
      </c>
      <c r="G728" s="4401">
        <f t="shared" si="221"/>
        <v>17.201518364333332</v>
      </c>
      <c r="H728" s="4401">
        <f t="shared" si="221"/>
        <v>17.470973915263336</v>
      </c>
      <c r="I728" s="4401">
        <f t="shared" si="221"/>
        <v>0</v>
      </c>
      <c r="J728" s="4401">
        <f t="shared" si="221"/>
        <v>0</v>
      </c>
      <c r="K728" s="4401">
        <f t="shared" si="221"/>
        <v>0</v>
      </c>
      <c r="L728" s="4401">
        <f t="shared" si="221"/>
        <v>0</v>
      </c>
      <c r="M728" s="4401">
        <f t="shared" si="221"/>
        <v>0</v>
      </c>
      <c r="O728" s="1654" t="s">
        <v>546</v>
      </c>
      <c r="P728" s="4400">
        <f t="shared" ref="P728:Y728" si="222">P716+P720+P724</f>
        <v>0</v>
      </c>
      <c r="Q728" s="4401">
        <f t="shared" si="222"/>
        <v>0</v>
      </c>
      <c r="R728" s="4401">
        <f t="shared" si="222"/>
        <v>0</v>
      </c>
      <c r="S728" s="4401">
        <f t="shared" si="222"/>
        <v>0</v>
      </c>
      <c r="T728" s="4401">
        <f t="shared" si="222"/>
        <v>0</v>
      </c>
      <c r="U728" s="4401">
        <f t="shared" si="222"/>
        <v>0</v>
      </c>
      <c r="V728" s="4401">
        <f t="shared" si="222"/>
        <v>0</v>
      </c>
      <c r="W728" s="4401">
        <f t="shared" si="222"/>
        <v>0</v>
      </c>
      <c r="X728" s="4401">
        <f t="shared" si="222"/>
        <v>0</v>
      </c>
      <c r="Y728" s="4401">
        <f t="shared" si="222"/>
        <v>0</v>
      </c>
      <c r="Z728" s="4097"/>
    </row>
    <row r="729" spans="2:27" s="4148" customFormat="1" x14ac:dyDescent="0.25">
      <c r="B729" s="1654"/>
      <c r="C729" s="1654" t="s">
        <v>541</v>
      </c>
      <c r="D729" s="4400">
        <f>D717+D721+D725</f>
        <v>10.830114687146667</v>
      </c>
      <c r="E729" s="4401">
        <f t="shared" ref="E729:M729" si="223">E717+E721+E725</f>
        <v>25.5491859412992</v>
      </c>
      <c r="F729" s="4401">
        <f t="shared" si="223"/>
        <v>33.155764628951168</v>
      </c>
      <c r="G729" s="4401">
        <f t="shared" si="223"/>
        <v>34.723580526609219</v>
      </c>
      <c r="H729" s="4401">
        <f t="shared" si="223"/>
        <v>36.366188325798589</v>
      </c>
      <c r="I729" s="4401">
        <f t="shared" si="223"/>
        <v>38.087183665861787</v>
      </c>
      <c r="J729" s="4401">
        <f t="shared" si="223"/>
        <v>39.890336209879074</v>
      </c>
      <c r="K729" s="4401">
        <f t="shared" si="223"/>
        <v>41.779598115526191</v>
      </c>
      <c r="L729" s="4401">
        <f t="shared" si="223"/>
        <v>43.759112920261785</v>
      </c>
      <c r="M729" s="4401">
        <f t="shared" si="223"/>
        <v>45.833224861192541</v>
      </c>
      <c r="O729" s="1654" t="s">
        <v>493</v>
      </c>
      <c r="P729" s="4400">
        <f t="shared" ref="P729:Y729" si="224">P717+P721+P725</f>
        <v>0</v>
      </c>
      <c r="Q729" s="4401">
        <f t="shared" si="224"/>
        <v>0</v>
      </c>
      <c r="R729" s="4401">
        <f t="shared" si="224"/>
        <v>0</v>
      </c>
      <c r="S729" s="4401">
        <f t="shared" si="224"/>
        <v>0</v>
      </c>
      <c r="T729" s="4401">
        <f t="shared" si="224"/>
        <v>0</v>
      </c>
      <c r="U729" s="4401">
        <f t="shared" si="224"/>
        <v>0</v>
      </c>
      <c r="V729" s="4401">
        <f t="shared" si="224"/>
        <v>0</v>
      </c>
      <c r="W729" s="4401">
        <f t="shared" si="224"/>
        <v>0</v>
      </c>
      <c r="X729" s="4401">
        <f t="shared" si="224"/>
        <v>0</v>
      </c>
      <c r="Y729" s="4401">
        <f t="shared" si="224"/>
        <v>0</v>
      </c>
      <c r="Z729" s="4097"/>
    </row>
    <row r="730" spans="2:27" s="4148" customFormat="1" x14ac:dyDescent="0.25">
      <c r="B730" s="1654"/>
      <c r="C730" s="1654" t="s">
        <v>544</v>
      </c>
      <c r="D730" s="4400">
        <f>D728-D729</f>
        <v>-9.4167813538133327</v>
      </c>
      <c r="E730" s="4401">
        <f t="shared" ref="E730:M730" si="225">E728-E729</f>
        <v>-24.114652607965866</v>
      </c>
      <c r="F730" s="4401">
        <f t="shared" si="225"/>
        <v>-31.699395295617833</v>
      </c>
      <c r="G730" s="4401">
        <f t="shared" si="225"/>
        <v>-17.522062162275887</v>
      </c>
      <c r="H730" s="4401">
        <f t="shared" si="225"/>
        <v>-18.895214410535253</v>
      </c>
      <c r="I730" s="4401">
        <f t="shared" si="225"/>
        <v>-38.087183665861787</v>
      </c>
      <c r="J730" s="4401">
        <f t="shared" si="225"/>
        <v>-39.890336209879074</v>
      </c>
      <c r="K730" s="4401">
        <f t="shared" si="225"/>
        <v>-41.779598115526191</v>
      </c>
      <c r="L730" s="4401">
        <f t="shared" si="225"/>
        <v>-43.759112920261785</v>
      </c>
      <c r="M730" s="4401">
        <f t="shared" si="225"/>
        <v>-45.833224861192541</v>
      </c>
      <c r="O730" s="1654" t="s">
        <v>544</v>
      </c>
      <c r="P730" s="4400">
        <f t="shared" ref="P730:Y730" si="226">P728-P729</f>
        <v>0</v>
      </c>
      <c r="Q730" s="4401">
        <f t="shared" si="226"/>
        <v>0</v>
      </c>
      <c r="R730" s="4401">
        <f t="shared" si="226"/>
        <v>0</v>
      </c>
      <c r="S730" s="4401">
        <f t="shared" si="226"/>
        <v>0</v>
      </c>
      <c r="T730" s="4401">
        <f t="shared" si="226"/>
        <v>0</v>
      </c>
      <c r="U730" s="4401">
        <f t="shared" si="226"/>
        <v>0</v>
      </c>
      <c r="V730" s="4401">
        <f t="shared" si="226"/>
        <v>0</v>
      </c>
      <c r="W730" s="4401">
        <f t="shared" si="226"/>
        <v>0</v>
      </c>
      <c r="X730" s="4401">
        <f t="shared" si="226"/>
        <v>0</v>
      </c>
      <c r="Y730" s="4401">
        <f t="shared" si="226"/>
        <v>0</v>
      </c>
      <c r="Z730" s="4097"/>
    </row>
    <row r="731" spans="2:27" x14ac:dyDescent="0.25">
      <c r="D731" s="4402"/>
      <c r="E731" s="4071"/>
      <c r="Z731" s="4097"/>
    </row>
    <row r="732" spans="2:27" x14ac:dyDescent="0.25">
      <c r="D732" s="4406"/>
      <c r="Z732" s="4097"/>
    </row>
    <row r="733" spans="2:27" s="4093" customFormat="1" ht="23.25" x14ac:dyDescent="0.25">
      <c r="B733" s="4089"/>
      <c r="C733" s="4090" t="s">
        <v>608</v>
      </c>
      <c r="D733" s="4227"/>
      <c r="E733" s="4092"/>
      <c r="F733" s="4092"/>
      <c r="G733" s="4092"/>
      <c r="H733" s="4092"/>
      <c r="I733" s="4092"/>
      <c r="J733" s="4092"/>
      <c r="K733" s="4092"/>
      <c r="L733" s="4092"/>
      <c r="M733" s="4092"/>
      <c r="N733" s="4092"/>
      <c r="O733" s="4092"/>
      <c r="P733" s="4092"/>
      <c r="Q733" s="4092"/>
      <c r="R733" s="4092"/>
      <c r="S733" s="4092"/>
      <c r="T733" s="4092"/>
      <c r="U733" s="4092"/>
      <c r="V733" s="4092"/>
      <c r="W733" s="4092"/>
      <c r="X733" s="4092"/>
      <c r="Y733" s="4092"/>
      <c r="Z733" s="4097"/>
    </row>
    <row r="734" spans="2:27" s="4097" customFormat="1" ht="21" x14ac:dyDescent="0.25">
      <c r="B734" s="4094"/>
      <c r="C734" s="4095" t="s">
        <v>539</v>
      </c>
      <c r="D734" s="4386"/>
      <c r="E734" s="1647"/>
      <c r="F734" s="1647"/>
      <c r="G734" s="1647"/>
      <c r="H734" s="1647"/>
      <c r="I734" s="1647"/>
      <c r="J734" s="1647"/>
      <c r="K734" s="1647"/>
      <c r="L734" s="1647"/>
      <c r="M734" s="1647"/>
      <c r="N734" s="1647"/>
      <c r="O734" s="4095" t="s">
        <v>1202</v>
      </c>
      <c r="P734" s="4386"/>
      <c r="Q734" s="4386"/>
      <c r="R734" s="1647"/>
      <c r="S734" s="1647"/>
      <c r="T734" s="1647"/>
      <c r="U734" s="1647"/>
      <c r="V734" s="1647"/>
      <c r="W734" s="1647"/>
      <c r="X734" s="1647"/>
      <c r="Y734" s="1647"/>
      <c r="AA734" s="4093"/>
    </row>
    <row r="735" spans="2:27" x14ac:dyDescent="0.25">
      <c r="B735" s="4098" t="s">
        <v>3</v>
      </c>
      <c r="C735" s="4098" t="s">
        <v>4</v>
      </c>
      <c r="D735" s="4388">
        <f>'Financial Projections'!K$97</f>
        <v>2015</v>
      </c>
      <c r="E735" s="4389">
        <f>'Financial Projections'!L$97</f>
        <v>2016</v>
      </c>
      <c r="F735" s="4389">
        <f>'Financial Projections'!M$97</f>
        <v>2017</v>
      </c>
      <c r="G735" s="4389">
        <f>'Financial Projections'!N$97</f>
        <v>2018</v>
      </c>
      <c r="H735" s="4389">
        <f>'Financial Projections'!O$97</f>
        <v>2019</v>
      </c>
      <c r="I735" s="4389">
        <f>'Financial Projections'!P$97</f>
        <v>2020</v>
      </c>
      <c r="J735" s="4389">
        <f>'Financial Projections'!Q$97</f>
        <v>2021</v>
      </c>
      <c r="K735" s="4389">
        <f>'Financial Projections'!R$97</f>
        <v>2022</v>
      </c>
      <c r="L735" s="4389">
        <f>'Financial Projections'!S$97</f>
        <v>2023</v>
      </c>
      <c r="M735" s="4389">
        <f>'Financial Projections'!T$97</f>
        <v>2024</v>
      </c>
      <c r="O735" s="4098" t="s">
        <v>1200</v>
      </c>
      <c r="P735" s="4388">
        <f t="shared" ref="P735:Y735" si="227">P714</f>
        <v>2015</v>
      </c>
      <c r="Q735" s="4389">
        <f t="shared" si="227"/>
        <v>2016</v>
      </c>
      <c r="R735" s="4389">
        <f t="shared" si="227"/>
        <v>2017</v>
      </c>
      <c r="S735" s="4389">
        <f t="shared" si="227"/>
        <v>2018</v>
      </c>
      <c r="T735" s="4389">
        <f t="shared" si="227"/>
        <v>2019</v>
      </c>
      <c r="U735" s="4389">
        <f t="shared" si="227"/>
        <v>2020</v>
      </c>
      <c r="V735" s="4389">
        <f t="shared" si="227"/>
        <v>2021</v>
      </c>
      <c r="W735" s="4389">
        <f t="shared" si="227"/>
        <v>2022</v>
      </c>
      <c r="X735" s="4389">
        <f t="shared" si="227"/>
        <v>2023</v>
      </c>
      <c r="Y735" s="4389">
        <f t="shared" si="227"/>
        <v>2024</v>
      </c>
      <c r="Z735" s="4097"/>
      <c r="AA735" s="4093"/>
    </row>
    <row r="736" spans="2:27" s="4148" customFormat="1" x14ac:dyDescent="0.25">
      <c r="B736" s="4390"/>
      <c r="C736" s="4390" t="s">
        <v>181</v>
      </c>
      <c r="D736" s="4403"/>
      <c r="E736" s="4404"/>
      <c r="F736" s="4404"/>
      <c r="G736" s="4404"/>
      <c r="H736" s="4404"/>
      <c r="I736" s="4404"/>
      <c r="J736" s="4404"/>
      <c r="K736" s="4404"/>
      <c r="L736" s="4404"/>
      <c r="M736" s="4405"/>
      <c r="O736" s="4193" t="s">
        <v>1910</v>
      </c>
      <c r="P736" s="4407">
        <f>SUM('Financial Projections'!K80:K82)</f>
        <v>946.58358389581349</v>
      </c>
      <c r="Q736" s="4407">
        <f>SUM('Financial Projections'!L80:L82)</f>
        <v>972.55890127004636</v>
      </c>
      <c r="R736" s="4407">
        <f>SUM('Financial Projections'!M80:M82)</f>
        <v>1012.3960302356001</v>
      </c>
      <c r="S736" s="4407">
        <f>SUM('Financial Projections'!N80:N82)</f>
        <v>1058.5206296844885</v>
      </c>
      <c r="T736" s="4407">
        <f>SUM('Financial Projections'!O80:O82)</f>
        <v>1108.1938654978005</v>
      </c>
      <c r="U736" s="4407">
        <f>SUM('Financial Projections'!P80:P82)</f>
        <v>1160.4893023576205</v>
      </c>
      <c r="V736" s="4407">
        <f>SUM('Financial Projections'!Q80:Q82)</f>
        <v>1215.1513120803172</v>
      </c>
      <c r="W736" s="4407">
        <f>SUM('Financial Projections'!R80:R82)</f>
        <v>1272.1227155401864</v>
      </c>
      <c r="X736" s="4407">
        <f>SUM('Financial Projections'!S80:S82)</f>
        <v>1331.451789312104</v>
      </c>
      <c r="Y736" s="4407">
        <f>SUM('Financial Projections'!T80:T82)</f>
        <v>1393.2228083875889</v>
      </c>
      <c r="Z736" s="4097"/>
    </row>
    <row r="737" spans="2:26" x14ac:dyDescent="0.25">
      <c r="B737" s="1632"/>
      <c r="C737" s="1632" t="s">
        <v>540</v>
      </c>
      <c r="D737" s="4274">
        <f>'Financial Projections'!K25</f>
        <v>0</v>
      </c>
      <c r="E737" s="4394">
        <f>'Financial Projections'!L25</f>
        <v>0</v>
      </c>
      <c r="F737" s="4394">
        <f>'Financial Projections'!M25</f>
        <v>0</v>
      </c>
      <c r="G737" s="4394">
        <f>'Financial Projections'!N25</f>
        <v>0</v>
      </c>
      <c r="H737" s="4394">
        <f>'Financial Projections'!O25</f>
        <v>0</v>
      </c>
      <c r="I737" s="4394">
        <f>'Financial Projections'!P25</f>
        <v>0</v>
      </c>
      <c r="J737" s="4394">
        <f>'Financial Projections'!Q25</f>
        <v>0</v>
      </c>
      <c r="K737" s="4394">
        <f>'Financial Projections'!R25</f>
        <v>0</v>
      </c>
      <c r="L737" s="4394">
        <f>'Financial Projections'!S25</f>
        <v>0</v>
      </c>
      <c r="M737" s="4394">
        <f>'Financial Projections'!T25</f>
        <v>0</v>
      </c>
      <c r="N737" s="4070"/>
      <c r="O737" s="4193" t="s">
        <v>1911</v>
      </c>
      <c r="P737" s="4407">
        <f>'Financial Projections'!K84</f>
        <v>951.08998933549185</v>
      </c>
      <c r="Q737" s="4407">
        <f>'Financial Projections'!L84</f>
        <v>972.55890127004636</v>
      </c>
      <c r="R737" s="4407">
        <f>'Financial Projections'!M84</f>
        <v>1012.3960302356001</v>
      </c>
      <c r="S737" s="4407">
        <f>'Financial Projections'!N84</f>
        <v>1058.5206296844885</v>
      </c>
      <c r="T737" s="4407">
        <f>'Financial Projections'!O84</f>
        <v>1108.1938654978005</v>
      </c>
      <c r="U737" s="4407">
        <f>'Financial Projections'!P84</f>
        <v>1160.4893023576205</v>
      </c>
      <c r="V737" s="4407">
        <f>'Financial Projections'!Q84</f>
        <v>1215.1513120803172</v>
      </c>
      <c r="W737" s="4407">
        <f>'Financial Projections'!R84</f>
        <v>1272.1227155401864</v>
      </c>
      <c r="X737" s="4407">
        <f>'Financial Projections'!S84</f>
        <v>1331.451789312104</v>
      </c>
      <c r="Y737" s="4407">
        <f>'Financial Projections'!T84</f>
        <v>1393.2228083875889</v>
      </c>
      <c r="Z737" s="4097"/>
    </row>
    <row r="738" spans="2:26" x14ac:dyDescent="0.25">
      <c r="B738" s="1632"/>
      <c r="C738" s="1632" t="s">
        <v>541</v>
      </c>
      <c r="D738" s="4274">
        <f>D717</f>
        <v>0</v>
      </c>
      <c r="E738" s="4394">
        <f t="shared" ref="E738:M738" si="228">E717</f>
        <v>0</v>
      </c>
      <c r="F738" s="4394">
        <f t="shared" si="228"/>
        <v>0</v>
      </c>
      <c r="G738" s="4394">
        <f t="shared" si="228"/>
        <v>0</v>
      </c>
      <c r="H738" s="4394">
        <f t="shared" si="228"/>
        <v>0</v>
      </c>
      <c r="I738" s="4394">
        <f t="shared" si="228"/>
        <v>0</v>
      </c>
      <c r="J738" s="4394">
        <f t="shared" si="228"/>
        <v>0</v>
      </c>
      <c r="K738" s="4394">
        <f t="shared" si="228"/>
        <v>0</v>
      </c>
      <c r="L738" s="4394">
        <f t="shared" si="228"/>
        <v>0</v>
      </c>
      <c r="M738" s="4394">
        <f t="shared" si="228"/>
        <v>0</v>
      </c>
      <c r="N738" s="4070"/>
      <c r="O738" s="4193" t="s">
        <v>1912</v>
      </c>
      <c r="P738" s="4407">
        <f>'Financing Plan'!X84</f>
        <v>920</v>
      </c>
      <c r="Q738" s="4407">
        <f>'Financing Plan'!Y84</f>
        <v>961</v>
      </c>
      <c r="R738" s="4407">
        <f>'Financing Plan'!Z84</f>
        <v>1003</v>
      </c>
      <c r="S738" s="4407">
        <f>'Financing Plan'!AA84</f>
        <v>1047</v>
      </c>
      <c r="T738" s="4407">
        <f>'Financing Plan'!AB84</f>
        <v>1094</v>
      </c>
      <c r="U738" s="4407">
        <f>'Financing Plan'!AC84</f>
        <v>1142</v>
      </c>
      <c r="V738" s="4407">
        <f>'Financing Plan'!AD84</f>
        <v>1193</v>
      </c>
      <c r="W738" s="4407">
        <f>'Financing Plan'!AE84</f>
        <v>1246</v>
      </c>
      <c r="X738" s="4407">
        <f>'Financing Plan'!AF84</f>
        <v>1302</v>
      </c>
      <c r="Y738" s="4407">
        <f>'Financing Plan'!AG84</f>
        <v>1360</v>
      </c>
    </row>
    <row r="739" spans="2:26" x14ac:dyDescent="0.25">
      <c r="B739" s="1632"/>
      <c r="C739" s="1632" t="s">
        <v>544</v>
      </c>
      <c r="D739" s="4274">
        <f t="shared" ref="D739:M739" si="229">D737-D738</f>
        <v>0</v>
      </c>
      <c r="E739" s="4394">
        <f t="shared" si="229"/>
        <v>0</v>
      </c>
      <c r="F739" s="4394">
        <f t="shared" si="229"/>
        <v>0</v>
      </c>
      <c r="G739" s="4394">
        <f t="shared" si="229"/>
        <v>0</v>
      </c>
      <c r="H739" s="4394">
        <f t="shared" si="229"/>
        <v>0</v>
      </c>
      <c r="I739" s="4394">
        <f t="shared" si="229"/>
        <v>0</v>
      </c>
      <c r="J739" s="4394">
        <f t="shared" si="229"/>
        <v>0</v>
      </c>
      <c r="K739" s="4394">
        <f t="shared" si="229"/>
        <v>0</v>
      </c>
      <c r="L739" s="4394">
        <f t="shared" si="229"/>
        <v>0</v>
      </c>
      <c r="M739" s="4394">
        <f t="shared" si="229"/>
        <v>0</v>
      </c>
      <c r="N739" s="4070"/>
    </row>
    <row r="740" spans="2:26" s="4148" customFormat="1" x14ac:dyDescent="0.25">
      <c r="B740" s="4390"/>
      <c r="C740" s="4390" t="s">
        <v>182</v>
      </c>
      <c r="D740" s="4396"/>
      <c r="E740" s="4397"/>
      <c r="F740" s="4397"/>
      <c r="G740" s="4397"/>
      <c r="H740" s="4397"/>
      <c r="I740" s="4397"/>
      <c r="J740" s="4397"/>
      <c r="K740" s="4397"/>
      <c r="L740" s="4397"/>
      <c r="M740" s="4398"/>
      <c r="O740" s="4071"/>
      <c r="P740" s="4071"/>
      <c r="Q740" s="4070"/>
      <c r="R740" s="4070"/>
      <c r="S740" s="4070"/>
    </row>
    <row r="741" spans="2:26" x14ac:dyDescent="0.25">
      <c r="B741" s="1632"/>
      <c r="C741" s="1632" t="s">
        <v>540</v>
      </c>
      <c r="D741" s="4274">
        <f>'Financial Projections'!K44</f>
        <v>1.4133333333333336</v>
      </c>
      <c r="E741" s="4394">
        <f>'Financial Projections'!L44</f>
        <v>1.4345333333333334</v>
      </c>
      <c r="F741" s="4394">
        <f>'Financial Projections'!M44</f>
        <v>1.4563693333333336</v>
      </c>
      <c r="G741" s="4394">
        <f>'Financial Projections'!N44</f>
        <v>18.845451697666668</v>
      </c>
      <c r="H741" s="4394">
        <f>'Financial Projections'!O44</f>
        <v>19.114907248596666</v>
      </c>
      <c r="I741" s="4394">
        <f>'Financial Projections'!P44</f>
        <v>0</v>
      </c>
      <c r="J741" s="4394">
        <f>'Financial Projections'!Q44</f>
        <v>0</v>
      </c>
      <c r="K741" s="4394">
        <f>'Financial Projections'!R44</f>
        <v>0</v>
      </c>
      <c r="L741" s="4394">
        <f>'Financial Projections'!S44</f>
        <v>0</v>
      </c>
      <c r="M741" s="4394">
        <f>'Financial Projections'!T44</f>
        <v>0</v>
      </c>
      <c r="N741" s="4070"/>
    </row>
    <row r="742" spans="2:26" x14ac:dyDescent="0.25">
      <c r="B742" s="1632"/>
      <c r="C742" s="1632" t="s">
        <v>541</v>
      </c>
      <c r="D742" s="4274">
        <f>D721</f>
        <v>10.830114687146667</v>
      </c>
      <c r="E742" s="4394">
        <f t="shared" ref="E742:M742" si="230">E721</f>
        <v>25.5491859412992</v>
      </c>
      <c r="F742" s="4394">
        <f t="shared" si="230"/>
        <v>33.155764628951168</v>
      </c>
      <c r="G742" s="4394">
        <f t="shared" si="230"/>
        <v>34.723580526609219</v>
      </c>
      <c r="H742" s="4394">
        <f t="shared" si="230"/>
        <v>36.366188325798589</v>
      </c>
      <c r="I742" s="4394">
        <f t="shared" si="230"/>
        <v>38.087183665861787</v>
      </c>
      <c r="J742" s="4394">
        <f t="shared" si="230"/>
        <v>39.890336209879074</v>
      </c>
      <c r="K742" s="4394">
        <f t="shared" si="230"/>
        <v>41.779598115526191</v>
      </c>
      <c r="L742" s="4394">
        <f t="shared" si="230"/>
        <v>43.759112920261785</v>
      </c>
      <c r="M742" s="4394">
        <f t="shared" si="230"/>
        <v>45.833224861192541</v>
      </c>
      <c r="N742" s="4070"/>
    </row>
    <row r="743" spans="2:26" x14ac:dyDescent="0.25">
      <c r="B743" s="1632"/>
      <c r="C743" s="1632" t="s">
        <v>544</v>
      </c>
      <c r="D743" s="4274">
        <f t="shared" ref="D743:M743" si="231">D741-D742</f>
        <v>-9.4167813538133327</v>
      </c>
      <c r="E743" s="4394">
        <f t="shared" si="231"/>
        <v>-24.114652607965866</v>
      </c>
      <c r="F743" s="4394">
        <f t="shared" si="231"/>
        <v>-31.699395295617833</v>
      </c>
      <c r="G743" s="4394">
        <f t="shared" si="231"/>
        <v>-15.87812882894255</v>
      </c>
      <c r="H743" s="4394">
        <f t="shared" si="231"/>
        <v>-17.251281077201924</v>
      </c>
      <c r="I743" s="4394">
        <f t="shared" si="231"/>
        <v>-38.087183665861787</v>
      </c>
      <c r="J743" s="4394">
        <f t="shared" si="231"/>
        <v>-39.890336209879074</v>
      </c>
      <c r="K743" s="4394">
        <f t="shared" si="231"/>
        <v>-41.779598115526191</v>
      </c>
      <c r="L743" s="4394">
        <f t="shared" si="231"/>
        <v>-43.759112920261785</v>
      </c>
      <c r="M743" s="4394">
        <f t="shared" si="231"/>
        <v>-45.833224861192541</v>
      </c>
      <c r="N743" s="4070"/>
    </row>
    <row r="744" spans="2:26" s="4148" customFormat="1" x14ac:dyDescent="0.25">
      <c r="B744" s="4390"/>
      <c r="C744" s="4390" t="s">
        <v>183</v>
      </c>
      <c r="D744" s="4396"/>
      <c r="E744" s="4397"/>
      <c r="F744" s="4397"/>
      <c r="G744" s="4397"/>
      <c r="H744" s="4397"/>
      <c r="I744" s="4397"/>
      <c r="J744" s="4397"/>
      <c r="K744" s="4397"/>
      <c r="L744" s="4397"/>
      <c r="M744" s="4398"/>
      <c r="O744" s="4071"/>
      <c r="P744" s="4071"/>
      <c r="Q744" s="4070"/>
      <c r="R744" s="4070"/>
      <c r="S744" s="4070"/>
    </row>
    <row r="745" spans="2:26" x14ac:dyDescent="0.25">
      <c r="B745" s="1632"/>
      <c r="C745" s="1632" t="s">
        <v>540</v>
      </c>
      <c r="D745" s="4274">
        <f>'Financial Projections'!K63</f>
        <v>0</v>
      </c>
      <c r="E745" s="4394">
        <f>'Financial Projections'!L63</f>
        <v>0</v>
      </c>
      <c r="F745" s="4394">
        <f>'Financial Projections'!M63</f>
        <v>0</v>
      </c>
      <c r="G745" s="4394">
        <f>'Financial Projections'!N63</f>
        <v>0</v>
      </c>
      <c r="H745" s="4394">
        <f>'Financial Projections'!O63</f>
        <v>0</v>
      </c>
      <c r="I745" s="4394">
        <f>'Financial Projections'!P63</f>
        <v>0</v>
      </c>
      <c r="J745" s="4394">
        <f>'Financial Projections'!Q63</f>
        <v>0</v>
      </c>
      <c r="K745" s="4394">
        <f>'Financial Projections'!R63</f>
        <v>0</v>
      </c>
      <c r="L745" s="4394">
        <f>'Financial Projections'!S63</f>
        <v>0</v>
      </c>
      <c r="M745" s="4394">
        <f>'Financial Projections'!T63</f>
        <v>0</v>
      </c>
      <c r="N745" s="4070"/>
    </row>
    <row r="746" spans="2:26" x14ac:dyDescent="0.25">
      <c r="B746" s="1632"/>
      <c r="C746" s="1632" t="s">
        <v>541</v>
      </c>
      <c r="D746" s="4274">
        <f>D725</f>
        <v>0</v>
      </c>
      <c r="E746" s="4394">
        <f t="shared" ref="E746:M746" si="232">E725</f>
        <v>0</v>
      </c>
      <c r="F746" s="4394">
        <f t="shared" si="232"/>
        <v>0</v>
      </c>
      <c r="G746" s="4394">
        <f t="shared" si="232"/>
        <v>0</v>
      </c>
      <c r="H746" s="4394">
        <f t="shared" si="232"/>
        <v>0</v>
      </c>
      <c r="I746" s="4394">
        <f t="shared" si="232"/>
        <v>0</v>
      </c>
      <c r="J746" s="4394">
        <f t="shared" si="232"/>
        <v>0</v>
      </c>
      <c r="K746" s="4394">
        <f t="shared" si="232"/>
        <v>0</v>
      </c>
      <c r="L746" s="4394">
        <f t="shared" si="232"/>
        <v>0</v>
      </c>
      <c r="M746" s="4394">
        <f t="shared" si="232"/>
        <v>0</v>
      </c>
      <c r="N746" s="4070"/>
    </row>
    <row r="747" spans="2:26" x14ac:dyDescent="0.25">
      <c r="B747" s="1632"/>
      <c r="C747" s="1632" t="s">
        <v>544</v>
      </c>
      <c r="D747" s="4274">
        <f t="shared" ref="D747:M747" si="233">D745-D746</f>
        <v>0</v>
      </c>
      <c r="E747" s="4394">
        <f t="shared" si="233"/>
        <v>0</v>
      </c>
      <c r="F747" s="4394">
        <f t="shared" si="233"/>
        <v>0</v>
      </c>
      <c r="G747" s="4394">
        <f t="shared" si="233"/>
        <v>0</v>
      </c>
      <c r="H747" s="4394">
        <f t="shared" si="233"/>
        <v>0</v>
      </c>
      <c r="I747" s="4394">
        <f t="shared" si="233"/>
        <v>0</v>
      </c>
      <c r="J747" s="4394">
        <f t="shared" si="233"/>
        <v>0</v>
      </c>
      <c r="K747" s="4394">
        <f t="shared" si="233"/>
        <v>0</v>
      </c>
      <c r="L747" s="4394">
        <f t="shared" si="233"/>
        <v>0</v>
      </c>
      <c r="M747" s="4394">
        <f t="shared" si="233"/>
        <v>0</v>
      </c>
      <c r="N747" s="4070"/>
    </row>
    <row r="748" spans="2:26" s="4148" customFormat="1" x14ac:dyDescent="0.25">
      <c r="B748" s="4390"/>
      <c r="C748" s="4390" t="s">
        <v>543</v>
      </c>
      <c r="D748" s="4396"/>
      <c r="E748" s="4397"/>
      <c r="F748" s="4397"/>
      <c r="G748" s="4397"/>
      <c r="H748" s="4397"/>
      <c r="I748" s="4397"/>
      <c r="J748" s="4397"/>
      <c r="K748" s="4397"/>
      <c r="L748" s="4397"/>
      <c r="M748" s="4398"/>
      <c r="O748" s="4071"/>
      <c r="P748" s="4071"/>
      <c r="Q748" s="4070"/>
      <c r="R748" s="4070"/>
      <c r="S748" s="4070"/>
    </row>
    <row r="749" spans="2:26" s="4148" customFormat="1" x14ac:dyDescent="0.25">
      <c r="B749" s="1654"/>
      <c r="C749" s="1654" t="s">
        <v>540</v>
      </c>
      <c r="D749" s="4400">
        <f>D737+D741+D745</f>
        <v>1.4133333333333336</v>
      </c>
      <c r="E749" s="4401">
        <f t="shared" ref="E749:M749" si="234">E737+E741+E745</f>
        <v>1.4345333333333334</v>
      </c>
      <c r="F749" s="4401">
        <f t="shared" si="234"/>
        <v>1.4563693333333336</v>
      </c>
      <c r="G749" s="4401">
        <f t="shared" si="234"/>
        <v>18.845451697666668</v>
      </c>
      <c r="H749" s="4401">
        <f t="shared" si="234"/>
        <v>19.114907248596666</v>
      </c>
      <c r="I749" s="4401">
        <f t="shared" si="234"/>
        <v>0</v>
      </c>
      <c r="J749" s="4401">
        <f t="shared" si="234"/>
        <v>0</v>
      </c>
      <c r="K749" s="4401">
        <f t="shared" si="234"/>
        <v>0</v>
      </c>
      <c r="L749" s="4401">
        <f t="shared" si="234"/>
        <v>0</v>
      </c>
      <c r="M749" s="4401">
        <f t="shared" si="234"/>
        <v>0</v>
      </c>
      <c r="O749" s="4071"/>
      <c r="P749" s="4071"/>
      <c r="Q749" s="4070"/>
      <c r="R749" s="4070"/>
      <c r="S749" s="4070"/>
    </row>
    <row r="750" spans="2:26" s="4148" customFormat="1" x14ac:dyDescent="0.25">
      <c r="B750" s="1654"/>
      <c r="C750" s="1654" t="s">
        <v>541</v>
      </c>
      <c r="D750" s="4400">
        <f>D738+D742+D746</f>
        <v>10.830114687146667</v>
      </c>
      <c r="E750" s="4401">
        <f t="shared" ref="E750:M750" si="235">E738+E742+E746</f>
        <v>25.5491859412992</v>
      </c>
      <c r="F750" s="4401">
        <f t="shared" si="235"/>
        <v>33.155764628951168</v>
      </c>
      <c r="G750" s="4401">
        <f t="shared" si="235"/>
        <v>34.723580526609219</v>
      </c>
      <c r="H750" s="4401">
        <f t="shared" si="235"/>
        <v>36.366188325798589</v>
      </c>
      <c r="I750" s="4401">
        <f t="shared" si="235"/>
        <v>38.087183665861787</v>
      </c>
      <c r="J750" s="4401">
        <f t="shared" si="235"/>
        <v>39.890336209879074</v>
      </c>
      <c r="K750" s="4401">
        <f t="shared" si="235"/>
        <v>41.779598115526191</v>
      </c>
      <c r="L750" s="4401">
        <f t="shared" si="235"/>
        <v>43.759112920261785</v>
      </c>
      <c r="M750" s="4401">
        <f t="shared" si="235"/>
        <v>45.833224861192541</v>
      </c>
      <c r="O750" s="4071"/>
      <c r="P750" s="4071"/>
      <c r="Q750" s="4070"/>
      <c r="R750" s="4070"/>
      <c r="S750" s="4070"/>
    </row>
    <row r="751" spans="2:26" s="4148" customFormat="1" x14ac:dyDescent="0.25">
      <c r="B751" s="1654"/>
      <c r="C751" s="1654" t="s">
        <v>544</v>
      </c>
      <c r="D751" s="4400">
        <f>D749-D750</f>
        <v>-9.4167813538133327</v>
      </c>
      <c r="E751" s="4401">
        <f t="shared" ref="E751:M751" si="236">E749-E750</f>
        <v>-24.114652607965866</v>
      </c>
      <c r="F751" s="4401">
        <f t="shared" si="236"/>
        <v>-31.699395295617833</v>
      </c>
      <c r="G751" s="4401">
        <f t="shared" si="236"/>
        <v>-15.87812882894255</v>
      </c>
      <c r="H751" s="4401">
        <f t="shared" si="236"/>
        <v>-17.251281077201924</v>
      </c>
      <c r="I751" s="4401">
        <f t="shared" si="236"/>
        <v>-38.087183665861787</v>
      </c>
      <c r="J751" s="4401">
        <f t="shared" si="236"/>
        <v>-39.890336209879074</v>
      </c>
      <c r="K751" s="4401">
        <f t="shared" si="236"/>
        <v>-41.779598115526191</v>
      </c>
      <c r="L751" s="4401">
        <f t="shared" si="236"/>
        <v>-43.759112920261785</v>
      </c>
      <c r="M751" s="4401">
        <f t="shared" si="236"/>
        <v>-45.833224861192541</v>
      </c>
      <c r="O751" s="4071"/>
      <c r="P751" s="4071"/>
      <c r="Q751" s="4070"/>
      <c r="R751" s="4070"/>
      <c r="S751" s="4070"/>
    </row>
    <row r="752" spans="2:26" x14ac:dyDescent="0.25">
      <c r="E752" s="4071"/>
    </row>
    <row r="753" spans="2:16" s="4383" customFormat="1" x14ac:dyDescent="0.25">
      <c r="D753" s="4384"/>
      <c r="E753" s="4385"/>
    </row>
    <row r="755" spans="2:16" ht="23.25" x14ac:dyDescent="0.25">
      <c r="B755" s="4089"/>
      <c r="C755" s="4090" t="s">
        <v>1203</v>
      </c>
      <c r="D755" s="4227"/>
      <c r="E755" s="4092"/>
      <c r="F755" s="4092"/>
      <c r="G755" s="4092"/>
      <c r="H755" s="4092"/>
      <c r="I755" s="4092"/>
      <c r="J755" s="4092"/>
      <c r="K755" s="4092"/>
      <c r="L755" s="4092"/>
      <c r="M755" s="4092"/>
      <c r="N755" s="4092"/>
    </row>
    <row r="757" spans="2:16" x14ac:dyDescent="0.25">
      <c r="B757" s="4098"/>
      <c r="C757" s="4098"/>
      <c r="D757" s="4408">
        <f>E757-1</f>
        <v>2014</v>
      </c>
      <c r="E757" s="4409">
        <f t="shared" ref="E757:M757" si="237">D735</f>
        <v>2015</v>
      </c>
      <c r="F757" s="4409">
        <f t="shared" si="237"/>
        <v>2016</v>
      </c>
      <c r="G757" s="4409">
        <f t="shared" si="237"/>
        <v>2017</v>
      </c>
      <c r="H757" s="4409">
        <f t="shared" si="237"/>
        <v>2018</v>
      </c>
      <c r="I757" s="4409">
        <f t="shared" si="237"/>
        <v>2019</v>
      </c>
      <c r="J757" s="4409">
        <f t="shared" si="237"/>
        <v>2020</v>
      </c>
      <c r="K757" s="4409">
        <f t="shared" si="237"/>
        <v>2021</v>
      </c>
      <c r="L757" s="4409">
        <f t="shared" si="237"/>
        <v>2022</v>
      </c>
      <c r="M757" s="4409">
        <f t="shared" si="237"/>
        <v>2023</v>
      </c>
      <c r="N757" s="4409">
        <f>M735</f>
        <v>2024</v>
      </c>
    </row>
    <row r="758" spans="2:16" x14ac:dyDescent="0.25">
      <c r="B758" s="4193"/>
      <c r="C758" s="4193" t="s">
        <v>1188</v>
      </c>
      <c r="D758" s="4410">
        <f>'WS calcu'!E520</f>
        <v>0</v>
      </c>
      <c r="E758" s="4410">
        <f>'WS calcu'!F520</f>
        <v>0</v>
      </c>
      <c r="F758" s="4410">
        <f>'WS calcu'!G520</f>
        <v>0</v>
      </c>
      <c r="G758" s="4410">
        <f>'WS calcu'!H520</f>
        <v>0</v>
      </c>
      <c r="H758" s="4410">
        <f>'WS calcu'!I520</f>
        <v>0</v>
      </c>
      <c r="I758" s="4410">
        <f>'WS calcu'!J520</f>
        <v>0</v>
      </c>
      <c r="J758" s="4410">
        <f>'WS calcu'!K520</f>
        <v>0</v>
      </c>
      <c r="K758" s="4410">
        <f>'WS calcu'!L520</f>
        <v>0</v>
      </c>
      <c r="L758" s="4410">
        <f>'WS calcu'!M520</f>
        <v>0</v>
      </c>
      <c r="M758" s="4410">
        <f>'WS calcu'!N520</f>
        <v>0</v>
      </c>
      <c r="N758" s="4410">
        <f>'WS calcu'!O520</f>
        <v>0</v>
      </c>
    </row>
    <row r="759" spans="2:16" x14ac:dyDescent="0.25">
      <c r="B759" s="4193"/>
      <c r="C759" s="4411"/>
      <c r="D759" s="4412"/>
      <c r="E759" s="4412"/>
      <c r="F759" s="4412"/>
      <c r="G759" s="4412"/>
      <c r="H759" s="4412"/>
      <c r="I759" s="4412"/>
      <c r="J759" s="4412"/>
      <c r="K759" s="4412"/>
      <c r="L759" s="4412"/>
      <c r="M759" s="4412"/>
      <c r="N759" s="4413"/>
    </row>
    <row r="760" spans="2:16" x14ac:dyDescent="0.25">
      <c r="B760" s="4193"/>
      <c r="C760" s="4193" t="s">
        <v>1175</v>
      </c>
      <c r="D760" s="4410">
        <f>'WS calcu'!E733</f>
        <v>0</v>
      </c>
      <c r="E760" s="4410">
        <f>'WS calcu'!F733</f>
        <v>0</v>
      </c>
      <c r="F760" s="4410">
        <f>'WS calcu'!G733</f>
        <v>0</v>
      </c>
      <c r="G760" s="4410">
        <f>'WS calcu'!H733</f>
        <v>0</v>
      </c>
      <c r="H760" s="4410">
        <f>'WS calcu'!I733</f>
        <v>0</v>
      </c>
      <c r="I760" s="4410">
        <f>'WS calcu'!J733</f>
        <v>0</v>
      </c>
      <c r="J760" s="4410">
        <f>'WS calcu'!K733</f>
        <v>0</v>
      </c>
      <c r="K760" s="4410">
        <f>'WS calcu'!L733</f>
        <v>0</v>
      </c>
      <c r="L760" s="4410">
        <f>'WS calcu'!M733</f>
        <v>0</v>
      </c>
      <c r="M760" s="4410">
        <f>'WS calcu'!N733</f>
        <v>0</v>
      </c>
      <c r="N760" s="4410">
        <f>'WS calcu'!O733</f>
        <v>0</v>
      </c>
    </row>
    <row r="761" spans="2:16" x14ac:dyDescent="0.25">
      <c r="B761" s="4193"/>
      <c r="C761" s="4193" t="s">
        <v>1173</v>
      </c>
      <c r="D761" s="4073">
        <f>'WS calcu'!E485</f>
        <v>0</v>
      </c>
      <c r="E761" s="4073">
        <f>'WS calcu'!F485</f>
        <v>0</v>
      </c>
      <c r="F761" s="4073">
        <f>'WS calcu'!G485</f>
        <v>0</v>
      </c>
      <c r="G761" s="4073">
        <f>'WS calcu'!H485</f>
        <v>0</v>
      </c>
      <c r="H761" s="4073">
        <f>'WS calcu'!I485</f>
        <v>0</v>
      </c>
      <c r="I761" s="4073">
        <f>'WS calcu'!J485</f>
        <v>0</v>
      </c>
      <c r="J761" s="4073">
        <f>'WS calcu'!K485</f>
        <v>0</v>
      </c>
      <c r="K761" s="4073">
        <f>'WS calcu'!L485</f>
        <v>0</v>
      </c>
      <c r="L761" s="4073">
        <f>'WS calcu'!M485</f>
        <v>0</v>
      </c>
      <c r="M761" s="4073">
        <f>'WS calcu'!N485</f>
        <v>0</v>
      </c>
      <c r="N761" s="4073">
        <f>'WS calcu'!O485</f>
        <v>0</v>
      </c>
    </row>
    <row r="762" spans="2:16" x14ac:dyDescent="0.25">
      <c r="B762" s="4193"/>
      <c r="C762" s="4193" t="s">
        <v>1001</v>
      </c>
      <c r="D762" s="4410">
        <f>'WS calcu'!E407</f>
        <v>0</v>
      </c>
      <c r="E762" s="4410">
        <f>'WS calcu'!F407</f>
        <v>0</v>
      </c>
      <c r="F762" s="4410">
        <f>'WS calcu'!G407</f>
        <v>0</v>
      </c>
      <c r="G762" s="4410">
        <f>'WS calcu'!H407</f>
        <v>0</v>
      </c>
      <c r="H762" s="4410">
        <f>'WS calcu'!I407</f>
        <v>0</v>
      </c>
      <c r="I762" s="4410">
        <f>'WS calcu'!J407</f>
        <v>0</v>
      </c>
      <c r="J762" s="4410">
        <f>'WS calcu'!K407</f>
        <v>0</v>
      </c>
      <c r="K762" s="4410">
        <f>'WS calcu'!L407</f>
        <v>0</v>
      </c>
      <c r="L762" s="4410">
        <f>'WS calcu'!M407</f>
        <v>0</v>
      </c>
      <c r="M762" s="4410">
        <f>'WS calcu'!N407</f>
        <v>0</v>
      </c>
      <c r="N762" s="4410">
        <f>'WS calcu'!O407</f>
        <v>0</v>
      </c>
    </row>
    <row r="763" spans="2:16" x14ac:dyDescent="0.25">
      <c r="B763" s="4193"/>
      <c r="C763" s="4193" t="s">
        <v>1003</v>
      </c>
      <c r="D763" s="4410">
        <f>'WS calcu'!E529</f>
        <v>0</v>
      </c>
      <c r="E763" s="4410">
        <f>'WS calcu'!F529</f>
        <v>0</v>
      </c>
      <c r="F763" s="4410">
        <f>'WS calcu'!G529</f>
        <v>0</v>
      </c>
      <c r="G763" s="4410">
        <f>'WS calcu'!H529</f>
        <v>0</v>
      </c>
      <c r="H763" s="4410">
        <f>'WS calcu'!I529</f>
        <v>0</v>
      </c>
      <c r="I763" s="4410">
        <f>'WS calcu'!J529</f>
        <v>0</v>
      </c>
      <c r="J763" s="4410">
        <f>'WS calcu'!K529</f>
        <v>0</v>
      </c>
      <c r="K763" s="4410">
        <f>'WS calcu'!L529</f>
        <v>0</v>
      </c>
      <c r="L763" s="4410">
        <f>'WS calcu'!M529</f>
        <v>0</v>
      </c>
      <c r="M763" s="4410">
        <f>'WS calcu'!N529</f>
        <v>0</v>
      </c>
      <c r="N763" s="4410">
        <f>'WS calcu'!O529</f>
        <v>0</v>
      </c>
    </row>
    <row r="764" spans="2:16" x14ac:dyDescent="0.25">
      <c r="B764" s="4193"/>
      <c r="C764" s="4193" t="s">
        <v>475</v>
      </c>
      <c r="D764" s="4410">
        <f>'WS calcu'!E644</f>
        <v>0</v>
      </c>
      <c r="E764" s="4410">
        <f>'WS calcu'!F644</f>
        <v>0</v>
      </c>
      <c r="F764" s="4410">
        <f>'WS calcu'!G644</f>
        <v>0</v>
      </c>
      <c r="G764" s="4410">
        <f>'WS calcu'!H644</f>
        <v>0</v>
      </c>
      <c r="H764" s="4410">
        <f>'WS calcu'!I644</f>
        <v>0</v>
      </c>
      <c r="I764" s="4410">
        <f>'WS calcu'!J644</f>
        <v>0</v>
      </c>
      <c r="J764" s="4410">
        <f>'WS calcu'!K644</f>
        <v>0</v>
      </c>
      <c r="K764" s="4410">
        <f>'WS calcu'!L644</f>
        <v>0</v>
      </c>
      <c r="L764" s="4410">
        <f>'WS calcu'!M644</f>
        <v>0</v>
      </c>
      <c r="M764" s="4410">
        <f>'WS calcu'!N644</f>
        <v>0</v>
      </c>
      <c r="N764" s="4410">
        <f>'WS calcu'!O644</f>
        <v>0</v>
      </c>
    </row>
    <row r="765" spans="2:16" s="4418" customFormat="1" x14ac:dyDescent="0.25">
      <c r="B765" s="4414"/>
      <c r="C765" s="4415" t="s">
        <v>1215</v>
      </c>
      <c r="D765" s="4416">
        <f>IF(D762=0,D761+D763+D764,D762+D763+D764)</f>
        <v>0</v>
      </c>
      <c r="E765" s="4416">
        <f t="shared" ref="E765:N765" si="238">IF(E762=0,E761+E763+E764,E762+E763+E764)</f>
        <v>0</v>
      </c>
      <c r="F765" s="4416">
        <f t="shared" si="238"/>
        <v>0</v>
      </c>
      <c r="G765" s="4416">
        <f t="shared" si="238"/>
        <v>0</v>
      </c>
      <c r="H765" s="4416">
        <f t="shared" si="238"/>
        <v>0</v>
      </c>
      <c r="I765" s="4416">
        <f t="shared" si="238"/>
        <v>0</v>
      </c>
      <c r="J765" s="4416">
        <f t="shared" si="238"/>
        <v>0</v>
      </c>
      <c r="K765" s="4416">
        <f t="shared" si="238"/>
        <v>0</v>
      </c>
      <c r="L765" s="4416">
        <f t="shared" si="238"/>
        <v>0</v>
      </c>
      <c r="M765" s="4416">
        <f t="shared" si="238"/>
        <v>0</v>
      </c>
      <c r="N765" s="4416">
        <f t="shared" si="238"/>
        <v>0</v>
      </c>
      <c r="O765" s="4417"/>
      <c r="P765" s="4417"/>
    </row>
    <row r="766" spans="2:16" x14ac:dyDescent="0.25">
      <c r="B766" s="4193"/>
      <c r="C766" s="4411"/>
      <c r="D766" s="4412"/>
      <c r="E766" s="4412"/>
      <c r="F766" s="4412"/>
      <c r="G766" s="4412"/>
      <c r="H766" s="4412"/>
      <c r="I766" s="4412"/>
      <c r="J766" s="4412"/>
      <c r="K766" s="4412"/>
      <c r="L766" s="4412"/>
      <c r="M766" s="4412"/>
      <c r="N766" s="4413"/>
    </row>
    <row r="767" spans="2:16" x14ac:dyDescent="0.25">
      <c r="B767" s="4193"/>
      <c r="C767" s="4193" t="s">
        <v>1176</v>
      </c>
      <c r="D767" s="4410">
        <f>'WW calcu'!E948</f>
        <v>0</v>
      </c>
      <c r="E767" s="4410">
        <f>'WW calcu'!F948</f>
        <v>0</v>
      </c>
      <c r="F767" s="4410">
        <f>'WW calcu'!G948</f>
        <v>0</v>
      </c>
      <c r="G767" s="4410">
        <f>'WW calcu'!H948</f>
        <v>0</v>
      </c>
      <c r="H767" s="4410">
        <f>'WW calcu'!I948</f>
        <v>0</v>
      </c>
      <c r="I767" s="4410">
        <f>'WW calcu'!J948</f>
        <v>0</v>
      </c>
      <c r="J767" s="4410">
        <f>'WW calcu'!K948</f>
        <v>0</v>
      </c>
      <c r="K767" s="4410">
        <f>'WW calcu'!L948</f>
        <v>0</v>
      </c>
      <c r="L767" s="4410">
        <f>'WW calcu'!M948</f>
        <v>0</v>
      </c>
      <c r="M767" s="4410">
        <f>'WW calcu'!N948</f>
        <v>0</v>
      </c>
      <c r="N767" s="4410">
        <f>'WW calcu'!O948</f>
        <v>0</v>
      </c>
    </row>
    <row r="768" spans="2:16" x14ac:dyDescent="0.25">
      <c r="B768" s="4193"/>
      <c r="C768" s="4193" t="s">
        <v>1174</v>
      </c>
      <c r="D768" s="4410">
        <f>'WW calcu'!E871</f>
        <v>0</v>
      </c>
      <c r="E768" s="4410">
        <f>'WW calcu'!F871</f>
        <v>0</v>
      </c>
      <c r="F768" s="4410">
        <f>'WW calcu'!G871</f>
        <v>0</v>
      </c>
      <c r="G768" s="4410">
        <f>'WW calcu'!H871</f>
        <v>0</v>
      </c>
      <c r="H768" s="4410">
        <f>'WW calcu'!I871</f>
        <v>0</v>
      </c>
      <c r="I768" s="4410">
        <f>'WW calcu'!J871</f>
        <v>0</v>
      </c>
      <c r="J768" s="4410">
        <f>'WW calcu'!K871</f>
        <v>0</v>
      </c>
      <c r="K768" s="4410">
        <f>'WW calcu'!L871</f>
        <v>0</v>
      </c>
      <c r="L768" s="4410">
        <f>'WW calcu'!M871</f>
        <v>0</v>
      </c>
      <c r="M768" s="4410">
        <f>'WW calcu'!N871</f>
        <v>0</v>
      </c>
      <c r="N768" s="4410">
        <f>'WW calcu'!O871</f>
        <v>0</v>
      </c>
    </row>
    <row r="769" spans="2:16" x14ac:dyDescent="0.25">
      <c r="B769" s="4193"/>
      <c r="C769" s="4193" t="s">
        <v>476</v>
      </c>
      <c r="D769" s="4410">
        <f>'WW calcu'!E884</f>
        <v>0</v>
      </c>
      <c r="E769" s="4410">
        <f>'WW calcu'!F884</f>
        <v>0</v>
      </c>
      <c r="F769" s="4410">
        <f>'WW calcu'!G884</f>
        <v>0</v>
      </c>
      <c r="G769" s="4410">
        <f>'WW calcu'!H884</f>
        <v>0</v>
      </c>
      <c r="H769" s="4410">
        <f>'WW calcu'!I884</f>
        <v>0</v>
      </c>
      <c r="I769" s="4410">
        <f>'WW calcu'!J884</f>
        <v>0</v>
      </c>
      <c r="J769" s="4410">
        <f>'WW calcu'!K884</f>
        <v>0</v>
      </c>
      <c r="K769" s="4410">
        <f>'WW calcu'!L884</f>
        <v>0</v>
      </c>
      <c r="L769" s="4410">
        <f>'WW calcu'!M884</f>
        <v>0</v>
      </c>
      <c r="M769" s="4410">
        <f>'WW calcu'!N884</f>
        <v>0</v>
      </c>
      <c r="N769" s="4410">
        <f>'WW calcu'!O884</f>
        <v>0</v>
      </c>
    </row>
    <row r="770" spans="2:16" x14ac:dyDescent="0.25">
      <c r="B770" s="4193"/>
      <c r="C770" s="4193" t="s">
        <v>139</v>
      </c>
      <c r="D770" s="4410">
        <f>'WS calcu'!E534</f>
        <v>0</v>
      </c>
      <c r="E770" s="4410">
        <f>'WS calcu'!F534</f>
        <v>0</v>
      </c>
      <c r="F770" s="4410">
        <f>'WS calcu'!G534</f>
        <v>0</v>
      </c>
      <c r="G770" s="4410">
        <f>'WS calcu'!H534</f>
        <v>0</v>
      </c>
      <c r="H770" s="4410">
        <f>'WS calcu'!I534</f>
        <v>0</v>
      </c>
      <c r="I770" s="4410">
        <f>'WS calcu'!J534</f>
        <v>0</v>
      </c>
      <c r="J770" s="4410">
        <f>'WS calcu'!K534</f>
        <v>0</v>
      </c>
      <c r="K770" s="4410">
        <f>'WS calcu'!L534</f>
        <v>0</v>
      </c>
      <c r="L770" s="4410">
        <f>'WS calcu'!M534</f>
        <v>0</v>
      </c>
      <c r="M770" s="4410">
        <f>'WS calcu'!N534</f>
        <v>0</v>
      </c>
      <c r="N770" s="4410">
        <f>'WS calcu'!O534</f>
        <v>0</v>
      </c>
    </row>
    <row r="771" spans="2:16" x14ac:dyDescent="0.25">
      <c r="B771" s="4193"/>
      <c r="C771" s="4411"/>
      <c r="D771" s="4412"/>
      <c r="E771" s="4412"/>
      <c r="F771" s="4412"/>
      <c r="G771" s="4412"/>
      <c r="H771" s="4412"/>
      <c r="I771" s="4412"/>
      <c r="J771" s="4412"/>
      <c r="K771" s="4412"/>
      <c r="L771" s="4412"/>
      <c r="M771" s="4412"/>
      <c r="N771" s="4413"/>
    </row>
    <row r="772" spans="2:16" x14ac:dyDescent="0.25">
      <c r="B772" s="4193"/>
      <c r="C772" s="4193" t="s">
        <v>920</v>
      </c>
      <c r="D772" s="4410">
        <f>'MSW calcu'!F190</f>
        <v>0</v>
      </c>
      <c r="E772" s="4410">
        <f>'MSW calcu'!G190</f>
        <v>0</v>
      </c>
      <c r="F772" s="4410">
        <f>'MSW calcu'!H190</f>
        <v>0</v>
      </c>
      <c r="G772" s="4410">
        <f>'MSW calcu'!I190</f>
        <v>0</v>
      </c>
      <c r="H772" s="4410">
        <f>'MSW calcu'!J190</f>
        <v>0</v>
      </c>
      <c r="I772" s="4410">
        <f>'MSW calcu'!K190</f>
        <v>0</v>
      </c>
      <c r="J772" s="4410">
        <f>'MSW calcu'!L190</f>
        <v>0</v>
      </c>
      <c r="K772" s="4410">
        <f>'MSW calcu'!M190</f>
        <v>0</v>
      </c>
      <c r="L772" s="4410">
        <f>'MSW calcu'!N190</f>
        <v>0</v>
      </c>
      <c r="M772" s="4410">
        <f>'MSW calcu'!O190</f>
        <v>0</v>
      </c>
      <c r="N772" s="4410">
        <f>'MSW calcu'!P190</f>
        <v>0</v>
      </c>
    </row>
    <row r="773" spans="2:16" x14ac:dyDescent="0.25">
      <c r="B773" s="4193"/>
      <c r="C773" s="4193" t="s">
        <v>921</v>
      </c>
      <c r="D773" s="4410">
        <f>'WS calcu'!E539</f>
        <v>0</v>
      </c>
      <c r="E773" s="4410">
        <f>'WS calcu'!F539</f>
        <v>0</v>
      </c>
      <c r="F773" s="4410">
        <f>'WS calcu'!G539</f>
        <v>0</v>
      </c>
      <c r="G773" s="4410">
        <f>'WS calcu'!H539</f>
        <v>0</v>
      </c>
      <c r="H773" s="4410">
        <f>'WS calcu'!I539</f>
        <v>0</v>
      </c>
      <c r="I773" s="4410">
        <f>'WS calcu'!J539</f>
        <v>0</v>
      </c>
      <c r="J773" s="4410">
        <f>'WS calcu'!K539</f>
        <v>0</v>
      </c>
      <c r="K773" s="4410">
        <f>'WS calcu'!L539</f>
        <v>0</v>
      </c>
      <c r="L773" s="4410">
        <f>'WS calcu'!M539</f>
        <v>0</v>
      </c>
      <c r="M773" s="4410">
        <f>'WS calcu'!N539</f>
        <v>0</v>
      </c>
      <c r="N773" s="4410">
        <f>'WS calcu'!O539</f>
        <v>0</v>
      </c>
    </row>
    <row r="775" spans="2:16" s="4383" customFormat="1" x14ac:dyDescent="0.25">
      <c r="D775" s="4384"/>
      <c r="E775" s="4385"/>
    </row>
    <row r="777" spans="2:16" ht="15.75" x14ac:dyDescent="0.25">
      <c r="B777" s="4419"/>
      <c r="C777" s="4419"/>
      <c r="D777" s="4420">
        <f t="shared" ref="D777:L777" si="239">E757</f>
        <v>2015</v>
      </c>
      <c r="E777" s="4420">
        <f t="shared" si="239"/>
        <v>2016</v>
      </c>
      <c r="F777" s="4420">
        <f t="shared" si="239"/>
        <v>2017</v>
      </c>
      <c r="G777" s="4420">
        <f t="shared" si="239"/>
        <v>2018</v>
      </c>
      <c r="H777" s="4420">
        <f t="shared" si="239"/>
        <v>2019</v>
      </c>
      <c r="I777" s="4420">
        <f t="shared" si="239"/>
        <v>2020</v>
      </c>
      <c r="J777" s="4420">
        <f t="shared" si="239"/>
        <v>2021</v>
      </c>
      <c r="K777" s="4420">
        <f t="shared" si="239"/>
        <v>2022</v>
      </c>
      <c r="L777" s="4420">
        <f t="shared" si="239"/>
        <v>2023</v>
      </c>
      <c r="M777" s="4420">
        <f>N757</f>
        <v>2024</v>
      </c>
    </row>
    <row r="778" spans="2:16" ht="17.25" x14ac:dyDescent="0.25">
      <c r="B778" s="4421"/>
      <c r="C778" s="4421" t="s">
        <v>539</v>
      </c>
      <c r="D778" s="4422"/>
      <c r="E778" s="4422"/>
      <c r="F778" s="4422"/>
      <c r="G778" s="4422"/>
      <c r="H778" s="4422"/>
      <c r="I778" s="4422"/>
      <c r="J778" s="4422"/>
      <c r="K778" s="4422"/>
      <c r="L778" s="4422"/>
      <c r="M778" s="4423"/>
    </row>
    <row r="779" spans="2:16" ht="15.75" x14ac:dyDescent="0.25">
      <c r="B779" s="4424"/>
      <c r="C779" s="4424" t="s">
        <v>1196</v>
      </c>
      <c r="D779" s="4425"/>
      <c r="E779" s="4425"/>
      <c r="F779" s="4425"/>
      <c r="G779" s="4425"/>
      <c r="H779" s="4425"/>
      <c r="I779" s="4425"/>
      <c r="J779" s="4425"/>
      <c r="K779" s="4425"/>
      <c r="L779" s="4425"/>
      <c r="M779" s="4426"/>
    </row>
    <row r="780" spans="2:16" x14ac:dyDescent="0.25">
      <c r="B780" s="4427"/>
      <c r="C780" s="4427" t="s">
        <v>1177</v>
      </c>
      <c r="D780" s="4428">
        <f>'Financing Plan'!X73</f>
        <v>0</v>
      </c>
      <c r="E780" s="4428">
        <f>D794</f>
        <v>0</v>
      </c>
      <c r="F780" s="4428">
        <f t="shared" ref="F780:M780" ca="1" si="240">E794</f>
        <v>-50</v>
      </c>
      <c r="G780" s="4428">
        <f t="shared" ca="1" si="240"/>
        <v>-114</v>
      </c>
      <c r="H780" s="4428">
        <f t="shared" ca="1" si="240"/>
        <v>-270</v>
      </c>
      <c r="I780" s="4428">
        <f t="shared" ca="1" si="240"/>
        <v>-435</v>
      </c>
      <c r="J780" s="4428">
        <f t="shared" ca="1" si="240"/>
        <v>-628</v>
      </c>
      <c r="K780" s="4428">
        <f t="shared" ca="1" si="240"/>
        <v>-837</v>
      </c>
      <c r="L780" s="4428">
        <f t="shared" ca="1" si="240"/>
        <v>-1056</v>
      </c>
      <c r="M780" s="4428">
        <f t="shared" ca="1" si="240"/>
        <v>-1285</v>
      </c>
    </row>
    <row r="781" spans="2:16" x14ac:dyDescent="0.25">
      <c r="B781" s="4429"/>
      <c r="C781" s="4429" t="s">
        <v>191</v>
      </c>
      <c r="D781" s="4430">
        <f>ROUND('Financial Projections'!K275,0)</f>
        <v>1</v>
      </c>
      <c r="E781" s="4430">
        <f>ROUND('Financial Projections'!L275,0)</f>
        <v>1</v>
      </c>
      <c r="F781" s="4430">
        <f>ROUND('Financial Projections'!M275,0)</f>
        <v>1</v>
      </c>
      <c r="G781" s="4430">
        <f>ROUND('Financial Projections'!N275,0)</f>
        <v>19</v>
      </c>
      <c r="H781" s="4430">
        <f>ROUND('Financial Projections'!O275,0)</f>
        <v>19</v>
      </c>
      <c r="I781" s="4430">
        <f>ROUND('Financial Projections'!P275,0)</f>
        <v>0</v>
      </c>
      <c r="J781" s="4430">
        <f>ROUND('Financial Projections'!Q275,0)</f>
        <v>0</v>
      </c>
      <c r="K781" s="4430">
        <f>ROUND('Financial Projections'!R275,0)</f>
        <v>0</v>
      </c>
      <c r="L781" s="4430">
        <f>ROUND('Financial Projections'!S275,0)</f>
        <v>0</v>
      </c>
      <c r="M781" s="4430">
        <f>ROUND('Financial Projections'!T275,0)</f>
        <v>0</v>
      </c>
    </row>
    <row r="782" spans="2:16" s="4118" customFormat="1" x14ac:dyDescent="0.25">
      <c r="B782" s="4431"/>
      <c r="C782" s="4429" t="s">
        <v>1179</v>
      </c>
      <c r="D782" s="4430">
        <f>D813</f>
        <v>192</v>
      </c>
      <c r="E782" s="4430">
        <f t="shared" ref="E782:M782" si="241">E813</f>
        <v>140</v>
      </c>
      <c r="F782" s="4430">
        <f t="shared" si="241"/>
        <v>102</v>
      </c>
      <c r="G782" s="4430">
        <f t="shared" si="241"/>
        <v>0</v>
      </c>
      <c r="H782" s="4430">
        <f t="shared" si="241"/>
        <v>0</v>
      </c>
      <c r="I782" s="4430">
        <f t="shared" si="241"/>
        <v>0</v>
      </c>
      <c r="J782" s="4430">
        <f t="shared" si="241"/>
        <v>0</v>
      </c>
      <c r="K782" s="4430">
        <f t="shared" si="241"/>
        <v>0</v>
      </c>
      <c r="L782" s="4430">
        <f t="shared" si="241"/>
        <v>0</v>
      </c>
      <c r="M782" s="4430">
        <f t="shared" si="241"/>
        <v>0</v>
      </c>
      <c r="N782" s="4275"/>
      <c r="O782" s="4275"/>
      <c r="P782" s="4275"/>
    </row>
    <row r="783" spans="2:16" x14ac:dyDescent="0.25">
      <c r="B783" s="4432"/>
      <c r="C783" s="4432" t="s">
        <v>190</v>
      </c>
      <c r="D783" s="4433">
        <f>ROUND('Financial Projections'!K276,0)</f>
        <v>132</v>
      </c>
      <c r="E783" s="4433">
        <f>ROUND('Financial Projections'!L276,0)</f>
        <v>153</v>
      </c>
      <c r="F783" s="4433">
        <f>ROUND('Financial Projections'!M276,0)</f>
        <v>167</v>
      </c>
      <c r="G783" s="4433">
        <f>ROUND('Financial Projections'!N276,0)</f>
        <v>175</v>
      </c>
      <c r="H783" s="4433">
        <f>ROUND('Financial Projections'!O276,0)</f>
        <v>184</v>
      </c>
      <c r="I783" s="4433">
        <f>ROUND('Financial Projections'!P276,0)</f>
        <v>193</v>
      </c>
      <c r="J783" s="4433">
        <f>ROUND('Financial Projections'!Q276,0)</f>
        <v>203</v>
      </c>
      <c r="K783" s="4433">
        <f>ROUND('Financial Projections'!R276,0)</f>
        <v>213</v>
      </c>
      <c r="L783" s="4433">
        <f>ROUND('Financial Projections'!S276,0)</f>
        <v>223</v>
      </c>
      <c r="M783" s="4433">
        <f>ROUND('Financial Projections'!T276,0)</f>
        <v>234</v>
      </c>
    </row>
    <row r="784" spans="2:16" x14ac:dyDescent="0.25">
      <c r="B784" s="4434"/>
      <c r="C784" s="4432" t="s">
        <v>1218</v>
      </c>
      <c r="D784" s="4433">
        <f>ROUND(D686,0)</f>
        <v>0</v>
      </c>
      <c r="E784" s="4433">
        <f t="shared" ref="E784:M784" ca="1" si="242">ROUND(E686,0)</f>
        <v>0</v>
      </c>
      <c r="F784" s="4433">
        <f t="shared" ca="1" si="242"/>
        <v>0</v>
      </c>
      <c r="G784" s="4433">
        <f t="shared" ca="1" si="242"/>
        <v>0</v>
      </c>
      <c r="H784" s="4433">
        <f t="shared" ca="1" si="242"/>
        <v>0</v>
      </c>
      <c r="I784" s="4433">
        <f t="shared" ca="1" si="242"/>
        <v>0</v>
      </c>
      <c r="J784" s="4433">
        <f t="shared" ca="1" si="242"/>
        <v>6</v>
      </c>
      <c r="K784" s="4433">
        <f t="shared" ca="1" si="242"/>
        <v>6</v>
      </c>
      <c r="L784" s="4433">
        <f t="shared" ca="1" si="242"/>
        <v>6</v>
      </c>
      <c r="M784" s="4433">
        <f t="shared" ca="1" si="242"/>
        <v>6</v>
      </c>
    </row>
    <row r="785" spans="1:13" x14ac:dyDescent="0.25">
      <c r="B785" s="4427"/>
      <c r="C785" s="4427" t="s">
        <v>1181</v>
      </c>
      <c r="D785" s="4435">
        <f>D780+D781+D782-D783-D784</f>
        <v>61</v>
      </c>
      <c r="E785" s="4435">
        <f t="shared" ref="E785:M785" ca="1" si="243">E780+E781+E782-E783-E784</f>
        <v>-12</v>
      </c>
      <c r="F785" s="4435">
        <f t="shared" ca="1" si="243"/>
        <v>-114</v>
      </c>
      <c r="G785" s="4435">
        <f ca="1">G780+G781+G782-G783-G784</f>
        <v>-270</v>
      </c>
      <c r="H785" s="4435">
        <f t="shared" ca="1" si="243"/>
        <v>-435</v>
      </c>
      <c r="I785" s="4435">
        <f t="shared" ca="1" si="243"/>
        <v>-628</v>
      </c>
      <c r="J785" s="4435">
        <f t="shared" ca="1" si="243"/>
        <v>-837</v>
      </c>
      <c r="K785" s="4435">
        <f t="shared" ca="1" si="243"/>
        <v>-1056</v>
      </c>
      <c r="L785" s="4435">
        <f t="shared" ca="1" si="243"/>
        <v>-1285</v>
      </c>
      <c r="M785" s="4435">
        <f t="shared" ca="1" si="243"/>
        <v>-1525</v>
      </c>
    </row>
    <row r="786" spans="1:13" x14ac:dyDescent="0.25">
      <c r="B786" s="4427"/>
      <c r="C786" s="4427" t="s">
        <v>1235</v>
      </c>
      <c r="D786" s="4435">
        <f>MAX(D785,0)</f>
        <v>61</v>
      </c>
      <c r="E786" s="4435">
        <f t="shared" ref="E786:M786" ca="1" si="244">MAX(E785,0)</f>
        <v>0</v>
      </c>
      <c r="F786" s="4435">
        <f t="shared" ca="1" si="244"/>
        <v>0</v>
      </c>
      <c r="G786" s="4435">
        <f t="shared" ca="1" si="244"/>
        <v>0</v>
      </c>
      <c r="H786" s="4435">
        <f t="shared" ca="1" si="244"/>
        <v>0</v>
      </c>
      <c r="I786" s="4435">
        <f t="shared" ca="1" si="244"/>
        <v>0</v>
      </c>
      <c r="J786" s="4435">
        <f t="shared" ca="1" si="244"/>
        <v>0</v>
      </c>
      <c r="K786" s="4435">
        <f t="shared" ca="1" si="244"/>
        <v>0</v>
      </c>
      <c r="L786" s="4435">
        <f t="shared" ca="1" si="244"/>
        <v>0</v>
      </c>
      <c r="M786" s="4435">
        <f t="shared" ca="1" si="244"/>
        <v>0</v>
      </c>
    </row>
    <row r="787" spans="1:13" ht="15.75" thickBot="1" x14ac:dyDescent="0.3">
      <c r="B787" s="4436"/>
      <c r="C787" s="4436" t="s">
        <v>1234</v>
      </c>
      <c r="D787" s="4435">
        <f>'Financing Plan'!E99</f>
        <v>61</v>
      </c>
      <c r="E787" s="4435">
        <f>'Financing Plan'!F99</f>
        <v>38</v>
      </c>
      <c r="F787" s="4435">
        <f>'Financing Plan'!G99</f>
        <v>0</v>
      </c>
      <c r="G787" s="4435">
        <f>'Financing Plan'!H99</f>
        <v>0</v>
      </c>
      <c r="H787" s="4435">
        <f>'Financing Plan'!I99</f>
        <v>0</v>
      </c>
      <c r="I787" s="4435">
        <f>'Financing Plan'!J99</f>
        <v>0</v>
      </c>
      <c r="J787" s="4435">
        <f>'Financing Plan'!K99</f>
        <v>0</v>
      </c>
      <c r="K787" s="4435">
        <f>'Financing Plan'!L99</f>
        <v>0</v>
      </c>
      <c r="L787" s="4435">
        <f>'Financing Plan'!M99</f>
        <v>0</v>
      </c>
      <c r="M787" s="4435">
        <f>'Financing Plan'!N99</f>
        <v>0</v>
      </c>
    </row>
    <row r="788" spans="1:13" x14ac:dyDescent="0.25">
      <c r="A788" s="4071"/>
      <c r="B788" s="4437"/>
      <c r="C788" s="4438" t="s">
        <v>1233</v>
      </c>
      <c r="D788" s="4439"/>
      <c r="E788" s="4440"/>
      <c r="F788" s="4440"/>
      <c r="G788" s="4440"/>
      <c r="H788" s="4440"/>
      <c r="I788" s="4440"/>
      <c r="J788" s="4440"/>
      <c r="K788" s="4440"/>
      <c r="L788" s="4440"/>
      <c r="M788" s="4441"/>
    </row>
    <row r="789" spans="1:13" x14ac:dyDescent="0.25">
      <c r="A789" s="4071"/>
      <c r="B789" s="4442"/>
      <c r="C789" s="4429" t="s">
        <v>1177</v>
      </c>
      <c r="D789" s="4443">
        <f>D780</f>
        <v>0</v>
      </c>
      <c r="E789" s="4443">
        <f>D794</f>
        <v>0</v>
      </c>
      <c r="F789" s="4443">
        <f t="shared" ref="F789:M789" ca="1" si="245">E794</f>
        <v>-50</v>
      </c>
      <c r="G789" s="4443">
        <f t="shared" ca="1" si="245"/>
        <v>-114</v>
      </c>
      <c r="H789" s="4443">
        <f t="shared" ca="1" si="245"/>
        <v>-270</v>
      </c>
      <c r="I789" s="4443">
        <f t="shared" ca="1" si="245"/>
        <v>-435</v>
      </c>
      <c r="J789" s="4443">
        <f t="shared" ca="1" si="245"/>
        <v>-628</v>
      </c>
      <c r="K789" s="4443">
        <f t="shared" ca="1" si="245"/>
        <v>-837</v>
      </c>
      <c r="L789" s="4443">
        <f t="shared" ca="1" si="245"/>
        <v>-1056</v>
      </c>
      <c r="M789" s="4444">
        <f t="shared" ca="1" si="245"/>
        <v>-1285</v>
      </c>
    </row>
    <row r="790" spans="1:13" x14ac:dyDescent="0.25">
      <c r="A790" s="4071"/>
      <c r="B790" s="4442"/>
      <c r="C790" s="4429" t="s">
        <v>191</v>
      </c>
      <c r="D790" s="4443">
        <f>ROUND(D781+D782,0)</f>
        <v>193</v>
      </c>
      <c r="E790" s="4443">
        <f t="shared" ref="E790:M790" si="246">ROUND(E781+E782,0)</f>
        <v>141</v>
      </c>
      <c r="F790" s="4443">
        <f t="shared" si="246"/>
        <v>103</v>
      </c>
      <c r="G790" s="4443">
        <f t="shared" si="246"/>
        <v>19</v>
      </c>
      <c r="H790" s="4443">
        <f t="shared" si="246"/>
        <v>19</v>
      </c>
      <c r="I790" s="4443">
        <f t="shared" si="246"/>
        <v>0</v>
      </c>
      <c r="J790" s="4443">
        <f t="shared" si="246"/>
        <v>0</v>
      </c>
      <c r="K790" s="4443">
        <f t="shared" si="246"/>
        <v>0</v>
      </c>
      <c r="L790" s="4443">
        <f t="shared" si="246"/>
        <v>0</v>
      </c>
      <c r="M790" s="4444">
        <f t="shared" si="246"/>
        <v>0</v>
      </c>
    </row>
    <row r="791" spans="1:13" x14ac:dyDescent="0.25">
      <c r="A791" s="4071"/>
      <c r="B791" s="4445"/>
      <c r="C791" s="4432" t="s">
        <v>190</v>
      </c>
      <c r="D791" s="4446">
        <f>ROUND(D783+D784,0)</f>
        <v>132</v>
      </c>
      <c r="E791" s="4446">
        <f t="shared" ref="E791:M791" ca="1" si="247">ROUND(E783+E784,0)</f>
        <v>153</v>
      </c>
      <c r="F791" s="4446">
        <f t="shared" ca="1" si="247"/>
        <v>167</v>
      </c>
      <c r="G791" s="4446">
        <f t="shared" ca="1" si="247"/>
        <v>175</v>
      </c>
      <c r="H791" s="4446">
        <f t="shared" ca="1" si="247"/>
        <v>184</v>
      </c>
      <c r="I791" s="4446">
        <f t="shared" ca="1" si="247"/>
        <v>193</v>
      </c>
      <c r="J791" s="4446">
        <f t="shared" ca="1" si="247"/>
        <v>209</v>
      </c>
      <c r="K791" s="4446">
        <f t="shared" ca="1" si="247"/>
        <v>219</v>
      </c>
      <c r="L791" s="4446">
        <f t="shared" ca="1" si="247"/>
        <v>229</v>
      </c>
      <c r="M791" s="4447">
        <f t="shared" ca="1" si="247"/>
        <v>240</v>
      </c>
    </row>
    <row r="792" spans="1:13" x14ac:dyDescent="0.25">
      <c r="A792" s="4071"/>
      <c r="B792" s="4445"/>
      <c r="C792" s="4432" t="s">
        <v>1237</v>
      </c>
      <c r="D792" s="4446">
        <f>ROUND(D787,0)</f>
        <v>61</v>
      </c>
      <c r="E792" s="4446">
        <f t="shared" ref="E792:M792" si="248">ROUND(E787,0)</f>
        <v>38</v>
      </c>
      <c r="F792" s="4446">
        <f t="shared" si="248"/>
        <v>0</v>
      </c>
      <c r="G792" s="4446">
        <f t="shared" si="248"/>
        <v>0</v>
      </c>
      <c r="H792" s="4446">
        <f t="shared" si="248"/>
        <v>0</v>
      </c>
      <c r="I792" s="4446">
        <f t="shared" si="248"/>
        <v>0</v>
      </c>
      <c r="J792" s="4446">
        <f t="shared" si="248"/>
        <v>0</v>
      </c>
      <c r="K792" s="4446">
        <f t="shared" si="248"/>
        <v>0</v>
      </c>
      <c r="L792" s="4446">
        <f t="shared" si="248"/>
        <v>0</v>
      </c>
      <c r="M792" s="4447">
        <f t="shared" si="248"/>
        <v>0</v>
      </c>
    </row>
    <row r="793" spans="1:13" ht="15.75" x14ac:dyDescent="0.25">
      <c r="A793" s="4071"/>
      <c r="B793" s="4448"/>
      <c r="C793" s="4449"/>
      <c r="D793" s="4450">
        <f>D789+D790-D791</f>
        <v>61</v>
      </c>
      <c r="E793" s="4450">
        <f t="shared" ref="E793:M793" ca="1" si="249">E789+E790-E791</f>
        <v>-12</v>
      </c>
      <c r="F793" s="4450">
        <f t="shared" ca="1" si="249"/>
        <v>-114</v>
      </c>
      <c r="G793" s="4450">
        <f t="shared" ca="1" si="249"/>
        <v>-270</v>
      </c>
      <c r="H793" s="4450">
        <f t="shared" ca="1" si="249"/>
        <v>-435</v>
      </c>
      <c r="I793" s="4450">
        <f t="shared" ca="1" si="249"/>
        <v>-628</v>
      </c>
      <c r="J793" s="4450">
        <f t="shared" ca="1" si="249"/>
        <v>-837</v>
      </c>
      <c r="K793" s="4450">
        <f t="shared" ca="1" si="249"/>
        <v>-1056</v>
      </c>
      <c r="L793" s="4450">
        <f t="shared" ca="1" si="249"/>
        <v>-1285</v>
      </c>
      <c r="M793" s="4451">
        <f t="shared" ca="1" si="249"/>
        <v>-1525</v>
      </c>
    </row>
    <row r="794" spans="1:13" ht="16.5" thickBot="1" x14ac:dyDescent="0.3">
      <c r="A794" s="4071"/>
      <c r="B794" s="4452"/>
      <c r="C794" s="4453" t="s">
        <v>1182</v>
      </c>
      <c r="D794" s="4454">
        <f>D789+D790-D791-D792</f>
        <v>0</v>
      </c>
      <c r="E794" s="4454">
        <f t="shared" ref="E794:M794" ca="1" si="250">E789+E790-E791-E792</f>
        <v>-50</v>
      </c>
      <c r="F794" s="4454">
        <f t="shared" ca="1" si="250"/>
        <v>-114</v>
      </c>
      <c r="G794" s="4454">
        <f t="shared" ca="1" si="250"/>
        <v>-270</v>
      </c>
      <c r="H794" s="4454">
        <f t="shared" ca="1" si="250"/>
        <v>-435</v>
      </c>
      <c r="I794" s="4454">
        <f t="shared" ca="1" si="250"/>
        <v>-628</v>
      </c>
      <c r="J794" s="4454">
        <f t="shared" ca="1" si="250"/>
        <v>-837</v>
      </c>
      <c r="K794" s="4454">
        <f t="shared" ca="1" si="250"/>
        <v>-1056</v>
      </c>
      <c r="L794" s="4454">
        <f t="shared" ca="1" si="250"/>
        <v>-1285</v>
      </c>
      <c r="M794" s="4455">
        <f t="shared" ca="1" si="250"/>
        <v>-1525</v>
      </c>
    </row>
    <row r="795" spans="1:13" x14ac:dyDescent="0.25">
      <c r="B795" s="4427"/>
      <c r="C795" s="4436" t="s">
        <v>1232</v>
      </c>
      <c r="D795" s="4456" t="str">
        <f>IF(D784=0,"NA",(D789+D790-D783)/D784)</f>
        <v>NA</v>
      </c>
      <c r="E795" s="4456" t="str">
        <f t="shared" ref="E795:M795" ca="1" si="251">IF(E784=0,"NA",(E789+E790-E783)/E784)</f>
        <v>NA</v>
      </c>
      <c r="F795" s="4456" t="str">
        <f t="shared" ca="1" si="251"/>
        <v>NA</v>
      </c>
      <c r="G795" s="4456" t="str">
        <f t="shared" ca="1" si="251"/>
        <v>NA</v>
      </c>
      <c r="H795" s="4456" t="str">
        <f t="shared" ca="1" si="251"/>
        <v>NA</v>
      </c>
      <c r="I795" s="4456" t="str">
        <f t="shared" ca="1" si="251"/>
        <v>NA</v>
      </c>
      <c r="J795" s="4456">
        <f t="shared" ca="1" si="251"/>
        <v>-138.5</v>
      </c>
      <c r="K795" s="4456">
        <f t="shared" ca="1" si="251"/>
        <v>-175</v>
      </c>
      <c r="L795" s="4456">
        <f t="shared" ca="1" si="251"/>
        <v>-213.16666666666666</v>
      </c>
      <c r="M795" s="4456">
        <f t="shared" ca="1" si="251"/>
        <v>-253.16666666666666</v>
      </c>
    </row>
    <row r="796" spans="1:13" x14ac:dyDescent="0.25">
      <c r="B796" s="4457"/>
      <c r="C796" s="4458" t="s">
        <v>1236</v>
      </c>
      <c r="D796" s="4456">
        <f>IFERROR(D791/(D789+D790),"-")</f>
        <v>0.68393782383419688</v>
      </c>
      <c r="E796" s="4456">
        <f t="shared" ref="E796:M796" ca="1" si="252">IFERROR(E791/(E789+E790),"-")</f>
        <v>1.0851063829787233</v>
      </c>
      <c r="F796" s="4456">
        <f t="shared" ca="1" si="252"/>
        <v>3.1509433962264151</v>
      </c>
      <c r="G796" s="4456">
        <f t="shared" ca="1" si="252"/>
        <v>-1.8421052631578947</v>
      </c>
      <c r="H796" s="4456">
        <f t="shared" ca="1" si="252"/>
        <v>-0.73306772908366535</v>
      </c>
      <c r="I796" s="4456">
        <f t="shared" ca="1" si="252"/>
        <v>-0.44367816091954021</v>
      </c>
      <c r="J796" s="4456">
        <f t="shared" ca="1" si="252"/>
        <v>-0.33280254777070062</v>
      </c>
      <c r="K796" s="4456">
        <f t="shared" ca="1" si="252"/>
        <v>-0.26164874551971329</v>
      </c>
      <c r="L796" s="4456">
        <f t="shared" ca="1" si="252"/>
        <v>-0.21685606060606061</v>
      </c>
      <c r="M796" s="4456">
        <f t="shared" ca="1" si="252"/>
        <v>-0.1867704280155642</v>
      </c>
    </row>
    <row r="797" spans="1:13" x14ac:dyDescent="0.25">
      <c r="A797" s="4071"/>
      <c r="C797" s="4070"/>
      <c r="D797" s="4071"/>
      <c r="E797" s="4071"/>
      <c r="J797" s="4459"/>
    </row>
    <row r="798" spans="1:13" ht="15.75" x14ac:dyDescent="0.25">
      <c r="B798" s="4460"/>
      <c r="C798" s="4460" t="s">
        <v>1195</v>
      </c>
      <c r="D798" s="4461"/>
      <c r="E798" s="4461"/>
      <c r="F798" s="4461"/>
      <c r="G798" s="4461"/>
      <c r="H798" s="4461"/>
      <c r="I798" s="4461"/>
      <c r="J798" s="4461"/>
      <c r="K798" s="4461"/>
      <c r="L798" s="4461"/>
      <c r="M798" s="4462"/>
    </row>
    <row r="799" spans="1:13" ht="15.75" x14ac:dyDescent="0.25">
      <c r="B799" s="4463"/>
      <c r="C799" s="4463" t="s">
        <v>1219</v>
      </c>
      <c r="D799" s="4464"/>
      <c r="E799" s="4464"/>
      <c r="F799" s="4464"/>
      <c r="G799" s="4464"/>
      <c r="H799" s="4464"/>
      <c r="I799" s="4464"/>
      <c r="J799" s="4464"/>
      <c r="K799" s="4464"/>
      <c r="L799" s="4464"/>
      <c r="M799" s="4465"/>
    </row>
    <row r="800" spans="1:13" x14ac:dyDescent="0.25">
      <c r="B800" s="4466"/>
      <c r="C800" s="4466" t="s">
        <v>1177</v>
      </c>
      <c r="D800" s="4450">
        <f>'Financial Projections'!K272</f>
        <v>0</v>
      </c>
      <c r="E800" s="4450">
        <f t="shared" ref="E800:M800" si="253">D822</f>
        <v>0</v>
      </c>
      <c r="F800" s="4450">
        <f t="shared" si="253"/>
        <v>0</v>
      </c>
      <c r="G800" s="4450">
        <f t="shared" si="253"/>
        <v>-93</v>
      </c>
      <c r="H800" s="4450">
        <f t="shared" si="253"/>
        <v>-81</v>
      </c>
      <c r="I800" s="4450">
        <f t="shared" si="253"/>
        <v>-67</v>
      </c>
      <c r="J800" s="4450">
        <f t="shared" si="253"/>
        <v>-49</v>
      </c>
      <c r="K800" s="4450">
        <f t="shared" si="253"/>
        <v>-27</v>
      </c>
      <c r="L800" s="4450">
        <f t="shared" si="253"/>
        <v>-1</v>
      </c>
      <c r="M800" s="4450">
        <f t="shared" si="253"/>
        <v>28</v>
      </c>
    </row>
    <row r="801" spans="2:16" x14ac:dyDescent="0.25">
      <c r="B801" s="4429"/>
      <c r="C801" s="4429" t="s">
        <v>191</v>
      </c>
      <c r="D801" s="4443">
        <f>ROUND('Financial Projections'!K279,0)</f>
        <v>951</v>
      </c>
      <c r="E801" s="4443">
        <f>ROUND('Financial Projections'!L279,0)</f>
        <v>973</v>
      </c>
      <c r="F801" s="4443">
        <f>ROUND('Financial Projections'!M279,0)</f>
        <v>1012</v>
      </c>
      <c r="G801" s="4443">
        <f>ROUND('Financial Projections'!N279,0)</f>
        <v>1059</v>
      </c>
      <c r="H801" s="4443">
        <f>ROUND('Financial Projections'!O279,0)</f>
        <v>1108</v>
      </c>
      <c r="I801" s="4443">
        <f>ROUND('Financial Projections'!P279,0)</f>
        <v>1160</v>
      </c>
      <c r="J801" s="4443">
        <f>ROUND('Financial Projections'!Q279,0)</f>
        <v>1215</v>
      </c>
      <c r="K801" s="4443">
        <f>ROUND('Financial Projections'!R279,0)</f>
        <v>1272</v>
      </c>
      <c r="L801" s="4443">
        <f>ROUND('Financial Projections'!S279,0)</f>
        <v>1331</v>
      </c>
      <c r="M801" s="4443">
        <f>ROUND('Financial Projections'!T279,0)</f>
        <v>1393</v>
      </c>
    </row>
    <row r="802" spans="2:16" x14ac:dyDescent="0.25">
      <c r="B802" s="4432"/>
      <c r="C802" s="4432" t="s">
        <v>190</v>
      </c>
      <c r="D802" s="4446">
        <f>ROUND('Financial Projections'!K280,0)</f>
        <v>920</v>
      </c>
      <c r="E802" s="4446">
        <f>ROUND('Financial Projections'!L280,0)</f>
        <v>961</v>
      </c>
      <c r="F802" s="4446">
        <f>ROUND('Financial Projections'!M280,0)</f>
        <v>1003</v>
      </c>
      <c r="G802" s="4446">
        <f>ROUND('Financial Projections'!N280,0)</f>
        <v>1047</v>
      </c>
      <c r="H802" s="4446">
        <f>ROUND('Financial Projections'!O280,0)</f>
        <v>1094</v>
      </c>
      <c r="I802" s="4446">
        <f>ROUND('Financial Projections'!P280,0)</f>
        <v>1142</v>
      </c>
      <c r="J802" s="4446">
        <f>ROUND('Financial Projections'!Q280,0)</f>
        <v>1193</v>
      </c>
      <c r="K802" s="4446">
        <f>ROUND('Financial Projections'!R280,0)</f>
        <v>1246</v>
      </c>
      <c r="L802" s="4446">
        <f>ROUND('Financial Projections'!S280,0)</f>
        <v>1302</v>
      </c>
      <c r="M802" s="4446">
        <f>ROUND('Financial Projections'!T280,0)</f>
        <v>1360</v>
      </c>
    </row>
    <row r="803" spans="2:16" x14ac:dyDescent="0.25">
      <c r="B803" s="4467"/>
      <c r="C803" s="4467" t="s">
        <v>1182</v>
      </c>
      <c r="D803" s="4468">
        <f>D800+D801-D802</f>
        <v>31</v>
      </c>
      <c r="E803" s="4468">
        <f>E800+E801-E802</f>
        <v>12</v>
      </c>
      <c r="F803" s="4468">
        <f>F800+F801-F802</f>
        <v>9</v>
      </c>
      <c r="G803" s="4468">
        <f t="shared" ref="G803:M803" si="254">G800+G801-G802</f>
        <v>-81</v>
      </c>
      <c r="H803" s="4468">
        <f t="shared" si="254"/>
        <v>-67</v>
      </c>
      <c r="I803" s="4468">
        <f t="shared" si="254"/>
        <v>-49</v>
      </c>
      <c r="J803" s="4468">
        <f t="shared" si="254"/>
        <v>-27</v>
      </c>
      <c r="K803" s="4468">
        <f t="shared" si="254"/>
        <v>-1</v>
      </c>
      <c r="L803" s="4468">
        <f t="shared" si="254"/>
        <v>28</v>
      </c>
      <c r="M803" s="4468">
        <f t="shared" si="254"/>
        <v>61</v>
      </c>
      <c r="N803" s="4459"/>
    </row>
    <row r="804" spans="2:16" ht="15.75" x14ac:dyDescent="0.25">
      <c r="B804" s="4463"/>
      <c r="C804" s="4463" t="s">
        <v>1220</v>
      </c>
      <c r="D804" s="4464"/>
      <c r="E804" s="4464"/>
      <c r="F804" s="4464"/>
      <c r="G804" s="4464"/>
      <c r="H804" s="4464"/>
      <c r="I804" s="4464"/>
      <c r="J804" s="4464"/>
      <c r="K804" s="4464"/>
      <c r="L804" s="4464"/>
      <c r="M804" s="4464"/>
    </row>
    <row r="805" spans="2:16" ht="15.75" x14ac:dyDescent="0.25">
      <c r="B805" s="4463"/>
      <c r="C805" s="4463" t="s">
        <v>1226</v>
      </c>
      <c r="D805" s="4464"/>
      <c r="E805" s="4464"/>
      <c r="F805" s="4464"/>
      <c r="G805" s="4464"/>
      <c r="H805" s="4464"/>
      <c r="I805" s="4464"/>
      <c r="J805" s="4464"/>
      <c r="K805" s="4464"/>
      <c r="L805" s="4464"/>
      <c r="M805" s="4464"/>
    </row>
    <row r="806" spans="2:16" x14ac:dyDescent="0.25">
      <c r="B806" s="4469"/>
      <c r="C806" s="4466" t="s">
        <v>1221</v>
      </c>
      <c r="D806" s="4450">
        <f t="shared" ref="D806:M806" si="255">D801+D800-D845</f>
        <v>951</v>
      </c>
      <c r="E806" s="4450">
        <f t="shared" si="255"/>
        <v>973</v>
      </c>
      <c r="F806" s="4450">
        <f t="shared" si="255"/>
        <v>1012</v>
      </c>
      <c r="G806" s="4450">
        <f t="shared" si="255"/>
        <v>966</v>
      </c>
      <c r="H806" s="4450">
        <f t="shared" si="255"/>
        <v>1027</v>
      </c>
      <c r="I806" s="4450">
        <f t="shared" si="255"/>
        <v>1093</v>
      </c>
      <c r="J806" s="4450">
        <f t="shared" si="255"/>
        <v>1166</v>
      </c>
      <c r="K806" s="4450">
        <f t="shared" si="255"/>
        <v>1245</v>
      </c>
      <c r="L806" s="4450">
        <f t="shared" si="255"/>
        <v>1330</v>
      </c>
      <c r="M806" s="4450">
        <f t="shared" si="255"/>
        <v>1421</v>
      </c>
    </row>
    <row r="807" spans="2:16" x14ac:dyDescent="0.25">
      <c r="B807" s="4470"/>
      <c r="C807" s="4436" t="s">
        <v>1229</v>
      </c>
      <c r="D807" s="4471">
        <f>D846</f>
        <v>31</v>
      </c>
      <c r="E807" s="4471">
        <f>E846</f>
        <v>12</v>
      </c>
      <c r="F807" s="4471">
        <f t="shared" ref="F807:M807" si="256">F846</f>
        <v>9</v>
      </c>
      <c r="G807" s="4471">
        <f t="shared" si="256"/>
        <v>0</v>
      </c>
      <c r="H807" s="4471">
        <f t="shared" si="256"/>
        <v>0</v>
      </c>
      <c r="I807" s="4471">
        <f t="shared" si="256"/>
        <v>0</v>
      </c>
      <c r="J807" s="4471">
        <f t="shared" si="256"/>
        <v>0</v>
      </c>
      <c r="K807" s="4471">
        <f t="shared" si="256"/>
        <v>0</v>
      </c>
      <c r="L807" s="4471">
        <f t="shared" si="256"/>
        <v>28</v>
      </c>
      <c r="M807" s="4471">
        <f t="shared" si="256"/>
        <v>61</v>
      </c>
    </row>
    <row r="808" spans="2:16" ht="15.75" x14ac:dyDescent="0.25">
      <c r="B808" s="4472"/>
      <c r="C808" s="4472" t="s">
        <v>1227</v>
      </c>
      <c r="D808" s="4473"/>
      <c r="E808" s="4473"/>
      <c r="F808" s="4473"/>
      <c r="G808" s="4473"/>
      <c r="H808" s="4473"/>
      <c r="I808" s="4473"/>
      <c r="J808" s="4473"/>
      <c r="K808" s="4473"/>
      <c r="L808" s="4473"/>
      <c r="M808" s="4473"/>
    </row>
    <row r="809" spans="2:16" x14ac:dyDescent="0.25">
      <c r="B809" s="4469"/>
      <c r="C809" s="4466" t="s">
        <v>1222</v>
      </c>
      <c r="D809" s="4450">
        <f t="shared" ref="D809:M809" si="257">D806-D862</f>
        <v>951</v>
      </c>
      <c r="E809" s="4450">
        <f t="shared" si="257"/>
        <v>973</v>
      </c>
      <c r="F809" s="4450">
        <f t="shared" si="257"/>
        <v>1012</v>
      </c>
      <c r="G809" s="4450">
        <f t="shared" si="257"/>
        <v>966</v>
      </c>
      <c r="H809" s="4450">
        <f t="shared" si="257"/>
        <v>1027</v>
      </c>
      <c r="I809" s="4450">
        <f t="shared" si="257"/>
        <v>1093</v>
      </c>
      <c r="J809" s="4450">
        <f t="shared" si="257"/>
        <v>1166</v>
      </c>
      <c r="K809" s="4450">
        <f t="shared" si="257"/>
        <v>1245</v>
      </c>
      <c r="L809" s="4450">
        <f t="shared" si="257"/>
        <v>1330</v>
      </c>
      <c r="M809" s="4450">
        <f t="shared" si="257"/>
        <v>1421</v>
      </c>
    </row>
    <row r="810" spans="2:16" s="4118" customFormat="1" x14ac:dyDescent="0.25">
      <c r="B810" s="4458"/>
      <c r="C810" s="4458" t="s">
        <v>1229</v>
      </c>
      <c r="D810" s="4471">
        <f>D863</f>
        <v>31</v>
      </c>
      <c r="E810" s="4471">
        <f>E863</f>
        <v>12</v>
      </c>
      <c r="F810" s="4471">
        <f t="shared" ref="F810:M810" si="258">F863</f>
        <v>9</v>
      </c>
      <c r="G810" s="4471">
        <f t="shared" si="258"/>
        <v>0</v>
      </c>
      <c r="H810" s="4471">
        <f t="shared" si="258"/>
        <v>0</v>
      </c>
      <c r="I810" s="4471">
        <f t="shared" si="258"/>
        <v>0</v>
      </c>
      <c r="J810" s="4471">
        <f t="shared" si="258"/>
        <v>0</v>
      </c>
      <c r="K810" s="4471">
        <f t="shared" si="258"/>
        <v>0</v>
      </c>
      <c r="L810" s="4471">
        <f t="shared" si="258"/>
        <v>28</v>
      </c>
      <c r="M810" s="4471">
        <f t="shared" si="258"/>
        <v>61</v>
      </c>
      <c r="N810" s="4275"/>
      <c r="O810" s="4275"/>
      <c r="P810" s="4275"/>
    </row>
    <row r="811" spans="2:16" ht="15.75" x14ac:dyDescent="0.25">
      <c r="B811" s="4472"/>
      <c r="C811" s="4472" t="s">
        <v>1228</v>
      </c>
      <c r="D811" s="4474"/>
      <c r="E811" s="4474"/>
      <c r="F811" s="4474"/>
      <c r="G811" s="4474"/>
      <c r="H811" s="4474"/>
      <c r="I811" s="4474"/>
      <c r="J811" s="4474"/>
      <c r="K811" s="4474"/>
      <c r="L811" s="4474"/>
      <c r="M811" s="4474"/>
    </row>
    <row r="812" spans="2:16" x14ac:dyDescent="0.25">
      <c r="B812" s="4469"/>
      <c r="C812" s="4466" t="s">
        <v>1230</v>
      </c>
      <c r="D812" s="4450">
        <f>D810</f>
        <v>31</v>
      </c>
      <c r="E812" s="4450">
        <f>E810</f>
        <v>12</v>
      </c>
      <c r="F812" s="4450">
        <f t="shared" ref="F812:M812" si="259">F810</f>
        <v>9</v>
      </c>
      <c r="G812" s="4450">
        <f t="shared" si="259"/>
        <v>0</v>
      </c>
      <c r="H812" s="4450">
        <f t="shared" si="259"/>
        <v>0</v>
      </c>
      <c r="I812" s="4450">
        <f t="shared" si="259"/>
        <v>0</v>
      </c>
      <c r="J812" s="4450">
        <f t="shared" si="259"/>
        <v>0</v>
      </c>
      <c r="K812" s="4450">
        <f t="shared" si="259"/>
        <v>0</v>
      </c>
      <c r="L812" s="4450">
        <f t="shared" si="259"/>
        <v>28</v>
      </c>
      <c r="M812" s="4450">
        <f t="shared" si="259"/>
        <v>61</v>
      </c>
    </row>
    <row r="813" spans="2:16" x14ac:dyDescent="0.25">
      <c r="B813" s="4469"/>
      <c r="C813" s="5486" t="s">
        <v>3078</v>
      </c>
      <c r="D813" s="5487">
        <f>'Financing Plan'!E83</f>
        <v>192</v>
      </c>
      <c r="E813" s="5487">
        <f>'Financing Plan'!F83</f>
        <v>140</v>
      </c>
      <c r="F813" s="5487">
        <f>'Financing Plan'!G83</f>
        <v>102</v>
      </c>
      <c r="G813" s="5487">
        <f>'Financing Plan'!H83</f>
        <v>0</v>
      </c>
      <c r="H813" s="5487">
        <f>'Financing Plan'!I83</f>
        <v>0</v>
      </c>
      <c r="I813" s="5487">
        <f>'Financing Plan'!J83</f>
        <v>0</v>
      </c>
      <c r="J813" s="5487">
        <f>'Financing Plan'!K83</f>
        <v>0</v>
      </c>
      <c r="K813" s="5487">
        <f>'Financing Plan'!L83</f>
        <v>0</v>
      </c>
      <c r="L813" s="5487">
        <f>'Financing Plan'!M83</f>
        <v>0</v>
      </c>
      <c r="M813" s="5487">
        <f>'Financing Plan'!N83</f>
        <v>0</v>
      </c>
    </row>
    <row r="814" spans="2:16" x14ac:dyDescent="0.25">
      <c r="B814" s="4469"/>
      <c r="C814" s="5486" t="s">
        <v>3079</v>
      </c>
      <c r="D814" s="5487">
        <f>'Financing Plan'!E85</f>
        <v>-161</v>
      </c>
      <c r="E814" s="5487">
        <f>'Financing Plan'!F85</f>
        <v>-128</v>
      </c>
      <c r="F814" s="5487">
        <f>'Financing Plan'!G85</f>
        <v>0</v>
      </c>
      <c r="G814" s="5487">
        <f>'Financing Plan'!H85</f>
        <v>0</v>
      </c>
      <c r="H814" s="5487">
        <f>'Financing Plan'!I85</f>
        <v>0</v>
      </c>
      <c r="I814" s="5487">
        <f>'Financing Plan'!J85</f>
        <v>0</v>
      </c>
      <c r="J814" s="5487">
        <f>'Financing Plan'!K85</f>
        <v>0</v>
      </c>
      <c r="K814" s="5487">
        <f>'Financing Plan'!L85</f>
        <v>0</v>
      </c>
      <c r="L814" s="5487">
        <f>'Financing Plan'!M85</f>
        <v>0</v>
      </c>
      <c r="M814" s="5487">
        <f>'Financing Plan'!N85</f>
        <v>0</v>
      </c>
    </row>
    <row r="815" spans="2:16" x14ac:dyDescent="0.25">
      <c r="B815" s="4469"/>
      <c r="C815" s="5486" t="s">
        <v>3080</v>
      </c>
      <c r="D815" s="5487">
        <f>D809-D813-D814</f>
        <v>920</v>
      </c>
      <c r="E815" s="5487">
        <f t="shared" ref="E815:M815" si="260">E809-E813-E814</f>
        <v>961</v>
      </c>
      <c r="F815" s="5487">
        <f t="shared" si="260"/>
        <v>910</v>
      </c>
      <c r="G815" s="5487">
        <f t="shared" si="260"/>
        <v>966</v>
      </c>
      <c r="H815" s="5487">
        <f t="shared" si="260"/>
        <v>1027</v>
      </c>
      <c r="I815" s="5487">
        <f t="shared" si="260"/>
        <v>1093</v>
      </c>
      <c r="J815" s="5487">
        <f t="shared" si="260"/>
        <v>1166</v>
      </c>
      <c r="K815" s="5487">
        <f t="shared" si="260"/>
        <v>1245</v>
      </c>
      <c r="L815" s="5487">
        <f t="shared" si="260"/>
        <v>1330</v>
      </c>
      <c r="M815" s="5487">
        <f t="shared" si="260"/>
        <v>1421</v>
      </c>
    </row>
    <row r="816" spans="2:16" s="4118" customFormat="1" ht="15.75" thickBot="1" x14ac:dyDescent="0.3">
      <c r="B816" s="4458"/>
      <c r="C816" s="4458" t="s">
        <v>1229</v>
      </c>
      <c r="D816" s="4471">
        <f>D815-D802</f>
        <v>0</v>
      </c>
      <c r="E816" s="4471">
        <f>E815-E802</f>
        <v>0</v>
      </c>
      <c r="F816" s="4471">
        <f t="shared" ref="F816:M816" si="261">F815-F802</f>
        <v>-93</v>
      </c>
      <c r="G816" s="4471">
        <f t="shared" si="261"/>
        <v>-81</v>
      </c>
      <c r="H816" s="4471">
        <f t="shared" si="261"/>
        <v>-67</v>
      </c>
      <c r="I816" s="4471">
        <f t="shared" si="261"/>
        <v>-49</v>
      </c>
      <c r="J816" s="4471">
        <f t="shared" si="261"/>
        <v>-27</v>
      </c>
      <c r="K816" s="4471">
        <f>K815-K802</f>
        <v>-1</v>
      </c>
      <c r="L816" s="4471">
        <f t="shared" si="261"/>
        <v>28</v>
      </c>
      <c r="M816" s="4471">
        <f t="shared" si="261"/>
        <v>61</v>
      </c>
      <c r="N816" s="4275"/>
      <c r="O816" s="4275"/>
      <c r="P816" s="4275"/>
    </row>
    <row r="817" spans="1:16" x14ac:dyDescent="0.25">
      <c r="B817" s="4437"/>
      <c r="C817" s="4438" t="s">
        <v>1202</v>
      </c>
      <c r="D817" s="4439"/>
      <c r="E817" s="4440"/>
      <c r="F817" s="4440"/>
      <c r="G817" s="4440"/>
      <c r="H817" s="4440"/>
      <c r="I817" s="4440"/>
      <c r="J817" s="4440"/>
      <c r="K817" s="4440"/>
      <c r="L817" s="4440"/>
      <c r="M817" s="4441"/>
    </row>
    <row r="818" spans="1:16" x14ac:dyDescent="0.25">
      <c r="B818" s="4442"/>
      <c r="C818" s="4429" t="s">
        <v>1177</v>
      </c>
      <c r="D818" s="4443">
        <f>ROUND(D800,0)</f>
        <v>0</v>
      </c>
      <c r="E818" s="4443">
        <f>D822</f>
        <v>0</v>
      </c>
      <c r="F818" s="4443">
        <f t="shared" ref="F818:M818" si="262">E822</f>
        <v>0</v>
      </c>
      <c r="G818" s="4443">
        <f t="shared" si="262"/>
        <v>-93</v>
      </c>
      <c r="H818" s="4443">
        <f t="shared" si="262"/>
        <v>-81</v>
      </c>
      <c r="I818" s="4443">
        <f t="shared" si="262"/>
        <v>-67</v>
      </c>
      <c r="J818" s="4443">
        <f t="shared" si="262"/>
        <v>-49</v>
      </c>
      <c r="K818" s="4443">
        <f t="shared" si="262"/>
        <v>-27</v>
      </c>
      <c r="L818" s="4443">
        <f t="shared" si="262"/>
        <v>-1</v>
      </c>
      <c r="M818" s="4444">
        <f t="shared" si="262"/>
        <v>28</v>
      </c>
    </row>
    <row r="819" spans="1:16" x14ac:dyDescent="0.25">
      <c r="B819" s="4442"/>
      <c r="C819" s="4429" t="s">
        <v>191</v>
      </c>
      <c r="D819" s="4443">
        <f>ROUND(D801,0)</f>
        <v>951</v>
      </c>
      <c r="E819" s="4443">
        <f t="shared" ref="E819:M819" si="263">ROUND(E801,0)</f>
        <v>973</v>
      </c>
      <c r="F819" s="4443">
        <f t="shared" si="263"/>
        <v>1012</v>
      </c>
      <c r="G819" s="4443">
        <f t="shared" si="263"/>
        <v>1059</v>
      </c>
      <c r="H819" s="4443">
        <f>ROUND(H801,0)</f>
        <v>1108</v>
      </c>
      <c r="I819" s="4443">
        <f t="shared" si="263"/>
        <v>1160</v>
      </c>
      <c r="J819" s="4443">
        <f t="shared" si="263"/>
        <v>1215</v>
      </c>
      <c r="K819" s="4443">
        <f t="shared" si="263"/>
        <v>1272</v>
      </c>
      <c r="L819" s="4443">
        <f t="shared" si="263"/>
        <v>1331</v>
      </c>
      <c r="M819" s="4444">
        <f t="shared" si="263"/>
        <v>1393</v>
      </c>
    </row>
    <row r="820" spans="1:16" x14ac:dyDescent="0.25">
      <c r="B820" s="4445"/>
      <c r="C820" s="4432" t="s">
        <v>190</v>
      </c>
      <c r="D820" s="4446">
        <f>ROUND(D802,0)</f>
        <v>920</v>
      </c>
      <c r="E820" s="4446">
        <f t="shared" ref="E820:M820" si="264">ROUND(E802,0)</f>
        <v>961</v>
      </c>
      <c r="F820" s="4446">
        <f t="shared" si="264"/>
        <v>1003</v>
      </c>
      <c r="G820" s="4446">
        <f t="shared" si="264"/>
        <v>1047</v>
      </c>
      <c r="H820" s="4446">
        <f t="shared" si="264"/>
        <v>1094</v>
      </c>
      <c r="I820" s="4446">
        <f t="shared" si="264"/>
        <v>1142</v>
      </c>
      <c r="J820" s="4446">
        <f t="shared" si="264"/>
        <v>1193</v>
      </c>
      <c r="K820" s="4446">
        <f t="shared" si="264"/>
        <v>1246</v>
      </c>
      <c r="L820" s="4446">
        <f t="shared" si="264"/>
        <v>1302</v>
      </c>
      <c r="M820" s="4447">
        <f t="shared" si="264"/>
        <v>1360</v>
      </c>
    </row>
    <row r="821" spans="1:16" x14ac:dyDescent="0.25">
      <c r="B821" s="4445"/>
      <c r="C821" s="4432" t="s">
        <v>1231</v>
      </c>
      <c r="D821" s="4446">
        <f>ROUND(D803-D816,0)</f>
        <v>31</v>
      </c>
      <c r="E821" s="4446">
        <f t="shared" ref="E821:M821" si="265">ROUND(E803-E816,0)</f>
        <v>12</v>
      </c>
      <c r="F821" s="4446">
        <f t="shared" si="265"/>
        <v>102</v>
      </c>
      <c r="G821" s="4446">
        <f t="shared" si="265"/>
        <v>0</v>
      </c>
      <c r="H821" s="4446">
        <f t="shared" si="265"/>
        <v>0</v>
      </c>
      <c r="I821" s="4446">
        <f t="shared" si="265"/>
        <v>0</v>
      </c>
      <c r="J821" s="4446">
        <f t="shared" si="265"/>
        <v>0</v>
      </c>
      <c r="K821" s="4446">
        <f t="shared" si="265"/>
        <v>0</v>
      </c>
      <c r="L821" s="4446">
        <f t="shared" si="265"/>
        <v>0</v>
      </c>
      <c r="M821" s="4447">
        <f t="shared" si="265"/>
        <v>0</v>
      </c>
    </row>
    <row r="822" spans="1:16" ht="16.5" thickBot="1" x14ac:dyDescent="0.3">
      <c r="B822" s="4452"/>
      <c r="C822" s="4453" t="s">
        <v>1182</v>
      </c>
      <c r="D822" s="4454">
        <f>D818+D819-D820-D821</f>
        <v>0</v>
      </c>
      <c r="E822" s="4454">
        <f t="shared" ref="E822:M822" si="266">E818+E819-E820-E821</f>
        <v>0</v>
      </c>
      <c r="F822" s="4454">
        <f t="shared" si="266"/>
        <v>-93</v>
      </c>
      <c r="G822" s="4454">
        <f t="shared" si="266"/>
        <v>-81</v>
      </c>
      <c r="H822" s="4454">
        <f t="shared" si="266"/>
        <v>-67</v>
      </c>
      <c r="I822" s="4454">
        <f t="shared" si="266"/>
        <v>-49</v>
      </c>
      <c r="J822" s="4454">
        <f t="shared" si="266"/>
        <v>-27</v>
      </c>
      <c r="K822" s="4454">
        <f t="shared" si="266"/>
        <v>-1</v>
      </c>
      <c r="L822" s="4454">
        <f t="shared" si="266"/>
        <v>28</v>
      </c>
      <c r="M822" s="4455">
        <f t="shared" si="266"/>
        <v>61</v>
      </c>
    </row>
    <row r="823" spans="1:16" s="4477" customFormat="1" ht="12.75" x14ac:dyDescent="0.25">
      <c r="A823" s="4475"/>
      <c r="B823" s="4475"/>
      <c r="C823" s="4475"/>
      <c r="D823" s="4476"/>
      <c r="E823" s="4476"/>
      <c r="F823" s="4476"/>
      <c r="G823" s="4476"/>
      <c r="H823" s="4476"/>
      <c r="I823" s="4476"/>
      <c r="J823" s="4476"/>
      <c r="K823" s="4476"/>
      <c r="L823" s="4476"/>
      <c r="M823" s="4476"/>
      <c r="N823" s="4475"/>
      <c r="O823" s="4475"/>
      <c r="P823" s="4475"/>
    </row>
    <row r="824" spans="1:16" s="4477" customFormat="1" ht="12.75" x14ac:dyDescent="0.25">
      <c r="A824" s="4475"/>
      <c r="B824" s="4475"/>
      <c r="C824" s="4475"/>
      <c r="D824" s="4476"/>
      <c r="E824" s="4476"/>
      <c r="F824" s="4476"/>
      <c r="G824" s="4476"/>
      <c r="H824" s="4476"/>
      <c r="I824" s="4476"/>
      <c r="J824" s="4476"/>
      <c r="K824" s="4476"/>
      <c r="L824" s="4476"/>
      <c r="M824" s="4476"/>
      <c r="N824" s="4475"/>
      <c r="O824" s="4475"/>
      <c r="P824" s="4475"/>
    </row>
    <row r="825" spans="1:16" ht="17.25" x14ac:dyDescent="0.25">
      <c r="B825" s="4421"/>
      <c r="C825" s="4421" t="s">
        <v>545</v>
      </c>
      <c r="D825" s="4422"/>
      <c r="E825" s="4422"/>
      <c r="F825" s="4422"/>
      <c r="G825" s="4422"/>
      <c r="H825" s="4422"/>
      <c r="I825" s="4422"/>
      <c r="J825" s="4422"/>
      <c r="K825" s="4422"/>
      <c r="L825" s="4422"/>
      <c r="M825" s="4423"/>
    </row>
    <row r="826" spans="1:16" ht="15.75" x14ac:dyDescent="0.25">
      <c r="B826" s="4424"/>
      <c r="C826" s="4424" t="s">
        <v>1196</v>
      </c>
      <c r="D826" s="4425"/>
      <c r="E826" s="4425"/>
      <c r="F826" s="4425"/>
      <c r="G826" s="4425"/>
      <c r="H826" s="4425"/>
      <c r="I826" s="4425"/>
      <c r="J826" s="4425"/>
      <c r="K826" s="4425"/>
      <c r="L826" s="4425"/>
      <c r="M826" s="4426"/>
    </row>
    <row r="827" spans="1:16" x14ac:dyDescent="0.25">
      <c r="B827" s="4466"/>
      <c r="C827" s="4466" t="s">
        <v>1238</v>
      </c>
      <c r="D827" s="4478">
        <f>'Financing Plan'!E92</f>
        <v>0</v>
      </c>
      <c r="E827" s="4478">
        <f>'Financing Plan'!F92</f>
        <v>0</v>
      </c>
      <c r="F827" s="4478">
        <f>'Financing Plan'!G92</f>
        <v>0</v>
      </c>
      <c r="G827" s="4478">
        <f>'Financing Plan'!H92</f>
        <v>0</v>
      </c>
      <c r="H827" s="4478">
        <f>'Financing Plan'!I92</f>
        <v>0</v>
      </c>
      <c r="I827" s="4478">
        <f>'Financing Plan'!J92</f>
        <v>0</v>
      </c>
      <c r="J827" s="4478">
        <f>'Financing Plan'!K92</f>
        <v>0</v>
      </c>
      <c r="K827" s="4478">
        <f>'Financing Plan'!L92</f>
        <v>0</v>
      </c>
      <c r="L827" s="4478">
        <f>'Financing Plan'!M92</f>
        <v>0</v>
      </c>
      <c r="M827" s="4478">
        <f>'Financing Plan'!N92</f>
        <v>0</v>
      </c>
    </row>
    <row r="828" spans="1:16" x14ac:dyDescent="0.25">
      <c r="B828" s="4466"/>
      <c r="C828" s="4466" t="s">
        <v>1239</v>
      </c>
      <c r="D828" s="4478">
        <f>D787</f>
        <v>61</v>
      </c>
      <c r="E828" s="4478">
        <f t="shared" ref="E828:M828" si="267">E787</f>
        <v>38</v>
      </c>
      <c r="F828" s="4478">
        <f t="shared" si="267"/>
        <v>0</v>
      </c>
      <c r="G828" s="4478">
        <f t="shared" si="267"/>
        <v>0</v>
      </c>
      <c r="H828" s="4478">
        <f t="shared" si="267"/>
        <v>0</v>
      </c>
      <c r="I828" s="4478">
        <f t="shared" si="267"/>
        <v>0</v>
      </c>
      <c r="J828" s="4478">
        <f t="shared" si="267"/>
        <v>0</v>
      </c>
      <c r="K828" s="4478">
        <f t="shared" si="267"/>
        <v>0</v>
      </c>
      <c r="L828" s="4478">
        <f t="shared" si="267"/>
        <v>0</v>
      </c>
      <c r="M828" s="4478">
        <f t="shared" si="267"/>
        <v>0</v>
      </c>
    </row>
    <row r="829" spans="1:16" x14ac:dyDescent="0.25">
      <c r="B829" s="4466"/>
      <c r="C829" s="4466" t="s">
        <v>1241</v>
      </c>
      <c r="D829" s="4478">
        <f>D849</f>
        <v>0</v>
      </c>
      <c r="E829" s="4478">
        <f t="shared" ref="E829:M829" si="268">E849</f>
        <v>0</v>
      </c>
      <c r="F829" s="4478">
        <f t="shared" si="268"/>
        <v>0</v>
      </c>
      <c r="G829" s="4478">
        <f t="shared" si="268"/>
        <v>0</v>
      </c>
      <c r="H829" s="4478">
        <f t="shared" si="268"/>
        <v>0</v>
      </c>
      <c r="I829" s="4478">
        <f t="shared" si="268"/>
        <v>0</v>
      </c>
      <c r="J829" s="4478">
        <f t="shared" si="268"/>
        <v>0</v>
      </c>
      <c r="K829" s="4478">
        <f t="shared" si="268"/>
        <v>0</v>
      </c>
      <c r="L829" s="4478">
        <f t="shared" si="268"/>
        <v>0</v>
      </c>
      <c r="M829" s="4478">
        <f t="shared" si="268"/>
        <v>0</v>
      </c>
    </row>
    <row r="830" spans="1:16" x14ac:dyDescent="0.25">
      <c r="B830" s="4466"/>
      <c r="C830" s="4466" t="s">
        <v>3097</v>
      </c>
      <c r="D830" s="4478">
        <f ca="1">SUM(D630:D631,D633:D634)</f>
        <v>373.74</v>
      </c>
      <c r="E830" s="4478">
        <f t="shared" ref="E830:M830" ca="1" si="269">SUM(E630:E631,E633:E634)</f>
        <v>358.87799999999999</v>
      </c>
      <c r="F830" s="4478">
        <f t="shared" ca="1" si="269"/>
        <v>371.63453999999996</v>
      </c>
      <c r="G830" s="4478">
        <f t="shared" ca="1" si="269"/>
        <v>387.50560175999999</v>
      </c>
      <c r="H830" s="4478">
        <f t="shared" ca="1" si="269"/>
        <v>414.63099388320006</v>
      </c>
      <c r="I830" s="4478">
        <f t="shared" ca="1" si="269"/>
        <v>0</v>
      </c>
      <c r="J830" s="4478">
        <f t="shared" ca="1" si="269"/>
        <v>0</v>
      </c>
      <c r="K830" s="4478">
        <f t="shared" ca="1" si="269"/>
        <v>0</v>
      </c>
      <c r="L830" s="4478">
        <f t="shared" ca="1" si="269"/>
        <v>0</v>
      </c>
      <c r="M830" s="4478">
        <f t="shared" ca="1" si="269"/>
        <v>0</v>
      </c>
    </row>
    <row r="831" spans="1:16" x14ac:dyDescent="0.25">
      <c r="B831" s="4466"/>
      <c r="C831" s="4466" t="s">
        <v>1240</v>
      </c>
      <c r="D831" s="4478">
        <f ca="1">'Financing Plan'!E109+'Financing Plan'!E108</f>
        <v>0</v>
      </c>
      <c r="E831" s="4478">
        <f ca="1">'Financing Plan'!F109+'Financing Plan'!F108</f>
        <v>0</v>
      </c>
      <c r="F831" s="4478">
        <f ca="1">'Financing Plan'!G109+'Financing Plan'!G108</f>
        <v>36</v>
      </c>
      <c r="G831" s="4478">
        <f ca="1">'Financing Plan'!H109+'Financing Plan'!H108</f>
        <v>0</v>
      </c>
      <c r="H831" s="4478">
        <f ca="1">'Financing Plan'!I109+'Financing Plan'!I108</f>
        <v>0</v>
      </c>
      <c r="I831" s="4478">
        <f ca="1">'Financing Plan'!J109+'Financing Plan'!J108</f>
        <v>0</v>
      </c>
      <c r="J831" s="4478">
        <f ca="1">'Financing Plan'!K109+'Financing Plan'!K108</f>
        <v>0</v>
      </c>
      <c r="K831" s="4478">
        <f ca="1">'Financing Plan'!L109+'Financing Plan'!L108</f>
        <v>0</v>
      </c>
      <c r="L831" s="4478">
        <f ca="1">'Financing Plan'!M109+'Financing Plan'!M108</f>
        <v>0</v>
      </c>
      <c r="M831" s="4478">
        <f ca="1">'Financing Plan'!N109+'Financing Plan'!N108</f>
        <v>0</v>
      </c>
    </row>
    <row r="832" spans="1:16" ht="15.75" thickBot="1" x14ac:dyDescent="0.3">
      <c r="B832" s="4432"/>
      <c r="C832" s="4432" t="s">
        <v>146</v>
      </c>
      <c r="D832" s="4433">
        <f>ROUND('Financial Projections'!K285,0)</f>
        <v>345</v>
      </c>
      <c r="E832" s="4433">
        <f>ROUND('Financial Projections'!L285,0)</f>
        <v>301</v>
      </c>
      <c r="F832" s="4433">
        <f>ROUND('Financial Projections'!M285,0)</f>
        <v>257</v>
      </c>
      <c r="G832" s="4433">
        <f>ROUND('Financial Projections'!N285,0)</f>
        <v>242</v>
      </c>
      <c r="H832" s="4433">
        <f>ROUND('Financial Projections'!O285,0)</f>
        <v>259</v>
      </c>
      <c r="I832" s="4433">
        <f>ROUND('Financial Projections'!P285,0)</f>
        <v>0</v>
      </c>
      <c r="J832" s="4433">
        <f>ROUND('Financial Projections'!Q285,0)</f>
        <v>0</v>
      </c>
      <c r="K832" s="4433">
        <f>ROUND('Financial Projections'!R285,0)</f>
        <v>0</v>
      </c>
      <c r="L832" s="4433">
        <f>ROUND('Financial Projections'!S285,0)</f>
        <v>0</v>
      </c>
      <c r="M832" s="4433">
        <f>ROUND('Financial Projections'!T285,0)</f>
        <v>0</v>
      </c>
    </row>
    <row r="833" spans="1:14" x14ac:dyDescent="0.25">
      <c r="B833" s="4437"/>
      <c r="C833" s="4438" t="s">
        <v>1256</v>
      </c>
      <c r="D833" s="4439"/>
      <c r="E833" s="4440"/>
      <c r="F833" s="4440"/>
      <c r="G833" s="4440"/>
      <c r="H833" s="4440"/>
      <c r="I833" s="4440"/>
      <c r="J833" s="4440"/>
      <c r="K833" s="4440"/>
      <c r="L833" s="4440"/>
      <c r="M833" s="4441"/>
    </row>
    <row r="834" spans="1:14" x14ac:dyDescent="0.25">
      <c r="B834" s="4479"/>
      <c r="C834" s="4480" t="s">
        <v>1177</v>
      </c>
      <c r="D834" s="4471">
        <f>'Financing Plan'!X92</f>
        <v>0</v>
      </c>
      <c r="E834" s="4471">
        <f ca="1">D837</f>
        <v>90</v>
      </c>
      <c r="F834" s="4471">
        <f t="shared" ref="F834:M834" ca="1" si="270">E837</f>
        <v>186</v>
      </c>
      <c r="G834" s="4471">
        <f t="shared" ca="1" si="270"/>
        <v>337</v>
      </c>
      <c r="H834" s="4471">
        <f t="shared" ca="1" si="270"/>
        <v>483</v>
      </c>
      <c r="I834" s="4471">
        <f t="shared" ca="1" si="270"/>
        <v>639</v>
      </c>
      <c r="J834" s="4471">
        <f t="shared" ca="1" si="270"/>
        <v>639</v>
      </c>
      <c r="K834" s="4471">
        <f t="shared" ca="1" si="270"/>
        <v>639</v>
      </c>
      <c r="L834" s="4471">
        <f t="shared" ca="1" si="270"/>
        <v>639</v>
      </c>
      <c r="M834" s="4481">
        <f t="shared" ca="1" si="270"/>
        <v>639</v>
      </c>
      <c r="N834" s="4275"/>
    </row>
    <row r="835" spans="1:14" x14ac:dyDescent="0.25">
      <c r="B835" s="4482"/>
      <c r="C835" s="4483" t="s">
        <v>192</v>
      </c>
      <c r="D835" s="4443">
        <f ca="1">ROUND(SUM(D827:D831),0)</f>
        <v>435</v>
      </c>
      <c r="E835" s="4443">
        <f ca="1">ROUND(SUM(E827:E831),0)</f>
        <v>397</v>
      </c>
      <c r="F835" s="4443">
        <f ca="1">ROUND(SUM(F827:F831),0)</f>
        <v>408</v>
      </c>
      <c r="G835" s="4443">
        <f t="shared" ref="G835:M835" ca="1" si="271">ROUND(SUM(G827:G831),0)</f>
        <v>388</v>
      </c>
      <c r="H835" s="4443">
        <f t="shared" ca="1" si="271"/>
        <v>415</v>
      </c>
      <c r="I835" s="4443">
        <f t="shared" ca="1" si="271"/>
        <v>0</v>
      </c>
      <c r="J835" s="4443">
        <f ca="1">ROUND(SUM(J827:J831),0)</f>
        <v>0</v>
      </c>
      <c r="K835" s="4443">
        <f t="shared" ca="1" si="271"/>
        <v>0</v>
      </c>
      <c r="L835" s="4443">
        <f t="shared" ca="1" si="271"/>
        <v>0</v>
      </c>
      <c r="M835" s="4444">
        <f t="shared" ca="1" si="271"/>
        <v>0</v>
      </c>
    </row>
    <row r="836" spans="1:14" x14ac:dyDescent="0.25">
      <c r="B836" s="4484"/>
      <c r="C836" s="4485" t="s">
        <v>146</v>
      </c>
      <c r="D836" s="4446">
        <f>ROUND(D832,0)</f>
        <v>345</v>
      </c>
      <c r="E836" s="4446">
        <f>ROUND(E832,0)</f>
        <v>301</v>
      </c>
      <c r="F836" s="4446">
        <f t="shared" ref="F836:M836" si="272">ROUND(F832,0)</f>
        <v>257</v>
      </c>
      <c r="G836" s="4446">
        <f t="shared" si="272"/>
        <v>242</v>
      </c>
      <c r="H836" s="4446">
        <f t="shared" si="272"/>
        <v>259</v>
      </c>
      <c r="I836" s="4446">
        <f t="shared" si="272"/>
        <v>0</v>
      </c>
      <c r="J836" s="4446">
        <f t="shared" si="272"/>
        <v>0</v>
      </c>
      <c r="K836" s="4446">
        <f t="shared" si="272"/>
        <v>0</v>
      </c>
      <c r="L836" s="4446">
        <f t="shared" si="272"/>
        <v>0</v>
      </c>
      <c r="M836" s="4447">
        <f t="shared" si="272"/>
        <v>0</v>
      </c>
    </row>
    <row r="837" spans="1:14" ht="15.75" thickBot="1" x14ac:dyDescent="0.3">
      <c r="B837" s="4486"/>
      <c r="C837" s="4487" t="s">
        <v>1183</v>
      </c>
      <c r="D837" s="4454">
        <f ca="1">D834+D835-D836</f>
        <v>90</v>
      </c>
      <c r="E837" s="4454">
        <f ca="1">E834+E835-E836</f>
        <v>186</v>
      </c>
      <c r="F837" s="4454">
        <f t="shared" ref="F837:M837" ca="1" si="273">F834+F835-F836</f>
        <v>337</v>
      </c>
      <c r="G837" s="4454">
        <f t="shared" ca="1" si="273"/>
        <v>483</v>
      </c>
      <c r="H837" s="4454">
        <f t="shared" ca="1" si="273"/>
        <v>639</v>
      </c>
      <c r="I837" s="4454">
        <f t="shared" ca="1" si="273"/>
        <v>639</v>
      </c>
      <c r="J837" s="4454">
        <f t="shared" ca="1" si="273"/>
        <v>639</v>
      </c>
      <c r="K837" s="4454">
        <f t="shared" ca="1" si="273"/>
        <v>639</v>
      </c>
      <c r="L837" s="4454">
        <f t="shared" ca="1" si="273"/>
        <v>639</v>
      </c>
      <c r="M837" s="4455">
        <f t="shared" ca="1" si="273"/>
        <v>639</v>
      </c>
    </row>
    <row r="838" spans="1:14" x14ac:dyDescent="0.25">
      <c r="A838" s="4071"/>
      <c r="D838" s="4071"/>
      <c r="E838" s="4459"/>
    </row>
    <row r="839" spans="1:14" ht="15.75" x14ac:dyDescent="0.25">
      <c r="B839" s="4460"/>
      <c r="C839" s="4460" t="s">
        <v>1195</v>
      </c>
      <c r="D839" s="4461"/>
      <c r="E839" s="4461"/>
      <c r="F839" s="4461"/>
      <c r="G839" s="4461"/>
      <c r="H839" s="4461"/>
      <c r="I839" s="4461"/>
      <c r="J839" s="4461"/>
      <c r="K839" s="4461"/>
      <c r="L839" s="4461"/>
      <c r="M839" s="4462"/>
    </row>
    <row r="840" spans="1:14" x14ac:dyDescent="0.25">
      <c r="B840" s="4427"/>
      <c r="C840" s="4427" t="s">
        <v>1177</v>
      </c>
      <c r="D840" s="4488"/>
      <c r="E840" s="4489">
        <f>D855</f>
        <v>0</v>
      </c>
      <c r="F840" s="4489">
        <f t="shared" ref="F840:M840" si="274">E855</f>
        <v>0</v>
      </c>
      <c r="G840" s="4489">
        <f t="shared" si="274"/>
        <v>0</v>
      </c>
      <c r="H840" s="4489">
        <f t="shared" si="274"/>
        <v>0</v>
      </c>
      <c r="I840" s="4489">
        <f t="shared" si="274"/>
        <v>0</v>
      </c>
      <c r="J840" s="4489">
        <f t="shared" si="274"/>
        <v>0</v>
      </c>
      <c r="K840" s="4489">
        <f t="shared" si="274"/>
        <v>0</v>
      </c>
      <c r="L840" s="4489">
        <f t="shared" si="274"/>
        <v>0</v>
      </c>
      <c r="M840" s="4489">
        <f t="shared" si="274"/>
        <v>0</v>
      </c>
    </row>
    <row r="841" spans="1:14" x14ac:dyDescent="0.25">
      <c r="B841" s="4429"/>
      <c r="C841" s="4429" t="s">
        <v>192</v>
      </c>
      <c r="D841" s="4443">
        <f>ROUND('Financial Projections'!K288,0)</f>
        <v>0</v>
      </c>
      <c r="E841" s="4443">
        <f>ROUND('Financial Projections'!L288,0)</f>
        <v>0</v>
      </c>
      <c r="F841" s="4443">
        <f>ROUND('Financial Projections'!M288,0)</f>
        <v>0</v>
      </c>
      <c r="G841" s="4443">
        <f>ROUND('Financial Projections'!N288,0)</f>
        <v>0</v>
      </c>
      <c r="H841" s="4443">
        <f>ROUND('Financial Projections'!O288,0)</f>
        <v>0</v>
      </c>
      <c r="I841" s="4443">
        <f>ROUND('Financial Projections'!P288,0)</f>
        <v>0</v>
      </c>
      <c r="J841" s="4443">
        <f>ROUND('Financial Projections'!Q288,0)</f>
        <v>0</v>
      </c>
      <c r="K841" s="4443">
        <f>ROUND('Financial Projections'!R288,0)</f>
        <v>0</v>
      </c>
      <c r="L841" s="4443">
        <f>ROUND('Financial Projections'!S288,0)</f>
        <v>0</v>
      </c>
      <c r="M841" s="4443">
        <f>ROUND('Financial Projections'!T288,0)</f>
        <v>0</v>
      </c>
    </row>
    <row r="842" spans="1:14" x14ac:dyDescent="0.25">
      <c r="B842" s="4432"/>
      <c r="C842" s="4432" t="s">
        <v>146</v>
      </c>
      <c r="D842" s="4446">
        <f>ROUND('Financial Projections'!K289,0)</f>
        <v>0</v>
      </c>
      <c r="E842" s="4446">
        <f>ROUND('Financial Projections'!L289,0)</f>
        <v>0</v>
      </c>
      <c r="F842" s="4446">
        <f>ROUND('Financial Projections'!M289,0)</f>
        <v>0</v>
      </c>
      <c r="G842" s="4446">
        <f>ROUND('Financial Projections'!N289,0)</f>
        <v>0</v>
      </c>
      <c r="H842" s="4446">
        <f>ROUND('Financial Projections'!O289,0)</f>
        <v>0</v>
      </c>
      <c r="I842" s="4446">
        <f>ROUND('Financial Projections'!P289,0)</f>
        <v>0</v>
      </c>
      <c r="J842" s="4446">
        <f>ROUND('Financial Projections'!Q289,0)</f>
        <v>0</v>
      </c>
      <c r="K842" s="4446">
        <f>ROUND('Financial Projections'!R289,0)</f>
        <v>0</v>
      </c>
      <c r="L842" s="4446">
        <f>ROUND('Financial Projections'!S289,0)</f>
        <v>0</v>
      </c>
      <c r="M842" s="4446">
        <f>ROUND('Financial Projections'!T289,0)</f>
        <v>0</v>
      </c>
    </row>
    <row r="843" spans="1:14" x14ac:dyDescent="0.25">
      <c r="B843" s="4490"/>
      <c r="C843" s="4490" t="s">
        <v>1183</v>
      </c>
      <c r="D843" s="4468">
        <f>D840+D841-D842</f>
        <v>0</v>
      </c>
      <c r="E843" s="4468">
        <f>E840+E841-E842</f>
        <v>0</v>
      </c>
      <c r="F843" s="4468">
        <f t="shared" ref="F843:M843" si="275">F840+F841-F842</f>
        <v>0</v>
      </c>
      <c r="G843" s="4468">
        <f t="shared" si="275"/>
        <v>0</v>
      </c>
      <c r="H843" s="4468">
        <f t="shared" si="275"/>
        <v>0</v>
      </c>
      <c r="I843" s="4468">
        <f t="shared" si="275"/>
        <v>0</v>
      </c>
      <c r="J843" s="4468">
        <f t="shared" si="275"/>
        <v>0</v>
      </c>
      <c r="K843" s="4468">
        <f t="shared" si="275"/>
        <v>0</v>
      </c>
      <c r="L843" s="4468">
        <f t="shared" si="275"/>
        <v>0</v>
      </c>
      <c r="M843" s="4468">
        <f t="shared" si="275"/>
        <v>0</v>
      </c>
    </row>
    <row r="844" spans="1:14" x14ac:dyDescent="0.25">
      <c r="B844" s="4491"/>
      <c r="C844" s="4491" t="s">
        <v>1242</v>
      </c>
      <c r="D844" s="4492"/>
      <c r="E844" s="4492"/>
      <c r="F844" s="4492"/>
      <c r="G844" s="4492"/>
      <c r="H844" s="4492"/>
      <c r="I844" s="4492"/>
      <c r="J844" s="4492"/>
      <c r="K844" s="4492"/>
      <c r="L844" s="4493"/>
      <c r="M844" s="4494"/>
    </row>
    <row r="845" spans="1:14" x14ac:dyDescent="0.25">
      <c r="B845" s="4495"/>
      <c r="C845" s="4491" t="s">
        <v>1223</v>
      </c>
      <c r="D845" s="4471">
        <f>IF(D843&lt;0,D803-D846,0)</f>
        <v>0</v>
      </c>
      <c r="E845" s="4471">
        <f t="shared" ref="E845:M845" si="276">IF(E843&lt;0,E803-E846,0)</f>
        <v>0</v>
      </c>
      <c r="F845" s="4471">
        <f t="shared" si="276"/>
        <v>0</v>
      </c>
      <c r="G845" s="4471">
        <f t="shared" si="276"/>
        <v>0</v>
      </c>
      <c r="H845" s="4471">
        <f t="shared" si="276"/>
        <v>0</v>
      </c>
      <c r="I845" s="4471">
        <f t="shared" si="276"/>
        <v>0</v>
      </c>
      <c r="J845" s="4471">
        <f t="shared" si="276"/>
        <v>0</v>
      </c>
      <c r="K845" s="4471">
        <f t="shared" si="276"/>
        <v>0</v>
      </c>
      <c r="L845" s="4471">
        <f t="shared" si="276"/>
        <v>0</v>
      </c>
      <c r="M845" s="4471">
        <f t="shared" si="276"/>
        <v>0</v>
      </c>
    </row>
    <row r="846" spans="1:14" x14ac:dyDescent="0.25">
      <c r="B846" s="4496"/>
      <c r="C846" s="4497" t="s">
        <v>1224</v>
      </c>
      <c r="D846" s="4471">
        <f t="shared" ref="D846:M846" si="277">MAX(IF(AND(D843&lt;0,D803&gt;0),D803+D843,D803),0)</f>
        <v>31</v>
      </c>
      <c r="E846" s="4471">
        <f t="shared" si="277"/>
        <v>12</v>
      </c>
      <c r="F846" s="4471">
        <f t="shared" si="277"/>
        <v>9</v>
      </c>
      <c r="G846" s="4471">
        <f t="shared" si="277"/>
        <v>0</v>
      </c>
      <c r="H846" s="4471">
        <f t="shared" si="277"/>
        <v>0</v>
      </c>
      <c r="I846" s="4471">
        <f t="shared" si="277"/>
        <v>0</v>
      </c>
      <c r="J846" s="4471">
        <f t="shared" si="277"/>
        <v>0</v>
      </c>
      <c r="K846" s="4471">
        <f t="shared" si="277"/>
        <v>0</v>
      </c>
      <c r="L846" s="4471">
        <f t="shared" si="277"/>
        <v>28</v>
      </c>
      <c r="M846" s="4471">
        <f t="shared" si="277"/>
        <v>61</v>
      </c>
    </row>
    <row r="847" spans="1:14" x14ac:dyDescent="0.25">
      <c r="B847" s="4491"/>
      <c r="C847" s="4491" t="s">
        <v>1243</v>
      </c>
      <c r="D847" s="4492"/>
      <c r="E847" s="4492"/>
      <c r="F847" s="4492"/>
      <c r="G847" s="4492"/>
      <c r="H847" s="4492"/>
      <c r="I847" s="4492"/>
      <c r="J847" s="4492"/>
      <c r="K847" s="4492"/>
      <c r="L847" s="4493"/>
      <c r="M847" s="4494"/>
    </row>
    <row r="848" spans="1:14" x14ac:dyDescent="0.25">
      <c r="B848" s="4498"/>
      <c r="C848" s="4499" t="s">
        <v>1244</v>
      </c>
      <c r="D848" s="4500">
        <f>MAX(D843,0)</f>
        <v>0</v>
      </c>
      <c r="E848" s="4500">
        <f t="shared" ref="E848:M848" si="278">MAX(E843,0)</f>
        <v>0</v>
      </c>
      <c r="F848" s="4500">
        <f t="shared" si="278"/>
        <v>0</v>
      </c>
      <c r="G848" s="4500">
        <f t="shared" si="278"/>
        <v>0</v>
      </c>
      <c r="H848" s="4500">
        <f t="shared" si="278"/>
        <v>0</v>
      </c>
      <c r="I848" s="4500">
        <f t="shared" si="278"/>
        <v>0</v>
      </c>
      <c r="J848" s="4500">
        <f t="shared" si="278"/>
        <v>0</v>
      </c>
      <c r="K848" s="4500">
        <f t="shared" si="278"/>
        <v>0</v>
      </c>
      <c r="L848" s="4500">
        <f t="shared" si="278"/>
        <v>0</v>
      </c>
      <c r="M848" s="4500">
        <f t="shared" si="278"/>
        <v>0</v>
      </c>
    </row>
    <row r="849" spans="1:14" ht="15.75" thickBot="1" x14ac:dyDescent="0.3">
      <c r="B849" s="4498"/>
      <c r="C849" s="4499" t="s">
        <v>1245</v>
      </c>
      <c r="D849" s="4501">
        <f>'Financing Plan'!E104</f>
        <v>0</v>
      </c>
      <c r="E849" s="4501">
        <f>'Financing Plan'!F104</f>
        <v>0</v>
      </c>
      <c r="F849" s="4501">
        <f>'Financing Plan'!G104</f>
        <v>0</v>
      </c>
      <c r="G849" s="4501">
        <f>'Financing Plan'!H104</f>
        <v>0</v>
      </c>
      <c r="H849" s="4501">
        <f>'Financing Plan'!I104</f>
        <v>0</v>
      </c>
      <c r="I849" s="4501">
        <f>'Financing Plan'!J104</f>
        <v>0</v>
      </c>
      <c r="J849" s="4501">
        <f>'Financing Plan'!K104</f>
        <v>0</v>
      </c>
      <c r="K849" s="4501">
        <f>'Financing Plan'!L104</f>
        <v>0</v>
      </c>
      <c r="L849" s="4501">
        <f>'Financing Plan'!M104</f>
        <v>0</v>
      </c>
      <c r="M849" s="4501">
        <f>'Financing Plan'!N104</f>
        <v>0</v>
      </c>
      <c r="N849" s="4070"/>
    </row>
    <row r="850" spans="1:14" x14ac:dyDescent="0.25">
      <c r="B850" s="4437"/>
      <c r="C850" s="4438" t="s">
        <v>1225</v>
      </c>
      <c r="D850" s="4439"/>
      <c r="E850" s="4440"/>
      <c r="F850" s="4440"/>
      <c r="G850" s="4440"/>
      <c r="H850" s="4440"/>
      <c r="I850" s="4440"/>
      <c r="J850" s="4440"/>
      <c r="K850" s="4440"/>
      <c r="L850" s="4440"/>
      <c r="M850" s="4441"/>
    </row>
    <row r="851" spans="1:14" x14ac:dyDescent="0.25">
      <c r="B851" s="4479"/>
      <c r="C851" s="4480" t="s">
        <v>1177</v>
      </c>
      <c r="D851" s="4471">
        <f>D840</f>
        <v>0</v>
      </c>
      <c r="E851" s="4471">
        <f>D855</f>
        <v>0</v>
      </c>
      <c r="F851" s="4471">
        <f t="shared" ref="F851:M851" si="279">E855</f>
        <v>0</v>
      </c>
      <c r="G851" s="4471">
        <f t="shared" si="279"/>
        <v>0</v>
      </c>
      <c r="H851" s="4471">
        <f t="shared" si="279"/>
        <v>0</v>
      </c>
      <c r="I851" s="4471">
        <f t="shared" si="279"/>
        <v>0</v>
      </c>
      <c r="J851" s="4471">
        <f t="shared" si="279"/>
        <v>0</v>
      </c>
      <c r="K851" s="4471">
        <f t="shared" si="279"/>
        <v>0</v>
      </c>
      <c r="L851" s="4471">
        <f t="shared" si="279"/>
        <v>0</v>
      </c>
      <c r="M851" s="4481">
        <f t="shared" si="279"/>
        <v>0</v>
      </c>
      <c r="N851" s="4275"/>
    </row>
    <row r="852" spans="1:14" x14ac:dyDescent="0.25">
      <c r="B852" s="4482"/>
      <c r="C852" s="4483" t="s">
        <v>192</v>
      </c>
      <c r="D852" s="4443">
        <f>ROUND((D841+D845),0)</f>
        <v>0</v>
      </c>
      <c r="E852" s="4443">
        <f>ROUND((E841+E845),0)</f>
        <v>0</v>
      </c>
      <c r="F852" s="4443">
        <f t="shared" ref="F852:M852" si="280">ROUND((F841+F845),0)</f>
        <v>0</v>
      </c>
      <c r="G852" s="4443">
        <f t="shared" si="280"/>
        <v>0</v>
      </c>
      <c r="H852" s="4443">
        <f t="shared" si="280"/>
        <v>0</v>
      </c>
      <c r="I852" s="4443">
        <f t="shared" si="280"/>
        <v>0</v>
      </c>
      <c r="J852" s="4443">
        <f t="shared" si="280"/>
        <v>0</v>
      </c>
      <c r="K852" s="4443">
        <f t="shared" si="280"/>
        <v>0</v>
      </c>
      <c r="L852" s="4443">
        <f t="shared" si="280"/>
        <v>0</v>
      </c>
      <c r="M852" s="4444">
        <f t="shared" si="280"/>
        <v>0</v>
      </c>
    </row>
    <row r="853" spans="1:14" x14ac:dyDescent="0.25">
      <c r="B853" s="4484"/>
      <c r="C853" s="4485" t="s">
        <v>146</v>
      </c>
      <c r="D853" s="4446">
        <f>ROUND(D842,0)</f>
        <v>0</v>
      </c>
      <c r="E853" s="4446">
        <f t="shared" ref="E853:M853" si="281">ROUND(E842,0)</f>
        <v>0</v>
      </c>
      <c r="F853" s="4446">
        <f t="shared" si="281"/>
        <v>0</v>
      </c>
      <c r="G853" s="4446">
        <f t="shared" si="281"/>
        <v>0</v>
      </c>
      <c r="H853" s="4446">
        <f t="shared" si="281"/>
        <v>0</v>
      </c>
      <c r="I853" s="4446">
        <f t="shared" si="281"/>
        <v>0</v>
      </c>
      <c r="J853" s="4446">
        <f t="shared" si="281"/>
        <v>0</v>
      </c>
      <c r="K853" s="4446">
        <f t="shared" si="281"/>
        <v>0</v>
      </c>
      <c r="L853" s="4446">
        <f t="shared" si="281"/>
        <v>0</v>
      </c>
      <c r="M853" s="4447">
        <f t="shared" si="281"/>
        <v>0</v>
      </c>
    </row>
    <row r="854" spans="1:14" x14ac:dyDescent="0.25">
      <c r="B854" s="4484"/>
      <c r="C854" s="4502" t="s">
        <v>2130</v>
      </c>
      <c r="D854" s="4446">
        <f>ROUND(D849,0)</f>
        <v>0</v>
      </c>
      <c r="E854" s="4446">
        <f t="shared" ref="E854:M854" si="282">ROUND(E849,0)</f>
        <v>0</v>
      </c>
      <c r="F854" s="4446">
        <f t="shared" si="282"/>
        <v>0</v>
      </c>
      <c r="G854" s="4446">
        <f t="shared" si="282"/>
        <v>0</v>
      </c>
      <c r="H854" s="4446">
        <f t="shared" si="282"/>
        <v>0</v>
      </c>
      <c r="I854" s="4446">
        <f t="shared" si="282"/>
        <v>0</v>
      </c>
      <c r="J854" s="4446">
        <f t="shared" si="282"/>
        <v>0</v>
      </c>
      <c r="K854" s="4446">
        <f t="shared" si="282"/>
        <v>0</v>
      </c>
      <c r="L854" s="4446">
        <f t="shared" si="282"/>
        <v>0</v>
      </c>
      <c r="M854" s="4447">
        <f t="shared" si="282"/>
        <v>0</v>
      </c>
    </row>
    <row r="855" spans="1:14" ht="15.75" thickBot="1" x14ac:dyDescent="0.3">
      <c r="B855" s="4486"/>
      <c r="C855" s="4487" t="s">
        <v>1183</v>
      </c>
      <c r="D855" s="4454">
        <f>D851+D852-D853-D854</f>
        <v>0</v>
      </c>
      <c r="E855" s="4454">
        <f t="shared" ref="E855:M855" si="283">E851+E852-E853-E854</f>
        <v>0</v>
      </c>
      <c r="F855" s="4454">
        <f t="shared" si="283"/>
        <v>0</v>
      </c>
      <c r="G855" s="4454">
        <f t="shared" si="283"/>
        <v>0</v>
      </c>
      <c r="H855" s="4454">
        <f t="shared" si="283"/>
        <v>0</v>
      </c>
      <c r="I855" s="4454">
        <f t="shared" si="283"/>
        <v>0</v>
      </c>
      <c r="J855" s="4454">
        <f t="shared" si="283"/>
        <v>0</v>
      </c>
      <c r="K855" s="4454">
        <f t="shared" si="283"/>
        <v>0</v>
      </c>
      <c r="L855" s="4454">
        <f t="shared" si="283"/>
        <v>0</v>
      </c>
      <c r="M855" s="4455">
        <f t="shared" si="283"/>
        <v>0</v>
      </c>
    </row>
    <row r="856" spans="1:14" x14ac:dyDescent="0.25">
      <c r="A856" s="4071"/>
      <c r="D856" s="4071"/>
      <c r="E856" s="4071"/>
    </row>
    <row r="857" spans="1:14" ht="17.25" x14ac:dyDescent="0.25">
      <c r="B857" s="4421"/>
      <c r="C857" s="4421" t="s">
        <v>1172</v>
      </c>
      <c r="D857" s="4422"/>
      <c r="E857" s="4422"/>
      <c r="F857" s="4422"/>
      <c r="G857" s="4422"/>
      <c r="H857" s="4422"/>
      <c r="I857" s="4422"/>
      <c r="J857" s="4422"/>
      <c r="K857" s="4422"/>
      <c r="L857" s="4422"/>
      <c r="M857" s="4422"/>
    </row>
    <row r="858" spans="1:14" x14ac:dyDescent="0.25">
      <c r="B858" s="4503"/>
      <c r="C858" s="4503" t="s">
        <v>1177</v>
      </c>
      <c r="D858" s="4504"/>
      <c r="E858" s="4505">
        <f>D868</f>
        <v>0</v>
      </c>
      <c r="F858" s="4505">
        <f t="shared" ref="F858:M858" si="284">E868</f>
        <v>0</v>
      </c>
      <c r="G858" s="4505">
        <f t="shared" si="284"/>
        <v>0</v>
      </c>
      <c r="H858" s="4505">
        <f t="shared" si="284"/>
        <v>0</v>
      </c>
      <c r="I858" s="4505">
        <f t="shared" si="284"/>
        <v>0</v>
      </c>
      <c r="J858" s="4505">
        <f t="shared" si="284"/>
        <v>0</v>
      </c>
      <c r="K858" s="4505">
        <f t="shared" si="284"/>
        <v>0</v>
      </c>
      <c r="L858" s="4505">
        <f t="shared" si="284"/>
        <v>0</v>
      </c>
      <c r="M858" s="4505">
        <f t="shared" si="284"/>
        <v>0</v>
      </c>
    </row>
    <row r="859" spans="1:14" x14ac:dyDescent="0.25">
      <c r="B859" s="4506"/>
      <c r="C859" s="4506" t="s">
        <v>1170</v>
      </c>
      <c r="D859" s="4507">
        <f>'Financial Projections'!K265</f>
        <v>0</v>
      </c>
      <c r="E859" s="4507">
        <f>'Financial Projections'!L265</f>
        <v>0</v>
      </c>
      <c r="F859" s="4507">
        <f>'Financial Projections'!M265</f>
        <v>0</v>
      </c>
      <c r="G859" s="4507">
        <f>'Financial Projections'!N265</f>
        <v>0</v>
      </c>
      <c r="H859" s="4507">
        <f>'Financial Projections'!O265</f>
        <v>0</v>
      </c>
      <c r="I859" s="4507">
        <f>'Financial Projections'!P265</f>
        <v>0</v>
      </c>
      <c r="J859" s="4507">
        <f>'Financial Projections'!Q265</f>
        <v>0</v>
      </c>
      <c r="K859" s="4507">
        <f>'Financial Projections'!R265</f>
        <v>0</v>
      </c>
      <c r="L859" s="4507">
        <f>'Financial Projections'!S265</f>
        <v>0</v>
      </c>
      <c r="M859" s="4507">
        <f>'Financial Projections'!T265</f>
        <v>0</v>
      </c>
    </row>
    <row r="860" spans="1:14" x14ac:dyDescent="0.25">
      <c r="B860" s="4508"/>
      <c r="C860" s="4508" t="s">
        <v>1171</v>
      </c>
      <c r="D860" s="4509">
        <f>'Financial Projections'!K266</f>
        <v>0</v>
      </c>
      <c r="E860" s="4509">
        <f>'Financial Projections'!L266</f>
        <v>0</v>
      </c>
      <c r="F860" s="4509">
        <f>'Financial Projections'!M266</f>
        <v>0</v>
      </c>
      <c r="G860" s="4509">
        <f>'Financial Projections'!N266</f>
        <v>0</v>
      </c>
      <c r="H860" s="4509">
        <f>'Financial Projections'!O266</f>
        <v>0</v>
      </c>
      <c r="I860" s="4509">
        <f>'Financial Projections'!P266</f>
        <v>0</v>
      </c>
      <c r="J860" s="4509">
        <f>'Financial Projections'!Q266</f>
        <v>0</v>
      </c>
      <c r="K860" s="4509">
        <f>'Financial Projections'!R266</f>
        <v>0</v>
      </c>
      <c r="L860" s="4509">
        <f>'Financial Projections'!S266</f>
        <v>0</v>
      </c>
      <c r="M860" s="4509">
        <f>'Financial Projections'!T266</f>
        <v>0</v>
      </c>
    </row>
    <row r="861" spans="1:14" x14ac:dyDescent="0.25">
      <c r="B861" s="4427"/>
      <c r="C861" s="4427" t="s">
        <v>1178</v>
      </c>
      <c r="D861" s="4489">
        <f>D858+D859-D860</f>
        <v>0</v>
      </c>
      <c r="E861" s="4489">
        <f>E858+E859-E860</f>
        <v>0</v>
      </c>
      <c r="F861" s="4489">
        <f t="shared" ref="F861:M861" si="285">F858+F859-F860</f>
        <v>0</v>
      </c>
      <c r="G861" s="4489">
        <f t="shared" si="285"/>
        <v>0</v>
      </c>
      <c r="H861" s="4489">
        <f t="shared" si="285"/>
        <v>0</v>
      </c>
      <c r="I861" s="4489">
        <f t="shared" si="285"/>
        <v>0</v>
      </c>
      <c r="J861" s="4489">
        <f t="shared" si="285"/>
        <v>0</v>
      </c>
      <c r="K861" s="4489">
        <f t="shared" si="285"/>
        <v>0</v>
      </c>
      <c r="L861" s="4489">
        <f t="shared" si="285"/>
        <v>0</v>
      </c>
      <c r="M861" s="4489">
        <f t="shared" si="285"/>
        <v>0</v>
      </c>
    </row>
    <row r="862" spans="1:14" x14ac:dyDescent="0.25">
      <c r="B862" s="4495"/>
      <c r="C862" s="4491" t="s">
        <v>1223</v>
      </c>
      <c r="D862" s="4471">
        <f t="shared" ref="D862:M862" si="286">IF(D861&lt;0,D807-D863,0)</f>
        <v>0</v>
      </c>
      <c r="E862" s="4471">
        <f t="shared" si="286"/>
        <v>0</v>
      </c>
      <c r="F862" s="4471">
        <f t="shared" si="286"/>
        <v>0</v>
      </c>
      <c r="G862" s="4471">
        <f t="shared" si="286"/>
        <v>0</v>
      </c>
      <c r="H862" s="4471">
        <f t="shared" si="286"/>
        <v>0</v>
      </c>
      <c r="I862" s="4471">
        <f t="shared" si="286"/>
        <v>0</v>
      </c>
      <c r="J862" s="4471">
        <f t="shared" si="286"/>
        <v>0</v>
      </c>
      <c r="K862" s="4471">
        <f t="shared" si="286"/>
        <v>0</v>
      </c>
      <c r="L862" s="4471">
        <f t="shared" si="286"/>
        <v>0</v>
      </c>
      <c r="M862" s="4471">
        <f t="shared" si="286"/>
        <v>0</v>
      </c>
    </row>
    <row r="863" spans="1:14" ht="15.75" thickBot="1" x14ac:dyDescent="0.3">
      <c r="B863" s="4496"/>
      <c r="C863" s="4497" t="s">
        <v>1224</v>
      </c>
      <c r="D863" s="4471">
        <f t="shared" ref="D863:M863" si="287">MAX(IF(AND(D861&lt;0,D807&gt;0),D807+D861,D807),0)</f>
        <v>31</v>
      </c>
      <c r="E863" s="4471">
        <f t="shared" si="287"/>
        <v>12</v>
      </c>
      <c r="F863" s="4471">
        <f t="shared" si="287"/>
        <v>9</v>
      </c>
      <c r="G863" s="4471">
        <f t="shared" si="287"/>
        <v>0</v>
      </c>
      <c r="H863" s="4471">
        <f t="shared" si="287"/>
        <v>0</v>
      </c>
      <c r="I863" s="4471">
        <f t="shared" si="287"/>
        <v>0</v>
      </c>
      <c r="J863" s="4471">
        <f t="shared" si="287"/>
        <v>0</v>
      </c>
      <c r="K863" s="4471">
        <f t="shared" si="287"/>
        <v>0</v>
      </c>
      <c r="L863" s="4471">
        <f t="shared" si="287"/>
        <v>28</v>
      </c>
      <c r="M863" s="4471">
        <f t="shared" si="287"/>
        <v>61</v>
      </c>
    </row>
    <row r="864" spans="1:14" x14ac:dyDescent="0.25">
      <c r="B864" s="4510"/>
      <c r="C864" s="4511" t="s">
        <v>1172</v>
      </c>
      <c r="D864" s="4512"/>
      <c r="E864" s="4512"/>
      <c r="F864" s="4512"/>
      <c r="G864" s="4512"/>
      <c r="H864" s="4512"/>
      <c r="I864" s="4512"/>
      <c r="J864" s="4512"/>
      <c r="K864" s="4512"/>
      <c r="L864" s="4512"/>
      <c r="M864" s="4513"/>
    </row>
    <row r="865" spans="1:16" x14ac:dyDescent="0.25">
      <c r="B865" s="4514"/>
      <c r="C865" s="4515" t="s">
        <v>1177</v>
      </c>
      <c r="D865" s="4468">
        <f>D858</f>
        <v>0</v>
      </c>
      <c r="E865" s="4468">
        <f>D868</f>
        <v>0</v>
      </c>
      <c r="F865" s="4468">
        <f t="shared" ref="F865:M865" si="288">E868</f>
        <v>0</v>
      </c>
      <c r="G865" s="4468">
        <f t="shared" si="288"/>
        <v>0</v>
      </c>
      <c r="H865" s="4468">
        <f t="shared" si="288"/>
        <v>0</v>
      </c>
      <c r="I865" s="4468">
        <f t="shared" si="288"/>
        <v>0</v>
      </c>
      <c r="J865" s="4468">
        <f t="shared" si="288"/>
        <v>0</v>
      </c>
      <c r="K865" s="4468">
        <f t="shared" si="288"/>
        <v>0</v>
      </c>
      <c r="L865" s="4468">
        <f t="shared" si="288"/>
        <v>0</v>
      </c>
      <c r="M865" s="4516">
        <f t="shared" si="288"/>
        <v>0</v>
      </c>
    </row>
    <row r="866" spans="1:16" x14ac:dyDescent="0.25">
      <c r="B866" s="4517"/>
      <c r="C866" s="4518" t="s">
        <v>1170</v>
      </c>
      <c r="D866" s="4507">
        <f>ROUND(D859+D862,0)</f>
        <v>0</v>
      </c>
      <c r="E866" s="4507">
        <f t="shared" ref="E866:M866" si="289">ROUND(E859+E862,0)</f>
        <v>0</v>
      </c>
      <c r="F866" s="4507">
        <f t="shared" si="289"/>
        <v>0</v>
      </c>
      <c r="G866" s="4507">
        <f t="shared" si="289"/>
        <v>0</v>
      </c>
      <c r="H866" s="4507">
        <f t="shared" si="289"/>
        <v>0</v>
      </c>
      <c r="I866" s="4507">
        <f t="shared" si="289"/>
        <v>0</v>
      </c>
      <c r="J866" s="4507">
        <f t="shared" si="289"/>
        <v>0</v>
      </c>
      <c r="K866" s="4507">
        <f t="shared" si="289"/>
        <v>0</v>
      </c>
      <c r="L866" s="4507">
        <f t="shared" si="289"/>
        <v>0</v>
      </c>
      <c r="M866" s="4519">
        <f t="shared" si="289"/>
        <v>0</v>
      </c>
    </row>
    <row r="867" spans="1:16" x14ac:dyDescent="0.25">
      <c r="B867" s="4520"/>
      <c r="C867" s="4521" t="s">
        <v>1171</v>
      </c>
      <c r="D867" s="4509">
        <f>ROUND(D860,0)</f>
        <v>0</v>
      </c>
      <c r="E867" s="4509">
        <f t="shared" ref="E867:M867" si="290">ROUND(E860,0)</f>
        <v>0</v>
      </c>
      <c r="F867" s="4509">
        <f t="shared" si="290"/>
        <v>0</v>
      </c>
      <c r="G867" s="4509">
        <f t="shared" si="290"/>
        <v>0</v>
      </c>
      <c r="H867" s="4509">
        <f t="shared" si="290"/>
        <v>0</v>
      </c>
      <c r="I867" s="4509">
        <f t="shared" si="290"/>
        <v>0</v>
      </c>
      <c r="J867" s="4509">
        <f t="shared" si="290"/>
        <v>0</v>
      </c>
      <c r="K867" s="4509">
        <f t="shared" si="290"/>
        <v>0</v>
      </c>
      <c r="L867" s="4509">
        <f t="shared" si="290"/>
        <v>0</v>
      </c>
      <c r="M867" s="4522">
        <f t="shared" si="290"/>
        <v>0</v>
      </c>
    </row>
    <row r="868" spans="1:16" ht="15.75" thickBot="1" x14ac:dyDescent="0.3">
      <c r="B868" s="4523"/>
      <c r="C868" s="4524" t="s">
        <v>1178</v>
      </c>
      <c r="D868" s="4454">
        <f>D865+D866-D867</f>
        <v>0</v>
      </c>
      <c r="E868" s="4454">
        <f>E865+E866-E867</f>
        <v>0</v>
      </c>
      <c r="F868" s="4454">
        <f t="shared" ref="F868:M868" si="291">F865+F866-F867</f>
        <v>0</v>
      </c>
      <c r="G868" s="4454">
        <f t="shared" si="291"/>
        <v>0</v>
      </c>
      <c r="H868" s="4454">
        <f t="shared" si="291"/>
        <v>0</v>
      </c>
      <c r="I868" s="4454">
        <f t="shared" si="291"/>
        <v>0</v>
      </c>
      <c r="J868" s="4454">
        <f t="shared" si="291"/>
        <v>0</v>
      </c>
      <c r="K868" s="4454">
        <f t="shared" si="291"/>
        <v>0</v>
      </c>
      <c r="L868" s="4454">
        <f t="shared" si="291"/>
        <v>0</v>
      </c>
      <c r="M868" s="4455">
        <f t="shared" si="291"/>
        <v>0</v>
      </c>
    </row>
    <row r="869" spans="1:16" x14ac:dyDescent="0.25">
      <c r="A869" s="4071"/>
      <c r="D869" s="4071"/>
      <c r="E869" s="4071"/>
    </row>
    <row r="870" spans="1:16" ht="17.25" x14ac:dyDescent="0.25">
      <c r="B870" s="4421"/>
      <c r="C870" s="4421" t="s">
        <v>1193</v>
      </c>
      <c r="D870" s="4422"/>
      <c r="E870" s="4422"/>
      <c r="F870" s="4422"/>
      <c r="G870" s="4422"/>
      <c r="H870" s="4422"/>
      <c r="I870" s="4422"/>
      <c r="J870" s="4422"/>
      <c r="K870" s="4422"/>
      <c r="L870" s="4422"/>
      <c r="M870" s="4423"/>
    </row>
    <row r="871" spans="1:16" ht="15.75" x14ac:dyDescent="0.25">
      <c r="B871" s="4525"/>
      <c r="C871" s="4526" t="s">
        <v>539</v>
      </c>
      <c r="D871" s="4527"/>
      <c r="E871" s="4527"/>
      <c r="F871" s="4527"/>
      <c r="G871" s="4527"/>
      <c r="H871" s="4527"/>
      <c r="I871" s="4527"/>
      <c r="J871" s="4527"/>
      <c r="K871" s="4528"/>
      <c r="L871" s="4528"/>
      <c r="M871" s="4529"/>
    </row>
    <row r="872" spans="1:16" x14ac:dyDescent="0.25">
      <c r="B872" s="4457"/>
      <c r="C872" s="4457" t="s">
        <v>1246</v>
      </c>
      <c r="D872" s="4428">
        <f>D789+D790</f>
        <v>193</v>
      </c>
      <c r="E872" s="4428">
        <f t="shared" ref="E872:M872" si="292">E789+E790</f>
        <v>141</v>
      </c>
      <c r="F872" s="4428">
        <f t="shared" ca="1" si="292"/>
        <v>53</v>
      </c>
      <c r="G872" s="4428">
        <f t="shared" ca="1" si="292"/>
        <v>-95</v>
      </c>
      <c r="H872" s="4428">
        <f t="shared" ca="1" si="292"/>
        <v>-251</v>
      </c>
      <c r="I872" s="4428">
        <f t="shared" ca="1" si="292"/>
        <v>-435</v>
      </c>
      <c r="J872" s="4428">
        <f t="shared" ca="1" si="292"/>
        <v>-628</v>
      </c>
      <c r="K872" s="4428">
        <f t="shared" ca="1" si="292"/>
        <v>-837</v>
      </c>
      <c r="L872" s="4428">
        <f t="shared" ca="1" si="292"/>
        <v>-1056</v>
      </c>
      <c r="M872" s="4428">
        <f t="shared" ca="1" si="292"/>
        <v>-1285</v>
      </c>
    </row>
    <row r="873" spans="1:16" x14ac:dyDescent="0.25">
      <c r="B873" s="4457"/>
      <c r="C873" s="4457" t="s">
        <v>1247</v>
      </c>
      <c r="D873" s="4428">
        <f>D818+D819</f>
        <v>951</v>
      </c>
      <c r="E873" s="4428">
        <f t="shared" ref="E873:M873" si="293">E818+E819</f>
        <v>973</v>
      </c>
      <c r="F873" s="4428">
        <f t="shared" si="293"/>
        <v>1012</v>
      </c>
      <c r="G873" s="4428">
        <f t="shared" si="293"/>
        <v>966</v>
      </c>
      <c r="H873" s="4428">
        <f t="shared" si="293"/>
        <v>1027</v>
      </c>
      <c r="I873" s="4428">
        <f t="shared" si="293"/>
        <v>1093</v>
      </c>
      <c r="J873" s="4428">
        <f t="shared" si="293"/>
        <v>1166</v>
      </c>
      <c r="K873" s="4428">
        <f t="shared" si="293"/>
        <v>1245</v>
      </c>
      <c r="L873" s="4428">
        <f t="shared" si="293"/>
        <v>1330</v>
      </c>
      <c r="M873" s="4428">
        <f t="shared" si="293"/>
        <v>1421</v>
      </c>
    </row>
    <row r="874" spans="1:16" s="4148" customFormat="1" x14ac:dyDescent="0.25">
      <c r="B874" s="4530"/>
      <c r="C874" s="4530" t="s">
        <v>1169</v>
      </c>
      <c r="D874" s="4531">
        <f>D872+D873</f>
        <v>1144</v>
      </c>
      <c r="E874" s="4531">
        <f t="shared" ref="E874:M874" si="294">E872+E873</f>
        <v>1114</v>
      </c>
      <c r="F874" s="4531">
        <f t="shared" ca="1" si="294"/>
        <v>1065</v>
      </c>
      <c r="G874" s="4531">
        <f t="shared" ca="1" si="294"/>
        <v>871</v>
      </c>
      <c r="H874" s="4531">
        <f t="shared" ca="1" si="294"/>
        <v>776</v>
      </c>
      <c r="I874" s="4531">
        <f t="shared" ca="1" si="294"/>
        <v>658</v>
      </c>
      <c r="J874" s="4531">
        <f t="shared" ca="1" si="294"/>
        <v>538</v>
      </c>
      <c r="K874" s="4531">
        <f t="shared" ca="1" si="294"/>
        <v>408</v>
      </c>
      <c r="L874" s="4531">
        <f t="shared" ca="1" si="294"/>
        <v>274</v>
      </c>
      <c r="M874" s="4531">
        <f t="shared" ca="1" si="294"/>
        <v>136</v>
      </c>
      <c r="N874" s="4532"/>
      <c r="O874" s="4532"/>
      <c r="P874" s="4532"/>
    </row>
    <row r="875" spans="1:16" x14ac:dyDescent="0.25">
      <c r="B875" s="4457"/>
      <c r="C875" s="4427"/>
      <c r="D875" s="4533"/>
      <c r="E875" s="4533"/>
      <c r="F875" s="4533"/>
      <c r="G875" s="4533"/>
      <c r="H875" s="4533"/>
      <c r="I875" s="4533"/>
      <c r="J875" s="4533"/>
      <c r="K875" s="4533"/>
      <c r="L875" s="4533"/>
      <c r="M875" s="4534"/>
    </row>
    <row r="876" spans="1:16" x14ac:dyDescent="0.25">
      <c r="B876" s="4457"/>
      <c r="C876" s="4457" t="s">
        <v>1248</v>
      </c>
      <c r="D876" s="4428">
        <f>D791+D792</f>
        <v>193</v>
      </c>
      <c r="E876" s="4428">
        <f t="shared" ref="E876:M876" ca="1" si="295">E791+E792</f>
        <v>191</v>
      </c>
      <c r="F876" s="4428">
        <f t="shared" ca="1" si="295"/>
        <v>167</v>
      </c>
      <c r="G876" s="4428">
        <f t="shared" ca="1" si="295"/>
        <v>175</v>
      </c>
      <c r="H876" s="4428">
        <f t="shared" ca="1" si="295"/>
        <v>184</v>
      </c>
      <c r="I876" s="4428">
        <f t="shared" ca="1" si="295"/>
        <v>193</v>
      </c>
      <c r="J876" s="4428">
        <f t="shared" ca="1" si="295"/>
        <v>209</v>
      </c>
      <c r="K876" s="4428">
        <f t="shared" ca="1" si="295"/>
        <v>219</v>
      </c>
      <c r="L876" s="4428">
        <f t="shared" ca="1" si="295"/>
        <v>229</v>
      </c>
      <c r="M876" s="4428">
        <f t="shared" ca="1" si="295"/>
        <v>240</v>
      </c>
    </row>
    <row r="877" spans="1:16" x14ac:dyDescent="0.25">
      <c r="B877" s="4457"/>
      <c r="C877" s="4457" t="s">
        <v>1249</v>
      </c>
      <c r="D877" s="4428">
        <f>D820+D821</f>
        <v>951</v>
      </c>
      <c r="E877" s="4428">
        <f t="shared" ref="E877:M877" si="296">E820+E821</f>
        <v>973</v>
      </c>
      <c r="F877" s="4428">
        <f t="shared" si="296"/>
        <v>1105</v>
      </c>
      <c r="G877" s="4428">
        <f t="shared" si="296"/>
        <v>1047</v>
      </c>
      <c r="H877" s="4428">
        <f t="shared" si="296"/>
        <v>1094</v>
      </c>
      <c r="I877" s="4428">
        <f t="shared" si="296"/>
        <v>1142</v>
      </c>
      <c r="J877" s="4428">
        <f t="shared" si="296"/>
        <v>1193</v>
      </c>
      <c r="K877" s="4428">
        <f t="shared" si="296"/>
        <v>1246</v>
      </c>
      <c r="L877" s="4428">
        <f t="shared" si="296"/>
        <v>1302</v>
      </c>
      <c r="M877" s="4428">
        <f t="shared" si="296"/>
        <v>1360</v>
      </c>
    </row>
    <row r="878" spans="1:16" s="4148" customFormat="1" x14ac:dyDescent="0.25">
      <c r="B878" s="4530"/>
      <c r="C878" s="4530" t="s">
        <v>147</v>
      </c>
      <c r="D878" s="4531">
        <f>D876+D877</f>
        <v>1144</v>
      </c>
      <c r="E878" s="4531">
        <f t="shared" ref="E878:M878" ca="1" si="297">E876+E877</f>
        <v>1164</v>
      </c>
      <c r="F878" s="4531">
        <f t="shared" ca="1" si="297"/>
        <v>1272</v>
      </c>
      <c r="G878" s="4531">
        <f t="shared" ca="1" si="297"/>
        <v>1222</v>
      </c>
      <c r="H878" s="4531">
        <f t="shared" ca="1" si="297"/>
        <v>1278</v>
      </c>
      <c r="I878" s="4531">
        <f t="shared" ca="1" si="297"/>
        <v>1335</v>
      </c>
      <c r="J878" s="4531">
        <f t="shared" ca="1" si="297"/>
        <v>1402</v>
      </c>
      <c r="K878" s="4531">
        <f t="shared" ca="1" si="297"/>
        <v>1465</v>
      </c>
      <c r="L878" s="4531">
        <f t="shared" ca="1" si="297"/>
        <v>1531</v>
      </c>
      <c r="M878" s="4531">
        <f t="shared" ca="1" si="297"/>
        <v>1600</v>
      </c>
      <c r="N878" s="4532"/>
      <c r="O878" s="4532"/>
      <c r="P878" s="4532"/>
    </row>
    <row r="879" spans="1:16" ht="15.75" x14ac:dyDescent="0.25">
      <c r="B879" s="4525"/>
      <c r="C879" s="4526" t="s">
        <v>545</v>
      </c>
      <c r="D879" s="4527">
        <f>D874-D878</f>
        <v>0</v>
      </c>
      <c r="E879" s="4527"/>
      <c r="F879" s="4527"/>
      <c r="G879" s="4527"/>
      <c r="H879" s="4527"/>
      <c r="I879" s="4527"/>
      <c r="J879" s="4527"/>
      <c r="K879" s="4528"/>
      <c r="L879" s="4528"/>
      <c r="M879" s="4529"/>
    </row>
    <row r="880" spans="1:16" x14ac:dyDescent="0.25">
      <c r="B880" s="4457"/>
      <c r="C880" s="4457" t="s">
        <v>1180</v>
      </c>
      <c r="D880" s="4428">
        <f ca="1">D834+D835</f>
        <v>435</v>
      </c>
      <c r="E880" s="4428">
        <f t="shared" ref="E880:M880" ca="1" si="298">E834+E835</f>
        <v>487</v>
      </c>
      <c r="F880" s="4428">
        <f t="shared" ca="1" si="298"/>
        <v>594</v>
      </c>
      <c r="G880" s="4428">
        <f t="shared" ca="1" si="298"/>
        <v>725</v>
      </c>
      <c r="H880" s="4428">
        <f t="shared" ca="1" si="298"/>
        <v>898</v>
      </c>
      <c r="I880" s="4428">
        <f t="shared" ca="1" si="298"/>
        <v>639</v>
      </c>
      <c r="J880" s="4428">
        <f t="shared" ca="1" si="298"/>
        <v>639</v>
      </c>
      <c r="K880" s="4428">
        <f t="shared" ca="1" si="298"/>
        <v>639</v>
      </c>
      <c r="L880" s="4428">
        <f t="shared" ca="1" si="298"/>
        <v>639</v>
      </c>
      <c r="M880" s="4428">
        <f t="shared" ca="1" si="298"/>
        <v>639</v>
      </c>
    </row>
    <row r="881" spans="2:20" x14ac:dyDescent="0.25">
      <c r="B881" s="4457"/>
      <c r="C881" s="4457" t="s">
        <v>1251</v>
      </c>
      <c r="D881" s="4428">
        <f>D851+D852</f>
        <v>0</v>
      </c>
      <c r="E881" s="4428">
        <f t="shared" ref="E881:M881" si="299">E851+E852</f>
        <v>0</v>
      </c>
      <c r="F881" s="4428">
        <f t="shared" si="299"/>
        <v>0</v>
      </c>
      <c r="G881" s="4428">
        <f t="shared" si="299"/>
        <v>0</v>
      </c>
      <c r="H881" s="4428">
        <f t="shared" si="299"/>
        <v>0</v>
      </c>
      <c r="I881" s="4428">
        <f t="shared" si="299"/>
        <v>0</v>
      </c>
      <c r="J881" s="4428">
        <f t="shared" si="299"/>
        <v>0</v>
      </c>
      <c r="K881" s="4428">
        <f t="shared" si="299"/>
        <v>0</v>
      </c>
      <c r="L881" s="4428">
        <f t="shared" si="299"/>
        <v>0</v>
      </c>
      <c r="M881" s="4428">
        <f t="shared" si="299"/>
        <v>0</v>
      </c>
    </row>
    <row r="882" spans="2:20" x14ac:dyDescent="0.25">
      <c r="B882" s="4457"/>
      <c r="C882" s="4457" t="s">
        <v>1252</v>
      </c>
      <c r="D882" s="4531">
        <f ca="1">D880+D881</f>
        <v>435</v>
      </c>
      <c r="E882" s="4531">
        <f t="shared" ref="E882:M882" ca="1" si="300">E880+E881</f>
        <v>487</v>
      </c>
      <c r="F882" s="4531">
        <f t="shared" ca="1" si="300"/>
        <v>594</v>
      </c>
      <c r="G882" s="4531">
        <f t="shared" ca="1" si="300"/>
        <v>725</v>
      </c>
      <c r="H882" s="4531">
        <f t="shared" ca="1" si="300"/>
        <v>898</v>
      </c>
      <c r="I882" s="4531">
        <f t="shared" ca="1" si="300"/>
        <v>639</v>
      </c>
      <c r="J882" s="4531">
        <f t="shared" ca="1" si="300"/>
        <v>639</v>
      </c>
      <c r="K882" s="4531">
        <f t="shared" ca="1" si="300"/>
        <v>639</v>
      </c>
      <c r="L882" s="4531">
        <f t="shared" ca="1" si="300"/>
        <v>639</v>
      </c>
      <c r="M882" s="4531">
        <f t="shared" ca="1" si="300"/>
        <v>639</v>
      </c>
    </row>
    <row r="883" spans="2:20" x14ac:dyDescent="0.25">
      <c r="B883" s="4457"/>
      <c r="C883" s="4427"/>
      <c r="D883" s="4533"/>
      <c r="E883" s="4533"/>
      <c r="F883" s="4533"/>
      <c r="G883" s="4533"/>
      <c r="H883" s="4533"/>
      <c r="I883" s="4533"/>
      <c r="J883" s="4533"/>
      <c r="K883" s="4533"/>
      <c r="L883" s="4533"/>
      <c r="M883" s="4534"/>
    </row>
    <row r="884" spans="2:20" x14ac:dyDescent="0.25">
      <c r="B884" s="4457"/>
      <c r="C884" s="4457" t="s">
        <v>1250</v>
      </c>
      <c r="D884" s="4428">
        <f>D836</f>
        <v>345</v>
      </c>
      <c r="E884" s="4428">
        <f t="shared" ref="E884:M884" si="301">E836</f>
        <v>301</v>
      </c>
      <c r="F884" s="4428">
        <f t="shared" si="301"/>
        <v>257</v>
      </c>
      <c r="G884" s="4428">
        <f t="shared" si="301"/>
        <v>242</v>
      </c>
      <c r="H884" s="4428">
        <f t="shared" si="301"/>
        <v>259</v>
      </c>
      <c r="I884" s="4428">
        <f t="shared" si="301"/>
        <v>0</v>
      </c>
      <c r="J884" s="4428">
        <f t="shared" si="301"/>
        <v>0</v>
      </c>
      <c r="K884" s="4428">
        <f t="shared" si="301"/>
        <v>0</v>
      </c>
      <c r="L884" s="4428">
        <f t="shared" si="301"/>
        <v>0</v>
      </c>
      <c r="M884" s="4428">
        <f t="shared" si="301"/>
        <v>0</v>
      </c>
    </row>
    <row r="885" spans="2:20" x14ac:dyDescent="0.25">
      <c r="B885" s="4457"/>
      <c r="C885" s="4457" t="s">
        <v>1253</v>
      </c>
      <c r="D885" s="4428">
        <f>D853+D854</f>
        <v>0</v>
      </c>
      <c r="E885" s="4428">
        <f t="shared" ref="E885:M885" si="302">E853+E854</f>
        <v>0</v>
      </c>
      <c r="F885" s="4428">
        <f t="shared" si="302"/>
        <v>0</v>
      </c>
      <c r="G885" s="4428">
        <f t="shared" si="302"/>
        <v>0</v>
      </c>
      <c r="H885" s="4428">
        <f t="shared" si="302"/>
        <v>0</v>
      </c>
      <c r="I885" s="4428">
        <f t="shared" si="302"/>
        <v>0</v>
      </c>
      <c r="J885" s="4428">
        <f t="shared" si="302"/>
        <v>0</v>
      </c>
      <c r="K885" s="4428">
        <f t="shared" si="302"/>
        <v>0</v>
      </c>
      <c r="L885" s="4428">
        <f t="shared" si="302"/>
        <v>0</v>
      </c>
      <c r="M885" s="4428">
        <f t="shared" si="302"/>
        <v>0</v>
      </c>
    </row>
    <row r="886" spans="2:20" x14ac:dyDescent="0.25">
      <c r="B886" s="4457"/>
      <c r="C886" s="4457" t="s">
        <v>1254</v>
      </c>
      <c r="D886" s="4531">
        <f>D884+D885</f>
        <v>345</v>
      </c>
      <c r="E886" s="4531">
        <f t="shared" ref="E886:M886" si="303">E884+E885</f>
        <v>301</v>
      </c>
      <c r="F886" s="4531">
        <f t="shared" si="303"/>
        <v>257</v>
      </c>
      <c r="G886" s="4531">
        <f t="shared" si="303"/>
        <v>242</v>
      </c>
      <c r="H886" s="4531">
        <f t="shared" si="303"/>
        <v>259</v>
      </c>
      <c r="I886" s="4531">
        <f t="shared" si="303"/>
        <v>0</v>
      </c>
      <c r="J886" s="4531">
        <f t="shared" si="303"/>
        <v>0</v>
      </c>
      <c r="K886" s="4531">
        <f t="shared" si="303"/>
        <v>0</v>
      </c>
      <c r="L886" s="4531">
        <f t="shared" si="303"/>
        <v>0</v>
      </c>
      <c r="M886" s="4531">
        <f t="shared" si="303"/>
        <v>0</v>
      </c>
    </row>
    <row r="887" spans="2:20" ht="15.75" x14ac:dyDescent="0.25">
      <c r="B887" s="4525"/>
      <c r="C887" s="4526" t="s">
        <v>1255</v>
      </c>
      <c r="D887" s="4527"/>
      <c r="E887" s="4527"/>
      <c r="F887" s="4527"/>
      <c r="G887" s="4527"/>
      <c r="H887" s="4527"/>
      <c r="I887" s="4527"/>
      <c r="J887" s="4527"/>
      <c r="K887" s="4528"/>
      <c r="L887" s="4528"/>
      <c r="M887" s="4529"/>
    </row>
    <row r="888" spans="2:20" x14ac:dyDescent="0.25">
      <c r="B888" s="4457"/>
      <c r="C888" s="4457" t="s">
        <v>1169</v>
      </c>
      <c r="D888" s="4428">
        <f ca="1">D874+D882+(D865+D866)</f>
        <v>1579</v>
      </c>
      <c r="E888" s="4428">
        <f t="shared" ref="E888:L888" ca="1" si="304">E874+E882+(E865+E866)</f>
        <v>1601</v>
      </c>
      <c r="F888" s="4428">
        <f t="shared" ca="1" si="304"/>
        <v>1659</v>
      </c>
      <c r="G888" s="4428">
        <f t="shared" ca="1" si="304"/>
        <v>1596</v>
      </c>
      <c r="H888" s="4428">
        <f t="shared" ca="1" si="304"/>
        <v>1674</v>
      </c>
      <c r="I888" s="4428">
        <f t="shared" ca="1" si="304"/>
        <v>1297</v>
      </c>
      <c r="J888" s="4428">
        <f t="shared" ca="1" si="304"/>
        <v>1177</v>
      </c>
      <c r="K888" s="4428">
        <f t="shared" ca="1" si="304"/>
        <v>1047</v>
      </c>
      <c r="L888" s="4428">
        <f t="shared" ca="1" si="304"/>
        <v>913</v>
      </c>
      <c r="M888" s="4428">
        <f ca="1">M874+M882+(M865+M866)</f>
        <v>775</v>
      </c>
    </row>
    <row r="889" spans="2:20" x14ac:dyDescent="0.25">
      <c r="B889" s="4457"/>
      <c r="C889" s="4457" t="s">
        <v>147</v>
      </c>
      <c r="D889" s="4428">
        <f>D878+D886+D867</f>
        <v>1489</v>
      </c>
      <c r="E889" s="4428">
        <f t="shared" ref="E889:L889" ca="1" si="305">E878+E886+E867</f>
        <v>1465</v>
      </c>
      <c r="F889" s="4428">
        <f t="shared" ca="1" si="305"/>
        <v>1529</v>
      </c>
      <c r="G889" s="4428">
        <f t="shared" ca="1" si="305"/>
        <v>1464</v>
      </c>
      <c r="H889" s="4428">
        <f t="shared" ca="1" si="305"/>
        <v>1537</v>
      </c>
      <c r="I889" s="4428">
        <f t="shared" ca="1" si="305"/>
        <v>1335</v>
      </c>
      <c r="J889" s="4428">
        <f t="shared" ca="1" si="305"/>
        <v>1402</v>
      </c>
      <c r="K889" s="4428">
        <f t="shared" ca="1" si="305"/>
        <v>1465</v>
      </c>
      <c r="L889" s="4428">
        <f t="shared" ca="1" si="305"/>
        <v>1531</v>
      </c>
      <c r="M889" s="4428">
        <f ca="1">M878+M886+M867</f>
        <v>1600</v>
      </c>
    </row>
    <row r="890" spans="2:20" x14ac:dyDescent="0.25">
      <c r="B890" s="4530"/>
      <c r="C890" s="4530" t="s">
        <v>1194</v>
      </c>
      <c r="D890" s="4531">
        <f ca="1">D888-D889</f>
        <v>90</v>
      </c>
      <c r="E890" s="4531">
        <f t="shared" ref="E890:L890" ca="1" si="306">E888-E889</f>
        <v>136</v>
      </c>
      <c r="F890" s="4531">
        <f t="shared" ca="1" si="306"/>
        <v>130</v>
      </c>
      <c r="G890" s="4531">
        <f t="shared" ca="1" si="306"/>
        <v>132</v>
      </c>
      <c r="H890" s="4531">
        <f t="shared" ca="1" si="306"/>
        <v>137</v>
      </c>
      <c r="I890" s="4531">
        <f t="shared" ca="1" si="306"/>
        <v>-38</v>
      </c>
      <c r="J890" s="4531">
        <f t="shared" ca="1" si="306"/>
        <v>-225</v>
      </c>
      <c r="K890" s="4531">
        <f t="shared" ca="1" si="306"/>
        <v>-418</v>
      </c>
      <c r="L890" s="4531">
        <f t="shared" ca="1" si="306"/>
        <v>-618</v>
      </c>
      <c r="M890" s="4531">
        <f ca="1">M888-M889</f>
        <v>-825</v>
      </c>
    </row>
    <row r="892" spans="2:20" x14ac:dyDescent="0.25">
      <c r="M892" s="4459"/>
    </row>
    <row r="893" spans="2:20" s="4383" customFormat="1" x14ac:dyDescent="0.25">
      <c r="D893" s="4384"/>
      <c r="E893" s="4385"/>
    </row>
    <row r="894" spans="2:20" x14ac:dyDescent="0.25">
      <c r="M894" s="4459"/>
    </row>
    <row r="895" spans="2:20" s="4148" customFormat="1" x14ac:dyDescent="0.25">
      <c r="B895" s="4532"/>
      <c r="C895" s="4535" t="s">
        <v>1515</v>
      </c>
      <c r="D895" s="4536" t="str">
        <f>'Financial Projections'!E271</f>
        <v xml:space="preserve">2009 </v>
      </c>
      <c r="E895" s="4536" t="str">
        <f>'Financial Projections'!F271</f>
        <v>2010  (A)</v>
      </c>
      <c r="F895" s="4536" t="str">
        <f>'Financial Projections'!G271</f>
        <v>2011  (A)</v>
      </c>
      <c r="G895" s="4536" t="str">
        <f>'Financial Projections'!H271</f>
        <v>2012  (A)</v>
      </c>
      <c r="H895" s="4536" t="str">
        <f>'Financial Projections'!I271</f>
        <v>2013  (RE)</v>
      </c>
      <c r="I895" s="4536" t="str">
        <f>'Financial Projections'!J271</f>
        <v>2014 (BE)</v>
      </c>
      <c r="J895" s="4536">
        <f>'Financial Projections'!K271</f>
        <v>2015</v>
      </c>
      <c r="K895" s="4536">
        <f>'Financial Projections'!L271</f>
        <v>2016</v>
      </c>
      <c r="L895" s="4536">
        <f>'Financial Projections'!M271</f>
        <v>2017</v>
      </c>
      <c r="M895" s="4536">
        <f>'Financial Projections'!N271</f>
        <v>2018</v>
      </c>
      <c r="N895" s="4536">
        <f>'Financial Projections'!O271</f>
        <v>2019</v>
      </c>
      <c r="O895" s="4536">
        <f>'Financial Projections'!P271</f>
        <v>2020</v>
      </c>
      <c r="P895" s="4536">
        <f>'Financial Projections'!Q271</f>
        <v>2021</v>
      </c>
      <c r="Q895" s="4536">
        <f>'Financial Projections'!R271</f>
        <v>2022</v>
      </c>
      <c r="R895" s="4536">
        <f>'Financial Projections'!S271</f>
        <v>2023</v>
      </c>
      <c r="S895" s="4536">
        <f>'Financial Projections'!T271</f>
        <v>2024</v>
      </c>
      <c r="T895" s="4537"/>
    </row>
    <row r="896" spans="2:20" x14ac:dyDescent="0.25">
      <c r="C896" s="4538" t="s">
        <v>1454</v>
      </c>
      <c r="D896" s="4539">
        <f>'Financial Projections'!E284+'Financial Projections'!E288</f>
        <v>0</v>
      </c>
      <c r="E896" s="4539">
        <f>'Financial Projections'!F284+'Financial Projections'!F288</f>
        <v>196.53337499999998</v>
      </c>
      <c r="F896" s="4539">
        <f>'Financial Projections'!G284+'Financial Projections'!G288</f>
        <v>644.02077500000007</v>
      </c>
      <c r="G896" s="4539">
        <f>'Financial Projections'!H284+'Financial Projections'!H288</f>
        <v>128.93708999999998</v>
      </c>
      <c r="H896" s="4539">
        <f>'Financial Projections'!I284+'Financial Projections'!I288</f>
        <v>962.6</v>
      </c>
      <c r="I896" s="4539">
        <f>'Financial Projections'!J284+'Financial Projections'!J288</f>
        <v>688.2</v>
      </c>
      <c r="J896" s="4539">
        <f ca="1">'Financial Projections'!K284+'Financial Projections'!K288</f>
        <v>373.74</v>
      </c>
      <c r="K896" s="4539">
        <f ca="1">'Financial Projections'!L284+'Financial Projections'!L288</f>
        <v>358.87799999999999</v>
      </c>
      <c r="L896" s="4539">
        <f ca="1">'Financial Projections'!M284+'Financial Projections'!M288</f>
        <v>371.63453999999996</v>
      </c>
      <c r="M896" s="4539">
        <f ca="1">'Financial Projections'!N284+'Financial Projections'!N288</f>
        <v>387.50560175999999</v>
      </c>
      <c r="N896" s="4539">
        <f ca="1">'Financial Projections'!O284+'Financial Projections'!O288</f>
        <v>414.63099388320006</v>
      </c>
      <c r="O896" s="4539">
        <f ca="1">'Financial Projections'!P284+'Financial Projections'!P288</f>
        <v>0</v>
      </c>
      <c r="P896" s="4539">
        <f ca="1">'Financial Projections'!Q284+'Financial Projections'!Q288</f>
        <v>0</v>
      </c>
      <c r="Q896" s="4539">
        <f ca="1">'Financial Projections'!R284+'Financial Projections'!R288</f>
        <v>0</v>
      </c>
      <c r="R896" s="4539">
        <f ca="1">'Financial Projections'!S284+'Financial Projections'!S288</f>
        <v>0</v>
      </c>
      <c r="S896" s="4539">
        <f ca="1">'Financial Projections'!T284+'Financial Projections'!T288</f>
        <v>0</v>
      </c>
    </row>
    <row r="897" spans="3:28" x14ac:dyDescent="0.25">
      <c r="C897" s="4538" t="s">
        <v>146</v>
      </c>
      <c r="D897" s="4539">
        <f>'Financial Projections'!E285+'Financial Projections'!E289</f>
        <v>0</v>
      </c>
      <c r="E897" s="4539">
        <f>'Financial Projections'!F285+'Financial Projections'!F289</f>
        <v>188.28072999999998</v>
      </c>
      <c r="F897" s="4539">
        <f>'Financial Projections'!G285+'Financial Projections'!G289</f>
        <v>958.62439000000006</v>
      </c>
      <c r="G897" s="4539">
        <f>'Financial Projections'!H285+'Financial Projections'!H289</f>
        <v>215.00096000000002</v>
      </c>
      <c r="H897" s="4539">
        <f>'Financial Projections'!I285+'Financial Projections'!I289</f>
        <v>939.1</v>
      </c>
      <c r="I897" s="4539">
        <f>'Financial Projections'!J285+'Financial Projections'!J289</f>
        <v>471.2</v>
      </c>
      <c r="J897" s="4539">
        <f>'Financial Projections'!K285+'Financial Projections'!K289</f>
        <v>345.26666666666671</v>
      </c>
      <c r="K897" s="4539">
        <f>'Financial Projections'!L285+'Financial Projections'!L289</f>
        <v>301.06233333333336</v>
      </c>
      <c r="L897" s="4539">
        <f>'Financial Projections'!M285+'Financial Projections'!M289</f>
        <v>256.87739666666664</v>
      </c>
      <c r="M897" s="4539">
        <f>'Financial Projections'!N285+'Financial Projections'!N289</f>
        <v>242.19100109999999</v>
      </c>
      <c r="N897" s="4539">
        <f>'Financial Projections'!O285+'Financial Projections'!O289</f>
        <v>259.14437117700004</v>
      </c>
      <c r="O897" s="4539">
        <f>'Financial Projections'!P285+'Financial Projections'!P289</f>
        <v>0</v>
      </c>
      <c r="P897" s="4539">
        <f>'Financial Projections'!Q285+'Financial Projections'!Q289</f>
        <v>0</v>
      </c>
      <c r="Q897" s="4539">
        <f>'Financial Projections'!R285+'Financial Projections'!R289</f>
        <v>0</v>
      </c>
      <c r="R897" s="4539">
        <f>'Financial Projections'!S285+'Financial Projections'!S289</f>
        <v>0</v>
      </c>
      <c r="S897" s="4539">
        <f>'Financial Projections'!T285+'Financial Projections'!T289</f>
        <v>0</v>
      </c>
    </row>
    <row r="898" spans="3:28" x14ac:dyDescent="0.25">
      <c r="C898" s="4538" t="s">
        <v>1456</v>
      </c>
      <c r="D898" s="4539">
        <f>'Financial Projections'!E284</f>
        <v>0</v>
      </c>
      <c r="E898" s="4539">
        <f>'Financial Projections'!F284</f>
        <v>0</v>
      </c>
      <c r="F898" s="4539">
        <f>'Financial Projections'!G284</f>
        <v>0</v>
      </c>
      <c r="G898" s="4539">
        <f>'Financial Projections'!H284</f>
        <v>0</v>
      </c>
      <c r="H898" s="4539">
        <f>'Financial Projections'!I284</f>
        <v>0</v>
      </c>
      <c r="I898" s="4539">
        <f>'Financial Projections'!J284</f>
        <v>0</v>
      </c>
      <c r="J898" s="4539">
        <f ca="1">'Financial Projections'!K284</f>
        <v>373.74</v>
      </c>
      <c r="K898" s="4539">
        <f ca="1">'Financial Projections'!L284</f>
        <v>358.87799999999999</v>
      </c>
      <c r="L898" s="4539">
        <f ca="1">'Financial Projections'!M284</f>
        <v>371.63453999999996</v>
      </c>
      <c r="M898" s="4539">
        <f ca="1">'Financial Projections'!N284</f>
        <v>387.50560175999999</v>
      </c>
      <c r="N898" s="4539">
        <f ca="1">'Financial Projections'!O284</f>
        <v>414.63099388320006</v>
      </c>
      <c r="O898" s="4539">
        <f ca="1">'Financial Projections'!P284</f>
        <v>0</v>
      </c>
      <c r="P898" s="4539">
        <f ca="1">'Financial Projections'!Q284</f>
        <v>0</v>
      </c>
      <c r="Q898" s="4539">
        <f ca="1">'Financial Projections'!R284</f>
        <v>0</v>
      </c>
      <c r="R898" s="4539">
        <f ca="1">'Financial Projections'!S284</f>
        <v>0</v>
      </c>
      <c r="S898" s="4539">
        <f ca="1">'Financial Projections'!T284</f>
        <v>0</v>
      </c>
    </row>
    <row r="899" spans="3:28" x14ac:dyDescent="0.25">
      <c r="C899" s="4538" t="s">
        <v>1457</v>
      </c>
      <c r="D899" s="4539">
        <f>'Financial Projections'!E285</f>
        <v>0</v>
      </c>
      <c r="E899" s="4539">
        <f>'Financial Projections'!F285</f>
        <v>0</v>
      </c>
      <c r="F899" s="4539">
        <f>'Financial Projections'!G285</f>
        <v>0</v>
      </c>
      <c r="G899" s="4539">
        <f>'Financial Projections'!H285</f>
        <v>0</v>
      </c>
      <c r="H899" s="4539">
        <f>'Financial Projections'!I285</f>
        <v>0</v>
      </c>
      <c r="I899" s="4539">
        <f>'Financial Projections'!J285</f>
        <v>0</v>
      </c>
      <c r="J899" s="4539">
        <f>'Financial Projections'!K285</f>
        <v>345.26666666666671</v>
      </c>
      <c r="K899" s="4539">
        <f>'Financial Projections'!L285</f>
        <v>301.06233333333336</v>
      </c>
      <c r="L899" s="4539">
        <f>'Financial Projections'!M285</f>
        <v>256.87739666666664</v>
      </c>
      <c r="M899" s="4539">
        <f>'Financial Projections'!N285</f>
        <v>242.19100109999999</v>
      </c>
      <c r="N899" s="4539">
        <f>'Financial Projections'!O285</f>
        <v>259.14437117700004</v>
      </c>
      <c r="O899" s="4539">
        <f>'Financial Projections'!P285</f>
        <v>0</v>
      </c>
      <c r="P899" s="4539">
        <f>'Financial Projections'!Q285</f>
        <v>0</v>
      </c>
      <c r="Q899" s="4539">
        <f>'Financial Projections'!R285</f>
        <v>0</v>
      </c>
      <c r="R899" s="4539">
        <f>'Financial Projections'!S285</f>
        <v>0</v>
      </c>
      <c r="S899" s="4539">
        <f>'Financial Projections'!T285</f>
        <v>0</v>
      </c>
    </row>
    <row r="900" spans="3:28" x14ac:dyDescent="0.25">
      <c r="C900" s="4540"/>
      <c r="D900" s="4541"/>
      <c r="E900" s="4541"/>
      <c r="F900" s="4541"/>
      <c r="G900" s="4541"/>
      <c r="H900" s="4541"/>
      <c r="I900" s="4541"/>
      <c r="J900" s="4541"/>
      <c r="K900" s="4541"/>
      <c r="L900" s="4541"/>
      <c r="M900" s="4541"/>
      <c r="N900" s="4541"/>
      <c r="O900" s="4541"/>
      <c r="P900" s="4541"/>
      <c r="Q900" s="4541"/>
      <c r="R900" s="4541"/>
      <c r="S900" s="4542"/>
    </row>
    <row r="901" spans="3:28" x14ac:dyDescent="0.25">
      <c r="C901" s="4538" t="s">
        <v>467</v>
      </c>
      <c r="D901" s="4539">
        <f>'Financial Projections'!E275+'Financial Projections'!E279</f>
        <v>0</v>
      </c>
      <c r="E901" s="4539">
        <f>'Financial Projections'!F275+'Financial Projections'!F279</f>
        <v>759.99063500000011</v>
      </c>
      <c r="F901" s="4539">
        <f>'Financial Projections'!G275+'Financial Projections'!G279</f>
        <v>807.48027500000012</v>
      </c>
      <c r="G901" s="4539">
        <f>'Financial Projections'!H275+'Financial Projections'!H279</f>
        <v>1001.9959299999999</v>
      </c>
      <c r="H901" s="4539">
        <f>'Financial Projections'!I275+'Financial Projections'!I279</f>
        <v>1388.9668499999998</v>
      </c>
      <c r="I901" s="4539">
        <f>'Financial Projections'!J275+'Financial Projections'!J279</f>
        <v>1403.942</v>
      </c>
      <c r="J901" s="4539">
        <f>'Financial Projections'!K275+'Financial Projections'!K279</f>
        <v>952.50332266882515</v>
      </c>
      <c r="K901" s="4539">
        <f>'Financial Projections'!L275+'Financial Projections'!L279</f>
        <v>973.99343460337968</v>
      </c>
      <c r="L901" s="4539">
        <f>'Financial Projections'!M275+'Financial Projections'!M279</f>
        <v>1013.8523995689334</v>
      </c>
      <c r="M901" s="4539">
        <f>'Financial Projections'!N275+'Financial Projections'!N279</f>
        <v>1077.3660813821552</v>
      </c>
      <c r="N901" s="4539">
        <f>'Financial Projections'!O275+'Financial Projections'!O279</f>
        <v>1127.3087727463972</v>
      </c>
      <c r="O901" s="4539">
        <f>'Financial Projections'!P275+'Financial Projections'!P279</f>
        <v>1160.4893023576205</v>
      </c>
      <c r="P901" s="4539">
        <f>'Financial Projections'!Q275+'Financial Projections'!Q279</f>
        <v>1215.1513120803172</v>
      </c>
      <c r="Q901" s="4539">
        <f>'Financial Projections'!R275+'Financial Projections'!R279</f>
        <v>1272.1227155401864</v>
      </c>
      <c r="R901" s="4539">
        <f>'Financial Projections'!S275+'Financial Projections'!S279</f>
        <v>1331.451789312104</v>
      </c>
      <c r="S901" s="4539">
        <f>'Financial Projections'!T275+'Financial Projections'!T279</f>
        <v>1393.2228083875889</v>
      </c>
    </row>
    <row r="902" spans="3:28" x14ac:dyDescent="0.25">
      <c r="C902" s="4538" t="s">
        <v>190</v>
      </c>
      <c r="D902" s="4539">
        <f>'Financial Projections'!E276+'Financial Projections'!E280</f>
        <v>0</v>
      </c>
      <c r="E902" s="4539">
        <f>'Financial Projections'!F276+'Financial Projections'!F280</f>
        <v>802.12968000000001</v>
      </c>
      <c r="F902" s="4539">
        <f>'Financial Projections'!G276+'Financial Projections'!G280</f>
        <v>724.71022999999991</v>
      </c>
      <c r="G902" s="4539">
        <f>'Financial Projections'!H276+'Financial Projections'!H280</f>
        <v>918.3304599999999</v>
      </c>
      <c r="H902" s="4539">
        <f>'Financial Projections'!I276+'Financial Projections'!I280</f>
        <v>1169.3414</v>
      </c>
      <c r="I902" s="4539">
        <f>'Financial Projections'!J276+'Financial Projections'!J280</f>
        <v>1320.70433</v>
      </c>
      <c r="J902" s="4539">
        <f>'Financial Projections'!K276+'Financial Projections'!K280</f>
        <v>1052.0641850710294</v>
      </c>
      <c r="K902" s="4539">
        <f>'Financial Projections'!L276+'Financial Projections'!L280</f>
        <v>1113.3625601112581</v>
      </c>
      <c r="L902" s="4539">
        <f>'Financial Projections'!M276+'Financial Projections'!M280</f>
        <v>1169.7387057641372</v>
      </c>
      <c r="M902" s="4539">
        <f>'Financial Projections'!N276+'Financial Projections'!N280</f>
        <v>1222.3721406838933</v>
      </c>
      <c r="N902" s="4539">
        <f>'Financial Projections'!O276+'Financial Projections'!O280</f>
        <v>1277.487398103566</v>
      </c>
      <c r="O902" s="4539">
        <f>'Financial Projections'!P276+'Financial Projections'!P280</f>
        <v>1335.2044991065263</v>
      </c>
      <c r="P902" s="4539">
        <f>'Financial Projections'!Q276+'Financial Projections'!Q280</f>
        <v>1395.6493557939848</v>
      </c>
      <c r="Q902" s="4539">
        <f>'Financial Projections'!R276+'Financial Projections'!R280</f>
        <v>1458.9540633469417</v>
      </c>
      <c r="R902" s="4539">
        <f>'Financial Projections'!S276+'Financial Projections'!S280</f>
        <v>1525.257206681362</v>
      </c>
      <c r="S902" s="4539">
        <f>'Financial Projections'!T276+'Financial Projections'!T280</f>
        <v>1594.7041824307187</v>
      </c>
    </row>
    <row r="903" spans="3:28" x14ac:dyDescent="0.25">
      <c r="C903" s="4538" t="s">
        <v>1455</v>
      </c>
      <c r="D903" s="4539">
        <f>'Financial Projections'!E275</f>
        <v>0</v>
      </c>
      <c r="E903" s="4539">
        <f>'Financial Projections'!F275</f>
        <v>0</v>
      </c>
      <c r="F903" s="4539">
        <f>'Financial Projections'!G275</f>
        <v>0</v>
      </c>
      <c r="G903" s="4539">
        <f>'Financial Projections'!H275</f>
        <v>0</v>
      </c>
      <c r="H903" s="4539">
        <f>'Financial Projections'!I275</f>
        <v>0</v>
      </c>
      <c r="I903" s="4539">
        <f>'Financial Projections'!J275</f>
        <v>0</v>
      </c>
      <c r="J903" s="4539">
        <f>'Financial Projections'!K275</f>
        <v>1.4133333333333336</v>
      </c>
      <c r="K903" s="4539">
        <f>'Financial Projections'!L275</f>
        <v>1.4345333333333334</v>
      </c>
      <c r="L903" s="4539">
        <f>'Financial Projections'!M275</f>
        <v>1.4563693333333336</v>
      </c>
      <c r="M903" s="4539">
        <f>'Financial Projections'!N275</f>
        <v>18.845451697666668</v>
      </c>
      <c r="N903" s="4539">
        <f>'Financial Projections'!O275</f>
        <v>19.114907248596666</v>
      </c>
      <c r="O903" s="4539">
        <f>'Financial Projections'!P275</f>
        <v>0</v>
      </c>
      <c r="P903" s="4539">
        <f>'Financial Projections'!Q275</f>
        <v>0</v>
      </c>
      <c r="Q903" s="4539">
        <f>'Financial Projections'!R275</f>
        <v>0</v>
      </c>
      <c r="R903" s="4539">
        <f>'Financial Projections'!S275</f>
        <v>0</v>
      </c>
      <c r="S903" s="4539">
        <f>'Financial Projections'!T275</f>
        <v>0</v>
      </c>
    </row>
    <row r="904" spans="3:28" x14ac:dyDescent="0.25">
      <c r="C904" s="4538" t="s">
        <v>1248</v>
      </c>
      <c r="D904" s="4539">
        <f>'Financial Projections'!E276</f>
        <v>55.488790000000002</v>
      </c>
      <c r="E904" s="4539">
        <f>'Financial Projections'!F276</f>
        <v>68.531319999999994</v>
      </c>
      <c r="F904" s="4539">
        <f>'Financial Projections'!G276</f>
        <v>84.86090999999999</v>
      </c>
      <c r="G904" s="4539">
        <f>'Financial Projections'!H276</f>
        <v>111.61520000000002</v>
      </c>
      <c r="H904" s="4539">
        <f>'Financial Projections'!I276</f>
        <v>121.2</v>
      </c>
      <c r="I904" s="4539">
        <f>'Financial Projections'!J276</f>
        <v>108</v>
      </c>
      <c r="J904" s="4539">
        <f>'Financial Projections'!K276</f>
        <v>131.72021256666667</v>
      </c>
      <c r="K904" s="4539">
        <f>'Financial Projections'!L276</f>
        <v>152.56697319500003</v>
      </c>
      <c r="L904" s="4539">
        <f>'Financial Projections'!M276</f>
        <v>166.61095310475005</v>
      </c>
      <c r="M904" s="4539">
        <f>'Financial Projections'!N276</f>
        <v>174.94150075998755</v>
      </c>
      <c r="N904" s="4539">
        <f>'Financial Projections'!O276</f>
        <v>183.68857579798697</v>
      </c>
      <c r="O904" s="4539">
        <f>'Financial Projections'!P276</f>
        <v>192.8730045878863</v>
      </c>
      <c r="P904" s="4539">
        <f>'Financial Projections'!Q276</f>
        <v>202.51665481728062</v>
      </c>
      <c r="Q904" s="4539">
        <f>'Financial Projections'!R276</f>
        <v>212.64248755814467</v>
      </c>
      <c r="R904" s="4539">
        <f>'Financial Projections'!S276</f>
        <v>223.27461193605191</v>
      </c>
      <c r="S904" s="4539">
        <f>'Financial Projections'!T276</f>
        <v>234.43834253285451</v>
      </c>
    </row>
    <row r="906" spans="3:28" x14ac:dyDescent="0.25">
      <c r="C906" s="4543" t="s">
        <v>1524</v>
      </c>
      <c r="D906" s="4536">
        <f>J895</f>
        <v>2015</v>
      </c>
      <c r="E906" s="4536">
        <f t="shared" ref="E906:M906" si="307">K895</f>
        <v>2016</v>
      </c>
      <c r="F906" s="4536">
        <f t="shared" si="307"/>
        <v>2017</v>
      </c>
      <c r="G906" s="4536">
        <f t="shared" si="307"/>
        <v>2018</v>
      </c>
      <c r="H906" s="4536">
        <f t="shared" si="307"/>
        <v>2019</v>
      </c>
      <c r="I906" s="4536">
        <f t="shared" si="307"/>
        <v>2020</v>
      </c>
      <c r="J906" s="4536">
        <f t="shared" si="307"/>
        <v>2021</v>
      </c>
      <c r="K906" s="4536">
        <f t="shared" si="307"/>
        <v>2022</v>
      </c>
      <c r="L906" s="4536">
        <f t="shared" si="307"/>
        <v>2023</v>
      </c>
      <c r="M906" s="4536">
        <f t="shared" si="307"/>
        <v>2024</v>
      </c>
      <c r="N906" s="4086"/>
      <c r="O906" s="4086"/>
      <c r="P906" s="7312" t="s">
        <v>1524</v>
      </c>
      <c r="Q906" s="7313"/>
      <c r="R906" s="5474"/>
      <c r="S906" s="5475" t="s">
        <v>3075</v>
      </c>
    </row>
    <row r="907" spans="3:28" x14ac:dyDescent="0.25">
      <c r="C907" s="4544" t="s">
        <v>1521</v>
      </c>
      <c r="D907" s="4539">
        <f>'Financing Plan'!E92</f>
        <v>0</v>
      </c>
      <c r="E907" s="4539">
        <f>'Financing Plan'!F92</f>
        <v>0</v>
      </c>
      <c r="F907" s="4539">
        <f>'Financing Plan'!G92</f>
        <v>0</v>
      </c>
      <c r="G907" s="4539">
        <f>'Financing Plan'!H92</f>
        <v>0</v>
      </c>
      <c r="H907" s="4539">
        <f>'Financing Plan'!I92</f>
        <v>0</v>
      </c>
      <c r="I907" s="4539">
        <f>'Financing Plan'!J92</f>
        <v>0</v>
      </c>
      <c r="J907" s="4539">
        <f>'Financing Plan'!K92</f>
        <v>0</v>
      </c>
      <c r="K907" s="4539">
        <f>'Financing Plan'!L92</f>
        <v>0</v>
      </c>
      <c r="L907" s="4539">
        <f>'Financing Plan'!M92</f>
        <v>0</v>
      </c>
      <c r="M907" s="4539">
        <f>'Financing Plan'!N92</f>
        <v>0</v>
      </c>
      <c r="O907" s="4086"/>
      <c r="P907" s="4545"/>
      <c r="Q907" s="4546"/>
      <c r="R907" s="5476">
        <f>D906-1</f>
        <v>2014</v>
      </c>
      <c r="S907" s="5477">
        <f>'Financing Plan'!W59</f>
        <v>0</v>
      </c>
    </row>
    <row r="908" spans="3:28" x14ac:dyDescent="0.25">
      <c r="C908" s="4544" t="s">
        <v>1239</v>
      </c>
      <c r="D908" s="4539">
        <f>'Financing Plan'!E99</f>
        <v>61</v>
      </c>
      <c r="E908" s="4539">
        <f>'Financing Plan'!F99</f>
        <v>38</v>
      </c>
      <c r="F908" s="4539">
        <f>'Financing Plan'!G99</f>
        <v>0</v>
      </c>
      <c r="G908" s="4539">
        <f>'Financing Plan'!H99</f>
        <v>0</v>
      </c>
      <c r="H908" s="4539">
        <f>'Financing Plan'!I99</f>
        <v>0</v>
      </c>
      <c r="I908" s="4539">
        <f>'Financing Plan'!J99</f>
        <v>0</v>
      </c>
      <c r="J908" s="4539">
        <f>'Financing Plan'!K99</f>
        <v>0</v>
      </c>
      <c r="K908" s="4539">
        <f>'Financing Plan'!L99</f>
        <v>0</v>
      </c>
      <c r="L908" s="4539">
        <f>'Financing Plan'!M99</f>
        <v>0</v>
      </c>
      <c r="M908" s="4539">
        <f>'Financing Plan'!N99</f>
        <v>0</v>
      </c>
      <c r="O908" s="4086"/>
      <c r="P908" s="4545"/>
      <c r="Q908" s="4546"/>
      <c r="R908" s="5478"/>
      <c r="S908" s="5477">
        <f>S909-S907</f>
        <v>100</v>
      </c>
      <c r="T908" s="4369"/>
      <c r="U908" s="4369"/>
      <c r="V908" s="4369"/>
      <c r="W908" s="4369"/>
      <c r="X908" s="4369"/>
      <c r="Y908" s="4369"/>
      <c r="Z908" s="4369"/>
      <c r="AA908" s="4369"/>
      <c r="AB908" s="4369"/>
    </row>
    <row r="909" spans="3:28" x14ac:dyDescent="0.25">
      <c r="C909" s="4544" t="s">
        <v>1422</v>
      </c>
      <c r="D909" s="4539">
        <f>'Financing Plan'!E104</f>
        <v>0</v>
      </c>
      <c r="E909" s="4539">
        <f>'Financing Plan'!F104</f>
        <v>0</v>
      </c>
      <c r="F909" s="4539">
        <f>'Financing Plan'!G104</f>
        <v>0</v>
      </c>
      <c r="G909" s="4539">
        <f>'Financing Plan'!H104</f>
        <v>0</v>
      </c>
      <c r="H909" s="4539">
        <f>'Financing Plan'!I104</f>
        <v>0</v>
      </c>
      <c r="I909" s="4539">
        <f>'Financing Plan'!J104</f>
        <v>0</v>
      </c>
      <c r="J909" s="4539">
        <f>'Financing Plan'!K104</f>
        <v>0</v>
      </c>
      <c r="K909" s="4539">
        <f>'Financing Plan'!L104</f>
        <v>0</v>
      </c>
      <c r="L909" s="4539">
        <f>'Financing Plan'!M104</f>
        <v>0</v>
      </c>
      <c r="M909" s="4539">
        <f>'Financing Plan'!N104</f>
        <v>0</v>
      </c>
      <c r="O909" s="4086"/>
      <c r="P909" s="4545" t="s">
        <v>2992</v>
      </c>
      <c r="Q909" s="4546">
        <f>SUM(D907:M909)</f>
        <v>99</v>
      </c>
      <c r="R909" s="5479">
        <f>M906</f>
        <v>2024</v>
      </c>
      <c r="S909" s="5480">
        <f>'Financing Plan'!AG59</f>
        <v>100</v>
      </c>
      <c r="T909" s="4369"/>
      <c r="U909" s="4369"/>
      <c r="V909" s="4369"/>
      <c r="W909" s="4369"/>
      <c r="X909" s="4369"/>
    </row>
    <row r="910" spans="3:28" x14ac:dyDescent="0.25">
      <c r="C910" s="4544" t="s">
        <v>49</v>
      </c>
      <c r="D910" s="4539">
        <f ca="1">'Financing Plan'!E93</f>
        <v>19.080000000000002</v>
      </c>
      <c r="E910" s="4539">
        <f ca="1">'Financing Plan'!F93</f>
        <v>20.415600000000001</v>
      </c>
      <c r="F910" s="4539">
        <f ca="1">'Financing Plan'!G93</f>
        <v>9.4797720000000005</v>
      </c>
      <c r="G910" s="4539">
        <f ca="1">'Financing Plan'!H93</f>
        <v>0</v>
      </c>
      <c r="H910" s="4539">
        <f ca="1">'Financing Plan'!I93</f>
        <v>0</v>
      </c>
      <c r="I910" s="4539">
        <f ca="1">'Financing Plan'!J93</f>
        <v>0</v>
      </c>
      <c r="J910" s="4539">
        <f ca="1">'Financing Plan'!K93</f>
        <v>0</v>
      </c>
      <c r="K910" s="4539">
        <f ca="1">'Financing Plan'!L93</f>
        <v>0</v>
      </c>
      <c r="L910" s="4539">
        <f ca="1">'Financing Plan'!M93</f>
        <v>0</v>
      </c>
      <c r="M910" s="4539">
        <f ca="1">'Financing Plan'!N93</f>
        <v>0</v>
      </c>
      <c r="O910" s="4086"/>
      <c r="P910" s="4545" t="s">
        <v>49</v>
      </c>
      <c r="Q910" s="4546">
        <f ca="1">SUM(D910:M910)</f>
        <v>48.975372000000007</v>
      </c>
    </row>
    <row r="911" spans="3:28" x14ac:dyDescent="0.25">
      <c r="C911" s="4544" t="s">
        <v>1522</v>
      </c>
      <c r="D911" s="4539">
        <f ca="1">'Financing Plan'!E94</f>
        <v>354.65999999999997</v>
      </c>
      <c r="E911" s="4539">
        <f ca="1">'Financing Plan'!F94</f>
        <v>338.4624</v>
      </c>
      <c r="F911" s="4539">
        <f ca="1">'Financing Plan'!G94</f>
        <v>362.15476799999999</v>
      </c>
      <c r="G911" s="4539">
        <f ca="1">'Financing Plan'!H94</f>
        <v>387.50560175999999</v>
      </c>
      <c r="H911" s="4539">
        <f ca="1">'Financing Plan'!I94</f>
        <v>414.63099388320006</v>
      </c>
      <c r="I911" s="4539">
        <f ca="1">'Financing Plan'!J94</f>
        <v>0</v>
      </c>
      <c r="J911" s="4539">
        <f ca="1">'Financing Plan'!K94</f>
        <v>0</v>
      </c>
      <c r="K911" s="4539">
        <f ca="1">'Financing Plan'!L94</f>
        <v>0</v>
      </c>
      <c r="L911" s="4539">
        <f ca="1">'Financing Plan'!M94</f>
        <v>0</v>
      </c>
      <c r="M911" s="4539">
        <f ca="1">'Financing Plan'!N94</f>
        <v>0</v>
      </c>
      <c r="O911" s="4086"/>
      <c r="P911" s="4545" t="s">
        <v>2998</v>
      </c>
      <c r="Q911" s="4546">
        <f ca="1">SUM(D911:M911)</f>
        <v>1857.4137636432001</v>
      </c>
    </row>
    <row r="912" spans="3:28" x14ac:dyDescent="0.25">
      <c r="C912" s="4544" t="s">
        <v>477</v>
      </c>
      <c r="D912" s="4539">
        <f ca="1">'Financing Plan'!E108+'Financing Plan'!E109</f>
        <v>0</v>
      </c>
      <c r="E912" s="4539">
        <f ca="1">'Financing Plan'!F108+'Financing Plan'!F109</f>
        <v>0</v>
      </c>
      <c r="F912" s="4539">
        <f ca="1">'Financing Plan'!G108+'Financing Plan'!G109</f>
        <v>36</v>
      </c>
      <c r="G912" s="4539">
        <f ca="1">'Financing Plan'!H108+'Financing Plan'!H109</f>
        <v>0</v>
      </c>
      <c r="H912" s="4539">
        <f ca="1">'Financing Plan'!I108+'Financing Plan'!I109</f>
        <v>0</v>
      </c>
      <c r="I912" s="4539">
        <f ca="1">'Financing Plan'!J108+'Financing Plan'!J109</f>
        <v>0</v>
      </c>
      <c r="J912" s="4539">
        <f ca="1">'Financing Plan'!K108+'Financing Plan'!K109</f>
        <v>0</v>
      </c>
      <c r="K912" s="4539">
        <f ca="1">'Financing Plan'!L108+'Financing Plan'!L109</f>
        <v>0</v>
      </c>
      <c r="L912" s="4539">
        <f ca="1">'Financing Plan'!M108+'Financing Plan'!M109</f>
        <v>0</v>
      </c>
      <c r="M912" s="4539">
        <f ca="1">'Financing Plan'!N108+'Financing Plan'!N109</f>
        <v>0</v>
      </c>
      <c r="O912" s="4086"/>
      <c r="P912" s="4545" t="s">
        <v>1240</v>
      </c>
      <c r="Q912" s="4546">
        <f ca="1">SUM(D912:M912)</f>
        <v>36</v>
      </c>
    </row>
    <row r="913" spans="3:17" x14ac:dyDescent="0.25">
      <c r="C913" s="4547" t="s">
        <v>1523</v>
      </c>
      <c r="D913" s="4237">
        <f>'Financing Plan'!X94</f>
        <v>345</v>
      </c>
      <c r="E913" s="4237">
        <f>'Financing Plan'!Y94</f>
        <v>301</v>
      </c>
      <c r="F913" s="4237">
        <f>'Financing Plan'!Z94</f>
        <v>257</v>
      </c>
      <c r="G913" s="4237">
        <f>'Financing Plan'!AA94</f>
        <v>242</v>
      </c>
      <c r="H913" s="4237">
        <f>'Financing Plan'!AB94</f>
        <v>259</v>
      </c>
      <c r="I913" s="4237">
        <f>'Financing Plan'!AC94</f>
        <v>0</v>
      </c>
      <c r="J913" s="4237">
        <f>'Financing Plan'!AD94</f>
        <v>0</v>
      </c>
      <c r="K913" s="4237">
        <f>'Financing Plan'!AE94</f>
        <v>0</v>
      </c>
      <c r="L913" s="4237">
        <f>'Financing Plan'!AF94</f>
        <v>0</v>
      </c>
      <c r="M913" s="4237">
        <f>'Financing Plan'!AG94</f>
        <v>0</v>
      </c>
      <c r="O913" s="4086"/>
      <c r="P913" s="4086"/>
      <c r="Q913" s="4086"/>
    </row>
    <row r="914" spans="3:17" x14ac:dyDescent="0.25">
      <c r="C914" s="4543" t="s">
        <v>1525</v>
      </c>
      <c r="D914" s="4548"/>
      <c r="E914" s="4549"/>
      <c r="F914" s="4549"/>
      <c r="G914" s="4549"/>
      <c r="H914" s="4549"/>
      <c r="I914" s="4549"/>
      <c r="J914" s="4549"/>
      <c r="K914" s="4549"/>
      <c r="L914" s="4549"/>
      <c r="M914" s="4550"/>
      <c r="O914" s="4086"/>
      <c r="P914" s="7312" t="s">
        <v>1525</v>
      </c>
      <c r="Q914" s="7313"/>
    </row>
    <row r="915" spans="3:17" x14ac:dyDescent="0.25">
      <c r="C915" s="4544" t="s">
        <v>1197</v>
      </c>
      <c r="D915" s="6072">
        <f>SUM('Financial Projections'!K22:K23,'Financial Projections'!K41:K42,'Financial Projections'!K60:K61)</f>
        <v>0</v>
      </c>
      <c r="E915" s="4539">
        <f>SUM('Financial Projections'!L22:L23,'Financial Projections'!L41:L42,'Financial Projections'!L60:L61)</f>
        <v>0</v>
      </c>
      <c r="F915" s="4539">
        <f>SUM('Financial Projections'!M22:M23,'Financial Projections'!M41:M42,'Financial Projections'!M60:M61)</f>
        <v>0</v>
      </c>
      <c r="G915" s="4539">
        <f>SUM('Financial Projections'!N22:N23,'Financial Projections'!N41:N42,'Financial Projections'!N60:N61)</f>
        <v>0</v>
      </c>
      <c r="H915" s="4539">
        <f>SUM('Financial Projections'!O22:O23,'Financial Projections'!O41:O42,'Financial Projections'!O60:O61)</f>
        <v>0</v>
      </c>
      <c r="I915" s="4539">
        <f>SUM('Financial Projections'!P22:P23,'Financial Projections'!P41:P42,'Financial Projections'!P60:P61)</f>
        <v>0</v>
      </c>
      <c r="J915" s="4539">
        <f>SUM('Financial Projections'!Q22:Q23,'Financial Projections'!Q41:Q42,'Financial Projections'!Q60:Q61)</f>
        <v>0</v>
      </c>
      <c r="K915" s="4539">
        <f>SUM('Financial Projections'!R22:R23,'Financial Projections'!R41:R42,'Financial Projections'!R60:R61)</f>
        <v>0</v>
      </c>
      <c r="L915" s="4539">
        <f>SUM('Financial Projections'!S22:S23,'Financial Projections'!S41:S42,'Financial Projections'!S60:S61)</f>
        <v>0</v>
      </c>
      <c r="M915" s="4539">
        <f>SUM('Financial Projections'!T22:T23,'Financial Projections'!T41:T42,'Financial Projections'!T60:T61)</f>
        <v>0</v>
      </c>
      <c r="P915" s="4545" t="s">
        <v>1940</v>
      </c>
      <c r="Q915" s="4546">
        <f>SUM(D915:M915)</f>
        <v>0</v>
      </c>
    </row>
    <row r="916" spans="3:17" x14ac:dyDescent="0.25">
      <c r="C916" s="4544" t="s">
        <v>3098</v>
      </c>
      <c r="D916" s="4539">
        <f>'Financing Plan'!E73</f>
        <v>1</v>
      </c>
      <c r="E916" s="4539">
        <f>'Financing Plan'!F73</f>
        <v>1</v>
      </c>
      <c r="F916" s="4539">
        <f>'Financing Plan'!G73</f>
        <v>1</v>
      </c>
      <c r="G916" s="4539">
        <f>'Financing Plan'!H73</f>
        <v>17</v>
      </c>
      <c r="H916" s="4539">
        <f>'Financing Plan'!I73</f>
        <v>17</v>
      </c>
      <c r="I916" s="4539">
        <f>'Financing Plan'!J73</f>
        <v>0</v>
      </c>
      <c r="J916" s="4539">
        <f>'Financing Plan'!K73</f>
        <v>0</v>
      </c>
      <c r="K916" s="4539">
        <f>'Financing Plan'!L73</f>
        <v>0</v>
      </c>
      <c r="L916" s="4539">
        <f>'Financing Plan'!M73</f>
        <v>0</v>
      </c>
      <c r="M916" s="4539">
        <f>'Financing Plan'!N73</f>
        <v>0</v>
      </c>
      <c r="P916" s="4545" t="s">
        <v>3099</v>
      </c>
      <c r="Q916" s="4546">
        <f>SUM(D916:M916)</f>
        <v>37</v>
      </c>
    </row>
    <row r="917" spans="3:17" x14ac:dyDescent="0.25">
      <c r="C917" s="4544" t="s">
        <v>1198</v>
      </c>
      <c r="D917" s="4539">
        <f>'Financing Plan'!E76</f>
        <v>0</v>
      </c>
      <c r="E917" s="4539">
        <f>'Financing Plan'!F76</f>
        <v>0</v>
      </c>
      <c r="F917" s="4539">
        <f>'Financing Plan'!G76</f>
        <v>0</v>
      </c>
      <c r="G917" s="4539">
        <f>'Financing Plan'!H76</f>
        <v>2</v>
      </c>
      <c r="H917" s="4539">
        <f>'Financing Plan'!I76</f>
        <v>2</v>
      </c>
      <c r="I917" s="4539">
        <f>'Financing Plan'!J76</f>
        <v>0</v>
      </c>
      <c r="J917" s="4539">
        <f>'Financing Plan'!K76</f>
        <v>0</v>
      </c>
      <c r="K917" s="4539">
        <f>'Financing Plan'!L76</f>
        <v>0</v>
      </c>
      <c r="L917" s="4539">
        <f>'Financing Plan'!M76</f>
        <v>0</v>
      </c>
      <c r="M917" s="4539">
        <f>'Financing Plan'!N76</f>
        <v>0</v>
      </c>
      <c r="P917" s="4545" t="s">
        <v>620</v>
      </c>
      <c r="Q917" s="4546">
        <f>SUM(D917:M917)</f>
        <v>4</v>
      </c>
    </row>
    <row r="918" spans="3:17" ht="30" x14ac:dyDescent="0.25">
      <c r="C918" s="4544" t="s">
        <v>1199</v>
      </c>
      <c r="D918" s="4539">
        <f>'Financing Plan'!E83</f>
        <v>192</v>
      </c>
      <c r="E918" s="4539">
        <f>'Financing Plan'!F83</f>
        <v>140</v>
      </c>
      <c r="F918" s="4539">
        <f>'Financing Plan'!G83</f>
        <v>102</v>
      </c>
      <c r="G918" s="4539">
        <f>'Financing Plan'!H83</f>
        <v>0</v>
      </c>
      <c r="H918" s="4539">
        <f>'Financing Plan'!I83</f>
        <v>0</v>
      </c>
      <c r="I918" s="4539">
        <f>'Financing Plan'!J83</f>
        <v>0</v>
      </c>
      <c r="J918" s="4539">
        <f>'Financing Plan'!K83</f>
        <v>0</v>
      </c>
      <c r="K918" s="4539">
        <f>'Financing Plan'!L83</f>
        <v>0</v>
      </c>
      <c r="L918" s="4539">
        <f>'Financing Plan'!M83</f>
        <v>0</v>
      </c>
      <c r="M918" s="4539">
        <f>'Financing Plan'!N83</f>
        <v>0</v>
      </c>
      <c r="P918" s="4545" t="s">
        <v>1937</v>
      </c>
      <c r="Q918" s="4546">
        <f>SUM(D918:M918)</f>
        <v>434</v>
      </c>
    </row>
    <row r="919" spans="3:17" x14ac:dyDescent="0.25">
      <c r="C919" s="4544" t="s">
        <v>1900</v>
      </c>
      <c r="D919" s="4539">
        <f>'Financing Plan'!X76</f>
        <v>132</v>
      </c>
      <c r="E919" s="4539">
        <f ca="1">'Financing Plan'!Y76</f>
        <v>153</v>
      </c>
      <c r="F919" s="4539">
        <f ca="1">'Financing Plan'!Z76</f>
        <v>167</v>
      </c>
      <c r="G919" s="4539">
        <f ca="1">'Financing Plan'!AA76</f>
        <v>175</v>
      </c>
      <c r="H919" s="4539">
        <f ca="1">'Financing Plan'!AB76</f>
        <v>184</v>
      </c>
      <c r="I919" s="4539">
        <f ca="1">'Financing Plan'!AC76</f>
        <v>193</v>
      </c>
      <c r="J919" s="4539">
        <f ca="1">'Financing Plan'!AD76</f>
        <v>209</v>
      </c>
      <c r="K919" s="4539">
        <f ca="1">'Financing Plan'!AE76</f>
        <v>219</v>
      </c>
      <c r="L919" s="4539">
        <f ca="1">'Financing Plan'!AF76</f>
        <v>229</v>
      </c>
      <c r="M919" s="4539">
        <f ca="1">'Financing Plan'!AG76</f>
        <v>240</v>
      </c>
      <c r="Q919" s="4071"/>
    </row>
    <row r="920" spans="3:17" x14ac:dyDescent="0.25">
      <c r="D920" s="4071"/>
      <c r="E920" s="4071"/>
      <c r="F920" s="4551"/>
      <c r="G920" s="4551"/>
      <c r="H920" s="4551"/>
      <c r="I920" s="4551"/>
      <c r="J920" s="4551"/>
      <c r="K920" s="4551"/>
      <c r="L920" s="4551"/>
      <c r="M920" s="4551"/>
    </row>
    <row r="921" spans="3:17" x14ac:dyDescent="0.25">
      <c r="D921" s="4552"/>
      <c r="E921" s="4552"/>
      <c r="F921" s="4552"/>
      <c r="G921" s="4552"/>
      <c r="H921" s="4552"/>
      <c r="I921" s="4552"/>
      <c r="J921" s="4552"/>
      <c r="K921" s="4552"/>
      <c r="L921" s="4552"/>
      <c r="M921" s="4552"/>
    </row>
    <row r="922" spans="3:17" x14ac:dyDescent="0.25">
      <c r="D922" s="4551"/>
      <c r="E922" s="4553"/>
      <c r="F922" s="4366"/>
      <c r="G922" s="4366"/>
      <c r="H922" s="4366"/>
      <c r="I922" s="4366"/>
      <c r="J922" s="4366"/>
      <c r="K922" s="4366"/>
      <c r="L922" s="4366"/>
      <c r="M922" s="4366"/>
    </row>
    <row r="923" spans="3:17" s="4383" customFormat="1" x14ac:dyDescent="0.25">
      <c r="D923" s="4384"/>
      <c r="E923" s="4385"/>
    </row>
    <row r="924" spans="3:17" x14ac:dyDescent="0.25">
      <c r="D924" s="4551"/>
      <c r="E924" s="4553"/>
      <c r="F924" s="4366"/>
      <c r="G924" s="4366"/>
      <c r="H924" s="4366"/>
      <c r="I924" s="4366"/>
      <c r="J924" s="4366"/>
      <c r="K924" s="4366"/>
      <c r="L924" s="4366"/>
      <c r="M924" s="4366"/>
    </row>
    <row r="925" spans="3:17" x14ac:dyDescent="0.25">
      <c r="D925" s="4551"/>
      <c r="E925" s="4553"/>
      <c r="F925" s="4366"/>
      <c r="G925" s="4366"/>
      <c r="H925" s="4366"/>
      <c r="I925" s="4366"/>
      <c r="J925" s="4366"/>
      <c r="K925" s="4366"/>
      <c r="L925" s="4366"/>
      <c r="M925" s="4366"/>
    </row>
    <row r="926" spans="3:17" x14ac:dyDescent="0.25">
      <c r="D926" s="4551"/>
      <c r="E926" s="4553"/>
      <c r="F926" s="4366"/>
      <c r="G926" s="4366"/>
      <c r="H926" s="4366"/>
      <c r="I926" s="4366"/>
      <c r="J926" s="4366"/>
      <c r="K926" s="4366"/>
      <c r="L926" s="4366"/>
      <c r="M926" s="4366"/>
    </row>
  </sheetData>
  <sheetProtection algorithmName="SHA-512" hashValue="6WoWRnwsk1cnvHA8MtgEqMMesedEenVnyD8uNhvlMIhYXM1t1iL5w7IIKZhFOR83SvC5/GLCAGiPghXOQiyOrg==" saltValue="5cMMwy8DVzeLu9SghpPUjQ==" spinCount="100000" sheet="1" objects="1" scenarios="1"/>
  <mergeCells count="4">
    <mergeCell ref="O679:U679"/>
    <mergeCell ref="O683:U683"/>
    <mergeCell ref="P906:Q906"/>
    <mergeCell ref="P914:Q914"/>
  </mergeCells>
  <conditionalFormatting sqref="D890:M890">
    <cfRule type="cellIs" dxfId="27" priority="1" operator="lessThan">
      <formula>0</formula>
    </cfRule>
  </conditionalFormatting>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1"/>
  </sheetPr>
  <dimension ref="B1:AN147"/>
  <sheetViews>
    <sheetView zoomScale="60" zoomScaleNormal="60" workbookViewId="0">
      <selection activeCell="G3" sqref="G3"/>
    </sheetView>
  </sheetViews>
  <sheetFormatPr defaultRowHeight="15" x14ac:dyDescent="0.25"/>
  <cols>
    <col min="2" max="2" width="16.42578125" style="42" customWidth="1"/>
    <col min="3" max="3" width="11.5703125" customWidth="1"/>
    <col min="4" max="4" width="16.42578125" customWidth="1"/>
    <col min="5" max="5" width="9.28515625" customWidth="1"/>
    <col min="6" max="6" width="8" customWidth="1"/>
    <col min="7" max="9" width="51" style="7" customWidth="1"/>
    <col min="10" max="10" width="16.42578125" style="7" customWidth="1"/>
    <col min="11" max="11" width="49.85546875" style="7" customWidth="1"/>
    <col min="12" max="12" width="9.5703125" customWidth="1"/>
    <col min="13" max="13" width="16.42578125" customWidth="1"/>
    <col min="14" max="14" width="12.140625" customWidth="1"/>
    <col min="15" max="15" width="51.85546875" customWidth="1"/>
    <col min="16" max="16" width="14.7109375" customWidth="1"/>
    <col min="17" max="17" width="11.42578125" customWidth="1"/>
    <col min="18" max="18" width="14.7109375" customWidth="1"/>
    <col min="19" max="19" width="51.85546875" customWidth="1"/>
    <col min="20" max="22" width="12.140625" customWidth="1"/>
    <col min="23" max="23" width="50" customWidth="1"/>
    <col min="24" max="27" width="18.5703125" customWidth="1"/>
    <col min="28" max="31" width="16.42578125" customWidth="1"/>
    <col min="32" max="32" width="14.28515625" customWidth="1"/>
    <col min="40" max="40" width="54.42578125" bestFit="1" customWidth="1"/>
  </cols>
  <sheetData>
    <row r="1" spans="2:32" ht="15.75" thickBot="1" x14ac:dyDescent="0.3">
      <c r="O1" t="s">
        <v>879</v>
      </c>
      <c r="P1" t="s">
        <v>880</v>
      </c>
      <c r="Q1" t="s">
        <v>1526</v>
      </c>
    </row>
    <row r="2" spans="2:32" s="7" customFormat="1" ht="32.25" x14ac:dyDescent="0.3">
      <c r="B2" s="4570" t="s">
        <v>162</v>
      </c>
      <c r="C2" s="4570" t="s">
        <v>165</v>
      </c>
      <c r="D2" s="4570" t="s">
        <v>161</v>
      </c>
      <c r="E2" s="4570" t="s">
        <v>160</v>
      </c>
      <c r="F2" s="4570" t="s">
        <v>164</v>
      </c>
      <c r="G2" s="4570" t="s">
        <v>79</v>
      </c>
      <c r="H2" s="5532" t="s">
        <v>3119</v>
      </c>
      <c r="I2" s="5532" t="s">
        <v>785</v>
      </c>
      <c r="J2" s="804"/>
      <c r="K2" s="845" t="s">
        <v>895</v>
      </c>
      <c r="L2" s="845"/>
      <c r="M2" s="795"/>
      <c r="N2" s="798"/>
      <c r="O2" s="849" t="s">
        <v>896</v>
      </c>
      <c r="P2" s="849"/>
      <c r="Q2"/>
      <c r="R2" s="848"/>
      <c r="S2" s="849" t="s">
        <v>897</v>
      </c>
      <c r="T2" s="848"/>
      <c r="U2" s="848"/>
      <c r="W2" s="7314" t="s">
        <v>894</v>
      </c>
      <c r="X2" s="7315"/>
      <c r="Y2" s="7316"/>
      <c r="Z2" s="5533" t="s">
        <v>3119</v>
      </c>
      <c r="AA2" s="5533" t="s">
        <v>3119</v>
      </c>
      <c r="AC2" s="806"/>
      <c r="AD2" s="807" t="s">
        <v>163</v>
      </c>
      <c r="AE2" s="4744" t="s">
        <v>776</v>
      </c>
      <c r="AF2" s="808" t="s">
        <v>2882</v>
      </c>
    </row>
    <row r="3" spans="2:32" x14ac:dyDescent="0.25">
      <c r="B3" s="8">
        <v>1</v>
      </c>
      <c r="C3" s="8">
        <f ca="1">IF(E3&lt;&gt;0,SUM(1,MAX($C$2:C2)),0)</f>
        <v>0</v>
      </c>
      <c r="D3" s="8" t="s">
        <v>879</v>
      </c>
      <c r="E3" s="844">
        <f ca="1">IF(B3&gt;INDIRECT(SUBSTITUTE(D3," ","_")) ActivatedCounts,0,MATCH($G$2,INDIRECT(CONCATENATE("'",D3,"'!e",INDIRECT(SUBSTITUTE(D3," ","_")) StartPoint+SUM(F2),":$e$420")),0))</f>
        <v>0</v>
      </c>
      <c r="F3" s="8" t="str">
        <f ca="1">IF(B3&gt;INDIRECT(SUBSTITUTE(D3," ","_")) ActivatedCounts,"",SUM(E3,F2))</f>
        <v/>
      </c>
      <c r="G3" s="795" t="e">
        <f ca="1">INDEX(INDIRECT(CONCATENATE("'",D3,"'!e",INDIRECT(SUBSTITUTE(D3," ","_")) StartPoint,":$f$420")),F3,2)</f>
        <v>#VALUE!</v>
      </c>
      <c r="H3" s="798" t="e">
        <f ca="1">INDEX(INDIRECT(CONCATENATE("'",D3,"'!e",INDIRECT(SUBSTITUTE(D3," ","_")) StartPoint,":$h$420")),F3,3)</f>
        <v>#VALUE!</v>
      </c>
      <c r="I3" s="798" t="e">
        <f ca="1">INDEX(INDIRECT(CONCATENATE("'",D3,"'!e",INDIRECT(SUBSTITUTE(D3," ","_")) StartPoint,":$h$420")),F3,4)</f>
        <v>#VALUE!</v>
      </c>
      <c r="J3" s="798"/>
      <c r="K3" s="846" t="str">
        <f t="shared" ref="K3:K34" ca="1" si="0">IFERROR(VLOOKUP(L3,$C$3:$G$127,5,FALSE),0)</f>
        <v>Household survey to assess wastewater services</v>
      </c>
      <c r="L3" s="847">
        <v>1</v>
      </c>
      <c r="M3" s="795" t="str">
        <f t="shared" ref="M3:M34" ca="1" si="1">VLOOKUP(L3,$C$3:$G$127,2,FALSE)</f>
        <v>WW Plan</v>
      </c>
      <c r="N3" s="798"/>
      <c r="O3" s="848" t="str">
        <f ca="1">IF(OR(K3=$AC$9,K3=$AC$10),$AC$8,IF(OR(K3=$AC$13,K3=$AC$14),$AC$12,IF(OR(K3=$AC$17,K3=$AC$18),$AC$16,K3)))</f>
        <v>Household survey to assess wastewater services</v>
      </c>
      <c r="P3" s="848" t="str">
        <f ca="1">IF(M3=$O$1,"WS",IF(M3=$P$1,"WW","SW"))</f>
        <v>WW</v>
      </c>
      <c r="R3" s="848">
        <v>1</v>
      </c>
      <c r="S3" s="848" t="str">
        <f ca="1">IFERROR(IF(O3=O4,"",O3),O3)</f>
        <v>Household survey to assess wastewater services</v>
      </c>
      <c r="T3" s="848" t="str">
        <f ca="1">IF(S3="","",P3)</f>
        <v>WW</v>
      </c>
      <c r="U3" s="850">
        <f ca="1">IF(S3="","",R3)</f>
        <v>1</v>
      </c>
      <c r="V3" s="7"/>
      <c r="W3" s="851" t="str">
        <f ca="1">IF(ISERROR(SMALL($U$3:$U$127,R3)),"",INDEX($S$3:$S$127,SMALL($U$3:$U$127,R3)))</f>
        <v>Household survey to assess wastewater services</v>
      </c>
      <c r="X3" s="1580" t="str">
        <f ca="1">IF(ISERROR(SMALL($U$3:$U$127,R3)),"",INDEX($T$3:$T$127,SMALL($U$3:$U$127,R3)))</f>
        <v>WW</v>
      </c>
      <c r="Y3" s="852" t="str">
        <f ca="1">'Action Plan finance'!I56</f>
        <v>Data system</v>
      </c>
      <c r="Z3" s="1494">
        <f t="shared" ref="Z3:Z34" ca="1" si="2">IFERROR(VLOOKUP(W3,$G$3:$I$127,2,FALSE),"")</f>
        <v>0</v>
      </c>
      <c r="AA3" s="1494">
        <f t="shared" ref="AA3:AA34" ca="1" si="3">IFERROR(VLOOKUP(W3,$G$3:$I$127,3,FALSE),"")</f>
        <v>0</v>
      </c>
      <c r="AC3" s="809" t="s">
        <v>879</v>
      </c>
      <c r="AD3" s="8">
        <f ca="1">MATCH(1,INDIRECT(CONCATENATE("'",AC3,"'!e1:e30")),0)</f>
        <v>21</v>
      </c>
      <c r="AE3" s="4745">
        <f ca="1">COUNTIF(INDIRECT(CONCATENATE("'",AC3,"'!e1:e420")),"Activate")</f>
        <v>0</v>
      </c>
      <c r="AF3" s="810">
        <v>46</v>
      </c>
    </row>
    <row r="4" spans="2:32" ht="30" x14ac:dyDescent="0.25">
      <c r="B4" s="8">
        <v>2</v>
      </c>
      <c r="C4" s="8">
        <f ca="1">IF(E4&lt;&gt;0,SUM(1,MAX($C$2:C3)),0)</f>
        <v>0</v>
      </c>
      <c r="D4" s="8" t="s">
        <v>879</v>
      </c>
      <c r="E4" s="844">
        <f ca="1">IF(B4&gt;INDIRECT(SUBSTITUTE(D4," ","_")) ActivatedCounts,0,MATCH($G$2,INDIRECT(CONCATENATE("'",D4,"'!e",INDIRECT(SUBSTITUTE(D4," ","_")) StartPoint+SUM(F3),":$e$420")),0))</f>
        <v>0</v>
      </c>
      <c r="F4" s="8" t="str">
        <f ca="1">IF(B4&gt;INDIRECT(SUBSTITUTE(D4," ","_")) ActivatedCounts,"",SUM(E4,F3))</f>
        <v/>
      </c>
      <c r="G4" s="795" t="e">
        <f ca="1">INDEX(INDIRECT(CONCATENATE("'",D4,"'!e",INDIRECT(SUBSTITUTE(D4," ","_")) StartPoint,":$f$420")),F4,2)</f>
        <v>#VALUE!</v>
      </c>
      <c r="H4" s="798" t="e">
        <f ca="1">INDEX(INDIRECT(CONCATENATE("'",D4,"'!e",INDIRECT(SUBSTITUTE(D4," ","_")) StartPoint,":$h$420")),F4,3)</f>
        <v>#VALUE!</v>
      </c>
      <c r="I4" s="798" t="e">
        <f ca="1">INDEX(INDIRECT(CONCATENATE("'",D4,"'!e",INDIRECT(SUBSTITUTE(D4," ","_")) StartPoint,":$h$420")),F4,4)</f>
        <v>#VALUE!</v>
      </c>
      <c r="J4" s="798"/>
      <c r="K4" s="846" t="str">
        <f t="shared" ca="1" si="0"/>
        <v>Policy for providing sanitation services in slums</v>
      </c>
      <c r="L4" s="847">
        <v>2</v>
      </c>
      <c r="M4" s="795" t="str">
        <f t="shared" ca="1" si="1"/>
        <v>WW Plan</v>
      </c>
      <c r="N4" s="798"/>
      <c r="O4" s="848" t="str">
        <f t="shared" ref="O4:O67" ca="1" si="4">IF(OR(K4=$AC$9,K4=$AC$10),$AC$8,IF(OR(K4=$AC$13,K4=$AC$14),$AC$12,IF(OR(K4=$AC$17,K4=$AC$18),$AC$16,K4)))</f>
        <v>Policy for providing sanitation services in slums</v>
      </c>
      <c r="P4" s="848" t="str">
        <f t="shared" ref="P4:P67" ca="1" si="5">IF(M4=$O$1,"WS",IF(M4=$P$1,"WW","SW"))</f>
        <v>WW</v>
      </c>
      <c r="R4" s="848">
        <v>2</v>
      </c>
      <c r="S4" s="848" t="str">
        <f t="shared" ref="S4:S66" ca="1" si="6">IFERROR(IF(O4=O5,"",O4),O4)</f>
        <v>Policy for providing sanitation services in slums</v>
      </c>
      <c r="T4" s="848" t="str">
        <f t="shared" ref="T4:T34" ca="1" si="7">IF(S4="","",P4)</f>
        <v>WW</v>
      </c>
      <c r="U4" s="850">
        <f t="shared" ref="U4:U66" ca="1" si="8">IF(S4="","",R4)</f>
        <v>2</v>
      </c>
      <c r="V4" s="7"/>
      <c r="W4" s="851" t="str">
        <f t="shared" ref="W4:W67" ca="1" si="9">IF(ISERROR(SMALL($U$3:$U$127,R4)),"",INDEX($S$3:$S$127,SMALL($U$3:$U$127,R4)))</f>
        <v>Policy for providing sanitation services in slums</v>
      </c>
      <c r="X4" s="1580" t="str">
        <f t="shared" ref="X4:X67" ca="1" si="10">IF(ISERROR(SMALL($U$3:$U$127,R4)),"",INDEX($T$3:$T$127,SMALL($U$3:$U$127,R4)))</f>
        <v>WW</v>
      </c>
      <c r="Y4" s="852" t="str">
        <f ca="1">'Action Plan finance'!I57</f>
        <v>Process/ Policy</v>
      </c>
      <c r="Z4" s="1494">
        <f t="shared" ca="1" si="2"/>
        <v>0</v>
      </c>
      <c r="AA4" s="1494">
        <f t="shared" ca="1" si="3"/>
        <v>0</v>
      </c>
      <c r="AC4" s="809" t="s">
        <v>880</v>
      </c>
      <c r="AD4" s="8">
        <f ca="1">MATCH(1,INDIRECT(CONCATENATE("'",AC4,"'!e1:e30")),0)</f>
        <v>21</v>
      </c>
      <c r="AE4" s="4745">
        <f ca="1">COUNTIF(INDIRECT(CONCATENATE("'",AC4,"'!e1:e500")),"Activate")</f>
        <v>9</v>
      </c>
      <c r="AF4" s="4747">
        <v>39</v>
      </c>
    </row>
    <row r="5" spans="2:32" ht="15.75" thickBot="1" x14ac:dyDescent="0.3">
      <c r="B5" s="8">
        <v>3</v>
      </c>
      <c r="C5" s="8">
        <f ca="1">IF(E5&lt;&gt;0,SUM(1,MAX($C$2:C4)),0)</f>
        <v>0</v>
      </c>
      <c r="D5" s="8" t="s">
        <v>879</v>
      </c>
      <c r="E5" s="844">
        <f ca="1">IF(B5&gt;INDIRECT(SUBSTITUTE(D5," ","_")) ActivatedCounts,0,MATCH($G$2,INDIRECT(CONCATENATE("'",D5,"'!e",INDIRECT(SUBSTITUTE(D5," ","_")) StartPoint+SUM(F4),":$e$420")),0))</f>
        <v>0</v>
      </c>
      <c r="F5" s="8" t="str">
        <f ca="1">IF(B5&gt;INDIRECT(SUBSTITUTE(D5," ","_")) ActivatedCounts,"",SUM(E5,F4))</f>
        <v/>
      </c>
      <c r="G5" s="795" t="e">
        <f ca="1">INDEX(INDIRECT(CONCATENATE("'",D5,"'!e",INDIRECT(SUBSTITUTE(D5," ","_")) StartPoint,":$f$420")),F5,2)</f>
        <v>#VALUE!</v>
      </c>
      <c r="H5" s="798" t="e">
        <f ca="1">INDEX(INDIRECT(CONCATENATE("'",D5,"'!e",INDIRECT(SUBSTITUTE(D5," ","_")) StartPoint,":$h$420")),F5,3)</f>
        <v>#VALUE!</v>
      </c>
      <c r="I5" s="798" t="e">
        <f ca="1">INDEX(INDIRECT(CONCATENATE("'",D5,"'!e",INDIRECT(SUBSTITUTE(D5," ","_")) StartPoint,":$h$420")),F5,4)</f>
        <v>#VALUE!</v>
      </c>
      <c r="J5" s="798"/>
      <c r="K5" s="846" t="str">
        <f t="shared" ca="1" si="0"/>
        <v>Improve condition of existing individual toilets by providing safe sanitation disposal system</v>
      </c>
      <c r="L5" s="847">
        <v>3</v>
      </c>
      <c r="M5" s="795" t="str">
        <f t="shared" ca="1" si="1"/>
        <v>WW Plan</v>
      </c>
      <c r="N5" s="798"/>
      <c r="O5" s="848" t="str">
        <f t="shared" ca="1" si="4"/>
        <v>Improve condition of existing individual toilets by providing safe sanitation disposal system</v>
      </c>
      <c r="P5" s="848" t="str">
        <f t="shared" ca="1" si="5"/>
        <v>WW</v>
      </c>
      <c r="R5" s="848">
        <v>3</v>
      </c>
      <c r="S5" s="848" t="str">
        <f t="shared" ca="1" si="6"/>
        <v>Improve condition of existing individual toilets by providing safe sanitation disposal system</v>
      </c>
      <c r="T5" s="848" t="str">
        <f t="shared" ca="1" si="7"/>
        <v>WW</v>
      </c>
      <c r="U5" s="850">
        <f t="shared" ca="1" si="8"/>
        <v>3</v>
      </c>
      <c r="V5" s="7"/>
      <c r="W5" s="851" t="str">
        <f t="shared" ca="1" si="9"/>
        <v>Improve condition of existing individual toilets by providing safe sanitation disposal system</v>
      </c>
      <c r="X5" s="1580" t="str">
        <f t="shared" ca="1" si="10"/>
        <v>WW</v>
      </c>
      <c r="Y5" s="852" t="str">
        <f ca="1">'Action Plan finance'!I58</f>
        <v>Exisiting system</v>
      </c>
      <c r="Z5" s="1494">
        <f t="shared" ca="1" si="2"/>
        <v>2015</v>
      </c>
      <c r="AA5" s="1494">
        <f t="shared" ca="1" si="3"/>
        <v>2019</v>
      </c>
      <c r="AC5" s="811" t="s">
        <v>1526</v>
      </c>
      <c r="AD5" s="4554">
        <f ca="1">MATCH(1,INDIRECT(CONCATENATE("'",AC5,"'!e1:e30")),0)</f>
        <v>21</v>
      </c>
      <c r="AE5" s="4746">
        <f ca="1">COUNTIF(INDIRECT(CONCATENATE("'",AC5,"'!e1:e420")),"Activate")</f>
        <v>0</v>
      </c>
      <c r="AF5" s="4555">
        <v>31</v>
      </c>
    </row>
    <row r="6" spans="2:32" x14ac:dyDescent="0.25">
      <c r="B6" s="8">
        <v>4</v>
      </c>
      <c r="C6" s="8">
        <f ca="1">IF(E6&lt;&gt;0,SUM(1,MAX($C$2:C5)),0)</f>
        <v>0</v>
      </c>
      <c r="D6" s="8" t="s">
        <v>879</v>
      </c>
      <c r="E6" s="844">
        <f ca="1">IF(B6&gt;INDIRECT(SUBSTITUTE(D6," ","_")) ActivatedCounts,0,MATCH($G$2,INDIRECT(CONCATENATE("'",D6,"'!e",INDIRECT(SUBSTITUTE(D6," ","_")) StartPoint+SUM(F5),":$e$420")),0))</f>
        <v>0</v>
      </c>
      <c r="F6" s="8" t="str">
        <f ca="1">IF(B6&gt;INDIRECT(SUBSTITUTE(D6," ","_")) ActivatedCounts,"",SUM(E6,F5))</f>
        <v/>
      </c>
      <c r="G6" s="795" t="e">
        <f ca="1">INDEX(INDIRECT(CONCATENATE("'",D6,"'!e",INDIRECT(SUBSTITUTE(D6," ","_")) StartPoint,":$f$420")),F6,2)</f>
        <v>#VALUE!</v>
      </c>
      <c r="H6" s="798" t="e">
        <f ca="1">INDEX(INDIRECT(CONCATENATE("'",D6,"'!e",INDIRECT(SUBSTITUTE(D6," ","_")) StartPoint,":$h$420")),F6,3)</f>
        <v>#VALUE!</v>
      </c>
      <c r="I6" s="798" t="e">
        <f ca="1">INDEX(INDIRECT(CONCATENATE("'",D6,"'!e",INDIRECT(SUBSTITUTE(D6," ","_")) StartPoint,":$h$420")),F6,4)</f>
        <v>#VALUE!</v>
      </c>
      <c r="J6" s="798"/>
      <c r="K6" s="846" t="str">
        <f t="shared" ca="1" si="0"/>
        <v>Improve condition of existing Community toilets</v>
      </c>
      <c r="L6" s="847">
        <v>4</v>
      </c>
      <c r="M6" s="795" t="str">
        <f t="shared" ca="1" si="1"/>
        <v>WW Plan</v>
      </c>
      <c r="N6" s="798"/>
      <c r="O6" s="848" t="str">
        <f t="shared" ca="1" si="4"/>
        <v>Improve condition of existing Community toilets</v>
      </c>
      <c r="P6" s="848" t="str">
        <f t="shared" ca="1" si="5"/>
        <v>WW</v>
      </c>
      <c r="R6" s="848">
        <v>4</v>
      </c>
      <c r="S6" s="848" t="str">
        <f t="shared" ca="1" si="6"/>
        <v>Improve condition of existing Community toilets</v>
      </c>
      <c r="T6" s="848" t="str">
        <f t="shared" ca="1" si="7"/>
        <v>WW</v>
      </c>
      <c r="U6" s="850">
        <f t="shared" ca="1" si="8"/>
        <v>4</v>
      </c>
      <c r="V6" s="7"/>
      <c r="W6" s="851" t="str">
        <f t="shared" ca="1" si="9"/>
        <v>Improve condition of existing Community toilets</v>
      </c>
      <c r="X6" s="1580" t="str">
        <f t="shared" ca="1" si="10"/>
        <v>WW</v>
      </c>
      <c r="Y6" s="852" t="str">
        <f ca="1">'Action Plan finance'!I59</f>
        <v>Exisiting system</v>
      </c>
      <c r="Z6" s="1494">
        <f t="shared" ca="1" si="2"/>
        <v>0</v>
      </c>
      <c r="AA6" s="1494">
        <f t="shared" ca="1" si="3"/>
        <v>0</v>
      </c>
      <c r="AF6">
        <f>AF5+AF4+AF3</f>
        <v>116</v>
      </c>
    </row>
    <row r="7" spans="2:32" ht="15.75" thickBot="1" x14ac:dyDescent="0.3">
      <c r="B7" s="8">
        <v>5</v>
      </c>
      <c r="C7" s="8">
        <f ca="1">IF(E7&lt;&gt;0,SUM(1,MAX($C$2:C6)),0)</f>
        <v>0</v>
      </c>
      <c r="D7" s="8" t="s">
        <v>879</v>
      </c>
      <c r="E7" s="844">
        <f ca="1">IF(B7&gt;INDIRECT(SUBSTITUTE(D7," ","_")) ActivatedCounts,0,MATCH($G$2,INDIRECT(CONCATENATE("'",D7,"'!e",INDIRECT(SUBSTITUTE(D7," ","_")) StartPoint+SUM(F6),":$e$420")),0))</f>
        <v>0</v>
      </c>
      <c r="F7" s="8" t="str">
        <f ca="1">IF(B7&gt;INDIRECT(SUBSTITUTE(D7," ","_")) ActivatedCounts,"",SUM(E7,F6))</f>
        <v/>
      </c>
      <c r="G7" s="795" t="e">
        <f ca="1">INDEX(INDIRECT(CONCATENATE("'",D7,"'!e",INDIRECT(SUBSTITUTE(D7," ","_")) StartPoint,":$f$420")),F7,2)</f>
        <v>#VALUE!</v>
      </c>
      <c r="H7" s="798" t="e">
        <f ca="1">INDEX(INDIRECT(CONCATENATE("'",D7,"'!e",INDIRECT(SUBSTITUTE(D7," ","_")) StartPoint,":$h$420")),F7,3)</f>
        <v>#VALUE!</v>
      </c>
      <c r="I7" s="798" t="e">
        <f ca="1">INDEX(INDIRECT(CONCATENATE("'",D7,"'!e",INDIRECT(SUBSTITUTE(D7," ","_")) StartPoint,":$h$420")),F7,4)</f>
        <v>#VALUE!</v>
      </c>
      <c r="J7" s="798"/>
      <c r="K7" s="846" t="str">
        <f t="shared" ca="1" si="0"/>
        <v>Construct new individual toilets</v>
      </c>
      <c r="L7" s="847">
        <v>5</v>
      </c>
      <c r="M7" s="795" t="str">
        <f t="shared" ca="1" si="1"/>
        <v>WW Plan</v>
      </c>
      <c r="N7" s="798"/>
      <c r="O7" s="848" t="str">
        <f t="shared" ca="1" si="4"/>
        <v>Construct new individual toilets</v>
      </c>
      <c r="P7" s="848" t="str">
        <f t="shared" ca="1" si="5"/>
        <v>WW</v>
      </c>
      <c r="R7" s="848">
        <v>5</v>
      </c>
      <c r="S7" s="848" t="str">
        <f t="shared" ca="1" si="6"/>
        <v>Construct new individual toilets</v>
      </c>
      <c r="T7" s="848" t="str">
        <f t="shared" ca="1" si="7"/>
        <v>WW</v>
      </c>
      <c r="U7" s="850">
        <f t="shared" ca="1" si="8"/>
        <v>5</v>
      </c>
      <c r="V7" s="7"/>
      <c r="W7" s="851" t="str">
        <f t="shared" ca="1" si="9"/>
        <v>Construct new individual toilets</v>
      </c>
      <c r="X7" s="1580" t="str">
        <f t="shared" ca="1" si="10"/>
        <v>WW</v>
      </c>
      <c r="Y7" s="852" t="str">
        <f ca="1">'Action Plan finance'!I60</f>
        <v>New infrastructure</v>
      </c>
      <c r="Z7" s="1494">
        <f t="shared" ca="1" si="2"/>
        <v>0</v>
      </c>
      <c r="AA7" s="1494">
        <f t="shared" ca="1" si="3"/>
        <v>0</v>
      </c>
    </row>
    <row r="8" spans="2:32" ht="30" x14ac:dyDescent="0.25">
      <c r="B8" s="8">
        <v>6</v>
      </c>
      <c r="C8" s="8">
        <f ca="1">IF(E8&lt;&gt;0,SUM(1,MAX($C$2:C7)),0)</f>
        <v>0</v>
      </c>
      <c r="D8" s="8" t="s">
        <v>879</v>
      </c>
      <c r="E8" s="844">
        <f ca="1">IF(B8&gt;INDIRECT(SUBSTITUTE(D8," ","_")) ActivatedCounts,0,MATCH($G$2,INDIRECT(CONCATENATE("'",D8,"'!e",INDIRECT(SUBSTITUTE(D8," ","_")) StartPoint+SUM(F7),":$e$420")),0))</f>
        <v>0</v>
      </c>
      <c r="F8" s="8" t="str">
        <f ca="1">IF(B8&gt;INDIRECT(SUBSTITUTE(D8," ","_")) ActivatedCounts,"",SUM(E8,F7))</f>
        <v/>
      </c>
      <c r="G8" s="795" t="e">
        <f ca="1">INDEX(INDIRECT(CONCATENATE("'",D8,"'!e",INDIRECT(SUBSTITUTE(D8," ","_")) StartPoint,":$f$420")),F8,2)</f>
        <v>#VALUE!</v>
      </c>
      <c r="H8" s="798" t="e">
        <f ca="1">INDEX(INDIRECT(CONCATENATE("'",D8,"'!e",INDIRECT(SUBSTITUTE(D8," ","_")) StartPoint,":$h$420")),F8,3)</f>
        <v>#VALUE!</v>
      </c>
      <c r="I8" s="798" t="e">
        <f ca="1">INDEX(INDIRECT(CONCATENATE("'",D8,"'!e",INDIRECT(SUBSTITUTE(D8," ","_")) StartPoint,":$h$420")),F8,4)</f>
        <v>#VALUE!</v>
      </c>
      <c r="J8" s="798"/>
      <c r="K8" s="846" t="str">
        <f t="shared" ca="1" si="0"/>
        <v>Construct new public toilet blocks</v>
      </c>
      <c r="L8" s="847">
        <v>6</v>
      </c>
      <c r="M8" s="795" t="str">
        <f t="shared" ca="1" si="1"/>
        <v>WW Plan</v>
      </c>
      <c r="N8" s="798"/>
      <c r="O8" s="848" t="str">
        <f t="shared" ca="1" si="4"/>
        <v>Construct new public toilet blocks</v>
      </c>
      <c r="P8" s="848" t="str">
        <f t="shared" ca="1" si="5"/>
        <v>WW</v>
      </c>
      <c r="R8" s="848">
        <v>6</v>
      </c>
      <c r="S8" s="848" t="str">
        <f t="shared" ca="1" si="6"/>
        <v>Construct new public toilet blocks</v>
      </c>
      <c r="T8" s="848" t="str">
        <f t="shared" ca="1" si="7"/>
        <v>WW</v>
      </c>
      <c r="U8" s="850">
        <f t="shared" ca="1" si="8"/>
        <v>6</v>
      </c>
      <c r="V8" s="7"/>
      <c r="W8" s="851" t="str">
        <f t="shared" ca="1" si="9"/>
        <v>Construct new public toilet blocks</v>
      </c>
      <c r="X8" s="1580" t="str">
        <f t="shared" ca="1" si="10"/>
        <v>WW</v>
      </c>
      <c r="Y8" s="852" t="str">
        <f ca="1">'Action Plan finance'!I61</f>
        <v>New infrastructure</v>
      </c>
      <c r="Z8" s="1494">
        <f t="shared" ca="1" si="2"/>
        <v>0</v>
      </c>
      <c r="AA8" s="1494">
        <f t="shared" ca="1" si="3"/>
        <v>0</v>
      </c>
      <c r="AC8" s="867" t="s">
        <v>515</v>
      </c>
      <c r="AD8" s="857"/>
      <c r="AE8" s="857"/>
      <c r="AF8" s="858"/>
    </row>
    <row r="9" spans="2:32" ht="30" x14ac:dyDescent="0.25">
      <c r="B9" s="8">
        <v>7</v>
      </c>
      <c r="C9" s="8">
        <f ca="1">IF(E9&lt;&gt;0,SUM(1,MAX($C$2:C8)),0)</f>
        <v>0</v>
      </c>
      <c r="D9" s="8" t="s">
        <v>879</v>
      </c>
      <c r="E9" s="844">
        <f ca="1">IF(B9&gt;INDIRECT(SUBSTITUTE(D9," ","_")) ActivatedCounts,0,MATCH($G$2,INDIRECT(CONCATENATE("'",D9,"'!e",INDIRECT(SUBSTITUTE(D9," ","_")) StartPoint+SUM(F8),":$e$420")),0))</f>
        <v>0</v>
      </c>
      <c r="F9" s="8" t="str">
        <f ca="1">IF(B9&gt;INDIRECT(SUBSTITUTE(D9," ","_")) ActivatedCounts,"",SUM(E9,F8))</f>
        <v/>
      </c>
      <c r="G9" s="795" t="e">
        <f ca="1">INDEX(INDIRECT(CONCATENATE("'",D9,"'!e",INDIRECT(SUBSTITUTE(D9," ","_")) StartPoint,":$f$420")),F9,2)</f>
        <v>#VALUE!</v>
      </c>
      <c r="H9" s="798" t="e">
        <f ca="1">INDEX(INDIRECT(CONCATENATE("'",D9,"'!e",INDIRECT(SUBSTITUTE(D9," ","_")) StartPoint,":$h$420")),F9,3)</f>
        <v>#VALUE!</v>
      </c>
      <c r="I9" s="798" t="e">
        <f ca="1">INDEX(INDIRECT(CONCATENATE("'",D9,"'!e",INDIRECT(SUBSTITUTE(D9," ","_")) StartPoint,":$h$420")),F9,4)</f>
        <v>#VALUE!</v>
      </c>
      <c r="J9" s="798"/>
      <c r="K9" s="846" t="str">
        <f t="shared" ca="1" si="0"/>
        <v>Increase septage collection with existing suction emptier trucks</v>
      </c>
      <c r="L9" s="847">
        <v>7</v>
      </c>
      <c r="M9" s="795" t="str">
        <f t="shared" ca="1" si="1"/>
        <v>WW Plan</v>
      </c>
      <c r="N9" s="798"/>
      <c r="O9" s="848" t="str">
        <f t="shared" ca="1" si="4"/>
        <v>Increase septage collection with existing suction emptier trucks</v>
      </c>
      <c r="P9" s="848" t="str">
        <f t="shared" ca="1" si="5"/>
        <v>WW</v>
      </c>
      <c r="R9" s="848">
        <v>7</v>
      </c>
      <c r="S9" s="848" t="str">
        <f t="shared" ca="1" si="6"/>
        <v>Increase septage collection with existing suction emptier trucks</v>
      </c>
      <c r="T9" s="848" t="str">
        <f t="shared" ca="1" si="7"/>
        <v>WW</v>
      </c>
      <c r="U9" s="850">
        <f t="shared" ca="1" si="8"/>
        <v>7</v>
      </c>
      <c r="V9" s="7"/>
      <c r="W9" s="851" t="str">
        <f t="shared" ca="1" si="9"/>
        <v>Increase septage collection with existing suction emptier trucks</v>
      </c>
      <c r="X9" s="1580" t="str">
        <f t="shared" ca="1" si="10"/>
        <v>WW</v>
      </c>
      <c r="Y9" s="852" t="str">
        <f ca="1">'Action Plan finance'!I62</f>
        <v>Exisiting system</v>
      </c>
      <c r="Z9" s="1494">
        <f t="shared" ca="1" si="2"/>
        <v>2015</v>
      </c>
      <c r="AA9" s="1494">
        <f t="shared" ca="1" si="3"/>
        <v>2015</v>
      </c>
      <c r="AC9" s="859" t="s">
        <v>746</v>
      </c>
      <c r="AD9" s="860"/>
      <c r="AE9" s="860"/>
      <c r="AF9" s="861"/>
    </row>
    <row r="10" spans="2:32" x14ac:dyDescent="0.25">
      <c r="B10" s="8">
        <v>8</v>
      </c>
      <c r="C10" s="8">
        <f ca="1">IF(E10&lt;&gt;0,SUM(1,MAX($C$2:C9)),0)</f>
        <v>0</v>
      </c>
      <c r="D10" s="8" t="s">
        <v>879</v>
      </c>
      <c r="E10" s="844">
        <f ca="1">IF(B10&gt;INDIRECT(SUBSTITUTE(D10," ","_")) ActivatedCounts,0,MATCH($G$2,INDIRECT(CONCATENATE("'",D10,"'!e",INDIRECT(SUBSTITUTE(D10," ","_")) StartPoint+SUM(F9),":$e$420")),0))</f>
        <v>0</v>
      </c>
      <c r="F10" s="8" t="str">
        <f ca="1">IF(B10&gt;INDIRECT(SUBSTITUTE(D10," ","_")) ActivatedCounts,"",SUM(E10,F9))</f>
        <v/>
      </c>
      <c r="G10" s="795" t="e">
        <f ca="1">INDEX(INDIRECT(CONCATENATE("'",D10,"'!e",INDIRECT(SUBSTITUTE(D10," ","_")) StartPoint,":$f$420")),F10,2)</f>
        <v>#VALUE!</v>
      </c>
      <c r="H10" s="798" t="e">
        <f ca="1">INDEX(INDIRECT(CONCATENATE("'",D10,"'!e",INDIRECT(SUBSTITUTE(D10," ","_")) StartPoint,":$h$420")),F10,3)</f>
        <v>#VALUE!</v>
      </c>
      <c r="I10" s="798" t="e">
        <f ca="1">INDEX(INDIRECT(CONCATENATE("'",D10,"'!e",INDIRECT(SUBSTITUTE(D10," ","_")) StartPoint,":$h$420")),F10,4)</f>
        <v>#VALUE!</v>
      </c>
      <c r="J10" s="798"/>
      <c r="K10" s="846" t="str">
        <f t="shared" ca="1" si="0"/>
        <v>Procure new suction emptier trucks</v>
      </c>
      <c r="L10" s="847">
        <v>8</v>
      </c>
      <c r="M10" s="795" t="str">
        <f t="shared" ca="1" si="1"/>
        <v>WW Plan</v>
      </c>
      <c r="N10" s="798"/>
      <c r="O10" s="848" t="str">
        <f t="shared" ca="1" si="4"/>
        <v>Procure new suction emptier trucks</v>
      </c>
      <c r="P10" s="848" t="str">
        <f t="shared" ca="1" si="5"/>
        <v>WW</v>
      </c>
      <c r="R10" s="848">
        <v>8</v>
      </c>
      <c r="S10" s="848" t="str">
        <f t="shared" ca="1" si="6"/>
        <v>Procure new suction emptier trucks</v>
      </c>
      <c r="T10" s="848" t="str">
        <f t="shared" ca="1" si="7"/>
        <v>WW</v>
      </c>
      <c r="U10" s="850">
        <f t="shared" ca="1" si="8"/>
        <v>8</v>
      </c>
      <c r="V10" s="7"/>
      <c r="W10" s="851" t="str">
        <f t="shared" ca="1" si="9"/>
        <v>Procure new suction emptier trucks</v>
      </c>
      <c r="X10" s="1580" t="str">
        <f t="shared" ca="1" si="10"/>
        <v>WW</v>
      </c>
      <c r="Y10" s="852" t="str">
        <f ca="1">'Action Plan finance'!I63</f>
        <v>New infrastructure</v>
      </c>
      <c r="Z10" s="1494">
        <f t="shared" ca="1" si="2"/>
        <v>2015</v>
      </c>
      <c r="AA10" s="1494">
        <f t="shared" ca="1" si="3"/>
        <v>2016</v>
      </c>
      <c r="AC10" s="859" t="s">
        <v>747</v>
      </c>
      <c r="AD10" s="860"/>
      <c r="AE10" s="860"/>
      <c r="AF10" s="861"/>
    </row>
    <row r="11" spans="2:32" ht="15.75" x14ac:dyDescent="0.25">
      <c r="B11" s="8">
        <v>9</v>
      </c>
      <c r="C11" s="8">
        <f ca="1">IF(E11&lt;&gt;0,SUM(1,MAX($C$2:C10)),0)</f>
        <v>0</v>
      </c>
      <c r="D11" s="8" t="s">
        <v>879</v>
      </c>
      <c r="E11" s="844">
        <f ca="1">IF(B11&gt;INDIRECT(SUBSTITUTE(D11," ","_")) ActivatedCounts,0,MATCH($G$2,INDIRECT(CONCATENATE("'",D11,"'!e",INDIRECT(SUBSTITUTE(D11," ","_")) StartPoint+SUM(F10),":$e$420")),0))</f>
        <v>0</v>
      </c>
      <c r="F11" s="8" t="str">
        <f ca="1">IF(B11&gt;INDIRECT(SUBSTITUTE(D11," ","_")) ActivatedCounts,"",SUM(E11,F10))</f>
        <v/>
      </c>
      <c r="G11" s="795" t="e">
        <f ca="1">INDEX(INDIRECT(CONCATENATE("'",D11,"'!e",INDIRECT(SUBSTITUTE(D11," ","_")) StartPoint,":$f$420")),F11,2)</f>
        <v>#VALUE!</v>
      </c>
      <c r="H11" s="798" t="e">
        <f ca="1">INDEX(INDIRECT(CONCATENATE("'",D11,"'!e",INDIRECT(SUBSTITUTE(D11," ","_")) StartPoint,":$h$420")),F11,3)</f>
        <v>#VALUE!</v>
      </c>
      <c r="I11" s="798" t="e">
        <f ca="1">INDEX(INDIRECT(CONCATENATE("'",D11,"'!e",INDIRECT(SUBSTITUTE(D11," ","_")) StartPoint,":$h$420")),F11,4)</f>
        <v>#VALUE!</v>
      </c>
      <c r="J11" s="798"/>
      <c r="K11" s="846" t="str">
        <f t="shared" ca="1" si="0"/>
        <v>Construct/augment fecal sludge treatment plant</v>
      </c>
      <c r="L11" s="847">
        <v>9</v>
      </c>
      <c r="M11" s="795" t="str">
        <f t="shared" ca="1" si="1"/>
        <v>WW Plan</v>
      </c>
      <c r="N11" s="798"/>
      <c r="O11" s="848" t="str">
        <f t="shared" ca="1" si="4"/>
        <v>Construct/augment fecal sludge treatment plant</v>
      </c>
      <c r="P11" s="848" t="str">
        <f t="shared" ca="1" si="5"/>
        <v>WW</v>
      </c>
      <c r="R11" s="848">
        <v>9</v>
      </c>
      <c r="S11" s="848" t="str">
        <f t="shared" ca="1" si="6"/>
        <v>Construct/augment fecal sludge treatment plant</v>
      </c>
      <c r="T11" s="848" t="str">
        <f t="shared" ca="1" si="7"/>
        <v>WW</v>
      </c>
      <c r="U11" s="850">
        <f t="shared" ca="1" si="8"/>
        <v>9</v>
      </c>
      <c r="V11" s="7"/>
      <c r="W11" s="851" t="str">
        <f t="shared" ca="1" si="9"/>
        <v>Construct/augment fecal sludge treatment plant</v>
      </c>
      <c r="X11" s="1580" t="str">
        <f t="shared" ca="1" si="10"/>
        <v>WW</v>
      </c>
      <c r="Y11" s="852" t="str">
        <f ca="1">'Action Plan finance'!I64</f>
        <v>New infrastructure</v>
      </c>
      <c r="Z11" s="1494">
        <f t="shared" ca="1" si="2"/>
        <v>2015</v>
      </c>
      <c r="AA11" s="1494">
        <f t="shared" ca="1" si="3"/>
        <v>2016</v>
      </c>
      <c r="AC11" s="1471"/>
      <c r="AD11" s="54"/>
      <c r="AE11" s="54"/>
      <c r="AF11" s="855"/>
    </row>
    <row r="12" spans="2:32" ht="15.75" x14ac:dyDescent="0.25">
      <c r="B12" s="8">
        <v>10</v>
      </c>
      <c r="C12" s="8">
        <f ca="1">IF(E12&lt;&gt;0,SUM(1,MAX($C$2:C11)),0)</f>
        <v>0</v>
      </c>
      <c r="D12" s="8" t="s">
        <v>879</v>
      </c>
      <c r="E12" s="844">
        <f ca="1">IF(B12&gt;INDIRECT(SUBSTITUTE(D12," ","_")) ActivatedCounts,0,MATCH($G$2,INDIRECT(CONCATENATE("'",D12,"'!e",INDIRECT(SUBSTITUTE(D12," ","_")) StartPoint+SUM(F11),":$e$420")),0))</f>
        <v>0</v>
      </c>
      <c r="F12" s="8" t="str">
        <f ca="1">IF(B12&gt;INDIRECT(SUBSTITUTE(D12," ","_")) ActivatedCounts,"",SUM(E12,F11))</f>
        <v/>
      </c>
      <c r="G12" s="795" t="e">
        <f ca="1">INDEX(INDIRECT(CONCATENATE("'",D12,"'!e",INDIRECT(SUBSTITUTE(D12," ","_")) StartPoint,":$f$420")),F12,2)</f>
        <v>#VALUE!</v>
      </c>
      <c r="H12" s="798" t="e">
        <f ca="1">INDEX(INDIRECT(CONCATENATE("'",D12,"'!e",INDIRECT(SUBSTITUTE(D12," ","_")) StartPoint,":$h$420")),F12,3)</f>
        <v>#VALUE!</v>
      </c>
      <c r="I12" s="798" t="e">
        <f ca="1">INDEX(INDIRECT(CONCATENATE("'",D12,"'!e",INDIRECT(SUBSTITUTE(D12," ","_")) StartPoint,":$h$420")),F12,4)</f>
        <v>#VALUE!</v>
      </c>
      <c r="J12" s="798"/>
      <c r="K12" s="846">
        <f t="shared" ca="1" si="0"/>
        <v>0</v>
      </c>
      <c r="L12" s="847">
        <v>10</v>
      </c>
      <c r="M12" s="795" t="e">
        <f t="shared" ca="1" si="1"/>
        <v>#N/A</v>
      </c>
      <c r="N12" s="798"/>
      <c r="O12" s="848">
        <f t="shared" ca="1" si="4"/>
        <v>0</v>
      </c>
      <c r="P12" s="848" t="e">
        <f t="shared" ca="1" si="5"/>
        <v>#N/A</v>
      </c>
      <c r="R12" s="848">
        <v>10</v>
      </c>
      <c r="S12" s="848" t="str">
        <f t="shared" ca="1" si="6"/>
        <v/>
      </c>
      <c r="T12" s="848" t="str">
        <f t="shared" ca="1" si="7"/>
        <v/>
      </c>
      <c r="U12" s="850" t="str">
        <f t="shared" ca="1" si="8"/>
        <v/>
      </c>
      <c r="V12" s="7"/>
      <c r="W12" s="851" t="str">
        <f t="shared" ca="1" si="9"/>
        <v/>
      </c>
      <c r="X12" s="1580" t="str">
        <f t="shared" ca="1" si="10"/>
        <v/>
      </c>
      <c r="Y12" s="852" t="str">
        <f ca="1">'Action Plan finance'!I65</f>
        <v/>
      </c>
      <c r="Z12" s="1494" t="str">
        <f t="shared" ca="1" si="2"/>
        <v/>
      </c>
      <c r="AA12" s="1494" t="str">
        <f t="shared" ca="1" si="3"/>
        <v/>
      </c>
      <c r="AC12" s="868" t="s">
        <v>516</v>
      </c>
      <c r="AD12" s="862"/>
      <c r="AE12" s="862"/>
      <c r="AF12" s="863"/>
    </row>
    <row r="13" spans="2:32" x14ac:dyDescent="0.25">
      <c r="B13" s="8">
        <v>11</v>
      </c>
      <c r="C13" s="8">
        <f ca="1">IF(E13&lt;&gt;0,SUM(1,MAX($C$2:C12)),0)</f>
        <v>0</v>
      </c>
      <c r="D13" s="8" t="s">
        <v>879</v>
      </c>
      <c r="E13" s="844">
        <f ca="1">IF(B13&gt;INDIRECT(SUBSTITUTE(D13," ","_")) ActivatedCounts,0,MATCH($G$2,INDIRECT(CONCATENATE("'",D13,"'!e",INDIRECT(SUBSTITUTE(D13," ","_")) StartPoint+SUM(F12),":$e$420")),0))</f>
        <v>0</v>
      </c>
      <c r="F13" s="8" t="str">
        <f ca="1">IF(B13&gt;INDIRECT(SUBSTITUTE(D13," ","_")) ActivatedCounts,"",SUM(E13,F12))</f>
        <v/>
      </c>
      <c r="G13" s="795" t="e">
        <f ca="1">INDEX(INDIRECT(CONCATENATE("'",D13,"'!e",INDIRECT(SUBSTITUTE(D13," ","_")) StartPoint,":$f$420")),F13,2)</f>
        <v>#VALUE!</v>
      </c>
      <c r="H13" s="798" t="e">
        <f ca="1">INDEX(INDIRECT(CONCATENATE("'",D13,"'!e",INDIRECT(SUBSTITUTE(D13," ","_")) StartPoint,":$h$420")),F13,3)</f>
        <v>#VALUE!</v>
      </c>
      <c r="I13" s="798" t="e">
        <f ca="1">INDEX(INDIRECT(CONCATENATE("'",D13,"'!e",INDIRECT(SUBSTITUTE(D13," ","_")) StartPoint,":$h$420")),F13,4)</f>
        <v>#VALUE!</v>
      </c>
      <c r="J13" s="798"/>
      <c r="K13" s="846">
        <f t="shared" ca="1" si="0"/>
        <v>0</v>
      </c>
      <c r="L13" s="847">
        <v>11</v>
      </c>
      <c r="M13" s="795" t="e">
        <f t="shared" ca="1" si="1"/>
        <v>#N/A</v>
      </c>
      <c r="N13" s="798"/>
      <c r="O13" s="848">
        <f t="shared" ca="1" si="4"/>
        <v>0</v>
      </c>
      <c r="P13" s="848" t="e">
        <f t="shared" ca="1" si="5"/>
        <v>#N/A</v>
      </c>
      <c r="R13" s="848">
        <v>11</v>
      </c>
      <c r="S13" s="848" t="str">
        <f t="shared" ca="1" si="6"/>
        <v/>
      </c>
      <c r="T13" s="848" t="str">
        <f t="shared" ca="1" si="7"/>
        <v/>
      </c>
      <c r="U13" s="850" t="str">
        <f t="shared" ca="1" si="8"/>
        <v/>
      </c>
      <c r="V13" s="7"/>
      <c r="W13" s="851" t="str">
        <f t="shared" ca="1" si="9"/>
        <v/>
      </c>
      <c r="X13" s="1580" t="str">
        <f t="shared" ca="1" si="10"/>
        <v/>
      </c>
      <c r="Y13" s="852" t="str">
        <f ca="1">'Action Plan finance'!I66</f>
        <v/>
      </c>
      <c r="Z13" s="1494" t="str">
        <f t="shared" ca="1" si="2"/>
        <v/>
      </c>
      <c r="AA13" s="1494" t="str">
        <f t="shared" ca="1" si="3"/>
        <v/>
      </c>
      <c r="AC13" s="859" t="s">
        <v>748</v>
      </c>
      <c r="AD13" s="860"/>
      <c r="AE13" s="860"/>
      <c r="AF13" s="861"/>
    </row>
    <row r="14" spans="2:32" ht="30" x14ac:dyDescent="0.25">
      <c r="B14" s="8">
        <v>12</v>
      </c>
      <c r="C14" s="8">
        <f ca="1">IF(E14&lt;&gt;0,SUM(1,MAX($C$2:C13)),0)</f>
        <v>0</v>
      </c>
      <c r="D14" s="8" t="s">
        <v>879</v>
      </c>
      <c r="E14" s="844">
        <f ca="1">IF(B14&gt;INDIRECT(SUBSTITUTE(D14," ","_")) ActivatedCounts,0,MATCH($G$2,INDIRECT(CONCATENATE("'",D14,"'!e",INDIRECT(SUBSTITUTE(D14," ","_")) StartPoint+SUM(F13),":$e$420")),0))</f>
        <v>0</v>
      </c>
      <c r="F14" s="8" t="str">
        <f ca="1">IF(B14&gt;INDIRECT(SUBSTITUTE(D14," ","_")) ActivatedCounts,"",SUM(E14,F13))</f>
        <v/>
      </c>
      <c r="G14" s="795" t="e">
        <f ca="1">INDEX(INDIRECT(CONCATENATE("'",D14,"'!e",INDIRECT(SUBSTITUTE(D14," ","_")) StartPoint,":$f$420")),F14,2)</f>
        <v>#VALUE!</v>
      </c>
      <c r="H14" s="798" t="e">
        <f ca="1">INDEX(INDIRECT(CONCATENATE("'",D14,"'!e",INDIRECT(SUBSTITUTE(D14," ","_")) StartPoint,":$h$420")),F14,3)</f>
        <v>#VALUE!</v>
      </c>
      <c r="I14" s="798" t="e">
        <f ca="1">INDEX(INDIRECT(CONCATENATE("'",D14,"'!e",INDIRECT(SUBSTITUTE(D14," ","_")) StartPoint,":$h$420")),F14,4)</f>
        <v>#VALUE!</v>
      </c>
      <c r="J14" s="798"/>
      <c r="K14" s="846">
        <f t="shared" ca="1" si="0"/>
        <v>0</v>
      </c>
      <c r="L14" s="847">
        <v>12</v>
      </c>
      <c r="M14" s="795" t="e">
        <f t="shared" ca="1" si="1"/>
        <v>#N/A</v>
      </c>
      <c r="N14" s="798"/>
      <c r="O14" s="848">
        <f t="shared" ca="1" si="4"/>
        <v>0</v>
      </c>
      <c r="P14" s="848" t="e">
        <f t="shared" ca="1" si="5"/>
        <v>#N/A</v>
      </c>
      <c r="R14" s="848">
        <v>12</v>
      </c>
      <c r="S14" s="848" t="str">
        <f t="shared" ca="1" si="6"/>
        <v/>
      </c>
      <c r="T14" s="848" t="str">
        <f t="shared" ca="1" si="7"/>
        <v/>
      </c>
      <c r="U14" s="850" t="str">
        <f t="shared" ca="1" si="8"/>
        <v/>
      </c>
      <c r="V14" s="7"/>
      <c r="W14" s="851" t="str">
        <f t="shared" ca="1" si="9"/>
        <v/>
      </c>
      <c r="X14" s="1580" t="str">
        <f t="shared" ca="1" si="10"/>
        <v/>
      </c>
      <c r="Y14" s="852" t="str">
        <f ca="1">'Action Plan finance'!I67</f>
        <v/>
      </c>
      <c r="Z14" s="1494" t="str">
        <f t="shared" ca="1" si="2"/>
        <v/>
      </c>
      <c r="AA14" s="1494" t="str">
        <f t="shared" ca="1" si="3"/>
        <v/>
      </c>
      <c r="AC14" s="859" t="s">
        <v>749</v>
      </c>
      <c r="AD14" s="860"/>
      <c r="AE14" s="860"/>
      <c r="AF14" s="861"/>
    </row>
    <row r="15" spans="2:32" x14ac:dyDescent="0.25">
      <c r="B15" s="8">
        <v>13</v>
      </c>
      <c r="C15" s="8">
        <f ca="1">IF(E15&lt;&gt;0,SUM(1,MAX($C$2:C14)),0)</f>
        <v>0</v>
      </c>
      <c r="D15" s="8" t="s">
        <v>879</v>
      </c>
      <c r="E15" s="844">
        <f ca="1">IF(B15&gt;INDIRECT(SUBSTITUTE(D15," ","_")) ActivatedCounts,0,MATCH($G$2,INDIRECT(CONCATENATE("'",D15,"'!e",INDIRECT(SUBSTITUTE(D15," ","_")) StartPoint+SUM(F14),":$e$420")),0))</f>
        <v>0</v>
      </c>
      <c r="F15" s="8" t="str">
        <f ca="1">IF(B15&gt;INDIRECT(SUBSTITUTE(D15," ","_")) ActivatedCounts,"",SUM(E15,F14))</f>
        <v/>
      </c>
      <c r="G15" s="795" t="e">
        <f ca="1">INDEX(INDIRECT(CONCATENATE("'",D15,"'!e",INDIRECT(SUBSTITUTE(D15," ","_")) StartPoint,":$f$420")),F15,2)</f>
        <v>#VALUE!</v>
      </c>
      <c r="H15" s="798" t="e">
        <f ca="1">INDEX(INDIRECT(CONCATENATE("'",D15,"'!e",INDIRECT(SUBSTITUTE(D15," ","_")) StartPoint,":$h$420")),F15,3)</f>
        <v>#VALUE!</v>
      </c>
      <c r="I15" s="798" t="e">
        <f ca="1">INDEX(INDIRECT(CONCATENATE("'",D15,"'!e",INDIRECT(SUBSTITUTE(D15," ","_")) StartPoint,":$h$420")),F15,4)</f>
        <v>#VALUE!</v>
      </c>
      <c r="J15" s="798"/>
      <c r="K15" s="846">
        <f t="shared" ca="1" si="0"/>
        <v>0</v>
      </c>
      <c r="L15" s="847">
        <v>13</v>
      </c>
      <c r="M15" s="795" t="e">
        <f t="shared" ca="1" si="1"/>
        <v>#N/A</v>
      </c>
      <c r="N15" s="798"/>
      <c r="O15" s="848">
        <f t="shared" ca="1" si="4"/>
        <v>0</v>
      </c>
      <c r="P15" s="848" t="e">
        <f t="shared" ca="1" si="5"/>
        <v>#N/A</v>
      </c>
      <c r="R15" s="848">
        <v>13</v>
      </c>
      <c r="S15" s="848" t="str">
        <f t="shared" ca="1" si="6"/>
        <v/>
      </c>
      <c r="T15" s="848" t="str">
        <f t="shared" ca="1" si="7"/>
        <v/>
      </c>
      <c r="U15" s="850" t="str">
        <f t="shared" ca="1" si="8"/>
        <v/>
      </c>
      <c r="V15" s="7"/>
      <c r="W15" s="851" t="str">
        <f t="shared" ca="1" si="9"/>
        <v/>
      </c>
      <c r="X15" s="1580" t="str">
        <f t="shared" ca="1" si="10"/>
        <v/>
      </c>
      <c r="Y15" s="852" t="str">
        <f ca="1">'Action Plan finance'!I68</f>
        <v/>
      </c>
      <c r="Z15" s="1494" t="str">
        <f t="shared" ca="1" si="2"/>
        <v/>
      </c>
      <c r="AA15" s="1494" t="str">
        <f t="shared" ca="1" si="3"/>
        <v/>
      </c>
      <c r="AC15" s="1471"/>
      <c r="AD15" s="54"/>
      <c r="AE15" s="54"/>
      <c r="AF15" s="856"/>
    </row>
    <row r="16" spans="2:32" ht="30" x14ac:dyDescent="0.25">
      <c r="B16" s="8">
        <v>14</v>
      </c>
      <c r="C16" s="8">
        <f ca="1">IF(E16&lt;&gt;0,SUM(1,MAX($C$2:C15)),0)</f>
        <v>0</v>
      </c>
      <c r="D16" s="8" t="s">
        <v>879</v>
      </c>
      <c r="E16" s="844">
        <f ca="1">IF(B16&gt;INDIRECT(SUBSTITUTE(D16," ","_")) ActivatedCounts,0,MATCH($G$2,INDIRECT(CONCATENATE("'",D16,"'!e",INDIRECT(SUBSTITUTE(D16," ","_")) StartPoint+SUM(F15),":$e$420")),0))</f>
        <v>0</v>
      </c>
      <c r="F16" s="8" t="str">
        <f ca="1">IF(B16&gt;INDIRECT(SUBSTITUTE(D16," ","_")) ActivatedCounts,"",SUM(E16,F15))</f>
        <v/>
      </c>
      <c r="G16" s="795" t="e">
        <f ca="1">INDEX(INDIRECT(CONCATENATE("'",D16,"'!e",INDIRECT(SUBSTITUTE(D16," ","_")) StartPoint,":$f$420")),F16,2)</f>
        <v>#VALUE!</v>
      </c>
      <c r="H16" s="798" t="e">
        <f ca="1">INDEX(INDIRECT(CONCATENATE("'",D16,"'!e",INDIRECT(SUBSTITUTE(D16," ","_")) StartPoint,":$h$420")),F16,3)</f>
        <v>#VALUE!</v>
      </c>
      <c r="I16" s="798" t="e">
        <f ca="1">INDEX(INDIRECT(CONCATENATE("'",D16,"'!e",INDIRECT(SUBSTITUTE(D16," ","_")) StartPoint,":$h$420")),F16,4)</f>
        <v>#VALUE!</v>
      </c>
      <c r="J16" s="798"/>
      <c r="K16" s="846">
        <f t="shared" ca="1" si="0"/>
        <v>0</v>
      </c>
      <c r="L16" s="847">
        <v>14</v>
      </c>
      <c r="M16" s="795" t="e">
        <f t="shared" ca="1" si="1"/>
        <v>#N/A</v>
      </c>
      <c r="N16" s="798"/>
      <c r="O16" s="848">
        <f t="shared" ca="1" si="4"/>
        <v>0</v>
      </c>
      <c r="P16" s="848" t="e">
        <f t="shared" ca="1" si="5"/>
        <v>#N/A</v>
      </c>
      <c r="R16" s="848">
        <v>14</v>
      </c>
      <c r="S16" s="848" t="str">
        <f t="shared" ca="1" si="6"/>
        <v/>
      </c>
      <c r="T16" s="848" t="str">
        <f t="shared" ca="1" si="7"/>
        <v/>
      </c>
      <c r="U16" s="850" t="str">
        <f t="shared" ca="1" si="8"/>
        <v/>
      </c>
      <c r="V16" s="7"/>
      <c r="W16" s="851" t="str">
        <f t="shared" ca="1" si="9"/>
        <v/>
      </c>
      <c r="X16" s="1580" t="str">
        <f t="shared" ca="1" si="10"/>
        <v/>
      </c>
      <c r="Y16" s="852" t="str">
        <f ca="1">'Action Plan finance'!I69</f>
        <v/>
      </c>
      <c r="Z16" s="1494" t="str">
        <f t="shared" ca="1" si="2"/>
        <v/>
      </c>
      <c r="AA16" s="1494" t="str">
        <f t="shared" ca="1" si="3"/>
        <v/>
      </c>
      <c r="AC16" s="868" t="s">
        <v>777</v>
      </c>
      <c r="AD16" s="862"/>
      <c r="AE16" s="862"/>
      <c r="AF16" s="863"/>
    </row>
    <row r="17" spans="2:40" ht="30" x14ac:dyDescent="0.25">
      <c r="B17" s="8">
        <v>15</v>
      </c>
      <c r="C17" s="8">
        <f ca="1">IF(E17&lt;&gt;0,SUM(1,MAX($C$2:C16)),0)</f>
        <v>0</v>
      </c>
      <c r="D17" s="8" t="s">
        <v>879</v>
      </c>
      <c r="E17" s="844">
        <f ca="1">IF(B17&gt;INDIRECT(SUBSTITUTE(D17," ","_")) ActivatedCounts,0,MATCH($G$2,INDIRECT(CONCATENATE("'",D17,"'!e",INDIRECT(SUBSTITUTE(D17," ","_")) StartPoint+SUM(F16),":$e$420")),0))</f>
        <v>0</v>
      </c>
      <c r="F17" s="8" t="str">
        <f ca="1">IF(B17&gt;INDIRECT(SUBSTITUTE(D17," ","_")) ActivatedCounts,"",SUM(E17,F16))</f>
        <v/>
      </c>
      <c r="G17" s="795" t="e">
        <f ca="1">INDEX(INDIRECT(CONCATENATE("'",D17,"'!e",INDIRECT(SUBSTITUTE(D17," ","_")) StartPoint,":$f$420")),F17,2)</f>
        <v>#VALUE!</v>
      </c>
      <c r="H17" s="798" t="e">
        <f ca="1">INDEX(INDIRECT(CONCATENATE("'",D17,"'!e",INDIRECT(SUBSTITUTE(D17," ","_")) StartPoint,":$h$420")),F17,3)</f>
        <v>#VALUE!</v>
      </c>
      <c r="I17" s="798" t="e">
        <f ca="1">INDEX(INDIRECT(CONCATENATE("'",D17,"'!e",INDIRECT(SUBSTITUTE(D17," ","_")) StartPoint,":$h$420")),F17,4)</f>
        <v>#VALUE!</v>
      </c>
      <c r="J17" s="798"/>
      <c r="K17" s="846">
        <f t="shared" ca="1" si="0"/>
        <v>0</v>
      </c>
      <c r="L17" s="847">
        <v>15</v>
      </c>
      <c r="M17" s="795" t="e">
        <f t="shared" ca="1" si="1"/>
        <v>#N/A</v>
      </c>
      <c r="N17" s="798"/>
      <c r="O17" s="848">
        <f t="shared" ca="1" si="4"/>
        <v>0</v>
      </c>
      <c r="P17" s="848" t="e">
        <f t="shared" ca="1" si="5"/>
        <v>#N/A</v>
      </c>
      <c r="R17" s="848">
        <v>15</v>
      </c>
      <c r="S17" s="848" t="str">
        <f t="shared" ca="1" si="6"/>
        <v/>
      </c>
      <c r="T17" s="848" t="str">
        <f t="shared" ca="1" si="7"/>
        <v/>
      </c>
      <c r="U17" s="850" t="str">
        <f t="shared" ca="1" si="8"/>
        <v/>
      </c>
      <c r="V17" s="7"/>
      <c r="W17" s="851" t="str">
        <f t="shared" ca="1" si="9"/>
        <v/>
      </c>
      <c r="X17" s="1580" t="str">
        <f t="shared" ca="1" si="10"/>
        <v/>
      </c>
      <c r="Y17" s="852" t="str">
        <f ca="1">'Action Plan finance'!I70</f>
        <v/>
      </c>
      <c r="Z17" s="1494" t="str">
        <f t="shared" ca="1" si="2"/>
        <v/>
      </c>
      <c r="AA17" s="1494" t="str">
        <f t="shared" ca="1" si="3"/>
        <v/>
      </c>
      <c r="AC17" s="859" t="s">
        <v>750</v>
      </c>
      <c r="AD17" s="860"/>
      <c r="AE17" s="860"/>
      <c r="AF17" s="861"/>
    </row>
    <row r="18" spans="2:40" ht="30.75" thickBot="1" x14ac:dyDescent="0.3">
      <c r="B18" s="8">
        <v>16</v>
      </c>
      <c r="C18" s="8">
        <f ca="1">IF(E18&lt;&gt;0,SUM(1,MAX($C$2:C17)),0)</f>
        <v>0</v>
      </c>
      <c r="D18" s="8" t="s">
        <v>879</v>
      </c>
      <c r="E18" s="844">
        <f ca="1">IF(B18&gt;INDIRECT(SUBSTITUTE(D18," ","_")) ActivatedCounts,0,MATCH($G$2,INDIRECT(CONCATENATE("'",D18,"'!e",INDIRECT(SUBSTITUTE(D18," ","_")) StartPoint+SUM(F17),":$e$420")),0))</f>
        <v>0</v>
      </c>
      <c r="F18" s="8" t="str">
        <f ca="1">IF(B18&gt;INDIRECT(SUBSTITUTE(D18," ","_")) ActivatedCounts,"",SUM(E18,F17))</f>
        <v/>
      </c>
      <c r="G18" s="795" t="e">
        <f ca="1">INDEX(INDIRECT(CONCATENATE("'",D18,"'!e",INDIRECT(SUBSTITUTE(D18," ","_")) StartPoint,":$f$420")),F18,2)</f>
        <v>#VALUE!</v>
      </c>
      <c r="H18" s="798" t="e">
        <f ca="1">INDEX(INDIRECT(CONCATENATE("'",D18,"'!e",INDIRECT(SUBSTITUTE(D18," ","_")) StartPoint,":$h$420")),F18,3)</f>
        <v>#VALUE!</v>
      </c>
      <c r="I18" s="798" t="e">
        <f ca="1">INDEX(INDIRECT(CONCATENATE("'",D18,"'!e",INDIRECT(SUBSTITUTE(D18," ","_")) StartPoint,":$h$420")),F18,4)</f>
        <v>#VALUE!</v>
      </c>
      <c r="J18" s="798"/>
      <c r="K18" s="846">
        <f t="shared" ca="1" si="0"/>
        <v>0</v>
      </c>
      <c r="L18" s="847">
        <v>16</v>
      </c>
      <c r="M18" s="795" t="e">
        <f t="shared" ca="1" si="1"/>
        <v>#N/A</v>
      </c>
      <c r="N18" s="798"/>
      <c r="O18" s="848">
        <f t="shared" ca="1" si="4"/>
        <v>0</v>
      </c>
      <c r="P18" s="848" t="e">
        <f t="shared" ca="1" si="5"/>
        <v>#N/A</v>
      </c>
      <c r="R18" s="848">
        <v>16</v>
      </c>
      <c r="S18" s="848" t="str">
        <f t="shared" ca="1" si="6"/>
        <v/>
      </c>
      <c r="T18" s="848" t="str">
        <f t="shared" ca="1" si="7"/>
        <v/>
      </c>
      <c r="U18" s="850" t="str">
        <f t="shared" ca="1" si="8"/>
        <v/>
      </c>
      <c r="V18" s="7"/>
      <c r="W18" s="851" t="str">
        <f t="shared" ca="1" si="9"/>
        <v/>
      </c>
      <c r="X18" s="1580" t="str">
        <f t="shared" ca="1" si="10"/>
        <v/>
      </c>
      <c r="Y18" s="852" t="str">
        <f ca="1">'Action Plan finance'!I71</f>
        <v/>
      </c>
      <c r="Z18" s="1494" t="str">
        <f t="shared" ca="1" si="2"/>
        <v/>
      </c>
      <c r="AA18" s="1494" t="str">
        <f t="shared" ca="1" si="3"/>
        <v/>
      </c>
      <c r="AC18" s="864" t="s">
        <v>751</v>
      </c>
      <c r="AD18" s="865"/>
      <c r="AE18" s="865"/>
      <c r="AF18" s="866"/>
    </row>
    <row r="19" spans="2:40" ht="30" x14ac:dyDescent="0.25">
      <c r="B19" s="8">
        <v>17</v>
      </c>
      <c r="C19" s="8">
        <f ca="1">IF(E19&lt;&gt;0,SUM(1,MAX($C$2:C18)),0)</f>
        <v>0</v>
      </c>
      <c r="D19" s="8" t="s">
        <v>879</v>
      </c>
      <c r="E19" s="844">
        <f ca="1">IF(B19&gt;INDIRECT(SUBSTITUTE(D19," ","_")) ActivatedCounts,0,MATCH($G$2,INDIRECT(CONCATENATE("'",D19,"'!e",INDIRECT(SUBSTITUTE(D19," ","_")) StartPoint+SUM(F18),":$e$420")),0))</f>
        <v>0</v>
      </c>
      <c r="F19" s="8" t="str">
        <f ca="1">IF(B19&gt;INDIRECT(SUBSTITUTE(D19," ","_")) ActivatedCounts,"",SUM(E19,F18))</f>
        <v/>
      </c>
      <c r="G19" s="795" t="e">
        <f ca="1">INDEX(INDIRECT(CONCATENATE("'",D19,"'!e",INDIRECT(SUBSTITUTE(D19," ","_")) StartPoint,":$f$420")),F19,2)</f>
        <v>#VALUE!</v>
      </c>
      <c r="H19" s="798" t="e">
        <f ca="1">INDEX(INDIRECT(CONCATENATE("'",D19,"'!e",INDIRECT(SUBSTITUTE(D19," ","_")) StartPoint,":$h$420")),F19,3)</f>
        <v>#VALUE!</v>
      </c>
      <c r="I19" s="798" t="e">
        <f ca="1">INDEX(INDIRECT(CONCATENATE("'",D19,"'!e",INDIRECT(SUBSTITUTE(D19," ","_")) StartPoint,":$h$420")),F19,4)</f>
        <v>#VALUE!</v>
      </c>
      <c r="J19" s="798"/>
      <c r="K19" s="846">
        <f t="shared" ca="1" si="0"/>
        <v>0</v>
      </c>
      <c r="L19" s="847">
        <v>17</v>
      </c>
      <c r="M19" s="795" t="e">
        <f t="shared" ca="1" si="1"/>
        <v>#N/A</v>
      </c>
      <c r="N19" s="798"/>
      <c r="O19" s="848">
        <f t="shared" ca="1" si="4"/>
        <v>0</v>
      </c>
      <c r="P19" s="848" t="e">
        <f t="shared" ca="1" si="5"/>
        <v>#N/A</v>
      </c>
      <c r="R19" s="848">
        <v>17</v>
      </c>
      <c r="S19" s="848" t="str">
        <f t="shared" ca="1" si="6"/>
        <v/>
      </c>
      <c r="T19" s="848" t="str">
        <f t="shared" ca="1" si="7"/>
        <v/>
      </c>
      <c r="U19" s="850" t="str">
        <f t="shared" ca="1" si="8"/>
        <v/>
      </c>
      <c r="V19" s="7"/>
      <c r="W19" s="851" t="str">
        <f t="shared" ca="1" si="9"/>
        <v/>
      </c>
      <c r="X19" s="1580" t="str">
        <f t="shared" ca="1" si="10"/>
        <v/>
      </c>
      <c r="Y19" s="852" t="str">
        <f ca="1">'Action Plan finance'!I72</f>
        <v/>
      </c>
      <c r="Z19" s="1494" t="str">
        <f t="shared" ca="1" si="2"/>
        <v/>
      </c>
      <c r="AA19" s="1494" t="str">
        <f t="shared" ca="1" si="3"/>
        <v/>
      </c>
      <c r="AC19" s="1472"/>
    </row>
    <row r="20" spans="2:40" ht="30" x14ac:dyDescent="0.25">
      <c r="B20" s="8">
        <v>18</v>
      </c>
      <c r="C20" s="8">
        <f ca="1">IF(E20&lt;&gt;0,SUM(1,MAX($C$2:C19)),0)</f>
        <v>0</v>
      </c>
      <c r="D20" s="8" t="s">
        <v>879</v>
      </c>
      <c r="E20" s="844">
        <f ca="1">IF(B20&gt;INDIRECT(SUBSTITUTE(D20," ","_")) ActivatedCounts,0,MATCH($G$2,INDIRECT(CONCATENATE("'",D20,"'!e",INDIRECT(SUBSTITUTE(D20," ","_")) StartPoint+SUM(F19),":$e$420")),0))</f>
        <v>0</v>
      </c>
      <c r="F20" s="8" t="str">
        <f ca="1">IF(B20&gt;INDIRECT(SUBSTITUTE(D20," ","_")) ActivatedCounts,"",SUM(E20,F19))</f>
        <v/>
      </c>
      <c r="G20" s="795" t="e">
        <f ca="1">INDEX(INDIRECT(CONCATENATE("'",D20,"'!e",INDIRECT(SUBSTITUTE(D20," ","_")) StartPoint,":$f$420")),F20,2)</f>
        <v>#VALUE!</v>
      </c>
      <c r="H20" s="798" t="e">
        <f ca="1">INDEX(INDIRECT(CONCATENATE("'",D20,"'!e",INDIRECT(SUBSTITUTE(D20," ","_")) StartPoint,":$h$420")),F20,3)</f>
        <v>#VALUE!</v>
      </c>
      <c r="I20" s="798" t="e">
        <f ca="1">INDEX(INDIRECT(CONCATENATE("'",D20,"'!e",INDIRECT(SUBSTITUTE(D20," ","_")) StartPoint,":$h$420")),F20,4)</f>
        <v>#VALUE!</v>
      </c>
      <c r="J20" s="798"/>
      <c r="K20" s="846">
        <f t="shared" ca="1" si="0"/>
        <v>0</v>
      </c>
      <c r="L20" s="847">
        <v>18</v>
      </c>
      <c r="M20" s="795" t="e">
        <f t="shared" ca="1" si="1"/>
        <v>#N/A</v>
      </c>
      <c r="N20" s="798"/>
      <c r="O20" s="848">
        <f t="shared" ca="1" si="4"/>
        <v>0</v>
      </c>
      <c r="P20" s="848" t="e">
        <f t="shared" ca="1" si="5"/>
        <v>#N/A</v>
      </c>
      <c r="R20" s="848">
        <v>18</v>
      </c>
      <c r="S20" s="848" t="str">
        <f t="shared" ca="1" si="6"/>
        <v/>
      </c>
      <c r="T20" s="848" t="str">
        <f t="shared" ca="1" si="7"/>
        <v/>
      </c>
      <c r="U20" s="850" t="str">
        <f t="shared" ca="1" si="8"/>
        <v/>
      </c>
      <c r="V20" s="7"/>
      <c r="W20" s="851" t="str">
        <f t="shared" ca="1" si="9"/>
        <v/>
      </c>
      <c r="X20" s="1580" t="str">
        <f t="shared" ca="1" si="10"/>
        <v/>
      </c>
      <c r="Y20" s="852" t="str">
        <f ca="1">'Action Plan finance'!I73</f>
        <v/>
      </c>
      <c r="Z20" s="1494" t="str">
        <f t="shared" ca="1" si="2"/>
        <v/>
      </c>
      <c r="AA20" s="1494" t="str">
        <f t="shared" ca="1" si="3"/>
        <v/>
      </c>
    </row>
    <row r="21" spans="2:40" ht="30" x14ac:dyDescent="0.25">
      <c r="B21" s="8">
        <v>19</v>
      </c>
      <c r="C21" s="8">
        <f ca="1">IF(E21&lt;&gt;0,SUM(1,MAX($C$2:C20)),0)</f>
        <v>0</v>
      </c>
      <c r="D21" s="8" t="s">
        <v>879</v>
      </c>
      <c r="E21" s="844">
        <f ca="1">IF(B21&gt;INDIRECT(SUBSTITUTE(D21," ","_")) ActivatedCounts,0,MATCH($G$2,INDIRECT(CONCATENATE("'",D21,"'!e",INDIRECT(SUBSTITUTE(D21," ","_")) StartPoint+SUM(F20),":$e$420")),0))</f>
        <v>0</v>
      </c>
      <c r="F21" s="8" t="str">
        <f ca="1">IF(B21&gt;INDIRECT(SUBSTITUTE(D21," ","_")) ActivatedCounts,"",SUM(E21,F20))</f>
        <v/>
      </c>
      <c r="G21" s="795" t="e">
        <f ca="1">INDEX(INDIRECT(CONCATENATE("'",D21,"'!e",INDIRECT(SUBSTITUTE(D21," ","_")) StartPoint,":$f$420")),F21,2)</f>
        <v>#VALUE!</v>
      </c>
      <c r="H21" s="798" t="e">
        <f ca="1">INDEX(INDIRECT(CONCATENATE("'",D21,"'!e",INDIRECT(SUBSTITUTE(D21," ","_")) StartPoint,":$h$420")),F21,3)</f>
        <v>#VALUE!</v>
      </c>
      <c r="I21" s="798" t="e">
        <f ca="1">INDEX(INDIRECT(CONCATENATE("'",D21,"'!e",INDIRECT(SUBSTITUTE(D21," ","_")) StartPoint,":$h$420")),F21,4)</f>
        <v>#VALUE!</v>
      </c>
      <c r="J21" s="798"/>
      <c r="K21" s="846">
        <f t="shared" ca="1" si="0"/>
        <v>0</v>
      </c>
      <c r="L21" s="847">
        <v>19</v>
      </c>
      <c r="M21" s="795" t="e">
        <f t="shared" ca="1" si="1"/>
        <v>#N/A</v>
      </c>
      <c r="N21" s="798"/>
      <c r="O21" s="848">
        <f t="shared" ca="1" si="4"/>
        <v>0</v>
      </c>
      <c r="P21" s="848" t="e">
        <f t="shared" ca="1" si="5"/>
        <v>#N/A</v>
      </c>
      <c r="R21" s="848">
        <v>19</v>
      </c>
      <c r="S21" s="848" t="str">
        <f t="shared" ca="1" si="6"/>
        <v/>
      </c>
      <c r="T21" s="848" t="str">
        <f t="shared" ca="1" si="7"/>
        <v/>
      </c>
      <c r="U21" s="850" t="str">
        <f t="shared" ca="1" si="8"/>
        <v/>
      </c>
      <c r="V21" s="7"/>
      <c r="W21" s="851" t="str">
        <f t="shared" ca="1" si="9"/>
        <v/>
      </c>
      <c r="X21" s="1580" t="str">
        <f t="shared" ca="1" si="10"/>
        <v/>
      </c>
      <c r="Y21" s="852" t="str">
        <f ca="1">'Action Plan finance'!I74</f>
        <v/>
      </c>
      <c r="Z21" s="1494" t="str">
        <f t="shared" ca="1" si="2"/>
        <v/>
      </c>
      <c r="AA21" s="1494" t="str">
        <f t="shared" ca="1" si="3"/>
        <v/>
      </c>
    </row>
    <row r="22" spans="2:40" x14ac:dyDescent="0.25">
      <c r="B22" s="8">
        <v>20</v>
      </c>
      <c r="C22" s="8">
        <f ca="1">IF(E22&lt;&gt;0,SUM(1,MAX($C$2:C21)),0)</f>
        <v>0</v>
      </c>
      <c r="D22" s="8" t="s">
        <v>879</v>
      </c>
      <c r="E22" s="844">
        <f ca="1">IF(B22&gt;INDIRECT(SUBSTITUTE(D22," ","_")) ActivatedCounts,0,MATCH($G$2,INDIRECT(CONCATENATE("'",D22,"'!e",INDIRECT(SUBSTITUTE(D22," ","_")) StartPoint+SUM(F21),":$e$420")),0))</f>
        <v>0</v>
      </c>
      <c r="F22" s="8" t="str">
        <f ca="1">IF(B22&gt;INDIRECT(SUBSTITUTE(D22," ","_")) ActivatedCounts,"",SUM(E22,F21))</f>
        <v/>
      </c>
      <c r="G22" s="795" t="e">
        <f ca="1">INDEX(INDIRECT(CONCATENATE("'",D22,"'!e",INDIRECT(SUBSTITUTE(D22," ","_")) StartPoint,":$f$420")),F22,2)</f>
        <v>#VALUE!</v>
      </c>
      <c r="H22" s="798" t="e">
        <f ca="1">INDEX(INDIRECT(CONCATENATE("'",D22,"'!e",INDIRECT(SUBSTITUTE(D22," ","_")) StartPoint,":$h$420")),F22,3)</f>
        <v>#VALUE!</v>
      </c>
      <c r="I22" s="798" t="e">
        <f ca="1">INDEX(INDIRECT(CONCATENATE("'",D22,"'!e",INDIRECT(SUBSTITUTE(D22," ","_")) StartPoint,":$h$420")),F22,4)</f>
        <v>#VALUE!</v>
      </c>
      <c r="J22" s="798"/>
      <c r="K22" s="846">
        <f t="shared" ca="1" si="0"/>
        <v>0</v>
      </c>
      <c r="L22" s="847">
        <v>20</v>
      </c>
      <c r="M22" s="795" t="e">
        <f t="shared" ca="1" si="1"/>
        <v>#N/A</v>
      </c>
      <c r="N22" s="798"/>
      <c r="O22" s="848">
        <f t="shared" ca="1" si="4"/>
        <v>0</v>
      </c>
      <c r="P22" s="848" t="e">
        <f t="shared" ca="1" si="5"/>
        <v>#N/A</v>
      </c>
      <c r="R22" s="848">
        <v>20</v>
      </c>
      <c r="S22" s="848" t="str">
        <f t="shared" ca="1" si="6"/>
        <v/>
      </c>
      <c r="T22" s="848" t="str">
        <f t="shared" ca="1" si="7"/>
        <v/>
      </c>
      <c r="U22" s="850" t="str">
        <f t="shared" ca="1" si="8"/>
        <v/>
      </c>
      <c r="V22" s="7"/>
      <c r="W22" s="851" t="str">
        <f t="shared" ca="1" si="9"/>
        <v/>
      </c>
      <c r="X22" s="1580" t="str">
        <f t="shared" ca="1" si="10"/>
        <v/>
      </c>
      <c r="Y22" s="852" t="str">
        <f ca="1">'Action Plan finance'!I75</f>
        <v/>
      </c>
      <c r="Z22" s="1494" t="str">
        <f t="shared" ca="1" si="2"/>
        <v/>
      </c>
      <c r="AA22" s="1494" t="str">
        <f t="shared" ca="1" si="3"/>
        <v/>
      </c>
      <c r="AD22" t="s">
        <v>891</v>
      </c>
      <c r="AE22" t="s">
        <v>892</v>
      </c>
      <c r="AF22" t="s">
        <v>893</v>
      </c>
      <c r="AN22" s="34" t="s">
        <v>3360</v>
      </c>
    </row>
    <row r="23" spans="2:40" ht="42" x14ac:dyDescent="0.25">
      <c r="B23" s="8">
        <v>21</v>
      </c>
      <c r="C23" s="8">
        <f ca="1">IF(E23&lt;&gt;0,SUM(1,MAX($C$2:C22)),0)</f>
        <v>0</v>
      </c>
      <c r="D23" s="8" t="s">
        <v>879</v>
      </c>
      <c r="E23" s="844">
        <f ca="1">IF(B23&gt;INDIRECT(SUBSTITUTE(D23," ","_")) ActivatedCounts,0,MATCH($G$2,INDIRECT(CONCATENATE("'",D23,"'!e",INDIRECT(SUBSTITUTE(D23," ","_")) StartPoint+SUM(F22),":$e$420")),0))</f>
        <v>0</v>
      </c>
      <c r="F23" s="8" t="str">
        <f ca="1">IF(B23&gt;INDIRECT(SUBSTITUTE(D23," ","_")) ActivatedCounts,"",SUM(E23,F22))</f>
        <v/>
      </c>
      <c r="G23" s="795" t="e">
        <f ca="1">INDEX(INDIRECT(CONCATENATE("'",D23,"'!e",INDIRECT(SUBSTITUTE(D23," ","_")) StartPoint,":$f$420")),F23,2)</f>
        <v>#VALUE!</v>
      </c>
      <c r="H23" s="798" t="e">
        <f ca="1">INDEX(INDIRECT(CONCATENATE("'",D23,"'!e",INDIRECT(SUBSTITUTE(D23," ","_")) StartPoint,":$h$420")),F23,3)</f>
        <v>#VALUE!</v>
      </c>
      <c r="I23" s="798" t="e">
        <f ca="1">INDEX(INDIRECT(CONCATENATE("'",D23,"'!e",INDIRECT(SUBSTITUTE(D23," ","_")) StartPoint,":$h$420")),F23,4)</f>
        <v>#VALUE!</v>
      </c>
      <c r="J23" s="798"/>
      <c r="K23" s="846">
        <f t="shared" ca="1" si="0"/>
        <v>0</v>
      </c>
      <c r="L23" s="847">
        <v>21</v>
      </c>
      <c r="M23" s="795" t="e">
        <f t="shared" ca="1" si="1"/>
        <v>#N/A</v>
      </c>
      <c r="N23" s="798"/>
      <c r="O23" s="848">
        <f t="shared" ca="1" si="4"/>
        <v>0</v>
      </c>
      <c r="P23" s="848" t="e">
        <f t="shared" ca="1" si="5"/>
        <v>#N/A</v>
      </c>
      <c r="R23" s="848">
        <v>21</v>
      </c>
      <c r="S23" s="848" t="str">
        <f t="shared" ca="1" si="6"/>
        <v/>
      </c>
      <c r="T23" s="848" t="str">
        <f t="shared" ca="1" si="7"/>
        <v/>
      </c>
      <c r="U23" s="850" t="str">
        <f t="shared" ca="1" si="8"/>
        <v/>
      </c>
      <c r="V23" s="7"/>
      <c r="W23" s="851" t="str">
        <f t="shared" ca="1" si="9"/>
        <v/>
      </c>
      <c r="X23" s="1580" t="str">
        <f t="shared" ca="1" si="10"/>
        <v/>
      </c>
      <c r="Y23" s="852" t="str">
        <f ca="1">'Action Plan finance'!I76</f>
        <v/>
      </c>
      <c r="Z23" s="1494" t="str">
        <f t="shared" ca="1" si="2"/>
        <v/>
      </c>
      <c r="AA23" s="1494" t="str">
        <f t="shared" ca="1" si="3"/>
        <v/>
      </c>
      <c r="AC23" s="1579" t="s">
        <v>1938</v>
      </c>
      <c r="AD23" s="795" t="s">
        <v>181</v>
      </c>
      <c r="AE23" s="795" t="s">
        <v>1009</v>
      </c>
      <c r="AF23" s="795" t="s">
        <v>183</v>
      </c>
      <c r="AN23" s="5557" t="s">
        <v>3235</v>
      </c>
    </row>
    <row r="24" spans="2:40" x14ac:dyDescent="0.25">
      <c r="B24" s="8">
        <v>22</v>
      </c>
      <c r="C24" s="8">
        <f ca="1">IF(E24&lt;&gt;0,SUM(1,MAX($C$2:C23)),0)</f>
        <v>0</v>
      </c>
      <c r="D24" s="8" t="s">
        <v>879</v>
      </c>
      <c r="E24" s="844">
        <f ca="1">IF(B24&gt;INDIRECT(SUBSTITUTE(D24," ","_")) ActivatedCounts,0,MATCH($G$2,INDIRECT(CONCATENATE("'",D24,"'!e",INDIRECT(SUBSTITUTE(D24," ","_")) StartPoint+SUM(F23),":$e$420")),0))</f>
        <v>0</v>
      </c>
      <c r="F24" s="8" t="str">
        <f ca="1">IF(B24&gt;INDIRECT(SUBSTITUTE(D24," ","_")) ActivatedCounts,"",SUM(E24,F23))</f>
        <v/>
      </c>
      <c r="G24" s="795" t="e">
        <f ca="1">INDEX(INDIRECT(CONCATENATE("'",D24,"'!e",INDIRECT(SUBSTITUTE(D24," ","_")) StartPoint,":$f$420")),F24,2)</f>
        <v>#VALUE!</v>
      </c>
      <c r="H24" s="798" t="e">
        <f ca="1">INDEX(INDIRECT(CONCATENATE("'",D24,"'!e",INDIRECT(SUBSTITUTE(D24," ","_")) StartPoint,":$h$420")),F24,3)</f>
        <v>#VALUE!</v>
      </c>
      <c r="I24" s="798" t="e">
        <f ca="1">INDEX(INDIRECT(CONCATENATE("'",D24,"'!e",INDIRECT(SUBSTITUTE(D24," ","_")) StartPoint,":$h$420")),F24,4)</f>
        <v>#VALUE!</v>
      </c>
      <c r="J24" s="798"/>
      <c r="K24" s="846">
        <f t="shared" ca="1" si="0"/>
        <v>0</v>
      </c>
      <c r="L24" s="847">
        <v>22</v>
      </c>
      <c r="M24" s="795" t="e">
        <f t="shared" ca="1" si="1"/>
        <v>#N/A</v>
      </c>
      <c r="N24" s="798"/>
      <c r="O24" s="848">
        <f t="shared" ca="1" si="4"/>
        <v>0</v>
      </c>
      <c r="P24" s="848" t="e">
        <f t="shared" ca="1" si="5"/>
        <v>#N/A</v>
      </c>
      <c r="R24" s="848">
        <v>22</v>
      </c>
      <c r="S24" s="848" t="str">
        <f t="shared" ca="1" si="6"/>
        <v/>
      </c>
      <c r="T24" s="848" t="str">
        <f t="shared" ca="1" si="7"/>
        <v/>
      </c>
      <c r="U24" s="850" t="str">
        <f t="shared" ca="1" si="8"/>
        <v/>
      </c>
      <c r="V24" s="7"/>
      <c r="W24" s="851" t="str">
        <f t="shared" ca="1" si="9"/>
        <v/>
      </c>
      <c r="X24" s="1580" t="str">
        <f t="shared" ca="1" si="10"/>
        <v/>
      </c>
      <c r="Y24" s="852" t="str">
        <f ca="1">'Action Plan finance'!I77</f>
        <v/>
      </c>
      <c r="Z24" s="1494" t="str">
        <f t="shared" ca="1" si="2"/>
        <v/>
      </c>
      <c r="AA24" s="1494" t="str">
        <f t="shared" ca="1" si="3"/>
        <v/>
      </c>
      <c r="AC24" s="795" t="s">
        <v>778</v>
      </c>
      <c r="AD24" s="844">
        <f t="shared" ref="AD24:AF27" ca="1" si="11">COUNTIFS($X$3:$X$125,AD$22,$Y$3:$Y$125,$AC24)</f>
        <v>0</v>
      </c>
      <c r="AE24" s="844">
        <f t="shared" ca="1" si="11"/>
        <v>1</v>
      </c>
      <c r="AF24" s="844">
        <f t="shared" ca="1" si="11"/>
        <v>0</v>
      </c>
      <c r="AN24" s="5557" t="s">
        <v>3236</v>
      </c>
    </row>
    <row r="25" spans="2:40" x14ac:dyDescent="0.25">
      <c r="B25" s="8">
        <v>23</v>
      </c>
      <c r="C25" s="8">
        <f ca="1">IF(E25&lt;&gt;0,SUM(1,MAX($C$2:C24)),0)</f>
        <v>0</v>
      </c>
      <c r="D25" s="8" t="s">
        <v>879</v>
      </c>
      <c r="E25" s="844">
        <f ca="1">IF(B25&gt;INDIRECT(SUBSTITUTE(D25," ","_")) ActivatedCounts,0,MATCH($G$2,INDIRECT(CONCATENATE("'",D25,"'!e",INDIRECT(SUBSTITUTE(D25," ","_")) StartPoint+SUM(F24),":$e$420")),0))</f>
        <v>0</v>
      </c>
      <c r="F25" s="8" t="str">
        <f ca="1">IF(B25&gt;INDIRECT(SUBSTITUTE(D25," ","_")) ActivatedCounts,"",SUM(E25,F24))</f>
        <v/>
      </c>
      <c r="G25" s="795" t="e">
        <f ca="1">INDEX(INDIRECT(CONCATENATE("'",D25,"'!e",INDIRECT(SUBSTITUTE(D25," ","_")) StartPoint,":$f$420")),F25,2)</f>
        <v>#VALUE!</v>
      </c>
      <c r="H25" s="798" t="e">
        <f ca="1">INDEX(INDIRECT(CONCATENATE("'",D25,"'!e",INDIRECT(SUBSTITUTE(D25," ","_")) StartPoint,":$h$420")),F25,3)</f>
        <v>#VALUE!</v>
      </c>
      <c r="I25" s="798" t="e">
        <f ca="1">INDEX(INDIRECT(CONCATENATE("'",D25,"'!e",INDIRECT(SUBSTITUTE(D25," ","_")) StartPoint,":$h$420")),F25,4)</f>
        <v>#VALUE!</v>
      </c>
      <c r="J25" s="798"/>
      <c r="K25" s="846">
        <f t="shared" ca="1" si="0"/>
        <v>0</v>
      </c>
      <c r="L25" s="847">
        <v>23</v>
      </c>
      <c r="M25" s="795" t="e">
        <f t="shared" ca="1" si="1"/>
        <v>#N/A</v>
      </c>
      <c r="N25" s="798"/>
      <c r="O25" s="848">
        <f t="shared" ca="1" si="4"/>
        <v>0</v>
      </c>
      <c r="P25" s="848" t="e">
        <f t="shared" ca="1" si="5"/>
        <v>#N/A</v>
      </c>
      <c r="R25" s="848">
        <v>23</v>
      </c>
      <c r="S25" s="848" t="str">
        <f t="shared" ca="1" si="6"/>
        <v/>
      </c>
      <c r="T25" s="848" t="str">
        <f t="shared" ca="1" si="7"/>
        <v/>
      </c>
      <c r="U25" s="850" t="str">
        <f t="shared" ca="1" si="8"/>
        <v/>
      </c>
      <c r="V25" s="7"/>
      <c r="W25" s="851" t="str">
        <f t="shared" ca="1" si="9"/>
        <v/>
      </c>
      <c r="X25" s="1580" t="str">
        <f t="shared" ca="1" si="10"/>
        <v/>
      </c>
      <c r="Y25" s="852" t="str">
        <f ca="1">'Action Plan finance'!I78</f>
        <v/>
      </c>
      <c r="Z25" s="1494" t="str">
        <f t="shared" ca="1" si="2"/>
        <v/>
      </c>
      <c r="AA25" s="1494" t="str">
        <f t="shared" ca="1" si="3"/>
        <v/>
      </c>
      <c r="AC25" s="795" t="s">
        <v>779</v>
      </c>
      <c r="AD25" s="844">
        <f t="shared" ca="1" si="11"/>
        <v>0</v>
      </c>
      <c r="AE25" s="844">
        <f t="shared" ca="1" si="11"/>
        <v>1</v>
      </c>
      <c r="AF25" s="844">
        <f t="shared" ca="1" si="11"/>
        <v>0</v>
      </c>
      <c r="AN25" s="5557" t="s">
        <v>3237</v>
      </c>
    </row>
    <row r="26" spans="2:40" x14ac:dyDescent="0.25">
      <c r="B26" s="8">
        <v>24</v>
      </c>
      <c r="C26" s="8">
        <f ca="1">IF(E26&lt;&gt;0,SUM(1,MAX($C$2:C25)),0)</f>
        <v>0</v>
      </c>
      <c r="D26" s="8" t="s">
        <v>879</v>
      </c>
      <c r="E26" s="844">
        <f ca="1">IF(B26&gt;INDIRECT(SUBSTITUTE(D26," ","_")) ActivatedCounts,0,MATCH($G$2,INDIRECT(CONCATENATE("'",D26,"'!e",INDIRECT(SUBSTITUTE(D26," ","_")) StartPoint+SUM(F25),":$e$420")),0))</f>
        <v>0</v>
      </c>
      <c r="F26" s="8" t="str">
        <f ca="1">IF(B26&gt;INDIRECT(SUBSTITUTE(D26," ","_")) ActivatedCounts,"",SUM(E26,F25))</f>
        <v/>
      </c>
      <c r="G26" s="795" t="e">
        <f ca="1">INDEX(INDIRECT(CONCATENATE("'",D26,"'!e",INDIRECT(SUBSTITUTE(D26," ","_")) StartPoint,":$f$420")),F26,2)</f>
        <v>#VALUE!</v>
      </c>
      <c r="H26" s="798" t="e">
        <f ca="1">INDEX(INDIRECT(CONCATENATE("'",D26,"'!e",INDIRECT(SUBSTITUTE(D26," ","_")) StartPoint,":$h$420")),F26,3)</f>
        <v>#VALUE!</v>
      </c>
      <c r="I26" s="798" t="e">
        <f ca="1">INDEX(INDIRECT(CONCATENATE("'",D26,"'!e",INDIRECT(SUBSTITUTE(D26," ","_")) StartPoint,":$h$420")),F26,4)</f>
        <v>#VALUE!</v>
      </c>
      <c r="J26" s="798"/>
      <c r="K26" s="846">
        <f t="shared" ca="1" si="0"/>
        <v>0</v>
      </c>
      <c r="L26" s="847">
        <v>24</v>
      </c>
      <c r="M26" s="795" t="e">
        <f t="shared" ca="1" si="1"/>
        <v>#N/A</v>
      </c>
      <c r="N26" s="798"/>
      <c r="O26" s="848">
        <f t="shared" ca="1" si="4"/>
        <v>0</v>
      </c>
      <c r="P26" s="848" t="e">
        <f t="shared" ca="1" si="5"/>
        <v>#N/A</v>
      </c>
      <c r="R26" s="848">
        <v>24</v>
      </c>
      <c r="S26" s="848" t="str">
        <f t="shared" ca="1" si="6"/>
        <v/>
      </c>
      <c r="T26" s="848" t="str">
        <f t="shared" ca="1" si="7"/>
        <v/>
      </c>
      <c r="U26" s="850" t="str">
        <f t="shared" ca="1" si="8"/>
        <v/>
      </c>
      <c r="V26" s="7"/>
      <c r="W26" s="851" t="str">
        <f t="shared" ca="1" si="9"/>
        <v/>
      </c>
      <c r="X26" s="1580" t="str">
        <f t="shared" ca="1" si="10"/>
        <v/>
      </c>
      <c r="Y26" s="852" t="str">
        <f ca="1">'Action Plan finance'!I79</f>
        <v/>
      </c>
      <c r="Z26" s="1494" t="str">
        <f t="shared" ca="1" si="2"/>
        <v/>
      </c>
      <c r="AA26" s="1494" t="str">
        <f t="shared" ca="1" si="3"/>
        <v/>
      </c>
      <c r="AC26" s="795" t="s">
        <v>781</v>
      </c>
      <c r="AD26" s="844">
        <f t="shared" ca="1" si="11"/>
        <v>0</v>
      </c>
      <c r="AE26" s="844">
        <f t="shared" ca="1" si="11"/>
        <v>3</v>
      </c>
      <c r="AF26" s="844">
        <f t="shared" ca="1" si="11"/>
        <v>0</v>
      </c>
      <c r="AN26" s="5557" t="s">
        <v>3238</v>
      </c>
    </row>
    <row r="27" spans="2:40" ht="30" x14ac:dyDescent="0.25">
      <c r="B27" s="8">
        <v>25</v>
      </c>
      <c r="C27" s="8">
        <f ca="1">IF(E27&lt;&gt;0,SUM(1,MAX($C$2:C26)),0)</f>
        <v>0</v>
      </c>
      <c r="D27" s="8" t="s">
        <v>879</v>
      </c>
      <c r="E27" s="844">
        <f ca="1">IF(B27&gt;INDIRECT(SUBSTITUTE(D27," ","_")) ActivatedCounts,0,MATCH($G$2,INDIRECT(CONCATENATE("'",D27,"'!e",INDIRECT(SUBSTITUTE(D27," ","_")) StartPoint+SUM(F26),":$e$420")),0))</f>
        <v>0</v>
      </c>
      <c r="F27" s="8" t="str">
        <f ca="1">IF(B27&gt;INDIRECT(SUBSTITUTE(D27," ","_")) ActivatedCounts,"",SUM(E27,F26))</f>
        <v/>
      </c>
      <c r="G27" s="795" t="e">
        <f ca="1">INDEX(INDIRECT(CONCATENATE("'",D27,"'!e",INDIRECT(SUBSTITUTE(D27," ","_")) StartPoint,":$f$420")),F27,2)</f>
        <v>#VALUE!</v>
      </c>
      <c r="H27" s="798" t="e">
        <f ca="1">INDEX(INDIRECT(CONCATENATE("'",D27,"'!e",INDIRECT(SUBSTITUTE(D27," ","_")) StartPoint,":$h$420")),F27,3)</f>
        <v>#VALUE!</v>
      </c>
      <c r="I27" s="798" t="e">
        <f ca="1">INDEX(INDIRECT(CONCATENATE("'",D27,"'!e",INDIRECT(SUBSTITUTE(D27," ","_")) StartPoint,":$h$420")),F27,4)</f>
        <v>#VALUE!</v>
      </c>
      <c r="J27" s="798"/>
      <c r="K27" s="846">
        <f t="shared" ca="1" si="0"/>
        <v>0</v>
      </c>
      <c r="L27" s="847">
        <v>25</v>
      </c>
      <c r="M27" s="795" t="e">
        <f t="shared" ca="1" si="1"/>
        <v>#N/A</v>
      </c>
      <c r="N27" s="798"/>
      <c r="O27" s="848">
        <f t="shared" ca="1" si="4"/>
        <v>0</v>
      </c>
      <c r="P27" s="848" t="e">
        <f t="shared" ca="1" si="5"/>
        <v>#N/A</v>
      </c>
      <c r="R27" s="848">
        <v>25</v>
      </c>
      <c r="S27" s="848" t="str">
        <f t="shared" ca="1" si="6"/>
        <v/>
      </c>
      <c r="T27" s="848" t="str">
        <f t="shared" ca="1" si="7"/>
        <v/>
      </c>
      <c r="U27" s="850" t="str">
        <f t="shared" ca="1" si="8"/>
        <v/>
      </c>
      <c r="V27" s="7"/>
      <c r="W27" s="851" t="str">
        <f t="shared" ca="1" si="9"/>
        <v/>
      </c>
      <c r="X27" s="1580" t="str">
        <f t="shared" ca="1" si="10"/>
        <v/>
      </c>
      <c r="Y27" s="852" t="str">
        <f ca="1">'Action Plan finance'!I80</f>
        <v/>
      </c>
      <c r="Z27" s="1494" t="str">
        <f t="shared" ca="1" si="2"/>
        <v/>
      </c>
      <c r="AA27" s="1494" t="str">
        <f t="shared" ca="1" si="3"/>
        <v/>
      </c>
      <c r="AC27" s="795" t="s">
        <v>780</v>
      </c>
      <c r="AD27" s="844">
        <f t="shared" ca="1" si="11"/>
        <v>0</v>
      </c>
      <c r="AE27" s="844">
        <f t="shared" ca="1" si="11"/>
        <v>4</v>
      </c>
      <c r="AF27" s="844">
        <f t="shared" ca="1" si="11"/>
        <v>0</v>
      </c>
      <c r="AN27" s="5557" t="s">
        <v>3239</v>
      </c>
    </row>
    <row r="28" spans="2:40" x14ac:dyDescent="0.25">
      <c r="B28" s="8">
        <v>26</v>
      </c>
      <c r="C28" s="8">
        <f ca="1">IF(E28&lt;&gt;0,SUM(1,MAX($C$2:C27)),0)</f>
        <v>0</v>
      </c>
      <c r="D28" s="8" t="s">
        <v>879</v>
      </c>
      <c r="E28" s="844">
        <f ca="1">IF(B28&gt;INDIRECT(SUBSTITUTE(D28," ","_")) ActivatedCounts,0,MATCH($G$2,INDIRECT(CONCATENATE("'",D28,"'!e",INDIRECT(SUBSTITUTE(D28," ","_")) StartPoint+SUM(F27),":$e$420")),0))</f>
        <v>0</v>
      </c>
      <c r="F28" s="8" t="str">
        <f ca="1">IF(B28&gt;INDIRECT(SUBSTITUTE(D28," ","_")) ActivatedCounts,"",SUM(E28,F27))</f>
        <v/>
      </c>
      <c r="G28" s="795" t="e">
        <f ca="1">INDEX(INDIRECT(CONCATENATE("'",D28,"'!e",INDIRECT(SUBSTITUTE(D28," ","_")) StartPoint,":$f$420")),F28,2)</f>
        <v>#VALUE!</v>
      </c>
      <c r="H28" s="798" t="e">
        <f ca="1">INDEX(INDIRECT(CONCATENATE("'",D28,"'!e",INDIRECT(SUBSTITUTE(D28," ","_")) StartPoint,":$h$420")),F28,3)</f>
        <v>#VALUE!</v>
      </c>
      <c r="I28" s="798" t="e">
        <f ca="1">INDEX(INDIRECT(CONCATENATE("'",D28,"'!e",INDIRECT(SUBSTITUTE(D28," ","_")) StartPoint,":$h$420")),F28,4)</f>
        <v>#VALUE!</v>
      </c>
      <c r="J28" s="798"/>
      <c r="K28" s="846">
        <f t="shared" ca="1" si="0"/>
        <v>0</v>
      </c>
      <c r="L28" s="847">
        <v>26</v>
      </c>
      <c r="M28" s="795" t="e">
        <f t="shared" ca="1" si="1"/>
        <v>#N/A</v>
      </c>
      <c r="N28" s="798"/>
      <c r="O28" s="848">
        <f t="shared" ca="1" si="4"/>
        <v>0</v>
      </c>
      <c r="P28" s="848" t="e">
        <f t="shared" ca="1" si="5"/>
        <v>#N/A</v>
      </c>
      <c r="R28" s="848">
        <v>26</v>
      </c>
      <c r="S28" s="848" t="str">
        <f t="shared" ca="1" si="6"/>
        <v/>
      </c>
      <c r="T28" s="848" t="str">
        <f t="shared" ca="1" si="7"/>
        <v/>
      </c>
      <c r="U28" s="850" t="str">
        <f t="shared" ca="1" si="8"/>
        <v/>
      </c>
      <c r="V28" s="7"/>
      <c r="W28" s="851" t="str">
        <f t="shared" ca="1" si="9"/>
        <v/>
      </c>
      <c r="X28" s="1580" t="str">
        <f t="shared" ca="1" si="10"/>
        <v/>
      </c>
      <c r="Y28" s="852" t="str">
        <f ca="1">'Action Plan finance'!I81</f>
        <v/>
      </c>
      <c r="Z28" s="1494" t="str">
        <f t="shared" ca="1" si="2"/>
        <v/>
      </c>
      <c r="AA28" s="1494" t="str">
        <f t="shared" ca="1" si="3"/>
        <v/>
      </c>
      <c r="AN28" s="5557" t="s">
        <v>3240</v>
      </c>
    </row>
    <row r="29" spans="2:40" x14ac:dyDescent="0.25">
      <c r="B29" s="8">
        <v>27</v>
      </c>
      <c r="C29" s="8">
        <f ca="1">IF(E29&lt;&gt;0,SUM(1,MAX($C$2:C28)),0)</f>
        <v>0</v>
      </c>
      <c r="D29" s="8" t="s">
        <v>879</v>
      </c>
      <c r="E29" s="844">
        <f ca="1">IF(B29&gt;INDIRECT(SUBSTITUTE(D29," ","_")) ActivatedCounts,0,MATCH($G$2,INDIRECT(CONCATENATE("'",D29,"'!e",INDIRECT(SUBSTITUTE(D29," ","_")) StartPoint+SUM(F28),":$e$420")),0))</f>
        <v>0</v>
      </c>
      <c r="F29" s="8" t="str">
        <f ca="1">IF(B29&gt;INDIRECT(SUBSTITUTE(D29," ","_")) ActivatedCounts,"",SUM(E29,F28))</f>
        <v/>
      </c>
      <c r="G29" s="795" t="e">
        <f ca="1">INDEX(INDIRECT(CONCATENATE("'",D29,"'!e",INDIRECT(SUBSTITUTE(D29," ","_")) StartPoint,":$f$420")),F29,2)</f>
        <v>#VALUE!</v>
      </c>
      <c r="H29" s="798" t="e">
        <f ca="1">INDEX(INDIRECT(CONCATENATE("'",D29,"'!e",INDIRECT(SUBSTITUTE(D29," ","_")) StartPoint,":$h$420")),F29,3)</f>
        <v>#VALUE!</v>
      </c>
      <c r="I29" s="798" t="e">
        <f ca="1">INDEX(INDIRECT(CONCATENATE("'",D29,"'!e",INDIRECT(SUBSTITUTE(D29," ","_")) StartPoint,":$h$420")),F29,4)</f>
        <v>#VALUE!</v>
      </c>
      <c r="J29" s="798"/>
      <c r="K29" s="846">
        <f t="shared" ca="1" si="0"/>
        <v>0</v>
      </c>
      <c r="L29" s="847">
        <v>27</v>
      </c>
      <c r="M29" s="795" t="e">
        <f t="shared" ca="1" si="1"/>
        <v>#N/A</v>
      </c>
      <c r="N29" s="798"/>
      <c r="O29" s="848">
        <f t="shared" ca="1" si="4"/>
        <v>0</v>
      </c>
      <c r="P29" s="848" t="e">
        <f t="shared" ca="1" si="5"/>
        <v>#N/A</v>
      </c>
      <c r="R29" s="848">
        <v>27</v>
      </c>
      <c r="S29" s="848" t="str">
        <f t="shared" ca="1" si="6"/>
        <v/>
      </c>
      <c r="T29" s="848" t="str">
        <f t="shared" ca="1" si="7"/>
        <v/>
      </c>
      <c r="U29" s="850" t="str">
        <f t="shared" ca="1" si="8"/>
        <v/>
      </c>
      <c r="V29" s="7"/>
      <c r="W29" s="851" t="str">
        <f t="shared" ca="1" si="9"/>
        <v/>
      </c>
      <c r="X29" s="1580" t="str">
        <f t="shared" ca="1" si="10"/>
        <v/>
      </c>
      <c r="Y29" s="852" t="str">
        <f ca="1">'Action Plan finance'!I82</f>
        <v/>
      </c>
      <c r="Z29" s="1494" t="str">
        <f t="shared" ca="1" si="2"/>
        <v/>
      </c>
      <c r="AA29" s="1494" t="str">
        <f t="shared" ca="1" si="3"/>
        <v/>
      </c>
      <c r="AN29" s="5557" t="s">
        <v>3241</v>
      </c>
    </row>
    <row r="30" spans="2:40" x14ac:dyDescent="0.25">
      <c r="B30" s="8">
        <v>28</v>
      </c>
      <c r="C30" s="8">
        <f ca="1">IF(E30&lt;&gt;0,SUM(1,MAX($C$2:C29)),0)</f>
        <v>0</v>
      </c>
      <c r="D30" s="8" t="s">
        <v>879</v>
      </c>
      <c r="E30" s="844">
        <f ca="1">IF(B30&gt;INDIRECT(SUBSTITUTE(D30," ","_")) ActivatedCounts,0,MATCH($G$2,INDIRECT(CONCATENATE("'",D30,"'!e",INDIRECT(SUBSTITUTE(D30," ","_")) StartPoint+SUM(F29),":$e$420")),0))</f>
        <v>0</v>
      </c>
      <c r="F30" s="8" t="str">
        <f ca="1">IF(B30&gt;INDIRECT(SUBSTITUTE(D30," ","_")) ActivatedCounts,"",SUM(E30,F29))</f>
        <v/>
      </c>
      <c r="G30" s="795" t="e">
        <f ca="1">INDEX(INDIRECT(CONCATENATE("'",D30,"'!e",INDIRECT(SUBSTITUTE(D30," ","_")) StartPoint,":$f$420")),F30,2)</f>
        <v>#VALUE!</v>
      </c>
      <c r="H30" s="798" t="e">
        <f ca="1">INDEX(INDIRECT(CONCATENATE("'",D30,"'!e",INDIRECT(SUBSTITUTE(D30," ","_")) StartPoint,":$h$420")),F30,3)</f>
        <v>#VALUE!</v>
      </c>
      <c r="I30" s="798" t="e">
        <f ca="1">INDEX(INDIRECT(CONCATENATE("'",D30,"'!e",INDIRECT(SUBSTITUTE(D30," ","_")) StartPoint,":$h$420")),F30,4)</f>
        <v>#VALUE!</v>
      </c>
      <c r="J30" s="798"/>
      <c r="K30" s="846">
        <f t="shared" ca="1" si="0"/>
        <v>0</v>
      </c>
      <c r="L30" s="847">
        <v>28</v>
      </c>
      <c r="M30" s="795" t="e">
        <f t="shared" ca="1" si="1"/>
        <v>#N/A</v>
      </c>
      <c r="N30" s="798"/>
      <c r="O30" s="848">
        <f t="shared" ca="1" si="4"/>
        <v>0</v>
      </c>
      <c r="P30" s="848" t="e">
        <f t="shared" ca="1" si="5"/>
        <v>#N/A</v>
      </c>
      <c r="R30" s="848">
        <v>28</v>
      </c>
      <c r="S30" s="848" t="str">
        <f t="shared" ca="1" si="6"/>
        <v/>
      </c>
      <c r="T30" s="848" t="str">
        <f t="shared" ca="1" si="7"/>
        <v/>
      </c>
      <c r="U30" s="850" t="str">
        <f t="shared" ca="1" si="8"/>
        <v/>
      </c>
      <c r="V30" s="7"/>
      <c r="W30" s="851" t="str">
        <f t="shared" ca="1" si="9"/>
        <v/>
      </c>
      <c r="X30" s="1580" t="str">
        <f t="shared" ca="1" si="10"/>
        <v/>
      </c>
      <c r="Y30" s="852" t="str">
        <f ca="1">'Action Plan finance'!I83</f>
        <v/>
      </c>
      <c r="Z30" s="1494" t="str">
        <f t="shared" ca="1" si="2"/>
        <v/>
      </c>
      <c r="AA30" s="1494" t="str">
        <f t="shared" ca="1" si="3"/>
        <v/>
      </c>
      <c r="AN30" s="5557" t="s">
        <v>3242</v>
      </c>
    </row>
    <row r="31" spans="2:40" x14ac:dyDescent="0.25">
      <c r="B31" s="8">
        <v>29</v>
      </c>
      <c r="C31" s="8">
        <f ca="1">IF(E31&lt;&gt;0,SUM(1,MAX($C$2:C30)),0)</f>
        <v>0</v>
      </c>
      <c r="D31" s="8" t="s">
        <v>879</v>
      </c>
      <c r="E31" s="844">
        <f ca="1">IF(B31&gt;INDIRECT(SUBSTITUTE(D31," ","_")) ActivatedCounts,0,MATCH($G$2,INDIRECT(CONCATENATE("'",D31,"'!e",INDIRECT(SUBSTITUTE(D31," ","_")) StartPoint+SUM(F30),":$e$420")),0))</f>
        <v>0</v>
      </c>
      <c r="F31" s="8" t="str">
        <f ca="1">IF(B31&gt;INDIRECT(SUBSTITUTE(D31," ","_")) ActivatedCounts,"",SUM(E31,F30))</f>
        <v/>
      </c>
      <c r="G31" s="795" t="e">
        <f ca="1">INDEX(INDIRECT(CONCATENATE("'",D31,"'!e",INDIRECT(SUBSTITUTE(D31," ","_")) StartPoint,":$f$420")),F31,2)</f>
        <v>#VALUE!</v>
      </c>
      <c r="H31" s="798" t="e">
        <f ca="1">INDEX(INDIRECT(CONCATENATE("'",D31,"'!e",INDIRECT(SUBSTITUTE(D31," ","_")) StartPoint,":$h$420")),F31,3)</f>
        <v>#VALUE!</v>
      </c>
      <c r="I31" s="798" t="e">
        <f ca="1">INDEX(INDIRECT(CONCATENATE("'",D31,"'!e",INDIRECT(SUBSTITUTE(D31," ","_")) StartPoint,":$h$420")),F31,4)</f>
        <v>#VALUE!</v>
      </c>
      <c r="J31" s="798"/>
      <c r="K31" s="846">
        <f t="shared" ca="1" si="0"/>
        <v>0</v>
      </c>
      <c r="L31" s="847">
        <v>29</v>
      </c>
      <c r="M31" s="795" t="e">
        <f t="shared" ca="1" si="1"/>
        <v>#N/A</v>
      </c>
      <c r="N31" s="798"/>
      <c r="O31" s="848">
        <f t="shared" ca="1" si="4"/>
        <v>0</v>
      </c>
      <c r="P31" s="848" t="e">
        <f t="shared" ca="1" si="5"/>
        <v>#N/A</v>
      </c>
      <c r="R31" s="848">
        <v>29</v>
      </c>
      <c r="S31" s="848" t="str">
        <f t="shared" ca="1" si="6"/>
        <v/>
      </c>
      <c r="T31" s="848" t="str">
        <f t="shared" ca="1" si="7"/>
        <v/>
      </c>
      <c r="U31" s="850" t="str">
        <f t="shared" ca="1" si="8"/>
        <v/>
      </c>
      <c r="V31" s="7"/>
      <c r="W31" s="851" t="str">
        <f t="shared" ca="1" si="9"/>
        <v/>
      </c>
      <c r="X31" s="1580" t="str">
        <f t="shared" ca="1" si="10"/>
        <v/>
      </c>
      <c r="Y31" s="852" t="str">
        <f ca="1">'Action Plan finance'!I84</f>
        <v/>
      </c>
      <c r="Z31" s="1494" t="str">
        <f t="shared" ca="1" si="2"/>
        <v/>
      </c>
      <c r="AA31" s="1494" t="str">
        <f t="shared" ca="1" si="3"/>
        <v/>
      </c>
      <c r="AN31" s="5557" t="s">
        <v>3243</v>
      </c>
    </row>
    <row r="32" spans="2:40" x14ac:dyDescent="0.25">
      <c r="B32" s="8">
        <v>30</v>
      </c>
      <c r="C32" s="8">
        <f ca="1">IF(E32&lt;&gt;0,SUM(1,MAX($C$2:C31)),0)</f>
        <v>0</v>
      </c>
      <c r="D32" s="8" t="s">
        <v>879</v>
      </c>
      <c r="E32" s="844">
        <f ca="1">IF(B32&gt;INDIRECT(SUBSTITUTE(D32," ","_")) ActivatedCounts,0,MATCH($G$2,INDIRECT(CONCATENATE("'",D32,"'!e",INDIRECT(SUBSTITUTE(D32," ","_")) StartPoint+SUM(F31),":$e$420")),0))</f>
        <v>0</v>
      </c>
      <c r="F32" s="8" t="str">
        <f ca="1">IF(B32&gt;INDIRECT(SUBSTITUTE(D32," ","_")) ActivatedCounts,"",SUM(E32,F31))</f>
        <v/>
      </c>
      <c r="G32" s="795" t="e">
        <f ca="1">INDEX(INDIRECT(CONCATENATE("'",D32,"'!e",INDIRECT(SUBSTITUTE(D32," ","_")) StartPoint,":$f$420")),F32,2)</f>
        <v>#VALUE!</v>
      </c>
      <c r="H32" s="798" t="e">
        <f ca="1">INDEX(INDIRECT(CONCATENATE("'",D32,"'!e",INDIRECT(SUBSTITUTE(D32," ","_")) StartPoint,":$h$420")),F32,3)</f>
        <v>#VALUE!</v>
      </c>
      <c r="I32" s="798" t="e">
        <f ca="1">INDEX(INDIRECT(CONCATENATE("'",D32,"'!e",INDIRECT(SUBSTITUTE(D32," ","_")) StartPoint,":$h$420")),F32,4)</f>
        <v>#VALUE!</v>
      </c>
      <c r="J32" s="798"/>
      <c r="K32" s="846">
        <f t="shared" ca="1" si="0"/>
        <v>0</v>
      </c>
      <c r="L32" s="847">
        <v>30</v>
      </c>
      <c r="M32" s="795" t="e">
        <f t="shared" ca="1" si="1"/>
        <v>#N/A</v>
      </c>
      <c r="N32" s="798"/>
      <c r="O32" s="848">
        <f t="shared" ca="1" si="4"/>
        <v>0</v>
      </c>
      <c r="P32" s="848" t="e">
        <f t="shared" ca="1" si="5"/>
        <v>#N/A</v>
      </c>
      <c r="R32" s="848">
        <v>30</v>
      </c>
      <c r="S32" s="848" t="str">
        <f t="shared" ca="1" si="6"/>
        <v/>
      </c>
      <c r="T32" s="848" t="str">
        <f t="shared" ca="1" si="7"/>
        <v/>
      </c>
      <c r="U32" s="850" t="str">
        <f t="shared" ca="1" si="8"/>
        <v/>
      </c>
      <c r="V32" s="7"/>
      <c r="W32" s="851" t="str">
        <f t="shared" ca="1" si="9"/>
        <v/>
      </c>
      <c r="X32" s="1580" t="str">
        <f t="shared" ca="1" si="10"/>
        <v/>
      </c>
      <c r="Y32" s="852" t="str">
        <f ca="1">'Action Plan finance'!I85</f>
        <v/>
      </c>
      <c r="Z32" s="1494" t="str">
        <f t="shared" ca="1" si="2"/>
        <v/>
      </c>
      <c r="AA32" s="1494" t="str">
        <f t="shared" ca="1" si="3"/>
        <v/>
      </c>
      <c r="AN32" s="5557" t="s">
        <v>3244</v>
      </c>
    </row>
    <row r="33" spans="2:40" x14ac:dyDescent="0.25">
      <c r="B33" s="8">
        <v>31</v>
      </c>
      <c r="C33" s="8">
        <f ca="1">IF(E33&lt;&gt;0,SUM(1,MAX($C$2:C32)),0)</f>
        <v>0</v>
      </c>
      <c r="D33" s="8" t="s">
        <v>879</v>
      </c>
      <c r="E33" s="844">
        <f ca="1">IF(B33&gt;INDIRECT(SUBSTITUTE(D33," ","_")) ActivatedCounts,0,MATCH($G$2,INDIRECT(CONCATENATE("'",D33,"'!e",INDIRECT(SUBSTITUTE(D33," ","_")) StartPoint+SUM(F32),":$e$420")),0))</f>
        <v>0</v>
      </c>
      <c r="F33" s="8" t="str">
        <f ca="1">IF(B33&gt;INDIRECT(SUBSTITUTE(D33," ","_")) ActivatedCounts,"",SUM(E33,F32))</f>
        <v/>
      </c>
      <c r="G33" s="795" t="e">
        <f ca="1">INDEX(INDIRECT(CONCATENATE("'",D33,"'!e",INDIRECT(SUBSTITUTE(D33," ","_")) StartPoint,":$f$420")),F33,2)</f>
        <v>#VALUE!</v>
      </c>
      <c r="H33" s="798" t="e">
        <f ca="1">INDEX(INDIRECT(CONCATENATE("'",D33,"'!e",INDIRECT(SUBSTITUTE(D33," ","_")) StartPoint,":$h$420")),F33,3)</f>
        <v>#VALUE!</v>
      </c>
      <c r="I33" s="798" t="e">
        <f ca="1">INDEX(INDIRECT(CONCATENATE("'",D33,"'!e",INDIRECT(SUBSTITUTE(D33," ","_")) StartPoint,":$h$420")),F33,4)</f>
        <v>#VALUE!</v>
      </c>
      <c r="J33" s="798"/>
      <c r="K33" s="846">
        <f t="shared" ca="1" si="0"/>
        <v>0</v>
      </c>
      <c r="L33" s="847">
        <v>31</v>
      </c>
      <c r="M33" s="795" t="e">
        <f t="shared" ca="1" si="1"/>
        <v>#N/A</v>
      </c>
      <c r="N33" s="798"/>
      <c r="O33" s="848">
        <f t="shared" ca="1" si="4"/>
        <v>0</v>
      </c>
      <c r="P33" s="848" t="e">
        <f t="shared" ca="1" si="5"/>
        <v>#N/A</v>
      </c>
      <c r="R33" s="848">
        <v>31</v>
      </c>
      <c r="S33" s="848" t="str">
        <f t="shared" ca="1" si="6"/>
        <v/>
      </c>
      <c r="T33" s="848" t="str">
        <f t="shared" ca="1" si="7"/>
        <v/>
      </c>
      <c r="U33" s="850" t="str">
        <f t="shared" ca="1" si="8"/>
        <v/>
      </c>
      <c r="V33" s="7"/>
      <c r="W33" s="851" t="str">
        <f t="shared" ca="1" si="9"/>
        <v/>
      </c>
      <c r="X33" s="1580" t="str">
        <f t="shared" ca="1" si="10"/>
        <v/>
      </c>
      <c r="Y33" s="852" t="str">
        <f ca="1">'Action Plan finance'!I86</f>
        <v/>
      </c>
      <c r="Z33" s="1494" t="str">
        <f t="shared" ca="1" si="2"/>
        <v/>
      </c>
      <c r="AA33" s="1494" t="str">
        <f t="shared" ca="1" si="3"/>
        <v/>
      </c>
      <c r="AN33" s="5557" t="s">
        <v>3245</v>
      </c>
    </row>
    <row r="34" spans="2:40" x14ac:dyDescent="0.25">
      <c r="B34" s="8">
        <v>32</v>
      </c>
      <c r="C34" s="8">
        <f ca="1">IF(E34&lt;&gt;0,SUM(1,MAX($C$2:C33)),0)</f>
        <v>0</v>
      </c>
      <c r="D34" s="8" t="s">
        <v>879</v>
      </c>
      <c r="E34" s="844">
        <f ca="1">IF(B34&gt;INDIRECT(SUBSTITUTE(D34," ","_")) ActivatedCounts,0,MATCH($G$2,INDIRECT(CONCATENATE("'",D34,"'!e",INDIRECT(SUBSTITUTE(D34," ","_")) StartPoint+SUM(F33),":$e$420")),0))</f>
        <v>0</v>
      </c>
      <c r="F34" s="8" t="str">
        <f ca="1">IF(B34&gt;INDIRECT(SUBSTITUTE(D34," ","_")) ActivatedCounts,"",SUM(E34,F33))</f>
        <v/>
      </c>
      <c r="G34" s="795" t="e">
        <f ca="1">INDEX(INDIRECT(CONCATENATE("'",D34,"'!e",INDIRECT(SUBSTITUTE(D34," ","_")) StartPoint,":$f$420")),F34,2)</f>
        <v>#VALUE!</v>
      </c>
      <c r="H34" s="798" t="e">
        <f ca="1">INDEX(INDIRECT(CONCATENATE("'",D34,"'!e",INDIRECT(SUBSTITUTE(D34," ","_")) StartPoint,":$h$420")),F34,3)</f>
        <v>#VALUE!</v>
      </c>
      <c r="I34" s="798" t="e">
        <f ca="1">INDEX(INDIRECT(CONCATENATE("'",D34,"'!e",INDIRECT(SUBSTITUTE(D34," ","_")) StartPoint,":$h$420")),F34,4)</f>
        <v>#VALUE!</v>
      </c>
      <c r="J34" s="798"/>
      <c r="K34" s="846">
        <f t="shared" ca="1" si="0"/>
        <v>0</v>
      </c>
      <c r="L34" s="847">
        <v>32</v>
      </c>
      <c r="M34" s="795" t="e">
        <f t="shared" ca="1" si="1"/>
        <v>#N/A</v>
      </c>
      <c r="N34" s="798"/>
      <c r="O34" s="848">
        <f t="shared" ca="1" si="4"/>
        <v>0</v>
      </c>
      <c r="P34" s="848" t="e">
        <f t="shared" ca="1" si="5"/>
        <v>#N/A</v>
      </c>
      <c r="R34" s="848">
        <v>32</v>
      </c>
      <c r="S34" s="848" t="str">
        <f t="shared" ca="1" si="6"/>
        <v/>
      </c>
      <c r="T34" s="848" t="str">
        <f t="shared" ca="1" si="7"/>
        <v/>
      </c>
      <c r="U34" s="850" t="str">
        <f t="shared" ca="1" si="8"/>
        <v/>
      </c>
      <c r="V34" s="7"/>
      <c r="W34" s="851" t="str">
        <f t="shared" ca="1" si="9"/>
        <v/>
      </c>
      <c r="X34" s="1580" t="str">
        <f t="shared" ca="1" si="10"/>
        <v/>
      </c>
      <c r="Y34" s="852" t="str">
        <f ca="1">'Action Plan finance'!I87</f>
        <v/>
      </c>
      <c r="Z34" s="1494" t="str">
        <f t="shared" ca="1" si="2"/>
        <v/>
      </c>
      <c r="AA34" s="1494" t="str">
        <f t="shared" ca="1" si="3"/>
        <v/>
      </c>
      <c r="AN34" s="5557" t="s">
        <v>3246</v>
      </c>
    </row>
    <row r="35" spans="2:40" x14ac:dyDescent="0.25">
      <c r="B35" s="8">
        <v>33</v>
      </c>
      <c r="C35" s="8">
        <f ca="1">IF(E35&lt;&gt;0,SUM(1,MAX($C$2:C34)),0)</f>
        <v>0</v>
      </c>
      <c r="D35" s="8" t="s">
        <v>879</v>
      </c>
      <c r="E35" s="844">
        <f ca="1">IF(B35&gt;INDIRECT(SUBSTITUTE(D35," ","_")) ActivatedCounts,0,MATCH($G$2,INDIRECT(CONCATENATE("'",D35,"'!e",INDIRECT(SUBSTITUTE(D35," ","_")) StartPoint+SUM(F34),":$e$420")),0))</f>
        <v>0</v>
      </c>
      <c r="F35" s="8" t="str">
        <f ca="1">IF(B35&gt;INDIRECT(SUBSTITUTE(D35," ","_")) ActivatedCounts,"",SUM(E35,F34))</f>
        <v/>
      </c>
      <c r="G35" s="795" t="e">
        <f ca="1">INDEX(INDIRECT(CONCATENATE("'",D35,"'!e",INDIRECT(SUBSTITUTE(D35," ","_")) StartPoint,":$f$420")),F35,2)</f>
        <v>#VALUE!</v>
      </c>
      <c r="H35" s="798" t="e">
        <f ca="1">INDEX(INDIRECT(CONCATENATE("'",D35,"'!e",INDIRECT(SUBSTITUTE(D35," ","_")) StartPoint,":$h$420")),F35,3)</f>
        <v>#VALUE!</v>
      </c>
      <c r="I35" s="798" t="e">
        <f ca="1">INDEX(INDIRECT(CONCATENATE("'",D35,"'!e",INDIRECT(SUBSTITUTE(D35," ","_")) StartPoint,":$h$420")),F35,4)</f>
        <v>#VALUE!</v>
      </c>
      <c r="J35" s="798"/>
      <c r="K35" s="846">
        <f t="shared" ref="K35:K66" ca="1" si="12">IFERROR(VLOOKUP(L35,$C$3:$G$127,5,FALSE),0)</f>
        <v>0</v>
      </c>
      <c r="L35" s="847">
        <v>33</v>
      </c>
      <c r="M35" s="795" t="e">
        <f t="shared" ref="M35:M66" ca="1" si="13">VLOOKUP(L35,$C$3:$G$127,2,FALSE)</f>
        <v>#N/A</v>
      </c>
      <c r="N35" s="798"/>
      <c r="O35" s="848">
        <f t="shared" ca="1" si="4"/>
        <v>0</v>
      </c>
      <c r="P35" s="848" t="e">
        <f t="shared" ca="1" si="5"/>
        <v>#N/A</v>
      </c>
      <c r="R35" s="848">
        <v>33</v>
      </c>
      <c r="S35" s="848" t="str">
        <f t="shared" ca="1" si="6"/>
        <v/>
      </c>
      <c r="T35" s="848" t="str">
        <f t="shared" ref="T35:T66" ca="1" si="14">IF(S35="","",P35)</f>
        <v/>
      </c>
      <c r="U35" s="850" t="str">
        <f t="shared" ca="1" si="8"/>
        <v/>
      </c>
      <c r="V35" s="7"/>
      <c r="W35" s="851" t="str">
        <f t="shared" ca="1" si="9"/>
        <v/>
      </c>
      <c r="X35" s="1580" t="str">
        <f t="shared" ca="1" si="10"/>
        <v/>
      </c>
      <c r="Y35" s="852" t="str">
        <f ca="1">'Action Plan finance'!I88</f>
        <v/>
      </c>
      <c r="Z35" s="1494" t="str">
        <f t="shared" ref="Z35:Z66" ca="1" si="15">IFERROR(VLOOKUP(W35,$G$3:$I$127,2,FALSE),"")</f>
        <v/>
      </c>
      <c r="AA35" s="1494" t="str">
        <f t="shared" ref="AA35:AA66" ca="1" si="16">IFERROR(VLOOKUP(W35,$G$3:$I$127,3,FALSE),"")</f>
        <v/>
      </c>
      <c r="AN35" s="5557" t="s">
        <v>3247</v>
      </c>
    </row>
    <row r="36" spans="2:40" x14ac:dyDescent="0.25">
      <c r="B36" s="8">
        <v>34</v>
      </c>
      <c r="C36" s="8">
        <f ca="1">IF(E36&lt;&gt;0,SUM(1,MAX($C$2:C35)),0)</f>
        <v>0</v>
      </c>
      <c r="D36" s="8" t="s">
        <v>879</v>
      </c>
      <c r="E36" s="844">
        <f ca="1">IF(B36&gt;INDIRECT(SUBSTITUTE(D36," ","_")) ActivatedCounts,0,MATCH($G$2,INDIRECT(CONCATENATE("'",D36,"'!e",INDIRECT(SUBSTITUTE(D36," ","_")) StartPoint+SUM(F35),":$e$420")),0))</f>
        <v>0</v>
      </c>
      <c r="F36" s="8" t="str">
        <f ca="1">IF(B36&gt;INDIRECT(SUBSTITUTE(D36," ","_")) ActivatedCounts,"",SUM(E36,F35))</f>
        <v/>
      </c>
      <c r="G36" s="795" t="e">
        <f ca="1">INDEX(INDIRECT(CONCATENATE("'",D36,"'!e",INDIRECT(SUBSTITUTE(D36," ","_")) StartPoint,":$f$420")),F36,2)</f>
        <v>#VALUE!</v>
      </c>
      <c r="H36" s="798" t="e">
        <f ca="1">INDEX(INDIRECT(CONCATENATE("'",D36,"'!e",INDIRECT(SUBSTITUTE(D36," ","_")) StartPoint,":$h$420")),F36,3)</f>
        <v>#VALUE!</v>
      </c>
      <c r="I36" s="798" t="e">
        <f ca="1">INDEX(INDIRECT(CONCATENATE("'",D36,"'!e",INDIRECT(SUBSTITUTE(D36," ","_")) StartPoint,":$h$420")),F36,4)</f>
        <v>#VALUE!</v>
      </c>
      <c r="J36" s="798"/>
      <c r="K36" s="846">
        <f t="shared" ca="1" si="12"/>
        <v>0</v>
      </c>
      <c r="L36" s="847">
        <v>34</v>
      </c>
      <c r="M36" s="795" t="e">
        <f t="shared" ca="1" si="13"/>
        <v>#N/A</v>
      </c>
      <c r="N36" s="798"/>
      <c r="O36" s="848">
        <f t="shared" ca="1" si="4"/>
        <v>0</v>
      </c>
      <c r="P36" s="848" t="e">
        <f ca="1">IF(M36=$O$1,"WS",IF(M36=$P$1,"WW","SW"))</f>
        <v>#N/A</v>
      </c>
      <c r="R36" s="848">
        <v>34</v>
      </c>
      <c r="S36" s="848" t="str">
        <f t="shared" ca="1" si="6"/>
        <v/>
      </c>
      <c r="T36" s="848" t="str">
        <f t="shared" ca="1" si="14"/>
        <v/>
      </c>
      <c r="U36" s="850" t="str">
        <f t="shared" ca="1" si="8"/>
        <v/>
      </c>
      <c r="V36" s="7"/>
      <c r="W36" s="851" t="str">
        <f t="shared" ca="1" si="9"/>
        <v/>
      </c>
      <c r="X36" s="1580" t="str">
        <f t="shared" ca="1" si="10"/>
        <v/>
      </c>
      <c r="Y36" s="852" t="str">
        <f ca="1">'Action Plan finance'!I89</f>
        <v/>
      </c>
      <c r="Z36" s="1494" t="str">
        <f t="shared" ca="1" si="15"/>
        <v/>
      </c>
      <c r="AA36" s="1494" t="str">
        <f t="shared" ca="1" si="16"/>
        <v/>
      </c>
      <c r="AN36" s="5557" t="s">
        <v>3248</v>
      </c>
    </row>
    <row r="37" spans="2:40" x14ac:dyDescent="0.25">
      <c r="B37" s="8">
        <v>35</v>
      </c>
      <c r="C37" s="8">
        <f ca="1">IF(E37&lt;&gt;0,SUM(1,MAX($C$2:C36)),0)</f>
        <v>0</v>
      </c>
      <c r="D37" s="8" t="s">
        <v>879</v>
      </c>
      <c r="E37" s="844">
        <f ca="1">IF(B37&gt;INDIRECT(SUBSTITUTE(D37," ","_")) ActivatedCounts,0,MATCH($G$2,INDIRECT(CONCATENATE("'",D37,"'!e",INDIRECT(SUBSTITUTE(D37," ","_")) StartPoint+SUM(F36),":$e$420")),0))</f>
        <v>0</v>
      </c>
      <c r="F37" s="8" t="str">
        <f ca="1">IF(B37&gt;INDIRECT(SUBSTITUTE(D37," ","_")) ActivatedCounts,"",SUM(E37,F36))</f>
        <v/>
      </c>
      <c r="G37" s="795" t="e">
        <f ca="1">INDEX(INDIRECT(CONCATENATE("'",D37,"'!e",INDIRECT(SUBSTITUTE(D37," ","_")) StartPoint,":$f$420")),F37,2)</f>
        <v>#VALUE!</v>
      </c>
      <c r="H37" s="798" t="e">
        <f ca="1">INDEX(INDIRECT(CONCATENATE("'",D37,"'!e",INDIRECT(SUBSTITUTE(D37," ","_")) StartPoint,":$h$420")),F37,3)</f>
        <v>#VALUE!</v>
      </c>
      <c r="I37" s="798" t="e">
        <f ca="1">INDEX(INDIRECT(CONCATENATE("'",D37,"'!e",INDIRECT(SUBSTITUTE(D37," ","_")) StartPoint,":$h$420")),F37,4)</f>
        <v>#VALUE!</v>
      </c>
      <c r="J37" s="798"/>
      <c r="K37" s="846">
        <f t="shared" ca="1" si="12"/>
        <v>0</v>
      </c>
      <c r="L37" s="847">
        <v>35</v>
      </c>
      <c r="M37" s="795" t="e">
        <f t="shared" ca="1" si="13"/>
        <v>#N/A</v>
      </c>
      <c r="N37" s="798"/>
      <c r="O37" s="848">
        <f t="shared" ca="1" si="4"/>
        <v>0</v>
      </c>
      <c r="P37" s="848" t="e">
        <f t="shared" ca="1" si="5"/>
        <v>#N/A</v>
      </c>
      <c r="R37" s="848">
        <v>35</v>
      </c>
      <c r="S37" s="848" t="str">
        <f t="shared" ca="1" si="6"/>
        <v/>
      </c>
      <c r="T37" s="848" t="str">
        <f t="shared" ca="1" si="14"/>
        <v/>
      </c>
      <c r="U37" s="850" t="str">
        <f t="shared" ca="1" si="8"/>
        <v/>
      </c>
      <c r="V37" s="7"/>
      <c r="W37" s="851" t="str">
        <f t="shared" ca="1" si="9"/>
        <v/>
      </c>
      <c r="X37" s="1580" t="str">
        <f t="shared" ca="1" si="10"/>
        <v/>
      </c>
      <c r="Y37" s="852" t="str">
        <f ca="1">'Action Plan finance'!I90</f>
        <v/>
      </c>
      <c r="Z37" s="1494" t="str">
        <f t="shared" ca="1" si="15"/>
        <v/>
      </c>
      <c r="AA37" s="1494" t="str">
        <f t="shared" ca="1" si="16"/>
        <v/>
      </c>
      <c r="AN37" s="5557" t="s">
        <v>3249</v>
      </c>
    </row>
    <row r="38" spans="2:40" x14ac:dyDescent="0.25">
      <c r="B38" s="8">
        <v>36</v>
      </c>
      <c r="C38" s="8">
        <f ca="1">IF(E38&lt;&gt;0,SUM(1,MAX($C$2:C37)),0)</f>
        <v>0</v>
      </c>
      <c r="D38" s="8" t="s">
        <v>879</v>
      </c>
      <c r="E38" s="844">
        <f ca="1">IF(B38&gt;INDIRECT(SUBSTITUTE(D38," ","_")) ActivatedCounts,0,MATCH($G$2,INDIRECT(CONCATENATE("'",D38,"'!e",INDIRECT(SUBSTITUTE(D38," ","_")) StartPoint+SUM(F37),":$e$420")),0))</f>
        <v>0</v>
      </c>
      <c r="F38" s="8" t="str">
        <f ca="1">IF(B38&gt;INDIRECT(SUBSTITUTE(D38," ","_")) ActivatedCounts,"",SUM(E38,F37))</f>
        <v/>
      </c>
      <c r="G38" s="795" t="e">
        <f ca="1">INDEX(INDIRECT(CONCATENATE("'",D38,"'!e",INDIRECT(SUBSTITUTE(D38," ","_")) StartPoint,":$f$420")),F38,2)</f>
        <v>#VALUE!</v>
      </c>
      <c r="H38" s="798" t="e">
        <f ca="1">INDEX(INDIRECT(CONCATENATE("'",D38,"'!e",INDIRECT(SUBSTITUTE(D38," ","_")) StartPoint,":$h$420")),F38,3)</f>
        <v>#VALUE!</v>
      </c>
      <c r="I38" s="798" t="e">
        <f ca="1">INDEX(INDIRECT(CONCATENATE("'",D38,"'!e",INDIRECT(SUBSTITUTE(D38," ","_")) StartPoint,":$h$420")),F38,4)</f>
        <v>#VALUE!</v>
      </c>
      <c r="J38" s="798"/>
      <c r="K38" s="846">
        <f t="shared" ca="1" si="12"/>
        <v>0</v>
      </c>
      <c r="L38" s="847">
        <v>36</v>
      </c>
      <c r="M38" s="795" t="e">
        <f t="shared" ca="1" si="13"/>
        <v>#N/A</v>
      </c>
      <c r="N38" s="798"/>
      <c r="O38" s="848">
        <f t="shared" ca="1" si="4"/>
        <v>0</v>
      </c>
      <c r="P38" s="848" t="e">
        <f t="shared" ca="1" si="5"/>
        <v>#N/A</v>
      </c>
      <c r="R38" s="848">
        <v>36</v>
      </c>
      <c r="S38" s="848" t="str">
        <f t="shared" ca="1" si="6"/>
        <v/>
      </c>
      <c r="T38" s="848" t="str">
        <f t="shared" ca="1" si="14"/>
        <v/>
      </c>
      <c r="U38" s="850" t="str">
        <f t="shared" ca="1" si="8"/>
        <v/>
      </c>
      <c r="V38" s="7"/>
      <c r="W38" s="851" t="str">
        <f t="shared" ca="1" si="9"/>
        <v/>
      </c>
      <c r="X38" s="1580" t="str">
        <f t="shared" ca="1" si="10"/>
        <v/>
      </c>
      <c r="Y38" s="852" t="str">
        <f ca="1">'Action Plan finance'!I91</f>
        <v/>
      </c>
      <c r="Z38" s="1494" t="str">
        <f t="shared" ca="1" si="15"/>
        <v/>
      </c>
      <c r="AA38" s="1494" t="str">
        <f t="shared" ca="1" si="16"/>
        <v/>
      </c>
      <c r="AN38" s="5557" t="s">
        <v>3250</v>
      </c>
    </row>
    <row r="39" spans="2:40" x14ac:dyDescent="0.25">
      <c r="B39" s="8">
        <v>37</v>
      </c>
      <c r="C39" s="8">
        <f ca="1">IF(E39&lt;&gt;0,SUM(1,MAX($C$2:C38)),0)</f>
        <v>0</v>
      </c>
      <c r="D39" s="8" t="s">
        <v>879</v>
      </c>
      <c r="E39" s="844">
        <f ca="1">IF(B39&gt;INDIRECT(SUBSTITUTE(D39," ","_")) ActivatedCounts,0,MATCH($G$2,INDIRECT(CONCATENATE("'",D39,"'!e",INDIRECT(SUBSTITUTE(D39," ","_")) StartPoint+SUM(F38),":$e$420")),0))</f>
        <v>0</v>
      </c>
      <c r="F39" s="8" t="str">
        <f ca="1">IF(B39&gt;INDIRECT(SUBSTITUTE(D39," ","_")) ActivatedCounts,"",SUM(E39,F38))</f>
        <v/>
      </c>
      <c r="G39" s="795" t="e">
        <f ca="1">INDEX(INDIRECT(CONCATENATE("'",D39,"'!e",INDIRECT(SUBSTITUTE(D39," ","_")) StartPoint,":$f$420")),F39,2)</f>
        <v>#VALUE!</v>
      </c>
      <c r="H39" s="798" t="e">
        <f ca="1">INDEX(INDIRECT(CONCATENATE("'",D39,"'!e",INDIRECT(SUBSTITUTE(D39," ","_")) StartPoint,":$h$420")),F39,3)</f>
        <v>#VALUE!</v>
      </c>
      <c r="I39" s="798" t="e">
        <f ca="1">INDEX(INDIRECT(CONCATENATE("'",D39,"'!e",INDIRECT(SUBSTITUTE(D39," ","_")) StartPoint,":$h$420")),F39,4)</f>
        <v>#VALUE!</v>
      </c>
      <c r="J39" s="798"/>
      <c r="K39" s="846">
        <f t="shared" ca="1" si="12"/>
        <v>0</v>
      </c>
      <c r="L39" s="847">
        <v>37</v>
      </c>
      <c r="M39" s="795" t="e">
        <f t="shared" ca="1" si="13"/>
        <v>#N/A</v>
      </c>
      <c r="N39" s="798"/>
      <c r="O39" s="848">
        <f t="shared" ca="1" si="4"/>
        <v>0</v>
      </c>
      <c r="P39" s="848" t="e">
        <f ca="1">IF(M39=$O$1,"WS",IF(M39=$P$1,"WW","SW"))</f>
        <v>#N/A</v>
      </c>
      <c r="R39" s="848">
        <v>37</v>
      </c>
      <c r="S39" s="848" t="str">
        <f t="shared" ca="1" si="6"/>
        <v/>
      </c>
      <c r="T39" s="848" t="str">
        <f t="shared" ca="1" si="14"/>
        <v/>
      </c>
      <c r="U39" s="850" t="str">
        <f t="shared" ca="1" si="8"/>
        <v/>
      </c>
      <c r="V39" s="7"/>
      <c r="W39" s="851" t="str">
        <f t="shared" ca="1" si="9"/>
        <v/>
      </c>
      <c r="X39" s="1580" t="str">
        <f t="shared" ca="1" si="10"/>
        <v/>
      </c>
      <c r="Y39" s="852" t="str">
        <f ca="1">'Action Plan finance'!I92</f>
        <v/>
      </c>
      <c r="Z39" s="1494" t="str">
        <f t="shared" ca="1" si="15"/>
        <v/>
      </c>
      <c r="AA39" s="1494" t="str">
        <f t="shared" ca="1" si="16"/>
        <v/>
      </c>
      <c r="AN39" s="5557" t="s">
        <v>3251</v>
      </c>
    </row>
    <row r="40" spans="2:40" x14ac:dyDescent="0.25">
      <c r="B40" s="8">
        <v>38</v>
      </c>
      <c r="C40" s="8">
        <f ca="1">IF(E40&lt;&gt;0,SUM(1,MAX($C$2:C39)),0)</f>
        <v>0</v>
      </c>
      <c r="D40" s="8" t="s">
        <v>879</v>
      </c>
      <c r="E40" s="844">
        <f ca="1">IF(B40&gt;INDIRECT(SUBSTITUTE(D40," ","_")) ActivatedCounts,0,MATCH($G$2,INDIRECT(CONCATENATE("'",D40,"'!e",INDIRECT(SUBSTITUTE(D40," ","_")) StartPoint+SUM(F39),":$e$420")),0))</f>
        <v>0</v>
      </c>
      <c r="F40" s="8" t="str">
        <f ca="1">IF(B40&gt;INDIRECT(SUBSTITUTE(D40," ","_")) ActivatedCounts,"",SUM(E40,F39))</f>
        <v/>
      </c>
      <c r="G40" s="795" t="e">
        <f ca="1">INDEX(INDIRECT(CONCATENATE("'",D40,"'!e",INDIRECT(SUBSTITUTE(D40," ","_")) StartPoint,":$f$420")),F40,2)</f>
        <v>#VALUE!</v>
      </c>
      <c r="H40" s="798" t="e">
        <f ca="1">INDEX(INDIRECT(CONCATENATE("'",D40,"'!e",INDIRECT(SUBSTITUTE(D40," ","_")) StartPoint,":$h$420")),F40,3)</f>
        <v>#VALUE!</v>
      </c>
      <c r="I40" s="798" t="e">
        <f ca="1">INDEX(INDIRECT(CONCATENATE("'",D40,"'!e",INDIRECT(SUBSTITUTE(D40," ","_")) StartPoint,":$h$420")),F40,4)</f>
        <v>#VALUE!</v>
      </c>
      <c r="J40" s="798"/>
      <c r="K40" s="846">
        <f t="shared" ca="1" si="12"/>
        <v>0</v>
      </c>
      <c r="L40" s="847">
        <v>38</v>
      </c>
      <c r="M40" s="795" t="e">
        <f t="shared" ca="1" si="13"/>
        <v>#N/A</v>
      </c>
      <c r="N40" s="798"/>
      <c r="O40" s="848">
        <f t="shared" ca="1" si="4"/>
        <v>0</v>
      </c>
      <c r="P40" s="848" t="e">
        <f t="shared" ca="1" si="5"/>
        <v>#N/A</v>
      </c>
      <c r="R40" s="848">
        <v>38</v>
      </c>
      <c r="S40" s="848" t="str">
        <f t="shared" ca="1" si="6"/>
        <v/>
      </c>
      <c r="T40" s="848" t="str">
        <f t="shared" ca="1" si="14"/>
        <v/>
      </c>
      <c r="U40" s="850" t="str">
        <f t="shared" ca="1" si="8"/>
        <v/>
      </c>
      <c r="V40" s="7"/>
      <c r="W40" s="851" t="str">
        <f t="shared" ca="1" si="9"/>
        <v/>
      </c>
      <c r="X40" s="1580" t="str">
        <f t="shared" ca="1" si="10"/>
        <v/>
      </c>
      <c r="Y40" s="852" t="str">
        <f ca="1">'Action Plan finance'!I93</f>
        <v/>
      </c>
      <c r="Z40" s="1494" t="str">
        <f t="shared" ca="1" si="15"/>
        <v/>
      </c>
      <c r="AA40" s="1494" t="str">
        <f t="shared" ca="1" si="16"/>
        <v/>
      </c>
      <c r="AN40" s="5557" t="s">
        <v>3252</v>
      </c>
    </row>
    <row r="41" spans="2:40" x14ac:dyDescent="0.25">
      <c r="B41" s="8">
        <v>39</v>
      </c>
      <c r="C41" s="8">
        <f ca="1">IF(E41&lt;&gt;0,SUM(1,MAX($C$2:C40)),0)</f>
        <v>0</v>
      </c>
      <c r="D41" s="8" t="s">
        <v>879</v>
      </c>
      <c r="E41" s="844">
        <f ca="1">IF(B41&gt;INDIRECT(SUBSTITUTE(D41," ","_")) ActivatedCounts,0,MATCH($G$2,INDIRECT(CONCATENATE("'",D41,"'!e",INDIRECT(SUBSTITUTE(D41," ","_")) StartPoint+SUM(F40),":$e$420")),0))</f>
        <v>0</v>
      </c>
      <c r="F41" s="8" t="str">
        <f ca="1">IF(B41&gt;INDIRECT(SUBSTITUTE(D41," ","_")) ActivatedCounts,"",SUM(E41,F40))</f>
        <v/>
      </c>
      <c r="G41" s="795" t="e">
        <f ca="1">INDEX(INDIRECT(CONCATENATE("'",D41,"'!e",INDIRECT(SUBSTITUTE(D41," ","_")) StartPoint,":$f$420")),F41,2)</f>
        <v>#VALUE!</v>
      </c>
      <c r="H41" s="798" t="e">
        <f ca="1">INDEX(INDIRECT(CONCATENATE("'",D41,"'!e",INDIRECT(SUBSTITUTE(D41," ","_")) StartPoint,":$h$420")),F41,3)</f>
        <v>#VALUE!</v>
      </c>
      <c r="I41" s="798" t="e">
        <f ca="1">INDEX(INDIRECT(CONCATENATE("'",D41,"'!e",INDIRECT(SUBSTITUTE(D41," ","_")) StartPoint,":$h$420")),F41,4)</f>
        <v>#VALUE!</v>
      </c>
      <c r="J41" s="798"/>
      <c r="K41" s="846">
        <f t="shared" ca="1" si="12"/>
        <v>0</v>
      </c>
      <c r="L41" s="847">
        <v>39</v>
      </c>
      <c r="M41" s="795" t="e">
        <f t="shared" ca="1" si="13"/>
        <v>#N/A</v>
      </c>
      <c r="N41" s="798"/>
      <c r="O41" s="848">
        <f t="shared" ca="1" si="4"/>
        <v>0</v>
      </c>
      <c r="P41" s="848" t="e">
        <f t="shared" ca="1" si="5"/>
        <v>#N/A</v>
      </c>
      <c r="R41" s="848">
        <v>39</v>
      </c>
      <c r="S41" s="848" t="str">
        <f t="shared" ca="1" si="6"/>
        <v/>
      </c>
      <c r="T41" s="848" t="str">
        <f t="shared" ca="1" si="14"/>
        <v/>
      </c>
      <c r="U41" s="850" t="str">
        <f t="shared" ca="1" si="8"/>
        <v/>
      </c>
      <c r="V41" s="7"/>
      <c r="W41" s="851" t="str">
        <f t="shared" ca="1" si="9"/>
        <v/>
      </c>
      <c r="X41" s="1580" t="str">
        <f t="shared" ca="1" si="10"/>
        <v/>
      </c>
      <c r="Y41" s="852" t="str">
        <f ca="1">'Action Plan finance'!I94</f>
        <v/>
      </c>
      <c r="Z41" s="1494" t="str">
        <f t="shared" ca="1" si="15"/>
        <v/>
      </c>
      <c r="AA41" s="1494" t="str">
        <f t="shared" ca="1" si="16"/>
        <v/>
      </c>
      <c r="AN41" s="5557" t="s">
        <v>3253</v>
      </c>
    </row>
    <row r="42" spans="2:40" x14ac:dyDescent="0.25">
      <c r="B42" s="8">
        <v>40</v>
      </c>
      <c r="C42" s="8">
        <f ca="1">IF(E42&lt;&gt;0,SUM(1,MAX($C$2:C41)),0)</f>
        <v>0</v>
      </c>
      <c r="D42" s="8" t="s">
        <v>879</v>
      </c>
      <c r="E42" s="844">
        <f ca="1">IF(B42&gt;INDIRECT(SUBSTITUTE(D42," ","_")) ActivatedCounts,0,MATCH($G$2,INDIRECT(CONCATENATE("'",D42,"'!e",INDIRECT(SUBSTITUTE(D42," ","_")) StartPoint+SUM(F41),":$e$420")),0))</f>
        <v>0</v>
      </c>
      <c r="F42" s="8" t="str">
        <f ca="1">IF(B42&gt;INDIRECT(SUBSTITUTE(D42," ","_")) ActivatedCounts,"",SUM(E42,F41))</f>
        <v/>
      </c>
      <c r="G42" s="795" t="e">
        <f ca="1">INDEX(INDIRECT(CONCATENATE("'",D42,"'!e",INDIRECT(SUBSTITUTE(D42," ","_")) StartPoint,":$f$420")),F42,2)</f>
        <v>#VALUE!</v>
      </c>
      <c r="H42" s="798" t="e">
        <f ca="1">INDEX(INDIRECT(CONCATENATE("'",D42,"'!e",INDIRECT(SUBSTITUTE(D42," ","_")) StartPoint,":$h$420")),F42,3)</f>
        <v>#VALUE!</v>
      </c>
      <c r="I42" s="798" t="e">
        <f ca="1">INDEX(INDIRECT(CONCATENATE("'",D42,"'!e",INDIRECT(SUBSTITUTE(D42," ","_")) StartPoint,":$h$420")),F42,4)</f>
        <v>#VALUE!</v>
      </c>
      <c r="J42" s="798"/>
      <c r="K42" s="846">
        <f t="shared" ca="1" si="12"/>
        <v>0</v>
      </c>
      <c r="L42" s="847">
        <v>40</v>
      </c>
      <c r="M42" s="795" t="e">
        <f t="shared" ca="1" si="13"/>
        <v>#N/A</v>
      </c>
      <c r="N42" s="798"/>
      <c r="O42" s="848">
        <f t="shared" ca="1" si="4"/>
        <v>0</v>
      </c>
      <c r="P42" s="848" t="e">
        <f t="shared" ca="1" si="5"/>
        <v>#N/A</v>
      </c>
      <c r="R42" s="848">
        <v>40</v>
      </c>
      <c r="S42" s="848" t="str">
        <f t="shared" ca="1" si="6"/>
        <v/>
      </c>
      <c r="T42" s="848" t="str">
        <f t="shared" ca="1" si="14"/>
        <v/>
      </c>
      <c r="U42" s="850" t="str">
        <f t="shared" ca="1" si="8"/>
        <v/>
      </c>
      <c r="V42" s="7"/>
      <c r="W42" s="851" t="str">
        <f t="shared" ca="1" si="9"/>
        <v/>
      </c>
      <c r="X42" s="1580" t="str">
        <f t="shared" ca="1" si="10"/>
        <v/>
      </c>
      <c r="Y42" s="852" t="str">
        <f ca="1">'Action Plan finance'!I95</f>
        <v/>
      </c>
      <c r="Z42" s="1494" t="str">
        <f t="shared" ca="1" si="15"/>
        <v/>
      </c>
      <c r="AA42" s="1494" t="str">
        <f t="shared" ca="1" si="16"/>
        <v/>
      </c>
      <c r="AN42" s="5557" t="s">
        <v>3254</v>
      </c>
    </row>
    <row r="43" spans="2:40" x14ac:dyDescent="0.25">
      <c r="B43" s="8">
        <v>41</v>
      </c>
      <c r="C43" s="8">
        <f ca="1">IF(E43&lt;&gt;0,SUM(1,MAX($C$2:C42)),0)</f>
        <v>0</v>
      </c>
      <c r="D43" s="8" t="s">
        <v>879</v>
      </c>
      <c r="E43" s="844">
        <f ca="1">IF(B43&gt;INDIRECT(SUBSTITUTE(D43," ","_")) ActivatedCounts,0,MATCH($G$2,INDIRECT(CONCATENATE("'",D43,"'!e",INDIRECT(SUBSTITUTE(D43," ","_")) StartPoint+SUM(F42),":$e$420")),0))</f>
        <v>0</v>
      </c>
      <c r="F43" s="8" t="str">
        <f ca="1">IF(B43&gt;INDIRECT(SUBSTITUTE(D43," ","_")) ActivatedCounts,"",SUM(E43,F42))</f>
        <v/>
      </c>
      <c r="G43" s="795" t="e">
        <f ca="1">INDEX(INDIRECT(CONCATENATE("'",D43,"'!e",INDIRECT(SUBSTITUTE(D43," ","_")) StartPoint,":$f$420")),F43,2)</f>
        <v>#VALUE!</v>
      </c>
      <c r="H43" s="798" t="e">
        <f ca="1">INDEX(INDIRECT(CONCATENATE("'",D43,"'!e",INDIRECT(SUBSTITUTE(D43," ","_")) StartPoint,":$h$420")),F43,3)</f>
        <v>#VALUE!</v>
      </c>
      <c r="I43" s="798" t="e">
        <f ca="1">INDEX(INDIRECT(CONCATENATE("'",D43,"'!e",INDIRECT(SUBSTITUTE(D43," ","_")) StartPoint,":$h$420")),F43,4)</f>
        <v>#VALUE!</v>
      </c>
      <c r="J43" s="798"/>
      <c r="K43" s="846">
        <f t="shared" ca="1" si="12"/>
        <v>0</v>
      </c>
      <c r="L43" s="847">
        <v>41</v>
      </c>
      <c r="M43" s="795" t="e">
        <f t="shared" ca="1" si="13"/>
        <v>#N/A</v>
      </c>
      <c r="N43" s="798"/>
      <c r="O43" s="848">
        <f t="shared" ca="1" si="4"/>
        <v>0</v>
      </c>
      <c r="P43" s="848" t="e">
        <f t="shared" ca="1" si="5"/>
        <v>#N/A</v>
      </c>
      <c r="R43" s="848">
        <v>41</v>
      </c>
      <c r="S43" s="848" t="str">
        <f t="shared" ca="1" si="6"/>
        <v/>
      </c>
      <c r="T43" s="848" t="str">
        <f t="shared" ca="1" si="14"/>
        <v/>
      </c>
      <c r="U43" s="850" t="str">
        <f t="shared" ca="1" si="8"/>
        <v/>
      </c>
      <c r="V43" s="7"/>
      <c r="W43" s="851" t="str">
        <f t="shared" ca="1" si="9"/>
        <v/>
      </c>
      <c r="X43" s="1580" t="str">
        <f t="shared" ca="1" si="10"/>
        <v/>
      </c>
      <c r="Y43" s="852" t="str">
        <f ca="1">'Action Plan finance'!I96</f>
        <v/>
      </c>
      <c r="Z43" s="1494" t="str">
        <f t="shared" ca="1" si="15"/>
        <v/>
      </c>
      <c r="AA43" s="1494" t="str">
        <f t="shared" ca="1" si="16"/>
        <v/>
      </c>
      <c r="AN43" s="5557" t="s">
        <v>3255</v>
      </c>
    </row>
    <row r="44" spans="2:40" x14ac:dyDescent="0.25">
      <c r="B44" s="8">
        <v>42</v>
      </c>
      <c r="C44" s="8">
        <f ca="1">IF(E44&lt;&gt;0,SUM(1,MAX($C$2:C43)),0)</f>
        <v>0</v>
      </c>
      <c r="D44" s="8" t="s">
        <v>879</v>
      </c>
      <c r="E44" s="844">
        <f ca="1">IF(B44&gt;INDIRECT(SUBSTITUTE(D44," ","_")) ActivatedCounts,0,MATCH($G$2,INDIRECT(CONCATENATE("'",D44,"'!e",INDIRECT(SUBSTITUTE(D44," ","_")) StartPoint+SUM(F43),":$e$420")),0))</f>
        <v>0</v>
      </c>
      <c r="F44" s="8" t="str">
        <f ca="1">IF(B44&gt;INDIRECT(SUBSTITUTE(D44," ","_")) ActivatedCounts,"",SUM(E44,F43))</f>
        <v/>
      </c>
      <c r="G44" s="795" t="e">
        <f ca="1">INDEX(INDIRECT(CONCATENATE("'",D44,"'!e",INDIRECT(SUBSTITUTE(D44," ","_")) StartPoint,":$f$420")),F44,2)</f>
        <v>#VALUE!</v>
      </c>
      <c r="H44" s="798" t="e">
        <f ca="1">INDEX(INDIRECT(CONCATENATE("'",D44,"'!e",INDIRECT(SUBSTITUTE(D44," ","_")) StartPoint,":$h$420")),F44,3)</f>
        <v>#VALUE!</v>
      </c>
      <c r="I44" s="798" t="e">
        <f ca="1">INDEX(INDIRECT(CONCATENATE("'",D44,"'!e",INDIRECT(SUBSTITUTE(D44," ","_")) StartPoint,":$h$420")),F44,4)</f>
        <v>#VALUE!</v>
      </c>
      <c r="J44" s="798"/>
      <c r="K44" s="846">
        <f t="shared" ca="1" si="12"/>
        <v>0</v>
      </c>
      <c r="L44" s="847">
        <v>42</v>
      </c>
      <c r="M44" s="795" t="e">
        <f t="shared" ca="1" si="13"/>
        <v>#N/A</v>
      </c>
      <c r="N44" s="798"/>
      <c r="O44" s="848">
        <f t="shared" ca="1" si="4"/>
        <v>0</v>
      </c>
      <c r="P44" s="848" t="e">
        <f t="shared" ca="1" si="5"/>
        <v>#N/A</v>
      </c>
      <c r="R44" s="848">
        <v>42</v>
      </c>
      <c r="S44" s="848" t="str">
        <f t="shared" ca="1" si="6"/>
        <v/>
      </c>
      <c r="T44" s="848" t="str">
        <f t="shared" ca="1" si="14"/>
        <v/>
      </c>
      <c r="U44" s="850" t="str">
        <f t="shared" ca="1" si="8"/>
        <v/>
      </c>
      <c r="V44" s="7"/>
      <c r="W44" s="851" t="str">
        <f t="shared" ca="1" si="9"/>
        <v/>
      </c>
      <c r="X44" s="1580" t="str">
        <f t="shared" ca="1" si="10"/>
        <v/>
      </c>
      <c r="Y44" s="852" t="str">
        <f ca="1">'Action Plan finance'!I97</f>
        <v/>
      </c>
      <c r="Z44" s="1494" t="str">
        <f t="shared" ca="1" si="15"/>
        <v/>
      </c>
      <c r="AA44" s="1494" t="str">
        <f t="shared" ca="1" si="16"/>
        <v/>
      </c>
      <c r="AN44" s="5557" t="s">
        <v>3256</v>
      </c>
    </row>
    <row r="45" spans="2:40" x14ac:dyDescent="0.25">
      <c r="B45" s="8">
        <v>43</v>
      </c>
      <c r="C45" s="8">
        <f ca="1">IF(E45&lt;&gt;0,SUM(1,MAX($C$2:C44)),0)</f>
        <v>0</v>
      </c>
      <c r="D45" s="8" t="s">
        <v>879</v>
      </c>
      <c r="E45" s="844">
        <f ca="1">IF(B45&gt;INDIRECT(SUBSTITUTE(D45," ","_")) ActivatedCounts,0,MATCH($G$2,INDIRECT(CONCATENATE("'",D45,"'!e",INDIRECT(SUBSTITUTE(D45," ","_")) StartPoint+SUM(F44),":$e$420")),0))</f>
        <v>0</v>
      </c>
      <c r="F45" s="8" t="str">
        <f ca="1">IF(B45&gt;INDIRECT(SUBSTITUTE(D45," ","_")) ActivatedCounts,"",SUM(E45,F44))</f>
        <v/>
      </c>
      <c r="G45" s="795" t="e">
        <f ca="1">INDEX(INDIRECT(CONCATENATE("'",D45,"'!e",INDIRECT(SUBSTITUTE(D45," ","_")) StartPoint,":$f$420")),F45,2)</f>
        <v>#VALUE!</v>
      </c>
      <c r="H45" s="798" t="e">
        <f ca="1">INDEX(INDIRECT(CONCATENATE("'",D45,"'!e",INDIRECT(SUBSTITUTE(D45," ","_")) StartPoint,":$h$420")),F45,3)</f>
        <v>#VALUE!</v>
      </c>
      <c r="I45" s="798" t="e">
        <f ca="1">INDEX(INDIRECT(CONCATENATE("'",D45,"'!e",INDIRECT(SUBSTITUTE(D45," ","_")) StartPoint,":$h$420")),F45,4)</f>
        <v>#VALUE!</v>
      </c>
      <c r="J45" s="798"/>
      <c r="K45" s="846">
        <f t="shared" ca="1" si="12"/>
        <v>0</v>
      </c>
      <c r="L45" s="847">
        <v>43</v>
      </c>
      <c r="M45" s="795" t="e">
        <f t="shared" ca="1" si="13"/>
        <v>#N/A</v>
      </c>
      <c r="N45" s="798"/>
      <c r="O45" s="848">
        <f t="shared" ca="1" si="4"/>
        <v>0</v>
      </c>
      <c r="P45" s="848" t="e">
        <f t="shared" ca="1" si="5"/>
        <v>#N/A</v>
      </c>
      <c r="R45" s="848">
        <v>43</v>
      </c>
      <c r="S45" s="848" t="str">
        <f t="shared" ca="1" si="6"/>
        <v/>
      </c>
      <c r="T45" s="848" t="str">
        <f t="shared" ca="1" si="14"/>
        <v/>
      </c>
      <c r="U45" s="850" t="str">
        <f t="shared" ca="1" si="8"/>
        <v/>
      </c>
      <c r="V45" s="7"/>
      <c r="W45" s="851" t="str">
        <f t="shared" ca="1" si="9"/>
        <v/>
      </c>
      <c r="X45" s="1580" t="str">
        <f t="shared" ca="1" si="10"/>
        <v/>
      </c>
      <c r="Y45" s="852" t="str">
        <f ca="1">'Action Plan finance'!I98</f>
        <v/>
      </c>
      <c r="Z45" s="1494" t="str">
        <f t="shared" ca="1" si="15"/>
        <v/>
      </c>
      <c r="AA45" s="1494" t="str">
        <f t="shared" ca="1" si="16"/>
        <v/>
      </c>
      <c r="AN45" s="5557" t="s">
        <v>3257</v>
      </c>
    </row>
    <row r="46" spans="2:40" x14ac:dyDescent="0.25">
      <c r="B46" s="8">
        <v>44</v>
      </c>
      <c r="C46" s="8">
        <f ca="1">IF(E46&lt;&gt;0,SUM(1,MAX($C$2:C45)),0)</f>
        <v>0</v>
      </c>
      <c r="D46" s="8" t="s">
        <v>879</v>
      </c>
      <c r="E46" s="844">
        <f ca="1">IF(B46&gt;INDIRECT(SUBSTITUTE(D46," ","_")) ActivatedCounts,0,MATCH($G$2,INDIRECT(CONCATENATE("'",D46,"'!e",INDIRECT(SUBSTITUTE(D46," ","_")) StartPoint+SUM(F45),":$e$420")),0))</f>
        <v>0</v>
      </c>
      <c r="F46" s="8" t="str">
        <f ca="1">IF(B46&gt;INDIRECT(SUBSTITUTE(D46," ","_")) ActivatedCounts,"",SUM(E46,F45))</f>
        <v/>
      </c>
      <c r="G46" s="795" t="e">
        <f ca="1">INDEX(INDIRECT(CONCATENATE("'",D46,"'!e",INDIRECT(SUBSTITUTE(D46," ","_")) StartPoint,":$f$420")),F46,2)</f>
        <v>#VALUE!</v>
      </c>
      <c r="H46" s="798" t="e">
        <f ca="1">INDEX(INDIRECT(CONCATENATE("'",D46,"'!e",INDIRECT(SUBSTITUTE(D46," ","_")) StartPoint,":$h$420")),F46,3)</f>
        <v>#VALUE!</v>
      </c>
      <c r="I46" s="798" t="e">
        <f ca="1">INDEX(INDIRECT(CONCATENATE("'",D46,"'!e",INDIRECT(SUBSTITUTE(D46," ","_")) StartPoint,":$h$420")),F46,4)</f>
        <v>#VALUE!</v>
      </c>
      <c r="J46" s="798"/>
      <c r="K46" s="846">
        <f t="shared" ca="1" si="12"/>
        <v>0</v>
      </c>
      <c r="L46" s="847">
        <v>44</v>
      </c>
      <c r="M46" s="795" t="e">
        <f t="shared" ca="1" si="13"/>
        <v>#N/A</v>
      </c>
      <c r="N46" s="798"/>
      <c r="O46" s="848">
        <f t="shared" ca="1" si="4"/>
        <v>0</v>
      </c>
      <c r="P46" s="848" t="e">
        <f t="shared" ca="1" si="5"/>
        <v>#N/A</v>
      </c>
      <c r="R46" s="848">
        <v>44</v>
      </c>
      <c r="S46" s="848" t="str">
        <f t="shared" ca="1" si="6"/>
        <v/>
      </c>
      <c r="T46" s="848" t="str">
        <f t="shared" ca="1" si="14"/>
        <v/>
      </c>
      <c r="U46" s="850" t="str">
        <f t="shared" ca="1" si="8"/>
        <v/>
      </c>
      <c r="V46" s="7"/>
      <c r="W46" s="851" t="str">
        <f t="shared" ca="1" si="9"/>
        <v/>
      </c>
      <c r="X46" s="1580" t="str">
        <f t="shared" ca="1" si="10"/>
        <v/>
      </c>
      <c r="Y46" s="852" t="str">
        <f ca="1">'Action Plan finance'!I99</f>
        <v/>
      </c>
      <c r="Z46" s="1494" t="str">
        <f t="shared" ca="1" si="15"/>
        <v/>
      </c>
      <c r="AA46" s="1494" t="str">
        <f t="shared" ca="1" si="16"/>
        <v/>
      </c>
      <c r="AN46" s="5557" t="s">
        <v>3258</v>
      </c>
    </row>
    <row r="47" spans="2:40" x14ac:dyDescent="0.25">
      <c r="B47" s="8">
        <v>45</v>
      </c>
      <c r="C47" s="8">
        <f ca="1">IF(E47&lt;&gt;0,SUM(1,MAX($C$2:C46)),0)</f>
        <v>0</v>
      </c>
      <c r="D47" s="8" t="s">
        <v>879</v>
      </c>
      <c r="E47" s="844">
        <f ca="1">IF(B47&gt;INDIRECT(SUBSTITUTE(D47," ","_")) ActivatedCounts,0,MATCH($G$2,INDIRECT(CONCATENATE("'",D47,"'!e",INDIRECT(SUBSTITUTE(D47," ","_")) StartPoint+SUM(F46),":$e$420")),0))</f>
        <v>0</v>
      </c>
      <c r="F47" s="8" t="str">
        <f ca="1">IF(B47&gt;INDIRECT(SUBSTITUTE(D47," ","_")) ActivatedCounts,"",SUM(E47,F46))</f>
        <v/>
      </c>
      <c r="G47" s="795" t="e">
        <f ca="1">INDEX(INDIRECT(CONCATENATE("'",D47,"'!e",INDIRECT(SUBSTITUTE(D47," ","_")) StartPoint,":$f$420")),F47,2)</f>
        <v>#VALUE!</v>
      </c>
      <c r="H47" s="798" t="e">
        <f ca="1">INDEX(INDIRECT(CONCATENATE("'",D47,"'!e",INDIRECT(SUBSTITUTE(D47," ","_")) StartPoint,":$h$420")),F47,3)</f>
        <v>#VALUE!</v>
      </c>
      <c r="I47" s="798" t="e">
        <f ca="1">INDEX(INDIRECT(CONCATENATE("'",D47,"'!e",INDIRECT(SUBSTITUTE(D47," ","_")) StartPoint,":$h$420")),F47,4)</f>
        <v>#VALUE!</v>
      </c>
      <c r="J47" s="798"/>
      <c r="K47" s="846">
        <f t="shared" ca="1" si="12"/>
        <v>0</v>
      </c>
      <c r="L47" s="847">
        <v>45</v>
      </c>
      <c r="M47" s="795" t="e">
        <f t="shared" ca="1" si="13"/>
        <v>#N/A</v>
      </c>
      <c r="N47" s="798"/>
      <c r="O47" s="848">
        <f t="shared" ca="1" si="4"/>
        <v>0</v>
      </c>
      <c r="P47" s="848" t="e">
        <f t="shared" ca="1" si="5"/>
        <v>#N/A</v>
      </c>
      <c r="R47" s="848">
        <v>45</v>
      </c>
      <c r="S47" s="848" t="str">
        <f t="shared" ca="1" si="6"/>
        <v/>
      </c>
      <c r="T47" s="848" t="str">
        <f t="shared" ca="1" si="14"/>
        <v/>
      </c>
      <c r="U47" s="850" t="str">
        <f t="shared" ca="1" si="8"/>
        <v/>
      </c>
      <c r="V47" s="7"/>
      <c r="W47" s="851" t="str">
        <f t="shared" ca="1" si="9"/>
        <v/>
      </c>
      <c r="X47" s="1580" t="str">
        <f t="shared" ca="1" si="10"/>
        <v/>
      </c>
      <c r="Y47" s="852" t="str">
        <f ca="1">'Action Plan finance'!I100</f>
        <v/>
      </c>
      <c r="Z47" s="1494" t="str">
        <f t="shared" ca="1" si="15"/>
        <v/>
      </c>
      <c r="AA47" s="1494" t="str">
        <f t="shared" ca="1" si="16"/>
        <v/>
      </c>
      <c r="AN47" s="5557" t="s">
        <v>3259</v>
      </c>
    </row>
    <row r="48" spans="2:40" x14ac:dyDescent="0.25">
      <c r="B48" s="8">
        <v>46</v>
      </c>
      <c r="C48" s="8">
        <f ca="1">IF(E48&lt;&gt;0,SUM(1,MAX($C$2:C47)),0)</f>
        <v>0</v>
      </c>
      <c r="D48" s="8" t="s">
        <v>879</v>
      </c>
      <c r="E48" s="844">
        <f ca="1">IF(B48&gt;INDIRECT(SUBSTITUTE(D48," ","_")) ActivatedCounts,0,MATCH($G$2,INDIRECT(CONCATENATE("'",D48,"'!e",INDIRECT(SUBSTITUTE(D48," ","_")) StartPoint+SUM(F47),":$e$420")),0))</f>
        <v>0</v>
      </c>
      <c r="F48" s="8" t="str">
        <f ca="1">IF(B48&gt;INDIRECT(SUBSTITUTE(D48," ","_")) ActivatedCounts,"",SUM(E48,F47))</f>
        <v/>
      </c>
      <c r="G48" s="795" t="e">
        <f ca="1">INDEX(INDIRECT(CONCATENATE("'",D48,"'!e",INDIRECT(SUBSTITUTE(D48," ","_")) StartPoint,":$f$420")),F48,2)</f>
        <v>#VALUE!</v>
      </c>
      <c r="H48" s="798" t="e">
        <f ca="1">INDEX(INDIRECT(CONCATENATE("'",D48,"'!e",INDIRECT(SUBSTITUTE(D48," ","_")) StartPoint,":$h$420")),F48,3)</f>
        <v>#VALUE!</v>
      </c>
      <c r="I48" s="798" t="e">
        <f ca="1">INDEX(INDIRECT(CONCATENATE("'",D48,"'!e",INDIRECT(SUBSTITUTE(D48," ","_")) StartPoint,":$h$420")),F48,4)</f>
        <v>#VALUE!</v>
      </c>
      <c r="J48" s="798"/>
      <c r="K48" s="846">
        <f t="shared" ca="1" si="12"/>
        <v>0</v>
      </c>
      <c r="L48" s="847">
        <v>46</v>
      </c>
      <c r="M48" s="795" t="e">
        <f t="shared" ca="1" si="13"/>
        <v>#N/A</v>
      </c>
      <c r="N48" s="798"/>
      <c r="O48" s="848">
        <f t="shared" ca="1" si="4"/>
        <v>0</v>
      </c>
      <c r="P48" s="848" t="e">
        <f t="shared" ca="1" si="5"/>
        <v>#N/A</v>
      </c>
      <c r="R48" s="848">
        <v>46</v>
      </c>
      <c r="S48" s="848" t="str">
        <f t="shared" ca="1" si="6"/>
        <v/>
      </c>
      <c r="T48" s="848" t="str">
        <f t="shared" ca="1" si="14"/>
        <v/>
      </c>
      <c r="U48" s="850" t="str">
        <f t="shared" ca="1" si="8"/>
        <v/>
      </c>
      <c r="V48" s="7"/>
      <c r="W48" s="851" t="str">
        <f t="shared" ca="1" si="9"/>
        <v/>
      </c>
      <c r="X48" s="1580" t="str">
        <f t="shared" ca="1" si="10"/>
        <v/>
      </c>
      <c r="Y48" s="852" t="str">
        <f ca="1">'Action Plan finance'!I101</f>
        <v/>
      </c>
      <c r="Z48" s="1494" t="str">
        <f t="shared" ca="1" si="15"/>
        <v/>
      </c>
      <c r="AA48" s="1494" t="str">
        <f t="shared" ca="1" si="16"/>
        <v/>
      </c>
      <c r="AN48" s="5557" t="s">
        <v>3260</v>
      </c>
    </row>
    <row r="49" spans="2:40" x14ac:dyDescent="0.25">
      <c r="B49" s="8">
        <v>47</v>
      </c>
      <c r="C49" s="8">
        <f ca="1">IF(E49&lt;&gt;0,SUM(1,MAX($C$2:C48)),0)</f>
        <v>0</v>
      </c>
      <c r="D49" s="8" t="s">
        <v>879</v>
      </c>
      <c r="E49" s="844">
        <f ca="1">IF(B49&gt;INDIRECT(SUBSTITUTE(D49," ","_")) ActivatedCounts,0,MATCH($G$2,INDIRECT(CONCATENATE("'",D49,"'!e",INDIRECT(SUBSTITUTE(D49," ","_")) StartPoint+SUM(F48),":$e$420")),0))</f>
        <v>0</v>
      </c>
      <c r="F49" s="8" t="str">
        <f ca="1">IF(B49&gt;INDIRECT(SUBSTITUTE(D49," ","_")) ActivatedCounts,"",SUM(E49,F48))</f>
        <v/>
      </c>
      <c r="G49" s="795" t="e">
        <f ca="1">INDEX(INDIRECT(CONCATENATE("'",D49,"'!e",INDIRECT(SUBSTITUTE(D49," ","_")) StartPoint,":$f$420")),F49,2)</f>
        <v>#VALUE!</v>
      </c>
      <c r="H49" s="798" t="e">
        <f ca="1">INDEX(INDIRECT(CONCATENATE("'",D49,"'!e",INDIRECT(SUBSTITUTE(D49," ","_")) StartPoint,":$h$420")),F49,3)</f>
        <v>#VALUE!</v>
      </c>
      <c r="I49" s="798" t="e">
        <f ca="1">INDEX(INDIRECT(CONCATENATE("'",D49,"'!e",INDIRECT(SUBSTITUTE(D49," ","_")) StartPoint,":$h$420")),F49,4)</f>
        <v>#VALUE!</v>
      </c>
      <c r="J49" s="798"/>
      <c r="K49" s="846">
        <f t="shared" ca="1" si="12"/>
        <v>0</v>
      </c>
      <c r="L49" s="847">
        <v>47</v>
      </c>
      <c r="M49" s="795" t="e">
        <f t="shared" ca="1" si="13"/>
        <v>#N/A</v>
      </c>
      <c r="N49" s="798"/>
      <c r="O49" s="848">
        <f t="shared" ca="1" si="4"/>
        <v>0</v>
      </c>
      <c r="P49" s="848" t="e">
        <f t="shared" ca="1" si="5"/>
        <v>#N/A</v>
      </c>
      <c r="R49" s="848">
        <v>47</v>
      </c>
      <c r="S49" s="848" t="str">
        <f t="shared" ca="1" si="6"/>
        <v/>
      </c>
      <c r="T49" s="848" t="str">
        <f t="shared" ca="1" si="14"/>
        <v/>
      </c>
      <c r="U49" s="850" t="str">
        <f t="shared" ca="1" si="8"/>
        <v/>
      </c>
      <c r="V49" s="7"/>
      <c r="W49" s="851" t="str">
        <f t="shared" ca="1" si="9"/>
        <v/>
      </c>
      <c r="X49" s="1580" t="str">
        <f t="shared" ca="1" si="10"/>
        <v/>
      </c>
      <c r="Y49" s="852" t="str">
        <f ca="1">'Action Plan finance'!I102</f>
        <v/>
      </c>
      <c r="Z49" s="1494" t="str">
        <f t="shared" ca="1" si="15"/>
        <v/>
      </c>
      <c r="AA49" s="1494" t="str">
        <f t="shared" ca="1" si="16"/>
        <v/>
      </c>
      <c r="AN49" s="5557" t="s">
        <v>3261</v>
      </c>
    </row>
    <row r="50" spans="2:40" x14ac:dyDescent="0.25">
      <c r="B50" s="8">
        <v>48</v>
      </c>
      <c r="C50" s="8">
        <f ca="1">IF(E50&lt;&gt;0,SUM(1,MAX($C$2:C49)),0)</f>
        <v>0</v>
      </c>
      <c r="D50" s="8" t="s">
        <v>879</v>
      </c>
      <c r="E50" s="844">
        <f ca="1">IF(B50&gt;INDIRECT(SUBSTITUTE(D50," ","_")) ActivatedCounts,0,MATCH($G$2,INDIRECT(CONCATENATE("'",D50,"'!e",INDIRECT(SUBSTITUTE(D50," ","_")) StartPoint+SUM(F49),":$e$420")),0))</f>
        <v>0</v>
      </c>
      <c r="F50" s="8" t="str">
        <f ca="1">IF(B50&gt;INDIRECT(SUBSTITUTE(D50," ","_")) ActivatedCounts,"",SUM(E50,F49))</f>
        <v/>
      </c>
      <c r="G50" s="795" t="e">
        <f ca="1">INDEX(INDIRECT(CONCATENATE("'",D50,"'!e",INDIRECT(SUBSTITUTE(D50," ","_")) StartPoint,":$f$420")),F50,2)</f>
        <v>#VALUE!</v>
      </c>
      <c r="H50" s="798" t="e">
        <f ca="1">INDEX(INDIRECT(CONCATENATE("'",D50,"'!e",INDIRECT(SUBSTITUTE(D50," ","_")) StartPoint,":$h$420")),F50,3)</f>
        <v>#VALUE!</v>
      </c>
      <c r="I50" s="798" t="e">
        <f ca="1">INDEX(INDIRECT(CONCATENATE("'",D50,"'!e",INDIRECT(SUBSTITUTE(D50," ","_")) StartPoint,":$h$420")),F50,4)</f>
        <v>#VALUE!</v>
      </c>
      <c r="J50" s="798"/>
      <c r="K50" s="846">
        <f t="shared" ca="1" si="12"/>
        <v>0</v>
      </c>
      <c r="L50" s="847">
        <v>48</v>
      </c>
      <c r="M50" s="795" t="e">
        <f t="shared" ca="1" si="13"/>
        <v>#N/A</v>
      </c>
      <c r="N50" s="798"/>
      <c r="O50" s="848">
        <f t="shared" ca="1" si="4"/>
        <v>0</v>
      </c>
      <c r="P50" s="848" t="e">
        <f t="shared" ca="1" si="5"/>
        <v>#N/A</v>
      </c>
      <c r="R50" s="848">
        <v>48</v>
      </c>
      <c r="S50" s="848" t="str">
        <f t="shared" ca="1" si="6"/>
        <v/>
      </c>
      <c r="T50" s="848" t="str">
        <f t="shared" ca="1" si="14"/>
        <v/>
      </c>
      <c r="U50" s="850" t="str">
        <f t="shared" ca="1" si="8"/>
        <v/>
      </c>
      <c r="V50" s="7"/>
      <c r="W50" s="851" t="str">
        <f t="shared" ca="1" si="9"/>
        <v/>
      </c>
      <c r="X50" s="1580" t="str">
        <f t="shared" ca="1" si="10"/>
        <v/>
      </c>
      <c r="Y50" s="852" t="str">
        <f ca="1">'Action Plan finance'!I103</f>
        <v/>
      </c>
      <c r="Z50" s="1494" t="str">
        <f t="shared" ca="1" si="15"/>
        <v/>
      </c>
      <c r="AA50" s="1494" t="str">
        <f t="shared" ca="1" si="16"/>
        <v/>
      </c>
      <c r="AN50" s="5557" t="s">
        <v>3262</v>
      </c>
    </row>
    <row r="51" spans="2:40" x14ac:dyDescent="0.25">
      <c r="B51" s="8">
        <v>49</v>
      </c>
      <c r="C51" s="8">
        <f ca="1">IF(E51&lt;&gt;0,SUM(1,MAX($C$2:C50)),0)</f>
        <v>0</v>
      </c>
      <c r="D51" s="8" t="s">
        <v>879</v>
      </c>
      <c r="E51" s="844">
        <f ca="1">IF(B51&gt;INDIRECT(SUBSTITUTE(D51," ","_")) ActivatedCounts,0,MATCH($G$2,INDIRECT(CONCATENATE("'",D51,"'!e",INDIRECT(SUBSTITUTE(D51," ","_")) StartPoint+SUM(F50),":$e$420")),0))</f>
        <v>0</v>
      </c>
      <c r="F51" s="8" t="str">
        <f ca="1">IF(B51&gt;INDIRECT(SUBSTITUTE(D51," ","_")) ActivatedCounts,"",SUM(E51,F50))</f>
        <v/>
      </c>
      <c r="G51" s="795" t="e">
        <f ca="1">INDEX(INDIRECT(CONCATENATE("'",D51,"'!e",INDIRECT(SUBSTITUTE(D51," ","_")) StartPoint,":$f$420")),F51,2)</f>
        <v>#VALUE!</v>
      </c>
      <c r="H51" s="798" t="e">
        <f ca="1">INDEX(INDIRECT(CONCATENATE("'",D51,"'!e",INDIRECT(SUBSTITUTE(D51," ","_")) StartPoint,":$h$420")),F51,3)</f>
        <v>#VALUE!</v>
      </c>
      <c r="I51" s="798" t="e">
        <f ca="1">INDEX(INDIRECT(CONCATENATE("'",D51,"'!e",INDIRECT(SUBSTITUTE(D51," ","_")) StartPoint,":$h$420")),F51,4)</f>
        <v>#VALUE!</v>
      </c>
      <c r="J51" s="798"/>
      <c r="K51" s="846">
        <f t="shared" ca="1" si="12"/>
        <v>0</v>
      </c>
      <c r="L51" s="847">
        <v>49</v>
      </c>
      <c r="M51" s="795" t="e">
        <f t="shared" ca="1" si="13"/>
        <v>#N/A</v>
      </c>
      <c r="N51" s="798"/>
      <c r="O51" s="848">
        <f t="shared" ca="1" si="4"/>
        <v>0</v>
      </c>
      <c r="P51" s="848" t="e">
        <f t="shared" ca="1" si="5"/>
        <v>#N/A</v>
      </c>
      <c r="R51" s="848">
        <v>49</v>
      </c>
      <c r="S51" s="848" t="str">
        <f t="shared" ca="1" si="6"/>
        <v/>
      </c>
      <c r="T51" s="848" t="str">
        <f t="shared" ca="1" si="14"/>
        <v/>
      </c>
      <c r="U51" s="850" t="str">
        <f t="shared" ca="1" si="8"/>
        <v/>
      </c>
      <c r="V51" s="7"/>
      <c r="W51" s="851" t="str">
        <f t="shared" ca="1" si="9"/>
        <v/>
      </c>
      <c r="X51" s="1580" t="str">
        <f t="shared" ca="1" si="10"/>
        <v/>
      </c>
      <c r="Y51" s="852" t="str">
        <f ca="1">'Action Plan finance'!I104</f>
        <v/>
      </c>
      <c r="Z51" s="1494" t="str">
        <f t="shared" ca="1" si="15"/>
        <v/>
      </c>
      <c r="AA51" s="1494" t="str">
        <f t="shared" ca="1" si="16"/>
        <v/>
      </c>
      <c r="AN51" s="5557" t="s">
        <v>3263</v>
      </c>
    </row>
    <row r="52" spans="2:40" x14ac:dyDescent="0.25">
      <c r="B52" s="8">
        <v>50</v>
      </c>
      <c r="C52" s="8">
        <f ca="1">IF(E52&lt;&gt;0,SUM(1,MAX($C$2:C51)),0)</f>
        <v>0</v>
      </c>
      <c r="D52" s="8" t="s">
        <v>879</v>
      </c>
      <c r="E52" s="844">
        <f ca="1">IF(B52&gt;INDIRECT(SUBSTITUTE(D52," ","_")) ActivatedCounts,0,MATCH($G$2,INDIRECT(CONCATENATE("'",D52,"'!e",INDIRECT(SUBSTITUTE(D52," ","_")) StartPoint+SUM(F51),":$e$420")),0))</f>
        <v>0</v>
      </c>
      <c r="F52" s="8" t="str">
        <f ca="1">IF(B52&gt;INDIRECT(SUBSTITUTE(D52," ","_")) ActivatedCounts,"",SUM(E52,F51))</f>
        <v/>
      </c>
      <c r="G52" s="795" t="e">
        <f ca="1">INDEX(INDIRECT(CONCATENATE("'",D52,"'!e",INDIRECT(SUBSTITUTE(D52," ","_")) StartPoint,":$f$420")),F52,2)</f>
        <v>#VALUE!</v>
      </c>
      <c r="H52" s="798" t="e">
        <f ca="1">INDEX(INDIRECT(CONCATENATE("'",D52,"'!e",INDIRECT(SUBSTITUTE(D52," ","_")) StartPoint,":$h$420")),F52,3)</f>
        <v>#VALUE!</v>
      </c>
      <c r="I52" s="798" t="e">
        <f ca="1">INDEX(INDIRECT(CONCATENATE("'",D52,"'!e",INDIRECT(SUBSTITUTE(D52," ","_")) StartPoint,":$h$420")),F52,4)</f>
        <v>#VALUE!</v>
      </c>
      <c r="J52" s="798"/>
      <c r="K52" s="846">
        <f t="shared" ca="1" si="12"/>
        <v>0</v>
      </c>
      <c r="L52" s="847">
        <v>50</v>
      </c>
      <c r="M52" s="795" t="e">
        <f t="shared" ca="1" si="13"/>
        <v>#N/A</v>
      </c>
      <c r="N52" s="798"/>
      <c r="O52" s="848">
        <f t="shared" ca="1" si="4"/>
        <v>0</v>
      </c>
      <c r="P52" s="848" t="e">
        <f t="shared" ca="1" si="5"/>
        <v>#N/A</v>
      </c>
      <c r="R52" s="848">
        <v>50</v>
      </c>
      <c r="S52" s="848" t="str">
        <f t="shared" ca="1" si="6"/>
        <v/>
      </c>
      <c r="T52" s="848" t="str">
        <f t="shared" ca="1" si="14"/>
        <v/>
      </c>
      <c r="U52" s="850" t="str">
        <f t="shared" ca="1" si="8"/>
        <v/>
      </c>
      <c r="V52" s="7"/>
      <c r="W52" s="851" t="str">
        <f t="shared" ca="1" si="9"/>
        <v/>
      </c>
      <c r="X52" s="1580" t="str">
        <f t="shared" ca="1" si="10"/>
        <v/>
      </c>
      <c r="Y52" s="852" t="str">
        <f ca="1">'Action Plan finance'!I105</f>
        <v/>
      </c>
      <c r="Z52" s="1494" t="str">
        <f t="shared" ca="1" si="15"/>
        <v/>
      </c>
      <c r="AA52" s="1494" t="str">
        <f t="shared" ca="1" si="16"/>
        <v/>
      </c>
      <c r="AN52" s="5557" t="s">
        <v>3264</v>
      </c>
    </row>
    <row r="53" spans="2:40" x14ac:dyDescent="0.25">
      <c r="B53" s="8">
        <v>1</v>
      </c>
      <c r="C53" s="8">
        <f ca="1">IF(E53&lt;&gt;0,SUM(1,MAX($C$2:C52)),0)</f>
        <v>1</v>
      </c>
      <c r="D53" s="8" t="s">
        <v>880</v>
      </c>
      <c r="E53" s="844">
        <f ca="1">IF(B53&gt;INDIRECT(SUBSTITUTE(D53," ","_")) ActivatedCounts,0,MATCH($G$2,INDIRECT(CONCATENATE("'",D53,"'!e",INDIRECT(SUBSTITUTE(D53," ","_")) StartPoint+SUM(F52),":$e$500")),0))</f>
        <v>2</v>
      </c>
      <c r="F53" s="8">
        <f ca="1">IF(B53&gt;INDIRECT(SUBSTITUTE(D53," ","_")) ActivatedCounts,"",SUM(E53,F52))</f>
        <v>2</v>
      </c>
      <c r="G53" s="795" t="str">
        <f ca="1">INDEX(INDIRECT(CONCATENATE("'",D53,"'!e",INDIRECT(SUBSTITUTE(D53," ","_")) StartPoint,":$f$500")),F53,2)</f>
        <v>Household survey to assess wastewater services</v>
      </c>
      <c r="H53" s="798">
        <f ca="1">INDEX(INDIRECT(CONCATENATE("'",D53,"'!e",INDIRECT(SUBSTITUTE(D53," ","_")) StartPoint,":$h$420")),F53,3)</f>
        <v>0</v>
      </c>
      <c r="I53" s="798">
        <f ca="1">INDEX(INDIRECT(CONCATENATE("'",D53,"'!e",INDIRECT(SUBSTITUTE(D53," ","_")) StartPoint,":$h$420")),F53,4)</f>
        <v>0</v>
      </c>
      <c r="J53" s="798"/>
      <c r="K53" s="846">
        <f t="shared" ca="1" si="12"/>
        <v>0</v>
      </c>
      <c r="L53" s="847">
        <v>51</v>
      </c>
      <c r="M53" s="795" t="e">
        <f t="shared" ca="1" si="13"/>
        <v>#N/A</v>
      </c>
      <c r="N53" s="798"/>
      <c r="O53" s="848">
        <f t="shared" ca="1" si="4"/>
        <v>0</v>
      </c>
      <c r="P53" s="848" t="e">
        <f t="shared" ca="1" si="5"/>
        <v>#N/A</v>
      </c>
      <c r="R53" s="848">
        <v>51</v>
      </c>
      <c r="S53" s="848" t="str">
        <f t="shared" ca="1" si="6"/>
        <v/>
      </c>
      <c r="T53" s="848" t="str">
        <f t="shared" ca="1" si="14"/>
        <v/>
      </c>
      <c r="U53" s="850" t="str">
        <f t="shared" ca="1" si="8"/>
        <v/>
      </c>
      <c r="V53" s="7"/>
      <c r="W53" s="851" t="str">
        <f t="shared" ca="1" si="9"/>
        <v/>
      </c>
      <c r="X53" s="1580" t="str">
        <f t="shared" ca="1" si="10"/>
        <v/>
      </c>
      <c r="Y53" s="852" t="str">
        <f ca="1">'Action Plan finance'!I106</f>
        <v/>
      </c>
      <c r="Z53" s="1494" t="str">
        <f t="shared" ca="1" si="15"/>
        <v/>
      </c>
      <c r="AA53" s="1494" t="str">
        <f t="shared" ca="1" si="16"/>
        <v/>
      </c>
      <c r="AN53" s="5557" t="s">
        <v>3265</v>
      </c>
    </row>
    <row r="54" spans="2:40" x14ac:dyDescent="0.25">
      <c r="B54" s="8">
        <v>2</v>
      </c>
      <c r="C54" s="8">
        <f ca="1">IF(E54&lt;&gt;0,SUM(1,MAX($C$2:C53)),0)</f>
        <v>2</v>
      </c>
      <c r="D54" s="8" t="s">
        <v>880</v>
      </c>
      <c r="E54" s="844">
        <f ca="1">IF(B54&gt;INDIRECT(SUBSTITUTE(D54," ","_")) ActivatedCounts,0,MATCH($G$2,INDIRECT(CONCATENATE("'",D54,"'!e",INDIRECT(SUBSTITUTE(D54," ","_")) StartPoint+SUM(F53),":$e$500")),0))</f>
        <v>16</v>
      </c>
      <c r="F54" s="8">
        <f ca="1">IF(B54&gt;INDIRECT(SUBSTITUTE(D54," ","_")) ActivatedCounts,"",SUM(E54,F53))</f>
        <v>18</v>
      </c>
      <c r="G54" s="795" t="str">
        <f ca="1">INDEX(INDIRECT(CONCATENATE("'",D54,"'!e",INDIRECT(SUBSTITUTE(D54," ","_")) StartPoint,":$f$500")),F54,2)</f>
        <v>Policy for providing sanitation services in slums</v>
      </c>
      <c r="H54" s="798">
        <f ca="1">INDEX(INDIRECT(CONCATENATE("'",D54,"'!e",INDIRECT(SUBSTITUTE(D54," ","_")) StartPoint,":$h$420")),F54,3)</f>
        <v>0</v>
      </c>
      <c r="I54" s="798">
        <f ca="1">INDEX(INDIRECT(CONCATENATE("'",D54,"'!e",INDIRECT(SUBSTITUTE(D54," ","_")) StartPoint,":$h$420")),F54,4)</f>
        <v>0</v>
      </c>
      <c r="J54" s="798"/>
      <c r="K54" s="846">
        <f t="shared" ca="1" si="12"/>
        <v>0</v>
      </c>
      <c r="L54" s="847">
        <v>52</v>
      </c>
      <c r="M54" s="795" t="e">
        <f t="shared" ca="1" si="13"/>
        <v>#N/A</v>
      </c>
      <c r="N54" s="798"/>
      <c r="O54" s="848">
        <f t="shared" ca="1" si="4"/>
        <v>0</v>
      </c>
      <c r="P54" s="848" t="e">
        <f t="shared" ca="1" si="5"/>
        <v>#N/A</v>
      </c>
      <c r="R54" s="848">
        <v>52</v>
      </c>
      <c r="S54" s="848" t="str">
        <f t="shared" ca="1" si="6"/>
        <v/>
      </c>
      <c r="T54" s="848" t="str">
        <f t="shared" ca="1" si="14"/>
        <v/>
      </c>
      <c r="U54" s="850" t="str">
        <f t="shared" ca="1" si="8"/>
        <v/>
      </c>
      <c r="V54" s="7"/>
      <c r="W54" s="851" t="str">
        <f t="shared" ca="1" si="9"/>
        <v/>
      </c>
      <c r="X54" s="1580" t="str">
        <f t="shared" ca="1" si="10"/>
        <v/>
      </c>
      <c r="Y54" s="852" t="str">
        <f ca="1">'Action Plan finance'!I107</f>
        <v/>
      </c>
      <c r="Z54" s="1494" t="str">
        <f t="shared" ca="1" si="15"/>
        <v/>
      </c>
      <c r="AA54" s="1494" t="str">
        <f t="shared" ca="1" si="16"/>
        <v/>
      </c>
      <c r="AN54" s="1472" t="s">
        <v>3266</v>
      </c>
    </row>
    <row r="55" spans="2:40" ht="30" x14ac:dyDescent="0.25">
      <c r="B55" s="8">
        <v>3</v>
      </c>
      <c r="C55" s="8">
        <f ca="1">IF(E55&lt;&gt;0,SUM(1,MAX($C$2:C54)),0)</f>
        <v>3</v>
      </c>
      <c r="D55" s="8" t="s">
        <v>880</v>
      </c>
      <c r="E55" s="844">
        <f ca="1">IF(B55&gt;INDIRECT(SUBSTITUTE(D55," ","_")) ActivatedCounts,0,MATCH($G$2,INDIRECT(CONCATENATE("'",D55,"'!e",INDIRECT(SUBSTITUTE(D55," ","_")) StartPoint+SUM(F54),":$e$500")),0))</f>
        <v>4</v>
      </c>
      <c r="F55" s="8">
        <f ca="1">IF(B55&gt;INDIRECT(SUBSTITUTE(D55," ","_")) ActivatedCounts,"",SUM(E55,F54))</f>
        <v>22</v>
      </c>
      <c r="G55" s="795" t="str">
        <f ca="1">INDEX(INDIRECT(CONCATENATE("'",D55,"'!e",INDIRECT(SUBSTITUTE(D55," ","_")) StartPoint,":$f$500")),F55,2)</f>
        <v>Improve condition of existing individual toilets by providing safe sanitation disposal system</v>
      </c>
      <c r="H55" s="798">
        <f ca="1">INDEX(INDIRECT(CONCATENATE("'",D55,"'!e",INDIRECT(SUBSTITUTE(D55," ","_")) StartPoint,":$h$420")),F55,3)</f>
        <v>2015</v>
      </c>
      <c r="I55" s="798">
        <f ca="1">INDEX(INDIRECT(CONCATENATE("'",D55,"'!e",INDIRECT(SUBSTITUTE(D55," ","_")) StartPoint,":$h$420")),F55,4)</f>
        <v>2019</v>
      </c>
      <c r="J55" s="798"/>
      <c r="K55" s="846">
        <f t="shared" ca="1" si="12"/>
        <v>0</v>
      </c>
      <c r="L55" s="847">
        <v>53</v>
      </c>
      <c r="M55" s="795" t="e">
        <f t="shared" ca="1" si="13"/>
        <v>#N/A</v>
      </c>
      <c r="N55" s="798"/>
      <c r="O55" s="848">
        <f t="shared" ca="1" si="4"/>
        <v>0</v>
      </c>
      <c r="P55" s="848" t="e">
        <f t="shared" ca="1" si="5"/>
        <v>#N/A</v>
      </c>
      <c r="R55" s="848">
        <v>53</v>
      </c>
      <c r="S55" s="848" t="str">
        <f t="shared" ca="1" si="6"/>
        <v/>
      </c>
      <c r="T55" s="848" t="str">
        <f t="shared" ca="1" si="14"/>
        <v/>
      </c>
      <c r="U55" s="850" t="str">
        <f t="shared" ca="1" si="8"/>
        <v/>
      </c>
      <c r="V55" s="7"/>
      <c r="W55" s="851" t="str">
        <f t="shared" ca="1" si="9"/>
        <v/>
      </c>
      <c r="X55" s="1580" t="str">
        <f t="shared" ca="1" si="10"/>
        <v/>
      </c>
      <c r="Y55" s="852" t="str">
        <f ca="1">'Action Plan finance'!I108</f>
        <v/>
      </c>
      <c r="Z55" s="1494" t="str">
        <f t="shared" ca="1" si="15"/>
        <v/>
      </c>
      <c r="AA55" s="1494" t="str">
        <f t="shared" ca="1" si="16"/>
        <v/>
      </c>
      <c r="AN55" s="1472" t="s">
        <v>3267</v>
      </c>
    </row>
    <row r="56" spans="2:40" x14ac:dyDescent="0.25">
      <c r="B56" s="8">
        <v>4</v>
      </c>
      <c r="C56" s="8">
        <f ca="1">IF(E56&lt;&gt;0,SUM(1,MAX($C$2:C55)),0)</f>
        <v>4</v>
      </c>
      <c r="D56" s="8" t="s">
        <v>880</v>
      </c>
      <c r="E56" s="844">
        <f ca="1">IF(B56&gt;INDIRECT(SUBSTITUTE(D56," ","_")) ActivatedCounts,0,MATCH($G$2,INDIRECT(CONCATENATE("'",D56,"'!e",INDIRECT(SUBSTITUTE(D56," ","_")) StartPoint+SUM(F55),":$e$500")),0))</f>
        <v>15</v>
      </c>
      <c r="F56" s="8">
        <f ca="1">IF(B56&gt;INDIRECT(SUBSTITUTE(D56," ","_")) ActivatedCounts,"",SUM(E56,F55))</f>
        <v>37</v>
      </c>
      <c r="G56" s="795" t="str">
        <f ca="1">INDEX(INDIRECT(CONCATENATE("'",D56,"'!e",INDIRECT(SUBSTITUTE(D56," ","_")) StartPoint,":$f$500")),F56,2)</f>
        <v>Improve condition of existing Community toilets</v>
      </c>
      <c r="H56" s="798">
        <f ca="1">INDEX(INDIRECT(CONCATENATE("'",D56,"'!e",INDIRECT(SUBSTITUTE(D56," ","_")) StartPoint,":$h$420")),F56,3)</f>
        <v>0</v>
      </c>
      <c r="I56" s="798">
        <f ca="1">INDEX(INDIRECT(CONCATENATE("'",D56,"'!e",INDIRECT(SUBSTITUTE(D56," ","_")) StartPoint,":$h$420")),F56,4)</f>
        <v>0</v>
      </c>
      <c r="J56" s="798"/>
      <c r="K56" s="846">
        <f t="shared" ca="1" si="12"/>
        <v>0</v>
      </c>
      <c r="L56" s="847">
        <v>54</v>
      </c>
      <c r="M56" s="795" t="e">
        <f t="shared" ca="1" si="13"/>
        <v>#N/A</v>
      </c>
      <c r="N56" s="798"/>
      <c r="O56" s="848">
        <f t="shared" ca="1" si="4"/>
        <v>0</v>
      </c>
      <c r="P56" s="848" t="e">
        <f t="shared" ca="1" si="5"/>
        <v>#N/A</v>
      </c>
      <c r="R56" s="848">
        <v>54</v>
      </c>
      <c r="S56" s="848" t="str">
        <f t="shared" ca="1" si="6"/>
        <v/>
      </c>
      <c r="T56" s="848" t="str">
        <f t="shared" ca="1" si="14"/>
        <v/>
      </c>
      <c r="U56" s="850" t="str">
        <f t="shared" ca="1" si="8"/>
        <v/>
      </c>
      <c r="V56" s="7"/>
      <c r="W56" s="851" t="str">
        <f t="shared" ca="1" si="9"/>
        <v/>
      </c>
      <c r="X56" s="1580" t="str">
        <f t="shared" ca="1" si="10"/>
        <v/>
      </c>
      <c r="Y56" s="852" t="str">
        <f ca="1">'Action Plan finance'!I109</f>
        <v/>
      </c>
      <c r="Z56" s="1494" t="str">
        <f t="shared" ca="1" si="15"/>
        <v/>
      </c>
      <c r="AA56" s="1494" t="str">
        <f t="shared" ca="1" si="16"/>
        <v/>
      </c>
      <c r="AN56" s="1472" t="s">
        <v>3268</v>
      </c>
    </row>
    <row r="57" spans="2:40" x14ac:dyDescent="0.25">
      <c r="B57" s="8">
        <v>5</v>
      </c>
      <c r="C57" s="8">
        <f ca="1">IF(E57&lt;&gt;0,SUM(1,MAX($C$2:C56)),0)</f>
        <v>5</v>
      </c>
      <c r="D57" s="8" t="s">
        <v>880</v>
      </c>
      <c r="E57" s="844">
        <f ca="1">IF(B57&gt;INDIRECT(SUBSTITUTE(D57," ","_")) ActivatedCounts,0,MATCH($G$2,INDIRECT(CONCATENATE("'",D57,"'!e",INDIRECT(SUBSTITUTE(D57," ","_")) StartPoint+SUM(F56),":$e$500")),0))</f>
        <v>54</v>
      </c>
      <c r="F57" s="8">
        <f ca="1">IF(B57&gt;INDIRECT(SUBSTITUTE(D57," ","_")) ActivatedCounts,"",SUM(E57,F56))</f>
        <v>91</v>
      </c>
      <c r="G57" s="795" t="str">
        <f ca="1">INDEX(INDIRECT(CONCATENATE("'",D57,"'!e",INDIRECT(SUBSTITUTE(D57," ","_")) StartPoint,":$f$500")),F57,2)</f>
        <v>Construct new individual toilets</v>
      </c>
      <c r="H57" s="798">
        <f ca="1">INDEX(INDIRECT(CONCATENATE("'",D57,"'!e",INDIRECT(SUBSTITUTE(D57," ","_")) StartPoint,":$h$420")),F57,3)</f>
        <v>0</v>
      </c>
      <c r="I57" s="798">
        <f ca="1">INDEX(INDIRECT(CONCATENATE("'",D57,"'!e",INDIRECT(SUBSTITUTE(D57," ","_")) StartPoint,":$h$420")),F57,4)</f>
        <v>0</v>
      </c>
      <c r="J57" s="798"/>
      <c r="K57" s="846">
        <f t="shared" ca="1" si="12"/>
        <v>0</v>
      </c>
      <c r="L57" s="847">
        <v>55</v>
      </c>
      <c r="M57" s="795" t="e">
        <f t="shared" ca="1" si="13"/>
        <v>#N/A</v>
      </c>
      <c r="N57" s="798"/>
      <c r="O57" s="848">
        <f t="shared" ca="1" si="4"/>
        <v>0</v>
      </c>
      <c r="P57" s="848" t="e">
        <f t="shared" ca="1" si="5"/>
        <v>#N/A</v>
      </c>
      <c r="R57" s="848">
        <v>55</v>
      </c>
      <c r="S57" s="848" t="str">
        <f t="shared" ca="1" si="6"/>
        <v/>
      </c>
      <c r="T57" s="848" t="str">
        <f t="shared" ca="1" si="14"/>
        <v/>
      </c>
      <c r="U57" s="850" t="str">
        <f t="shared" ca="1" si="8"/>
        <v/>
      </c>
      <c r="V57" s="7"/>
      <c r="W57" s="851" t="str">
        <f t="shared" ca="1" si="9"/>
        <v/>
      </c>
      <c r="X57" s="1580" t="str">
        <f t="shared" ca="1" si="10"/>
        <v/>
      </c>
      <c r="Y57" s="852" t="str">
        <f ca="1">'Action Plan finance'!I110</f>
        <v/>
      </c>
      <c r="Z57" s="1494" t="str">
        <f t="shared" ca="1" si="15"/>
        <v/>
      </c>
      <c r="AA57" s="1494" t="str">
        <f t="shared" ca="1" si="16"/>
        <v/>
      </c>
      <c r="AN57" s="1472" t="s">
        <v>3269</v>
      </c>
    </row>
    <row r="58" spans="2:40" x14ac:dyDescent="0.25">
      <c r="B58" s="8">
        <v>6</v>
      </c>
      <c r="C58" s="8">
        <f ca="1">IF(E58&lt;&gt;0,SUM(1,MAX($C$2:C57)),0)</f>
        <v>6</v>
      </c>
      <c r="D58" s="8" t="s">
        <v>880</v>
      </c>
      <c r="E58" s="844">
        <f ca="1">IF(B58&gt;INDIRECT(SUBSTITUTE(D58," ","_")) ActivatedCounts,0,MATCH($G$2,INDIRECT(CONCATENATE("'",D58,"'!e",INDIRECT(SUBSTITUTE(D58," ","_")) StartPoint+SUM(F57),":$e$500")),0))</f>
        <v>71</v>
      </c>
      <c r="F58" s="8">
        <f ca="1">IF(B58&gt;INDIRECT(SUBSTITUTE(D58," ","_")) ActivatedCounts,"",SUM(E58,F57))</f>
        <v>162</v>
      </c>
      <c r="G58" s="795" t="str">
        <f ca="1">INDEX(INDIRECT(CONCATENATE("'",D58,"'!e",INDIRECT(SUBSTITUTE(D58," ","_")) StartPoint,":$f$500")),F58,2)</f>
        <v>Construct new public toilet blocks</v>
      </c>
      <c r="H58" s="798">
        <f ca="1">INDEX(INDIRECT(CONCATENATE("'",D58,"'!e",INDIRECT(SUBSTITUTE(D58," ","_")) StartPoint,":$h$420")),F58,3)</f>
        <v>0</v>
      </c>
      <c r="I58" s="798">
        <f ca="1">INDEX(INDIRECT(CONCATENATE("'",D58,"'!e",INDIRECT(SUBSTITUTE(D58," ","_")) StartPoint,":$h$420")),F58,4)</f>
        <v>0</v>
      </c>
      <c r="J58" s="798"/>
      <c r="K58" s="846">
        <f t="shared" ca="1" si="12"/>
        <v>0</v>
      </c>
      <c r="L58" s="847">
        <v>56</v>
      </c>
      <c r="M58" s="795" t="e">
        <f t="shared" ca="1" si="13"/>
        <v>#N/A</v>
      </c>
      <c r="N58" s="798"/>
      <c r="O58" s="848">
        <f t="shared" ca="1" si="4"/>
        <v>0</v>
      </c>
      <c r="P58" s="848" t="e">
        <f t="shared" ca="1" si="5"/>
        <v>#N/A</v>
      </c>
      <c r="R58" s="848">
        <v>56</v>
      </c>
      <c r="S58" s="848" t="str">
        <f t="shared" ca="1" si="6"/>
        <v/>
      </c>
      <c r="T58" s="848" t="str">
        <f t="shared" ca="1" si="14"/>
        <v/>
      </c>
      <c r="U58" s="850" t="str">
        <f t="shared" ca="1" si="8"/>
        <v/>
      </c>
      <c r="V58" s="7"/>
      <c r="W58" s="851" t="str">
        <f t="shared" ca="1" si="9"/>
        <v/>
      </c>
      <c r="X58" s="1580" t="str">
        <f t="shared" ca="1" si="10"/>
        <v/>
      </c>
      <c r="Y58" s="852" t="str">
        <f ca="1">'Action Plan finance'!I111</f>
        <v/>
      </c>
      <c r="Z58" s="1494" t="str">
        <f t="shared" ca="1" si="15"/>
        <v/>
      </c>
      <c r="AA58" s="1494" t="str">
        <f t="shared" ca="1" si="16"/>
        <v/>
      </c>
      <c r="AN58" s="1472" t="s">
        <v>3270</v>
      </c>
    </row>
    <row r="59" spans="2:40" ht="30" x14ac:dyDescent="0.25">
      <c r="B59" s="8">
        <v>7</v>
      </c>
      <c r="C59" s="8">
        <f ca="1">IF(E59&lt;&gt;0,SUM(1,MAX($C$2:C58)),0)</f>
        <v>7</v>
      </c>
      <c r="D59" s="8" t="s">
        <v>880</v>
      </c>
      <c r="E59" s="844">
        <f ca="1">IF(B59&gt;INDIRECT(SUBSTITUTE(D59," ","_")) ActivatedCounts,0,MATCH($G$2,INDIRECT(CONCATENATE("'",D59,"'!e",INDIRECT(SUBSTITUTE(D59," ","_")) StartPoint+SUM(F58),":$e$500")),0))</f>
        <v>49</v>
      </c>
      <c r="F59" s="8">
        <f ca="1">IF(B59&gt;INDIRECT(SUBSTITUTE(D59," ","_")) ActivatedCounts,"",SUM(E59,F58))</f>
        <v>211</v>
      </c>
      <c r="G59" s="795" t="str">
        <f ca="1">INDEX(INDIRECT(CONCATENATE("'",D59,"'!e",INDIRECT(SUBSTITUTE(D59," ","_")) StartPoint,":$f$500")),F59,2)</f>
        <v>Increase septage collection with existing suction emptier trucks</v>
      </c>
      <c r="H59" s="798">
        <f ca="1">INDEX(INDIRECT(CONCATENATE("'",D59,"'!e",INDIRECT(SUBSTITUTE(D59," ","_")) StartPoint,":$h$420")),F59,3)</f>
        <v>2015</v>
      </c>
      <c r="I59" s="798">
        <f ca="1">INDEX(INDIRECT(CONCATENATE("'",D59,"'!e",INDIRECT(SUBSTITUTE(D59," ","_")) StartPoint,":$h$420")),F59,4)</f>
        <v>2015</v>
      </c>
      <c r="J59" s="798"/>
      <c r="K59" s="846">
        <f t="shared" ca="1" si="12"/>
        <v>0</v>
      </c>
      <c r="L59" s="847">
        <v>57</v>
      </c>
      <c r="M59" s="795" t="e">
        <f t="shared" ca="1" si="13"/>
        <v>#N/A</v>
      </c>
      <c r="N59" s="798"/>
      <c r="O59" s="848">
        <f t="shared" ca="1" si="4"/>
        <v>0</v>
      </c>
      <c r="P59" s="848" t="e">
        <f t="shared" ca="1" si="5"/>
        <v>#N/A</v>
      </c>
      <c r="R59" s="848">
        <v>57</v>
      </c>
      <c r="S59" s="848" t="str">
        <f t="shared" ca="1" si="6"/>
        <v/>
      </c>
      <c r="T59" s="848" t="str">
        <f t="shared" ca="1" si="14"/>
        <v/>
      </c>
      <c r="U59" s="850" t="str">
        <f t="shared" ca="1" si="8"/>
        <v/>
      </c>
      <c r="V59" s="7"/>
      <c r="W59" s="851" t="str">
        <f t="shared" ca="1" si="9"/>
        <v/>
      </c>
      <c r="X59" s="1580" t="str">
        <f t="shared" ca="1" si="10"/>
        <v/>
      </c>
      <c r="Y59" s="852" t="str">
        <f ca="1">'Action Plan finance'!I112</f>
        <v/>
      </c>
      <c r="Z59" s="1494" t="str">
        <f t="shared" ca="1" si="15"/>
        <v/>
      </c>
      <c r="AA59" s="1494" t="str">
        <f t="shared" ca="1" si="16"/>
        <v/>
      </c>
      <c r="AN59" s="1472" t="s">
        <v>3271</v>
      </c>
    </row>
    <row r="60" spans="2:40" x14ac:dyDescent="0.25">
      <c r="B60" s="8">
        <v>8</v>
      </c>
      <c r="C60" s="8">
        <f ca="1">IF(E60&lt;&gt;0,SUM(1,MAX($C$2:C59)),0)</f>
        <v>8</v>
      </c>
      <c r="D60" s="8" t="s">
        <v>880</v>
      </c>
      <c r="E60" s="844">
        <f ca="1">IF(B60&gt;INDIRECT(SUBSTITUTE(D60," ","_")) ActivatedCounts,0,MATCH($G$2,INDIRECT(CONCATENATE("'",D60,"'!e",INDIRECT(SUBSTITUTE(D60," ","_")) StartPoint+SUM(F59),":$e$500")),0))</f>
        <v>77</v>
      </c>
      <c r="F60" s="8">
        <f ca="1">IF(B60&gt;INDIRECT(SUBSTITUTE(D60," ","_")) ActivatedCounts,"",SUM(E60,F59))</f>
        <v>288</v>
      </c>
      <c r="G60" s="795" t="str">
        <f ca="1">INDEX(INDIRECT(CONCATENATE("'",D60,"'!e",INDIRECT(SUBSTITUTE(D60," ","_")) StartPoint,":$f$500")),F60,2)</f>
        <v>Procure new suction emptier trucks</v>
      </c>
      <c r="H60" s="798">
        <f ca="1">INDEX(INDIRECT(CONCATENATE("'",D60,"'!e",INDIRECT(SUBSTITUTE(D60," ","_")) StartPoint,":$h$420")),F60,3)</f>
        <v>2015</v>
      </c>
      <c r="I60" s="798">
        <f ca="1">INDEX(INDIRECT(CONCATENATE("'",D60,"'!e",INDIRECT(SUBSTITUTE(D60," ","_")) StartPoint,":$h$420")),F60,4)</f>
        <v>2016</v>
      </c>
      <c r="J60" s="798"/>
      <c r="K60" s="846">
        <f t="shared" ca="1" si="12"/>
        <v>0</v>
      </c>
      <c r="L60" s="847">
        <v>58</v>
      </c>
      <c r="M60" s="795" t="e">
        <f t="shared" ca="1" si="13"/>
        <v>#N/A</v>
      </c>
      <c r="N60" s="798"/>
      <c r="O60" s="848">
        <f t="shared" ca="1" si="4"/>
        <v>0</v>
      </c>
      <c r="P60" s="848" t="e">
        <f t="shared" ca="1" si="5"/>
        <v>#N/A</v>
      </c>
      <c r="R60" s="848">
        <v>58</v>
      </c>
      <c r="S60" s="848" t="str">
        <f t="shared" ca="1" si="6"/>
        <v/>
      </c>
      <c r="T60" s="848" t="str">
        <f t="shared" ca="1" si="14"/>
        <v/>
      </c>
      <c r="U60" s="850" t="str">
        <f t="shared" ca="1" si="8"/>
        <v/>
      </c>
      <c r="V60" s="7"/>
      <c r="W60" s="851" t="str">
        <f t="shared" ca="1" si="9"/>
        <v/>
      </c>
      <c r="X60" s="1580" t="str">
        <f t="shared" ca="1" si="10"/>
        <v/>
      </c>
      <c r="Y60" s="852" t="str">
        <f ca="1">'Action Plan finance'!I113</f>
        <v/>
      </c>
      <c r="Z60" s="1494" t="str">
        <f t="shared" ca="1" si="15"/>
        <v/>
      </c>
      <c r="AA60" s="1494" t="str">
        <f t="shared" ca="1" si="16"/>
        <v/>
      </c>
      <c r="AN60" s="1472" t="s">
        <v>3272</v>
      </c>
    </row>
    <row r="61" spans="2:40" x14ac:dyDescent="0.25">
      <c r="B61" s="8">
        <v>9</v>
      </c>
      <c r="C61" s="8">
        <f ca="1">IF(E61&lt;&gt;0,SUM(1,MAX($C$2:C60)),0)</f>
        <v>9</v>
      </c>
      <c r="D61" s="8" t="s">
        <v>880</v>
      </c>
      <c r="E61" s="844">
        <f ca="1">IF(B61&gt;INDIRECT(SUBSTITUTE(D61," ","_")) ActivatedCounts,0,MATCH($G$2,INDIRECT(CONCATENATE("'",D61,"'!e",INDIRECT(SUBSTITUTE(D61," ","_")) StartPoint+SUM(F60),":$e$500")),0))</f>
        <v>15</v>
      </c>
      <c r="F61" s="8">
        <f ca="1">IF(B61&gt;INDIRECT(SUBSTITUTE(D61," ","_")) ActivatedCounts,"",SUM(E61,F60))</f>
        <v>303</v>
      </c>
      <c r="G61" s="795" t="str">
        <f ca="1">INDEX(INDIRECT(CONCATENATE("'",D61,"'!e",INDIRECT(SUBSTITUTE(D61," ","_")) StartPoint,":$f$500")),F61,2)</f>
        <v>Construct/augment fecal sludge treatment plant</v>
      </c>
      <c r="H61" s="798">
        <f ca="1">INDEX(INDIRECT(CONCATENATE("'",D61,"'!e",INDIRECT(SUBSTITUTE(D61," ","_")) StartPoint,":$h$420")),F61,3)</f>
        <v>2015</v>
      </c>
      <c r="I61" s="798">
        <f ca="1">INDEX(INDIRECT(CONCATENATE("'",D61,"'!e",INDIRECT(SUBSTITUTE(D61," ","_")) StartPoint,":$h$420")),F61,4)</f>
        <v>2016</v>
      </c>
      <c r="J61" s="798"/>
      <c r="K61" s="846">
        <f t="shared" ca="1" si="12"/>
        <v>0</v>
      </c>
      <c r="L61" s="847">
        <v>59</v>
      </c>
      <c r="M61" s="795" t="e">
        <f t="shared" ca="1" si="13"/>
        <v>#N/A</v>
      </c>
      <c r="N61" s="798"/>
      <c r="O61" s="848">
        <f t="shared" ca="1" si="4"/>
        <v>0</v>
      </c>
      <c r="P61" s="848" t="e">
        <f t="shared" ca="1" si="5"/>
        <v>#N/A</v>
      </c>
      <c r="R61" s="848">
        <v>59</v>
      </c>
      <c r="S61" s="848" t="str">
        <f t="shared" ca="1" si="6"/>
        <v/>
      </c>
      <c r="T61" s="848" t="str">
        <f t="shared" ca="1" si="14"/>
        <v/>
      </c>
      <c r="U61" s="850" t="str">
        <f t="shared" ca="1" si="8"/>
        <v/>
      </c>
      <c r="V61" s="7"/>
      <c r="W61" s="851" t="str">
        <f t="shared" ca="1" si="9"/>
        <v/>
      </c>
      <c r="X61" s="1580" t="str">
        <f t="shared" ca="1" si="10"/>
        <v/>
      </c>
      <c r="Y61" s="852" t="str">
        <f ca="1">'Action Plan finance'!I114</f>
        <v/>
      </c>
      <c r="Z61" s="1494" t="str">
        <f t="shared" ca="1" si="15"/>
        <v/>
      </c>
      <c r="AA61" s="1494" t="str">
        <f t="shared" ca="1" si="16"/>
        <v/>
      </c>
      <c r="AN61" s="1472" t="s">
        <v>3273</v>
      </c>
    </row>
    <row r="62" spans="2:40" x14ac:dyDescent="0.25">
      <c r="B62" s="8">
        <v>10</v>
      </c>
      <c r="C62" s="8">
        <f ca="1">IF(E62&lt;&gt;0,SUM(1,MAX($C$2:C61)),0)</f>
        <v>0</v>
      </c>
      <c r="D62" s="8" t="s">
        <v>880</v>
      </c>
      <c r="E62" s="844">
        <f ca="1">IF(B62&gt;INDIRECT(SUBSTITUTE(D62," ","_")) ActivatedCounts,0,MATCH($G$2,INDIRECT(CONCATENATE("'",D62,"'!e",INDIRECT(SUBSTITUTE(D62," ","_")) StartPoint+SUM(F61),":$e$500")),0))</f>
        <v>0</v>
      </c>
      <c r="F62" s="8" t="str">
        <f ca="1">IF(B62&gt;INDIRECT(SUBSTITUTE(D62," ","_")) ActivatedCounts,"",SUM(E62,F61))</f>
        <v/>
      </c>
      <c r="G62" s="795" t="e">
        <f ca="1">INDEX(INDIRECT(CONCATENATE("'",D62,"'!e",INDIRECT(SUBSTITUTE(D62," ","_")) StartPoint,":$f$500")),F62,2)</f>
        <v>#VALUE!</v>
      </c>
      <c r="H62" s="798" t="e">
        <f ca="1">INDEX(INDIRECT(CONCATENATE("'",D62,"'!e",INDIRECT(SUBSTITUTE(D62," ","_")) StartPoint,":$h$420")),F62,3)</f>
        <v>#VALUE!</v>
      </c>
      <c r="I62" s="798" t="e">
        <f ca="1">INDEX(INDIRECT(CONCATENATE("'",D62,"'!e",INDIRECT(SUBSTITUTE(D62," ","_")) StartPoint,":$h$420")),F62,4)</f>
        <v>#VALUE!</v>
      </c>
      <c r="J62" s="798"/>
      <c r="K62" s="846">
        <f t="shared" ca="1" si="12"/>
        <v>0</v>
      </c>
      <c r="L62" s="847">
        <v>60</v>
      </c>
      <c r="M62" s="795" t="e">
        <f t="shared" ca="1" si="13"/>
        <v>#N/A</v>
      </c>
      <c r="N62" s="798"/>
      <c r="O62" s="848">
        <f t="shared" ca="1" si="4"/>
        <v>0</v>
      </c>
      <c r="P62" s="848" t="e">
        <f t="shared" ca="1" si="5"/>
        <v>#N/A</v>
      </c>
      <c r="R62" s="848">
        <v>60</v>
      </c>
      <c r="S62" s="848" t="str">
        <f t="shared" ca="1" si="6"/>
        <v/>
      </c>
      <c r="T62" s="848" t="str">
        <f t="shared" ca="1" si="14"/>
        <v/>
      </c>
      <c r="U62" s="850" t="str">
        <f t="shared" ca="1" si="8"/>
        <v/>
      </c>
      <c r="V62" s="7"/>
      <c r="W62" s="851" t="str">
        <f t="shared" ca="1" si="9"/>
        <v/>
      </c>
      <c r="X62" s="1580" t="str">
        <f t="shared" ca="1" si="10"/>
        <v/>
      </c>
      <c r="Y62" s="852" t="str">
        <f ca="1">'Action Plan finance'!I115</f>
        <v/>
      </c>
      <c r="Z62" s="1494" t="str">
        <f t="shared" ca="1" si="15"/>
        <v/>
      </c>
      <c r="AA62" s="1494" t="str">
        <f t="shared" ca="1" si="16"/>
        <v/>
      </c>
      <c r="AN62" s="1472" t="s">
        <v>3274</v>
      </c>
    </row>
    <row r="63" spans="2:40" x14ac:dyDescent="0.25">
      <c r="B63" s="8">
        <v>11</v>
      </c>
      <c r="C63" s="8">
        <f ca="1">IF(E63&lt;&gt;0,SUM(1,MAX($C$2:C62)),0)</f>
        <v>0</v>
      </c>
      <c r="D63" s="8" t="s">
        <v>880</v>
      </c>
      <c r="E63" s="844">
        <f ca="1">IF(B63&gt;INDIRECT(SUBSTITUTE(D63," ","_")) ActivatedCounts,0,MATCH($G$2,INDIRECT(CONCATENATE("'",D63,"'!e",INDIRECT(SUBSTITUTE(D63," ","_")) StartPoint+SUM(F62),":$e$500")),0))</f>
        <v>0</v>
      </c>
      <c r="F63" s="8" t="str">
        <f ca="1">IF(B63&gt;INDIRECT(SUBSTITUTE(D63," ","_")) ActivatedCounts,"",SUM(E63,F62))</f>
        <v/>
      </c>
      <c r="G63" s="795" t="e">
        <f ca="1">INDEX(INDIRECT(CONCATENATE("'",D63,"'!e",INDIRECT(SUBSTITUTE(D63," ","_")) StartPoint,":$f$500")),F63,2)</f>
        <v>#VALUE!</v>
      </c>
      <c r="H63" s="798" t="e">
        <f ca="1">INDEX(INDIRECT(CONCATENATE("'",D63,"'!e",INDIRECT(SUBSTITUTE(D63," ","_")) StartPoint,":$h$420")),F63,3)</f>
        <v>#VALUE!</v>
      </c>
      <c r="I63" s="798" t="e">
        <f ca="1">INDEX(INDIRECT(CONCATENATE("'",D63,"'!e",INDIRECT(SUBSTITUTE(D63," ","_")) StartPoint,":$h$420")),F63,4)</f>
        <v>#VALUE!</v>
      </c>
      <c r="J63" s="798"/>
      <c r="K63" s="846">
        <f t="shared" ca="1" si="12"/>
        <v>0</v>
      </c>
      <c r="L63" s="847">
        <v>61</v>
      </c>
      <c r="M63" s="795" t="e">
        <f t="shared" ca="1" si="13"/>
        <v>#N/A</v>
      </c>
      <c r="N63" s="798"/>
      <c r="O63" s="848">
        <f t="shared" ca="1" si="4"/>
        <v>0</v>
      </c>
      <c r="P63" s="848" t="e">
        <f t="shared" ca="1" si="5"/>
        <v>#N/A</v>
      </c>
      <c r="R63" s="848">
        <v>61</v>
      </c>
      <c r="S63" s="848" t="str">
        <f t="shared" ca="1" si="6"/>
        <v/>
      </c>
      <c r="T63" s="848" t="str">
        <f t="shared" ca="1" si="14"/>
        <v/>
      </c>
      <c r="U63" s="850" t="str">
        <f t="shared" ca="1" si="8"/>
        <v/>
      </c>
      <c r="V63" s="7"/>
      <c r="W63" s="851" t="str">
        <f t="shared" ca="1" si="9"/>
        <v/>
      </c>
      <c r="X63" s="1580" t="str">
        <f t="shared" ca="1" si="10"/>
        <v/>
      </c>
      <c r="Y63" s="852" t="str">
        <f ca="1">'Action Plan finance'!I116</f>
        <v/>
      </c>
      <c r="Z63" s="1494" t="str">
        <f t="shared" ca="1" si="15"/>
        <v/>
      </c>
      <c r="AA63" s="1494" t="str">
        <f t="shared" ca="1" si="16"/>
        <v/>
      </c>
      <c r="AN63" s="1472" t="s">
        <v>3275</v>
      </c>
    </row>
    <row r="64" spans="2:40" x14ac:dyDescent="0.25">
      <c r="B64" s="8">
        <v>12</v>
      </c>
      <c r="C64" s="8">
        <f ca="1">IF(E64&lt;&gt;0,SUM(1,MAX($C$2:C63)),0)</f>
        <v>0</v>
      </c>
      <c r="D64" s="8" t="s">
        <v>880</v>
      </c>
      <c r="E64" s="844">
        <f ca="1">IF(B64&gt;INDIRECT(SUBSTITUTE(D64," ","_")) ActivatedCounts,0,MATCH($G$2,INDIRECT(CONCATENATE("'",D64,"'!e",INDIRECT(SUBSTITUTE(D64," ","_")) StartPoint+SUM(F63),":$e$500")),0))</f>
        <v>0</v>
      </c>
      <c r="F64" s="8" t="str">
        <f ca="1">IF(B64&gt;INDIRECT(SUBSTITUTE(D64," ","_")) ActivatedCounts,"",SUM(E64,F63))</f>
        <v/>
      </c>
      <c r="G64" s="795" t="e">
        <f ca="1">INDEX(INDIRECT(CONCATENATE("'",D64,"'!e",INDIRECT(SUBSTITUTE(D64," ","_")) StartPoint,":$f$500")),F64,2)</f>
        <v>#VALUE!</v>
      </c>
      <c r="H64" s="798" t="e">
        <f ca="1">INDEX(INDIRECT(CONCATENATE("'",D64,"'!e",INDIRECT(SUBSTITUTE(D64," ","_")) StartPoint,":$h$420")),F64,3)</f>
        <v>#VALUE!</v>
      </c>
      <c r="I64" s="798" t="e">
        <f ca="1">INDEX(INDIRECT(CONCATENATE("'",D64,"'!e",INDIRECT(SUBSTITUTE(D64," ","_")) StartPoint,":$h$420")),F64,4)</f>
        <v>#VALUE!</v>
      </c>
      <c r="J64" s="798"/>
      <c r="K64" s="846">
        <f t="shared" ca="1" si="12"/>
        <v>0</v>
      </c>
      <c r="L64" s="847">
        <v>62</v>
      </c>
      <c r="M64" s="795" t="e">
        <f t="shared" ca="1" si="13"/>
        <v>#N/A</v>
      </c>
      <c r="N64" s="798"/>
      <c r="O64" s="848">
        <f t="shared" ca="1" si="4"/>
        <v>0</v>
      </c>
      <c r="P64" s="848" t="e">
        <f t="shared" ca="1" si="5"/>
        <v>#N/A</v>
      </c>
      <c r="R64" s="848">
        <v>62</v>
      </c>
      <c r="S64" s="848" t="str">
        <f t="shared" ca="1" si="6"/>
        <v/>
      </c>
      <c r="T64" s="848" t="str">
        <f t="shared" ca="1" si="14"/>
        <v/>
      </c>
      <c r="U64" s="850" t="str">
        <f t="shared" ca="1" si="8"/>
        <v/>
      </c>
      <c r="V64" s="7"/>
      <c r="W64" s="851" t="str">
        <f t="shared" ca="1" si="9"/>
        <v/>
      </c>
      <c r="X64" s="1580" t="str">
        <f t="shared" ca="1" si="10"/>
        <v/>
      </c>
      <c r="Y64" s="852" t="str">
        <f ca="1">'Action Plan finance'!I117</f>
        <v/>
      </c>
      <c r="Z64" s="1494" t="str">
        <f t="shared" ca="1" si="15"/>
        <v/>
      </c>
      <c r="AA64" s="1494" t="str">
        <f t="shared" ca="1" si="16"/>
        <v/>
      </c>
      <c r="AN64" s="1472" t="s">
        <v>3276</v>
      </c>
    </row>
    <row r="65" spans="2:40" x14ac:dyDescent="0.25">
      <c r="B65" s="8">
        <v>13</v>
      </c>
      <c r="C65" s="8">
        <f ca="1">IF(E65&lt;&gt;0,SUM(1,MAX($C$2:C64)),0)</f>
        <v>0</v>
      </c>
      <c r="D65" s="8" t="s">
        <v>880</v>
      </c>
      <c r="E65" s="844">
        <f ca="1">IF(B65&gt;INDIRECT(SUBSTITUTE(D65," ","_")) ActivatedCounts,0,MATCH($G$2,INDIRECT(CONCATENATE("'",D65,"'!e",INDIRECT(SUBSTITUTE(D65," ","_")) StartPoint+SUM(F64),":$e$500")),0))</f>
        <v>0</v>
      </c>
      <c r="F65" s="8" t="str">
        <f ca="1">IF(B65&gt;INDIRECT(SUBSTITUTE(D65," ","_")) ActivatedCounts,"",SUM(E65,F64))</f>
        <v/>
      </c>
      <c r="G65" s="795" t="e">
        <f ca="1">INDEX(INDIRECT(CONCATENATE("'",D65,"'!e",INDIRECT(SUBSTITUTE(D65," ","_")) StartPoint,":$f$500")),F65,2)</f>
        <v>#VALUE!</v>
      </c>
      <c r="H65" s="798" t="e">
        <f ca="1">INDEX(INDIRECT(CONCATENATE("'",D65,"'!e",INDIRECT(SUBSTITUTE(D65," ","_")) StartPoint,":$h$420")),F65,3)</f>
        <v>#VALUE!</v>
      </c>
      <c r="I65" s="798" t="e">
        <f ca="1">INDEX(INDIRECT(CONCATENATE("'",D65,"'!e",INDIRECT(SUBSTITUTE(D65," ","_")) StartPoint,":$h$420")),F65,4)</f>
        <v>#VALUE!</v>
      </c>
      <c r="J65" s="798"/>
      <c r="K65" s="846">
        <f t="shared" ca="1" si="12"/>
        <v>0</v>
      </c>
      <c r="L65" s="847">
        <v>63</v>
      </c>
      <c r="M65" s="795" t="e">
        <f t="shared" ca="1" si="13"/>
        <v>#N/A</v>
      </c>
      <c r="N65" s="798"/>
      <c r="O65" s="848">
        <f t="shared" ca="1" si="4"/>
        <v>0</v>
      </c>
      <c r="P65" s="848" t="e">
        <f t="shared" ca="1" si="5"/>
        <v>#N/A</v>
      </c>
      <c r="R65" s="848">
        <v>63</v>
      </c>
      <c r="S65" s="848" t="str">
        <f t="shared" ca="1" si="6"/>
        <v/>
      </c>
      <c r="T65" s="848" t="str">
        <f t="shared" ca="1" si="14"/>
        <v/>
      </c>
      <c r="U65" s="850" t="str">
        <f t="shared" ca="1" si="8"/>
        <v/>
      </c>
      <c r="V65" s="7"/>
      <c r="W65" s="851" t="str">
        <f t="shared" ca="1" si="9"/>
        <v/>
      </c>
      <c r="X65" s="1580" t="str">
        <f t="shared" ca="1" si="10"/>
        <v/>
      </c>
      <c r="Y65" s="852" t="str">
        <f ca="1">'Action Plan finance'!I118</f>
        <v/>
      </c>
      <c r="Z65" s="1494" t="str">
        <f t="shared" ca="1" si="15"/>
        <v/>
      </c>
      <c r="AA65" s="1494" t="str">
        <f t="shared" ca="1" si="16"/>
        <v/>
      </c>
      <c r="AN65" s="1472" t="s">
        <v>3277</v>
      </c>
    </row>
    <row r="66" spans="2:40" x14ac:dyDescent="0.25">
      <c r="B66" s="8">
        <v>14</v>
      </c>
      <c r="C66" s="8">
        <f ca="1">IF(E66&lt;&gt;0,SUM(1,MAX($C$2:C65)),0)</f>
        <v>0</v>
      </c>
      <c r="D66" s="8" t="s">
        <v>880</v>
      </c>
      <c r="E66" s="844">
        <f ca="1">IF(B66&gt;INDIRECT(SUBSTITUTE(D66," ","_")) ActivatedCounts,0,MATCH($G$2,INDIRECT(CONCATENATE("'",D66,"'!e",INDIRECT(SUBSTITUTE(D66," ","_")) StartPoint+SUM(F65),":$e$500")),0))</f>
        <v>0</v>
      </c>
      <c r="F66" s="8" t="str">
        <f ca="1">IF(B66&gt;INDIRECT(SUBSTITUTE(D66," ","_")) ActivatedCounts,"",SUM(E66,F65))</f>
        <v/>
      </c>
      <c r="G66" s="795" t="e">
        <f ca="1">INDEX(INDIRECT(CONCATENATE("'",D66,"'!e",INDIRECT(SUBSTITUTE(D66," ","_")) StartPoint,":$f$500")),F66,2)</f>
        <v>#VALUE!</v>
      </c>
      <c r="H66" s="798" t="e">
        <f ca="1">INDEX(INDIRECT(CONCATENATE("'",D66,"'!e",INDIRECT(SUBSTITUTE(D66," ","_")) StartPoint,":$h$420")),F66,3)</f>
        <v>#VALUE!</v>
      </c>
      <c r="I66" s="798" t="e">
        <f ca="1">INDEX(INDIRECT(CONCATENATE("'",D66,"'!e",INDIRECT(SUBSTITUTE(D66," ","_")) StartPoint,":$h$420")),F66,4)</f>
        <v>#VALUE!</v>
      </c>
      <c r="J66" s="798"/>
      <c r="K66" s="846">
        <f t="shared" ca="1" si="12"/>
        <v>0</v>
      </c>
      <c r="L66" s="847">
        <v>64</v>
      </c>
      <c r="M66" s="795" t="e">
        <f t="shared" ca="1" si="13"/>
        <v>#N/A</v>
      </c>
      <c r="N66" s="798"/>
      <c r="O66" s="848">
        <f t="shared" ca="1" si="4"/>
        <v>0</v>
      </c>
      <c r="P66" s="848" t="e">
        <f t="shared" ca="1" si="5"/>
        <v>#N/A</v>
      </c>
      <c r="R66" s="848">
        <v>64</v>
      </c>
      <c r="S66" s="848" t="str">
        <f t="shared" ca="1" si="6"/>
        <v/>
      </c>
      <c r="T66" s="848" t="str">
        <f t="shared" ca="1" si="14"/>
        <v/>
      </c>
      <c r="U66" s="850" t="str">
        <f t="shared" ca="1" si="8"/>
        <v/>
      </c>
      <c r="V66" s="7"/>
      <c r="W66" s="851" t="str">
        <f t="shared" ca="1" si="9"/>
        <v/>
      </c>
      <c r="X66" s="1580" t="str">
        <f t="shared" ca="1" si="10"/>
        <v/>
      </c>
      <c r="Y66" s="852" t="str">
        <f ca="1">'Action Plan finance'!I119</f>
        <v/>
      </c>
      <c r="Z66" s="1494" t="str">
        <f t="shared" ca="1" si="15"/>
        <v/>
      </c>
      <c r="AA66" s="1494" t="str">
        <f t="shared" ca="1" si="16"/>
        <v/>
      </c>
      <c r="AN66" s="1472" t="s">
        <v>3278</v>
      </c>
    </row>
    <row r="67" spans="2:40" x14ac:dyDescent="0.25">
      <c r="B67" s="8">
        <v>15</v>
      </c>
      <c r="C67" s="8">
        <f ca="1">IF(E67&lt;&gt;0,SUM(1,MAX($C$2:C66)),0)</f>
        <v>0</v>
      </c>
      <c r="D67" s="8" t="s">
        <v>880</v>
      </c>
      <c r="E67" s="844">
        <f ca="1">IF(B67&gt;INDIRECT(SUBSTITUTE(D67," ","_")) ActivatedCounts,0,MATCH($G$2,INDIRECT(CONCATENATE("'",D67,"'!e",INDIRECT(SUBSTITUTE(D67," ","_")) StartPoint+SUM(F66),":$e$500")),0))</f>
        <v>0</v>
      </c>
      <c r="F67" s="8" t="str">
        <f ca="1">IF(B67&gt;INDIRECT(SUBSTITUTE(D67," ","_")) ActivatedCounts,"",SUM(E67,F66))</f>
        <v/>
      </c>
      <c r="G67" s="795" t="e">
        <f ca="1">INDEX(INDIRECT(CONCATENATE("'",D67,"'!e",INDIRECT(SUBSTITUTE(D67," ","_")) StartPoint,":$f$500")),F67,2)</f>
        <v>#VALUE!</v>
      </c>
      <c r="H67" s="798" t="e">
        <f ca="1">INDEX(INDIRECT(CONCATENATE("'",D67,"'!e",INDIRECT(SUBSTITUTE(D67," ","_")) StartPoint,":$h$420")),F67,3)</f>
        <v>#VALUE!</v>
      </c>
      <c r="I67" s="798" t="e">
        <f ca="1">INDEX(INDIRECT(CONCATENATE("'",D67,"'!e",INDIRECT(SUBSTITUTE(D67," ","_")) StartPoint,":$h$420")),F67,4)</f>
        <v>#VALUE!</v>
      </c>
      <c r="J67" s="798"/>
      <c r="K67" s="846">
        <f t="shared" ref="K67:K98" ca="1" si="17">IFERROR(VLOOKUP(L67,$C$3:$G$127,5,FALSE),0)</f>
        <v>0</v>
      </c>
      <c r="L67" s="847">
        <v>65</v>
      </c>
      <c r="M67" s="795" t="e">
        <f t="shared" ref="M67:M98" ca="1" si="18">VLOOKUP(L67,$C$3:$G$127,2,FALSE)</f>
        <v>#N/A</v>
      </c>
      <c r="N67" s="798"/>
      <c r="O67" s="848">
        <f t="shared" ca="1" si="4"/>
        <v>0</v>
      </c>
      <c r="P67" s="848" t="e">
        <f t="shared" ca="1" si="5"/>
        <v>#N/A</v>
      </c>
      <c r="R67" s="848">
        <v>65</v>
      </c>
      <c r="S67" s="848" t="str">
        <f t="shared" ref="S67:S113" ca="1" si="19">IFERROR(IF(O67=O68,"",O67),O67)</f>
        <v/>
      </c>
      <c r="T67" s="848" t="str">
        <f t="shared" ref="T67:T98" ca="1" si="20">IF(S67="","",P67)</f>
        <v/>
      </c>
      <c r="U67" s="850" t="str">
        <f t="shared" ref="U67:U81" ca="1" si="21">IF(S67="","",R67)</f>
        <v/>
      </c>
      <c r="V67" s="7"/>
      <c r="W67" s="851" t="str">
        <f t="shared" ca="1" si="9"/>
        <v/>
      </c>
      <c r="X67" s="1580" t="str">
        <f t="shared" ca="1" si="10"/>
        <v/>
      </c>
      <c r="Y67" s="852" t="str">
        <f ca="1">'Action Plan finance'!I120</f>
        <v/>
      </c>
      <c r="Z67" s="1494" t="str">
        <f t="shared" ref="Z67:Z98" ca="1" si="22">IFERROR(VLOOKUP(W67,$G$3:$I$127,2,FALSE),"")</f>
        <v/>
      </c>
      <c r="AA67" s="1494" t="str">
        <f t="shared" ref="AA67:AA98" ca="1" si="23">IFERROR(VLOOKUP(W67,$G$3:$I$127,3,FALSE),"")</f>
        <v/>
      </c>
      <c r="AN67" s="1472" t="s">
        <v>3279</v>
      </c>
    </row>
    <row r="68" spans="2:40" x14ac:dyDescent="0.25">
      <c r="B68" s="8">
        <v>16</v>
      </c>
      <c r="C68" s="8">
        <f ca="1">IF(E68&lt;&gt;0,SUM(1,MAX($C$2:C67)),0)</f>
        <v>0</v>
      </c>
      <c r="D68" s="8" t="s">
        <v>880</v>
      </c>
      <c r="E68" s="844">
        <f ca="1">IF(B68&gt;INDIRECT(SUBSTITUTE(D68," ","_")) ActivatedCounts,0,MATCH($G$2,INDIRECT(CONCATENATE("'",D68,"'!e",INDIRECT(SUBSTITUTE(D68," ","_")) StartPoint+SUM(F67),":$e$500")),0))</f>
        <v>0</v>
      </c>
      <c r="F68" s="8" t="str">
        <f ca="1">IF(B68&gt;INDIRECT(SUBSTITUTE(D68," ","_")) ActivatedCounts,"",SUM(E68,F67))</f>
        <v/>
      </c>
      <c r="G68" s="795" t="e">
        <f ca="1">INDEX(INDIRECT(CONCATENATE("'",D68,"'!e",INDIRECT(SUBSTITUTE(D68," ","_")) StartPoint,":$f$500")),F68,2)</f>
        <v>#VALUE!</v>
      </c>
      <c r="H68" s="798" t="e">
        <f ca="1">INDEX(INDIRECT(CONCATENATE("'",D68,"'!e",INDIRECT(SUBSTITUTE(D68," ","_")) StartPoint,":$h$420")),F68,3)</f>
        <v>#VALUE!</v>
      </c>
      <c r="I68" s="798" t="e">
        <f ca="1">INDEX(INDIRECT(CONCATENATE("'",D68,"'!e",INDIRECT(SUBSTITUTE(D68," ","_")) StartPoint,":$h$420")),F68,4)</f>
        <v>#VALUE!</v>
      </c>
      <c r="J68" s="798"/>
      <c r="K68" s="846">
        <f t="shared" ca="1" si="17"/>
        <v>0</v>
      </c>
      <c r="L68" s="847">
        <v>66</v>
      </c>
      <c r="M68" s="795" t="e">
        <f t="shared" ca="1" si="18"/>
        <v>#N/A</v>
      </c>
      <c r="N68" s="798"/>
      <c r="O68" s="848">
        <f t="shared" ref="O68:O121" ca="1" si="24">IF(OR(K68=$AC$9,K68=$AC$10),$AC$8,IF(OR(K68=$AC$13,K68=$AC$14),$AC$12,IF(OR(K68=$AC$17,K68=$AC$18),$AC$16,K68)))</f>
        <v>0</v>
      </c>
      <c r="P68" s="848" t="e">
        <f t="shared" ref="P68:P114" ca="1" si="25">IF(M68=$O$1,"WS",IF(M68=$P$1,"WW","SW"))</f>
        <v>#N/A</v>
      </c>
      <c r="R68" s="848">
        <v>66</v>
      </c>
      <c r="S68" s="848" t="str">
        <f t="shared" ca="1" si="19"/>
        <v/>
      </c>
      <c r="T68" s="848" t="str">
        <f t="shared" ca="1" si="20"/>
        <v/>
      </c>
      <c r="U68" s="850" t="str">
        <f t="shared" ca="1" si="21"/>
        <v/>
      </c>
      <c r="V68" s="7"/>
      <c r="W68" s="851" t="str">
        <f t="shared" ref="W68:W125" ca="1" si="26">IF(ISERROR(SMALL($U$3:$U$127,R68)),"",INDEX($S$3:$S$127,SMALL($U$3:$U$127,R68)))</f>
        <v/>
      </c>
      <c r="X68" s="1580" t="str">
        <f t="shared" ref="X68:X125" ca="1" si="27">IF(ISERROR(SMALL($U$3:$U$127,R68)),"",INDEX($T$3:$T$127,SMALL($U$3:$U$127,R68)))</f>
        <v/>
      </c>
      <c r="Y68" s="852" t="str">
        <f ca="1">'Action Plan finance'!I121</f>
        <v/>
      </c>
      <c r="Z68" s="1494" t="str">
        <f t="shared" ca="1" si="22"/>
        <v/>
      </c>
      <c r="AA68" s="1494" t="str">
        <f t="shared" ca="1" si="23"/>
        <v/>
      </c>
      <c r="AN68" s="1472" t="s">
        <v>3280</v>
      </c>
    </row>
    <row r="69" spans="2:40" x14ac:dyDescent="0.25">
      <c r="B69" s="8">
        <v>17</v>
      </c>
      <c r="C69" s="8">
        <f ca="1">IF(E69&lt;&gt;0,SUM(1,MAX($C$2:C68)),0)</f>
        <v>0</v>
      </c>
      <c r="D69" s="8" t="s">
        <v>880</v>
      </c>
      <c r="E69" s="844">
        <f ca="1">IF(B69&gt;INDIRECT(SUBSTITUTE(D69," ","_")) ActivatedCounts,0,MATCH($G$2,INDIRECT(CONCATENATE("'",D69,"'!e",INDIRECT(SUBSTITUTE(D69," ","_")) StartPoint+SUM(F68),":$e$500")),0))</f>
        <v>0</v>
      </c>
      <c r="F69" s="8" t="str">
        <f ca="1">IF(B69&gt;INDIRECT(SUBSTITUTE(D69," ","_")) ActivatedCounts,"",SUM(E69,F68))</f>
        <v/>
      </c>
      <c r="G69" s="795" t="e">
        <f ca="1">INDEX(INDIRECT(CONCATENATE("'",D69,"'!e",INDIRECT(SUBSTITUTE(D69," ","_")) StartPoint,":$f$500")),F69,2)</f>
        <v>#VALUE!</v>
      </c>
      <c r="H69" s="798" t="e">
        <f ca="1">INDEX(INDIRECT(CONCATENATE("'",D69,"'!e",INDIRECT(SUBSTITUTE(D69," ","_")) StartPoint,":$h$420")),F69,3)</f>
        <v>#VALUE!</v>
      </c>
      <c r="I69" s="798" t="e">
        <f ca="1">INDEX(INDIRECT(CONCATENATE("'",D69,"'!e",INDIRECT(SUBSTITUTE(D69," ","_")) StartPoint,":$h$420")),F69,4)</f>
        <v>#VALUE!</v>
      </c>
      <c r="J69" s="798"/>
      <c r="K69" s="846">
        <f t="shared" ca="1" si="17"/>
        <v>0</v>
      </c>
      <c r="L69" s="847">
        <v>67</v>
      </c>
      <c r="M69" s="795" t="e">
        <f t="shared" ca="1" si="18"/>
        <v>#N/A</v>
      </c>
      <c r="N69" s="798"/>
      <c r="O69" s="848">
        <f t="shared" ca="1" si="24"/>
        <v>0</v>
      </c>
      <c r="P69" s="848" t="e">
        <f t="shared" ca="1" si="25"/>
        <v>#N/A</v>
      </c>
      <c r="R69" s="848">
        <v>67</v>
      </c>
      <c r="S69" s="848" t="str">
        <f t="shared" ca="1" si="19"/>
        <v/>
      </c>
      <c r="T69" s="848" t="str">
        <f t="shared" ca="1" si="20"/>
        <v/>
      </c>
      <c r="U69" s="850" t="str">
        <f t="shared" ca="1" si="21"/>
        <v/>
      </c>
      <c r="V69" s="7"/>
      <c r="W69" s="851" t="str">
        <f t="shared" ca="1" si="26"/>
        <v/>
      </c>
      <c r="X69" s="1580" t="str">
        <f t="shared" ca="1" si="27"/>
        <v/>
      </c>
      <c r="Y69" s="852" t="str">
        <f ca="1">'Action Plan finance'!I122</f>
        <v/>
      </c>
      <c r="Z69" s="1494" t="str">
        <f t="shared" ca="1" si="22"/>
        <v/>
      </c>
      <c r="AA69" s="1494" t="str">
        <f t="shared" ca="1" si="23"/>
        <v/>
      </c>
      <c r="AN69" s="1472" t="s">
        <v>3281</v>
      </c>
    </row>
    <row r="70" spans="2:40" x14ac:dyDescent="0.25">
      <c r="B70" s="8">
        <v>18</v>
      </c>
      <c r="C70" s="8">
        <f ca="1">IF(E70&lt;&gt;0,SUM(1,MAX($C$2:C69)),0)</f>
        <v>0</v>
      </c>
      <c r="D70" s="8" t="s">
        <v>880</v>
      </c>
      <c r="E70" s="844">
        <f ca="1">IF(B70&gt;INDIRECT(SUBSTITUTE(D70," ","_")) ActivatedCounts,0,MATCH($G$2,INDIRECT(CONCATENATE("'",D70,"'!e",INDIRECT(SUBSTITUTE(D70," ","_")) StartPoint+SUM(F69),":$e$500")),0))</f>
        <v>0</v>
      </c>
      <c r="F70" s="8" t="str">
        <f ca="1">IF(B70&gt;INDIRECT(SUBSTITUTE(D70," ","_")) ActivatedCounts,"",SUM(E70,F69))</f>
        <v/>
      </c>
      <c r="G70" s="795" t="e">
        <f ca="1">INDEX(INDIRECT(CONCATENATE("'",D70,"'!e",INDIRECT(SUBSTITUTE(D70," ","_")) StartPoint,":$f$500")),F70,2)</f>
        <v>#VALUE!</v>
      </c>
      <c r="H70" s="798" t="e">
        <f ca="1">INDEX(INDIRECT(CONCATENATE("'",D70,"'!e",INDIRECT(SUBSTITUTE(D70," ","_")) StartPoint,":$h$420")),F70,3)</f>
        <v>#VALUE!</v>
      </c>
      <c r="I70" s="798" t="e">
        <f ca="1">INDEX(INDIRECT(CONCATENATE("'",D70,"'!e",INDIRECT(SUBSTITUTE(D70," ","_")) StartPoint,":$h$420")),F70,4)</f>
        <v>#VALUE!</v>
      </c>
      <c r="J70" s="798"/>
      <c r="K70" s="846">
        <f t="shared" ca="1" si="17"/>
        <v>0</v>
      </c>
      <c r="L70" s="847">
        <v>68</v>
      </c>
      <c r="M70" s="795" t="e">
        <f t="shared" ca="1" si="18"/>
        <v>#N/A</v>
      </c>
      <c r="N70" s="798"/>
      <c r="O70" s="848">
        <f t="shared" ca="1" si="24"/>
        <v>0</v>
      </c>
      <c r="P70" s="848" t="e">
        <f t="shared" ca="1" si="25"/>
        <v>#N/A</v>
      </c>
      <c r="R70" s="848">
        <v>68</v>
      </c>
      <c r="S70" s="848" t="str">
        <f t="shared" ca="1" si="19"/>
        <v/>
      </c>
      <c r="T70" s="848" t="str">
        <f t="shared" ca="1" si="20"/>
        <v/>
      </c>
      <c r="U70" s="850" t="str">
        <f t="shared" ca="1" si="21"/>
        <v/>
      </c>
      <c r="V70" s="7"/>
      <c r="W70" s="851" t="str">
        <f t="shared" ca="1" si="26"/>
        <v/>
      </c>
      <c r="X70" s="1580" t="str">
        <f t="shared" ca="1" si="27"/>
        <v/>
      </c>
      <c r="Y70" s="852" t="str">
        <f ca="1">'Action Plan finance'!I123</f>
        <v/>
      </c>
      <c r="Z70" s="1494" t="str">
        <f t="shared" ca="1" si="22"/>
        <v/>
      </c>
      <c r="AA70" s="1494" t="str">
        <f t="shared" ca="1" si="23"/>
        <v/>
      </c>
      <c r="AN70" s="1472" t="s">
        <v>3282</v>
      </c>
    </row>
    <row r="71" spans="2:40" x14ac:dyDescent="0.25">
      <c r="B71" s="8">
        <v>19</v>
      </c>
      <c r="C71" s="8">
        <f ca="1">IF(E71&lt;&gt;0,SUM(1,MAX($C$2:C70)),0)</f>
        <v>0</v>
      </c>
      <c r="D71" s="8" t="s">
        <v>880</v>
      </c>
      <c r="E71" s="844">
        <f ca="1">IF(B71&gt;INDIRECT(SUBSTITUTE(D71," ","_")) ActivatedCounts,0,MATCH($G$2,INDIRECT(CONCATENATE("'",D71,"'!e",INDIRECT(SUBSTITUTE(D71," ","_")) StartPoint+SUM(F70),":$e$500")),0))</f>
        <v>0</v>
      </c>
      <c r="F71" s="8" t="str">
        <f ca="1">IF(B71&gt;INDIRECT(SUBSTITUTE(D71," ","_")) ActivatedCounts,"",SUM(E71,F70))</f>
        <v/>
      </c>
      <c r="G71" s="795" t="e">
        <f ca="1">INDEX(INDIRECT(CONCATENATE("'",D71,"'!e",INDIRECT(SUBSTITUTE(D71," ","_")) StartPoint,":$f$500")),F71,2)</f>
        <v>#VALUE!</v>
      </c>
      <c r="H71" s="798" t="e">
        <f ca="1">INDEX(INDIRECT(CONCATENATE("'",D71,"'!e",INDIRECT(SUBSTITUTE(D71," ","_")) StartPoint,":$h$420")),F71,3)</f>
        <v>#VALUE!</v>
      </c>
      <c r="I71" s="798" t="e">
        <f ca="1">INDEX(INDIRECT(CONCATENATE("'",D71,"'!e",INDIRECT(SUBSTITUTE(D71," ","_")) StartPoint,":$h$420")),F71,4)</f>
        <v>#VALUE!</v>
      </c>
      <c r="J71" s="798"/>
      <c r="K71" s="846">
        <f t="shared" ca="1" si="17"/>
        <v>0</v>
      </c>
      <c r="L71" s="847">
        <v>69</v>
      </c>
      <c r="M71" s="795" t="e">
        <f t="shared" ca="1" si="18"/>
        <v>#N/A</v>
      </c>
      <c r="N71" s="798"/>
      <c r="O71" s="848">
        <f t="shared" ca="1" si="24"/>
        <v>0</v>
      </c>
      <c r="P71" s="848" t="e">
        <f t="shared" ca="1" si="25"/>
        <v>#N/A</v>
      </c>
      <c r="R71" s="848">
        <v>69</v>
      </c>
      <c r="S71" s="848" t="str">
        <f t="shared" ca="1" si="19"/>
        <v/>
      </c>
      <c r="T71" s="848" t="str">
        <f t="shared" ca="1" si="20"/>
        <v/>
      </c>
      <c r="U71" s="850" t="str">
        <f t="shared" ca="1" si="21"/>
        <v/>
      </c>
      <c r="V71" s="7"/>
      <c r="W71" s="851" t="str">
        <f t="shared" ca="1" si="26"/>
        <v/>
      </c>
      <c r="X71" s="1580" t="str">
        <f t="shared" ca="1" si="27"/>
        <v/>
      </c>
      <c r="Y71" s="852" t="str">
        <f ca="1">'Action Plan finance'!I124</f>
        <v/>
      </c>
      <c r="Z71" s="1494" t="str">
        <f t="shared" ca="1" si="22"/>
        <v/>
      </c>
      <c r="AA71" s="1494" t="str">
        <f t="shared" ca="1" si="23"/>
        <v/>
      </c>
      <c r="AN71" s="1472" t="s">
        <v>3283</v>
      </c>
    </row>
    <row r="72" spans="2:40" x14ac:dyDescent="0.25">
      <c r="B72" s="8">
        <v>20</v>
      </c>
      <c r="C72" s="8">
        <f ca="1">IF(E72&lt;&gt;0,SUM(1,MAX($C$2:C71)),0)</f>
        <v>0</v>
      </c>
      <c r="D72" s="8" t="s">
        <v>880</v>
      </c>
      <c r="E72" s="844">
        <f ca="1">IF(B72&gt;INDIRECT(SUBSTITUTE(D72," ","_")) ActivatedCounts,0,MATCH($G$2,INDIRECT(CONCATENATE("'",D72,"'!e",INDIRECT(SUBSTITUTE(D72," ","_")) StartPoint+SUM(F71),":$e$500")),0))</f>
        <v>0</v>
      </c>
      <c r="F72" s="8" t="str">
        <f ca="1">IF(B72&gt;INDIRECT(SUBSTITUTE(D72," ","_")) ActivatedCounts,"",SUM(E72,F71))</f>
        <v/>
      </c>
      <c r="G72" s="795" t="e">
        <f ca="1">INDEX(INDIRECT(CONCATENATE("'",D72,"'!e",INDIRECT(SUBSTITUTE(D72," ","_")) StartPoint,":$f$500")),F72,2)</f>
        <v>#VALUE!</v>
      </c>
      <c r="H72" s="798" t="e">
        <f ca="1">INDEX(INDIRECT(CONCATENATE("'",D72,"'!e",INDIRECT(SUBSTITUTE(D72," ","_")) StartPoint,":$h$420")),F72,3)</f>
        <v>#VALUE!</v>
      </c>
      <c r="I72" s="798" t="e">
        <f ca="1">INDEX(INDIRECT(CONCATENATE("'",D72,"'!e",INDIRECT(SUBSTITUTE(D72," ","_")) StartPoint,":$h$420")),F72,4)</f>
        <v>#VALUE!</v>
      </c>
      <c r="J72" s="798"/>
      <c r="K72" s="846">
        <f t="shared" ca="1" si="17"/>
        <v>0</v>
      </c>
      <c r="L72" s="847">
        <v>70</v>
      </c>
      <c r="M72" s="795" t="e">
        <f t="shared" ca="1" si="18"/>
        <v>#N/A</v>
      </c>
      <c r="N72" s="798"/>
      <c r="O72" s="848">
        <f t="shared" ca="1" si="24"/>
        <v>0</v>
      </c>
      <c r="P72" s="848" t="e">
        <f t="shared" ca="1" si="25"/>
        <v>#N/A</v>
      </c>
      <c r="R72" s="848">
        <v>70</v>
      </c>
      <c r="S72" s="848" t="str">
        <f t="shared" ca="1" si="19"/>
        <v/>
      </c>
      <c r="T72" s="848" t="str">
        <f t="shared" ca="1" si="20"/>
        <v/>
      </c>
      <c r="U72" s="850" t="str">
        <f t="shared" ca="1" si="21"/>
        <v/>
      </c>
      <c r="V72" s="7"/>
      <c r="W72" s="851" t="str">
        <f t="shared" ca="1" si="26"/>
        <v/>
      </c>
      <c r="X72" s="1580" t="str">
        <f t="shared" ca="1" si="27"/>
        <v/>
      </c>
      <c r="Y72" s="852" t="str">
        <f ca="1">'Action Plan finance'!I125</f>
        <v/>
      </c>
      <c r="Z72" s="1494" t="str">
        <f t="shared" ca="1" si="22"/>
        <v/>
      </c>
      <c r="AA72" s="1494" t="str">
        <f t="shared" ca="1" si="23"/>
        <v/>
      </c>
      <c r="AN72" s="1472" t="s">
        <v>3284</v>
      </c>
    </row>
    <row r="73" spans="2:40" x14ac:dyDescent="0.25">
      <c r="B73" s="8">
        <v>21</v>
      </c>
      <c r="C73" s="8">
        <f ca="1">IF(E73&lt;&gt;0,SUM(1,MAX($C$2:C72)),0)</f>
        <v>0</v>
      </c>
      <c r="D73" s="8" t="s">
        <v>880</v>
      </c>
      <c r="E73" s="844">
        <f ca="1">IF(B73&gt;INDIRECT(SUBSTITUTE(D73," ","_")) ActivatedCounts,0,MATCH($G$2,INDIRECT(CONCATENATE("'",D73,"'!e",INDIRECT(SUBSTITUTE(D73," ","_")) StartPoint+SUM(F72),":$e$500")),0))</f>
        <v>0</v>
      </c>
      <c r="F73" s="8" t="str">
        <f ca="1">IF(B73&gt;INDIRECT(SUBSTITUTE(D73," ","_")) ActivatedCounts,"",SUM(E73,F72))</f>
        <v/>
      </c>
      <c r="G73" s="795" t="e">
        <f ca="1">INDEX(INDIRECT(CONCATENATE("'",D73,"'!e",INDIRECT(SUBSTITUTE(D73," ","_")) StartPoint,":$f$500")),F73,2)</f>
        <v>#VALUE!</v>
      </c>
      <c r="H73" s="798" t="e">
        <f ca="1">INDEX(INDIRECT(CONCATENATE("'",D73,"'!e",INDIRECT(SUBSTITUTE(D73," ","_")) StartPoint,":$h$420")),F73,3)</f>
        <v>#VALUE!</v>
      </c>
      <c r="I73" s="798" t="e">
        <f ca="1">INDEX(INDIRECT(CONCATENATE("'",D73,"'!e",INDIRECT(SUBSTITUTE(D73," ","_")) StartPoint,":$h$420")),F73,4)</f>
        <v>#VALUE!</v>
      </c>
      <c r="J73" s="798"/>
      <c r="K73" s="846">
        <f t="shared" ca="1" si="17"/>
        <v>0</v>
      </c>
      <c r="L73" s="847">
        <v>71</v>
      </c>
      <c r="M73" s="795" t="e">
        <f t="shared" ca="1" si="18"/>
        <v>#N/A</v>
      </c>
      <c r="N73" s="798"/>
      <c r="O73" s="848">
        <f t="shared" ca="1" si="24"/>
        <v>0</v>
      </c>
      <c r="P73" s="848" t="e">
        <f t="shared" ca="1" si="25"/>
        <v>#N/A</v>
      </c>
      <c r="R73" s="848">
        <v>71</v>
      </c>
      <c r="S73" s="848" t="str">
        <f t="shared" ca="1" si="19"/>
        <v/>
      </c>
      <c r="T73" s="848" t="str">
        <f t="shared" ca="1" si="20"/>
        <v/>
      </c>
      <c r="U73" s="850" t="str">
        <f t="shared" ca="1" si="21"/>
        <v/>
      </c>
      <c r="V73" s="7"/>
      <c r="W73" s="851" t="str">
        <f t="shared" ca="1" si="26"/>
        <v/>
      </c>
      <c r="X73" s="1580" t="str">
        <f t="shared" ca="1" si="27"/>
        <v/>
      </c>
      <c r="Y73" s="852" t="str">
        <f ca="1">'Action Plan finance'!I126</f>
        <v/>
      </c>
      <c r="Z73" s="1494" t="str">
        <f t="shared" ca="1" si="22"/>
        <v/>
      </c>
      <c r="AA73" s="1494" t="str">
        <f t="shared" ca="1" si="23"/>
        <v/>
      </c>
      <c r="AN73" s="1472" t="s">
        <v>3285</v>
      </c>
    </row>
    <row r="74" spans="2:40" x14ac:dyDescent="0.25">
      <c r="B74" s="8">
        <v>22</v>
      </c>
      <c r="C74" s="8">
        <f ca="1">IF(E74&lt;&gt;0,SUM(1,MAX($C$2:C73)),0)</f>
        <v>0</v>
      </c>
      <c r="D74" s="8" t="s">
        <v>880</v>
      </c>
      <c r="E74" s="844">
        <f ca="1">IF(B74&gt;INDIRECT(SUBSTITUTE(D74," ","_")) ActivatedCounts,0,MATCH($G$2,INDIRECT(CONCATENATE("'",D74,"'!e",INDIRECT(SUBSTITUTE(D74," ","_")) StartPoint+SUM(F73),":$e$500")),0))</f>
        <v>0</v>
      </c>
      <c r="F74" s="8" t="str">
        <f ca="1">IF(B74&gt;INDIRECT(SUBSTITUTE(D74," ","_")) ActivatedCounts,"",SUM(E74,F73))</f>
        <v/>
      </c>
      <c r="G74" s="795" t="e">
        <f ca="1">INDEX(INDIRECT(CONCATENATE("'",D74,"'!e",INDIRECT(SUBSTITUTE(D74," ","_")) StartPoint,":$f$500")),F74,2)</f>
        <v>#VALUE!</v>
      </c>
      <c r="H74" s="798" t="e">
        <f ca="1">INDEX(INDIRECT(CONCATENATE("'",D74,"'!e",INDIRECT(SUBSTITUTE(D74," ","_")) StartPoint,":$h$420")),F74,3)</f>
        <v>#VALUE!</v>
      </c>
      <c r="I74" s="798" t="e">
        <f ca="1">INDEX(INDIRECT(CONCATENATE("'",D74,"'!e",INDIRECT(SUBSTITUTE(D74," ","_")) StartPoint,":$h$420")),F74,4)</f>
        <v>#VALUE!</v>
      </c>
      <c r="J74" s="798"/>
      <c r="K74" s="846">
        <f t="shared" ca="1" si="17"/>
        <v>0</v>
      </c>
      <c r="L74" s="847">
        <v>72</v>
      </c>
      <c r="M74" s="795" t="e">
        <f t="shared" ca="1" si="18"/>
        <v>#N/A</v>
      </c>
      <c r="N74" s="798"/>
      <c r="O74" s="848">
        <f t="shared" ca="1" si="24"/>
        <v>0</v>
      </c>
      <c r="P74" s="848" t="e">
        <f t="shared" ca="1" si="25"/>
        <v>#N/A</v>
      </c>
      <c r="R74" s="848">
        <v>72</v>
      </c>
      <c r="S74" s="848" t="str">
        <f t="shared" ca="1" si="19"/>
        <v/>
      </c>
      <c r="T74" s="848" t="str">
        <f t="shared" ca="1" si="20"/>
        <v/>
      </c>
      <c r="U74" s="850" t="str">
        <f t="shared" ca="1" si="21"/>
        <v/>
      </c>
      <c r="V74" s="7"/>
      <c r="W74" s="851" t="str">
        <f t="shared" ca="1" si="26"/>
        <v/>
      </c>
      <c r="X74" s="1580" t="str">
        <f t="shared" ca="1" si="27"/>
        <v/>
      </c>
      <c r="Y74" s="852" t="str">
        <f ca="1">'Action Plan finance'!I127</f>
        <v/>
      </c>
      <c r="Z74" s="1494" t="str">
        <f t="shared" ca="1" si="22"/>
        <v/>
      </c>
      <c r="AA74" s="1494" t="str">
        <f t="shared" ca="1" si="23"/>
        <v/>
      </c>
      <c r="AN74" s="1472" t="s">
        <v>3286</v>
      </c>
    </row>
    <row r="75" spans="2:40" x14ac:dyDescent="0.25">
      <c r="B75" s="8">
        <v>23</v>
      </c>
      <c r="C75" s="8">
        <f ca="1">IF(E75&lt;&gt;0,SUM(1,MAX($C$2:C74)),0)</f>
        <v>0</v>
      </c>
      <c r="D75" s="8" t="s">
        <v>880</v>
      </c>
      <c r="E75" s="844">
        <f ca="1">IF(B75&gt;INDIRECT(SUBSTITUTE(D75," ","_")) ActivatedCounts,0,MATCH($G$2,INDIRECT(CONCATENATE("'",D75,"'!e",INDIRECT(SUBSTITUTE(D75," ","_")) StartPoint+SUM(F74),":$e$500")),0))</f>
        <v>0</v>
      </c>
      <c r="F75" s="8" t="str">
        <f ca="1">IF(B75&gt;INDIRECT(SUBSTITUTE(D75," ","_")) ActivatedCounts,"",SUM(E75,F74))</f>
        <v/>
      </c>
      <c r="G75" s="795" t="e">
        <f ca="1">INDEX(INDIRECT(CONCATENATE("'",D75,"'!e",INDIRECT(SUBSTITUTE(D75," ","_")) StartPoint,":$f$500")),F75,2)</f>
        <v>#VALUE!</v>
      </c>
      <c r="H75" s="798" t="e">
        <f ca="1">INDEX(INDIRECT(CONCATENATE("'",D75,"'!e",INDIRECT(SUBSTITUTE(D75," ","_")) StartPoint,":$h$420")),F75,3)</f>
        <v>#VALUE!</v>
      </c>
      <c r="I75" s="798" t="e">
        <f ca="1">INDEX(INDIRECT(CONCATENATE("'",D75,"'!e",INDIRECT(SUBSTITUTE(D75," ","_")) StartPoint,":$h$420")),F75,4)</f>
        <v>#VALUE!</v>
      </c>
      <c r="J75" s="798"/>
      <c r="K75" s="846">
        <f t="shared" ca="1" si="17"/>
        <v>0</v>
      </c>
      <c r="L75" s="847">
        <v>73</v>
      </c>
      <c r="M75" s="795" t="e">
        <f t="shared" ca="1" si="18"/>
        <v>#N/A</v>
      </c>
      <c r="N75" s="798"/>
      <c r="O75" s="848">
        <f t="shared" ca="1" si="24"/>
        <v>0</v>
      </c>
      <c r="P75" s="848" t="e">
        <f t="shared" ca="1" si="25"/>
        <v>#N/A</v>
      </c>
      <c r="R75" s="848">
        <v>73</v>
      </c>
      <c r="S75" s="848" t="str">
        <f t="shared" ca="1" si="19"/>
        <v/>
      </c>
      <c r="T75" s="848" t="str">
        <f t="shared" ca="1" si="20"/>
        <v/>
      </c>
      <c r="U75" s="850" t="str">
        <f t="shared" ca="1" si="21"/>
        <v/>
      </c>
      <c r="V75" s="7"/>
      <c r="W75" s="851" t="str">
        <f t="shared" ca="1" si="26"/>
        <v/>
      </c>
      <c r="X75" s="1580" t="str">
        <f t="shared" ca="1" si="27"/>
        <v/>
      </c>
      <c r="Y75" s="852" t="str">
        <f ca="1">'Action Plan finance'!I128</f>
        <v/>
      </c>
      <c r="Z75" s="1494" t="str">
        <f t="shared" ca="1" si="22"/>
        <v/>
      </c>
      <c r="AA75" s="1494" t="str">
        <f t="shared" ca="1" si="23"/>
        <v/>
      </c>
      <c r="AN75" s="1472" t="s">
        <v>3287</v>
      </c>
    </row>
    <row r="76" spans="2:40" x14ac:dyDescent="0.25">
      <c r="B76" s="8">
        <v>24</v>
      </c>
      <c r="C76" s="8">
        <f ca="1">IF(E76&lt;&gt;0,SUM(1,MAX($C$2:C75)),0)</f>
        <v>0</v>
      </c>
      <c r="D76" s="8" t="s">
        <v>880</v>
      </c>
      <c r="E76" s="844">
        <f ca="1">IF(B76&gt;INDIRECT(SUBSTITUTE(D76," ","_")) ActivatedCounts,0,MATCH($G$2,INDIRECT(CONCATENATE("'",D76,"'!e",INDIRECT(SUBSTITUTE(D76," ","_")) StartPoint+SUM(F75),":$e$500")),0))</f>
        <v>0</v>
      </c>
      <c r="F76" s="8" t="str">
        <f ca="1">IF(B76&gt;INDIRECT(SUBSTITUTE(D76," ","_")) ActivatedCounts,"",SUM(E76,F75))</f>
        <v/>
      </c>
      <c r="G76" s="795" t="e">
        <f ca="1">INDEX(INDIRECT(CONCATENATE("'",D76,"'!e",INDIRECT(SUBSTITUTE(D76," ","_")) StartPoint,":$f$500")),F76,2)</f>
        <v>#VALUE!</v>
      </c>
      <c r="H76" s="798" t="e">
        <f ca="1">INDEX(INDIRECT(CONCATENATE("'",D76,"'!e",INDIRECT(SUBSTITUTE(D76," ","_")) StartPoint,":$h$420")),F76,3)</f>
        <v>#VALUE!</v>
      </c>
      <c r="I76" s="798" t="e">
        <f ca="1">INDEX(INDIRECT(CONCATENATE("'",D76,"'!e",INDIRECT(SUBSTITUTE(D76," ","_")) StartPoint,":$h$420")),F76,4)</f>
        <v>#VALUE!</v>
      </c>
      <c r="J76" s="798"/>
      <c r="K76" s="846">
        <f t="shared" ca="1" si="17"/>
        <v>0</v>
      </c>
      <c r="L76" s="847">
        <v>74</v>
      </c>
      <c r="M76" s="795" t="e">
        <f t="shared" ca="1" si="18"/>
        <v>#N/A</v>
      </c>
      <c r="N76" s="798"/>
      <c r="O76" s="848">
        <f t="shared" ca="1" si="24"/>
        <v>0</v>
      </c>
      <c r="P76" s="848" t="e">
        <f t="shared" ca="1" si="25"/>
        <v>#N/A</v>
      </c>
      <c r="R76" s="848">
        <v>74</v>
      </c>
      <c r="S76" s="848" t="str">
        <f t="shared" ca="1" si="19"/>
        <v/>
      </c>
      <c r="T76" s="848" t="str">
        <f t="shared" ca="1" si="20"/>
        <v/>
      </c>
      <c r="U76" s="850" t="str">
        <f t="shared" ca="1" si="21"/>
        <v/>
      </c>
      <c r="V76" s="7"/>
      <c r="W76" s="851" t="str">
        <f t="shared" ca="1" si="26"/>
        <v/>
      </c>
      <c r="X76" s="1580" t="str">
        <f t="shared" ca="1" si="27"/>
        <v/>
      </c>
      <c r="Y76" s="852" t="str">
        <f ca="1">'Action Plan finance'!I129</f>
        <v/>
      </c>
      <c r="Z76" s="1494" t="str">
        <f t="shared" ca="1" si="22"/>
        <v/>
      </c>
      <c r="AA76" s="1494" t="str">
        <f t="shared" ca="1" si="23"/>
        <v/>
      </c>
      <c r="AN76" s="1472" t="s">
        <v>3288</v>
      </c>
    </row>
    <row r="77" spans="2:40" x14ac:dyDescent="0.25">
      <c r="B77" s="8">
        <v>25</v>
      </c>
      <c r="C77" s="8">
        <f ca="1">IF(E77&lt;&gt;0,SUM(1,MAX($C$2:C76)),0)</f>
        <v>0</v>
      </c>
      <c r="D77" s="8" t="s">
        <v>880</v>
      </c>
      <c r="E77" s="844">
        <f ca="1">IF(B77&gt;INDIRECT(SUBSTITUTE(D77," ","_")) ActivatedCounts,0,MATCH($G$2,INDIRECT(CONCATENATE("'",D77,"'!e",INDIRECT(SUBSTITUTE(D77," ","_")) StartPoint+SUM(F76),":$e$500")),0))</f>
        <v>0</v>
      </c>
      <c r="F77" s="8" t="str">
        <f ca="1">IF(B77&gt;INDIRECT(SUBSTITUTE(D77," ","_")) ActivatedCounts,"",SUM(E77,F76))</f>
        <v/>
      </c>
      <c r="G77" s="795" t="e">
        <f ca="1">INDEX(INDIRECT(CONCATENATE("'",D77,"'!e",INDIRECT(SUBSTITUTE(D77," ","_")) StartPoint,":$f$500")),F77,2)</f>
        <v>#VALUE!</v>
      </c>
      <c r="H77" s="798" t="e">
        <f ca="1">INDEX(INDIRECT(CONCATENATE("'",D77,"'!e",INDIRECT(SUBSTITUTE(D77," ","_")) StartPoint,":$h$420")),F77,3)</f>
        <v>#VALUE!</v>
      </c>
      <c r="I77" s="798" t="e">
        <f ca="1">INDEX(INDIRECT(CONCATENATE("'",D77,"'!e",INDIRECT(SUBSTITUTE(D77," ","_")) StartPoint,":$h$420")),F77,4)</f>
        <v>#VALUE!</v>
      </c>
      <c r="J77" s="798"/>
      <c r="K77" s="846">
        <f t="shared" ca="1" si="17"/>
        <v>0</v>
      </c>
      <c r="L77" s="847">
        <v>75</v>
      </c>
      <c r="M77" s="795" t="e">
        <f t="shared" ca="1" si="18"/>
        <v>#N/A</v>
      </c>
      <c r="N77" s="798"/>
      <c r="O77" s="848">
        <f t="shared" ca="1" si="24"/>
        <v>0</v>
      </c>
      <c r="P77" s="848" t="e">
        <f t="shared" ca="1" si="25"/>
        <v>#N/A</v>
      </c>
      <c r="R77" s="848">
        <v>75</v>
      </c>
      <c r="S77" s="848" t="str">
        <f t="shared" ca="1" si="19"/>
        <v/>
      </c>
      <c r="T77" s="848" t="str">
        <f t="shared" ca="1" si="20"/>
        <v/>
      </c>
      <c r="U77" s="850" t="str">
        <f t="shared" ca="1" si="21"/>
        <v/>
      </c>
      <c r="V77" s="7"/>
      <c r="W77" s="851" t="str">
        <f t="shared" ca="1" si="26"/>
        <v/>
      </c>
      <c r="X77" s="1580" t="str">
        <f t="shared" ca="1" si="27"/>
        <v/>
      </c>
      <c r="Y77" s="852" t="str">
        <f ca="1">'Action Plan finance'!I130</f>
        <v/>
      </c>
      <c r="Z77" s="1494" t="str">
        <f t="shared" ca="1" si="22"/>
        <v/>
      </c>
      <c r="AA77" s="1494" t="str">
        <f t="shared" ca="1" si="23"/>
        <v/>
      </c>
      <c r="AN77" s="1472" t="s">
        <v>3289</v>
      </c>
    </row>
    <row r="78" spans="2:40" x14ac:dyDescent="0.25">
      <c r="B78" s="8">
        <v>26</v>
      </c>
      <c r="C78" s="8">
        <f ca="1">IF(E78&lt;&gt;0,SUM(1,MAX($C$2:C77)),0)</f>
        <v>0</v>
      </c>
      <c r="D78" s="8" t="s">
        <v>880</v>
      </c>
      <c r="E78" s="844">
        <f ca="1">IF(B78&gt;INDIRECT(SUBSTITUTE(D78," ","_")) ActivatedCounts,0,MATCH($G$2,INDIRECT(CONCATENATE("'",D78,"'!e",INDIRECT(SUBSTITUTE(D78," ","_")) StartPoint+SUM(F77),":$e$500")),0))</f>
        <v>0</v>
      </c>
      <c r="F78" s="8" t="str">
        <f ca="1">IF(B78&gt;INDIRECT(SUBSTITUTE(D78," ","_")) ActivatedCounts,"",SUM(E78,F77))</f>
        <v/>
      </c>
      <c r="G78" s="795" t="e">
        <f ca="1">INDEX(INDIRECT(CONCATENATE("'",D78,"'!e",INDIRECT(SUBSTITUTE(D78," ","_")) StartPoint,":$f$500")),F78,2)</f>
        <v>#VALUE!</v>
      </c>
      <c r="H78" s="798" t="e">
        <f ca="1">INDEX(INDIRECT(CONCATENATE("'",D78,"'!e",INDIRECT(SUBSTITUTE(D78," ","_")) StartPoint,":$h$420")),F78,3)</f>
        <v>#VALUE!</v>
      </c>
      <c r="I78" s="798" t="e">
        <f ca="1">INDEX(INDIRECT(CONCATENATE("'",D78,"'!e",INDIRECT(SUBSTITUTE(D78," ","_")) StartPoint,":$h$420")),F78,4)</f>
        <v>#VALUE!</v>
      </c>
      <c r="J78" s="798"/>
      <c r="K78" s="846">
        <f t="shared" ca="1" si="17"/>
        <v>0</v>
      </c>
      <c r="L78" s="847">
        <v>76</v>
      </c>
      <c r="M78" s="795" t="e">
        <f t="shared" ca="1" si="18"/>
        <v>#N/A</v>
      </c>
      <c r="N78" s="798"/>
      <c r="O78" s="848">
        <f t="shared" ca="1" si="24"/>
        <v>0</v>
      </c>
      <c r="P78" s="848" t="e">
        <f t="shared" ca="1" si="25"/>
        <v>#N/A</v>
      </c>
      <c r="R78" s="848">
        <v>76</v>
      </c>
      <c r="S78" s="848" t="str">
        <f t="shared" ca="1" si="19"/>
        <v/>
      </c>
      <c r="T78" s="848" t="str">
        <f t="shared" ca="1" si="20"/>
        <v/>
      </c>
      <c r="U78" s="850" t="str">
        <f t="shared" ca="1" si="21"/>
        <v/>
      </c>
      <c r="V78" s="7"/>
      <c r="W78" s="851" t="str">
        <f t="shared" ca="1" si="26"/>
        <v/>
      </c>
      <c r="X78" s="1580" t="str">
        <f t="shared" ca="1" si="27"/>
        <v/>
      </c>
      <c r="Y78" s="852" t="str">
        <f ca="1">'Action Plan finance'!I131</f>
        <v/>
      </c>
      <c r="Z78" s="1494" t="str">
        <f t="shared" ca="1" si="22"/>
        <v/>
      </c>
      <c r="AA78" s="1494" t="str">
        <f t="shared" ca="1" si="23"/>
        <v/>
      </c>
      <c r="AN78" s="1472" t="s">
        <v>3290</v>
      </c>
    </row>
    <row r="79" spans="2:40" x14ac:dyDescent="0.25">
      <c r="B79" s="8">
        <v>27</v>
      </c>
      <c r="C79" s="8">
        <f ca="1">IF(E79&lt;&gt;0,SUM(1,MAX($C$2:C78)),0)</f>
        <v>0</v>
      </c>
      <c r="D79" s="8" t="s">
        <v>880</v>
      </c>
      <c r="E79" s="844">
        <f ca="1">IF(B79&gt;INDIRECT(SUBSTITUTE(D79," ","_")) ActivatedCounts,0,MATCH($G$2,INDIRECT(CONCATENATE("'",D79,"'!e",INDIRECT(SUBSTITUTE(D79," ","_")) StartPoint+SUM(F78),":$e$500")),0))</f>
        <v>0</v>
      </c>
      <c r="F79" s="8" t="str">
        <f ca="1">IF(B79&gt;INDIRECT(SUBSTITUTE(D79," ","_")) ActivatedCounts,"",SUM(E79,F78))</f>
        <v/>
      </c>
      <c r="G79" s="795" t="e">
        <f ca="1">INDEX(INDIRECT(CONCATENATE("'",D79,"'!e",INDIRECT(SUBSTITUTE(D79," ","_")) StartPoint,":$f$500")),F79,2)</f>
        <v>#VALUE!</v>
      </c>
      <c r="H79" s="798" t="e">
        <f ca="1">INDEX(INDIRECT(CONCATENATE("'",D79,"'!e",INDIRECT(SUBSTITUTE(D79," ","_")) StartPoint,":$h$420")),F79,3)</f>
        <v>#VALUE!</v>
      </c>
      <c r="I79" s="798" t="e">
        <f ca="1">INDEX(INDIRECT(CONCATENATE("'",D79,"'!e",INDIRECT(SUBSTITUTE(D79," ","_")) StartPoint,":$h$420")),F79,4)</f>
        <v>#VALUE!</v>
      </c>
      <c r="J79" s="798"/>
      <c r="K79" s="846">
        <f t="shared" ca="1" si="17"/>
        <v>0</v>
      </c>
      <c r="L79" s="847">
        <v>77</v>
      </c>
      <c r="M79" s="795" t="e">
        <f t="shared" ca="1" si="18"/>
        <v>#N/A</v>
      </c>
      <c r="N79" s="798"/>
      <c r="O79" s="848">
        <f t="shared" ca="1" si="24"/>
        <v>0</v>
      </c>
      <c r="P79" s="848" t="e">
        <f t="shared" ca="1" si="25"/>
        <v>#N/A</v>
      </c>
      <c r="R79" s="848">
        <v>77</v>
      </c>
      <c r="S79" s="848" t="str">
        <f t="shared" ca="1" si="19"/>
        <v/>
      </c>
      <c r="T79" s="848" t="str">
        <f t="shared" ca="1" si="20"/>
        <v/>
      </c>
      <c r="U79" s="850" t="str">
        <f t="shared" ca="1" si="21"/>
        <v/>
      </c>
      <c r="V79" s="7"/>
      <c r="W79" s="851" t="str">
        <f t="shared" ca="1" si="26"/>
        <v/>
      </c>
      <c r="X79" s="1580" t="str">
        <f t="shared" ca="1" si="27"/>
        <v/>
      </c>
      <c r="Y79" s="852" t="str">
        <f ca="1">'Action Plan finance'!I132</f>
        <v/>
      </c>
      <c r="Z79" s="1494" t="str">
        <f t="shared" ca="1" si="22"/>
        <v/>
      </c>
      <c r="AA79" s="1494" t="str">
        <f t="shared" ca="1" si="23"/>
        <v/>
      </c>
      <c r="AN79" s="1472" t="s">
        <v>3291</v>
      </c>
    </row>
    <row r="80" spans="2:40" x14ac:dyDescent="0.25">
      <c r="B80" s="8">
        <v>28</v>
      </c>
      <c r="C80" s="8">
        <f ca="1">IF(E80&lt;&gt;0,SUM(1,MAX($C$2:C79)),0)</f>
        <v>0</v>
      </c>
      <c r="D80" s="8" t="s">
        <v>880</v>
      </c>
      <c r="E80" s="844">
        <f ca="1">IF(B80&gt;INDIRECT(SUBSTITUTE(D80," ","_")) ActivatedCounts,0,MATCH($G$2,INDIRECT(CONCATENATE("'",D80,"'!e",INDIRECT(SUBSTITUTE(D80," ","_")) StartPoint+SUM(F79),":$e$500")),0))</f>
        <v>0</v>
      </c>
      <c r="F80" s="8" t="str">
        <f ca="1">IF(B80&gt;INDIRECT(SUBSTITUTE(D80," ","_")) ActivatedCounts,"",SUM(E80,F79))</f>
        <v/>
      </c>
      <c r="G80" s="795" t="e">
        <f ca="1">INDEX(INDIRECT(CONCATENATE("'",D80,"'!e",INDIRECT(SUBSTITUTE(D80," ","_")) StartPoint,":$f$500")),F80,2)</f>
        <v>#VALUE!</v>
      </c>
      <c r="H80" s="798" t="e">
        <f ca="1">INDEX(INDIRECT(CONCATENATE("'",D80,"'!e",INDIRECT(SUBSTITUTE(D80," ","_")) StartPoint,":$h$420")),F80,3)</f>
        <v>#VALUE!</v>
      </c>
      <c r="I80" s="798" t="e">
        <f ca="1">INDEX(INDIRECT(CONCATENATE("'",D80,"'!e",INDIRECT(SUBSTITUTE(D80," ","_")) StartPoint,":$h$420")),F80,4)</f>
        <v>#VALUE!</v>
      </c>
      <c r="J80" s="798"/>
      <c r="K80" s="846">
        <f t="shared" ca="1" si="17"/>
        <v>0</v>
      </c>
      <c r="L80" s="847">
        <v>78</v>
      </c>
      <c r="M80" s="795" t="e">
        <f t="shared" ca="1" si="18"/>
        <v>#N/A</v>
      </c>
      <c r="N80" s="798"/>
      <c r="O80" s="848">
        <f t="shared" ca="1" si="24"/>
        <v>0</v>
      </c>
      <c r="P80" s="848" t="e">
        <f t="shared" ca="1" si="25"/>
        <v>#N/A</v>
      </c>
      <c r="R80" s="848">
        <v>78</v>
      </c>
      <c r="S80" s="848" t="str">
        <f t="shared" ca="1" si="19"/>
        <v/>
      </c>
      <c r="T80" s="848" t="str">
        <f t="shared" ca="1" si="20"/>
        <v/>
      </c>
      <c r="U80" s="850" t="str">
        <f t="shared" ca="1" si="21"/>
        <v/>
      </c>
      <c r="V80" s="7"/>
      <c r="W80" s="851" t="str">
        <f t="shared" ca="1" si="26"/>
        <v/>
      </c>
      <c r="X80" s="1580" t="str">
        <f t="shared" ca="1" si="27"/>
        <v/>
      </c>
      <c r="Y80" s="852" t="str">
        <f ca="1">'Action Plan finance'!I133</f>
        <v/>
      </c>
      <c r="Z80" s="1494" t="str">
        <f t="shared" ca="1" si="22"/>
        <v/>
      </c>
      <c r="AA80" s="1494" t="str">
        <f t="shared" ca="1" si="23"/>
        <v/>
      </c>
      <c r="AN80" s="1472" t="s">
        <v>3292</v>
      </c>
    </row>
    <row r="81" spans="2:40" x14ac:dyDescent="0.25">
      <c r="B81" s="8">
        <v>29</v>
      </c>
      <c r="C81" s="8">
        <f ca="1">IF(E81&lt;&gt;0,SUM(1,MAX($C$2:C80)),0)</f>
        <v>0</v>
      </c>
      <c r="D81" s="8" t="s">
        <v>880</v>
      </c>
      <c r="E81" s="844">
        <f ca="1">IF(B81&gt;INDIRECT(SUBSTITUTE(D81," ","_")) ActivatedCounts,0,MATCH($G$2,INDIRECT(CONCATENATE("'",D81,"'!e",INDIRECT(SUBSTITUTE(D81," ","_")) StartPoint+SUM(F80),":$e$500")),0))</f>
        <v>0</v>
      </c>
      <c r="F81" s="8" t="str">
        <f ca="1">IF(B81&gt;INDIRECT(SUBSTITUTE(D81," ","_")) ActivatedCounts,"",SUM(E81,F80))</f>
        <v/>
      </c>
      <c r="G81" s="795" t="e">
        <f ca="1">INDEX(INDIRECT(CONCATENATE("'",D81,"'!e",INDIRECT(SUBSTITUTE(D81," ","_")) StartPoint,":$f$500")),F81,2)</f>
        <v>#VALUE!</v>
      </c>
      <c r="H81" s="798" t="e">
        <f ca="1">INDEX(INDIRECT(CONCATENATE("'",D81,"'!e",INDIRECT(SUBSTITUTE(D81," ","_")) StartPoint,":$h$420")),F81,3)</f>
        <v>#VALUE!</v>
      </c>
      <c r="I81" s="798" t="e">
        <f ca="1">INDEX(INDIRECT(CONCATENATE("'",D81,"'!e",INDIRECT(SUBSTITUTE(D81," ","_")) StartPoint,":$h$420")),F81,4)</f>
        <v>#VALUE!</v>
      </c>
      <c r="J81" s="798"/>
      <c r="K81" s="846">
        <f t="shared" ca="1" si="17"/>
        <v>0</v>
      </c>
      <c r="L81" s="847">
        <v>79</v>
      </c>
      <c r="M81" s="795" t="e">
        <f t="shared" ca="1" si="18"/>
        <v>#N/A</v>
      </c>
      <c r="N81" s="798"/>
      <c r="O81" s="848">
        <f t="shared" ca="1" si="24"/>
        <v>0</v>
      </c>
      <c r="P81" s="848" t="e">
        <f t="shared" ca="1" si="25"/>
        <v>#N/A</v>
      </c>
      <c r="R81" s="848">
        <v>79</v>
      </c>
      <c r="S81" s="848" t="str">
        <f t="shared" ca="1" si="19"/>
        <v/>
      </c>
      <c r="T81" s="848" t="str">
        <f t="shared" ca="1" si="20"/>
        <v/>
      </c>
      <c r="U81" s="850" t="str">
        <f t="shared" ca="1" si="21"/>
        <v/>
      </c>
      <c r="V81" s="7"/>
      <c r="W81" s="851" t="str">
        <f t="shared" ca="1" si="26"/>
        <v/>
      </c>
      <c r="X81" s="1580" t="str">
        <f t="shared" ca="1" si="27"/>
        <v/>
      </c>
      <c r="Y81" s="852" t="str">
        <f ca="1">'Action Plan finance'!I134</f>
        <v/>
      </c>
      <c r="Z81" s="1494" t="str">
        <f t="shared" ca="1" si="22"/>
        <v/>
      </c>
      <c r="AA81" s="1494" t="str">
        <f t="shared" ca="1" si="23"/>
        <v/>
      </c>
      <c r="AN81" s="1472" t="s">
        <v>3293</v>
      </c>
    </row>
    <row r="82" spans="2:40" x14ac:dyDescent="0.25">
      <c r="B82" s="8">
        <v>30</v>
      </c>
      <c r="C82" s="8">
        <f ca="1">IF(E82&lt;&gt;0,SUM(1,MAX($C$2:C81)),0)</f>
        <v>0</v>
      </c>
      <c r="D82" s="8" t="s">
        <v>880</v>
      </c>
      <c r="E82" s="844">
        <f ca="1">IF(B82&gt;INDIRECT(SUBSTITUTE(D82," ","_")) ActivatedCounts,0,MATCH($G$2,INDIRECT(CONCATENATE("'",D82,"'!e",INDIRECT(SUBSTITUTE(D82," ","_")) StartPoint+SUM(F81),":$e$500")),0))</f>
        <v>0</v>
      </c>
      <c r="F82" s="8" t="str">
        <f ca="1">IF(B82&gt;INDIRECT(SUBSTITUTE(D82," ","_")) ActivatedCounts,"",SUM(E82,F81))</f>
        <v/>
      </c>
      <c r="G82" s="795" t="e">
        <f ca="1">INDEX(INDIRECT(CONCATENATE("'",D82,"'!e",INDIRECT(SUBSTITUTE(D82," ","_")) StartPoint,":$f$500")),F82,2)</f>
        <v>#VALUE!</v>
      </c>
      <c r="H82" s="798" t="e">
        <f ca="1">INDEX(INDIRECT(CONCATENATE("'",D82,"'!e",INDIRECT(SUBSTITUTE(D82," ","_")) StartPoint,":$h$420")),F82,3)</f>
        <v>#VALUE!</v>
      </c>
      <c r="I82" s="798" t="e">
        <f ca="1">INDEX(INDIRECT(CONCATENATE("'",D82,"'!e",INDIRECT(SUBSTITUTE(D82," ","_")) StartPoint,":$h$420")),F82,4)</f>
        <v>#VALUE!</v>
      </c>
      <c r="J82" s="798"/>
      <c r="K82" s="846">
        <f t="shared" ca="1" si="17"/>
        <v>0</v>
      </c>
      <c r="L82" s="847">
        <v>80</v>
      </c>
      <c r="M82" s="795" t="e">
        <f t="shared" ca="1" si="18"/>
        <v>#N/A</v>
      </c>
      <c r="N82" s="798"/>
      <c r="O82" s="848">
        <f t="shared" ca="1" si="24"/>
        <v>0</v>
      </c>
      <c r="P82" s="848" t="e">
        <f t="shared" ca="1" si="25"/>
        <v>#N/A</v>
      </c>
      <c r="R82" s="848">
        <v>80</v>
      </c>
      <c r="S82" s="848" t="str">
        <f t="shared" ca="1" si="19"/>
        <v/>
      </c>
      <c r="T82" s="848" t="str">
        <f t="shared" ca="1" si="20"/>
        <v/>
      </c>
      <c r="U82" s="850" t="str">
        <f ca="1">IF(S82="","",R82)</f>
        <v/>
      </c>
      <c r="V82" s="843"/>
      <c r="W82" s="851" t="str">
        <f t="shared" ca="1" si="26"/>
        <v/>
      </c>
      <c r="X82" s="1580" t="str">
        <f t="shared" ca="1" si="27"/>
        <v/>
      </c>
      <c r="Y82" s="852" t="str">
        <f ca="1">'Action Plan finance'!I135</f>
        <v/>
      </c>
      <c r="Z82" s="1494" t="str">
        <f t="shared" ca="1" si="22"/>
        <v/>
      </c>
      <c r="AA82" s="1494" t="str">
        <f t="shared" ca="1" si="23"/>
        <v/>
      </c>
      <c r="AN82" s="1472" t="s">
        <v>3294</v>
      </c>
    </row>
    <row r="83" spans="2:40" x14ac:dyDescent="0.25">
      <c r="B83" s="8">
        <v>31</v>
      </c>
      <c r="C83" s="8">
        <f ca="1">IF(E83&lt;&gt;0,SUM(1,MAX($C$2:C82)),0)</f>
        <v>0</v>
      </c>
      <c r="D83" s="8" t="s">
        <v>880</v>
      </c>
      <c r="E83" s="844">
        <f ca="1">IF(B83&gt;INDIRECT(SUBSTITUTE(D83," ","_")) ActivatedCounts,0,MATCH($G$2,INDIRECT(CONCATENATE("'",D83,"'!e",INDIRECT(SUBSTITUTE(D83," ","_")) StartPoint+SUM(F82),":$e$500")),0))</f>
        <v>0</v>
      </c>
      <c r="F83" s="8" t="str">
        <f ca="1">IF(B83&gt;INDIRECT(SUBSTITUTE(D83," ","_")) ActivatedCounts,"",SUM(E83,F82))</f>
        <v/>
      </c>
      <c r="G83" s="795" t="e">
        <f ca="1">INDEX(INDIRECT(CONCATENATE("'",D83,"'!e",INDIRECT(SUBSTITUTE(D83," ","_")) StartPoint,":$f$500")),F83,2)</f>
        <v>#VALUE!</v>
      </c>
      <c r="H83" s="798" t="e">
        <f ca="1">INDEX(INDIRECT(CONCATENATE("'",D83,"'!e",INDIRECT(SUBSTITUTE(D83," ","_")) StartPoint,":$h$420")),F83,3)</f>
        <v>#VALUE!</v>
      </c>
      <c r="I83" s="798" t="e">
        <f ca="1">INDEX(INDIRECT(CONCATENATE("'",D83,"'!e",INDIRECT(SUBSTITUTE(D83," ","_")) StartPoint,":$h$420")),F83,4)</f>
        <v>#VALUE!</v>
      </c>
      <c r="J83" s="798"/>
      <c r="K83" s="846">
        <f t="shared" ca="1" si="17"/>
        <v>0</v>
      </c>
      <c r="L83" s="847">
        <v>81</v>
      </c>
      <c r="M83" s="795" t="e">
        <f t="shared" ca="1" si="18"/>
        <v>#N/A</v>
      </c>
      <c r="N83" s="798"/>
      <c r="O83" s="848">
        <f t="shared" ca="1" si="24"/>
        <v>0</v>
      </c>
      <c r="P83" s="848" t="e">
        <f t="shared" ca="1" si="25"/>
        <v>#N/A</v>
      </c>
      <c r="R83" s="848">
        <v>81</v>
      </c>
      <c r="S83" s="848" t="str">
        <f t="shared" ca="1" si="19"/>
        <v/>
      </c>
      <c r="T83" s="848" t="str">
        <f t="shared" ca="1" si="20"/>
        <v/>
      </c>
      <c r="U83" s="850" t="str">
        <f t="shared" ref="U83:U114" ca="1" si="28">IF(S83="","",R83)</f>
        <v/>
      </c>
      <c r="V83" s="843"/>
      <c r="W83" s="851" t="str">
        <f t="shared" ca="1" si="26"/>
        <v/>
      </c>
      <c r="X83" s="1580" t="str">
        <f t="shared" ca="1" si="27"/>
        <v/>
      </c>
      <c r="Y83" s="852" t="str">
        <f ca="1">'Action Plan finance'!I136</f>
        <v/>
      </c>
      <c r="Z83" s="1494" t="str">
        <f t="shared" ca="1" si="22"/>
        <v/>
      </c>
      <c r="AA83" s="1494" t="str">
        <f t="shared" ca="1" si="23"/>
        <v/>
      </c>
      <c r="AN83" s="1472" t="s">
        <v>3295</v>
      </c>
    </row>
    <row r="84" spans="2:40" x14ac:dyDescent="0.25">
      <c r="B84" s="8">
        <v>32</v>
      </c>
      <c r="C84" s="8">
        <f ca="1">IF(E84&lt;&gt;0,SUM(1,MAX($C$2:C83)),0)</f>
        <v>0</v>
      </c>
      <c r="D84" s="8" t="s">
        <v>880</v>
      </c>
      <c r="E84" s="844">
        <f ca="1">IF(B84&gt;INDIRECT(SUBSTITUTE(D84," ","_")) ActivatedCounts,0,MATCH($G$2,INDIRECT(CONCATENATE("'",D84,"'!e",INDIRECT(SUBSTITUTE(D84," ","_")) StartPoint+SUM(F83),":$e$500")),0))</f>
        <v>0</v>
      </c>
      <c r="F84" s="8" t="str">
        <f ca="1">IF(B84&gt;INDIRECT(SUBSTITUTE(D84," ","_")) ActivatedCounts,"",SUM(E84,F83))</f>
        <v/>
      </c>
      <c r="G84" s="795" t="e">
        <f ca="1">INDEX(INDIRECT(CONCATENATE("'",D84,"'!e",INDIRECT(SUBSTITUTE(D84," ","_")) StartPoint,":$f$500")),F84,2)</f>
        <v>#VALUE!</v>
      </c>
      <c r="H84" s="798" t="e">
        <f ca="1">INDEX(INDIRECT(CONCATENATE("'",D84,"'!e",INDIRECT(SUBSTITUTE(D84," ","_")) StartPoint,":$h$420")),F84,3)</f>
        <v>#VALUE!</v>
      </c>
      <c r="I84" s="798" t="e">
        <f ca="1">INDEX(INDIRECT(CONCATENATE("'",D84,"'!e",INDIRECT(SUBSTITUTE(D84," ","_")) StartPoint,":$h$420")),F84,4)</f>
        <v>#VALUE!</v>
      </c>
      <c r="J84" s="798"/>
      <c r="K84" s="846">
        <f t="shared" ca="1" si="17"/>
        <v>0</v>
      </c>
      <c r="L84" s="847">
        <v>82</v>
      </c>
      <c r="M84" s="795" t="e">
        <f t="shared" ca="1" si="18"/>
        <v>#N/A</v>
      </c>
      <c r="N84" s="798"/>
      <c r="O84" s="848">
        <f t="shared" ca="1" si="24"/>
        <v>0</v>
      </c>
      <c r="P84" s="848" t="e">
        <f t="shared" ca="1" si="25"/>
        <v>#N/A</v>
      </c>
      <c r="R84" s="848">
        <v>82</v>
      </c>
      <c r="S84" s="848" t="str">
        <f t="shared" ca="1" si="19"/>
        <v/>
      </c>
      <c r="T84" s="848" t="str">
        <f t="shared" ca="1" si="20"/>
        <v/>
      </c>
      <c r="U84" s="850" t="str">
        <f t="shared" ca="1" si="28"/>
        <v/>
      </c>
      <c r="V84" s="843"/>
      <c r="W84" s="851" t="str">
        <f t="shared" ca="1" si="26"/>
        <v/>
      </c>
      <c r="X84" s="1580" t="str">
        <f t="shared" ca="1" si="27"/>
        <v/>
      </c>
      <c r="Y84" s="852" t="str">
        <f ca="1">'Action Plan finance'!I137</f>
        <v/>
      </c>
      <c r="Z84" s="1494" t="str">
        <f t="shared" ca="1" si="22"/>
        <v/>
      </c>
      <c r="AA84" s="1494" t="str">
        <f t="shared" ca="1" si="23"/>
        <v/>
      </c>
      <c r="AN84" s="1472" t="s">
        <v>3296</v>
      </c>
    </row>
    <row r="85" spans="2:40" x14ac:dyDescent="0.25">
      <c r="B85" s="8">
        <v>33</v>
      </c>
      <c r="C85" s="8">
        <f ca="1">IF(E85&lt;&gt;0,SUM(1,MAX($C$2:C84)),0)</f>
        <v>0</v>
      </c>
      <c r="D85" s="8" t="s">
        <v>880</v>
      </c>
      <c r="E85" s="844">
        <f ca="1">IF(B85&gt;INDIRECT(SUBSTITUTE(D85," ","_")) ActivatedCounts,0,MATCH($G$2,INDIRECT(CONCATENATE("'",D85,"'!e",INDIRECT(SUBSTITUTE(D85," ","_")) StartPoint+SUM(F84),":$e$500")),0))</f>
        <v>0</v>
      </c>
      <c r="F85" s="8" t="str">
        <f ca="1">IF(B85&gt;INDIRECT(SUBSTITUTE(D85," ","_")) ActivatedCounts,"",SUM(E85,F84))</f>
        <v/>
      </c>
      <c r="G85" s="795" t="e">
        <f ca="1">INDEX(INDIRECT(CONCATENATE("'",D85,"'!e",INDIRECT(SUBSTITUTE(D85," ","_")) StartPoint,":$f$500")),F85,2)</f>
        <v>#VALUE!</v>
      </c>
      <c r="H85" s="798" t="e">
        <f ca="1">INDEX(INDIRECT(CONCATENATE("'",D85,"'!e",INDIRECT(SUBSTITUTE(D85," ","_")) StartPoint,":$h$420")),F85,3)</f>
        <v>#VALUE!</v>
      </c>
      <c r="I85" s="798" t="e">
        <f ca="1">INDEX(INDIRECT(CONCATENATE("'",D85,"'!e",INDIRECT(SUBSTITUTE(D85," ","_")) StartPoint,":$h$420")),F85,4)</f>
        <v>#VALUE!</v>
      </c>
      <c r="J85" s="798"/>
      <c r="K85" s="846">
        <f t="shared" ca="1" si="17"/>
        <v>0</v>
      </c>
      <c r="L85" s="847">
        <v>83</v>
      </c>
      <c r="M85" s="795" t="e">
        <f t="shared" ca="1" si="18"/>
        <v>#N/A</v>
      </c>
      <c r="N85" s="798"/>
      <c r="O85" s="848">
        <f t="shared" ca="1" si="24"/>
        <v>0</v>
      </c>
      <c r="P85" s="848" t="e">
        <f t="shared" ca="1" si="25"/>
        <v>#N/A</v>
      </c>
      <c r="R85" s="848">
        <v>83</v>
      </c>
      <c r="S85" s="848" t="str">
        <f t="shared" ca="1" si="19"/>
        <v/>
      </c>
      <c r="T85" s="848" t="str">
        <f t="shared" ca="1" si="20"/>
        <v/>
      </c>
      <c r="U85" s="850" t="str">
        <f t="shared" ca="1" si="28"/>
        <v/>
      </c>
      <c r="V85" s="843"/>
      <c r="W85" s="851" t="str">
        <f t="shared" ca="1" si="26"/>
        <v/>
      </c>
      <c r="X85" s="1580" t="str">
        <f t="shared" ca="1" si="27"/>
        <v/>
      </c>
      <c r="Y85" s="852" t="str">
        <f ca="1">'Action Plan finance'!I138</f>
        <v/>
      </c>
      <c r="Z85" s="1494" t="str">
        <f t="shared" ca="1" si="22"/>
        <v/>
      </c>
      <c r="AA85" s="1494" t="str">
        <f t="shared" ca="1" si="23"/>
        <v/>
      </c>
      <c r="AN85" s="1472" t="s">
        <v>3297</v>
      </c>
    </row>
    <row r="86" spans="2:40" x14ac:dyDescent="0.25">
      <c r="B86" s="8">
        <v>34</v>
      </c>
      <c r="C86" s="8">
        <f ca="1">IF(E86&lt;&gt;0,SUM(1,MAX($C$2:C85)),0)</f>
        <v>0</v>
      </c>
      <c r="D86" s="8" t="s">
        <v>880</v>
      </c>
      <c r="E86" s="844">
        <f ca="1">IF(B86&gt;INDIRECT(SUBSTITUTE(D86," ","_")) ActivatedCounts,0,MATCH($G$2,INDIRECT(CONCATENATE("'",D86,"'!e",INDIRECT(SUBSTITUTE(D86," ","_")) StartPoint+SUM(F85),":$e$500")),0))</f>
        <v>0</v>
      </c>
      <c r="F86" s="8" t="str">
        <f ca="1">IF(B86&gt;INDIRECT(SUBSTITUTE(D86," ","_")) ActivatedCounts,"",SUM(E86,F85))</f>
        <v/>
      </c>
      <c r="G86" s="795" t="e">
        <f ca="1">INDEX(INDIRECT(CONCATENATE("'",D86,"'!e",INDIRECT(SUBSTITUTE(D86," ","_")) StartPoint,":$f$500")),F86,2)</f>
        <v>#VALUE!</v>
      </c>
      <c r="H86" s="798" t="e">
        <f ca="1">INDEX(INDIRECT(CONCATENATE("'",D86,"'!e",INDIRECT(SUBSTITUTE(D86," ","_")) StartPoint,":$h$420")),F86,3)</f>
        <v>#VALUE!</v>
      </c>
      <c r="I86" s="798" t="e">
        <f ca="1">INDEX(INDIRECT(CONCATENATE("'",D86,"'!e",INDIRECT(SUBSTITUTE(D86," ","_")) StartPoint,":$h$420")),F86,4)</f>
        <v>#VALUE!</v>
      </c>
      <c r="J86" s="798"/>
      <c r="K86" s="846">
        <f t="shared" ca="1" si="17"/>
        <v>0</v>
      </c>
      <c r="L86" s="847">
        <v>84</v>
      </c>
      <c r="M86" s="795" t="e">
        <f t="shared" ca="1" si="18"/>
        <v>#N/A</v>
      </c>
      <c r="N86" s="798"/>
      <c r="O86" s="848">
        <f t="shared" ca="1" si="24"/>
        <v>0</v>
      </c>
      <c r="P86" s="848" t="e">
        <f t="shared" ca="1" si="25"/>
        <v>#N/A</v>
      </c>
      <c r="R86" s="848">
        <v>84</v>
      </c>
      <c r="S86" s="848" t="str">
        <f t="shared" ca="1" si="19"/>
        <v/>
      </c>
      <c r="T86" s="848" t="str">
        <f t="shared" ca="1" si="20"/>
        <v/>
      </c>
      <c r="U86" s="850" t="str">
        <f t="shared" ca="1" si="28"/>
        <v/>
      </c>
      <c r="V86" s="843"/>
      <c r="W86" s="851" t="str">
        <f t="shared" ca="1" si="26"/>
        <v/>
      </c>
      <c r="X86" s="1580" t="str">
        <f t="shared" ca="1" si="27"/>
        <v/>
      </c>
      <c r="Y86" s="852" t="str">
        <f ca="1">'Action Plan finance'!I139</f>
        <v/>
      </c>
      <c r="Z86" s="1494" t="str">
        <f t="shared" ca="1" si="22"/>
        <v/>
      </c>
      <c r="AA86" s="1494" t="str">
        <f t="shared" ca="1" si="23"/>
        <v/>
      </c>
      <c r="AN86" s="1472" t="s">
        <v>3298</v>
      </c>
    </row>
    <row r="87" spans="2:40" x14ac:dyDescent="0.25">
      <c r="B87" s="8">
        <v>35</v>
      </c>
      <c r="C87" s="8">
        <f ca="1">IF(E87&lt;&gt;0,SUM(1,MAX($C$2:C86)),0)</f>
        <v>0</v>
      </c>
      <c r="D87" s="8" t="s">
        <v>880</v>
      </c>
      <c r="E87" s="844">
        <f ca="1">IF(B87&gt;INDIRECT(SUBSTITUTE(D87," ","_")) ActivatedCounts,0,MATCH($G$2,INDIRECT(CONCATENATE("'",D87,"'!e",INDIRECT(SUBSTITUTE(D87," ","_")) StartPoint+SUM(F86),":$e$500")),0))</f>
        <v>0</v>
      </c>
      <c r="F87" s="8" t="str">
        <f ca="1">IF(B87&gt;INDIRECT(SUBSTITUTE(D87," ","_")) ActivatedCounts,"",SUM(E87,F86))</f>
        <v/>
      </c>
      <c r="G87" s="795" t="e">
        <f ca="1">INDEX(INDIRECT(CONCATENATE("'",D87,"'!e",INDIRECT(SUBSTITUTE(D87," ","_")) StartPoint,":$f$500")),F87,2)</f>
        <v>#VALUE!</v>
      </c>
      <c r="H87" s="798" t="e">
        <f ca="1">INDEX(INDIRECT(CONCATENATE("'",D87,"'!e",INDIRECT(SUBSTITUTE(D87," ","_")) StartPoint,":$h$420")),F87,3)</f>
        <v>#VALUE!</v>
      </c>
      <c r="I87" s="798" t="e">
        <f ca="1">INDEX(INDIRECT(CONCATENATE("'",D87,"'!e",INDIRECT(SUBSTITUTE(D87," ","_")) StartPoint,":$h$420")),F87,4)</f>
        <v>#VALUE!</v>
      </c>
      <c r="J87" s="798"/>
      <c r="K87" s="846">
        <f t="shared" ca="1" si="17"/>
        <v>0</v>
      </c>
      <c r="L87" s="847">
        <v>85</v>
      </c>
      <c r="M87" s="795" t="e">
        <f t="shared" ca="1" si="18"/>
        <v>#N/A</v>
      </c>
      <c r="N87" s="798"/>
      <c r="O87" s="848">
        <f t="shared" ca="1" si="24"/>
        <v>0</v>
      </c>
      <c r="P87" s="848" t="e">
        <f t="shared" ca="1" si="25"/>
        <v>#N/A</v>
      </c>
      <c r="R87" s="848">
        <v>85</v>
      </c>
      <c r="S87" s="848" t="str">
        <f t="shared" ca="1" si="19"/>
        <v/>
      </c>
      <c r="T87" s="848" t="str">
        <f t="shared" ca="1" si="20"/>
        <v/>
      </c>
      <c r="U87" s="850" t="str">
        <f t="shared" ca="1" si="28"/>
        <v/>
      </c>
      <c r="V87" s="843"/>
      <c r="W87" s="851" t="str">
        <f t="shared" ca="1" si="26"/>
        <v/>
      </c>
      <c r="X87" s="1580" t="str">
        <f t="shared" ca="1" si="27"/>
        <v/>
      </c>
      <c r="Y87" s="852" t="str">
        <f ca="1">'Action Plan finance'!I140</f>
        <v/>
      </c>
      <c r="Z87" s="1494" t="str">
        <f t="shared" ca="1" si="22"/>
        <v/>
      </c>
      <c r="AA87" s="1494" t="str">
        <f t="shared" ca="1" si="23"/>
        <v/>
      </c>
      <c r="AN87" s="1472" t="s">
        <v>3299</v>
      </c>
    </row>
    <row r="88" spans="2:40" x14ac:dyDescent="0.25">
      <c r="B88" s="8">
        <v>36</v>
      </c>
      <c r="C88" s="8">
        <f ca="1">IF(E88&lt;&gt;0,SUM(1,MAX($C$2:C87)),0)</f>
        <v>0</v>
      </c>
      <c r="D88" s="8" t="s">
        <v>880</v>
      </c>
      <c r="E88" s="844">
        <f ca="1">IF(B88&gt;INDIRECT(SUBSTITUTE(D88," ","_")) ActivatedCounts,0,MATCH($G$2,INDIRECT(CONCATENATE("'",D88,"'!e",INDIRECT(SUBSTITUTE(D88," ","_")) StartPoint+SUM(F87),":$e$500")),0))</f>
        <v>0</v>
      </c>
      <c r="F88" s="8" t="str">
        <f ca="1">IF(B88&gt;INDIRECT(SUBSTITUTE(D88," ","_")) ActivatedCounts,"",SUM(E88,F87))</f>
        <v/>
      </c>
      <c r="G88" s="795" t="e">
        <f ca="1">INDEX(INDIRECT(CONCATENATE("'",D88,"'!e",INDIRECT(SUBSTITUTE(D88," ","_")) StartPoint,":$f$500")),F88,2)</f>
        <v>#VALUE!</v>
      </c>
      <c r="H88" s="798" t="e">
        <f ca="1">INDEX(INDIRECT(CONCATENATE("'",D88,"'!e",INDIRECT(SUBSTITUTE(D88," ","_")) StartPoint,":$h$420")),F88,3)</f>
        <v>#VALUE!</v>
      </c>
      <c r="I88" s="798" t="e">
        <f ca="1">INDEX(INDIRECT(CONCATENATE("'",D88,"'!e",INDIRECT(SUBSTITUTE(D88," ","_")) StartPoint,":$h$420")),F88,4)</f>
        <v>#VALUE!</v>
      </c>
      <c r="J88" s="798"/>
      <c r="K88" s="846">
        <f t="shared" ca="1" si="17"/>
        <v>0</v>
      </c>
      <c r="L88" s="847">
        <v>86</v>
      </c>
      <c r="M88" s="795" t="e">
        <f t="shared" ca="1" si="18"/>
        <v>#N/A</v>
      </c>
      <c r="N88" s="798"/>
      <c r="O88" s="848">
        <f t="shared" ca="1" si="24"/>
        <v>0</v>
      </c>
      <c r="P88" s="848" t="e">
        <f t="shared" ca="1" si="25"/>
        <v>#N/A</v>
      </c>
      <c r="R88" s="848">
        <v>86</v>
      </c>
      <c r="S88" s="848" t="str">
        <f t="shared" ca="1" si="19"/>
        <v/>
      </c>
      <c r="T88" s="848" t="str">
        <f t="shared" ca="1" si="20"/>
        <v/>
      </c>
      <c r="U88" s="850" t="str">
        <f t="shared" ca="1" si="28"/>
        <v/>
      </c>
      <c r="V88" s="843"/>
      <c r="W88" s="851" t="str">
        <f t="shared" ca="1" si="26"/>
        <v/>
      </c>
      <c r="X88" s="1580" t="str">
        <f t="shared" ca="1" si="27"/>
        <v/>
      </c>
      <c r="Y88" s="852" t="str">
        <f ca="1">'Action Plan finance'!I141</f>
        <v/>
      </c>
      <c r="Z88" s="1494" t="str">
        <f t="shared" ca="1" si="22"/>
        <v/>
      </c>
      <c r="AA88" s="1494" t="str">
        <f t="shared" ca="1" si="23"/>
        <v/>
      </c>
      <c r="AN88" s="1472" t="s">
        <v>3300</v>
      </c>
    </row>
    <row r="89" spans="2:40" x14ac:dyDescent="0.25">
      <c r="B89" s="8">
        <v>37</v>
      </c>
      <c r="C89" s="8">
        <f ca="1">IF(E89&lt;&gt;0,SUM(1,MAX($C$2:C88)),0)</f>
        <v>0</v>
      </c>
      <c r="D89" s="8" t="s">
        <v>880</v>
      </c>
      <c r="E89" s="844">
        <f ca="1">IF(B89&gt;INDIRECT(SUBSTITUTE(D89," ","_")) ActivatedCounts,0,MATCH($G$2,INDIRECT(CONCATENATE("'",D89,"'!e",INDIRECT(SUBSTITUTE(D89," ","_")) StartPoint+SUM(F88),":$e$500")),0))</f>
        <v>0</v>
      </c>
      <c r="F89" s="8" t="str">
        <f ca="1">IF(B89&gt;INDIRECT(SUBSTITUTE(D89," ","_")) ActivatedCounts,"",SUM(E89,F88))</f>
        <v/>
      </c>
      <c r="G89" s="795" t="e">
        <f ca="1">INDEX(INDIRECT(CONCATENATE("'",D89,"'!e",INDIRECT(SUBSTITUTE(D89," ","_")) StartPoint,":$f$500")),F89,2)</f>
        <v>#VALUE!</v>
      </c>
      <c r="H89" s="798" t="e">
        <f ca="1">INDEX(INDIRECT(CONCATENATE("'",D89,"'!e",INDIRECT(SUBSTITUTE(D89," ","_")) StartPoint,":$h$420")),F89,3)</f>
        <v>#VALUE!</v>
      </c>
      <c r="I89" s="798" t="e">
        <f ca="1">INDEX(INDIRECT(CONCATENATE("'",D89,"'!e",INDIRECT(SUBSTITUTE(D89," ","_")) StartPoint,":$h$420")),F89,4)</f>
        <v>#VALUE!</v>
      </c>
      <c r="J89" s="798"/>
      <c r="K89" s="846">
        <f t="shared" ca="1" si="17"/>
        <v>0</v>
      </c>
      <c r="L89" s="847">
        <v>87</v>
      </c>
      <c r="M89" s="795" t="e">
        <f t="shared" ca="1" si="18"/>
        <v>#N/A</v>
      </c>
      <c r="N89" s="798"/>
      <c r="O89" s="848">
        <f t="shared" ca="1" si="24"/>
        <v>0</v>
      </c>
      <c r="P89" s="848" t="e">
        <f t="shared" ca="1" si="25"/>
        <v>#N/A</v>
      </c>
      <c r="R89" s="848">
        <v>87</v>
      </c>
      <c r="S89" s="848" t="str">
        <f t="shared" ca="1" si="19"/>
        <v/>
      </c>
      <c r="T89" s="848" t="str">
        <f t="shared" ca="1" si="20"/>
        <v/>
      </c>
      <c r="U89" s="850" t="str">
        <f t="shared" ca="1" si="28"/>
        <v/>
      </c>
      <c r="V89" s="843"/>
      <c r="W89" s="851" t="str">
        <f t="shared" ca="1" si="26"/>
        <v/>
      </c>
      <c r="X89" s="1580" t="str">
        <f t="shared" ca="1" si="27"/>
        <v/>
      </c>
      <c r="Y89" s="852" t="str">
        <f ca="1">'Action Plan finance'!I142</f>
        <v/>
      </c>
      <c r="Z89" s="1494" t="str">
        <f t="shared" ca="1" si="22"/>
        <v/>
      </c>
      <c r="AA89" s="1494" t="str">
        <f t="shared" ca="1" si="23"/>
        <v/>
      </c>
      <c r="AN89" s="1472" t="s">
        <v>3301</v>
      </c>
    </row>
    <row r="90" spans="2:40" x14ac:dyDescent="0.25">
      <c r="B90" s="8">
        <v>38</v>
      </c>
      <c r="C90" s="8">
        <f ca="1">IF(E90&lt;&gt;0,SUM(1,MAX($C$2:C89)),0)</f>
        <v>0</v>
      </c>
      <c r="D90" s="8" t="s">
        <v>880</v>
      </c>
      <c r="E90" s="844">
        <f ca="1">IF(B90&gt;INDIRECT(SUBSTITUTE(D90," ","_")) ActivatedCounts,0,MATCH($G$2,INDIRECT(CONCATENATE("'",D90,"'!e",INDIRECT(SUBSTITUTE(D90," ","_")) StartPoint+SUM(F89),":$e$500")),0))</f>
        <v>0</v>
      </c>
      <c r="F90" s="8" t="str">
        <f ca="1">IF(B90&gt;INDIRECT(SUBSTITUTE(D90," ","_")) ActivatedCounts,"",SUM(E90,F89))</f>
        <v/>
      </c>
      <c r="G90" s="795" t="e">
        <f ca="1">INDEX(INDIRECT(CONCATENATE("'",D90,"'!e",INDIRECT(SUBSTITUTE(D90," ","_")) StartPoint,":$f$500")),F90,2)</f>
        <v>#VALUE!</v>
      </c>
      <c r="H90" s="798" t="e">
        <f ca="1">INDEX(INDIRECT(CONCATENATE("'",D90,"'!e",INDIRECT(SUBSTITUTE(D90," ","_")) StartPoint,":$h$420")),F90,3)</f>
        <v>#VALUE!</v>
      </c>
      <c r="I90" s="798" t="e">
        <f ca="1">INDEX(INDIRECT(CONCATENATE("'",D90,"'!e",INDIRECT(SUBSTITUTE(D90," ","_")) StartPoint,":$h$420")),F90,4)</f>
        <v>#VALUE!</v>
      </c>
      <c r="J90" s="798"/>
      <c r="K90" s="846">
        <f t="shared" ca="1" si="17"/>
        <v>0</v>
      </c>
      <c r="L90" s="847">
        <v>88</v>
      </c>
      <c r="M90" s="795" t="e">
        <f t="shared" ca="1" si="18"/>
        <v>#N/A</v>
      </c>
      <c r="N90" s="798"/>
      <c r="O90" s="848">
        <f t="shared" ca="1" si="24"/>
        <v>0</v>
      </c>
      <c r="P90" s="848" t="e">
        <f t="shared" ca="1" si="25"/>
        <v>#N/A</v>
      </c>
      <c r="R90" s="848">
        <v>88</v>
      </c>
      <c r="S90" s="848" t="str">
        <f t="shared" ca="1" si="19"/>
        <v/>
      </c>
      <c r="T90" s="848" t="str">
        <f t="shared" ca="1" si="20"/>
        <v/>
      </c>
      <c r="U90" s="850" t="str">
        <f t="shared" ca="1" si="28"/>
        <v/>
      </c>
      <c r="V90" s="843"/>
      <c r="W90" s="851" t="str">
        <f t="shared" ca="1" si="26"/>
        <v/>
      </c>
      <c r="X90" s="1580" t="str">
        <f t="shared" ca="1" si="27"/>
        <v/>
      </c>
      <c r="Y90" s="852" t="str">
        <f ca="1">'Action Plan finance'!I143</f>
        <v/>
      </c>
      <c r="Z90" s="1494" t="str">
        <f t="shared" ca="1" si="22"/>
        <v/>
      </c>
      <c r="AA90" s="1494" t="str">
        <f t="shared" ca="1" si="23"/>
        <v/>
      </c>
      <c r="AN90" s="1472" t="s">
        <v>3302</v>
      </c>
    </row>
    <row r="91" spans="2:40" x14ac:dyDescent="0.25">
      <c r="B91" s="8">
        <v>39</v>
      </c>
      <c r="C91" s="8">
        <f ca="1">IF(E91&lt;&gt;0,SUM(1,MAX($C$2:C90)),0)</f>
        <v>0</v>
      </c>
      <c r="D91" s="8" t="s">
        <v>880</v>
      </c>
      <c r="E91" s="844">
        <f ca="1">IF(B91&gt;INDIRECT(SUBSTITUTE(D91," ","_")) ActivatedCounts,0,MATCH($G$2,INDIRECT(CONCATENATE("'",D91,"'!e",INDIRECT(SUBSTITUTE(D91," ","_")) StartPoint+SUM(F90),":$e$500")),0))</f>
        <v>0</v>
      </c>
      <c r="F91" s="8" t="str">
        <f ca="1">IF(B91&gt;INDIRECT(SUBSTITUTE(D91," ","_")) ActivatedCounts,"",SUM(E91,F90))</f>
        <v/>
      </c>
      <c r="G91" s="795" t="e">
        <f ca="1">INDEX(INDIRECT(CONCATENATE("'",D91,"'!e",INDIRECT(SUBSTITUTE(D91," ","_")) StartPoint,":$f$500")),F91,2)</f>
        <v>#VALUE!</v>
      </c>
      <c r="H91" s="798" t="e">
        <f ca="1">INDEX(INDIRECT(CONCATENATE("'",D91,"'!e",INDIRECT(SUBSTITUTE(D91," ","_")) StartPoint,":$h$420")),F91,3)</f>
        <v>#VALUE!</v>
      </c>
      <c r="I91" s="798" t="e">
        <f ca="1">INDEX(INDIRECT(CONCATENATE("'",D91,"'!e",INDIRECT(SUBSTITUTE(D91," ","_")) StartPoint,":$h$420")),F91,4)</f>
        <v>#VALUE!</v>
      </c>
      <c r="J91" s="798"/>
      <c r="K91" s="846">
        <f t="shared" ca="1" si="17"/>
        <v>0</v>
      </c>
      <c r="L91" s="847">
        <v>89</v>
      </c>
      <c r="M91" s="795" t="e">
        <f t="shared" ca="1" si="18"/>
        <v>#N/A</v>
      </c>
      <c r="N91" s="798"/>
      <c r="O91" s="848">
        <f t="shared" ca="1" si="24"/>
        <v>0</v>
      </c>
      <c r="P91" s="848" t="e">
        <f t="shared" ca="1" si="25"/>
        <v>#N/A</v>
      </c>
      <c r="R91" s="848">
        <v>89</v>
      </c>
      <c r="S91" s="848" t="str">
        <f t="shared" ca="1" si="19"/>
        <v/>
      </c>
      <c r="T91" s="848" t="str">
        <f t="shared" ca="1" si="20"/>
        <v/>
      </c>
      <c r="U91" s="850" t="str">
        <f t="shared" ca="1" si="28"/>
        <v/>
      </c>
      <c r="V91" s="843"/>
      <c r="W91" s="851" t="str">
        <f t="shared" ca="1" si="26"/>
        <v/>
      </c>
      <c r="X91" s="1580" t="str">
        <f t="shared" ca="1" si="27"/>
        <v/>
      </c>
      <c r="Y91" s="852" t="str">
        <f ca="1">'Action Plan finance'!I144</f>
        <v/>
      </c>
      <c r="Z91" s="1494" t="str">
        <f t="shared" ca="1" si="22"/>
        <v/>
      </c>
      <c r="AA91" s="1494" t="str">
        <f t="shared" ca="1" si="23"/>
        <v/>
      </c>
      <c r="AN91" s="1472" t="s">
        <v>3303</v>
      </c>
    </row>
    <row r="92" spans="2:40" x14ac:dyDescent="0.25">
      <c r="B92" s="8">
        <v>40</v>
      </c>
      <c r="C92" s="8">
        <f ca="1">IF(E92&lt;&gt;0,SUM(1,MAX($C$2:C91)),0)</f>
        <v>0</v>
      </c>
      <c r="D92" s="8" t="s">
        <v>880</v>
      </c>
      <c r="E92" s="844">
        <f ca="1">IF(B92&gt;INDIRECT(SUBSTITUTE(D92," ","_")) ActivatedCounts,0,MATCH($G$2,INDIRECT(CONCATENATE("'",D92,"'!e",INDIRECT(SUBSTITUTE(D92," ","_")) StartPoint+SUM(F91),":$e$500")),0))</f>
        <v>0</v>
      </c>
      <c r="F92" s="8" t="str">
        <f ca="1">IF(B92&gt;INDIRECT(SUBSTITUTE(D92," ","_")) ActivatedCounts,"",SUM(E92,F91))</f>
        <v/>
      </c>
      <c r="G92" s="795" t="e">
        <f ca="1">INDEX(INDIRECT(CONCATENATE("'",D92,"'!e",INDIRECT(SUBSTITUTE(D92," ","_")) StartPoint,":$f$500")),F92,2)</f>
        <v>#VALUE!</v>
      </c>
      <c r="H92" s="798" t="e">
        <f ca="1">INDEX(INDIRECT(CONCATENATE("'",D92,"'!e",INDIRECT(SUBSTITUTE(D92," ","_")) StartPoint,":$h$420")),F92,3)</f>
        <v>#VALUE!</v>
      </c>
      <c r="I92" s="798" t="e">
        <f ca="1">INDEX(INDIRECT(CONCATENATE("'",D92,"'!e",INDIRECT(SUBSTITUTE(D92," ","_")) StartPoint,":$h$420")),F92,4)</f>
        <v>#VALUE!</v>
      </c>
      <c r="J92" s="798"/>
      <c r="K92" s="846">
        <f t="shared" ca="1" si="17"/>
        <v>0</v>
      </c>
      <c r="L92" s="847">
        <v>90</v>
      </c>
      <c r="M92" s="795" t="e">
        <f t="shared" ca="1" si="18"/>
        <v>#N/A</v>
      </c>
      <c r="N92" s="798"/>
      <c r="O92" s="848">
        <f t="shared" ca="1" si="24"/>
        <v>0</v>
      </c>
      <c r="P92" s="848" t="e">
        <f t="shared" ca="1" si="25"/>
        <v>#N/A</v>
      </c>
      <c r="R92" s="848">
        <v>90</v>
      </c>
      <c r="S92" s="848" t="str">
        <f t="shared" ca="1" si="19"/>
        <v/>
      </c>
      <c r="T92" s="848" t="str">
        <f t="shared" ca="1" si="20"/>
        <v/>
      </c>
      <c r="U92" s="850" t="str">
        <f t="shared" ca="1" si="28"/>
        <v/>
      </c>
      <c r="V92" s="843"/>
      <c r="W92" s="851" t="str">
        <f t="shared" ca="1" si="26"/>
        <v/>
      </c>
      <c r="X92" s="1580" t="str">
        <f t="shared" ca="1" si="27"/>
        <v/>
      </c>
      <c r="Y92" s="852" t="str">
        <f ca="1">'Action Plan finance'!I145</f>
        <v/>
      </c>
      <c r="Z92" s="1494" t="str">
        <f t="shared" ca="1" si="22"/>
        <v/>
      </c>
      <c r="AA92" s="1494" t="str">
        <f t="shared" ca="1" si="23"/>
        <v/>
      </c>
      <c r="AN92" s="1472" t="s">
        <v>3304</v>
      </c>
    </row>
    <row r="93" spans="2:40" x14ac:dyDescent="0.25">
      <c r="B93" s="8">
        <v>41</v>
      </c>
      <c r="C93" s="8">
        <f ca="1">IF(E93&lt;&gt;0,SUM(1,MAX($C$2:C92)),0)</f>
        <v>0</v>
      </c>
      <c r="D93" s="8" t="s">
        <v>880</v>
      </c>
      <c r="E93" s="844">
        <f ca="1">IF(B93&gt;INDIRECT(SUBSTITUTE(D93," ","_")) ActivatedCounts,0,MATCH($G$2,INDIRECT(CONCATENATE("'",D93,"'!e",INDIRECT(SUBSTITUTE(D93," ","_")) StartPoint+SUM(F92),":$e$500")),0))</f>
        <v>0</v>
      </c>
      <c r="F93" s="8" t="str">
        <f ca="1">IF(B93&gt;INDIRECT(SUBSTITUTE(D93," ","_")) ActivatedCounts,"",SUM(E93,F92))</f>
        <v/>
      </c>
      <c r="G93" s="795" t="e">
        <f ca="1">INDEX(INDIRECT(CONCATENATE("'",D93,"'!e",INDIRECT(SUBSTITUTE(D93," ","_")) StartPoint,":$f$500")),F93,2)</f>
        <v>#VALUE!</v>
      </c>
      <c r="H93" s="798" t="e">
        <f ca="1">INDEX(INDIRECT(CONCATENATE("'",D93,"'!e",INDIRECT(SUBSTITUTE(D93," ","_")) StartPoint,":$h$420")),F93,3)</f>
        <v>#VALUE!</v>
      </c>
      <c r="I93" s="798" t="e">
        <f ca="1">INDEX(INDIRECT(CONCATENATE("'",D93,"'!e",INDIRECT(SUBSTITUTE(D93," ","_")) StartPoint,":$h$420")),F93,4)</f>
        <v>#VALUE!</v>
      </c>
      <c r="J93" s="798"/>
      <c r="K93" s="846">
        <f t="shared" ca="1" si="17"/>
        <v>0</v>
      </c>
      <c r="L93" s="847">
        <v>91</v>
      </c>
      <c r="M93" s="795" t="e">
        <f t="shared" ca="1" si="18"/>
        <v>#N/A</v>
      </c>
      <c r="N93" s="798"/>
      <c r="O93" s="848">
        <f t="shared" ca="1" si="24"/>
        <v>0</v>
      </c>
      <c r="P93" s="848" t="e">
        <f t="shared" ca="1" si="25"/>
        <v>#N/A</v>
      </c>
      <c r="R93" s="848">
        <v>91</v>
      </c>
      <c r="S93" s="848" t="str">
        <f t="shared" ca="1" si="19"/>
        <v/>
      </c>
      <c r="T93" s="848" t="str">
        <f t="shared" ca="1" si="20"/>
        <v/>
      </c>
      <c r="U93" s="850" t="str">
        <f t="shared" ca="1" si="28"/>
        <v/>
      </c>
      <c r="V93" s="843"/>
      <c r="W93" s="851" t="str">
        <f t="shared" ca="1" si="26"/>
        <v/>
      </c>
      <c r="X93" s="1580" t="str">
        <f t="shared" ca="1" si="27"/>
        <v/>
      </c>
      <c r="Y93" s="852" t="str">
        <f ca="1">'Action Plan finance'!I146</f>
        <v/>
      </c>
      <c r="Z93" s="1494" t="str">
        <f t="shared" ca="1" si="22"/>
        <v/>
      </c>
      <c r="AA93" s="1494" t="str">
        <f t="shared" ca="1" si="23"/>
        <v/>
      </c>
      <c r="AN93" s="1472" t="s">
        <v>3305</v>
      </c>
    </row>
    <row r="94" spans="2:40" x14ac:dyDescent="0.25">
      <c r="B94" s="8">
        <v>1</v>
      </c>
      <c r="C94" s="8">
        <f ca="1">IF(E94&lt;&gt;0,SUM(1,MAX($C$2:C93)),0)</f>
        <v>0</v>
      </c>
      <c r="D94" s="8" t="s">
        <v>1526</v>
      </c>
      <c r="E94" s="844">
        <f ca="1">IF(B94&gt;INDIRECT(SUBSTITUTE(D94," ","_")) ActivatedCounts,0,MATCH($G$2,INDIRECT(CONCATENATE("'",D94,"'!e",INDIRECT(SUBSTITUTE(D94," ","_")) StartPoint+SUM(F93),":$e$420")),0))</f>
        <v>0</v>
      </c>
      <c r="F94" s="8" t="str">
        <f ca="1">IF(B94&gt;INDIRECT(SUBSTITUTE(D94," ","_")) ActivatedCounts,"",SUM(E94,F93))</f>
        <v/>
      </c>
      <c r="G94" s="795" t="e">
        <f ca="1">INDEX(INDIRECT(CONCATENATE("'",D94,"'!e",INDIRECT(SUBSTITUTE(D94," ","_")) StartPoint,":$f$420")),F94,2)</f>
        <v>#VALUE!</v>
      </c>
      <c r="H94" s="798" t="e">
        <f ca="1">INDEX(INDIRECT(CONCATENATE("'",D94,"'!e",INDIRECT(SUBSTITUTE(D94," ","_")) StartPoint,":$h$420")),F94,3)</f>
        <v>#VALUE!</v>
      </c>
      <c r="I94" s="798" t="e">
        <f ca="1">INDEX(INDIRECT(CONCATENATE("'",D94,"'!e",INDIRECT(SUBSTITUTE(D94," ","_")) StartPoint,":$h$420")),F94,4)</f>
        <v>#VALUE!</v>
      </c>
      <c r="J94" s="798"/>
      <c r="K94" s="846">
        <f t="shared" ca="1" si="17"/>
        <v>0</v>
      </c>
      <c r="L94" s="847">
        <v>92</v>
      </c>
      <c r="M94" s="795" t="e">
        <f t="shared" ca="1" si="18"/>
        <v>#N/A</v>
      </c>
      <c r="N94" s="798"/>
      <c r="O94" s="848">
        <f t="shared" ca="1" si="24"/>
        <v>0</v>
      </c>
      <c r="P94" s="848" t="e">
        <f t="shared" ca="1" si="25"/>
        <v>#N/A</v>
      </c>
      <c r="R94" s="848">
        <v>92</v>
      </c>
      <c r="S94" s="848" t="str">
        <f t="shared" ca="1" si="19"/>
        <v/>
      </c>
      <c r="T94" s="848" t="str">
        <f t="shared" ca="1" si="20"/>
        <v/>
      </c>
      <c r="U94" s="850" t="str">
        <f t="shared" ca="1" si="28"/>
        <v/>
      </c>
      <c r="V94" s="843"/>
      <c r="W94" s="851" t="str">
        <f t="shared" ca="1" si="26"/>
        <v/>
      </c>
      <c r="X94" s="1580" t="str">
        <f t="shared" ca="1" si="27"/>
        <v/>
      </c>
      <c r="Y94" s="852" t="str">
        <f ca="1">'Action Plan finance'!I147</f>
        <v/>
      </c>
      <c r="Z94" s="1494" t="str">
        <f t="shared" ca="1" si="22"/>
        <v/>
      </c>
      <c r="AA94" s="1494" t="str">
        <f t="shared" ca="1" si="23"/>
        <v/>
      </c>
      <c r="AN94" s="1472" t="s">
        <v>3306</v>
      </c>
    </row>
    <row r="95" spans="2:40" x14ac:dyDescent="0.25">
      <c r="B95" s="8">
        <v>2</v>
      </c>
      <c r="C95" s="8">
        <f ca="1">IF(E95&lt;&gt;0,SUM(1,MAX($C$2:C94)),0)</f>
        <v>0</v>
      </c>
      <c r="D95" s="8" t="s">
        <v>1526</v>
      </c>
      <c r="E95" s="844">
        <f ca="1">IF(B95&gt;INDIRECT(SUBSTITUTE(D95," ","_")) ActivatedCounts,0,MATCH($G$2,INDIRECT(CONCATENATE("'",D95,"'!e",INDIRECT(SUBSTITUTE(D95," ","_")) StartPoint+SUM(F94),":$e$420")),0))</f>
        <v>0</v>
      </c>
      <c r="F95" s="8" t="str">
        <f ca="1">IF(B95&gt;INDIRECT(SUBSTITUTE(D95," ","_")) ActivatedCounts,"",SUM(E95,F94))</f>
        <v/>
      </c>
      <c r="G95" s="795" t="e">
        <f ca="1">INDEX(INDIRECT(CONCATENATE("'",D95,"'!e",INDIRECT(SUBSTITUTE(D95," ","_")) StartPoint,":$f$420")),F95,2)</f>
        <v>#VALUE!</v>
      </c>
      <c r="H95" s="798" t="e">
        <f ca="1">INDEX(INDIRECT(CONCATENATE("'",D95,"'!e",INDIRECT(SUBSTITUTE(D95," ","_")) StartPoint,":$h$420")),F95,3)</f>
        <v>#VALUE!</v>
      </c>
      <c r="I95" s="798" t="e">
        <f ca="1">INDEX(INDIRECT(CONCATENATE("'",D95,"'!e",INDIRECT(SUBSTITUTE(D95," ","_")) StartPoint,":$h$420")),F95,4)</f>
        <v>#VALUE!</v>
      </c>
      <c r="J95" s="798"/>
      <c r="K95" s="846">
        <f t="shared" ca="1" si="17"/>
        <v>0</v>
      </c>
      <c r="L95" s="847">
        <v>93</v>
      </c>
      <c r="M95" s="795" t="e">
        <f t="shared" ca="1" si="18"/>
        <v>#N/A</v>
      </c>
      <c r="N95" s="798"/>
      <c r="O95" s="848">
        <f t="shared" ca="1" si="24"/>
        <v>0</v>
      </c>
      <c r="P95" s="848" t="e">
        <f t="shared" ca="1" si="25"/>
        <v>#N/A</v>
      </c>
      <c r="R95" s="848">
        <v>93</v>
      </c>
      <c r="S95" s="848" t="str">
        <f t="shared" ca="1" si="19"/>
        <v/>
      </c>
      <c r="T95" s="848" t="str">
        <f t="shared" ca="1" si="20"/>
        <v/>
      </c>
      <c r="U95" s="850" t="str">
        <f t="shared" ca="1" si="28"/>
        <v/>
      </c>
      <c r="V95" s="843"/>
      <c r="W95" s="851" t="str">
        <f t="shared" ca="1" si="26"/>
        <v/>
      </c>
      <c r="X95" s="1580" t="str">
        <f t="shared" ca="1" si="27"/>
        <v/>
      </c>
      <c r="Y95" s="852" t="str">
        <f ca="1">'Action Plan finance'!I148</f>
        <v/>
      </c>
      <c r="Z95" s="1494" t="str">
        <f t="shared" ca="1" si="22"/>
        <v/>
      </c>
      <c r="AA95" s="1494" t="str">
        <f t="shared" ca="1" si="23"/>
        <v/>
      </c>
      <c r="AN95" s="1472" t="s">
        <v>3307</v>
      </c>
    </row>
    <row r="96" spans="2:40" x14ac:dyDescent="0.25">
      <c r="B96" s="8">
        <v>3</v>
      </c>
      <c r="C96" s="8">
        <f ca="1">IF(E96&lt;&gt;0,SUM(1,MAX($C$2:C95)),0)</f>
        <v>0</v>
      </c>
      <c r="D96" s="8" t="s">
        <v>1526</v>
      </c>
      <c r="E96" s="844">
        <f ca="1">IF(B96&gt;INDIRECT(SUBSTITUTE(D96," ","_")) ActivatedCounts,0,MATCH($G$2,INDIRECT(CONCATENATE("'",D96,"'!e",INDIRECT(SUBSTITUTE(D96," ","_")) StartPoint+SUM(F95),":$e$420")),0))</f>
        <v>0</v>
      </c>
      <c r="F96" s="8" t="str">
        <f ca="1">IF(B96&gt;INDIRECT(SUBSTITUTE(D96," ","_")) ActivatedCounts,"",SUM(E96,F95))</f>
        <v/>
      </c>
      <c r="G96" s="795" t="e">
        <f ca="1">INDEX(INDIRECT(CONCATENATE("'",D96,"'!e",INDIRECT(SUBSTITUTE(D96," ","_")) StartPoint,":$f$420")),F96,2)</f>
        <v>#VALUE!</v>
      </c>
      <c r="H96" s="798" t="e">
        <f ca="1">INDEX(INDIRECT(CONCATENATE("'",D96,"'!e",INDIRECT(SUBSTITUTE(D96," ","_")) StartPoint,":$h$420")),F96,3)</f>
        <v>#VALUE!</v>
      </c>
      <c r="I96" s="798" t="e">
        <f ca="1">INDEX(INDIRECT(CONCATENATE("'",D96,"'!e",INDIRECT(SUBSTITUTE(D96," ","_")) StartPoint,":$h$420")),F96,4)</f>
        <v>#VALUE!</v>
      </c>
      <c r="J96" s="798"/>
      <c r="K96" s="846">
        <f t="shared" ca="1" si="17"/>
        <v>0</v>
      </c>
      <c r="L96" s="847">
        <v>94</v>
      </c>
      <c r="M96" s="795" t="e">
        <f t="shared" ca="1" si="18"/>
        <v>#N/A</v>
      </c>
      <c r="N96" s="798"/>
      <c r="O96" s="848">
        <f t="shared" ca="1" si="24"/>
        <v>0</v>
      </c>
      <c r="P96" s="848" t="e">
        <f t="shared" ca="1" si="25"/>
        <v>#N/A</v>
      </c>
      <c r="R96" s="848">
        <v>94</v>
      </c>
      <c r="S96" s="848" t="str">
        <f t="shared" ca="1" si="19"/>
        <v/>
      </c>
      <c r="T96" s="848" t="str">
        <f t="shared" ca="1" si="20"/>
        <v/>
      </c>
      <c r="U96" s="850" t="str">
        <f t="shared" ca="1" si="28"/>
        <v/>
      </c>
      <c r="V96" s="7"/>
      <c r="W96" s="851" t="str">
        <f t="shared" ca="1" si="26"/>
        <v/>
      </c>
      <c r="X96" s="1580" t="str">
        <f t="shared" ca="1" si="27"/>
        <v/>
      </c>
      <c r="Y96" s="852" t="str">
        <f ca="1">'Action Plan finance'!I149</f>
        <v/>
      </c>
      <c r="Z96" s="1494" t="str">
        <f t="shared" ca="1" si="22"/>
        <v/>
      </c>
      <c r="AA96" s="1494" t="str">
        <f t="shared" ca="1" si="23"/>
        <v/>
      </c>
      <c r="AN96" s="5557" t="s">
        <v>3308</v>
      </c>
    </row>
    <row r="97" spans="2:40" x14ac:dyDescent="0.25">
      <c r="B97" s="8">
        <v>4</v>
      </c>
      <c r="C97" s="8">
        <f ca="1">IF(E97&lt;&gt;0,SUM(1,MAX($C$2:C96)),0)</f>
        <v>0</v>
      </c>
      <c r="D97" s="8" t="s">
        <v>1526</v>
      </c>
      <c r="E97" s="844">
        <f ca="1">IF(B97&gt;INDIRECT(SUBSTITUTE(D97," ","_")) ActivatedCounts,0,MATCH($G$2,INDIRECT(CONCATENATE("'",D97,"'!e",INDIRECT(SUBSTITUTE(D97," ","_")) StartPoint+SUM(F96),":$e$420")),0))</f>
        <v>0</v>
      </c>
      <c r="F97" s="8" t="str">
        <f ca="1">IF(B97&gt;INDIRECT(SUBSTITUTE(D97," ","_")) ActivatedCounts,"",SUM(E97,F96))</f>
        <v/>
      </c>
      <c r="G97" s="795" t="e">
        <f ca="1">INDEX(INDIRECT(CONCATENATE("'",D97,"'!e",INDIRECT(SUBSTITUTE(D97," ","_")) StartPoint,":$f$420")),F97,2)</f>
        <v>#VALUE!</v>
      </c>
      <c r="H97" s="798" t="e">
        <f ca="1">INDEX(INDIRECT(CONCATENATE("'",D97,"'!e",INDIRECT(SUBSTITUTE(D97," ","_")) StartPoint,":$h$420")),F97,3)</f>
        <v>#VALUE!</v>
      </c>
      <c r="I97" s="798" t="e">
        <f ca="1">INDEX(INDIRECT(CONCATENATE("'",D97,"'!e",INDIRECT(SUBSTITUTE(D97," ","_")) StartPoint,":$h$420")),F97,4)</f>
        <v>#VALUE!</v>
      </c>
      <c r="J97" s="798"/>
      <c r="K97" s="846">
        <f t="shared" ca="1" si="17"/>
        <v>0</v>
      </c>
      <c r="L97" s="847">
        <v>95</v>
      </c>
      <c r="M97" s="795" t="e">
        <f t="shared" ca="1" si="18"/>
        <v>#N/A</v>
      </c>
      <c r="N97" s="798"/>
      <c r="O97" s="848">
        <f t="shared" ca="1" si="24"/>
        <v>0</v>
      </c>
      <c r="P97" s="848" t="e">
        <f t="shared" ca="1" si="25"/>
        <v>#N/A</v>
      </c>
      <c r="R97" s="848">
        <v>95</v>
      </c>
      <c r="S97" s="848" t="str">
        <f t="shared" ca="1" si="19"/>
        <v/>
      </c>
      <c r="T97" s="848" t="str">
        <f t="shared" ca="1" si="20"/>
        <v/>
      </c>
      <c r="U97" s="850" t="str">
        <f t="shared" ca="1" si="28"/>
        <v/>
      </c>
      <c r="V97" s="7"/>
      <c r="W97" s="851" t="str">
        <f t="shared" ca="1" si="26"/>
        <v/>
      </c>
      <c r="X97" s="1580" t="str">
        <f t="shared" ca="1" si="27"/>
        <v/>
      </c>
      <c r="Y97" s="852" t="str">
        <f ca="1">'Action Plan finance'!I150</f>
        <v/>
      </c>
      <c r="Z97" s="1494" t="str">
        <f t="shared" ca="1" si="22"/>
        <v/>
      </c>
      <c r="AA97" s="1494" t="str">
        <f t="shared" ca="1" si="23"/>
        <v/>
      </c>
      <c r="AN97" s="5557" t="s">
        <v>3309</v>
      </c>
    </row>
    <row r="98" spans="2:40" x14ac:dyDescent="0.25">
      <c r="B98" s="8">
        <v>5</v>
      </c>
      <c r="C98" s="8">
        <f ca="1">IF(E98&lt;&gt;0,SUM(1,MAX($C$2:C97)),0)</f>
        <v>0</v>
      </c>
      <c r="D98" s="8" t="s">
        <v>1526</v>
      </c>
      <c r="E98" s="844">
        <f ca="1">IF(B98&gt;INDIRECT(SUBSTITUTE(D98," ","_")) ActivatedCounts,0,MATCH($G$2,INDIRECT(CONCATENATE("'",D98,"'!e",INDIRECT(SUBSTITUTE(D98," ","_")) StartPoint+SUM(F97),":$e$420")),0))</f>
        <v>0</v>
      </c>
      <c r="F98" s="8" t="str">
        <f ca="1">IF(B98&gt;INDIRECT(SUBSTITUTE(D98," ","_")) ActivatedCounts,"",SUM(E98,F97))</f>
        <v/>
      </c>
      <c r="G98" s="795" t="e">
        <f ca="1">INDEX(INDIRECT(CONCATENATE("'",D98,"'!e",INDIRECT(SUBSTITUTE(D98," ","_")) StartPoint,":$f$420")),F98,2)</f>
        <v>#VALUE!</v>
      </c>
      <c r="H98" s="798" t="e">
        <f ca="1">INDEX(INDIRECT(CONCATENATE("'",D98,"'!e",INDIRECT(SUBSTITUTE(D98," ","_")) StartPoint,":$h$420")),F98,3)</f>
        <v>#VALUE!</v>
      </c>
      <c r="I98" s="798" t="e">
        <f ca="1">INDEX(INDIRECT(CONCATENATE("'",D98,"'!e",INDIRECT(SUBSTITUTE(D98," ","_")) StartPoint,":$h$420")),F98,4)</f>
        <v>#VALUE!</v>
      </c>
      <c r="J98" s="798"/>
      <c r="K98" s="846">
        <f t="shared" ca="1" si="17"/>
        <v>0</v>
      </c>
      <c r="L98" s="847">
        <v>96</v>
      </c>
      <c r="M98" s="795" t="e">
        <f t="shared" ca="1" si="18"/>
        <v>#N/A</v>
      </c>
      <c r="N98" s="798"/>
      <c r="O98" s="848">
        <f t="shared" ca="1" si="24"/>
        <v>0</v>
      </c>
      <c r="P98" s="848" t="e">
        <f t="shared" ca="1" si="25"/>
        <v>#N/A</v>
      </c>
      <c r="R98" s="848">
        <v>96</v>
      </c>
      <c r="S98" s="848" t="str">
        <f t="shared" ca="1" si="19"/>
        <v/>
      </c>
      <c r="T98" s="848" t="str">
        <f t="shared" ca="1" si="20"/>
        <v/>
      </c>
      <c r="U98" s="850" t="str">
        <f t="shared" ca="1" si="28"/>
        <v/>
      </c>
      <c r="V98" s="7"/>
      <c r="W98" s="851" t="str">
        <f t="shared" ca="1" si="26"/>
        <v/>
      </c>
      <c r="X98" s="1580" t="str">
        <f t="shared" ca="1" si="27"/>
        <v/>
      </c>
      <c r="Y98" s="852" t="str">
        <f ca="1">'Action Plan finance'!I151</f>
        <v/>
      </c>
      <c r="Z98" s="1494" t="str">
        <f t="shared" ca="1" si="22"/>
        <v/>
      </c>
      <c r="AA98" s="1494" t="str">
        <f t="shared" ca="1" si="23"/>
        <v/>
      </c>
      <c r="AN98" s="5557" t="s">
        <v>3310</v>
      </c>
    </row>
    <row r="99" spans="2:40" x14ac:dyDescent="0.25">
      <c r="B99" s="8">
        <v>6</v>
      </c>
      <c r="C99" s="8">
        <f ca="1">IF(E99&lt;&gt;0,SUM(1,MAX($C$2:C98)),0)</f>
        <v>0</v>
      </c>
      <c r="D99" s="8" t="s">
        <v>1526</v>
      </c>
      <c r="E99" s="844">
        <f ca="1">IF(B99&gt;INDIRECT(SUBSTITUTE(D99," ","_")) ActivatedCounts,0,MATCH($G$2,INDIRECT(CONCATENATE("'",D99,"'!e",INDIRECT(SUBSTITUTE(D99," ","_")) StartPoint+SUM(F98),":$e$420")),0))</f>
        <v>0</v>
      </c>
      <c r="F99" s="8" t="str">
        <f ca="1">IF(B99&gt;INDIRECT(SUBSTITUTE(D99," ","_")) ActivatedCounts,"",SUM(E99,F98))</f>
        <v/>
      </c>
      <c r="G99" s="795" t="e">
        <f ca="1">INDEX(INDIRECT(CONCATENATE("'",D99,"'!e",INDIRECT(SUBSTITUTE(D99," ","_")) StartPoint,":$f$420")),F99,2)</f>
        <v>#VALUE!</v>
      </c>
      <c r="H99" s="798" t="e">
        <f ca="1">INDEX(INDIRECT(CONCATENATE("'",D99,"'!e",INDIRECT(SUBSTITUTE(D99," ","_")) StartPoint,":$h$420")),F99,3)</f>
        <v>#VALUE!</v>
      </c>
      <c r="I99" s="798" t="e">
        <f ca="1">INDEX(INDIRECT(CONCATENATE("'",D99,"'!e",INDIRECT(SUBSTITUTE(D99," ","_")) StartPoint,":$h$420")),F99,4)</f>
        <v>#VALUE!</v>
      </c>
      <c r="J99" s="798"/>
      <c r="K99" s="846">
        <f t="shared" ref="K99:K125" ca="1" si="29">IFERROR(VLOOKUP(L99,$C$3:$G$127,5,FALSE),0)</f>
        <v>0</v>
      </c>
      <c r="L99" s="847">
        <v>97</v>
      </c>
      <c r="M99" s="795" t="e">
        <f t="shared" ref="M99:M125" ca="1" si="30">VLOOKUP(L99,$C$3:$G$127,2,FALSE)</f>
        <v>#N/A</v>
      </c>
      <c r="N99" s="798"/>
      <c r="O99" s="848">
        <f t="shared" ca="1" si="24"/>
        <v>0</v>
      </c>
      <c r="P99" s="848" t="e">
        <f t="shared" ca="1" si="25"/>
        <v>#N/A</v>
      </c>
      <c r="R99" s="848">
        <v>97</v>
      </c>
      <c r="S99" s="848" t="str">
        <f t="shared" ca="1" si="19"/>
        <v/>
      </c>
      <c r="T99" s="848" t="str">
        <f t="shared" ref="T99:T119" ca="1" si="31">IF(S99="","",P99)</f>
        <v/>
      </c>
      <c r="U99" s="850" t="str">
        <f t="shared" ca="1" si="28"/>
        <v/>
      </c>
      <c r="V99" s="7"/>
      <c r="W99" s="851" t="str">
        <f t="shared" ca="1" si="26"/>
        <v/>
      </c>
      <c r="X99" s="1580" t="str">
        <f t="shared" ca="1" si="27"/>
        <v/>
      </c>
      <c r="Y99" s="852" t="str">
        <f ca="1">'Action Plan finance'!I152</f>
        <v/>
      </c>
      <c r="Z99" s="1494" t="str">
        <f t="shared" ref="Z99:Z127" ca="1" si="32">IFERROR(VLOOKUP(W99,$G$3:$I$127,2,FALSE),"")</f>
        <v/>
      </c>
      <c r="AA99" s="1494" t="str">
        <f t="shared" ref="AA99:AA127" ca="1" si="33">IFERROR(VLOOKUP(W99,$G$3:$I$127,3,FALSE),"")</f>
        <v/>
      </c>
      <c r="AN99" s="5557" t="s">
        <v>3311</v>
      </c>
    </row>
    <row r="100" spans="2:40" x14ac:dyDescent="0.25">
      <c r="B100" s="8">
        <v>7</v>
      </c>
      <c r="C100" s="8">
        <f ca="1">IF(E100&lt;&gt;0,SUM(1,MAX($C$2:C99)),0)</f>
        <v>0</v>
      </c>
      <c r="D100" s="8" t="s">
        <v>1526</v>
      </c>
      <c r="E100" s="844">
        <f ca="1">IF(B100&gt;INDIRECT(SUBSTITUTE(D100," ","_")) ActivatedCounts,0,MATCH($G$2,INDIRECT(CONCATENATE("'",D100,"'!e",INDIRECT(SUBSTITUTE(D100," ","_")) StartPoint+SUM(F99),":$e$420")),0))</f>
        <v>0</v>
      </c>
      <c r="F100" s="8" t="str">
        <f ca="1">IF(B100&gt;INDIRECT(SUBSTITUTE(D100," ","_")) ActivatedCounts,"",SUM(E100,F99))</f>
        <v/>
      </c>
      <c r="G100" s="795" t="e">
        <f ca="1">INDEX(INDIRECT(CONCATENATE("'",D100,"'!e",INDIRECT(SUBSTITUTE(D100," ","_")) StartPoint,":$f$420")),F100,2)</f>
        <v>#VALUE!</v>
      </c>
      <c r="H100" s="798" t="e">
        <f ca="1">INDEX(INDIRECT(CONCATENATE("'",D100,"'!e",INDIRECT(SUBSTITUTE(D100," ","_")) StartPoint,":$h$420")),F100,3)</f>
        <v>#VALUE!</v>
      </c>
      <c r="I100" s="798" t="e">
        <f ca="1">INDEX(INDIRECT(CONCATENATE("'",D100,"'!e",INDIRECT(SUBSTITUTE(D100," ","_")) StartPoint,":$h$420")),F100,4)</f>
        <v>#VALUE!</v>
      </c>
      <c r="J100" s="798"/>
      <c r="K100" s="846">
        <f t="shared" ca="1" si="29"/>
        <v>0</v>
      </c>
      <c r="L100" s="847">
        <v>98</v>
      </c>
      <c r="M100" s="795" t="e">
        <f t="shared" ca="1" si="30"/>
        <v>#N/A</v>
      </c>
      <c r="N100" s="798"/>
      <c r="O100" s="848">
        <f t="shared" ca="1" si="24"/>
        <v>0</v>
      </c>
      <c r="P100" s="848" t="e">
        <f t="shared" ca="1" si="25"/>
        <v>#N/A</v>
      </c>
      <c r="R100" s="848">
        <v>98</v>
      </c>
      <c r="S100" s="848" t="str">
        <f t="shared" ca="1" si="19"/>
        <v/>
      </c>
      <c r="T100" s="848" t="str">
        <f t="shared" ca="1" si="31"/>
        <v/>
      </c>
      <c r="U100" s="850" t="str">
        <f t="shared" ca="1" si="28"/>
        <v/>
      </c>
      <c r="V100" s="7"/>
      <c r="W100" s="851" t="str">
        <f t="shared" ca="1" si="26"/>
        <v/>
      </c>
      <c r="X100" s="1580" t="str">
        <f t="shared" ca="1" si="27"/>
        <v/>
      </c>
      <c r="Y100" s="852" t="str">
        <f ca="1">'Action Plan finance'!I153</f>
        <v/>
      </c>
      <c r="Z100" s="1494" t="str">
        <f t="shared" ca="1" si="32"/>
        <v/>
      </c>
      <c r="AA100" s="1494" t="str">
        <f t="shared" ca="1" si="33"/>
        <v/>
      </c>
      <c r="AN100" s="5557" t="s">
        <v>3312</v>
      </c>
    </row>
    <row r="101" spans="2:40" x14ac:dyDescent="0.25">
      <c r="B101" s="8">
        <v>8</v>
      </c>
      <c r="C101" s="8">
        <f ca="1">IF(E101&lt;&gt;0,SUM(1,MAX($C$2:C100)),0)</f>
        <v>0</v>
      </c>
      <c r="D101" s="8" t="s">
        <v>1526</v>
      </c>
      <c r="E101" s="844">
        <f ca="1">IF(B101&gt;INDIRECT(SUBSTITUTE(D101," ","_")) ActivatedCounts,0,MATCH($G$2,INDIRECT(CONCATENATE("'",D101,"'!e",INDIRECT(SUBSTITUTE(D101," ","_")) StartPoint+SUM(F100),":$e$420")),0))</f>
        <v>0</v>
      </c>
      <c r="F101" s="8" t="str">
        <f ca="1">IF(B101&gt;INDIRECT(SUBSTITUTE(D101," ","_")) ActivatedCounts,"",SUM(E101,F100))</f>
        <v/>
      </c>
      <c r="G101" s="795" t="e">
        <f ca="1">INDEX(INDIRECT(CONCATENATE("'",D101,"'!e",INDIRECT(SUBSTITUTE(D101," ","_")) StartPoint,":$f$420")),F101,2)</f>
        <v>#VALUE!</v>
      </c>
      <c r="H101" s="798" t="e">
        <f ca="1">INDEX(INDIRECT(CONCATENATE("'",D101,"'!e",INDIRECT(SUBSTITUTE(D101," ","_")) StartPoint,":$h$420")),F101,3)</f>
        <v>#VALUE!</v>
      </c>
      <c r="I101" s="798" t="e">
        <f ca="1">INDEX(INDIRECT(CONCATENATE("'",D101,"'!e",INDIRECT(SUBSTITUTE(D101," ","_")) StartPoint,":$h$420")),F101,4)</f>
        <v>#VALUE!</v>
      </c>
      <c r="J101" s="798"/>
      <c r="K101" s="846">
        <f t="shared" ca="1" si="29"/>
        <v>0</v>
      </c>
      <c r="L101" s="847">
        <v>99</v>
      </c>
      <c r="M101" s="795" t="e">
        <f t="shared" ca="1" si="30"/>
        <v>#N/A</v>
      </c>
      <c r="N101" s="798"/>
      <c r="O101" s="848">
        <f t="shared" ca="1" si="24"/>
        <v>0</v>
      </c>
      <c r="P101" s="848" t="e">
        <f t="shared" ca="1" si="25"/>
        <v>#N/A</v>
      </c>
      <c r="R101" s="848">
        <v>99</v>
      </c>
      <c r="S101" s="848" t="str">
        <f t="shared" ca="1" si="19"/>
        <v/>
      </c>
      <c r="T101" s="848" t="str">
        <f t="shared" ca="1" si="31"/>
        <v/>
      </c>
      <c r="U101" s="850" t="str">
        <f t="shared" ca="1" si="28"/>
        <v/>
      </c>
      <c r="V101" s="7"/>
      <c r="W101" s="851" t="str">
        <f t="shared" ca="1" si="26"/>
        <v/>
      </c>
      <c r="X101" s="1580" t="str">
        <f t="shared" ca="1" si="27"/>
        <v/>
      </c>
      <c r="Y101" s="852" t="str">
        <f ca="1">'Action Plan finance'!I154</f>
        <v/>
      </c>
      <c r="Z101" s="1494" t="str">
        <f t="shared" ca="1" si="32"/>
        <v/>
      </c>
      <c r="AA101" s="1494" t="str">
        <f t="shared" ca="1" si="33"/>
        <v/>
      </c>
      <c r="AN101" s="5557" t="s">
        <v>3313</v>
      </c>
    </row>
    <row r="102" spans="2:40" x14ac:dyDescent="0.25">
      <c r="B102" s="8">
        <v>9</v>
      </c>
      <c r="C102" s="8">
        <f ca="1">IF(E102&lt;&gt;0,SUM(1,MAX($C$2:C101)),0)</f>
        <v>0</v>
      </c>
      <c r="D102" s="8" t="s">
        <v>1526</v>
      </c>
      <c r="E102" s="844">
        <f ca="1">IF(B102&gt;INDIRECT(SUBSTITUTE(D102," ","_")) ActivatedCounts,0,MATCH($G$2,INDIRECT(CONCATENATE("'",D102,"'!e",INDIRECT(SUBSTITUTE(D102," ","_")) StartPoint+SUM(F101),":$e$420")),0))</f>
        <v>0</v>
      </c>
      <c r="F102" s="8" t="str">
        <f ca="1">IF(B102&gt;INDIRECT(SUBSTITUTE(D102," ","_")) ActivatedCounts,"",SUM(E102,F101))</f>
        <v/>
      </c>
      <c r="G102" s="795" t="e">
        <f ca="1">INDEX(INDIRECT(CONCATENATE("'",D102,"'!e",INDIRECT(SUBSTITUTE(D102," ","_")) StartPoint,":$f$420")),F102,2)</f>
        <v>#VALUE!</v>
      </c>
      <c r="H102" s="798" t="e">
        <f ca="1">INDEX(INDIRECT(CONCATENATE("'",D102,"'!e",INDIRECT(SUBSTITUTE(D102," ","_")) StartPoint,":$h$420")),F102,3)</f>
        <v>#VALUE!</v>
      </c>
      <c r="I102" s="798" t="e">
        <f ca="1">INDEX(INDIRECT(CONCATENATE("'",D102,"'!e",INDIRECT(SUBSTITUTE(D102," ","_")) StartPoint,":$h$420")),F102,4)</f>
        <v>#VALUE!</v>
      </c>
      <c r="J102" s="798"/>
      <c r="K102" s="846">
        <f t="shared" ca="1" si="29"/>
        <v>0</v>
      </c>
      <c r="L102" s="847">
        <v>100</v>
      </c>
      <c r="M102" s="795" t="e">
        <f t="shared" ca="1" si="30"/>
        <v>#N/A</v>
      </c>
      <c r="N102" s="798"/>
      <c r="O102" s="848">
        <f t="shared" ca="1" si="24"/>
        <v>0</v>
      </c>
      <c r="P102" s="848" t="e">
        <f t="shared" ca="1" si="25"/>
        <v>#N/A</v>
      </c>
      <c r="R102" s="848">
        <v>100</v>
      </c>
      <c r="S102" s="848" t="str">
        <f t="shared" ca="1" si="19"/>
        <v/>
      </c>
      <c r="T102" s="848" t="str">
        <f t="shared" ca="1" si="31"/>
        <v/>
      </c>
      <c r="U102" s="850" t="str">
        <f t="shared" ca="1" si="28"/>
        <v/>
      </c>
      <c r="V102" s="7"/>
      <c r="W102" s="851" t="str">
        <f t="shared" ca="1" si="26"/>
        <v/>
      </c>
      <c r="X102" s="1580" t="str">
        <f t="shared" ca="1" si="27"/>
        <v/>
      </c>
      <c r="Y102" s="852" t="str">
        <f ca="1">'Action Plan finance'!I155</f>
        <v/>
      </c>
      <c r="Z102" s="1494" t="str">
        <f t="shared" ca="1" si="32"/>
        <v/>
      </c>
      <c r="AA102" s="1494" t="str">
        <f t="shared" ca="1" si="33"/>
        <v/>
      </c>
      <c r="AN102" s="5557" t="s">
        <v>3314</v>
      </c>
    </row>
    <row r="103" spans="2:40" x14ac:dyDescent="0.25">
      <c r="B103" s="8">
        <v>10</v>
      </c>
      <c r="C103" s="8">
        <f ca="1">IF(E103&lt;&gt;0,SUM(1,MAX($C$2:C102)),0)</f>
        <v>0</v>
      </c>
      <c r="D103" s="8" t="s">
        <v>1526</v>
      </c>
      <c r="E103" s="844">
        <f ca="1">IF(B103&gt;INDIRECT(SUBSTITUTE(D103," ","_")) ActivatedCounts,0,MATCH($G$2,INDIRECT(CONCATENATE("'",D103,"'!e",INDIRECT(SUBSTITUTE(D103," ","_")) StartPoint+SUM(F102),":$e$420")),0))</f>
        <v>0</v>
      </c>
      <c r="F103" s="8" t="str">
        <f ca="1">IF(B103&gt;INDIRECT(SUBSTITUTE(D103," ","_")) ActivatedCounts,"",SUM(E103,F102))</f>
        <v/>
      </c>
      <c r="G103" s="795" t="e">
        <f ca="1">INDEX(INDIRECT(CONCATENATE("'",D103,"'!e",INDIRECT(SUBSTITUTE(D103," ","_")) StartPoint,":$f$420")),F103,2)</f>
        <v>#VALUE!</v>
      </c>
      <c r="H103" s="798" t="e">
        <f ca="1">INDEX(INDIRECT(CONCATENATE("'",D103,"'!e",INDIRECT(SUBSTITUTE(D103," ","_")) StartPoint,":$h$420")),F103,3)</f>
        <v>#VALUE!</v>
      </c>
      <c r="I103" s="798" t="e">
        <f ca="1">INDEX(INDIRECT(CONCATENATE("'",D103,"'!e",INDIRECT(SUBSTITUTE(D103," ","_")) StartPoint,":$h$420")),F103,4)</f>
        <v>#VALUE!</v>
      </c>
      <c r="J103" s="798"/>
      <c r="K103" s="846">
        <f t="shared" ca="1" si="29"/>
        <v>0</v>
      </c>
      <c r="L103" s="847">
        <v>101</v>
      </c>
      <c r="M103" s="795" t="e">
        <f t="shared" ca="1" si="30"/>
        <v>#N/A</v>
      </c>
      <c r="N103" s="798"/>
      <c r="O103" s="848">
        <f t="shared" ca="1" si="24"/>
        <v>0</v>
      </c>
      <c r="P103" s="848" t="e">
        <f t="shared" ca="1" si="25"/>
        <v>#N/A</v>
      </c>
      <c r="R103" s="848">
        <v>101</v>
      </c>
      <c r="S103" s="848" t="str">
        <f t="shared" ca="1" si="19"/>
        <v/>
      </c>
      <c r="T103" s="848" t="str">
        <f t="shared" ca="1" si="31"/>
        <v/>
      </c>
      <c r="U103" s="850" t="str">
        <f t="shared" ca="1" si="28"/>
        <v/>
      </c>
      <c r="V103" s="7"/>
      <c r="W103" s="851" t="str">
        <f t="shared" ca="1" si="26"/>
        <v/>
      </c>
      <c r="X103" s="1580" t="str">
        <f t="shared" ca="1" si="27"/>
        <v/>
      </c>
      <c r="Y103" s="852" t="str">
        <f ca="1">'Action Plan finance'!I156</f>
        <v/>
      </c>
      <c r="Z103" s="1494" t="str">
        <f t="shared" ca="1" si="32"/>
        <v/>
      </c>
      <c r="AA103" s="1494" t="str">
        <f t="shared" ca="1" si="33"/>
        <v/>
      </c>
      <c r="AN103" s="5557" t="s">
        <v>3315</v>
      </c>
    </row>
    <row r="104" spans="2:40" x14ac:dyDescent="0.25">
      <c r="B104" s="8">
        <v>11</v>
      </c>
      <c r="C104" s="8">
        <f ca="1">IF(E104&lt;&gt;0,SUM(1,MAX($C$2:C103)),0)</f>
        <v>0</v>
      </c>
      <c r="D104" s="8" t="s">
        <v>1526</v>
      </c>
      <c r="E104" s="844">
        <f ca="1">IF(B104&gt;INDIRECT(SUBSTITUTE(D104," ","_")) ActivatedCounts,0,MATCH($G$2,INDIRECT(CONCATENATE("'",D104,"'!e",INDIRECT(SUBSTITUTE(D104," ","_")) StartPoint+SUM(F103),":$e$420")),0))</f>
        <v>0</v>
      </c>
      <c r="F104" s="8" t="str">
        <f ca="1">IF(B104&gt;INDIRECT(SUBSTITUTE(D104," ","_")) ActivatedCounts,"",SUM(E104,F103))</f>
        <v/>
      </c>
      <c r="G104" s="795" t="e">
        <f ca="1">INDEX(INDIRECT(CONCATENATE("'",D104,"'!e",INDIRECT(SUBSTITUTE(D104," ","_")) StartPoint,":$f$420")),F104,2)</f>
        <v>#VALUE!</v>
      </c>
      <c r="H104" s="798" t="e">
        <f ca="1">INDEX(INDIRECT(CONCATENATE("'",D104,"'!e",INDIRECT(SUBSTITUTE(D104," ","_")) StartPoint,":$h$420")),F104,3)</f>
        <v>#VALUE!</v>
      </c>
      <c r="I104" s="798" t="e">
        <f ca="1">INDEX(INDIRECT(CONCATENATE("'",D104,"'!e",INDIRECT(SUBSTITUTE(D104," ","_")) StartPoint,":$h$420")),F104,4)</f>
        <v>#VALUE!</v>
      </c>
      <c r="J104" s="798"/>
      <c r="K104" s="846">
        <f t="shared" ca="1" si="29"/>
        <v>0</v>
      </c>
      <c r="L104" s="847">
        <v>102</v>
      </c>
      <c r="M104" s="795" t="e">
        <f t="shared" ca="1" si="30"/>
        <v>#N/A</v>
      </c>
      <c r="N104" s="798"/>
      <c r="O104" s="848">
        <f t="shared" ca="1" si="24"/>
        <v>0</v>
      </c>
      <c r="P104" s="848" t="e">
        <f t="shared" ca="1" si="25"/>
        <v>#N/A</v>
      </c>
      <c r="R104" s="848">
        <v>102</v>
      </c>
      <c r="S104" s="848" t="str">
        <f t="shared" ca="1" si="19"/>
        <v/>
      </c>
      <c r="T104" s="848" t="str">
        <f t="shared" ca="1" si="31"/>
        <v/>
      </c>
      <c r="U104" s="850" t="str">
        <f t="shared" ca="1" si="28"/>
        <v/>
      </c>
      <c r="V104" s="7"/>
      <c r="W104" s="851" t="str">
        <f t="shared" ca="1" si="26"/>
        <v/>
      </c>
      <c r="X104" s="1580" t="str">
        <f t="shared" ca="1" si="27"/>
        <v/>
      </c>
      <c r="Y104" s="852" t="str">
        <f ca="1">'Action Plan finance'!I157</f>
        <v/>
      </c>
      <c r="Z104" s="1494" t="str">
        <f t="shared" ca="1" si="32"/>
        <v/>
      </c>
      <c r="AA104" s="1494" t="str">
        <f t="shared" ca="1" si="33"/>
        <v/>
      </c>
      <c r="AN104" s="5558" t="s">
        <v>3316</v>
      </c>
    </row>
    <row r="105" spans="2:40" x14ac:dyDescent="0.25">
      <c r="B105" s="8">
        <v>12</v>
      </c>
      <c r="C105" s="8">
        <f ca="1">IF(E105&lt;&gt;0,SUM(1,MAX($C$2:C104)),0)</f>
        <v>0</v>
      </c>
      <c r="D105" s="8" t="s">
        <v>1526</v>
      </c>
      <c r="E105" s="844">
        <f ca="1">IF(B105&gt;INDIRECT(SUBSTITUTE(D105," ","_")) ActivatedCounts,0,MATCH($G$2,INDIRECT(CONCATENATE("'",D105,"'!e",INDIRECT(SUBSTITUTE(D105," ","_")) StartPoint+SUM(F104),":$e$420")),0))</f>
        <v>0</v>
      </c>
      <c r="F105" s="8" t="str">
        <f ca="1">IF(B105&gt;INDIRECT(SUBSTITUTE(D105," ","_")) ActivatedCounts,"",SUM(E105,F104))</f>
        <v/>
      </c>
      <c r="G105" s="795" t="e">
        <f ca="1">INDEX(INDIRECT(CONCATENATE("'",D105,"'!e",INDIRECT(SUBSTITUTE(D105," ","_")) StartPoint,":$f$420")),F105,2)</f>
        <v>#VALUE!</v>
      </c>
      <c r="H105" s="798" t="e">
        <f ca="1">INDEX(INDIRECT(CONCATENATE("'",D105,"'!e",INDIRECT(SUBSTITUTE(D105," ","_")) StartPoint,":$h$420")),F105,3)</f>
        <v>#VALUE!</v>
      </c>
      <c r="I105" s="798" t="e">
        <f ca="1">INDEX(INDIRECT(CONCATENATE("'",D105,"'!e",INDIRECT(SUBSTITUTE(D105," ","_")) StartPoint,":$h$420")),F105,4)</f>
        <v>#VALUE!</v>
      </c>
      <c r="J105" s="798"/>
      <c r="K105" s="846">
        <f t="shared" ca="1" si="29"/>
        <v>0</v>
      </c>
      <c r="L105" s="847">
        <v>103</v>
      </c>
      <c r="M105" s="795" t="e">
        <f t="shared" ca="1" si="30"/>
        <v>#N/A</v>
      </c>
      <c r="N105" s="798"/>
      <c r="O105" s="848">
        <f t="shared" ca="1" si="24"/>
        <v>0</v>
      </c>
      <c r="P105" s="848" t="e">
        <f t="shared" ca="1" si="25"/>
        <v>#N/A</v>
      </c>
      <c r="R105" s="848">
        <v>103</v>
      </c>
      <c r="S105" s="848" t="str">
        <f t="shared" ca="1" si="19"/>
        <v/>
      </c>
      <c r="T105" s="848" t="str">
        <f t="shared" ca="1" si="31"/>
        <v/>
      </c>
      <c r="U105" s="850" t="str">
        <f t="shared" ca="1" si="28"/>
        <v/>
      </c>
      <c r="V105" s="7"/>
      <c r="W105" s="851" t="str">
        <f t="shared" ca="1" si="26"/>
        <v/>
      </c>
      <c r="X105" s="1580" t="str">
        <f t="shared" ca="1" si="27"/>
        <v/>
      </c>
      <c r="Y105" s="852" t="str">
        <f ca="1">'Action Plan finance'!I158</f>
        <v/>
      </c>
      <c r="Z105" s="1494" t="str">
        <f t="shared" ca="1" si="32"/>
        <v/>
      </c>
      <c r="AA105" s="1494" t="str">
        <f t="shared" ca="1" si="33"/>
        <v/>
      </c>
      <c r="AN105" s="5559" t="s">
        <v>3317</v>
      </c>
    </row>
    <row r="106" spans="2:40" x14ac:dyDescent="0.25">
      <c r="B106" s="8">
        <v>13</v>
      </c>
      <c r="C106" s="8">
        <f ca="1">IF(E106&lt;&gt;0,SUM(1,MAX($C$2:C105)),0)</f>
        <v>0</v>
      </c>
      <c r="D106" s="8" t="s">
        <v>1526</v>
      </c>
      <c r="E106" s="844">
        <f ca="1">IF(B106&gt;INDIRECT(SUBSTITUTE(D106," ","_")) ActivatedCounts,0,MATCH($G$2,INDIRECT(CONCATENATE("'",D106,"'!e",INDIRECT(SUBSTITUTE(D106," ","_")) StartPoint+SUM(F105),":$e$420")),0))</f>
        <v>0</v>
      </c>
      <c r="F106" s="8" t="str">
        <f ca="1">IF(B106&gt;INDIRECT(SUBSTITUTE(D106," ","_")) ActivatedCounts,"",SUM(E106,F105))</f>
        <v/>
      </c>
      <c r="G106" s="795" t="e">
        <f ca="1">INDEX(INDIRECT(CONCATENATE("'",D106,"'!e",INDIRECT(SUBSTITUTE(D106," ","_")) StartPoint,":$f$420")),F106,2)</f>
        <v>#VALUE!</v>
      </c>
      <c r="H106" s="798" t="e">
        <f ca="1">INDEX(INDIRECT(CONCATENATE("'",D106,"'!e",INDIRECT(SUBSTITUTE(D106," ","_")) StartPoint,":$h$420")),F106,3)</f>
        <v>#VALUE!</v>
      </c>
      <c r="I106" s="798" t="e">
        <f ca="1">INDEX(INDIRECT(CONCATENATE("'",D106,"'!e",INDIRECT(SUBSTITUTE(D106," ","_")) StartPoint,":$h$420")),F106,4)</f>
        <v>#VALUE!</v>
      </c>
      <c r="J106" s="798"/>
      <c r="K106" s="846">
        <f t="shared" ca="1" si="29"/>
        <v>0</v>
      </c>
      <c r="L106" s="847">
        <v>104</v>
      </c>
      <c r="M106" s="795" t="e">
        <f t="shared" ca="1" si="30"/>
        <v>#N/A</v>
      </c>
      <c r="N106" s="798"/>
      <c r="O106" s="848">
        <f t="shared" ca="1" si="24"/>
        <v>0</v>
      </c>
      <c r="P106" s="848" t="e">
        <f t="shared" ca="1" si="25"/>
        <v>#N/A</v>
      </c>
      <c r="R106" s="848">
        <v>104</v>
      </c>
      <c r="S106" s="848" t="str">
        <f t="shared" ca="1" si="19"/>
        <v/>
      </c>
      <c r="T106" s="848" t="str">
        <f t="shared" ca="1" si="31"/>
        <v/>
      </c>
      <c r="U106" s="850" t="str">
        <f t="shared" ca="1" si="28"/>
        <v/>
      </c>
      <c r="V106" s="7"/>
      <c r="W106" s="851" t="str">
        <f t="shared" ca="1" si="26"/>
        <v/>
      </c>
      <c r="X106" s="1580" t="str">
        <f t="shared" ca="1" si="27"/>
        <v/>
      </c>
      <c r="Y106" s="852" t="str">
        <f ca="1">'Action Plan finance'!I159</f>
        <v/>
      </c>
      <c r="Z106" s="1494" t="str">
        <f t="shared" ca="1" si="32"/>
        <v/>
      </c>
      <c r="AA106" s="1494" t="str">
        <f t="shared" ca="1" si="33"/>
        <v/>
      </c>
      <c r="AN106" s="5558" t="s">
        <v>3318</v>
      </c>
    </row>
    <row r="107" spans="2:40" x14ac:dyDescent="0.25">
      <c r="B107" s="8">
        <v>14</v>
      </c>
      <c r="C107" s="8">
        <f ca="1">IF(E107&lt;&gt;0,SUM(1,MAX($C$2:C106)),0)</f>
        <v>0</v>
      </c>
      <c r="D107" s="8" t="s">
        <v>1526</v>
      </c>
      <c r="E107" s="844">
        <f ca="1">IF(B107&gt;INDIRECT(SUBSTITUTE(D107," ","_")) ActivatedCounts,0,MATCH($G$2,INDIRECT(CONCATENATE("'",D107,"'!e",INDIRECT(SUBSTITUTE(D107," ","_")) StartPoint+SUM(F106),":$e$420")),0))</f>
        <v>0</v>
      </c>
      <c r="F107" s="8" t="str">
        <f ca="1">IF(B107&gt;INDIRECT(SUBSTITUTE(D107," ","_")) ActivatedCounts,"",SUM(E107,F106))</f>
        <v/>
      </c>
      <c r="G107" s="795" t="e">
        <f ca="1">INDEX(INDIRECT(CONCATENATE("'",D107,"'!e",INDIRECT(SUBSTITUTE(D107," ","_")) StartPoint,":$f$420")),F107,2)</f>
        <v>#VALUE!</v>
      </c>
      <c r="H107" s="798" t="e">
        <f ca="1">INDEX(INDIRECT(CONCATENATE("'",D107,"'!e",INDIRECT(SUBSTITUTE(D107," ","_")) StartPoint,":$h$420")),F107,3)</f>
        <v>#VALUE!</v>
      </c>
      <c r="I107" s="798" t="e">
        <f ca="1">INDEX(INDIRECT(CONCATENATE("'",D107,"'!e",INDIRECT(SUBSTITUTE(D107," ","_")) StartPoint,":$h$420")),F107,4)</f>
        <v>#VALUE!</v>
      </c>
      <c r="J107" s="798"/>
      <c r="K107" s="846">
        <f t="shared" ca="1" si="29"/>
        <v>0</v>
      </c>
      <c r="L107" s="847">
        <v>105</v>
      </c>
      <c r="M107" s="795" t="e">
        <f t="shared" ca="1" si="30"/>
        <v>#N/A</v>
      </c>
      <c r="N107" s="798"/>
      <c r="O107" s="848">
        <f t="shared" ca="1" si="24"/>
        <v>0</v>
      </c>
      <c r="P107" s="848" t="e">
        <f t="shared" ca="1" si="25"/>
        <v>#N/A</v>
      </c>
      <c r="R107" s="848">
        <v>105</v>
      </c>
      <c r="S107" s="848" t="str">
        <f t="shared" ca="1" si="19"/>
        <v/>
      </c>
      <c r="T107" s="848" t="str">
        <f t="shared" ca="1" si="31"/>
        <v/>
      </c>
      <c r="U107" s="850" t="str">
        <f t="shared" ca="1" si="28"/>
        <v/>
      </c>
      <c r="V107" s="7"/>
      <c r="W107" s="851" t="str">
        <f t="shared" ca="1" si="26"/>
        <v/>
      </c>
      <c r="X107" s="1580" t="str">
        <f t="shared" ca="1" si="27"/>
        <v/>
      </c>
      <c r="Y107" s="852" t="str">
        <f ca="1">'Action Plan finance'!I160</f>
        <v/>
      </c>
      <c r="Z107" s="1494" t="str">
        <f t="shared" ca="1" si="32"/>
        <v/>
      </c>
      <c r="AA107" s="1494" t="str">
        <f t="shared" ca="1" si="33"/>
        <v/>
      </c>
      <c r="AN107" s="5559" t="s">
        <v>3319</v>
      </c>
    </row>
    <row r="108" spans="2:40" x14ac:dyDescent="0.25">
      <c r="B108" s="8">
        <v>15</v>
      </c>
      <c r="C108" s="8">
        <f ca="1">IF(E108&lt;&gt;0,SUM(1,MAX($C$2:C107)),0)</f>
        <v>0</v>
      </c>
      <c r="D108" s="8" t="s">
        <v>1526</v>
      </c>
      <c r="E108" s="844">
        <f ca="1">IF(B108&gt;INDIRECT(SUBSTITUTE(D108," ","_")) ActivatedCounts,0,MATCH($G$2,INDIRECT(CONCATENATE("'",D108,"'!e",INDIRECT(SUBSTITUTE(D108," ","_")) StartPoint+SUM(F107),":$e$420")),0))</f>
        <v>0</v>
      </c>
      <c r="F108" s="8" t="str">
        <f ca="1">IF(B108&gt;INDIRECT(SUBSTITUTE(D108," ","_")) ActivatedCounts,"",SUM(E108,F107))</f>
        <v/>
      </c>
      <c r="G108" s="795" t="e">
        <f ca="1">INDEX(INDIRECT(CONCATENATE("'",D108,"'!e",INDIRECT(SUBSTITUTE(D108," ","_")) StartPoint,":$f$420")),F108,2)</f>
        <v>#VALUE!</v>
      </c>
      <c r="H108" s="798" t="e">
        <f ca="1">INDEX(INDIRECT(CONCATENATE("'",D108,"'!e",INDIRECT(SUBSTITUTE(D108," ","_")) StartPoint,":$h$420")),F108,3)</f>
        <v>#VALUE!</v>
      </c>
      <c r="I108" s="798" t="e">
        <f ca="1">INDEX(INDIRECT(CONCATENATE("'",D108,"'!e",INDIRECT(SUBSTITUTE(D108," ","_")) StartPoint,":$h$420")),F108,4)</f>
        <v>#VALUE!</v>
      </c>
      <c r="J108" s="798"/>
      <c r="K108" s="846">
        <f t="shared" ca="1" si="29"/>
        <v>0</v>
      </c>
      <c r="L108" s="847">
        <v>106</v>
      </c>
      <c r="M108" s="795" t="e">
        <f t="shared" ca="1" si="30"/>
        <v>#N/A</v>
      </c>
      <c r="N108" s="798"/>
      <c r="O108" s="848">
        <f t="shared" ca="1" si="24"/>
        <v>0</v>
      </c>
      <c r="P108" s="848" t="e">
        <f t="shared" ca="1" si="25"/>
        <v>#N/A</v>
      </c>
      <c r="R108" s="848">
        <v>106</v>
      </c>
      <c r="S108" s="848" t="str">
        <f t="shared" ca="1" si="19"/>
        <v/>
      </c>
      <c r="T108" s="848" t="str">
        <f t="shared" ca="1" si="31"/>
        <v/>
      </c>
      <c r="U108" s="850" t="str">
        <f t="shared" ca="1" si="28"/>
        <v/>
      </c>
      <c r="V108" s="7"/>
      <c r="W108" s="851" t="str">
        <f t="shared" ca="1" si="26"/>
        <v/>
      </c>
      <c r="X108" s="1580" t="str">
        <f t="shared" ca="1" si="27"/>
        <v/>
      </c>
      <c r="Y108" s="852" t="str">
        <f ca="1">'Action Plan finance'!I161</f>
        <v/>
      </c>
      <c r="Z108" s="1494" t="str">
        <f t="shared" ca="1" si="32"/>
        <v/>
      </c>
      <c r="AA108" s="1494" t="str">
        <f t="shared" ca="1" si="33"/>
        <v/>
      </c>
      <c r="AN108" s="1472" t="s">
        <v>3320</v>
      </c>
    </row>
    <row r="109" spans="2:40" x14ac:dyDescent="0.25">
      <c r="B109" s="8">
        <v>16</v>
      </c>
      <c r="C109" s="8">
        <f ca="1">IF(E109&lt;&gt;0,SUM(1,MAX($C$2:C108)),0)</f>
        <v>0</v>
      </c>
      <c r="D109" s="8" t="s">
        <v>1526</v>
      </c>
      <c r="E109" s="844">
        <f ca="1">IF(B109&gt;INDIRECT(SUBSTITUTE(D109," ","_")) ActivatedCounts,0,MATCH($G$2,INDIRECT(CONCATENATE("'",D109,"'!e",INDIRECT(SUBSTITUTE(D109," ","_")) StartPoint+SUM(F108),":$e$420")),0))</f>
        <v>0</v>
      </c>
      <c r="F109" s="8" t="str">
        <f ca="1">IF(B109&gt;INDIRECT(SUBSTITUTE(D109," ","_")) ActivatedCounts,"",SUM(E109,F108))</f>
        <v/>
      </c>
      <c r="G109" s="795" t="e">
        <f ca="1">INDEX(INDIRECT(CONCATENATE("'",D109,"'!e",INDIRECT(SUBSTITUTE(D109," ","_")) StartPoint,":$f$420")),F109,2)</f>
        <v>#VALUE!</v>
      </c>
      <c r="H109" s="798" t="e">
        <f ca="1">INDEX(INDIRECT(CONCATENATE("'",D109,"'!e",INDIRECT(SUBSTITUTE(D109," ","_")) StartPoint,":$h$420")),F109,3)</f>
        <v>#VALUE!</v>
      </c>
      <c r="I109" s="798" t="e">
        <f ca="1">INDEX(INDIRECT(CONCATENATE("'",D109,"'!e",INDIRECT(SUBSTITUTE(D109," ","_")) StartPoint,":$h$420")),F109,4)</f>
        <v>#VALUE!</v>
      </c>
      <c r="J109" s="798"/>
      <c r="K109" s="846">
        <f t="shared" ca="1" si="29"/>
        <v>0</v>
      </c>
      <c r="L109" s="847">
        <v>107</v>
      </c>
      <c r="M109" s="795" t="e">
        <f t="shared" ca="1" si="30"/>
        <v>#N/A</v>
      </c>
      <c r="N109" s="798"/>
      <c r="O109" s="848">
        <f t="shared" ca="1" si="24"/>
        <v>0</v>
      </c>
      <c r="P109" s="848" t="e">
        <f t="shared" ca="1" si="25"/>
        <v>#N/A</v>
      </c>
      <c r="R109" s="848">
        <v>107</v>
      </c>
      <c r="S109" s="848" t="str">
        <f t="shared" ca="1" si="19"/>
        <v/>
      </c>
      <c r="T109" s="848" t="str">
        <f t="shared" ca="1" si="31"/>
        <v/>
      </c>
      <c r="U109" s="850" t="str">
        <f t="shared" ca="1" si="28"/>
        <v/>
      </c>
      <c r="V109" s="7"/>
      <c r="W109" s="851" t="str">
        <f t="shared" ca="1" si="26"/>
        <v/>
      </c>
      <c r="X109" s="1580" t="str">
        <f t="shared" ca="1" si="27"/>
        <v/>
      </c>
      <c r="Y109" s="852" t="str">
        <f ca="1">'Action Plan finance'!I162</f>
        <v/>
      </c>
      <c r="Z109" s="1494" t="str">
        <f t="shared" ca="1" si="32"/>
        <v/>
      </c>
      <c r="AA109" s="1494" t="str">
        <f t="shared" ca="1" si="33"/>
        <v/>
      </c>
      <c r="AN109" s="5559" t="s">
        <v>3321</v>
      </c>
    </row>
    <row r="110" spans="2:40" x14ac:dyDescent="0.25">
      <c r="B110" s="8">
        <v>17</v>
      </c>
      <c r="C110" s="8">
        <f ca="1">IF(E110&lt;&gt;0,SUM(1,MAX($C$2:C109)),0)</f>
        <v>0</v>
      </c>
      <c r="D110" s="8" t="s">
        <v>1526</v>
      </c>
      <c r="E110" s="844">
        <f ca="1">IF(B110&gt;INDIRECT(SUBSTITUTE(D110," ","_")) ActivatedCounts,0,MATCH($G$2,INDIRECT(CONCATENATE("'",D110,"'!e",INDIRECT(SUBSTITUTE(D110," ","_")) StartPoint+SUM(F109),":$e$420")),0))</f>
        <v>0</v>
      </c>
      <c r="F110" s="8" t="str">
        <f ca="1">IF(B110&gt;INDIRECT(SUBSTITUTE(D110," ","_")) ActivatedCounts,"",SUM(E110,F109))</f>
        <v/>
      </c>
      <c r="G110" s="795" t="e">
        <f ca="1">INDEX(INDIRECT(CONCATENATE("'",D110,"'!e",INDIRECT(SUBSTITUTE(D110," ","_")) StartPoint,":$f$420")),F110,2)</f>
        <v>#VALUE!</v>
      </c>
      <c r="H110" s="798" t="e">
        <f ca="1">INDEX(INDIRECT(CONCATENATE("'",D110,"'!e",INDIRECT(SUBSTITUTE(D110," ","_")) StartPoint,":$h$420")),F110,3)</f>
        <v>#VALUE!</v>
      </c>
      <c r="I110" s="798" t="e">
        <f ca="1">INDEX(INDIRECT(CONCATENATE("'",D110,"'!e",INDIRECT(SUBSTITUTE(D110," ","_")) StartPoint,":$h$420")),F110,4)</f>
        <v>#VALUE!</v>
      </c>
      <c r="J110" s="798"/>
      <c r="K110" s="846">
        <f t="shared" ca="1" si="29"/>
        <v>0</v>
      </c>
      <c r="L110" s="847">
        <v>108</v>
      </c>
      <c r="M110" s="795" t="e">
        <f t="shared" ca="1" si="30"/>
        <v>#N/A</v>
      </c>
      <c r="N110" s="798"/>
      <c r="O110" s="848">
        <f t="shared" ca="1" si="24"/>
        <v>0</v>
      </c>
      <c r="P110" s="848" t="e">
        <f t="shared" ca="1" si="25"/>
        <v>#N/A</v>
      </c>
      <c r="R110" s="848">
        <v>108</v>
      </c>
      <c r="S110" s="848" t="str">
        <f t="shared" ca="1" si="19"/>
        <v/>
      </c>
      <c r="T110" s="848" t="str">
        <f t="shared" ca="1" si="31"/>
        <v/>
      </c>
      <c r="U110" s="850" t="str">
        <f t="shared" ca="1" si="28"/>
        <v/>
      </c>
      <c r="V110" s="7"/>
      <c r="W110" s="851" t="str">
        <f t="shared" ca="1" si="26"/>
        <v/>
      </c>
      <c r="X110" s="1580" t="str">
        <f t="shared" ca="1" si="27"/>
        <v/>
      </c>
      <c r="Y110" s="852" t="str">
        <f ca="1">'Action Plan finance'!I163</f>
        <v/>
      </c>
      <c r="Z110" s="1494" t="str">
        <f t="shared" ca="1" si="32"/>
        <v/>
      </c>
      <c r="AA110" s="1494" t="str">
        <f t="shared" ca="1" si="33"/>
        <v/>
      </c>
      <c r="AN110" s="1472" t="s">
        <v>3322</v>
      </c>
    </row>
    <row r="111" spans="2:40" x14ac:dyDescent="0.25">
      <c r="B111" s="8">
        <v>18</v>
      </c>
      <c r="C111" s="8">
        <f ca="1">IF(E111&lt;&gt;0,SUM(1,MAX($C$2:C110)),0)</f>
        <v>0</v>
      </c>
      <c r="D111" s="8" t="s">
        <v>1526</v>
      </c>
      <c r="E111" s="844">
        <f ca="1">IF(B111&gt;INDIRECT(SUBSTITUTE(D111," ","_")) ActivatedCounts,0,MATCH($G$2,INDIRECT(CONCATENATE("'",D111,"'!e",INDIRECT(SUBSTITUTE(D111," ","_")) StartPoint+SUM(F110),":$e$420")),0))</f>
        <v>0</v>
      </c>
      <c r="F111" s="8" t="str">
        <f ca="1">IF(B111&gt;INDIRECT(SUBSTITUTE(D111," ","_")) ActivatedCounts,"",SUM(E111,F110))</f>
        <v/>
      </c>
      <c r="G111" s="795" t="e">
        <f ca="1">INDEX(INDIRECT(CONCATENATE("'",D111,"'!e",INDIRECT(SUBSTITUTE(D111," ","_")) StartPoint,":$f$420")),F111,2)</f>
        <v>#VALUE!</v>
      </c>
      <c r="H111" s="798" t="e">
        <f ca="1">INDEX(INDIRECT(CONCATENATE("'",D111,"'!e",INDIRECT(SUBSTITUTE(D111," ","_")) StartPoint,":$h$420")),F111,3)</f>
        <v>#VALUE!</v>
      </c>
      <c r="I111" s="798" t="e">
        <f ca="1">INDEX(INDIRECT(CONCATENATE("'",D111,"'!e",INDIRECT(SUBSTITUTE(D111," ","_")) StartPoint,":$h$420")),F111,4)</f>
        <v>#VALUE!</v>
      </c>
      <c r="J111" s="798"/>
      <c r="K111" s="846">
        <f t="shared" ca="1" si="29"/>
        <v>0</v>
      </c>
      <c r="L111" s="847">
        <v>109</v>
      </c>
      <c r="M111" s="795" t="e">
        <f t="shared" ca="1" si="30"/>
        <v>#N/A</v>
      </c>
      <c r="N111" s="798"/>
      <c r="O111" s="848">
        <f t="shared" ca="1" si="24"/>
        <v>0</v>
      </c>
      <c r="P111" s="848" t="e">
        <f t="shared" ca="1" si="25"/>
        <v>#N/A</v>
      </c>
      <c r="R111" s="848">
        <v>109</v>
      </c>
      <c r="S111" s="848" t="str">
        <f t="shared" ca="1" si="19"/>
        <v/>
      </c>
      <c r="T111" s="848" t="str">
        <f t="shared" ca="1" si="31"/>
        <v/>
      </c>
      <c r="U111" s="850" t="str">
        <f t="shared" ca="1" si="28"/>
        <v/>
      </c>
      <c r="V111" s="7"/>
      <c r="W111" s="851" t="str">
        <f t="shared" ca="1" si="26"/>
        <v/>
      </c>
      <c r="X111" s="1580" t="str">
        <f t="shared" ca="1" si="27"/>
        <v/>
      </c>
      <c r="Y111" s="852" t="str">
        <f ca="1">'Action Plan finance'!I164</f>
        <v/>
      </c>
      <c r="Z111" s="1494" t="str">
        <f t="shared" ca="1" si="32"/>
        <v/>
      </c>
      <c r="AA111" s="1494" t="str">
        <f t="shared" ca="1" si="33"/>
        <v/>
      </c>
      <c r="AN111" s="5559" t="s">
        <v>3323</v>
      </c>
    </row>
    <row r="112" spans="2:40" x14ac:dyDescent="0.25">
      <c r="B112" s="8">
        <v>19</v>
      </c>
      <c r="C112" s="8">
        <f ca="1">IF(E112&lt;&gt;0,SUM(1,MAX($C$2:C111)),0)</f>
        <v>0</v>
      </c>
      <c r="D112" s="8" t="s">
        <v>1526</v>
      </c>
      <c r="E112" s="844">
        <f ca="1">IF(B112&gt;INDIRECT(SUBSTITUTE(D112," ","_")) ActivatedCounts,0,MATCH($G$2,INDIRECT(CONCATENATE("'",D112,"'!e",INDIRECT(SUBSTITUTE(D112," ","_")) StartPoint+SUM(F111),":$e$420")),0))</f>
        <v>0</v>
      </c>
      <c r="F112" s="8" t="str">
        <f ca="1">IF(B112&gt;INDIRECT(SUBSTITUTE(D112," ","_")) ActivatedCounts,"",SUM(E112,F111))</f>
        <v/>
      </c>
      <c r="G112" s="795" t="e">
        <f ca="1">INDEX(INDIRECT(CONCATENATE("'",D112,"'!e",INDIRECT(SUBSTITUTE(D112," ","_")) StartPoint,":$f$420")),F112,2)</f>
        <v>#VALUE!</v>
      </c>
      <c r="H112" s="798" t="e">
        <f ca="1">INDEX(INDIRECT(CONCATENATE("'",D112,"'!e",INDIRECT(SUBSTITUTE(D112," ","_")) StartPoint,":$h$420")),F112,3)</f>
        <v>#VALUE!</v>
      </c>
      <c r="I112" s="798" t="e">
        <f ca="1">INDEX(INDIRECT(CONCATENATE("'",D112,"'!e",INDIRECT(SUBSTITUTE(D112," ","_")) StartPoint,":$h$420")),F112,4)</f>
        <v>#VALUE!</v>
      </c>
      <c r="J112" s="798"/>
      <c r="K112" s="846">
        <f t="shared" ca="1" si="29"/>
        <v>0</v>
      </c>
      <c r="L112" s="847">
        <v>110</v>
      </c>
      <c r="M112" s="795" t="e">
        <f t="shared" ca="1" si="30"/>
        <v>#N/A</v>
      </c>
      <c r="N112" s="798"/>
      <c r="O112" s="848">
        <f t="shared" ca="1" si="24"/>
        <v>0</v>
      </c>
      <c r="P112" s="848" t="e">
        <f t="shared" ca="1" si="25"/>
        <v>#N/A</v>
      </c>
      <c r="R112" s="848">
        <v>110</v>
      </c>
      <c r="S112" s="848" t="str">
        <f t="shared" ca="1" si="19"/>
        <v/>
      </c>
      <c r="T112" s="848" t="str">
        <f t="shared" ca="1" si="31"/>
        <v/>
      </c>
      <c r="U112" s="850" t="str">
        <f t="shared" ca="1" si="28"/>
        <v/>
      </c>
      <c r="V112" s="7"/>
      <c r="W112" s="851" t="str">
        <f t="shared" ca="1" si="26"/>
        <v/>
      </c>
      <c r="X112" s="1580" t="str">
        <f t="shared" ca="1" si="27"/>
        <v/>
      </c>
      <c r="Y112" s="852" t="str">
        <f ca="1">'Action Plan finance'!I165</f>
        <v/>
      </c>
      <c r="Z112" s="1494" t="str">
        <f t="shared" ca="1" si="32"/>
        <v/>
      </c>
      <c r="AA112" s="1494" t="str">
        <f t="shared" ca="1" si="33"/>
        <v/>
      </c>
      <c r="AN112" s="5559" t="s">
        <v>3324</v>
      </c>
    </row>
    <row r="113" spans="2:40" x14ac:dyDescent="0.25">
      <c r="B113" s="8">
        <v>20</v>
      </c>
      <c r="C113" s="8">
        <f ca="1">IF(E113&lt;&gt;0,SUM(1,MAX($C$2:C112)),0)</f>
        <v>0</v>
      </c>
      <c r="D113" s="8" t="s">
        <v>1526</v>
      </c>
      <c r="E113" s="844">
        <f ca="1">IF(B113&gt;INDIRECT(SUBSTITUTE(D113," ","_")) ActivatedCounts,0,MATCH($G$2,INDIRECT(CONCATENATE("'",D113,"'!e",INDIRECT(SUBSTITUTE(D113," ","_")) StartPoint+SUM(F112),":$e$420")),0))</f>
        <v>0</v>
      </c>
      <c r="F113" s="8" t="str">
        <f ca="1">IF(B113&gt;INDIRECT(SUBSTITUTE(D113," ","_")) ActivatedCounts,"",SUM(E113,F112))</f>
        <v/>
      </c>
      <c r="G113" s="795" t="e">
        <f ca="1">INDEX(INDIRECT(CONCATENATE("'",D113,"'!e",INDIRECT(SUBSTITUTE(D113," ","_")) StartPoint,":$f$420")),F113,2)</f>
        <v>#VALUE!</v>
      </c>
      <c r="H113" s="798" t="e">
        <f ca="1">INDEX(INDIRECT(CONCATENATE("'",D113,"'!e",INDIRECT(SUBSTITUTE(D113," ","_")) StartPoint,":$h$420")),F113,3)</f>
        <v>#VALUE!</v>
      </c>
      <c r="I113" s="798" t="e">
        <f ca="1">INDEX(INDIRECT(CONCATENATE("'",D113,"'!e",INDIRECT(SUBSTITUTE(D113," ","_")) StartPoint,":$h$420")),F113,4)</f>
        <v>#VALUE!</v>
      </c>
      <c r="J113" s="798"/>
      <c r="K113" s="846">
        <f t="shared" ca="1" si="29"/>
        <v>0</v>
      </c>
      <c r="L113" s="847">
        <v>111</v>
      </c>
      <c r="M113" s="795" t="e">
        <f t="shared" ca="1" si="30"/>
        <v>#N/A</v>
      </c>
      <c r="N113" s="798"/>
      <c r="O113" s="848">
        <f t="shared" ca="1" si="24"/>
        <v>0</v>
      </c>
      <c r="P113" s="848" t="e">
        <f t="shared" ca="1" si="25"/>
        <v>#N/A</v>
      </c>
      <c r="R113" s="848">
        <v>111</v>
      </c>
      <c r="S113" s="848" t="str">
        <f t="shared" ca="1" si="19"/>
        <v/>
      </c>
      <c r="T113" s="848" t="str">
        <f t="shared" ca="1" si="31"/>
        <v/>
      </c>
      <c r="U113" s="850" t="str">
        <f t="shared" ca="1" si="28"/>
        <v/>
      </c>
      <c r="V113" s="7"/>
      <c r="W113" s="851" t="str">
        <f t="shared" ca="1" si="26"/>
        <v/>
      </c>
      <c r="X113" s="1580" t="str">
        <f t="shared" ca="1" si="27"/>
        <v/>
      </c>
      <c r="Y113" s="852" t="str">
        <f ca="1">'Action Plan finance'!I166</f>
        <v/>
      </c>
      <c r="Z113" s="1494" t="str">
        <f t="shared" ca="1" si="32"/>
        <v/>
      </c>
      <c r="AA113" s="1494" t="str">
        <f t="shared" ca="1" si="33"/>
        <v/>
      </c>
      <c r="AN113" s="1472" t="s">
        <v>3325</v>
      </c>
    </row>
    <row r="114" spans="2:40" x14ac:dyDescent="0.25">
      <c r="B114" s="8">
        <v>21</v>
      </c>
      <c r="C114" s="8">
        <f ca="1">IF(E114&lt;&gt;0,SUM(1,MAX($C$2:C113)),0)</f>
        <v>0</v>
      </c>
      <c r="D114" s="8" t="s">
        <v>1526</v>
      </c>
      <c r="E114" s="844">
        <f ca="1">IF(B114&gt;INDIRECT(SUBSTITUTE(D114," ","_")) ActivatedCounts,0,MATCH($G$2,INDIRECT(CONCATENATE("'",D114,"'!e",INDIRECT(SUBSTITUTE(D114," ","_")) StartPoint+SUM(F113),":$e$420")),0))</f>
        <v>0</v>
      </c>
      <c r="F114" s="8" t="str">
        <f ca="1">IF(B114&gt;INDIRECT(SUBSTITUTE(D114," ","_")) ActivatedCounts,"",SUM(E114,F113))</f>
        <v/>
      </c>
      <c r="G114" s="795" t="e">
        <f ca="1">INDEX(INDIRECT(CONCATENATE("'",D114,"'!e",INDIRECT(SUBSTITUTE(D114," ","_")) StartPoint,":$f$420")),F114,2)</f>
        <v>#VALUE!</v>
      </c>
      <c r="H114" s="798" t="e">
        <f ca="1">INDEX(INDIRECT(CONCATENATE("'",D114,"'!e",INDIRECT(SUBSTITUTE(D114," ","_")) StartPoint,":$h$420")),F114,3)</f>
        <v>#VALUE!</v>
      </c>
      <c r="I114" s="798" t="e">
        <f ca="1">INDEX(INDIRECT(CONCATENATE("'",D114,"'!e",INDIRECT(SUBSTITUTE(D114," ","_")) StartPoint,":$h$420")),F114,4)</f>
        <v>#VALUE!</v>
      </c>
      <c r="J114" s="798"/>
      <c r="K114" s="846">
        <f t="shared" ca="1" si="29"/>
        <v>0</v>
      </c>
      <c r="L114" s="847">
        <v>112</v>
      </c>
      <c r="M114" s="795" t="e">
        <f t="shared" ca="1" si="30"/>
        <v>#N/A</v>
      </c>
      <c r="N114" s="798"/>
      <c r="O114" s="848">
        <f t="shared" ca="1" si="24"/>
        <v>0</v>
      </c>
      <c r="P114" s="848" t="e">
        <f t="shared" ca="1" si="25"/>
        <v>#N/A</v>
      </c>
      <c r="R114" s="848">
        <v>112</v>
      </c>
      <c r="S114" s="848" t="str">
        <f ca="1">IFERROR(IF(O114=O115,"",O114),O114)</f>
        <v/>
      </c>
      <c r="T114" s="848" t="str">
        <f t="shared" ca="1" si="31"/>
        <v/>
      </c>
      <c r="U114" s="850" t="str">
        <f t="shared" ca="1" si="28"/>
        <v/>
      </c>
      <c r="V114" s="7"/>
      <c r="W114" s="851" t="str">
        <f t="shared" ca="1" si="26"/>
        <v/>
      </c>
      <c r="X114" s="1580" t="str">
        <f t="shared" ca="1" si="27"/>
        <v/>
      </c>
      <c r="Y114" s="852" t="str">
        <f ca="1">'Action Plan finance'!I167</f>
        <v/>
      </c>
      <c r="Z114" s="1494" t="str">
        <f t="shared" ca="1" si="32"/>
        <v/>
      </c>
      <c r="AA114" s="1494" t="str">
        <f t="shared" ca="1" si="33"/>
        <v/>
      </c>
      <c r="AN114" s="1472" t="s">
        <v>3326</v>
      </c>
    </row>
    <row r="115" spans="2:40" x14ac:dyDescent="0.25">
      <c r="B115" s="8">
        <v>22</v>
      </c>
      <c r="C115" s="8">
        <f ca="1">IF(E115&lt;&gt;0,SUM(1,MAX($C$2:C114)),0)</f>
        <v>0</v>
      </c>
      <c r="D115" s="8" t="s">
        <v>1526</v>
      </c>
      <c r="E115" s="844">
        <f ca="1">IF(B115&gt;INDIRECT(SUBSTITUTE(D115," ","_")) ActivatedCounts,0,MATCH($G$2,INDIRECT(CONCATENATE("'",D115,"'!e",INDIRECT(SUBSTITUTE(D115," ","_")) StartPoint+SUM(F114),":$e$420")),0))</f>
        <v>0</v>
      </c>
      <c r="F115" s="8" t="str">
        <f ca="1">IF(B115&gt;INDIRECT(SUBSTITUTE(D115," ","_")) ActivatedCounts,"",SUM(E115,F114))</f>
        <v/>
      </c>
      <c r="G115" s="795" t="e">
        <f ca="1">INDEX(INDIRECT(CONCATENATE("'",D115,"'!e",INDIRECT(SUBSTITUTE(D115," ","_")) StartPoint,":$f$420")),F115,2)</f>
        <v>#VALUE!</v>
      </c>
      <c r="H115" s="798" t="e">
        <f ca="1">INDEX(INDIRECT(CONCATENATE("'",D115,"'!e",INDIRECT(SUBSTITUTE(D115," ","_")) StartPoint,":$h$420")),F115,3)</f>
        <v>#VALUE!</v>
      </c>
      <c r="I115" s="798" t="e">
        <f ca="1">INDEX(INDIRECT(CONCATENATE("'",D115,"'!e",INDIRECT(SUBSTITUTE(D115," ","_")) StartPoint,":$h$420")),F115,4)</f>
        <v>#VALUE!</v>
      </c>
      <c r="J115" s="798"/>
      <c r="K115" s="846">
        <f t="shared" ca="1" si="29"/>
        <v>0</v>
      </c>
      <c r="L115" s="847">
        <v>113</v>
      </c>
      <c r="M115" s="795" t="e">
        <f t="shared" ca="1" si="30"/>
        <v>#N/A</v>
      </c>
      <c r="N115" s="798"/>
      <c r="O115" s="848">
        <f t="shared" ca="1" si="24"/>
        <v>0</v>
      </c>
      <c r="P115" s="848" t="e">
        <f t="shared" ref="P115:P127" ca="1" si="34">IF(M115=$O$1,"WS",IF(M115=$P$1,"WW","SW"))</f>
        <v>#N/A</v>
      </c>
      <c r="R115" s="848">
        <v>113</v>
      </c>
      <c r="S115" s="848" t="str">
        <f t="shared" ref="S115:S123" ca="1" si="35">IFERROR(IF(O115=O116,"",O115),O115)</f>
        <v/>
      </c>
      <c r="T115" s="848" t="str">
        <f t="shared" ca="1" si="31"/>
        <v/>
      </c>
      <c r="U115" s="850" t="str">
        <f t="shared" ref="U115:U127" ca="1" si="36">IF(S115="","",R115)</f>
        <v/>
      </c>
      <c r="V115" s="7"/>
      <c r="W115" s="851" t="str">
        <f t="shared" ca="1" si="26"/>
        <v/>
      </c>
      <c r="X115" s="1580" t="str">
        <f t="shared" ca="1" si="27"/>
        <v/>
      </c>
      <c r="Y115" s="852" t="str">
        <f ca="1">'Action Plan finance'!I168</f>
        <v/>
      </c>
      <c r="Z115" s="1494" t="str">
        <f t="shared" ca="1" si="32"/>
        <v/>
      </c>
      <c r="AA115" s="1494" t="str">
        <f t="shared" ca="1" si="33"/>
        <v/>
      </c>
      <c r="AN115" s="1472" t="s">
        <v>3327</v>
      </c>
    </row>
    <row r="116" spans="2:40" x14ac:dyDescent="0.25">
      <c r="B116" s="8">
        <v>23</v>
      </c>
      <c r="C116" s="8">
        <f ca="1">IF(E116&lt;&gt;0,SUM(1,MAX($C$2:C115)),0)</f>
        <v>0</v>
      </c>
      <c r="D116" s="8" t="s">
        <v>1526</v>
      </c>
      <c r="E116" s="844">
        <f ca="1">IF(B116&gt;INDIRECT(SUBSTITUTE(D116," ","_")) ActivatedCounts,0,MATCH($G$2,INDIRECT(CONCATENATE("'",D116,"'!e",INDIRECT(SUBSTITUTE(D116," ","_")) StartPoint+SUM(F115),":$e$420")),0))</f>
        <v>0</v>
      </c>
      <c r="F116" s="8" t="str">
        <f ca="1">IF(B116&gt;INDIRECT(SUBSTITUTE(D116," ","_")) ActivatedCounts,"",SUM(E116,F115))</f>
        <v/>
      </c>
      <c r="G116" s="795" t="e">
        <f ca="1">INDEX(INDIRECT(CONCATENATE("'",D116,"'!e",INDIRECT(SUBSTITUTE(D116," ","_")) StartPoint,":$f$420")),F116,2)</f>
        <v>#VALUE!</v>
      </c>
      <c r="H116" s="798" t="e">
        <f ca="1">INDEX(INDIRECT(CONCATENATE("'",D116,"'!e",INDIRECT(SUBSTITUTE(D116," ","_")) StartPoint,":$h$420")),F116,3)</f>
        <v>#VALUE!</v>
      </c>
      <c r="I116" s="798" t="e">
        <f ca="1">INDEX(INDIRECT(CONCATENATE("'",D116,"'!e",INDIRECT(SUBSTITUTE(D116," ","_")) StartPoint,":$h$420")),F116,4)</f>
        <v>#VALUE!</v>
      </c>
      <c r="J116" s="798"/>
      <c r="K116" s="846">
        <f t="shared" ca="1" si="29"/>
        <v>0</v>
      </c>
      <c r="L116" s="847">
        <v>114</v>
      </c>
      <c r="M116" s="795" t="e">
        <f t="shared" ca="1" si="30"/>
        <v>#N/A</v>
      </c>
      <c r="N116" s="798"/>
      <c r="O116" s="848">
        <f t="shared" ca="1" si="24"/>
        <v>0</v>
      </c>
      <c r="P116" s="848" t="e">
        <f t="shared" ca="1" si="34"/>
        <v>#N/A</v>
      </c>
      <c r="R116" s="848">
        <v>114</v>
      </c>
      <c r="S116" s="848" t="str">
        <f t="shared" ca="1" si="35"/>
        <v/>
      </c>
      <c r="T116" s="848" t="str">
        <f t="shared" ca="1" si="31"/>
        <v/>
      </c>
      <c r="U116" s="850" t="str">
        <f t="shared" ca="1" si="36"/>
        <v/>
      </c>
      <c r="V116" s="7"/>
      <c r="W116" s="851" t="str">
        <f t="shared" ca="1" si="26"/>
        <v/>
      </c>
      <c r="X116" s="1580" t="str">
        <f t="shared" ca="1" si="27"/>
        <v/>
      </c>
      <c r="Y116" s="852" t="str">
        <f ca="1">'Action Plan finance'!I169</f>
        <v/>
      </c>
      <c r="Z116" s="1494" t="str">
        <f t="shared" ca="1" si="32"/>
        <v/>
      </c>
      <c r="AA116" s="1494" t="str">
        <f t="shared" ca="1" si="33"/>
        <v/>
      </c>
      <c r="AN116" s="1472" t="s">
        <v>3328</v>
      </c>
    </row>
    <row r="117" spans="2:40" x14ac:dyDescent="0.25">
      <c r="B117" s="8">
        <v>24</v>
      </c>
      <c r="C117" s="8">
        <f ca="1">IF(E117&lt;&gt;0,SUM(1,MAX($C$2:C116)),0)</f>
        <v>0</v>
      </c>
      <c r="D117" s="8" t="s">
        <v>1526</v>
      </c>
      <c r="E117" s="844">
        <f ca="1">IF(B117&gt;INDIRECT(SUBSTITUTE(D117," ","_")) ActivatedCounts,0,MATCH($G$2,INDIRECT(CONCATENATE("'",D117,"'!e",INDIRECT(SUBSTITUTE(D117," ","_")) StartPoint+SUM(F116),":$e$420")),0))</f>
        <v>0</v>
      </c>
      <c r="F117" s="8" t="str">
        <f ca="1">IF(B117&gt;INDIRECT(SUBSTITUTE(D117," ","_")) ActivatedCounts,"",SUM(E117,F116))</f>
        <v/>
      </c>
      <c r="G117" s="795" t="e">
        <f ca="1">INDEX(INDIRECT(CONCATENATE("'",D117,"'!e",INDIRECT(SUBSTITUTE(D117," ","_")) StartPoint,":$f$420")),F117,2)</f>
        <v>#VALUE!</v>
      </c>
      <c r="H117" s="798" t="e">
        <f ca="1">INDEX(INDIRECT(CONCATENATE("'",D117,"'!e",INDIRECT(SUBSTITUTE(D117," ","_")) StartPoint,":$h$420")),F117,3)</f>
        <v>#VALUE!</v>
      </c>
      <c r="I117" s="798" t="e">
        <f ca="1">INDEX(INDIRECT(CONCATENATE("'",D117,"'!e",INDIRECT(SUBSTITUTE(D117," ","_")) StartPoint,":$h$420")),F117,4)</f>
        <v>#VALUE!</v>
      </c>
      <c r="J117" s="798"/>
      <c r="K117" s="846">
        <f t="shared" ca="1" si="29"/>
        <v>0</v>
      </c>
      <c r="L117" s="847">
        <v>115</v>
      </c>
      <c r="M117" s="795" t="e">
        <f t="shared" ca="1" si="30"/>
        <v>#N/A</v>
      </c>
      <c r="N117" s="798"/>
      <c r="O117" s="848">
        <f t="shared" ca="1" si="24"/>
        <v>0</v>
      </c>
      <c r="P117" s="848" t="e">
        <f t="shared" ca="1" si="34"/>
        <v>#N/A</v>
      </c>
      <c r="R117" s="848">
        <v>115</v>
      </c>
      <c r="S117" s="848" t="str">
        <f t="shared" ca="1" si="35"/>
        <v/>
      </c>
      <c r="T117" s="848" t="str">
        <f t="shared" ca="1" si="31"/>
        <v/>
      </c>
      <c r="U117" s="850" t="str">
        <f t="shared" ca="1" si="36"/>
        <v/>
      </c>
      <c r="V117" s="7"/>
      <c r="W117" s="851" t="str">
        <f t="shared" ca="1" si="26"/>
        <v/>
      </c>
      <c r="X117" s="1580" t="str">
        <f t="shared" ca="1" si="27"/>
        <v/>
      </c>
      <c r="Y117" s="852" t="str">
        <f ca="1">'Action Plan finance'!I170</f>
        <v/>
      </c>
      <c r="Z117" s="1494" t="str">
        <f t="shared" ca="1" si="32"/>
        <v/>
      </c>
      <c r="AA117" s="1494" t="str">
        <f t="shared" ca="1" si="33"/>
        <v/>
      </c>
      <c r="AN117" s="1472" t="s">
        <v>3329</v>
      </c>
    </row>
    <row r="118" spans="2:40" x14ac:dyDescent="0.25">
      <c r="B118" s="8">
        <v>25</v>
      </c>
      <c r="C118" s="8">
        <f ca="1">IF(E118&lt;&gt;0,SUM(1,MAX($C$2:C117)),0)</f>
        <v>0</v>
      </c>
      <c r="D118" s="8" t="s">
        <v>1526</v>
      </c>
      <c r="E118" s="844">
        <f ca="1">IF(B118&gt;INDIRECT(SUBSTITUTE(D118," ","_")) ActivatedCounts,0,MATCH($G$2,INDIRECT(CONCATENATE("'",D118,"'!e",INDIRECT(SUBSTITUTE(D118," ","_")) StartPoint+SUM(F117),":$e$420")),0))</f>
        <v>0</v>
      </c>
      <c r="F118" s="8" t="str">
        <f ca="1">IF(B118&gt;INDIRECT(SUBSTITUTE(D118," ","_")) ActivatedCounts,"",SUM(E118,F117))</f>
        <v/>
      </c>
      <c r="G118" s="795" t="e">
        <f ca="1">INDEX(INDIRECT(CONCATENATE("'",D118,"'!e",INDIRECT(SUBSTITUTE(D118," ","_")) StartPoint,":$f$420")),F118,2)</f>
        <v>#VALUE!</v>
      </c>
      <c r="H118" s="798" t="e">
        <f ca="1">INDEX(INDIRECT(CONCATENATE("'",D118,"'!e",INDIRECT(SUBSTITUTE(D118," ","_")) StartPoint,":$h$420")),F118,3)</f>
        <v>#VALUE!</v>
      </c>
      <c r="I118" s="798" t="e">
        <f ca="1">INDEX(INDIRECT(CONCATENATE("'",D118,"'!e",INDIRECT(SUBSTITUTE(D118," ","_")) StartPoint,":$h$420")),F118,4)</f>
        <v>#VALUE!</v>
      </c>
      <c r="J118" s="798"/>
      <c r="K118" s="846">
        <f t="shared" ca="1" si="29"/>
        <v>0</v>
      </c>
      <c r="L118" s="847">
        <v>116</v>
      </c>
      <c r="M118" s="795" t="e">
        <f t="shared" ca="1" si="30"/>
        <v>#N/A</v>
      </c>
      <c r="N118" s="798"/>
      <c r="O118" s="848">
        <f t="shared" ca="1" si="24"/>
        <v>0</v>
      </c>
      <c r="P118" s="848" t="e">
        <f t="shared" ca="1" si="34"/>
        <v>#N/A</v>
      </c>
      <c r="R118" s="848">
        <v>116</v>
      </c>
      <c r="S118" s="848" t="str">
        <f t="shared" ca="1" si="35"/>
        <v/>
      </c>
      <c r="T118" s="848" t="str">
        <f t="shared" ca="1" si="31"/>
        <v/>
      </c>
      <c r="U118" s="850" t="str">
        <f t="shared" ca="1" si="36"/>
        <v/>
      </c>
      <c r="V118" s="7"/>
      <c r="W118" s="851" t="str">
        <f t="shared" ca="1" si="26"/>
        <v/>
      </c>
      <c r="X118" s="1580" t="str">
        <f t="shared" ca="1" si="27"/>
        <v/>
      </c>
      <c r="Y118" s="852" t="str">
        <f ca="1">'Action Plan finance'!I171</f>
        <v/>
      </c>
      <c r="Z118" s="1494" t="str">
        <f t="shared" ca="1" si="32"/>
        <v/>
      </c>
      <c r="AA118" s="1494" t="str">
        <f t="shared" ca="1" si="33"/>
        <v/>
      </c>
      <c r="AN118" s="1472" t="s">
        <v>3330</v>
      </c>
    </row>
    <row r="119" spans="2:40" ht="15.75" thickBot="1" x14ac:dyDescent="0.3">
      <c r="B119" s="8">
        <v>26</v>
      </c>
      <c r="C119" s="8">
        <f ca="1">IF(E119&lt;&gt;0,SUM(1,MAX($C$2:C118)),0)</f>
        <v>0</v>
      </c>
      <c r="D119" s="8" t="s">
        <v>1526</v>
      </c>
      <c r="E119" s="844">
        <f ca="1">IF(B119&gt;INDIRECT(SUBSTITUTE(D119," ","_")) ActivatedCounts,0,MATCH($G$2,INDIRECT(CONCATENATE("'",D119,"'!e",INDIRECT(SUBSTITUTE(D119," ","_")) StartPoint+SUM(F118),":$e$420")),0))</f>
        <v>0</v>
      </c>
      <c r="F119" s="8" t="str">
        <f ca="1">IF(B119&gt;INDIRECT(SUBSTITUTE(D119," ","_")) ActivatedCounts,"",SUM(E119,F118))</f>
        <v/>
      </c>
      <c r="G119" s="795" t="e">
        <f ca="1">INDEX(INDIRECT(CONCATENATE("'",D119,"'!e",INDIRECT(SUBSTITUTE(D119," ","_")) StartPoint,":$f$420")),F119,2)</f>
        <v>#VALUE!</v>
      </c>
      <c r="H119" s="798" t="e">
        <f ca="1">INDEX(INDIRECT(CONCATENATE("'",D119,"'!e",INDIRECT(SUBSTITUTE(D119," ","_")) StartPoint,":$h$420")),F119,3)</f>
        <v>#VALUE!</v>
      </c>
      <c r="I119" s="798" t="e">
        <f ca="1">INDEX(INDIRECT(CONCATENATE("'",D119,"'!e",INDIRECT(SUBSTITUTE(D119," ","_")) StartPoint,":$h$420")),F119,4)</f>
        <v>#VALUE!</v>
      </c>
      <c r="J119" s="805"/>
      <c r="K119" s="846">
        <f t="shared" ca="1" si="29"/>
        <v>0</v>
      </c>
      <c r="L119" s="847">
        <v>117</v>
      </c>
      <c r="M119" s="795" t="e">
        <f t="shared" ca="1" si="30"/>
        <v>#N/A</v>
      </c>
      <c r="N119" s="798"/>
      <c r="O119" s="848">
        <f t="shared" ca="1" si="24"/>
        <v>0</v>
      </c>
      <c r="P119" s="848" t="e">
        <f t="shared" ca="1" si="34"/>
        <v>#N/A</v>
      </c>
      <c r="R119" s="848">
        <v>117</v>
      </c>
      <c r="S119" s="848" t="str">
        <f t="shared" ca="1" si="35"/>
        <v/>
      </c>
      <c r="T119" s="848" t="str">
        <f t="shared" ca="1" si="31"/>
        <v/>
      </c>
      <c r="U119" s="850" t="str">
        <f t="shared" ca="1" si="36"/>
        <v/>
      </c>
      <c r="V119" s="7"/>
      <c r="W119" s="851" t="str">
        <f t="shared" ca="1" si="26"/>
        <v/>
      </c>
      <c r="X119" s="1580" t="str">
        <f t="shared" ca="1" si="27"/>
        <v/>
      </c>
      <c r="Y119" s="852">
        <f>'Action Plan finance'!I172</f>
        <v>0</v>
      </c>
      <c r="Z119" s="1494" t="str">
        <f t="shared" ca="1" si="32"/>
        <v/>
      </c>
      <c r="AA119" s="1494" t="str">
        <f t="shared" ca="1" si="33"/>
        <v/>
      </c>
      <c r="AN119" s="1472" t="s">
        <v>3331</v>
      </c>
    </row>
    <row r="120" spans="2:40" x14ac:dyDescent="0.25">
      <c r="B120" s="8">
        <v>27</v>
      </c>
      <c r="C120" s="8">
        <f ca="1">IF(E120&lt;&gt;0,SUM(1,MAX($C$2:C119)),0)</f>
        <v>0</v>
      </c>
      <c r="D120" s="8" t="s">
        <v>1526</v>
      </c>
      <c r="E120" s="844">
        <f ca="1">IF(B120&gt;INDIRECT(SUBSTITUTE(D120," ","_")) ActivatedCounts,0,MATCH($G$2,INDIRECT(CONCATENATE("'",D120,"'!e",INDIRECT(SUBSTITUTE(D120," ","_")) StartPoint+SUM(F119),":$e$420")),0))</f>
        <v>0</v>
      </c>
      <c r="F120" s="8" t="str">
        <f ca="1">IF(B120&gt;INDIRECT(SUBSTITUTE(D120," ","_")) ActivatedCounts,"",SUM(E120,F119))</f>
        <v/>
      </c>
      <c r="G120" s="795" t="e">
        <f ca="1">INDEX(INDIRECT(CONCATENATE("'",D120,"'!e",INDIRECT(SUBSTITUTE(D120," ","_")) StartPoint,":$f$420")),F120,2)</f>
        <v>#VALUE!</v>
      </c>
      <c r="H120" s="798" t="e">
        <f ca="1">INDEX(INDIRECT(CONCATENATE("'",D120,"'!e",INDIRECT(SUBSTITUTE(D120," ","_")) StartPoint,":$h$420")),F120,3)</f>
        <v>#VALUE!</v>
      </c>
      <c r="I120" s="798" t="e">
        <f ca="1">INDEX(INDIRECT(CONCATENATE("'",D120,"'!e",INDIRECT(SUBSTITUTE(D120," ","_")) StartPoint,":$h$420")),F120,4)</f>
        <v>#VALUE!</v>
      </c>
      <c r="J120" s="798"/>
      <c r="K120" s="846">
        <f t="shared" ca="1" si="29"/>
        <v>0</v>
      </c>
      <c r="L120" s="847">
        <v>118</v>
      </c>
      <c r="M120" s="795" t="e">
        <f t="shared" ca="1" si="30"/>
        <v>#N/A</v>
      </c>
      <c r="N120" s="798"/>
      <c r="O120" s="848">
        <f t="shared" ca="1" si="24"/>
        <v>0</v>
      </c>
      <c r="P120" s="848" t="e">
        <f t="shared" ca="1" si="34"/>
        <v>#N/A</v>
      </c>
      <c r="R120" s="848">
        <v>118</v>
      </c>
      <c r="S120" s="848" t="str">
        <f t="shared" ca="1" si="35"/>
        <v/>
      </c>
      <c r="T120" s="848" t="str">
        <f t="shared" ref="T120:T127" ca="1" si="37">IF(S120="","",P120)</f>
        <v/>
      </c>
      <c r="U120" s="850" t="str">
        <f t="shared" ca="1" si="36"/>
        <v/>
      </c>
      <c r="V120" s="7"/>
      <c r="W120" s="851" t="str">
        <f t="shared" ca="1" si="26"/>
        <v/>
      </c>
      <c r="X120" s="1580" t="str">
        <f t="shared" ca="1" si="27"/>
        <v/>
      </c>
      <c r="Y120" s="852">
        <f>'Action Plan finance'!I173</f>
        <v>0</v>
      </c>
      <c r="Z120" s="1494" t="str">
        <f t="shared" ca="1" si="32"/>
        <v/>
      </c>
      <c r="AA120" s="1494" t="str">
        <f t="shared" ca="1" si="33"/>
        <v/>
      </c>
      <c r="AN120" s="5559" t="s">
        <v>3332</v>
      </c>
    </row>
    <row r="121" spans="2:40" x14ac:dyDescent="0.25">
      <c r="B121" s="8">
        <v>28</v>
      </c>
      <c r="C121" s="8">
        <f ca="1">IF(E121&lt;&gt;0,SUM(1,MAX($C$2:C120)),0)</f>
        <v>0</v>
      </c>
      <c r="D121" s="8" t="s">
        <v>1526</v>
      </c>
      <c r="E121" s="844">
        <f ca="1">IF(B121&gt;INDIRECT(SUBSTITUTE(D121," ","_")) ActivatedCounts,0,MATCH($G$2,INDIRECT(CONCATENATE("'",D121,"'!e",INDIRECT(SUBSTITUTE(D121," ","_")) StartPoint+SUM(F120),":$e$420")),0))</f>
        <v>0</v>
      </c>
      <c r="F121" s="8" t="str">
        <f ca="1">IF(B121&gt;INDIRECT(SUBSTITUTE(D121," ","_")) ActivatedCounts,"",SUM(E121,F120))</f>
        <v/>
      </c>
      <c r="G121" s="795" t="e">
        <f ca="1">INDEX(INDIRECT(CONCATENATE("'",D121,"'!e",INDIRECT(SUBSTITUTE(D121," ","_")) StartPoint,":$f$420")),F121,2)</f>
        <v>#VALUE!</v>
      </c>
      <c r="H121" s="798" t="e">
        <f ca="1">INDEX(INDIRECT(CONCATENATE("'",D121,"'!e",INDIRECT(SUBSTITUTE(D121," ","_")) StartPoint,":$h$420")),F121,3)</f>
        <v>#VALUE!</v>
      </c>
      <c r="I121" s="798" t="e">
        <f ca="1">INDEX(INDIRECT(CONCATENATE("'",D121,"'!e",INDIRECT(SUBSTITUTE(D121," ","_")) StartPoint,":$h$420")),F121,4)</f>
        <v>#VALUE!</v>
      </c>
      <c r="J121" s="798"/>
      <c r="K121" s="846">
        <f t="shared" ca="1" si="29"/>
        <v>0</v>
      </c>
      <c r="L121" s="847">
        <v>119</v>
      </c>
      <c r="M121" s="795" t="e">
        <f t="shared" ca="1" si="30"/>
        <v>#N/A</v>
      </c>
      <c r="N121" s="798"/>
      <c r="O121" s="848">
        <f t="shared" ca="1" si="24"/>
        <v>0</v>
      </c>
      <c r="P121" s="848" t="e">
        <f t="shared" ca="1" si="34"/>
        <v>#N/A</v>
      </c>
      <c r="R121" s="848">
        <v>119</v>
      </c>
      <c r="S121" s="848" t="str">
        <f t="shared" ca="1" si="35"/>
        <v/>
      </c>
      <c r="T121" s="848" t="str">
        <f t="shared" ca="1" si="37"/>
        <v/>
      </c>
      <c r="U121" s="850" t="str">
        <f t="shared" ca="1" si="36"/>
        <v/>
      </c>
      <c r="V121" s="7"/>
      <c r="W121" s="851" t="str">
        <f t="shared" ca="1" si="26"/>
        <v/>
      </c>
      <c r="X121" s="1580" t="str">
        <f t="shared" ca="1" si="27"/>
        <v/>
      </c>
      <c r="Y121" s="852">
        <f>'Action Plan finance'!I174</f>
        <v>0</v>
      </c>
      <c r="Z121" s="1494" t="str">
        <f t="shared" ca="1" si="32"/>
        <v/>
      </c>
      <c r="AA121" s="1494" t="str">
        <f t="shared" ca="1" si="33"/>
        <v/>
      </c>
      <c r="AN121" s="5559" t="s">
        <v>3333</v>
      </c>
    </row>
    <row r="122" spans="2:40" s="56" customFormat="1" x14ac:dyDescent="0.25">
      <c r="B122" s="8">
        <v>29</v>
      </c>
      <c r="C122" s="8">
        <f ca="1">IF(E122&lt;&gt;0,SUM(1,MAX($C$2:C121)),0)</f>
        <v>0</v>
      </c>
      <c r="D122" s="8" t="s">
        <v>1526</v>
      </c>
      <c r="E122" s="844">
        <f ca="1">IF(B122&gt;INDIRECT(SUBSTITUTE(D122," ","_")) ActivatedCounts,0,MATCH($G$2,INDIRECT(CONCATENATE("'",D122,"'!e",INDIRECT(SUBSTITUTE(D122," ","_")) StartPoint+SUM(F121),":$e$420")),0))</f>
        <v>0</v>
      </c>
      <c r="F122" s="8" t="str">
        <f ca="1">IF(B122&gt;INDIRECT(SUBSTITUTE(D122," ","_")) ActivatedCounts,"",SUM(E122,F121))</f>
        <v/>
      </c>
      <c r="G122" s="795" t="e">
        <f ca="1">INDEX(INDIRECT(CONCATENATE("'",D122,"'!e",INDIRECT(SUBSTITUTE(D122," ","_")) StartPoint,":$f$420")),F122,2)</f>
        <v>#VALUE!</v>
      </c>
      <c r="H122" s="798" t="e">
        <f ca="1">INDEX(INDIRECT(CONCATENATE("'",D122,"'!e",INDIRECT(SUBSTITUTE(D122," ","_")) StartPoint,":$h$420")),F122,3)</f>
        <v>#VALUE!</v>
      </c>
      <c r="I122" s="798" t="e">
        <f ca="1">INDEX(INDIRECT(CONCATENATE("'",D122,"'!e",INDIRECT(SUBSTITUTE(D122," ","_")) StartPoint,":$h$420")),F122,4)</f>
        <v>#VALUE!</v>
      </c>
      <c r="J122" s="1494"/>
      <c r="K122" s="848">
        <f t="shared" ca="1" si="29"/>
        <v>0</v>
      </c>
      <c r="L122" s="847">
        <v>120</v>
      </c>
      <c r="M122" s="848" t="e">
        <f t="shared" ca="1" si="30"/>
        <v>#N/A</v>
      </c>
      <c r="N122" s="1494"/>
      <c r="O122" s="848">
        <f t="shared" ref="O122:O127" ca="1" si="38">IF(OR(K122=$AC$9,K122=$AC$10),$AC$8,IF(OR(K122=$AC$13,K122=$AC$14),$AC$12,IF(OR(K122=$AC$17,K122=$AC$18),$AC$16,K122)))</f>
        <v>0</v>
      </c>
      <c r="P122" s="848" t="e">
        <f t="shared" ca="1" si="34"/>
        <v>#N/A</v>
      </c>
      <c r="R122" s="848">
        <v>120</v>
      </c>
      <c r="S122" s="848" t="str">
        <f ca="1">IFERROR(IF(O122=O123,"",O122),O122)</f>
        <v/>
      </c>
      <c r="T122" s="848" t="str">
        <f t="shared" ca="1" si="37"/>
        <v/>
      </c>
      <c r="U122" s="850" t="str">
        <f t="shared" ca="1" si="36"/>
        <v/>
      </c>
      <c r="V122" s="895"/>
      <c r="W122" s="851" t="str">
        <f t="shared" ca="1" si="26"/>
        <v/>
      </c>
      <c r="X122" s="1580" t="str">
        <f t="shared" ca="1" si="27"/>
        <v/>
      </c>
      <c r="Y122" s="852">
        <f>'Action Plan finance'!I175</f>
        <v>0</v>
      </c>
      <c r="Z122" s="1494" t="str">
        <f t="shared" ca="1" si="32"/>
        <v/>
      </c>
      <c r="AA122" s="1494" t="str">
        <f t="shared" ca="1" si="33"/>
        <v/>
      </c>
      <c r="AN122" s="5559" t="s">
        <v>3334</v>
      </c>
    </row>
    <row r="123" spans="2:40" x14ac:dyDescent="0.25">
      <c r="B123" s="8">
        <v>30</v>
      </c>
      <c r="C123" s="8">
        <f ca="1">IF(E123&lt;&gt;0,SUM(1,MAX($C$2:C122)),0)</f>
        <v>0</v>
      </c>
      <c r="D123" s="8" t="s">
        <v>1526</v>
      </c>
      <c r="E123" s="844">
        <f ca="1">IF(B123&gt;INDIRECT(SUBSTITUTE(D123," ","_")) ActivatedCounts,0,MATCH($G$2,INDIRECT(CONCATENATE("'",D123,"'!e",INDIRECT(SUBSTITUTE(D123," ","_")) StartPoint+SUM(F122),":$e$420")),0))</f>
        <v>0</v>
      </c>
      <c r="F123" s="8" t="str">
        <f ca="1">IF(B123&gt;INDIRECT(SUBSTITUTE(D123," ","_")) ActivatedCounts,"",SUM(E123,F122))</f>
        <v/>
      </c>
      <c r="G123" s="795" t="e">
        <f ca="1">INDEX(INDIRECT(CONCATENATE("'",D123,"'!e",INDIRECT(SUBSTITUTE(D123," ","_")) StartPoint,":$f$420")),F123,2)</f>
        <v>#VALUE!</v>
      </c>
      <c r="H123" s="798" t="e">
        <f ca="1">INDEX(INDIRECT(CONCATENATE("'",D123,"'!e",INDIRECT(SUBSTITUTE(D123," ","_")) StartPoint,":$h$420")),F123,3)</f>
        <v>#VALUE!</v>
      </c>
      <c r="I123" s="798" t="e">
        <f ca="1">INDEX(INDIRECT(CONCATENATE("'",D123,"'!e",INDIRECT(SUBSTITUTE(D123," ","_")) StartPoint,":$h$420")),F123,4)</f>
        <v>#VALUE!</v>
      </c>
      <c r="K123" s="846">
        <f t="shared" ca="1" si="29"/>
        <v>0</v>
      </c>
      <c r="L123" s="847">
        <v>121</v>
      </c>
      <c r="M123" s="795" t="e">
        <f t="shared" ca="1" si="30"/>
        <v>#N/A</v>
      </c>
      <c r="O123" s="848">
        <f t="shared" ca="1" si="38"/>
        <v>0</v>
      </c>
      <c r="P123" s="848" t="e">
        <f t="shared" ca="1" si="34"/>
        <v>#N/A</v>
      </c>
      <c r="R123" s="848">
        <v>121</v>
      </c>
      <c r="S123" s="848" t="str">
        <f t="shared" ca="1" si="35"/>
        <v/>
      </c>
      <c r="T123" s="848" t="str">
        <f t="shared" ca="1" si="37"/>
        <v/>
      </c>
      <c r="U123" s="850" t="str">
        <f t="shared" ca="1" si="36"/>
        <v/>
      </c>
      <c r="W123" s="851" t="str">
        <f t="shared" ca="1" si="26"/>
        <v/>
      </c>
      <c r="X123" s="1580" t="str">
        <f t="shared" ca="1" si="27"/>
        <v/>
      </c>
      <c r="Y123" s="852">
        <f>'Action Plan finance'!I176</f>
        <v>0</v>
      </c>
      <c r="Z123" s="1494" t="str">
        <f t="shared" ca="1" si="32"/>
        <v/>
      </c>
      <c r="AA123" s="1494" t="str">
        <f t="shared" ca="1" si="33"/>
        <v/>
      </c>
      <c r="AN123" s="5559" t="s">
        <v>3335</v>
      </c>
    </row>
    <row r="124" spans="2:40" x14ac:dyDescent="0.25">
      <c r="B124" s="8">
        <v>31</v>
      </c>
      <c r="C124" s="8">
        <f ca="1">IF(E124&lt;&gt;0,SUM(1,MAX($C$2:C123)),0)</f>
        <v>0</v>
      </c>
      <c r="D124" s="8" t="s">
        <v>1526</v>
      </c>
      <c r="E124" s="844">
        <f ca="1">IF(B124&gt;INDIRECT(SUBSTITUTE(D124," ","_")) ActivatedCounts,0,MATCH($G$2,INDIRECT(CONCATENATE("'",D124,"'!e",INDIRECT(SUBSTITUTE(D124," ","_")) StartPoint+SUM(F123),":$e$420")),0))</f>
        <v>0</v>
      </c>
      <c r="F124" s="8" t="str">
        <f ca="1">IF(B124&gt;INDIRECT(SUBSTITUTE(D124," ","_")) ActivatedCounts,"",SUM(E124,F123))</f>
        <v/>
      </c>
      <c r="G124" s="795" t="e">
        <f ca="1">INDEX(INDIRECT(CONCATENATE("'",D124,"'!e",INDIRECT(SUBSTITUTE(D124," ","_")) StartPoint,":$f$420")),F124,2)</f>
        <v>#VALUE!</v>
      </c>
      <c r="H124" s="798" t="e">
        <f ca="1">INDEX(INDIRECT(CONCATENATE("'",D124,"'!e",INDIRECT(SUBSTITUTE(D124," ","_")) StartPoint,":$h$420")),F124,3)</f>
        <v>#VALUE!</v>
      </c>
      <c r="I124" s="798" t="e">
        <f ca="1">INDEX(INDIRECT(CONCATENATE("'",D124,"'!e",INDIRECT(SUBSTITUTE(D124," ","_")) StartPoint,":$h$420")),F124,4)</f>
        <v>#VALUE!</v>
      </c>
      <c r="K124" s="846">
        <f t="shared" ca="1" si="29"/>
        <v>0</v>
      </c>
      <c r="L124" s="847">
        <v>122</v>
      </c>
      <c r="M124" s="795" t="e">
        <f t="shared" ca="1" si="30"/>
        <v>#N/A</v>
      </c>
      <c r="O124" s="848">
        <f t="shared" ca="1" si="38"/>
        <v>0</v>
      </c>
      <c r="P124" s="848" t="e">
        <f t="shared" ca="1" si="34"/>
        <v>#N/A</v>
      </c>
      <c r="R124" s="848">
        <v>122</v>
      </c>
      <c r="S124" s="848" t="str">
        <f ca="1">IFERROR(IF(O124=O125,"",O124),O124)</f>
        <v/>
      </c>
      <c r="T124" s="848" t="str">
        <f t="shared" ca="1" si="37"/>
        <v/>
      </c>
      <c r="U124" s="850" t="str">
        <f t="shared" ca="1" si="36"/>
        <v/>
      </c>
      <c r="W124" s="851" t="str">
        <f t="shared" ca="1" si="26"/>
        <v/>
      </c>
      <c r="X124" s="1580" t="str">
        <f t="shared" ca="1" si="27"/>
        <v/>
      </c>
      <c r="Y124" s="852">
        <f>'Action Plan finance'!I177</f>
        <v>0</v>
      </c>
      <c r="Z124" s="1494" t="str">
        <f t="shared" ca="1" si="32"/>
        <v/>
      </c>
      <c r="AA124" s="1494" t="str">
        <f t="shared" ca="1" si="33"/>
        <v/>
      </c>
      <c r="AN124" s="5559" t="s">
        <v>3336</v>
      </c>
    </row>
    <row r="125" spans="2:40" s="56" customFormat="1" x14ac:dyDescent="0.25">
      <c r="B125" s="1309">
        <v>32</v>
      </c>
      <c r="C125" s="8">
        <f ca="1">IF(E125&lt;&gt;0,SUM(1,MAX($C$2:C124)),0)</f>
        <v>0</v>
      </c>
      <c r="D125" s="1309" t="s">
        <v>1526</v>
      </c>
      <c r="E125" s="844">
        <f ca="1">IF(B125&gt;INDIRECT(SUBSTITUTE(D125," ","_")) ActivatedCounts,0,MATCH($G$2,INDIRECT(CONCATENATE("'",D125,"'!e",INDIRECT(SUBSTITUTE(D125," ","_")) StartPoint+SUM(F124),":$e$420")),0))</f>
        <v>0</v>
      </c>
      <c r="F125" s="8" t="str">
        <f ca="1">IF(B125&gt;INDIRECT(SUBSTITUTE(D125," ","_")) ActivatedCounts,"",SUM(E125,F124))</f>
        <v/>
      </c>
      <c r="G125" s="795" t="e">
        <f ca="1">INDEX(INDIRECT(CONCATENATE("'",D125,"'!e",INDIRECT(SUBSTITUTE(D125," ","_")) StartPoint,":$f$420")),F125,2)</f>
        <v>#VALUE!</v>
      </c>
      <c r="H125" s="798" t="e">
        <f ca="1">INDEX(INDIRECT(CONCATENATE("'",D125,"'!e",INDIRECT(SUBSTITUTE(D125," ","_")) StartPoint,":$h$420")),F125,3)</f>
        <v>#VALUE!</v>
      </c>
      <c r="I125" s="798" t="e">
        <f ca="1">INDEX(INDIRECT(CONCATENATE("'",D125,"'!e",INDIRECT(SUBSTITUTE(D125," ","_")) StartPoint,":$h$420")),F125,4)</f>
        <v>#VALUE!</v>
      </c>
      <c r="J125" s="895"/>
      <c r="K125" s="846">
        <f t="shared" ca="1" si="29"/>
        <v>0</v>
      </c>
      <c r="L125" s="847">
        <v>123</v>
      </c>
      <c r="M125" s="795" t="e">
        <f t="shared" ca="1" si="30"/>
        <v>#N/A</v>
      </c>
      <c r="O125" s="848">
        <f t="shared" ca="1" si="38"/>
        <v>0</v>
      </c>
      <c r="P125" s="848" t="e">
        <f t="shared" ca="1" si="34"/>
        <v>#N/A</v>
      </c>
      <c r="R125" s="848">
        <v>123</v>
      </c>
      <c r="S125" s="848" t="str">
        <f ca="1">IFERROR(IF(O125=O126,"",O125),O125)</f>
        <v/>
      </c>
      <c r="T125" s="848" t="str">
        <f t="shared" ca="1" si="37"/>
        <v/>
      </c>
      <c r="U125" s="850" t="str">
        <f t="shared" ca="1" si="36"/>
        <v/>
      </c>
      <c r="W125" s="851" t="str">
        <f t="shared" ca="1" si="26"/>
        <v/>
      </c>
      <c r="X125" s="1580" t="str">
        <f t="shared" ca="1" si="27"/>
        <v/>
      </c>
      <c r="Y125" s="852">
        <f>'Action Plan finance'!I178</f>
        <v>0</v>
      </c>
      <c r="Z125" s="1494" t="str">
        <f t="shared" ca="1" si="32"/>
        <v/>
      </c>
      <c r="AA125" s="1494" t="str">
        <f t="shared" ca="1" si="33"/>
        <v/>
      </c>
      <c r="AN125" s="1472" t="s">
        <v>3337</v>
      </c>
    </row>
    <row r="126" spans="2:40" s="56" customFormat="1" x14ac:dyDescent="0.25">
      <c r="B126" s="8">
        <v>33</v>
      </c>
      <c r="C126" s="8">
        <f ca="1">IF(E126&lt;&gt;0,SUM(1,MAX($C$2:C125)),0)</f>
        <v>0</v>
      </c>
      <c r="D126" s="8" t="s">
        <v>1526</v>
      </c>
      <c r="E126" s="844">
        <f ca="1">IF(B126&gt;INDIRECT(SUBSTITUTE(D126," ","_")) ActivatedCounts,0,MATCH($G$2,INDIRECT(CONCATENATE("'",D126,"'!e",INDIRECT(SUBSTITUTE(D126," ","_")) StartPoint+SUM(F125),":$e$420")),0))</f>
        <v>0</v>
      </c>
      <c r="F126" s="8" t="str">
        <f ca="1">IF(B126&gt;INDIRECT(SUBSTITUTE(D126," ","_")) ActivatedCounts,"",SUM(E126,F125))</f>
        <v/>
      </c>
      <c r="G126" s="795" t="e">
        <f ca="1">INDEX(INDIRECT(CONCATENATE("'",D126,"'!e",INDIRECT(SUBSTITUTE(D126," ","_")) StartPoint,":$f$420")),F126,2)</f>
        <v>#VALUE!</v>
      </c>
      <c r="H126" s="798" t="e">
        <f ca="1">INDEX(INDIRECT(CONCATENATE("'",D126,"'!e",INDIRECT(SUBSTITUTE(D126," ","_")) StartPoint,":$h$420")),F126,3)</f>
        <v>#VALUE!</v>
      </c>
      <c r="I126" s="798" t="e">
        <f ca="1">INDEX(INDIRECT(CONCATENATE("'",D126,"'!e",INDIRECT(SUBSTITUTE(D126," ","_")) StartPoint,":$h$420")),F126,4)</f>
        <v>#VALUE!</v>
      </c>
      <c r="J126" s="895"/>
      <c r="K126" s="846">
        <f ca="1">IFERROR(VLOOKUP(L126,$C$3:$G$127,5,FALSE),0)</f>
        <v>0</v>
      </c>
      <c r="L126" s="847">
        <v>124</v>
      </c>
      <c r="M126" s="795" t="e">
        <f ca="1">VLOOKUP(L126,$C$3:$G$127,2,FALSE)</f>
        <v>#N/A</v>
      </c>
      <c r="O126" s="848">
        <f t="shared" ca="1" si="38"/>
        <v>0</v>
      </c>
      <c r="P126" s="848" t="e">
        <f t="shared" ca="1" si="34"/>
        <v>#N/A</v>
      </c>
      <c r="R126" s="848">
        <v>124</v>
      </c>
      <c r="S126" s="848" t="str">
        <f ca="1">IFERROR(IF(O126=O127,"",O126),O126)</f>
        <v/>
      </c>
      <c r="T126" s="848" t="str">
        <f t="shared" ca="1" si="37"/>
        <v/>
      </c>
      <c r="U126" s="850" t="str">
        <f t="shared" ca="1" si="36"/>
        <v/>
      </c>
      <c r="W126" s="851" t="str">
        <f ca="1">IF(ISERROR(SMALL($U$3:$U$127,R126)),"",INDEX($S$3:$S$127,SMALL($U$3:$U$127,R126)))</f>
        <v/>
      </c>
      <c r="X126" s="1580" t="str">
        <f ca="1">IF(ISERROR(SMALL($U$3:$U$127,R126)),"",INDEX($T$3:$T$127,SMALL($U$3:$U$127,R126)))</f>
        <v/>
      </c>
      <c r="Y126" s="852">
        <f>'Action Plan finance'!I179</f>
        <v>0</v>
      </c>
      <c r="Z126" s="1494" t="str">
        <f t="shared" ca="1" si="32"/>
        <v/>
      </c>
      <c r="AA126" s="1494" t="str">
        <f t="shared" ca="1" si="33"/>
        <v/>
      </c>
      <c r="AN126" s="1472" t="s">
        <v>3338</v>
      </c>
    </row>
    <row r="127" spans="2:40" ht="15.75" thickBot="1" x14ac:dyDescent="0.3">
      <c r="B127" s="1309">
        <v>34</v>
      </c>
      <c r="C127" s="8">
        <f ca="1">IF(E127&lt;&gt;0,SUM(1,MAX($C$2:C126)),0)</f>
        <v>0</v>
      </c>
      <c r="D127" s="1309" t="s">
        <v>1526</v>
      </c>
      <c r="E127" s="844">
        <f ca="1">IF(B127&gt;INDIRECT(SUBSTITUTE(D127," ","_")) ActivatedCounts,0,MATCH($G$2,INDIRECT(CONCATENATE("'",D127,"'!e",INDIRECT(SUBSTITUTE(D127," ","_")) StartPoint+SUM(F126),":$e$420")),0))</f>
        <v>0</v>
      </c>
      <c r="F127" s="8" t="str">
        <f ca="1">IF(B127&gt;INDIRECT(SUBSTITUTE(D127," ","_")) ActivatedCounts,"",SUM(E127,F126))</f>
        <v/>
      </c>
      <c r="G127" s="795" t="e">
        <f ca="1">INDEX(INDIRECT(CONCATENATE("'",D127,"'!e",INDIRECT(SUBSTITUTE(D127," ","_")) StartPoint,":$f$420")),F127,2)</f>
        <v>#VALUE!</v>
      </c>
      <c r="H127" s="798" t="e">
        <f ca="1">INDEX(INDIRECT(CONCATENATE("'",D127,"'!e",INDIRECT(SUBSTITUTE(D127," ","_")) StartPoint,":$h$420")),F127,3)</f>
        <v>#VALUE!</v>
      </c>
      <c r="I127" s="798" t="e">
        <f ca="1">INDEX(INDIRECT(CONCATENATE("'",D127,"'!e",INDIRECT(SUBSTITUTE(D127," ","_")) StartPoint,":$h$420")),F127,4)</f>
        <v>#VALUE!</v>
      </c>
      <c r="K127" s="846">
        <f ca="1">IFERROR(VLOOKUP(L127,$C$3:$G$127,5,FALSE),0)</f>
        <v>0</v>
      </c>
      <c r="L127" s="847">
        <v>125</v>
      </c>
      <c r="M127" s="795" t="e">
        <f ca="1">VLOOKUP(L127,$C$3:$G$127,2,FALSE)</f>
        <v>#N/A</v>
      </c>
      <c r="O127" s="848">
        <f t="shared" ca="1" si="38"/>
        <v>0</v>
      </c>
      <c r="P127" s="848" t="e">
        <f t="shared" ca="1" si="34"/>
        <v>#N/A</v>
      </c>
      <c r="R127" s="848">
        <v>125</v>
      </c>
      <c r="S127" s="848" t="str">
        <f ca="1">IFERROR(IF(O127=O128,"",O127),O127)</f>
        <v/>
      </c>
      <c r="T127" s="848" t="str">
        <f t="shared" ca="1" si="37"/>
        <v/>
      </c>
      <c r="U127" s="850" t="str">
        <f t="shared" ca="1" si="36"/>
        <v/>
      </c>
      <c r="W127" s="853" t="str">
        <f ca="1">IF(ISERROR(SMALL($U$3:$U$127,R127)),"",INDEX($S$3:$S$127,SMALL($U$3:$U$127,R127)))</f>
        <v/>
      </c>
      <c r="X127" s="4569" t="str">
        <f ca="1">IF(ISERROR(SMALL($U$3:$U$127,R127)),"",INDEX($T$3:$T$127,SMALL($U$3:$U$127,R127)))</f>
        <v/>
      </c>
      <c r="Y127" s="854">
        <f>'Action Plan finance'!I180</f>
        <v>0</v>
      </c>
      <c r="Z127" s="1494" t="str">
        <f t="shared" ca="1" si="32"/>
        <v/>
      </c>
      <c r="AA127" s="1494" t="str">
        <f t="shared" ca="1" si="33"/>
        <v/>
      </c>
      <c r="AN127" s="1472" t="s">
        <v>3339</v>
      </c>
    </row>
    <row r="128" spans="2:40" s="56" customFormat="1" x14ac:dyDescent="0.25">
      <c r="B128" s="54"/>
      <c r="C128" s="54"/>
      <c r="D128" s="54"/>
      <c r="E128" s="307"/>
      <c r="F128" s="54"/>
      <c r="G128" s="1494"/>
      <c r="H128" s="1494"/>
      <c r="I128" s="1494"/>
      <c r="J128" s="895"/>
      <c r="K128" s="895"/>
      <c r="AN128" s="5560" t="s">
        <v>3340</v>
      </c>
    </row>
    <row r="129" spans="2:40" s="56" customFormat="1" x14ac:dyDescent="0.25">
      <c r="B129" s="54"/>
      <c r="C129" s="54"/>
      <c r="D129" s="54"/>
      <c r="E129" s="54"/>
      <c r="F129" s="54"/>
      <c r="G129" s="1494"/>
      <c r="H129" s="1494"/>
      <c r="I129" s="1494"/>
      <c r="J129" s="895"/>
      <c r="K129" s="895"/>
      <c r="AN129" s="1472" t="s">
        <v>3341</v>
      </c>
    </row>
    <row r="130" spans="2:40" x14ac:dyDescent="0.25">
      <c r="AN130" s="1472" t="s">
        <v>3342</v>
      </c>
    </row>
    <row r="131" spans="2:40" x14ac:dyDescent="0.25">
      <c r="AN131" s="1472" t="s">
        <v>3343</v>
      </c>
    </row>
    <row r="132" spans="2:40" x14ac:dyDescent="0.25">
      <c r="AN132" s="1472" t="s">
        <v>3344</v>
      </c>
    </row>
    <row r="133" spans="2:40" x14ac:dyDescent="0.25">
      <c r="AN133" s="1472" t="s">
        <v>3345</v>
      </c>
    </row>
    <row r="134" spans="2:40" x14ac:dyDescent="0.25">
      <c r="AN134" s="1472" t="s">
        <v>3346</v>
      </c>
    </row>
    <row r="135" spans="2:40" x14ac:dyDescent="0.25">
      <c r="AN135" s="1472" t="s">
        <v>3347</v>
      </c>
    </row>
    <row r="136" spans="2:40" x14ac:dyDescent="0.25">
      <c r="AN136" s="5558" t="s">
        <v>3348</v>
      </c>
    </row>
    <row r="137" spans="2:40" x14ac:dyDescent="0.25">
      <c r="AN137" s="5558" t="s">
        <v>3349</v>
      </c>
    </row>
    <row r="138" spans="2:40" x14ac:dyDescent="0.25">
      <c r="AN138" s="1472" t="s">
        <v>3350</v>
      </c>
    </row>
    <row r="139" spans="2:40" x14ac:dyDescent="0.25">
      <c r="AN139" s="1472" t="s">
        <v>3351</v>
      </c>
    </row>
    <row r="140" spans="2:40" x14ac:dyDescent="0.25">
      <c r="AN140" s="1472" t="s">
        <v>3352</v>
      </c>
    </row>
    <row r="141" spans="2:40" x14ac:dyDescent="0.25">
      <c r="AN141" s="1472" t="s">
        <v>3353</v>
      </c>
    </row>
    <row r="142" spans="2:40" x14ac:dyDescent="0.25">
      <c r="AN142" s="1472" t="s">
        <v>3354</v>
      </c>
    </row>
    <row r="143" spans="2:40" x14ac:dyDescent="0.25">
      <c r="AN143" s="1472" t="s">
        <v>3355</v>
      </c>
    </row>
    <row r="144" spans="2:40" x14ac:dyDescent="0.25">
      <c r="AN144" s="1472" t="s">
        <v>3356</v>
      </c>
    </row>
    <row r="145" spans="40:40" x14ac:dyDescent="0.25">
      <c r="AN145" s="1472" t="s">
        <v>3357</v>
      </c>
    </row>
    <row r="146" spans="40:40" x14ac:dyDescent="0.25">
      <c r="AN146" s="1472" t="s">
        <v>3358</v>
      </c>
    </row>
    <row r="147" spans="40:40" x14ac:dyDescent="0.25">
      <c r="AN147" s="1472" t="s">
        <v>3359</v>
      </c>
    </row>
  </sheetData>
  <sheetProtection selectLockedCells="1"/>
  <dataConsolidate/>
  <mergeCells count="1">
    <mergeCell ref="W2:Y2"/>
  </mergeCells>
  <conditionalFormatting sqref="K3:K22 K24:K120">
    <cfRule type="expression" dxfId="26" priority="6">
      <formula>ISNA(AF8)</formula>
    </cfRule>
  </conditionalFormatting>
  <conditionalFormatting sqref="K3:K21 K23:K119 K121:K127">
    <cfRule type="expression" dxfId="25" priority="4">
      <formula>ISNA(AF9)</formula>
    </cfRule>
  </conditionalFormatting>
  <conditionalFormatting sqref="K3:K20 K22:K118 K120:K127">
    <cfRule type="expression" dxfId="24" priority="3">
      <formula>ISNA(AF10)</formula>
    </cfRule>
  </conditionalFormatting>
  <conditionalFormatting sqref="K3:K14 K21:K117 K119:K127">
    <cfRule type="expression" dxfId="23" priority="2">
      <formula>ISNA(AF11)</formula>
    </cfRule>
  </conditionalFormatting>
  <conditionalFormatting sqref="K119:K127">
    <cfRule type="expression" dxfId="22" priority="8">
      <formula>ISNA(#REF!)</formula>
    </cfRule>
  </conditionalFormatting>
  <conditionalFormatting sqref="K3:K127">
    <cfRule type="expression" dxfId="21" priority="9">
      <formula>ISNA(#REF!)</formula>
    </cfRule>
  </conditionalFormatting>
  <conditionalFormatting sqref="K118:K127">
    <cfRule type="expression" dxfId="20" priority="11">
      <formula>ISNA(#REF!)</formula>
    </cfRule>
  </conditionalFormatting>
  <conditionalFormatting sqref="K117:K127">
    <cfRule type="expression" dxfId="19" priority="19">
      <formula>ISNA(#REF!)</formula>
    </cfRule>
  </conditionalFormatting>
  <conditionalFormatting sqref="K116:K127">
    <cfRule type="expression" dxfId="18" priority="21">
      <formula>ISNA(#REF!)</formula>
    </cfRule>
  </conditionalFormatting>
  <conditionalFormatting sqref="K3:K127">
    <cfRule type="expression" dxfId="17" priority="24">
      <formula>ISNA(#REF!)</formula>
    </cfRule>
  </conditionalFormatting>
  <conditionalFormatting sqref="K95:K96 K88:K90 K92:K93">
    <cfRule type="expression" dxfId="16" priority="92">
      <formula>ISNA(AF8)</formula>
    </cfRule>
  </conditionalFormatting>
  <conditionalFormatting sqref="K3:K127">
    <cfRule type="expression" dxfId="15" priority="96">
      <formula>ISNA(AD1048500)</formula>
    </cfRule>
  </conditionalFormatting>
  <conditionalFormatting sqref="K3:K127">
    <cfRule type="expression" dxfId="14" priority="99">
      <formula>ISNA(AD1048501)</formula>
    </cfRule>
  </conditionalFormatting>
  <conditionalFormatting sqref="K92:K93 K85:K87 K89:K90">
    <cfRule type="expression" dxfId="13" priority="102">
      <formula>ISNA(AF8)</formula>
    </cfRule>
  </conditionalFormatting>
  <conditionalFormatting sqref="K97">
    <cfRule type="expression" dxfId="12" priority="106">
      <formula>ISNA(AF11)</formula>
    </cfRule>
  </conditionalFormatting>
  <conditionalFormatting sqref="K96">
    <cfRule type="expression" dxfId="11" priority="107">
      <formula>ISNA(AF11)</formula>
    </cfRule>
  </conditionalFormatting>
  <conditionalFormatting sqref="K3:K127">
    <cfRule type="expression" dxfId="10" priority="108">
      <formula>ISNA(AD1048496)</formula>
    </cfRule>
  </conditionalFormatting>
  <conditionalFormatting sqref="K98">
    <cfRule type="expression" dxfId="9" priority="110">
      <formula>ISNA(AF14)</formula>
    </cfRule>
  </conditionalFormatting>
  <conditionalFormatting sqref="K96">
    <cfRule type="expression" dxfId="8" priority="111">
      <formula>ISNA(AF14)</formula>
    </cfRule>
  </conditionalFormatting>
  <conditionalFormatting sqref="K95">
    <cfRule type="expression" dxfId="7" priority="112">
      <formula>ISNA(AF14)</formula>
    </cfRule>
  </conditionalFormatting>
  <conditionalFormatting sqref="K112:K115">
    <cfRule type="expression" dxfId="6" priority="120">
      <formula>ISNA(AF122)</formula>
    </cfRule>
  </conditionalFormatting>
  <conditionalFormatting sqref="K113:K116 K118:K127">
    <cfRule type="expression" dxfId="5" priority="123">
      <formula>ISNA(AF122)</formula>
    </cfRule>
  </conditionalFormatting>
  <conditionalFormatting sqref="K19:K23">
    <cfRule type="expression" dxfId="4" priority="125">
      <formula>ISNA(AF23)</formula>
    </cfRule>
  </conditionalFormatting>
  <conditionalFormatting sqref="K18">
    <cfRule type="expression" dxfId="3" priority="126">
      <formula>ISNA(#REF!)</formula>
    </cfRule>
  </conditionalFormatting>
  <conditionalFormatting sqref="K17">
    <cfRule type="expression" dxfId="2" priority="129">
      <formula>ISNA(#REF!)</formula>
    </cfRule>
  </conditionalFormatting>
  <conditionalFormatting sqref="K16">
    <cfRule type="expression" dxfId="1" priority="132">
      <formula>ISNA(#REF!)</formula>
    </cfRule>
  </conditionalFormatting>
  <conditionalFormatting sqref="K15">
    <cfRule type="expression" dxfId="0" priority="135">
      <formula>ISNA(#REF!)</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1" tint="0.34998626667073579"/>
    <pageSetUpPr autoPageBreaks="0" fitToPage="1"/>
  </sheetPr>
  <dimension ref="A1:K68"/>
  <sheetViews>
    <sheetView zoomScale="80" zoomScaleNormal="80" zoomScaleSheetLayoutView="85" workbookViewId="0">
      <selection activeCell="C4" sqref="C4:H4"/>
    </sheetView>
  </sheetViews>
  <sheetFormatPr defaultColWidth="9.140625" defaultRowHeight="15" x14ac:dyDescent="0.25"/>
  <cols>
    <col min="1" max="1" width="11.7109375" style="478" customWidth="1"/>
    <col min="2" max="2" width="4.140625" style="478" customWidth="1"/>
    <col min="3" max="3" width="26.42578125" style="478" customWidth="1"/>
    <col min="4" max="5" width="22.5703125" style="478" customWidth="1"/>
    <col min="6" max="6" width="25.28515625" style="478" customWidth="1"/>
    <col min="7" max="7" width="24.85546875" style="478" customWidth="1"/>
    <col min="8" max="8" width="24.5703125" style="478" customWidth="1"/>
    <col min="9" max="9" width="3.7109375" style="478" customWidth="1"/>
    <col min="10" max="16384" width="9.140625" style="478"/>
  </cols>
  <sheetData>
    <row r="1" spans="1:10" s="466" customFormat="1" ht="6" customHeight="1" x14ac:dyDescent="0.25">
      <c r="J1" s="465"/>
    </row>
    <row r="2" spans="1:10" s="466" customFormat="1" ht="49.5" customHeight="1" x14ac:dyDescent="0.4">
      <c r="B2" s="516"/>
      <c r="C2" s="6187" t="s">
        <v>2088</v>
      </c>
      <c r="D2" s="6187"/>
      <c r="E2" s="6187"/>
      <c r="F2" s="6187"/>
      <c r="G2" s="6187"/>
      <c r="H2" s="6187"/>
      <c r="I2" s="518"/>
      <c r="J2" s="465"/>
    </row>
    <row r="3" spans="1:10" s="466" customFormat="1" ht="6" customHeight="1" x14ac:dyDescent="0.25">
      <c r="B3" s="519"/>
      <c r="C3" s="469"/>
      <c r="D3" s="469"/>
      <c r="E3" s="469"/>
      <c r="F3" s="469"/>
      <c r="G3" s="469"/>
      <c r="H3" s="469"/>
      <c r="I3" s="520"/>
      <c r="J3" s="465"/>
    </row>
    <row r="4" spans="1:10" s="466" customFormat="1" ht="26.25" x14ac:dyDescent="0.25">
      <c r="B4" s="519"/>
      <c r="C4" s="6186"/>
      <c r="D4" s="6186"/>
      <c r="E4" s="6186"/>
      <c r="F4" s="6186"/>
      <c r="G4" s="6186"/>
      <c r="H4" s="6186"/>
      <c r="I4" s="520"/>
      <c r="J4" s="465"/>
    </row>
    <row r="5" spans="1:10" s="466" customFormat="1" ht="6" customHeight="1" x14ac:dyDescent="0.25">
      <c r="B5" s="519"/>
      <c r="C5" s="469"/>
      <c r="D5" s="469"/>
      <c r="E5" s="469"/>
      <c r="F5" s="469"/>
      <c r="G5" s="469"/>
      <c r="H5" s="469"/>
      <c r="I5" s="520"/>
      <c r="J5" s="465"/>
    </row>
    <row r="6" spans="1:10" s="472" customFormat="1" ht="19.5" customHeight="1" x14ac:dyDescent="0.25">
      <c r="B6" s="734"/>
      <c r="C6" s="6185" t="s">
        <v>753</v>
      </c>
      <c r="D6" s="6185"/>
      <c r="E6" s="6185"/>
      <c r="F6" s="6185"/>
      <c r="G6" s="6185"/>
      <c r="H6" s="6185"/>
      <c r="I6" s="521"/>
      <c r="J6" s="471"/>
    </row>
    <row r="7" spans="1:10" s="472" customFormat="1" ht="7.5" customHeight="1" x14ac:dyDescent="0.25">
      <c r="B7" s="735"/>
      <c r="C7" s="736"/>
      <c r="D7" s="737"/>
      <c r="E7" s="737"/>
      <c r="F7" s="737"/>
      <c r="G7" s="737"/>
      <c r="H7" s="737"/>
      <c r="I7" s="738"/>
      <c r="J7" s="471"/>
    </row>
    <row r="8" spans="1:10" ht="6.75" customHeight="1" x14ac:dyDescent="0.25">
      <c r="B8" s="816"/>
      <c r="C8" s="816"/>
      <c r="D8" s="824"/>
      <c r="E8" s="824"/>
      <c r="F8" s="824"/>
      <c r="G8" s="824"/>
      <c r="H8" s="824"/>
      <c r="I8" s="1"/>
    </row>
    <row r="9" spans="1:10" ht="15" customHeight="1" x14ac:dyDescent="0.25">
      <c r="B9" s="6210" t="s">
        <v>1564</v>
      </c>
      <c r="C9" s="6210"/>
      <c r="D9" s="4727" t="s">
        <v>2190</v>
      </c>
      <c r="E9" s="4728" t="s">
        <v>3463</v>
      </c>
      <c r="F9" s="824"/>
      <c r="G9" s="824"/>
      <c r="H9" s="824"/>
      <c r="I9" s="1"/>
    </row>
    <row r="10" spans="1:10" ht="5.25" customHeight="1" x14ac:dyDescent="0.25">
      <c r="B10" s="6210"/>
      <c r="C10" s="6210"/>
      <c r="D10" s="4729"/>
      <c r="E10" s="4730"/>
      <c r="F10" s="4731"/>
      <c r="G10" s="4731"/>
      <c r="H10" s="4731"/>
      <c r="I10" s="1"/>
    </row>
    <row r="11" spans="1:10" x14ac:dyDescent="0.25">
      <c r="A11" s="515"/>
      <c r="B11" s="6210"/>
      <c r="C11" s="6210"/>
      <c r="D11" s="4732" t="s">
        <v>2191</v>
      </c>
      <c r="E11" s="4728" t="s">
        <v>3464</v>
      </c>
      <c r="F11" s="4733"/>
      <c r="G11" s="4733"/>
      <c r="H11" s="4733"/>
      <c r="I11" s="825"/>
    </row>
    <row r="12" spans="1:10" s="918" customFormat="1" ht="6.75" customHeight="1" x14ac:dyDescent="0.25">
      <c r="B12" s="6210"/>
      <c r="C12" s="6210"/>
      <c r="D12" s="4733"/>
      <c r="E12" s="4730"/>
      <c r="F12" s="4731"/>
      <c r="G12" s="4731"/>
      <c r="H12" s="4731"/>
      <c r="I12" s="1"/>
    </row>
    <row r="13" spans="1:10" s="918" customFormat="1" x14ac:dyDescent="0.25">
      <c r="B13" s="6210"/>
      <c r="C13" s="6210"/>
      <c r="D13" s="4733"/>
      <c r="E13" s="4728" t="s">
        <v>2986</v>
      </c>
      <c r="F13" s="4731"/>
      <c r="G13" s="4731"/>
      <c r="H13" s="4731"/>
      <c r="I13" s="1"/>
    </row>
    <row r="14" spans="1:10" s="918" customFormat="1" ht="6.75" customHeight="1" x14ac:dyDescent="0.25">
      <c r="B14" s="6210"/>
      <c r="C14" s="6210"/>
      <c r="D14" s="4733"/>
      <c r="E14" s="4730"/>
      <c r="F14" s="4731"/>
      <c r="G14" s="4731"/>
      <c r="H14" s="4731"/>
      <c r="I14" s="1"/>
    </row>
    <row r="15" spans="1:10" s="918" customFormat="1" x14ac:dyDescent="0.25">
      <c r="B15" s="6210"/>
      <c r="C15" s="6210"/>
      <c r="D15" s="4731"/>
      <c r="E15" s="4728" t="s">
        <v>2919</v>
      </c>
      <c r="F15" s="4731"/>
      <c r="G15" s="4731"/>
      <c r="H15" s="4731"/>
      <c r="I15" s="1"/>
    </row>
    <row r="16" spans="1:10" x14ac:dyDescent="0.25">
      <c r="B16" s="4733"/>
      <c r="C16" s="4731"/>
      <c r="D16" s="4731"/>
      <c r="E16" s="4731"/>
      <c r="F16" s="4731"/>
      <c r="G16" s="4731"/>
      <c r="H16" s="4731"/>
      <c r="I16" s="1"/>
    </row>
    <row r="17" spans="1:9" x14ac:dyDescent="0.25">
      <c r="B17" s="739"/>
      <c r="C17" s="45"/>
      <c r="D17" s="45"/>
      <c r="E17" s="45"/>
      <c r="F17" s="45"/>
      <c r="G17" s="45"/>
      <c r="H17" s="45"/>
      <c r="I17" s="45"/>
    </row>
    <row r="18" spans="1:9" s="826" customFormat="1" ht="18.75" x14ac:dyDescent="0.25">
      <c r="B18" s="827"/>
      <c r="C18" s="830" t="s">
        <v>1559</v>
      </c>
      <c r="D18" s="828"/>
      <c r="E18" s="829"/>
      <c r="F18" s="829"/>
      <c r="G18" s="829"/>
      <c r="H18" s="829"/>
      <c r="I18" s="829"/>
    </row>
    <row r="19" spans="1:9" ht="15.75" thickBot="1" x14ac:dyDescent="0.3">
      <c r="B19" s="739"/>
      <c r="C19" s="45"/>
      <c r="D19" s="45"/>
      <c r="E19" s="45"/>
      <c r="F19" s="45"/>
      <c r="G19" s="45"/>
      <c r="H19" s="740"/>
      <c r="I19" s="45"/>
    </row>
    <row r="20" spans="1:9" s="493" customFormat="1" ht="24.75" customHeight="1" thickBot="1" x14ac:dyDescent="0.3">
      <c r="B20" s="499"/>
      <c r="C20" s="6196" t="s">
        <v>219</v>
      </c>
      <c r="D20" s="6197"/>
      <c r="E20" s="6198">
        <v>2014</v>
      </c>
      <c r="F20" s="6199"/>
      <c r="G20" s="6200" t="s">
        <v>3787</v>
      </c>
      <c r="H20" s="6201"/>
      <c r="I20" s="499"/>
    </row>
    <row r="21" spans="1:9" s="493" customFormat="1" ht="24.75" customHeight="1" x14ac:dyDescent="0.25">
      <c r="B21" s="499"/>
      <c r="C21" s="6196" t="s">
        <v>227</v>
      </c>
      <c r="D21" s="6196"/>
      <c r="E21" s="6211">
        <f>IF(E20&lt;&gt;0,E20+1,"")</f>
        <v>2015</v>
      </c>
      <c r="F21" s="6211"/>
      <c r="G21" s="1530"/>
      <c r="H21" s="1531"/>
      <c r="I21" s="499"/>
    </row>
    <row r="22" spans="1:9" s="493" customFormat="1" ht="24.75" customHeight="1" x14ac:dyDescent="0.25">
      <c r="B22" s="499"/>
      <c r="C22" s="6196" t="s">
        <v>228</v>
      </c>
      <c r="D22" s="6196"/>
      <c r="E22" s="6212">
        <f>IFERROR(E21+9,"")</f>
        <v>2024</v>
      </c>
      <c r="F22" s="6212"/>
      <c r="G22" s="1530"/>
      <c r="H22" s="1531"/>
      <c r="I22" s="499"/>
    </row>
    <row r="23" spans="1:9" ht="12.75" customHeight="1" x14ac:dyDescent="0.25">
      <c r="B23" s="739"/>
      <c r="C23" s="45"/>
      <c r="D23" s="45"/>
      <c r="E23" s="45"/>
      <c r="F23" s="45"/>
      <c r="G23" s="45"/>
      <c r="H23" s="45"/>
      <c r="I23" s="45"/>
    </row>
    <row r="24" spans="1:9" s="821" customFormat="1" ht="15.75" customHeight="1" x14ac:dyDescent="0.3">
      <c r="A24" s="818"/>
      <c r="B24" s="823"/>
      <c r="C24" s="6206" t="s">
        <v>3363</v>
      </c>
      <c r="D24" s="6207"/>
      <c r="E24" s="6203" t="s">
        <v>3390</v>
      </c>
      <c r="F24" s="6203"/>
      <c r="G24" s="45"/>
      <c r="H24" s="45"/>
      <c r="I24" s="823"/>
    </row>
    <row r="25" spans="1:9" s="821" customFormat="1" ht="15.75" customHeight="1" x14ac:dyDescent="0.3">
      <c r="A25" s="822"/>
      <c r="B25" s="823"/>
      <c r="C25" s="6206" t="s">
        <v>3364</v>
      </c>
      <c r="D25" s="6207"/>
      <c r="E25" s="6204"/>
      <c r="F25" s="6205"/>
      <c r="G25" s="45"/>
      <c r="H25" s="45"/>
      <c r="I25" s="823"/>
    </row>
    <row r="26" spans="1:9" x14ac:dyDescent="0.25">
      <c r="B26" s="739"/>
      <c r="C26" s="45"/>
      <c r="D26" s="919"/>
      <c r="E26" s="45"/>
      <c r="F26" s="45"/>
      <c r="G26" s="45"/>
      <c r="H26" s="45"/>
      <c r="I26" s="45"/>
    </row>
    <row r="27" spans="1:9" x14ac:dyDescent="0.25">
      <c r="B27" s="739"/>
      <c r="C27" s="45"/>
      <c r="D27" s="45"/>
      <c r="E27" s="45"/>
      <c r="F27" s="45"/>
      <c r="G27" s="45"/>
      <c r="H27" s="45"/>
      <c r="I27" s="45"/>
    </row>
    <row r="28" spans="1:9" s="826" customFormat="1" ht="18.75" x14ac:dyDescent="0.25">
      <c r="B28" s="827"/>
      <c r="C28" s="830" t="s">
        <v>3367</v>
      </c>
      <c r="D28" s="828"/>
      <c r="E28" s="829"/>
      <c r="F28" s="829"/>
      <c r="G28" s="829"/>
      <c r="H28" s="829"/>
      <c r="I28" s="829"/>
    </row>
    <row r="29" spans="1:9" x14ac:dyDescent="0.25">
      <c r="B29" s="739"/>
      <c r="C29" s="45"/>
      <c r="D29" s="45"/>
      <c r="E29" s="45"/>
      <c r="F29" s="45"/>
      <c r="G29" s="45"/>
      <c r="H29" s="45"/>
      <c r="I29" s="45"/>
    </row>
    <row r="30" spans="1:9" s="821" customFormat="1" ht="16.5" x14ac:dyDescent="0.3">
      <c r="A30" s="818"/>
      <c r="B30" s="823"/>
      <c r="C30" s="833" t="s">
        <v>3368</v>
      </c>
      <c r="D30" s="832"/>
      <c r="E30" s="6189" t="s">
        <v>3782</v>
      </c>
      <c r="F30" s="6189"/>
      <c r="G30" s="823"/>
      <c r="H30" s="823"/>
      <c r="I30" s="823"/>
    </row>
    <row r="31" spans="1:9" s="821" customFormat="1" ht="16.5" x14ac:dyDescent="0.3">
      <c r="A31" s="818"/>
      <c r="B31" s="823"/>
      <c r="C31" s="833" t="s">
        <v>3465</v>
      </c>
      <c r="D31" s="832"/>
      <c r="E31" s="6195" t="s">
        <v>3782</v>
      </c>
      <c r="F31" s="6195"/>
      <c r="G31" s="823"/>
      <c r="H31" s="823"/>
      <c r="I31" s="823"/>
    </row>
    <row r="32" spans="1:9" s="821" customFormat="1" ht="16.5" x14ac:dyDescent="0.3">
      <c r="A32" s="818"/>
      <c r="B32" s="823"/>
      <c r="C32" s="833" t="s">
        <v>887</v>
      </c>
      <c r="D32" s="832"/>
      <c r="E32" s="6195" t="s">
        <v>3783</v>
      </c>
      <c r="F32" s="6195"/>
      <c r="G32" s="823"/>
      <c r="H32" s="823"/>
      <c r="I32" s="823"/>
    </row>
    <row r="33" spans="1:11" s="821" customFormat="1" ht="16.5" x14ac:dyDescent="0.3">
      <c r="A33" s="818"/>
      <c r="B33" s="823"/>
      <c r="C33" s="833" t="s">
        <v>3369</v>
      </c>
      <c r="D33" s="832"/>
      <c r="E33" s="6191" t="s">
        <v>3378</v>
      </c>
      <c r="F33" s="6192"/>
      <c r="G33" s="823"/>
      <c r="H33" s="823"/>
      <c r="I33" s="823"/>
      <c r="J33" s="5650"/>
      <c r="K33" s="5650"/>
    </row>
    <row r="34" spans="1:11" s="821" customFormat="1" ht="16.5" x14ac:dyDescent="0.3">
      <c r="A34" s="818"/>
      <c r="B34" s="823"/>
      <c r="C34" s="833" t="s">
        <v>3495</v>
      </c>
      <c r="D34" s="832"/>
      <c r="E34" s="5727" t="s">
        <v>3498</v>
      </c>
      <c r="F34" s="5728"/>
      <c r="G34" s="823"/>
      <c r="H34" s="823"/>
      <c r="I34" s="823"/>
      <c r="J34" s="5650"/>
      <c r="K34" s="5650"/>
    </row>
    <row r="35" spans="1:11" s="821" customFormat="1" ht="15.75" customHeight="1" x14ac:dyDescent="0.3">
      <c r="A35" s="818"/>
      <c r="B35" s="823"/>
      <c r="C35" s="833" t="s">
        <v>3370</v>
      </c>
      <c r="D35" s="832"/>
      <c r="E35" s="6191" t="s">
        <v>73</v>
      </c>
      <c r="F35" s="6192"/>
      <c r="G35" s="823"/>
      <c r="H35" s="823"/>
      <c r="I35" s="823"/>
      <c r="J35" s="5650"/>
      <c r="K35" s="5650"/>
    </row>
    <row r="36" spans="1:11" s="821" customFormat="1" ht="16.5" hidden="1" x14ac:dyDescent="0.3">
      <c r="A36" s="818"/>
      <c r="B36" s="823"/>
      <c r="C36" s="833" t="s">
        <v>3366</v>
      </c>
      <c r="D36" s="832"/>
      <c r="E36" s="6193" t="s">
        <v>3844</v>
      </c>
      <c r="F36" s="6194"/>
      <c r="G36" s="823"/>
      <c r="H36" s="823"/>
      <c r="I36" s="823"/>
      <c r="J36" s="5650"/>
      <c r="K36" s="5650"/>
    </row>
    <row r="37" spans="1:11" s="821" customFormat="1" ht="16.5" hidden="1" x14ac:dyDescent="0.3">
      <c r="A37" s="818"/>
      <c r="B37" s="823"/>
      <c r="C37" s="833" t="s">
        <v>3365</v>
      </c>
      <c r="D37" s="832"/>
      <c r="E37" s="6193" t="s">
        <v>3784</v>
      </c>
      <c r="F37" s="6194"/>
      <c r="G37" s="823"/>
      <c r="H37" s="823"/>
      <c r="I37" s="823"/>
    </row>
    <row r="38" spans="1:11" s="821" customFormat="1" ht="16.5" hidden="1" x14ac:dyDescent="0.3">
      <c r="A38" s="818"/>
      <c r="B38" s="823"/>
      <c r="C38" s="833" t="s">
        <v>1007</v>
      </c>
      <c r="D38" s="832"/>
      <c r="E38" s="6195"/>
      <c r="F38" s="6195"/>
      <c r="G38" s="823"/>
      <c r="H38" s="823"/>
      <c r="I38" s="823"/>
    </row>
    <row r="39" spans="1:11" s="821" customFormat="1" ht="16.5" hidden="1" x14ac:dyDescent="0.3">
      <c r="A39" s="818"/>
      <c r="B39" s="823"/>
      <c r="C39" s="833" t="s">
        <v>1008</v>
      </c>
      <c r="D39" s="832"/>
      <c r="E39" s="6195"/>
      <c r="F39" s="6195"/>
      <c r="G39" s="823"/>
      <c r="H39" s="823"/>
      <c r="I39" s="823"/>
    </row>
    <row r="40" spans="1:11" s="821" customFormat="1" ht="16.5" hidden="1" x14ac:dyDescent="0.3">
      <c r="A40" s="820"/>
      <c r="B40" s="823"/>
      <c r="C40" s="833" t="s">
        <v>888</v>
      </c>
      <c r="D40" s="832"/>
      <c r="E40" s="6188" t="s">
        <v>3785</v>
      </c>
      <c r="F40" s="6189"/>
      <c r="G40" s="823"/>
      <c r="H40" s="823"/>
      <c r="I40" s="823"/>
    </row>
    <row r="41" spans="1:11" s="821" customFormat="1" ht="15" hidden="1" customHeight="1" x14ac:dyDescent="0.3">
      <c r="A41" s="820"/>
      <c r="B41" s="823"/>
      <c r="C41" s="833" t="s">
        <v>889</v>
      </c>
      <c r="D41" s="832"/>
      <c r="E41" s="6190"/>
      <c r="F41" s="6189"/>
      <c r="G41" s="823"/>
      <c r="H41" s="823"/>
      <c r="I41" s="823"/>
    </row>
    <row r="42" spans="1:11" hidden="1" x14ac:dyDescent="0.25">
      <c r="B42" s="45"/>
      <c r="C42" s="45"/>
      <c r="D42" s="45"/>
      <c r="E42" s="45"/>
      <c r="F42" s="45"/>
      <c r="G42" s="45"/>
      <c r="H42" s="45"/>
      <c r="I42" s="45"/>
    </row>
    <row r="43" spans="1:11" s="918" customFormat="1" ht="16.5" hidden="1" x14ac:dyDescent="0.3">
      <c r="B43" s="823"/>
      <c r="C43" s="833" t="s">
        <v>3496</v>
      </c>
      <c r="D43" s="832"/>
      <c r="E43" s="6195" t="s">
        <v>3497</v>
      </c>
      <c r="F43" s="6195"/>
      <c r="G43" s="5906" t="str">
        <f>IF(E44="Million - Billion","Million","Lakhs")</f>
        <v>Lakhs</v>
      </c>
      <c r="H43" s="823"/>
      <c r="I43" s="823"/>
    </row>
    <row r="44" spans="1:11" s="918" customFormat="1" ht="16.5" hidden="1" x14ac:dyDescent="0.3">
      <c r="B44" s="823"/>
      <c r="C44" s="833" t="s">
        <v>3504</v>
      </c>
      <c r="D44" s="832"/>
      <c r="E44" s="6191" t="s">
        <v>3603</v>
      </c>
      <c r="F44" s="6192"/>
      <c r="G44" s="5732">
        <f>IF(E44="Million - Billion",10^6,10^5)</f>
        <v>100000</v>
      </c>
      <c r="H44" s="823"/>
      <c r="I44" s="823"/>
    </row>
    <row r="45" spans="1:11" s="918" customFormat="1" hidden="1" x14ac:dyDescent="0.25">
      <c r="B45" s="919"/>
      <c r="C45" s="919"/>
      <c r="D45" s="919"/>
      <c r="E45" s="919"/>
      <c r="F45" s="919"/>
      <c r="G45" s="919"/>
      <c r="H45" s="919"/>
      <c r="I45" s="919"/>
    </row>
    <row r="46" spans="1:11" hidden="1" x14ac:dyDescent="0.25">
      <c r="B46" s="45"/>
      <c r="C46" s="45"/>
      <c r="D46" s="45"/>
      <c r="E46" s="45"/>
      <c r="F46" s="45"/>
      <c r="G46" s="45"/>
      <c r="H46" s="45"/>
      <c r="I46" s="45"/>
    </row>
    <row r="47" spans="1:11" s="826" customFormat="1" ht="18.75" hidden="1" x14ac:dyDescent="0.25">
      <c r="B47" s="827"/>
      <c r="C47" s="830" t="s">
        <v>3371</v>
      </c>
      <c r="D47" s="830"/>
      <c r="E47" s="829"/>
      <c r="F47" s="829"/>
      <c r="G47" s="829"/>
      <c r="H47" s="829"/>
      <c r="I47" s="829"/>
    </row>
    <row r="48" spans="1:11" hidden="1" x14ac:dyDescent="0.25">
      <c r="A48" s="515"/>
      <c r="B48" s="739"/>
      <c r="C48" s="739"/>
      <c r="D48" s="739"/>
      <c r="E48" s="739"/>
      <c r="F48" s="739"/>
      <c r="G48" s="739"/>
      <c r="H48" s="739"/>
      <c r="I48" s="739"/>
    </row>
    <row r="49" spans="1:9" s="821" customFormat="1" ht="17.25" hidden="1" customHeight="1" x14ac:dyDescent="0.3">
      <c r="A49" s="478"/>
      <c r="B49" s="823"/>
      <c r="C49" s="6209" t="s">
        <v>1560</v>
      </c>
      <c r="D49" s="6209"/>
      <c r="E49" s="837" t="s">
        <v>882</v>
      </c>
      <c r="F49" s="837" t="s">
        <v>883</v>
      </c>
      <c r="G49" s="837" t="s">
        <v>884</v>
      </c>
      <c r="H49" s="837" t="s">
        <v>885</v>
      </c>
      <c r="I49" s="823"/>
    </row>
    <row r="50" spans="1:9" s="821" customFormat="1" ht="16.5" hidden="1" x14ac:dyDescent="0.3">
      <c r="A50" s="818"/>
      <c r="B50" s="823"/>
      <c r="C50" s="6202" t="s">
        <v>1561</v>
      </c>
      <c r="D50" s="6202"/>
      <c r="E50" s="3822"/>
      <c r="F50" s="3822"/>
      <c r="G50" s="3823"/>
      <c r="H50" s="3824"/>
      <c r="I50" s="823"/>
    </row>
    <row r="51" spans="1:9" s="821" customFormat="1" ht="16.5" hidden="1" x14ac:dyDescent="0.3">
      <c r="A51" s="818"/>
      <c r="B51" s="823"/>
      <c r="C51" s="6202" t="s">
        <v>0</v>
      </c>
      <c r="D51" s="6202"/>
      <c r="E51" s="3822" t="s">
        <v>3786</v>
      </c>
      <c r="F51" s="3822" t="s">
        <v>3713</v>
      </c>
      <c r="G51" s="3823"/>
      <c r="H51" s="3825"/>
      <c r="I51" s="823"/>
    </row>
    <row r="52" spans="1:9" s="821" customFormat="1" ht="16.5" hidden="1" x14ac:dyDescent="0.3">
      <c r="A52" s="818"/>
      <c r="B52" s="823"/>
      <c r="C52" s="6202" t="s">
        <v>1009</v>
      </c>
      <c r="D52" s="6202"/>
      <c r="E52" s="3822" t="s">
        <v>3843</v>
      </c>
      <c r="F52" s="3822" t="s">
        <v>3712</v>
      </c>
      <c r="G52" s="3823"/>
      <c r="H52" s="3825"/>
      <c r="I52" s="823"/>
    </row>
    <row r="53" spans="1:9" s="821" customFormat="1" ht="16.5" hidden="1" x14ac:dyDescent="0.3">
      <c r="A53" s="818"/>
      <c r="B53" s="823"/>
      <c r="C53" s="6202" t="s">
        <v>183</v>
      </c>
      <c r="D53" s="6202"/>
      <c r="E53" s="3822"/>
      <c r="F53" s="3822"/>
      <c r="G53" s="3823"/>
      <c r="H53" s="3824"/>
      <c r="I53" s="823"/>
    </row>
    <row r="54" spans="1:9" s="821" customFormat="1" ht="16.5" hidden="1" x14ac:dyDescent="0.3">
      <c r="A54" s="818"/>
      <c r="B54" s="823"/>
      <c r="C54" s="6202" t="s">
        <v>1562</v>
      </c>
      <c r="D54" s="6202"/>
      <c r="E54" s="3822"/>
      <c r="F54" s="3822"/>
      <c r="G54" s="3823"/>
      <c r="H54" s="3825"/>
      <c r="I54" s="823"/>
    </row>
    <row r="55" spans="1:9" s="821" customFormat="1" ht="16.5" hidden="1" x14ac:dyDescent="0.3">
      <c r="A55" s="818"/>
      <c r="B55" s="823"/>
      <c r="C55" s="6202" t="s">
        <v>886</v>
      </c>
      <c r="D55" s="6202"/>
      <c r="E55" s="3822"/>
      <c r="F55" s="3822"/>
      <c r="G55" s="3823"/>
      <c r="H55" s="3825"/>
      <c r="I55" s="823"/>
    </row>
    <row r="56" spans="1:9" s="821" customFormat="1" ht="16.5" hidden="1" x14ac:dyDescent="0.3">
      <c r="A56" s="818"/>
      <c r="B56" s="823"/>
      <c r="C56" s="6202" t="s">
        <v>1563</v>
      </c>
      <c r="D56" s="6202"/>
      <c r="E56" s="3822"/>
      <c r="F56" s="3822"/>
      <c r="G56" s="3823"/>
      <c r="H56" s="3825"/>
      <c r="I56" s="823"/>
    </row>
    <row r="57" spans="1:9" s="821" customFormat="1" hidden="1" x14ac:dyDescent="0.3">
      <c r="A57" s="818"/>
      <c r="B57" s="823"/>
      <c r="C57" s="823"/>
      <c r="D57" s="823"/>
      <c r="E57" s="823"/>
      <c r="F57" s="835"/>
      <c r="G57" s="823"/>
      <c r="H57" s="823"/>
      <c r="I57" s="823"/>
    </row>
    <row r="58" spans="1:9" s="821" customFormat="1" ht="17.25" hidden="1" x14ac:dyDescent="0.35">
      <c r="A58" s="819"/>
      <c r="B58" s="834"/>
      <c r="C58" s="834"/>
      <c r="D58" s="831"/>
      <c r="E58" s="831"/>
      <c r="F58" s="831"/>
      <c r="G58" s="836"/>
      <c r="H58" s="836"/>
      <c r="I58" s="823"/>
    </row>
    <row r="59" spans="1:9" s="826" customFormat="1" ht="18.75" hidden="1" x14ac:dyDescent="0.25">
      <c r="B59" s="827"/>
      <c r="C59" s="830" t="s">
        <v>3372</v>
      </c>
      <c r="D59" s="828"/>
      <c r="E59" s="829"/>
      <c r="F59" s="829"/>
      <c r="G59" s="829"/>
      <c r="H59" s="829"/>
      <c r="I59" s="829"/>
    </row>
    <row r="60" spans="1:9" hidden="1" x14ac:dyDescent="0.25">
      <c r="B60" s="2"/>
      <c r="C60" s="2"/>
      <c r="D60" s="2"/>
      <c r="E60" s="2"/>
      <c r="F60" s="2"/>
      <c r="G60" s="2"/>
      <c r="H60" s="2"/>
      <c r="I60" s="2"/>
    </row>
    <row r="61" spans="1:9" ht="15.75" hidden="1" x14ac:dyDescent="0.25">
      <c r="B61" s="45"/>
      <c r="C61" s="6209" t="s">
        <v>882</v>
      </c>
      <c r="D61" s="6209"/>
      <c r="E61" s="837" t="s">
        <v>890</v>
      </c>
      <c r="F61" s="837" t="s">
        <v>883</v>
      </c>
      <c r="G61" s="837" t="s">
        <v>884</v>
      </c>
      <c r="H61" s="837" t="s">
        <v>885</v>
      </c>
      <c r="I61" s="45"/>
    </row>
    <row r="62" spans="1:9" ht="15.75" hidden="1" x14ac:dyDescent="0.25">
      <c r="B62" s="45"/>
      <c r="C62" s="6208" t="s">
        <v>3381</v>
      </c>
      <c r="D62" s="6208"/>
      <c r="E62" s="3822" t="s">
        <v>3708</v>
      </c>
      <c r="F62" s="3822" t="s">
        <v>3709</v>
      </c>
      <c r="G62" s="3823"/>
      <c r="H62" s="5907" t="s">
        <v>3711</v>
      </c>
      <c r="I62" s="45"/>
    </row>
    <row r="63" spans="1:9" ht="15.75" hidden="1" x14ac:dyDescent="0.25">
      <c r="B63" s="45"/>
      <c r="C63" s="6208" t="s">
        <v>3380</v>
      </c>
      <c r="D63" s="6208"/>
      <c r="E63" s="3822" t="s">
        <v>3708</v>
      </c>
      <c r="F63" s="3822" t="s">
        <v>3709</v>
      </c>
      <c r="G63" s="3823"/>
      <c r="H63" s="5907" t="s">
        <v>3862</v>
      </c>
      <c r="I63" s="45"/>
    </row>
    <row r="64" spans="1:9" ht="15.75" hidden="1" x14ac:dyDescent="0.25">
      <c r="B64" s="45"/>
      <c r="C64" s="6208" t="s">
        <v>3379</v>
      </c>
      <c r="D64" s="6208"/>
      <c r="E64" s="3822" t="s">
        <v>3708</v>
      </c>
      <c r="F64" s="3822" t="s">
        <v>3709</v>
      </c>
      <c r="G64" s="3823"/>
      <c r="H64" s="5907" t="s">
        <v>3710</v>
      </c>
      <c r="I64" s="45"/>
    </row>
    <row r="65" spans="2:9" ht="15.75" hidden="1" x14ac:dyDescent="0.25">
      <c r="B65" s="45"/>
      <c r="C65" s="6208" t="s">
        <v>3714</v>
      </c>
      <c r="D65" s="6208"/>
      <c r="E65" s="3822" t="s">
        <v>3715</v>
      </c>
      <c r="F65" s="3822"/>
      <c r="G65" s="3823"/>
      <c r="H65" s="5907"/>
      <c r="I65" s="45"/>
    </row>
    <row r="66" spans="2:9" ht="15.75" hidden="1" x14ac:dyDescent="0.25">
      <c r="B66" s="45"/>
      <c r="C66" s="6208"/>
      <c r="D66" s="6208"/>
      <c r="E66" s="3822"/>
      <c r="F66" s="3822"/>
      <c r="G66" s="3823"/>
      <c r="H66" s="3825"/>
      <c r="I66" s="45"/>
    </row>
    <row r="67" spans="2:9" hidden="1" x14ac:dyDescent="0.25">
      <c r="B67" s="45"/>
      <c r="C67" s="45"/>
      <c r="D67" s="45"/>
      <c r="E67" s="45"/>
      <c r="F67" s="45"/>
      <c r="G67" s="45"/>
      <c r="H67" s="45"/>
      <c r="I67" s="45"/>
    </row>
    <row r="68" spans="2:9" x14ac:dyDescent="0.25">
      <c r="B68" s="45"/>
      <c r="C68" s="45"/>
      <c r="D68" s="45"/>
      <c r="E68" s="45"/>
      <c r="F68" s="45"/>
      <c r="G68" s="45"/>
      <c r="H68" s="45"/>
      <c r="I68" s="45"/>
    </row>
  </sheetData>
  <sheetProtection selectLockedCells="1"/>
  <mergeCells count="42">
    <mergeCell ref="B9:C15"/>
    <mergeCell ref="C62:D62"/>
    <mergeCell ref="C63:D63"/>
    <mergeCell ref="C64:D64"/>
    <mergeCell ref="E21:F21"/>
    <mergeCell ref="E22:F22"/>
    <mergeCell ref="C65:D65"/>
    <mergeCell ref="C66:D66"/>
    <mergeCell ref="C56:D56"/>
    <mergeCell ref="C49:D49"/>
    <mergeCell ref="C61:D61"/>
    <mergeCell ref="C50:D50"/>
    <mergeCell ref="C51:D51"/>
    <mergeCell ref="C52:D52"/>
    <mergeCell ref="C53:D53"/>
    <mergeCell ref="C54:D54"/>
    <mergeCell ref="G20:H20"/>
    <mergeCell ref="C55:D55"/>
    <mergeCell ref="E24:F24"/>
    <mergeCell ref="E25:F25"/>
    <mergeCell ref="C24:D24"/>
    <mergeCell ref="C25:D25"/>
    <mergeCell ref="C21:D21"/>
    <mergeCell ref="C22:D22"/>
    <mergeCell ref="E44:F44"/>
    <mergeCell ref="E43:F43"/>
    <mergeCell ref="C6:H6"/>
    <mergeCell ref="C4:H4"/>
    <mergeCell ref="C2:H2"/>
    <mergeCell ref="E40:F40"/>
    <mergeCell ref="E41:F41"/>
    <mergeCell ref="E30:F30"/>
    <mergeCell ref="E33:F33"/>
    <mergeCell ref="E36:F36"/>
    <mergeCell ref="E37:F37"/>
    <mergeCell ref="E38:F38"/>
    <mergeCell ref="E39:F39"/>
    <mergeCell ref="E31:F31"/>
    <mergeCell ref="E32:F32"/>
    <mergeCell ref="E35:F35"/>
    <mergeCell ref="C20:D20"/>
    <mergeCell ref="E20:F20"/>
  </mergeCells>
  <dataValidations count="2">
    <dataValidation type="list" allowBlank="1" showInputMessage="1" showErrorMessage="1" sqref="E44:F44">
      <formula1>"Million - Billion,Lakh - Crore"</formula1>
    </dataValidation>
    <dataValidation type="list" allowBlank="1" showInputMessage="1" showErrorMessage="1" sqref="E43:F43">
      <formula1>"BDT,BTN,CNY,Euro,GBP,IDR,INR,LKR,NPR,PHP,PKR,SGD,THB,USD,VND"</formula1>
    </dataValidation>
  </dataValidations>
  <hyperlinks>
    <hyperlink ref="H63" r:id="rId1" display="upasanayadav@gmail.com"/>
    <hyperlink ref="E40" r:id="rId2"/>
    <hyperlink ref="H62" r:id="rId3"/>
    <hyperlink ref="H64" r:id="rId4"/>
  </hyperlinks>
  <printOptions horizontalCentered="1"/>
  <pageMargins left="0.19685039370078741" right="0.11811023622047245" top="0.11811023622047245" bottom="0.11811023622047245" header="0.11811023622047245" footer="0.11811023622047245"/>
  <pageSetup paperSize="9" fitToHeight="0" orientation="portrait" verticalDpi="300" r:id="rId5"/>
  <colBreaks count="1" manualBreakCount="1">
    <brk id="9" max="59" man="1"/>
  </colBreaks>
  <drawing r:id="rId6"/>
  <legacyDrawing r:id="rId7"/>
  <mc:AlternateContent xmlns:mc="http://schemas.openxmlformats.org/markup-compatibility/2006">
    <mc:Choice Requires="x14">
      <controls>
        <mc:AlternateContent xmlns:mc="http://schemas.openxmlformats.org/markup-compatibility/2006">
          <mc:Choice Requires="x14">
            <control shapeId="3073" r:id="rId8" name="Button 1">
              <controlPr defaultSize="0" print="0" autoFill="0" autoPict="0" macro="[0]!Print_Sheet" altText="Print this page">
                <anchor moveWithCells="1" sizeWithCells="1">
                  <from>
                    <xdr:col>7</xdr:col>
                    <xdr:colOff>523875</xdr:colOff>
                    <xdr:row>4</xdr:row>
                    <xdr:rowOff>57150</xdr:rowOff>
                  </from>
                  <to>
                    <xdr:col>7</xdr:col>
                    <xdr:colOff>1495425</xdr:colOff>
                    <xdr:row>5</xdr:row>
                    <xdr:rowOff>238125</xdr:rowOff>
                  </to>
                </anchor>
              </controlPr>
            </control>
          </mc:Choice>
        </mc:AlternateContent>
        <mc:AlternateContent xmlns:mc="http://schemas.openxmlformats.org/markup-compatibility/2006">
          <mc:Choice Requires="x14">
            <control shapeId="3076" r:id="rId9" name="Button 4">
              <controlPr defaultSize="0" print="0" autoFill="0" autoPict="0" macro="[0]!ResetInputCells" altText="Print this page">
                <anchor moveWithCells="1" sizeWithCells="1">
                  <from>
                    <xdr:col>6</xdr:col>
                    <xdr:colOff>1095375</xdr:colOff>
                    <xdr:row>4</xdr:row>
                    <xdr:rowOff>57150</xdr:rowOff>
                  </from>
                  <to>
                    <xdr:col>7</xdr:col>
                    <xdr:colOff>409575</xdr:colOff>
                    <xdr:row>5</xdr:row>
                    <xdr:rowOff>238125</xdr:rowOff>
                  </to>
                </anchor>
              </controlPr>
            </control>
          </mc:Choice>
        </mc:AlternateContent>
        <mc:AlternateContent xmlns:mc="http://schemas.openxmlformats.org/markup-compatibility/2006">
          <mc:Choice Requires="x14">
            <control shapeId="3074" r:id="rId10" name="Button 2">
              <controlPr defaultSize="0" print="0" autoFill="0" autoPict="0">
                <anchor moveWithCells="1" sizeWithCells="1">
                  <from>
                    <xdr:col>3</xdr:col>
                    <xdr:colOff>9525</xdr:colOff>
                    <xdr:row>12</xdr:row>
                    <xdr:rowOff>19050</xdr:rowOff>
                  </from>
                  <to>
                    <xdr:col>4</xdr:col>
                    <xdr:colOff>9525</xdr:colOff>
                    <xdr:row>13</xdr:row>
                    <xdr:rowOff>47625</xdr:rowOff>
                  </to>
                </anchor>
              </controlPr>
            </control>
          </mc:Choice>
        </mc:AlternateContent>
        <mc:AlternateContent xmlns:mc="http://schemas.openxmlformats.org/markup-compatibility/2006">
          <mc:Choice Requires="x14">
            <control shapeId="3075" r:id="rId11" name="Button 3">
              <controlPr defaultSize="0" print="0" autoFill="0" autoPict="0">
                <anchor moveWithCells="1" sizeWithCells="1">
                  <from>
                    <xdr:col>3</xdr:col>
                    <xdr:colOff>9525</xdr:colOff>
                    <xdr:row>14</xdr:row>
                    <xdr:rowOff>28575</xdr:rowOff>
                  </from>
                  <to>
                    <xdr:col>4</xdr:col>
                    <xdr:colOff>9525</xdr:colOff>
                    <xdr:row>15</xdr:row>
                    <xdr:rowOff>57150</xdr:rowOff>
                  </to>
                </anchor>
              </controlPr>
            </control>
          </mc:Choice>
        </mc:AlternateContent>
        <mc:AlternateContent xmlns:mc="http://schemas.openxmlformats.org/markup-compatibility/2006">
          <mc:Choice Requires="x14">
            <control shapeId="3077" r:id="rId12" name="Button 5">
              <controlPr defaultSize="0" print="0" autoFill="0" autoPict="0">
                <anchor moveWithCells="1" sizeWithCells="1">
                  <from>
                    <xdr:col>3</xdr:col>
                    <xdr:colOff>9525</xdr:colOff>
                    <xdr:row>12</xdr:row>
                    <xdr:rowOff>19050</xdr:rowOff>
                  </from>
                  <to>
                    <xdr:col>4</xdr:col>
                    <xdr:colOff>9525</xdr:colOff>
                    <xdr:row>13</xdr:row>
                    <xdr:rowOff>47625</xdr:rowOff>
                  </to>
                </anchor>
              </controlPr>
            </control>
          </mc:Choice>
        </mc:AlternateContent>
        <mc:AlternateContent xmlns:mc="http://schemas.openxmlformats.org/markup-compatibility/2006">
          <mc:Choice Requires="x14">
            <control shapeId="3078" r:id="rId13" name="Button 6">
              <controlPr defaultSize="0" print="0" autoFill="0" autoPict="0">
                <anchor moveWithCells="1" sizeWithCells="1">
                  <from>
                    <xdr:col>3</xdr:col>
                    <xdr:colOff>9525</xdr:colOff>
                    <xdr:row>14</xdr:row>
                    <xdr:rowOff>28575</xdr:rowOff>
                  </from>
                  <to>
                    <xdr:col>4</xdr:col>
                    <xdr:colOff>9525</xdr:colOff>
                    <xdr:row>15</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autoPageBreaks="0" fitToPage="1"/>
  </sheetPr>
  <dimension ref="A1:N458"/>
  <sheetViews>
    <sheetView showGridLines="0" showWhiteSpace="0" zoomScale="80" zoomScaleNormal="80" zoomScaleSheetLayoutView="53" workbookViewId="0">
      <selection activeCell="J22" sqref="J22"/>
    </sheetView>
  </sheetViews>
  <sheetFormatPr defaultColWidth="9.140625" defaultRowHeight="15" x14ac:dyDescent="0.25"/>
  <cols>
    <col min="1" max="1" width="11.7109375" style="1312" customWidth="1"/>
    <col min="2" max="2" width="5.42578125" style="1720" customWidth="1"/>
    <col min="3" max="3" width="11.28515625" style="1312" customWidth="1"/>
    <col min="4" max="4" width="28.28515625" style="1312" customWidth="1"/>
    <col min="5" max="6" width="27.28515625" style="1312" customWidth="1"/>
    <col min="7" max="8" width="27.42578125" style="1312" customWidth="1"/>
    <col min="9" max="9" width="5.5703125" style="1721" customWidth="1"/>
    <col min="10" max="12" width="9.28515625" style="1312" customWidth="1"/>
    <col min="13" max="16384" width="9.140625" style="1312"/>
  </cols>
  <sheetData>
    <row r="1" spans="1:10" s="1311" customFormat="1" ht="6.75" customHeight="1" x14ac:dyDescent="0.25">
      <c r="I1" s="1588"/>
      <c r="J1" s="1312"/>
    </row>
    <row r="2" spans="1:10" s="1311" customFormat="1" ht="39.75" customHeight="1" x14ac:dyDescent="0.45">
      <c r="B2" s="1313"/>
      <c r="C2" s="6230" t="s">
        <v>2088</v>
      </c>
      <c r="D2" s="6230"/>
      <c r="E2" s="6230"/>
      <c r="F2" s="6230"/>
      <c r="G2" s="6230"/>
      <c r="H2" s="5721"/>
      <c r="I2" s="1589"/>
      <c r="J2" s="1312"/>
    </row>
    <row r="3" spans="1:10" s="1311" customFormat="1" ht="6" customHeight="1" x14ac:dyDescent="0.25">
      <c r="B3" s="1318"/>
      <c r="C3" s="1322"/>
      <c r="D3" s="1322"/>
      <c r="E3" s="1322"/>
      <c r="F3" s="1322"/>
      <c r="G3" s="1322"/>
      <c r="H3" s="1322"/>
      <c r="I3" s="1590"/>
      <c r="J3" s="1312"/>
    </row>
    <row r="4" spans="1:10" s="1311" customFormat="1" ht="21" x14ac:dyDescent="0.25">
      <c r="B4" s="1318"/>
      <c r="C4" s="6231" t="s">
        <v>3931</v>
      </c>
      <c r="D4" s="6231"/>
      <c r="E4" s="6231"/>
      <c r="F4" s="6231"/>
      <c r="G4" s="6231"/>
      <c r="H4" s="5722"/>
      <c r="I4" s="1590"/>
      <c r="J4" s="1312"/>
    </row>
    <row r="5" spans="1:10" s="1311" customFormat="1" ht="5.25" customHeight="1" x14ac:dyDescent="0.25">
      <c r="B5" s="1318"/>
      <c r="C5" s="1322"/>
      <c r="D5" s="1322"/>
      <c r="E5" s="1322"/>
      <c r="F5" s="1322"/>
      <c r="G5" s="1322"/>
      <c r="H5" s="1322"/>
      <c r="I5" s="1590"/>
      <c r="J5" s="1312"/>
    </row>
    <row r="6" spans="1:10" s="1324" customFormat="1" ht="21" x14ac:dyDescent="0.25">
      <c r="B6" s="734"/>
      <c r="C6" s="6232"/>
      <c r="D6" s="6232"/>
      <c r="E6" s="6232"/>
      <c r="F6" s="6232"/>
      <c r="G6" s="6232"/>
      <c r="H6" s="5723"/>
      <c r="I6" s="1591"/>
      <c r="J6" s="1592"/>
    </row>
    <row r="7" spans="1:10" s="1324" customFormat="1" ht="6.75" customHeight="1" x14ac:dyDescent="0.25">
      <c r="B7" s="1586"/>
      <c r="C7" s="1584"/>
      <c r="D7" s="1585"/>
      <c r="E7" s="1585"/>
      <c r="F7" s="1585"/>
      <c r="G7" s="1585"/>
      <c r="H7" s="5725"/>
      <c r="I7" s="1591"/>
      <c r="J7" s="1592"/>
    </row>
    <row r="8" spans="1:10" s="1328" customFormat="1" ht="23.25" x14ac:dyDescent="0.25">
      <c r="B8" s="1329"/>
      <c r="C8" s="6302" t="s">
        <v>3930</v>
      </c>
      <c r="D8" s="6302"/>
      <c r="E8" s="6302"/>
      <c r="F8" s="6302"/>
      <c r="G8" s="6302"/>
      <c r="H8" s="5724"/>
      <c r="I8" s="1593"/>
      <c r="J8" s="1312"/>
    </row>
    <row r="9" spans="1:10" s="1328" customFormat="1" ht="18.75" x14ac:dyDescent="0.25">
      <c r="A9" s="1333" t="s">
        <v>184</v>
      </c>
      <c r="B9" s="1594"/>
      <c r="C9" s="1595"/>
      <c r="D9" s="5908" t="s">
        <v>506</v>
      </c>
      <c r="E9" s="5908" t="s">
        <v>0</v>
      </c>
      <c r="F9" s="5908"/>
      <c r="G9" s="5908"/>
      <c r="H9" s="1595"/>
      <c r="I9" s="1596"/>
      <c r="J9" s="1709"/>
    </row>
    <row r="10" spans="1:10" s="1328" customFormat="1" ht="67.5" customHeight="1" x14ac:dyDescent="0.25">
      <c r="B10" s="6300" t="s">
        <v>3729</v>
      </c>
      <c r="C10" s="6300"/>
      <c r="D10" s="6300"/>
      <c r="E10" s="6297" t="s">
        <v>3932</v>
      </c>
      <c r="F10" s="6297"/>
      <c r="G10" s="6297"/>
      <c r="H10" s="6297"/>
      <c r="I10" s="1597"/>
      <c r="J10" s="1312"/>
    </row>
    <row r="11" spans="1:10" s="1328" customFormat="1" ht="18.75" customHeight="1" x14ac:dyDescent="0.25">
      <c r="B11" s="6301"/>
      <c r="C11" s="6301"/>
      <c r="D11" s="6301"/>
      <c r="E11" s="6298" t="s">
        <v>3728</v>
      </c>
      <c r="F11" s="6298"/>
      <c r="G11" s="6298"/>
      <c r="H11" s="6298"/>
      <c r="I11" s="1597"/>
      <c r="J11" s="1312"/>
    </row>
    <row r="12" spans="1:10" s="1328" customFormat="1" ht="33.75" hidden="1" customHeight="1" x14ac:dyDescent="0.25">
      <c r="B12" s="6301"/>
      <c r="C12" s="6301"/>
      <c r="D12" s="6301"/>
      <c r="E12" s="6298"/>
      <c r="F12" s="6298"/>
      <c r="G12" s="6298"/>
      <c r="H12" s="6298"/>
      <c r="I12" s="1597"/>
      <c r="J12" s="1312"/>
    </row>
    <row r="13" spans="1:10" s="1328" customFormat="1" ht="18.75" hidden="1" customHeight="1" x14ac:dyDescent="0.25">
      <c r="B13" s="6301"/>
      <c r="C13" s="6301"/>
      <c r="D13" s="6301"/>
      <c r="E13" s="6299"/>
      <c r="F13" s="6299"/>
      <c r="G13" s="6299"/>
      <c r="H13" s="6299"/>
      <c r="I13" s="1597"/>
      <c r="J13" s="1312"/>
    </row>
    <row r="14" spans="1:10" x14ac:dyDescent="0.25">
      <c r="B14" s="1598"/>
      <c r="C14" s="1599"/>
      <c r="D14" s="1600"/>
      <c r="E14" s="1600"/>
      <c r="F14" s="1601"/>
      <c r="G14" s="1601"/>
      <c r="H14" s="1601"/>
      <c r="I14" s="1602"/>
    </row>
    <row r="15" spans="1:10" ht="21" x14ac:dyDescent="0.25">
      <c r="B15" s="1603" t="s">
        <v>1</v>
      </c>
      <c r="C15" s="1604" t="s">
        <v>1569</v>
      </c>
      <c r="D15" s="1605"/>
      <c r="E15" s="1605"/>
      <c r="F15" s="1606"/>
      <c r="G15" s="1606"/>
      <c r="H15" s="1606"/>
      <c r="I15" s="1607"/>
    </row>
    <row r="16" spans="1:10" s="1608" customFormat="1" ht="15.75" x14ac:dyDescent="0.25">
      <c r="B16" s="1609" t="s">
        <v>2</v>
      </c>
      <c r="C16" s="1610" t="s">
        <v>189</v>
      </c>
      <c r="D16" s="1611"/>
      <c r="E16" s="1611"/>
      <c r="F16" s="1611"/>
      <c r="G16" s="1611"/>
      <c r="H16" s="1611"/>
      <c r="I16" s="1612"/>
    </row>
    <row r="17" spans="2:10" x14ac:dyDescent="0.25">
      <c r="B17" s="1598"/>
      <c r="C17" s="1613" t="s">
        <v>1010</v>
      </c>
      <c r="D17" s="6233" t="s">
        <v>4</v>
      </c>
      <c r="E17" s="6234"/>
      <c r="F17" s="1613" t="s">
        <v>217</v>
      </c>
      <c r="G17" s="1614" t="s">
        <v>218</v>
      </c>
      <c r="H17" s="1614" t="s">
        <v>2156</v>
      </c>
      <c r="I17" s="1615"/>
    </row>
    <row r="18" spans="2:10" x14ac:dyDescent="0.25">
      <c r="B18" s="1598"/>
      <c r="C18" s="1616">
        <v>1</v>
      </c>
      <c r="D18" s="6226" t="s">
        <v>1572</v>
      </c>
      <c r="E18" s="6227"/>
      <c r="F18" s="5563"/>
      <c r="G18" s="5563"/>
      <c r="H18" s="5851"/>
      <c r="I18" s="1617"/>
    </row>
    <row r="19" spans="2:10" x14ac:dyDescent="0.25">
      <c r="B19" s="1598"/>
      <c r="C19" s="1618">
        <v>2</v>
      </c>
      <c r="D19" s="6226" t="s">
        <v>1573</v>
      </c>
      <c r="E19" s="6227"/>
      <c r="F19" s="5564"/>
      <c r="G19" s="5564"/>
      <c r="H19" s="5852"/>
      <c r="I19" s="1617"/>
    </row>
    <row r="20" spans="2:10" x14ac:dyDescent="0.25">
      <c r="B20" s="1598"/>
      <c r="C20" s="1618">
        <v>3</v>
      </c>
      <c r="D20" s="6226" t="s">
        <v>6</v>
      </c>
      <c r="E20" s="6227"/>
      <c r="F20" s="5564"/>
      <c r="G20" s="5564"/>
      <c r="H20" s="5852"/>
      <c r="I20" s="1617"/>
    </row>
    <row r="21" spans="2:10" x14ac:dyDescent="0.25">
      <c r="B21" s="1598"/>
      <c r="C21" s="1618">
        <v>4</v>
      </c>
      <c r="D21" s="6226" t="s">
        <v>7</v>
      </c>
      <c r="E21" s="6227"/>
      <c r="F21" s="5564"/>
      <c r="G21" s="5564"/>
      <c r="H21" s="5563"/>
      <c r="I21" s="1617"/>
      <c r="J21" s="1705"/>
    </row>
    <row r="22" spans="2:10" x14ac:dyDescent="0.25">
      <c r="B22" s="1598"/>
      <c r="C22" s="1601"/>
      <c r="D22" s="1601"/>
      <c r="E22" s="1601"/>
      <c r="F22" s="1601"/>
      <c r="G22" s="1601"/>
      <c r="H22" s="1601"/>
      <c r="I22" s="1602"/>
    </row>
    <row r="23" spans="2:10" s="1608" customFormat="1" ht="15.75" x14ac:dyDescent="0.25">
      <c r="B23" s="1609" t="s">
        <v>8</v>
      </c>
      <c r="C23" s="1610" t="s">
        <v>1566</v>
      </c>
      <c r="D23" s="1611"/>
      <c r="E23" s="1611"/>
      <c r="F23" s="1611"/>
      <c r="G23" s="1611"/>
      <c r="H23" s="1611"/>
      <c r="I23" s="1612"/>
    </row>
    <row r="24" spans="2:10" x14ac:dyDescent="0.25">
      <c r="B24" s="1598"/>
      <c r="C24" s="1613" t="s">
        <v>1010</v>
      </c>
      <c r="D24" s="6233" t="s">
        <v>4</v>
      </c>
      <c r="E24" s="6234"/>
      <c r="F24" s="1613" t="s">
        <v>33</v>
      </c>
      <c r="G24" s="1614" t="s">
        <v>9</v>
      </c>
      <c r="H24" s="1614" t="s">
        <v>2156</v>
      </c>
      <c r="I24" s="1602"/>
    </row>
    <row r="25" spans="2:10" ht="30" x14ac:dyDescent="0.25">
      <c r="B25" s="1598"/>
      <c r="C25" s="1619">
        <v>1</v>
      </c>
      <c r="D25" s="6235" t="s">
        <v>1949</v>
      </c>
      <c r="E25" s="6236"/>
      <c r="F25" s="1620" t="s">
        <v>1040</v>
      </c>
      <c r="G25" s="1621" t="str">
        <f>IFERROR((G18-F18)/F18,"")</f>
        <v/>
      </c>
      <c r="H25" s="1621"/>
      <c r="I25" s="1602"/>
    </row>
    <row r="26" spans="2:10" x14ac:dyDescent="0.25">
      <c r="B26" s="1598"/>
      <c r="C26" s="1619">
        <v>2</v>
      </c>
      <c r="D26" s="6226" t="s">
        <v>1950</v>
      </c>
      <c r="E26" s="6227"/>
      <c r="F26" s="1620" t="s">
        <v>1565</v>
      </c>
      <c r="G26" s="3826"/>
      <c r="H26" s="3826"/>
      <c r="I26" s="1602"/>
    </row>
    <row r="27" spans="2:10" x14ac:dyDescent="0.25">
      <c r="B27" s="1598"/>
      <c r="C27" s="1601"/>
      <c r="D27" s="1601"/>
      <c r="E27" s="1601"/>
      <c r="F27" s="1601"/>
      <c r="G27" s="1601"/>
      <c r="H27" s="1601"/>
      <c r="I27" s="1602"/>
      <c r="J27" s="1622"/>
    </row>
    <row r="28" spans="2:10" ht="15.75" x14ac:dyDescent="0.25">
      <c r="B28" s="1609" t="s">
        <v>10</v>
      </c>
      <c r="C28" s="1610" t="s">
        <v>178</v>
      </c>
      <c r="D28" s="1623"/>
      <c r="E28" s="1623"/>
      <c r="F28" s="1624"/>
      <c r="G28" s="1624"/>
      <c r="H28" s="1624"/>
      <c r="I28" s="1625"/>
    </row>
    <row r="29" spans="2:10" x14ac:dyDescent="0.25">
      <c r="B29" s="1626"/>
      <c r="C29" s="1613" t="s">
        <v>1010</v>
      </c>
      <c r="D29" s="6233" t="s">
        <v>4</v>
      </c>
      <c r="E29" s="6234"/>
      <c r="F29" s="1627" t="s">
        <v>970</v>
      </c>
      <c r="G29" s="1627" t="s">
        <v>1449</v>
      </c>
      <c r="H29" s="1614" t="s">
        <v>2156</v>
      </c>
      <c r="I29" s="1602"/>
    </row>
    <row r="30" spans="2:10" ht="42" customHeight="1" x14ac:dyDescent="0.25">
      <c r="B30" s="1626"/>
      <c r="C30" s="1628">
        <v>1</v>
      </c>
      <c r="D30" s="6237" t="s">
        <v>1951</v>
      </c>
      <c r="E30" s="6237"/>
      <c r="F30" s="4735"/>
      <c r="G30" s="4735"/>
      <c r="H30" s="5855"/>
      <c r="I30" s="1602"/>
    </row>
    <row r="31" spans="2:10" x14ac:dyDescent="0.25">
      <c r="B31" s="1626"/>
      <c r="C31" s="1628">
        <v>2</v>
      </c>
      <c r="D31" s="6226" t="s">
        <v>1448</v>
      </c>
      <c r="E31" s="6227"/>
      <c r="F31" s="4736"/>
      <c r="G31" s="4736"/>
      <c r="H31" s="5903"/>
      <c r="I31" s="1602"/>
    </row>
    <row r="32" spans="2:10" ht="30.75" customHeight="1" x14ac:dyDescent="0.25">
      <c r="B32" s="1626"/>
      <c r="C32" s="1628">
        <v>3</v>
      </c>
      <c r="D32" s="6226" t="s">
        <v>1952</v>
      </c>
      <c r="E32" s="6227"/>
      <c r="F32" s="3828"/>
      <c r="G32" s="3828"/>
      <c r="H32" s="5877"/>
      <c r="I32" s="1629"/>
    </row>
    <row r="33" spans="2:10" x14ac:dyDescent="0.25">
      <c r="B33" s="1626"/>
      <c r="C33" s="1630"/>
      <c r="D33" s="1630"/>
      <c r="E33" s="1630"/>
      <c r="F33" s="1630"/>
      <c r="G33" s="1630"/>
      <c r="H33" s="1630"/>
      <c r="I33" s="1602"/>
    </row>
    <row r="34" spans="2:10" s="1608" customFormat="1" ht="15.75" x14ac:dyDescent="0.25">
      <c r="B34" s="1609" t="s">
        <v>12</v>
      </c>
      <c r="C34" s="1610" t="s">
        <v>1041</v>
      </c>
      <c r="D34" s="1611"/>
      <c r="E34" s="1611"/>
      <c r="F34" s="1611"/>
      <c r="G34" s="1611"/>
      <c r="H34" s="1611"/>
      <c r="I34" s="1612"/>
      <c r="J34" s="1631"/>
    </row>
    <row r="35" spans="2:10" x14ac:dyDescent="0.25">
      <c r="B35" s="1598"/>
      <c r="C35" s="1613" t="s">
        <v>1010</v>
      </c>
      <c r="D35" s="6233" t="s">
        <v>4</v>
      </c>
      <c r="E35" s="6234"/>
      <c r="F35" s="1613" t="s">
        <v>33</v>
      </c>
      <c r="G35" s="1614" t="s">
        <v>9</v>
      </c>
      <c r="H35" s="1614" t="s">
        <v>2156</v>
      </c>
      <c r="I35" s="1602"/>
    </row>
    <row r="36" spans="2:10" x14ac:dyDescent="0.25">
      <c r="B36" s="1598"/>
      <c r="C36" s="1632">
        <v>1</v>
      </c>
      <c r="D36" s="6226" t="s">
        <v>1567</v>
      </c>
      <c r="E36" s="6227"/>
      <c r="F36" s="1633" t="s">
        <v>1953</v>
      </c>
      <c r="G36" s="5565"/>
      <c r="H36" s="6218"/>
      <c r="I36" s="1629"/>
    </row>
    <row r="37" spans="2:10" x14ac:dyDescent="0.25">
      <c r="B37" s="1598"/>
      <c r="C37" s="1632">
        <v>2</v>
      </c>
      <c r="D37" s="6226" t="s">
        <v>1568</v>
      </c>
      <c r="E37" s="6227"/>
      <c r="F37" s="1633" t="s">
        <v>1953</v>
      </c>
      <c r="G37" s="5565"/>
      <c r="H37" s="6219"/>
      <c r="I37" s="1629"/>
    </row>
    <row r="38" spans="2:10" x14ac:dyDescent="0.25">
      <c r="B38" s="1598"/>
      <c r="C38" s="1632">
        <v>3</v>
      </c>
      <c r="D38" s="6226" t="s">
        <v>1571</v>
      </c>
      <c r="E38" s="6227"/>
      <c r="F38" s="1633" t="s">
        <v>207</v>
      </c>
      <c r="G38" s="3829"/>
      <c r="H38" s="6219"/>
      <c r="I38" s="1629"/>
    </row>
    <row r="39" spans="2:10" x14ac:dyDescent="0.25">
      <c r="B39" s="1598"/>
      <c r="C39" s="1632">
        <v>4</v>
      </c>
      <c r="D39" s="6226" t="s">
        <v>1731</v>
      </c>
      <c r="E39" s="6227"/>
      <c r="F39" s="1633" t="s">
        <v>207</v>
      </c>
      <c r="G39" s="3829"/>
      <c r="H39" s="6220"/>
      <c r="I39" s="1629"/>
    </row>
    <row r="40" spans="2:10" x14ac:dyDescent="0.25">
      <c r="B40" s="1598"/>
      <c r="C40" s="1601"/>
      <c r="D40" s="1601"/>
      <c r="E40" s="1601"/>
      <c r="F40" s="1601"/>
      <c r="G40" s="1601"/>
      <c r="H40" s="1601"/>
      <c r="I40" s="1602"/>
    </row>
    <row r="41" spans="2:10" x14ac:dyDescent="0.25">
      <c r="B41" s="1598"/>
      <c r="C41" s="1601"/>
      <c r="D41" s="1601"/>
      <c r="E41" s="1601"/>
      <c r="F41" s="1601"/>
      <c r="G41" s="1601"/>
      <c r="H41" s="1601"/>
      <c r="I41" s="1602"/>
    </row>
    <row r="42" spans="2:10" ht="21" x14ac:dyDescent="0.25">
      <c r="B42" s="1603" t="s">
        <v>14</v>
      </c>
      <c r="C42" s="1604" t="s">
        <v>1570</v>
      </c>
      <c r="D42" s="1605"/>
      <c r="E42" s="1605"/>
      <c r="F42" s="1606"/>
      <c r="G42" s="1606"/>
      <c r="H42" s="1606"/>
      <c r="I42" s="1607"/>
    </row>
    <row r="43" spans="2:10" s="1608" customFormat="1" ht="15.75" x14ac:dyDescent="0.25">
      <c r="B43" s="1609" t="s">
        <v>2</v>
      </c>
      <c r="C43" s="1610" t="s">
        <v>185</v>
      </c>
      <c r="D43" s="1611"/>
      <c r="E43" s="1611"/>
      <c r="F43" s="1611"/>
      <c r="G43" s="1611"/>
      <c r="H43" s="1611"/>
      <c r="I43" s="1612"/>
    </row>
    <row r="44" spans="2:10" x14ac:dyDescent="0.25">
      <c r="B44" s="1634" t="s">
        <v>725</v>
      </c>
      <c r="C44" s="1635" t="s">
        <v>186</v>
      </c>
      <c r="D44" s="1636"/>
      <c r="E44" s="1636"/>
      <c r="F44" s="1601"/>
      <c r="G44" s="1601"/>
      <c r="H44" s="1601"/>
      <c r="I44" s="1602"/>
    </row>
    <row r="45" spans="2:10" x14ac:dyDescent="0.25">
      <c r="B45" s="1598"/>
      <c r="C45" s="1613" t="s">
        <v>1010</v>
      </c>
      <c r="D45" s="6233" t="s">
        <v>4</v>
      </c>
      <c r="E45" s="6234"/>
      <c r="F45" s="1613" t="s">
        <v>220</v>
      </c>
      <c r="G45" s="1614" t="s">
        <v>1042</v>
      </c>
      <c r="H45" s="1614" t="s">
        <v>2156</v>
      </c>
      <c r="I45" s="1602"/>
    </row>
    <row r="46" spans="2:10" x14ac:dyDescent="0.25">
      <c r="B46" s="1598"/>
      <c r="C46" s="1637">
        <v>1</v>
      </c>
      <c r="D46" s="6226" t="s">
        <v>1011</v>
      </c>
      <c r="E46" s="6227"/>
      <c r="F46" s="3830"/>
      <c r="G46" s="3830"/>
      <c r="H46" s="6114"/>
      <c r="I46" s="1629"/>
      <c r="J46" s="5628"/>
    </row>
    <row r="47" spans="2:10" x14ac:dyDescent="0.25">
      <c r="B47" s="1598"/>
      <c r="C47" s="1637">
        <v>2</v>
      </c>
      <c r="D47" s="6226" t="s">
        <v>1954</v>
      </c>
      <c r="E47" s="6227"/>
      <c r="F47" s="3830"/>
      <c r="G47" s="3830"/>
      <c r="H47" s="5901"/>
      <c r="I47" s="1629"/>
    </row>
    <row r="48" spans="2:10" x14ac:dyDescent="0.25">
      <c r="B48" s="1598"/>
      <c r="C48" s="1637">
        <v>3</v>
      </c>
      <c r="D48" s="6226" t="s">
        <v>1955</v>
      </c>
      <c r="E48" s="6227"/>
      <c r="F48" s="3830"/>
      <c r="G48" s="3830"/>
      <c r="H48" s="5901"/>
      <c r="I48" s="1629"/>
    </row>
    <row r="49" spans="2:9" x14ac:dyDescent="0.25">
      <c r="B49" s="1598"/>
      <c r="C49" s="1637">
        <v>4</v>
      </c>
      <c r="D49" s="6226" t="s">
        <v>2143</v>
      </c>
      <c r="E49" s="6227"/>
      <c r="F49" s="3830"/>
      <c r="G49" s="3830"/>
      <c r="H49" s="5902"/>
      <c r="I49" s="1629"/>
    </row>
    <row r="50" spans="2:9" x14ac:dyDescent="0.25">
      <c r="B50" s="1598"/>
      <c r="C50" s="1638"/>
      <c r="D50" s="6221" t="s">
        <v>16</v>
      </c>
      <c r="E50" s="6225"/>
      <c r="F50" s="1639">
        <f>SUM(F46:F49)</f>
        <v>0</v>
      </c>
      <c r="G50" s="1639">
        <f>SUM(G46:G49)</f>
        <v>0</v>
      </c>
      <c r="H50" s="1639"/>
      <c r="I50" s="1602"/>
    </row>
    <row r="51" spans="2:9" x14ac:dyDescent="0.25">
      <c r="B51" s="1598"/>
      <c r="C51" s="1640">
        <v>5</v>
      </c>
      <c r="D51" s="6226" t="s">
        <v>17</v>
      </c>
      <c r="E51" s="6227"/>
      <c r="F51" s="6238">
        <v>0</v>
      </c>
      <c r="G51" s="6238"/>
      <c r="H51" s="5850"/>
      <c r="I51" s="1602"/>
    </row>
    <row r="52" spans="2:9" x14ac:dyDescent="0.25">
      <c r="B52" s="1598"/>
      <c r="C52" s="1601"/>
      <c r="D52" s="1601"/>
      <c r="E52" s="1601"/>
      <c r="F52" s="1601"/>
      <c r="G52" s="1641"/>
      <c r="H52" s="1641"/>
      <c r="I52" s="1602"/>
    </row>
    <row r="53" spans="2:9" x14ac:dyDescent="0.25">
      <c r="B53" s="1634" t="s">
        <v>726</v>
      </c>
      <c r="C53" s="1635" t="s">
        <v>1575</v>
      </c>
      <c r="D53" s="1642"/>
      <c r="E53" s="1642"/>
      <c r="F53" s="1601"/>
      <c r="G53" s="1601"/>
      <c r="H53" s="1601"/>
      <c r="I53" s="1602"/>
    </row>
    <row r="54" spans="2:9" x14ac:dyDescent="0.25">
      <c r="B54" s="1598"/>
      <c r="C54" s="1613" t="s">
        <v>1010</v>
      </c>
      <c r="D54" s="6233" t="s">
        <v>4</v>
      </c>
      <c r="E54" s="6234"/>
      <c r="F54" s="1613" t="s">
        <v>33</v>
      </c>
      <c r="G54" s="1614" t="s">
        <v>9</v>
      </c>
      <c r="H54" s="1614" t="s">
        <v>2156</v>
      </c>
      <c r="I54" s="1602"/>
    </row>
    <row r="55" spans="2:9" x14ac:dyDescent="0.25">
      <c r="B55" s="1598"/>
      <c r="C55" s="1637">
        <v>1</v>
      </c>
      <c r="D55" s="6226" t="s">
        <v>260</v>
      </c>
      <c r="E55" s="6227"/>
      <c r="F55" s="1643" t="s">
        <v>80</v>
      </c>
      <c r="G55" s="3831"/>
      <c r="H55" s="5866"/>
      <c r="I55" s="1629"/>
    </row>
    <row r="56" spans="2:9" x14ac:dyDescent="0.25">
      <c r="B56" s="1598"/>
      <c r="C56" s="1637">
        <v>2</v>
      </c>
      <c r="D56" s="6226" t="s">
        <v>695</v>
      </c>
      <c r="E56" s="6227"/>
      <c r="F56" s="1643" t="s">
        <v>18</v>
      </c>
      <c r="G56" s="3832"/>
      <c r="H56" s="5900"/>
      <c r="I56" s="1629"/>
    </row>
    <row r="57" spans="2:9" x14ac:dyDescent="0.25">
      <c r="B57" s="1598"/>
      <c r="C57" s="1601"/>
      <c r="D57" s="1601"/>
      <c r="E57" s="1601"/>
      <c r="F57" s="1601"/>
      <c r="G57" s="1601"/>
      <c r="H57" s="1601"/>
      <c r="I57" s="1602"/>
    </row>
    <row r="58" spans="2:9" s="1608" customFormat="1" ht="15.75" x14ac:dyDescent="0.25">
      <c r="B58" s="1609" t="s">
        <v>8</v>
      </c>
      <c r="C58" s="1610" t="s">
        <v>1576</v>
      </c>
      <c r="D58" s="1611"/>
      <c r="E58" s="1611"/>
      <c r="F58" s="1611"/>
      <c r="G58" s="1611"/>
      <c r="H58" s="1611"/>
      <c r="I58" s="1612"/>
    </row>
    <row r="59" spans="2:9" x14ac:dyDescent="0.25">
      <c r="B59" s="1634" t="s">
        <v>725</v>
      </c>
      <c r="C59" s="1635" t="s">
        <v>1013</v>
      </c>
      <c r="D59" s="1644"/>
      <c r="E59" s="1644"/>
      <c r="F59" s="1630"/>
      <c r="G59" s="1601"/>
      <c r="H59" s="1601"/>
      <c r="I59" s="1602"/>
    </row>
    <row r="60" spans="2:9" x14ac:dyDescent="0.25">
      <c r="B60" s="1598"/>
      <c r="C60" s="1613" t="s">
        <v>1010</v>
      </c>
      <c r="D60" s="6233" t="s">
        <v>4</v>
      </c>
      <c r="E60" s="6234"/>
      <c r="F60" s="1613" t="s">
        <v>33</v>
      </c>
      <c r="G60" s="1614" t="s">
        <v>9</v>
      </c>
      <c r="H60" s="1614" t="s">
        <v>2156</v>
      </c>
      <c r="I60" s="1602"/>
    </row>
    <row r="61" spans="2:9" x14ac:dyDescent="0.25">
      <c r="B61" s="1598"/>
      <c r="C61" s="1637">
        <v>1</v>
      </c>
      <c r="D61" s="6226" t="s">
        <v>1012</v>
      </c>
      <c r="E61" s="6227"/>
      <c r="F61" s="1643" t="s">
        <v>19</v>
      </c>
      <c r="G61" s="3833"/>
      <c r="H61" s="5894"/>
      <c r="I61" s="1629"/>
    </row>
    <row r="62" spans="2:9" x14ac:dyDescent="0.25">
      <c r="B62" s="1598"/>
      <c r="C62" s="1632">
        <v>2</v>
      </c>
      <c r="D62" s="6239" t="s">
        <v>2575</v>
      </c>
      <c r="E62" s="6240"/>
      <c r="F62" s="1714" t="s">
        <v>19</v>
      </c>
      <c r="G62" s="3833"/>
      <c r="H62" s="5895"/>
      <c r="I62" s="1629"/>
    </row>
    <row r="63" spans="2:9" x14ac:dyDescent="0.25">
      <c r="B63" s="1598"/>
      <c r="C63" s="1637">
        <v>3</v>
      </c>
      <c r="D63" s="6226" t="s">
        <v>1014</v>
      </c>
      <c r="E63" s="6227"/>
      <c r="F63" s="1643" t="s">
        <v>18</v>
      </c>
      <c r="G63" s="3834"/>
      <c r="H63" s="5899"/>
      <c r="I63" s="1629"/>
    </row>
    <row r="64" spans="2:9" x14ac:dyDescent="0.25">
      <c r="B64" s="1598"/>
      <c r="C64" s="1601"/>
      <c r="D64" s="1601"/>
      <c r="E64" s="1601"/>
      <c r="F64" s="1601"/>
      <c r="G64" s="1601"/>
      <c r="H64" s="1601"/>
      <c r="I64" s="1602"/>
    </row>
    <row r="65" spans="2:9" x14ac:dyDescent="0.25">
      <c r="B65" s="1634" t="s">
        <v>726</v>
      </c>
      <c r="C65" s="1635" t="s">
        <v>1577</v>
      </c>
      <c r="D65" s="1644"/>
      <c r="E65" s="1644"/>
      <c r="F65" s="1630"/>
      <c r="G65" s="1601"/>
      <c r="H65" s="1601"/>
      <c r="I65" s="1602"/>
    </row>
    <row r="66" spans="2:9" x14ac:dyDescent="0.25">
      <c r="B66" s="1598"/>
      <c r="C66" s="1613" t="s">
        <v>1010</v>
      </c>
      <c r="D66" s="6233" t="s">
        <v>4</v>
      </c>
      <c r="E66" s="6234"/>
      <c r="F66" s="1613" t="s">
        <v>223</v>
      </c>
      <c r="G66" s="1614" t="s">
        <v>224</v>
      </c>
      <c r="H66" s="5853" t="s">
        <v>2156</v>
      </c>
      <c r="I66" s="1602"/>
    </row>
    <row r="67" spans="2:9" x14ac:dyDescent="0.25">
      <c r="B67" s="1598"/>
      <c r="C67" s="1632">
        <v>1</v>
      </c>
      <c r="D67" s="6226" t="s">
        <v>221</v>
      </c>
      <c r="E67" s="6227"/>
      <c r="F67" s="3955"/>
      <c r="G67" s="5897">
        <f>MAX(G49-F67,0)</f>
        <v>0</v>
      </c>
      <c r="H67" s="5885"/>
      <c r="I67" s="1602"/>
    </row>
    <row r="68" spans="2:9" x14ac:dyDescent="0.25">
      <c r="B68" s="1598"/>
      <c r="C68" s="1632">
        <v>2</v>
      </c>
      <c r="D68" s="6226" t="s">
        <v>225</v>
      </c>
      <c r="E68" s="6227"/>
      <c r="F68" s="1645">
        <f>'WS calcu'!$E$14</f>
        <v>0</v>
      </c>
      <c r="G68" s="5897">
        <f>MAX((($G$46+$G$47)*(1-$G$56))-F68,0)</f>
        <v>0</v>
      </c>
      <c r="H68" s="5886"/>
      <c r="I68" s="1602"/>
    </row>
    <row r="69" spans="2:9" x14ac:dyDescent="0.25">
      <c r="B69" s="1598"/>
      <c r="C69" s="1637">
        <v>3</v>
      </c>
      <c r="D69" s="6226" t="s">
        <v>1574</v>
      </c>
      <c r="E69" s="6227"/>
      <c r="F69" s="1645">
        <f>G48*(1-$G$56)</f>
        <v>0</v>
      </c>
      <c r="G69" s="5897">
        <v>0</v>
      </c>
      <c r="H69" s="5886"/>
      <c r="I69" s="1602"/>
    </row>
    <row r="70" spans="2:9" x14ac:dyDescent="0.25">
      <c r="B70" s="1598"/>
      <c r="C70" s="1637">
        <v>4</v>
      </c>
      <c r="D70" s="6226" t="s">
        <v>222</v>
      </c>
      <c r="E70" s="6227"/>
      <c r="F70" s="1645">
        <f>F68*(1-G63)+F67+F69</f>
        <v>0</v>
      </c>
      <c r="G70" s="5897">
        <f>G68+G67</f>
        <v>0</v>
      </c>
      <c r="H70" s="5886"/>
      <c r="I70" s="1602"/>
    </row>
    <row r="71" spans="2:9" x14ac:dyDescent="0.25">
      <c r="B71" s="1598"/>
      <c r="C71" s="1637">
        <v>5</v>
      </c>
      <c r="D71" s="6226" t="s">
        <v>1578</v>
      </c>
      <c r="E71" s="6227"/>
      <c r="F71" s="1645">
        <f>F70+G70</f>
        <v>0</v>
      </c>
      <c r="G71" s="5898"/>
      <c r="H71" s="5889"/>
      <c r="I71" s="1602"/>
    </row>
    <row r="72" spans="2:9" x14ac:dyDescent="0.25">
      <c r="B72" s="1598"/>
      <c r="C72" s="1601"/>
      <c r="D72" s="1601"/>
      <c r="E72" s="1601"/>
      <c r="F72" s="1646"/>
      <c r="G72" s="1646"/>
      <c r="H72" s="1646"/>
      <c r="I72" s="1602"/>
    </row>
    <row r="73" spans="2:9" x14ac:dyDescent="0.25">
      <c r="B73" s="1634" t="s">
        <v>727</v>
      </c>
      <c r="C73" s="1635" t="s">
        <v>593</v>
      </c>
      <c r="D73" s="1644"/>
      <c r="E73" s="1644"/>
      <c r="F73" s="1601"/>
      <c r="G73" s="1601"/>
      <c r="H73" s="1601"/>
      <c r="I73" s="1602"/>
    </row>
    <row r="74" spans="2:9" x14ac:dyDescent="0.25">
      <c r="B74" s="1598"/>
      <c r="C74" s="1613" t="s">
        <v>1010</v>
      </c>
      <c r="D74" s="6233" t="s">
        <v>4</v>
      </c>
      <c r="E74" s="6234"/>
      <c r="F74" s="1613" t="s">
        <v>33</v>
      </c>
      <c r="G74" s="1614" t="s">
        <v>9</v>
      </c>
      <c r="H74" s="1614" t="s">
        <v>2156</v>
      </c>
      <c r="I74" s="1602"/>
    </row>
    <row r="75" spans="2:9" x14ac:dyDescent="0.25">
      <c r="B75" s="1598"/>
      <c r="C75" s="1637">
        <v>1</v>
      </c>
      <c r="D75" s="6226" t="s">
        <v>261</v>
      </c>
      <c r="E75" s="6227"/>
      <c r="F75" s="1643" t="s">
        <v>80</v>
      </c>
      <c r="G75" s="3835"/>
      <c r="H75" s="5885"/>
      <c r="I75" s="1629"/>
    </row>
    <row r="76" spans="2:9" x14ac:dyDescent="0.25">
      <c r="B76" s="1598"/>
      <c r="C76" s="1637">
        <v>2</v>
      </c>
      <c r="D76" s="6226" t="s">
        <v>1579</v>
      </c>
      <c r="E76" s="6227"/>
      <c r="F76" s="1643" t="s">
        <v>18</v>
      </c>
      <c r="G76" s="3836"/>
      <c r="H76" s="5896"/>
      <c r="I76" s="1629"/>
    </row>
    <row r="77" spans="2:9" x14ac:dyDescent="0.25">
      <c r="B77" s="1598"/>
      <c r="C77" s="1601"/>
      <c r="D77" s="1601"/>
      <c r="E77" s="1601"/>
      <c r="F77" s="1601"/>
      <c r="G77" s="1601"/>
      <c r="H77" s="1601"/>
      <c r="I77" s="1602"/>
    </row>
    <row r="78" spans="2:9" s="1608" customFormat="1" ht="15.75" x14ac:dyDescent="0.25">
      <c r="B78" s="1609" t="s">
        <v>10</v>
      </c>
      <c r="C78" s="1610" t="s">
        <v>187</v>
      </c>
      <c r="D78" s="1611"/>
      <c r="E78" s="1611"/>
      <c r="F78" s="1611"/>
      <c r="G78" s="1611"/>
      <c r="H78" s="1611"/>
      <c r="I78" s="1612"/>
    </row>
    <row r="79" spans="2:9" s="1608" customFormat="1" ht="15.75" x14ac:dyDescent="0.25">
      <c r="B79" s="1634" t="s">
        <v>725</v>
      </c>
      <c r="C79" s="1635" t="s">
        <v>1580</v>
      </c>
      <c r="D79" s="1647"/>
      <c r="E79" s="1647"/>
      <c r="F79" s="1601"/>
      <c r="G79" s="1601"/>
      <c r="H79" s="1601"/>
      <c r="I79" s="1648"/>
    </row>
    <row r="80" spans="2:9" x14ac:dyDescent="0.25">
      <c r="B80" s="1598"/>
      <c r="C80" s="1613" t="s">
        <v>1010</v>
      </c>
      <c r="D80" s="6233" t="s">
        <v>4</v>
      </c>
      <c r="E80" s="6234"/>
      <c r="F80" s="1613" t="s">
        <v>33</v>
      </c>
      <c r="G80" s="1614" t="s">
        <v>9</v>
      </c>
      <c r="H80" s="1614" t="s">
        <v>2156</v>
      </c>
      <c r="I80" s="1602"/>
    </row>
    <row r="81" spans="2:10" ht="32.25" customHeight="1" x14ac:dyDescent="0.25">
      <c r="B81" s="1598"/>
      <c r="C81" s="1649">
        <v>1</v>
      </c>
      <c r="D81" s="6226" t="s">
        <v>1581</v>
      </c>
      <c r="E81" s="6227"/>
      <c r="F81" s="1650" t="s">
        <v>21</v>
      </c>
      <c r="G81" s="3837"/>
      <c r="H81" s="3837"/>
      <c r="I81" s="1651"/>
    </row>
    <row r="82" spans="2:10" x14ac:dyDescent="0.25">
      <c r="B82" s="1598"/>
      <c r="C82" s="1601"/>
      <c r="D82" s="1601"/>
      <c r="E82" s="1601"/>
      <c r="F82" s="1601"/>
      <c r="G82" s="1601"/>
      <c r="H82" s="1601"/>
      <c r="I82" s="1602"/>
    </row>
    <row r="83" spans="2:10" x14ac:dyDescent="0.25">
      <c r="B83" s="1634" t="s">
        <v>726</v>
      </c>
      <c r="C83" s="1635" t="s">
        <v>1582</v>
      </c>
      <c r="D83" s="1647"/>
      <c r="E83" s="1647"/>
      <c r="F83" s="1601"/>
      <c r="G83" s="1601"/>
      <c r="H83" s="1601"/>
      <c r="I83" s="1602"/>
    </row>
    <row r="84" spans="2:10" x14ac:dyDescent="0.25">
      <c r="B84" s="1598"/>
      <c r="C84" s="1613" t="s">
        <v>1010</v>
      </c>
      <c r="D84" s="6233" t="s">
        <v>4</v>
      </c>
      <c r="E84" s="6234"/>
      <c r="F84" s="1613" t="s">
        <v>33</v>
      </c>
      <c r="G84" s="1614" t="s">
        <v>9</v>
      </c>
      <c r="H84" s="1614" t="s">
        <v>2156</v>
      </c>
      <c r="I84" s="1602"/>
    </row>
    <row r="85" spans="2:10" x14ac:dyDescent="0.25">
      <c r="B85" s="1598"/>
      <c r="C85" s="1637">
        <v>1</v>
      </c>
      <c r="D85" s="6226" t="s">
        <v>1583</v>
      </c>
      <c r="E85" s="6227"/>
      <c r="F85" s="1643" t="s">
        <v>80</v>
      </c>
      <c r="G85" s="3833"/>
      <c r="H85" s="5894"/>
      <c r="I85" s="1629"/>
      <c r="J85" s="1652"/>
    </row>
    <row r="86" spans="2:10" x14ac:dyDescent="0.25">
      <c r="B86" s="1598"/>
      <c r="C86" s="1637">
        <v>2</v>
      </c>
      <c r="D86" s="6226" t="s">
        <v>1584</v>
      </c>
      <c r="E86" s="6227"/>
      <c r="F86" s="1643" t="s">
        <v>1953</v>
      </c>
      <c r="G86" s="3833"/>
      <c r="H86" s="5895"/>
      <c r="I86" s="1629"/>
    </row>
    <row r="87" spans="2:10" ht="30.75" customHeight="1" x14ac:dyDescent="0.25">
      <c r="B87" s="1598"/>
      <c r="C87" s="1637">
        <v>3</v>
      </c>
      <c r="D87" s="6226" t="s">
        <v>1729</v>
      </c>
      <c r="E87" s="6227"/>
      <c r="F87" s="1650" t="s">
        <v>207</v>
      </c>
      <c r="G87" s="3838"/>
      <c r="H87" s="5881"/>
      <c r="I87" s="1629"/>
    </row>
    <row r="88" spans="2:10" x14ac:dyDescent="0.25">
      <c r="B88" s="1598"/>
      <c r="C88" s="1601"/>
      <c r="D88" s="1601"/>
      <c r="E88" s="1601"/>
      <c r="F88" s="1601"/>
      <c r="G88" s="1601"/>
      <c r="H88" s="1601"/>
      <c r="I88" s="1602"/>
    </row>
    <row r="89" spans="2:10" x14ac:dyDescent="0.25">
      <c r="B89" s="1634" t="s">
        <v>727</v>
      </c>
      <c r="C89" s="1635" t="s">
        <v>1589</v>
      </c>
      <c r="D89" s="1601"/>
      <c r="E89" s="1601"/>
      <c r="F89" s="1601"/>
      <c r="G89" s="1601"/>
      <c r="H89" s="1601"/>
      <c r="I89" s="1602"/>
    </row>
    <row r="90" spans="2:10" ht="30" x14ac:dyDescent="0.25">
      <c r="B90" s="1598"/>
      <c r="C90" s="1653" t="s">
        <v>1010</v>
      </c>
      <c r="D90" s="6223" t="s">
        <v>4</v>
      </c>
      <c r="E90" s="6224"/>
      <c r="F90" s="1653" t="s">
        <v>166</v>
      </c>
      <c r="G90" s="1926" t="s">
        <v>2141</v>
      </c>
      <c r="H90" s="1614" t="s">
        <v>2156</v>
      </c>
      <c r="I90" s="1602"/>
    </row>
    <row r="91" spans="2:10" x14ac:dyDescent="0.25">
      <c r="B91" s="1598"/>
      <c r="C91" s="1654">
        <v>1</v>
      </c>
      <c r="D91" s="6221" t="s">
        <v>1585</v>
      </c>
      <c r="E91" s="6222"/>
      <c r="F91" s="1671"/>
      <c r="G91" s="1671"/>
      <c r="H91" s="1670"/>
      <c r="I91" s="1602"/>
    </row>
    <row r="92" spans="2:10" x14ac:dyDescent="0.25">
      <c r="B92" s="1598"/>
      <c r="C92" s="1632">
        <v>1.1000000000000001</v>
      </c>
      <c r="D92" s="6216" t="s">
        <v>23</v>
      </c>
      <c r="E92" s="6217"/>
      <c r="F92" s="3839"/>
      <c r="G92" s="3839"/>
      <c r="H92" s="5867"/>
      <c r="I92" s="1602"/>
    </row>
    <row r="93" spans="2:10" x14ac:dyDescent="0.25">
      <c r="B93" s="1598"/>
      <c r="C93" s="1632">
        <v>1.2</v>
      </c>
      <c r="D93" s="6216" t="s">
        <v>24</v>
      </c>
      <c r="E93" s="6217"/>
      <c r="F93" s="3839"/>
      <c r="G93" s="3839"/>
      <c r="H93" s="5890"/>
      <c r="I93" s="1602"/>
    </row>
    <row r="94" spans="2:10" x14ac:dyDescent="0.25">
      <c r="B94" s="1598"/>
      <c r="C94" s="1632">
        <v>1.3</v>
      </c>
      <c r="D94" s="6216" t="s">
        <v>25</v>
      </c>
      <c r="E94" s="6217"/>
      <c r="F94" s="3839"/>
      <c r="G94" s="3839"/>
      <c r="H94" s="5890"/>
      <c r="I94" s="1602"/>
    </row>
    <row r="95" spans="2:10" x14ac:dyDescent="0.25">
      <c r="B95" s="1598"/>
      <c r="C95" s="1632">
        <v>1.4</v>
      </c>
      <c r="D95" s="6216" t="s">
        <v>168</v>
      </c>
      <c r="E95" s="6217"/>
      <c r="F95" s="3839"/>
      <c r="G95" s="3839"/>
      <c r="H95" s="5868"/>
      <c r="I95" s="1602"/>
    </row>
    <row r="96" spans="2:10" x14ac:dyDescent="0.25">
      <c r="B96" s="1598"/>
      <c r="C96" s="1654">
        <v>2</v>
      </c>
      <c r="D96" s="6221" t="s">
        <v>1586</v>
      </c>
      <c r="E96" s="6222"/>
      <c r="F96" s="1671"/>
      <c r="G96" s="1671"/>
      <c r="H96" s="1670"/>
      <c r="I96" s="1602"/>
    </row>
    <row r="97" spans="2:9" x14ac:dyDescent="0.25">
      <c r="B97" s="1598"/>
      <c r="C97" s="1632">
        <v>2.1</v>
      </c>
      <c r="D97" s="6216" t="s">
        <v>23</v>
      </c>
      <c r="E97" s="6217"/>
      <c r="F97" s="3839"/>
      <c r="G97" s="3839"/>
      <c r="H97" s="5867"/>
      <c r="I97" s="1655"/>
    </row>
    <row r="98" spans="2:9" x14ac:dyDescent="0.25">
      <c r="B98" s="1598"/>
      <c r="C98" s="1632">
        <v>2.2000000000000002</v>
      </c>
      <c r="D98" s="6216" t="s">
        <v>24</v>
      </c>
      <c r="E98" s="6217"/>
      <c r="F98" s="3839"/>
      <c r="G98" s="3839"/>
      <c r="H98" s="5890"/>
      <c r="I98" s="1602"/>
    </row>
    <row r="99" spans="2:9" x14ac:dyDescent="0.25">
      <c r="B99" s="1598"/>
      <c r="C99" s="1632">
        <v>2.2999999999999998</v>
      </c>
      <c r="D99" s="6216" t="s">
        <v>25</v>
      </c>
      <c r="E99" s="6217"/>
      <c r="F99" s="3839"/>
      <c r="G99" s="3839"/>
      <c r="H99" s="5890"/>
      <c r="I99" s="1602"/>
    </row>
    <row r="100" spans="2:9" x14ac:dyDescent="0.25">
      <c r="B100" s="1598"/>
      <c r="C100" s="1632">
        <v>2.4</v>
      </c>
      <c r="D100" s="6216" t="s">
        <v>168</v>
      </c>
      <c r="E100" s="6217"/>
      <c r="F100" s="3839"/>
      <c r="G100" s="3839"/>
      <c r="H100" s="5868"/>
      <c r="I100" s="1602"/>
    </row>
    <row r="101" spans="2:9" x14ac:dyDescent="0.25">
      <c r="B101" s="1598"/>
      <c r="C101" s="1654">
        <v>3</v>
      </c>
      <c r="D101" s="6221" t="s">
        <v>1956</v>
      </c>
      <c r="E101" s="6222"/>
      <c r="F101" s="1671"/>
      <c r="G101" s="1671"/>
      <c r="H101" s="1670"/>
      <c r="I101" s="1602"/>
    </row>
    <row r="102" spans="2:9" x14ac:dyDescent="0.25">
      <c r="B102" s="1598"/>
      <c r="C102" s="1632">
        <v>3.1</v>
      </c>
      <c r="D102" s="6216" t="s">
        <v>23</v>
      </c>
      <c r="E102" s="6217"/>
      <c r="F102" s="3839"/>
      <c r="G102" s="1656"/>
      <c r="H102" s="5867"/>
      <c r="I102" s="1602"/>
    </row>
    <row r="103" spans="2:9" x14ac:dyDescent="0.25">
      <c r="B103" s="1598"/>
      <c r="C103" s="1632">
        <v>3.2</v>
      </c>
      <c r="D103" s="6216" t="s">
        <v>24</v>
      </c>
      <c r="E103" s="6217"/>
      <c r="F103" s="3839"/>
      <c r="G103" s="1657"/>
      <c r="H103" s="5890"/>
      <c r="I103" s="1602"/>
    </row>
    <row r="104" spans="2:9" x14ac:dyDescent="0.25">
      <c r="B104" s="1598"/>
      <c r="C104" s="1632">
        <v>3.3</v>
      </c>
      <c r="D104" s="6216" t="s">
        <v>25</v>
      </c>
      <c r="E104" s="6217"/>
      <c r="F104" s="3839"/>
      <c r="G104" s="1657"/>
      <c r="H104" s="5890"/>
      <c r="I104" s="1602"/>
    </row>
    <row r="105" spans="2:9" x14ac:dyDescent="0.25">
      <c r="B105" s="1598"/>
      <c r="C105" s="1632">
        <v>3.4</v>
      </c>
      <c r="D105" s="6216" t="s">
        <v>168</v>
      </c>
      <c r="E105" s="6217"/>
      <c r="F105" s="3839"/>
      <c r="G105" s="1658"/>
      <c r="H105" s="5868"/>
      <c r="I105" s="1602"/>
    </row>
    <row r="106" spans="2:9" x14ac:dyDescent="0.25">
      <c r="B106" s="1598"/>
      <c r="C106" s="1654">
        <v>4</v>
      </c>
      <c r="D106" s="6221" t="s">
        <v>26</v>
      </c>
      <c r="E106" s="6222"/>
      <c r="F106" s="1671"/>
      <c r="G106" s="1671"/>
      <c r="H106" s="1670"/>
      <c r="I106" s="1602"/>
    </row>
    <row r="107" spans="2:9" x14ac:dyDescent="0.25">
      <c r="B107" s="1598"/>
      <c r="C107" s="1632">
        <v>4.0999999999999996</v>
      </c>
      <c r="D107" s="6216" t="s">
        <v>23</v>
      </c>
      <c r="E107" s="6217"/>
      <c r="F107" s="3839"/>
      <c r="G107" s="1656"/>
      <c r="H107" s="5867"/>
      <c r="I107" s="1602"/>
    </row>
    <row r="108" spans="2:9" x14ac:dyDescent="0.25">
      <c r="B108" s="1598"/>
      <c r="C108" s="1632">
        <v>4.2</v>
      </c>
      <c r="D108" s="6216" t="s">
        <v>24</v>
      </c>
      <c r="E108" s="6217"/>
      <c r="F108" s="3839"/>
      <c r="G108" s="1657"/>
      <c r="H108" s="5890"/>
      <c r="I108" s="1602"/>
    </row>
    <row r="109" spans="2:9" x14ac:dyDescent="0.25">
      <c r="B109" s="1598"/>
      <c r="C109" s="1632">
        <v>4.3</v>
      </c>
      <c r="D109" s="6216" t="s">
        <v>25</v>
      </c>
      <c r="E109" s="6217"/>
      <c r="F109" s="3839"/>
      <c r="G109" s="1657"/>
      <c r="H109" s="5890"/>
      <c r="I109" s="1602"/>
    </row>
    <row r="110" spans="2:9" x14ac:dyDescent="0.25">
      <c r="B110" s="1598"/>
      <c r="C110" s="1632">
        <v>4.4000000000000004</v>
      </c>
      <c r="D110" s="6216" t="s">
        <v>168</v>
      </c>
      <c r="E110" s="6217"/>
      <c r="F110" s="3839"/>
      <c r="G110" s="1658"/>
      <c r="H110" s="5868"/>
      <c r="I110" s="1602"/>
    </row>
    <row r="111" spans="2:9" x14ac:dyDescent="0.25">
      <c r="B111" s="1598"/>
      <c r="C111" s="1654">
        <v>5</v>
      </c>
      <c r="D111" s="6221" t="s">
        <v>254</v>
      </c>
      <c r="E111" s="6222"/>
      <c r="F111" s="1671"/>
      <c r="G111" s="1671"/>
      <c r="H111" s="1670"/>
      <c r="I111" s="1602"/>
    </row>
    <row r="112" spans="2:9" x14ac:dyDescent="0.25">
      <c r="B112" s="1598"/>
      <c r="C112" s="1632">
        <v>5.0999999999999996</v>
      </c>
      <c r="D112" s="6216" t="s">
        <v>1587</v>
      </c>
      <c r="E112" s="6217"/>
      <c r="F112" s="3839"/>
      <c r="G112" s="3839"/>
      <c r="H112" s="5867"/>
      <c r="I112" s="1602"/>
    </row>
    <row r="113" spans="2:9" x14ac:dyDescent="0.25">
      <c r="B113" s="1598"/>
      <c r="C113" s="1632">
        <v>5.3</v>
      </c>
      <c r="D113" s="6216" t="s">
        <v>255</v>
      </c>
      <c r="E113" s="6217"/>
      <c r="F113" s="3839"/>
      <c r="G113" s="1659"/>
      <c r="H113" s="5890"/>
      <c r="I113" s="1602"/>
    </row>
    <row r="114" spans="2:9" x14ac:dyDescent="0.25">
      <c r="B114" s="1598"/>
      <c r="C114" s="1632">
        <v>5.2</v>
      </c>
      <c r="D114" s="6216" t="s">
        <v>1957</v>
      </c>
      <c r="E114" s="6217"/>
      <c r="F114" s="3839"/>
      <c r="G114" s="3840"/>
      <c r="H114" s="5890"/>
      <c r="I114" s="1602"/>
    </row>
    <row r="115" spans="2:9" s="1663" customFormat="1" x14ac:dyDescent="0.25">
      <c r="B115" s="1660"/>
      <c r="C115" s="1638"/>
      <c r="D115" s="6228" t="s">
        <v>16</v>
      </c>
      <c r="E115" s="6229"/>
      <c r="F115" s="1661">
        <f>SUM(F92:F114)</f>
        <v>0</v>
      </c>
      <c r="G115" s="1661">
        <f>SUM(G92:G114)</f>
        <v>0</v>
      </c>
      <c r="H115" s="1661"/>
      <c r="I115" s="1662"/>
    </row>
    <row r="116" spans="2:9" x14ac:dyDescent="0.25">
      <c r="B116" s="1598"/>
      <c r="C116" s="1601"/>
      <c r="D116" s="1601"/>
      <c r="E116" s="1601"/>
      <c r="F116" s="1601"/>
      <c r="G116" s="1601"/>
      <c r="H116" s="1601"/>
      <c r="I116" s="1602"/>
    </row>
    <row r="117" spans="2:9" x14ac:dyDescent="0.25">
      <c r="B117" s="1634" t="s">
        <v>728</v>
      </c>
      <c r="C117" s="1635" t="s">
        <v>1588</v>
      </c>
      <c r="D117" s="1601"/>
      <c r="E117" s="1601"/>
      <c r="F117" s="1601"/>
      <c r="G117" s="1601"/>
      <c r="H117" s="1601"/>
      <c r="I117" s="1602"/>
    </row>
    <row r="118" spans="2:9" ht="30" x14ac:dyDescent="0.25">
      <c r="B118" s="1598"/>
      <c r="C118" s="1653" t="s">
        <v>1010</v>
      </c>
      <c r="D118" s="6223" t="s">
        <v>4</v>
      </c>
      <c r="E118" s="6224"/>
      <c r="F118" s="1653" t="s">
        <v>167</v>
      </c>
      <c r="G118" s="1627" t="s">
        <v>1015</v>
      </c>
      <c r="H118" s="1614" t="s">
        <v>2156</v>
      </c>
      <c r="I118" s="1602"/>
    </row>
    <row r="119" spans="2:9" ht="15" customHeight="1" x14ac:dyDescent="0.25">
      <c r="B119" s="1598"/>
      <c r="C119" s="1654">
        <v>1</v>
      </c>
      <c r="D119" s="6221" t="s">
        <v>1585</v>
      </c>
      <c r="E119" s="6222"/>
      <c r="F119" s="1671"/>
      <c r="G119" s="1671"/>
      <c r="H119" s="1670"/>
      <c r="I119" s="1602"/>
    </row>
    <row r="120" spans="2:9" x14ac:dyDescent="0.25">
      <c r="B120" s="1598"/>
      <c r="C120" s="1632">
        <v>1.1000000000000001</v>
      </c>
      <c r="D120" s="6216" t="s">
        <v>23</v>
      </c>
      <c r="E120" s="6217"/>
      <c r="F120" s="3839"/>
      <c r="G120" s="3839"/>
      <c r="H120" s="5867"/>
      <c r="I120" s="1602"/>
    </row>
    <row r="121" spans="2:9" x14ac:dyDescent="0.25">
      <c r="B121" s="1598"/>
      <c r="C121" s="1632">
        <v>1.2</v>
      </c>
      <c r="D121" s="6216" t="s">
        <v>24</v>
      </c>
      <c r="E121" s="6217"/>
      <c r="F121" s="3839"/>
      <c r="G121" s="3839"/>
      <c r="H121" s="5890"/>
      <c r="I121" s="1602"/>
    </row>
    <row r="122" spans="2:9" x14ac:dyDescent="0.25">
      <c r="B122" s="1598"/>
      <c r="C122" s="1632">
        <v>1.3</v>
      </c>
      <c r="D122" s="6216" t="s">
        <v>25</v>
      </c>
      <c r="E122" s="6217"/>
      <c r="F122" s="3839"/>
      <c r="G122" s="3839"/>
      <c r="H122" s="5890"/>
      <c r="I122" s="1602"/>
    </row>
    <row r="123" spans="2:9" x14ac:dyDescent="0.25">
      <c r="B123" s="1598"/>
      <c r="C123" s="1632">
        <v>1.4</v>
      </c>
      <c r="D123" s="6216" t="s">
        <v>168</v>
      </c>
      <c r="E123" s="6217"/>
      <c r="F123" s="3839"/>
      <c r="G123" s="3839"/>
      <c r="H123" s="5868"/>
      <c r="I123" s="1602"/>
    </row>
    <row r="124" spans="2:9" x14ac:dyDescent="0.25">
      <c r="B124" s="1598"/>
      <c r="C124" s="1654">
        <v>2</v>
      </c>
      <c r="D124" s="6221" t="s">
        <v>1586</v>
      </c>
      <c r="E124" s="6222"/>
      <c r="F124" s="1671"/>
      <c r="G124" s="1671"/>
      <c r="H124" s="1670"/>
      <c r="I124" s="1602"/>
    </row>
    <row r="125" spans="2:9" x14ac:dyDescent="0.25">
      <c r="B125" s="1598"/>
      <c r="C125" s="1632">
        <v>2.1</v>
      </c>
      <c r="D125" s="6216" t="s">
        <v>23</v>
      </c>
      <c r="E125" s="6217"/>
      <c r="F125" s="3839"/>
      <c r="G125" s="3839"/>
      <c r="H125" s="5867"/>
      <c r="I125" s="1602"/>
    </row>
    <row r="126" spans="2:9" x14ac:dyDescent="0.25">
      <c r="B126" s="1598"/>
      <c r="C126" s="1632">
        <v>2.2000000000000002</v>
      </c>
      <c r="D126" s="6216" t="s">
        <v>24</v>
      </c>
      <c r="E126" s="6217"/>
      <c r="F126" s="3839"/>
      <c r="G126" s="3839"/>
      <c r="H126" s="5890"/>
      <c r="I126" s="1602"/>
    </row>
    <row r="127" spans="2:9" x14ac:dyDescent="0.25">
      <c r="B127" s="1598"/>
      <c r="C127" s="1632">
        <v>2.2999999999999998</v>
      </c>
      <c r="D127" s="6216" t="s">
        <v>25</v>
      </c>
      <c r="E127" s="6217"/>
      <c r="F127" s="3839"/>
      <c r="G127" s="3839"/>
      <c r="H127" s="5890"/>
      <c r="I127" s="1602"/>
    </row>
    <row r="128" spans="2:9" x14ac:dyDescent="0.25">
      <c r="B128" s="1598"/>
      <c r="C128" s="1632">
        <v>2.4</v>
      </c>
      <c r="D128" s="6216" t="s">
        <v>168</v>
      </c>
      <c r="E128" s="6217"/>
      <c r="F128" s="3839"/>
      <c r="G128" s="3839"/>
      <c r="H128" s="5868"/>
      <c r="I128" s="1602"/>
    </row>
    <row r="129" spans="2:9" x14ac:dyDescent="0.25">
      <c r="B129" s="1598"/>
      <c r="C129" s="1654">
        <v>3</v>
      </c>
      <c r="D129" s="6221" t="s">
        <v>1956</v>
      </c>
      <c r="E129" s="6222"/>
      <c r="F129" s="1671"/>
      <c r="G129" s="1671"/>
      <c r="H129" s="1670"/>
      <c r="I129" s="1602"/>
    </row>
    <row r="130" spans="2:9" x14ac:dyDescent="0.25">
      <c r="B130" s="1598"/>
      <c r="C130" s="1632">
        <v>3.1</v>
      </c>
      <c r="D130" s="6216" t="s">
        <v>23</v>
      </c>
      <c r="E130" s="6217"/>
      <c r="F130" s="3839"/>
      <c r="G130" s="3839"/>
      <c r="H130" s="5867"/>
      <c r="I130" s="1602"/>
    </row>
    <row r="131" spans="2:9" x14ac:dyDescent="0.25">
      <c r="B131" s="1598"/>
      <c r="C131" s="1632">
        <v>3.2</v>
      </c>
      <c r="D131" s="6216" t="s">
        <v>24</v>
      </c>
      <c r="E131" s="6217"/>
      <c r="F131" s="3839"/>
      <c r="G131" s="3839"/>
      <c r="H131" s="5890"/>
      <c r="I131" s="1602"/>
    </row>
    <row r="132" spans="2:9" x14ac:dyDescent="0.25">
      <c r="B132" s="1598"/>
      <c r="C132" s="1632">
        <v>3.3</v>
      </c>
      <c r="D132" s="6216" t="s">
        <v>25</v>
      </c>
      <c r="E132" s="6217"/>
      <c r="F132" s="3839"/>
      <c r="G132" s="3839"/>
      <c r="H132" s="5890"/>
      <c r="I132" s="1602"/>
    </row>
    <row r="133" spans="2:9" x14ac:dyDescent="0.25">
      <c r="B133" s="1598"/>
      <c r="C133" s="1632">
        <v>3.4</v>
      </c>
      <c r="D133" s="6216" t="s">
        <v>168</v>
      </c>
      <c r="E133" s="6217"/>
      <c r="F133" s="3839"/>
      <c r="G133" s="3839"/>
      <c r="H133" s="5868"/>
      <c r="I133" s="1602"/>
    </row>
    <row r="134" spans="2:9" x14ac:dyDescent="0.25">
      <c r="B134" s="1598"/>
      <c r="C134" s="1654">
        <v>4</v>
      </c>
      <c r="D134" s="6221" t="s">
        <v>26</v>
      </c>
      <c r="E134" s="6222"/>
      <c r="F134" s="1671"/>
      <c r="G134" s="1671"/>
      <c r="H134" s="1670"/>
      <c r="I134" s="1602"/>
    </row>
    <row r="135" spans="2:9" x14ac:dyDescent="0.25">
      <c r="B135" s="1598"/>
      <c r="C135" s="1632">
        <v>4.0999999999999996</v>
      </c>
      <c r="D135" s="6216" t="s">
        <v>23</v>
      </c>
      <c r="E135" s="6217"/>
      <c r="F135" s="3839"/>
      <c r="G135" s="3839"/>
      <c r="H135" s="5867"/>
      <c r="I135" s="1602"/>
    </row>
    <row r="136" spans="2:9" x14ac:dyDescent="0.25">
      <c r="B136" s="1598"/>
      <c r="C136" s="1632">
        <v>4.2</v>
      </c>
      <c r="D136" s="6216" t="s">
        <v>24</v>
      </c>
      <c r="E136" s="6217"/>
      <c r="F136" s="3839"/>
      <c r="G136" s="3839"/>
      <c r="H136" s="5890"/>
      <c r="I136" s="1602"/>
    </row>
    <row r="137" spans="2:9" x14ac:dyDescent="0.25">
      <c r="B137" s="1598"/>
      <c r="C137" s="1632">
        <v>4.3</v>
      </c>
      <c r="D137" s="6216" t="s">
        <v>25</v>
      </c>
      <c r="E137" s="6217"/>
      <c r="F137" s="3839"/>
      <c r="G137" s="3839"/>
      <c r="H137" s="5890"/>
      <c r="I137" s="1602"/>
    </row>
    <row r="138" spans="2:9" x14ac:dyDescent="0.25">
      <c r="B138" s="1598"/>
      <c r="C138" s="1632">
        <v>4.4000000000000004</v>
      </c>
      <c r="D138" s="6216" t="s">
        <v>168</v>
      </c>
      <c r="E138" s="6217"/>
      <c r="F138" s="3839"/>
      <c r="G138" s="3839"/>
      <c r="H138" s="5868"/>
      <c r="I138" s="1602"/>
    </row>
    <row r="139" spans="2:9" x14ac:dyDescent="0.25">
      <c r="B139" s="1598"/>
      <c r="C139" s="1654">
        <v>5</v>
      </c>
      <c r="D139" s="6221" t="s">
        <v>254</v>
      </c>
      <c r="E139" s="6222"/>
      <c r="F139" s="1671"/>
      <c r="G139" s="1671"/>
      <c r="H139" s="1670"/>
      <c r="I139" s="1602"/>
    </row>
    <row r="140" spans="2:9" x14ac:dyDescent="0.25">
      <c r="B140" s="1598"/>
      <c r="C140" s="1632">
        <v>5.0999999999999996</v>
      </c>
      <c r="D140" s="6216" t="s">
        <v>1587</v>
      </c>
      <c r="E140" s="6217"/>
      <c r="F140" s="3839"/>
      <c r="G140" s="3839"/>
      <c r="H140" s="5867"/>
      <c r="I140" s="1602"/>
    </row>
    <row r="141" spans="2:9" x14ac:dyDescent="0.25">
      <c r="B141" s="1598"/>
      <c r="C141" s="1632">
        <v>5.2</v>
      </c>
      <c r="D141" s="6216" t="s">
        <v>255</v>
      </c>
      <c r="E141" s="6217"/>
      <c r="F141" s="3839"/>
      <c r="G141" s="3839"/>
      <c r="H141" s="5868"/>
      <c r="I141" s="1602"/>
    </row>
    <row r="142" spans="2:9" s="1663" customFormat="1" x14ac:dyDescent="0.25">
      <c r="B142" s="1660"/>
      <c r="C142" s="1638"/>
      <c r="D142" s="6228" t="s">
        <v>16</v>
      </c>
      <c r="E142" s="6229"/>
      <c r="F142" s="1661">
        <f>SUM(F120:F141)</f>
        <v>0</v>
      </c>
      <c r="G142" s="1661">
        <f>SUM(G120:G141)</f>
        <v>0</v>
      </c>
      <c r="H142" s="1661"/>
      <c r="I142" s="1662"/>
    </row>
    <row r="143" spans="2:9" x14ac:dyDescent="0.25">
      <c r="B143" s="1598"/>
      <c r="C143" s="1601"/>
      <c r="D143" s="1601"/>
      <c r="E143" s="1601"/>
      <c r="F143" s="1601"/>
      <c r="G143" s="1601"/>
      <c r="H143" s="1601"/>
      <c r="I143" s="1602"/>
    </row>
    <row r="144" spans="2:9" x14ac:dyDescent="0.25">
      <c r="B144" s="1634" t="s">
        <v>729</v>
      </c>
      <c r="C144" s="1635" t="s">
        <v>1590</v>
      </c>
      <c r="D144" s="1601"/>
      <c r="E144" s="1601"/>
      <c r="F144" s="1601"/>
      <c r="G144" s="1601"/>
      <c r="H144" s="1601"/>
      <c r="I144" s="1602"/>
    </row>
    <row r="145" spans="2:9" x14ac:dyDescent="0.25">
      <c r="B145" s="1598"/>
      <c r="C145" s="1653" t="s">
        <v>1010</v>
      </c>
      <c r="D145" s="6223" t="s">
        <v>4</v>
      </c>
      <c r="E145" s="6224"/>
      <c r="F145" s="1653" t="s">
        <v>33</v>
      </c>
      <c r="G145" s="1627" t="s">
        <v>9</v>
      </c>
      <c r="H145" s="1614" t="s">
        <v>2156</v>
      </c>
      <c r="I145" s="1602"/>
    </row>
    <row r="146" spans="2:9" x14ac:dyDescent="0.25">
      <c r="B146" s="1598"/>
      <c r="C146" s="1640">
        <v>1</v>
      </c>
      <c r="D146" s="6226" t="s">
        <v>1593</v>
      </c>
      <c r="E146" s="6227"/>
      <c r="F146" s="1650" t="s">
        <v>18</v>
      </c>
      <c r="G146" s="3841"/>
      <c r="H146" s="5892"/>
      <c r="I146" s="1602"/>
    </row>
    <row r="147" spans="2:9" ht="31.5" customHeight="1" x14ac:dyDescent="0.25">
      <c r="B147" s="1598"/>
      <c r="C147" s="1664">
        <v>2</v>
      </c>
      <c r="D147" s="6226" t="s">
        <v>1591</v>
      </c>
      <c r="E147" s="6227"/>
      <c r="F147" s="1650" t="s">
        <v>18</v>
      </c>
      <c r="G147" s="3841"/>
      <c r="H147" s="5893"/>
      <c r="I147" s="1665"/>
    </row>
    <row r="148" spans="2:9" ht="30" customHeight="1" x14ac:dyDescent="0.25">
      <c r="B148" s="1598"/>
      <c r="C148" s="1664">
        <v>3</v>
      </c>
      <c r="D148" s="6226" t="s">
        <v>1592</v>
      </c>
      <c r="E148" s="6227"/>
      <c r="F148" s="1650" t="s">
        <v>18</v>
      </c>
      <c r="G148" s="3841"/>
      <c r="H148" s="5854"/>
      <c r="I148" s="1602"/>
    </row>
    <row r="149" spans="2:9" x14ac:dyDescent="0.25">
      <c r="B149" s="1598"/>
      <c r="C149" s="1601"/>
      <c r="D149" s="1601"/>
      <c r="E149" s="1601"/>
      <c r="F149" s="1601"/>
      <c r="G149" s="1666"/>
      <c r="H149" s="1666"/>
      <c r="I149" s="1602"/>
    </row>
    <row r="150" spans="2:9" x14ac:dyDescent="0.25">
      <c r="B150" s="1634" t="s">
        <v>730</v>
      </c>
      <c r="C150" s="1635" t="s">
        <v>66</v>
      </c>
      <c r="D150" s="1647"/>
      <c r="E150" s="1647"/>
      <c r="F150" s="1647"/>
      <c r="G150" s="1601"/>
      <c r="H150" s="1601"/>
      <c r="I150" s="1602"/>
    </row>
    <row r="151" spans="2:9" x14ac:dyDescent="0.25">
      <c r="B151" s="1598"/>
      <c r="C151" s="1653" t="s">
        <v>1010</v>
      </c>
      <c r="D151" s="6223" t="s">
        <v>4</v>
      </c>
      <c r="E151" s="6224"/>
      <c r="F151" s="1653" t="s">
        <v>33</v>
      </c>
      <c r="G151" s="1627" t="s">
        <v>9</v>
      </c>
      <c r="H151" s="1614" t="s">
        <v>2156</v>
      </c>
      <c r="I151" s="1602"/>
    </row>
    <row r="152" spans="2:9" ht="28.5" customHeight="1" x14ac:dyDescent="0.25">
      <c r="B152" s="1598"/>
      <c r="C152" s="1640">
        <v>1</v>
      </c>
      <c r="D152" s="6226" t="s">
        <v>1595</v>
      </c>
      <c r="E152" s="6227"/>
      <c r="F152" s="1650" t="s">
        <v>1958</v>
      </c>
      <c r="G152" s="3842"/>
      <c r="H152" s="5867"/>
      <c r="I152" s="1629"/>
    </row>
    <row r="153" spans="2:9" x14ac:dyDescent="0.25">
      <c r="B153" s="1598"/>
      <c r="C153" s="1640">
        <v>2</v>
      </c>
      <c r="D153" s="6226" t="s">
        <v>1594</v>
      </c>
      <c r="E153" s="6227"/>
      <c r="F153" s="1643" t="s">
        <v>1959</v>
      </c>
      <c r="G153" s="3833"/>
      <c r="H153" s="5868"/>
      <c r="I153" s="1629"/>
    </row>
    <row r="154" spans="2:9" x14ac:dyDescent="0.25">
      <c r="B154" s="1598"/>
      <c r="C154" s="1601"/>
      <c r="D154" s="1601"/>
      <c r="E154" s="1601"/>
      <c r="F154" s="1598"/>
      <c r="G154" s="1601"/>
      <c r="H154" s="1601"/>
      <c r="I154" s="1602"/>
    </row>
    <row r="155" spans="2:9" x14ac:dyDescent="0.25">
      <c r="B155" s="1634" t="s">
        <v>731</v>
      </c>
      <c r="C155" s="1635" t="s">
        <v>801</v>
      </c>
      <c r="D155" s="1601"/>
      <c r="E155" s="1601"/>
      <c r="F155" s="1598"/>
      <c r="G155" s="1601"/>
      <c r="H155" s="1601"/>
      <c r="I155" s="1602"/>
    </row>
    <row r="156" spans="2:9" x14ac:dyDescent="0.25">
      <c r="B156" s="1598"/>
      <c r="C156" s="1653" t="s">
        <v>1010</v>
      </c>
      <c r="D156" s="6223" t="s">
        <v>4</v>
      </c>
      <c r="E156" s="6224"/>
      <c r="F156" s="1653" t="s">
        <v>33</v>
      </c>
      <c r="G156" s="1627" t="s">
        <v>9</v>
      </c>
      <c r="H156" s="1614" t="s">
        <v>2156</v>
      </c>
      <c r="I156" s="1602"/>
    </row>
    <row r="157" spans="2:9" x14ac:dyDescent="0.25">
      <c r="B157" s="1598"/>
      <c r="C157" s="1640">
        <v>1</v>
      </c>
      <c r="D157" s="6226" t="s">
        <v>1596</v>
      </c>
      <c r="E157" s="6227"/>
      <c r="F157" s="1643" t="s">
        <v>1960</v>
      </c>
      <c r="G157" s="3839"/>
      <c r="H157" s="5867"/>
      <c r="I157" s="1629"/>
    </row>
    <row r="158" spans="2:9" x14ac:dyDescent="0.25">
      <c r="B158" s="1598"/>
      <c r="C158" s="1640">
        <v>2</v>
      </c>
      <c r="D158" s="6226" t="s">
        <v>1597</v>
      </c>
      <c r="E158" s="6227"/>
      <c r="F158" s="1643" t="s">
        <v>1960</v>
      </c>
      <c r="G158" s="3839"/>
      <c r="H158" s="5868"/>
      <c r="I158" s="1629"/>
    </row>
    <row r="159" spans="2:9" x14ac:dyDescent="0.25">
      <c r="B159" s="1598"/>
      <c r="C159" s="1601"/>
      <c r="D159" s="1601"/>
      <c r="E159" s="1601"/>
      <c r="F159" s="1598"/>
      <c r="G159" s="1601"/>
      <c r="H159" s="1601"/>
      <c r="I159" s="1602"/>
    </row>
    <row r="160" spans="2:9" x14ac:dyDescent="0.25">
      <c r="B160" s="1634" t="s">
        <v>732</v>
      </c>
      <c r="C160" s="1635" t="s">
        <v>40</v>
      </c>
      <c r="D160" s="1647"/>
      <c r="E160" s="1647"/>
      <c r="F160" s="1667"/>
      <c r="G160" s="1601"/>
      <c r="H160" s="1601"/>
      <c r="I160" s="1602"/>
    </row>
    <row r="161" spans="2:9" x14ac:dyDescent="0.25">
      <c r="B161" s="1598"/>
      <c r="C161" s="1653" t="s">
        <v>1010</v>
      </c>
      <c r="D161" s="6223" t="s">
        <v>4</v>
      </c>
      <c r="E161" s="6224"/>
      <c r="F161" s="1653" t="s">
        <v>33</v>
      </c>
      <c r="G161" s="1627" t="s">
        <v>9</v>
      </c>
      <c r="H161" s="1614" t="s">
        <v>2156</v>
      </c>
      <c r="I161" s="1602"/>
    </row>
    <row r="162" spans="2:9" x14ac:dyDescent="0.25">
      <c r="B162" s="1598"/>
      <c r="C162" s="1637">
        <v>1</v>
      </c>
      <c r="D162" s="6226" t="s">
        <v>1598</v>
      </c>
      <c r="E162" s="6227"/>
      <c r="F162" s="1643" t="s">
        <v>1961</v>
      </c>
      <c r="G162" s="3839"/>
      <c r="H162" s="5867"/>
      <c r="I162" s="1629"/>
    </row>
    <row r="163" spans="2:9" x14ac:dyDescent="0.25">
      <c r="B163" s="1598"/>
      <c r="C163" s="1637">
        <v>2</v>
      </c>
      <c r="D163" s="6226" t="s">
        <v>35</v>
      </c>
      <c r="E163" s="6227"/>
      <c r="F163" s="1643" t="s">
        <v>1961</v>
      </c>
      <c r="G163" s="3839"/>
      <c r="H163" s="5868"/>
      <c r="I163" s="1629"/>
    </row>
    <row r="164" spans="2:9" x14ac:dyDescent="0.25">
      <c r="B164" s="1598"/>
      <c r="C164" s="1601"/>
      <c r="D164" s="1601"/>
      <c r="E164" s="1601"/>
      <c r="F164" s="1598"/>
      <c r="G164" s="1601"/>
      <c r="H164" s="1601"/>
      <c r="I164" s="1602"/>
    </row>
    <row r="165" spans="2:9" s="1608" customFormat="1" ht="15.75" x14ac:dyDescent="0.25">
      <c r="B165" s="1609" t="s">
        <v>12</v>
      </c>
      <c r="C165" s="1610" t="s">
        <v>188</v>
      </c>
      <c r="D165" s="1611"/>
      <c r="E165" s="1611"/>
      <c r="F165" s="1668"/>
      <c r="G165" s="1611"/>
      <c r="H165" s="1611"/>
      <c r="I165" s="1612"/>
    </row>
    <row r="166" spans="2:9" x14ac:dyDescent="0.25">
      <c r="B166" s="1669" t="s">
        <v>725</v>
      </c>
      <c r="C166" s="1635" t="s">
        <v>1599</v>
      </c>
      <c r="D166" s="1601"/>
      <c r="E166" s="1601"/>
      <c r="F166" s="1598"/>
      <c r="G166" s="1601"/>
      <c r="H166" s="1601"/>
      <c r="I166" s="1602"/>
    </row>
    <row r="167" spans="2:9" ht="30" x14ac:dyDescent="0.25">
      <c r="B167" s="1655"/>
      <c r="C167" s="1653" t="s">
        <v>1010</v>
      </c>
      <c r="D167" s="6223" t="s">
        <v>4</v>
      </c>
      <c r="E167" s="6224"/>
      <c r="F167" s="1653" t="s">
        <v>33</v>
      </c>
      <c r="G167" s="1627" t="s">
        <v>1600</v>
      </c>
      <c r="H167" s="1614" t="s">
        <v>2156</v>
      </c>
      <c r="I167" s="1602"/>
    </row>
    <row r="168" spans="2:9" x14ac:dyDescent="0.25">
      <c r="B168" s="1655"/>
      <c r="C168" s="1637">
        <v>1</v>
      </c>
      <c r="D168" s="6226" t="s">
        <v>1637</v>
      </c>
      <c r="E168" s="6227"/>
      <c r="F168" s="1643" t="s">
        <v>67</v>
      </c>
      <c r="G168" s="3843"/>
      <c r="H168" s="5867"/>
      <c r="I168" s="1602"/>
    </row>
    <row r="169" spans="2:9" x14ac:dyDescent="0.25">
      <c r="B169" s="1655"/>
      <c r="C169" s="1637">
        <v>2</v>
      </c>
      <c r="D169" s="6226" t="s">
        <v>721</v>
      </c>
      <c r="E169" s="6227"/>
      <c r="F169" s="1643" t="s">
        <v>67</v>
      </c>
      <c r="G169" s="3843"/>
      <c r="H169" s="5890"/>
      <c r="I169" s="1602"/>
    </row>
    <row r="170" spans="2:9" x14ac:dyDescent="0.25">
      <c r="B170" s="1655"/>
      <c r="C170" s="1637">
        <v>3</v>
      </c>
      <c r="D170" s="6226" t="s">
        <v>1016</v>
      </c>
      <c r="E170" s="6227"/>
      <c r="F170" s="1643" t="s">
        <v>67</v>
      </c>
      <c r="G170" s="3843"/>
      <c r="H170" s="5890"/>
      <c r="I170" s="1629"/>
    </row>
    <row r="171" spans="2:9" x14ac:dyDescent="0.25">
      <c r="B171" s="1655"/>
      <c r="C171" s="1637">
        <v>4</v>
      </c>
      <c r="D171" s="6226" t="s">
        <v>475</v>
      </c>
      <c r="E171" s="6227"/>
      <c r="F171" s="1643" t="s">
        <v>67</v>
      </c>
      <c r="G171" s="3843"/>
      <c r="H171" s="5868"/>
      <c r="I171" s="1602"/>
    </row>
    <row r="172" spans="2:9" x14ac:dyDescent="0.25">
      <c r="B172" s="1655"/>
      <c r="C172" s="1601"/>
      <c r="D172" s="1630"/>
      <c r="E172" s="1630"/>
      <c r="F172" s="1598"/>
      <c r="G172" s="1601"/>
      <c r="H172" s="1601"/>
      <c r="I172" s="1602"/>
    </row>
    <row r="173" spans="2:9" x14ac:dyDescent="0.25">
      <c r="B173" s="1669" t="s">
        <v>726</v>
      </c>
      <c r="C173" s="1635" t="s">
        <v>1637</v>
      </c>
      <c r="D173" s="1647"/>
      <c r="E173" s="1647"/>
      <c r="F173" s="1667"/>
      <c r="G173" s="1601"/>
      <c r="H173" s="1601"/>
      <c r="I173" s="1602"/>
    </row>
    <row r="174" spans="2:9" x14ac:dyDescent="0.25">
      <c r="B174" s="1655"/>
      <c r="C174" s="1653" t="s">
        <v>1010</v>
      </c>
      <c r="D174" s="6223" t="s">
        <v>4</v>
      </c>
      <c r="E174" s="6224"/>
      <c r="F174" s="1653" t="s">
        <v>33</v>
      </c>
      <c r="G174" s="1627" t="s">
        <v>9</v>
      </c>
      <c r="H174" s="1614" t="s">
        <v>2156</v>
      </c>
      <c r="I174" s="1602"/>
    </row>
    <row r="175" spans="2:9" x14ac:dyDescent="0.25">
      <c r="B175" s="1655"/>
      <c r="C175" s="1637">
        <v>1</v>
      </c>
      <c r="D175" s="6226" t="s">
        <v>1601</v>
      </c>
      <c r="E175" s="6227"/>
      <c r="F175" s="1643" t="s">
        <v>18</v>
      </c>
      <c r="G175" s="3844"/>
      <c r="H175" s="3844"/>
      <c r="I175" s="1602"/>
    </row>
    <row r="176" spans="2:9" x14ac:dyDescent="0.25">
      <c r="B176" s="1655"/>
      <c r="C176" s="1601"/>
      <c r="D176" s="1630"/>
      <c r="E176" s="1630"/>
      <c r="F176" s="1601"/>
      <c r="G176" s="1601"/>
      <c r="H176" s="1601"/>
      <c r="I176" s="1602"/>
    </row>
    <row r="177" spans="2:9" x14ac:dyDescent="0.25">
      <c r="B177" s="1669" t="s">
        <v>727</v>
      </c>
      <c r="C177" s="1635" t="s">
        <v>721</v>
      </c>
      <c r="D177" s="1601"/>
      <c r="E177" s="1601"/>
      <c r="F177" s="1601"/>
      <c r="G177" s="1601"/>
      <c r="H177" s="1601"/>
      <c r="I177" s="1602"/>
    </row>
    <row r="178" spans="2:9" ht="30" x14ac:dyDescent="0.25">
      <c r="B178" s="1598"/>
      <c r="C178" s="1653" t="s">
        <v>1010</v>
      </c>
      <c r="D178" s="6223" t="s">
        <v>4</v>
      </c>
      <c r="E178" s="6224"/>
      <c r="F178" s="1653" t="s">
        <v>1085</v>
      </c>
      <c r="G178" s="1627" t="s">
        <v>1962</v>
      </c>
      <c r="H178" s="1614" t="s">
        <v>2156</v>
      </c>
      <c r="I178" s="1602"/>
    </row>
    <row r="179" spans="2:9" x14ac:dyDescent="0.25">
      <c r="B179" s="1598"/>
      <c r="C179" s="1654">
        <v>1</v>
      </c>
      <c r="D179" s="6221" t="s">
        <v>1585</v>
      </c>
      <c r="E179" s="6225"/>
      <c r="F179" s="1671"/>
      <c r="G179" s="1671"/>
      <c r="H179" s="1670"/>
      <c r="I179" s="1602"/>
    </row>
    <row r="180" spans="2:9" x14ac:dyDescent="0.25">
      <c r="B180" s="1598"/>
      <c r="C180" s="1632">
        <v>1.1000000000000001</v>
      </c>
      <c r="D180" s="6216" t="s">
        <v>23</v>
      </c>
      <c r="E180" s="6217"/>
      <c r="F180" s="3839"/>
      <c r="G180" s="3839"/>
      <c r="H180" s="5867"/>
      <c r="I180" s="1602"/>
    </row>
    <row r="181" spans="2:9" x14ac:dyDescent="0.25">
      <c r="B181" s="1598"/>
      <c r="C181" s="1632">
        <v>1.2</v>
      </c>
      <c r="D181" s="6216" t="s">
        <v>24</v>
      </c>
      <c r="E181" s="6217"/>
      <c r="F181" s="3839"/>
      <c r="G181" s="3839"/>
      <c r="H181" s="5890"/>
      <c r="I181" s="1602"/>
    </row>
    <row r="182" spans="2:9" x14ac:dyDescent="0.25">
      <c r="B182" s="1598"/>
      <c r="C182" s="1632">
        <v>1.3</v>
      </c>
      <c r="D182" s="6216" t="s">
        <v>25</v>
      </c>
      <c r="E182" s="6217"/>
      <c r="F182" s="3839"/>
      <c r="G182" s="3839"/>
      <c r="H182" s="5890"/>
      <c r="I182" s="1602"/>
    </row>
    <row r="183" spans="2:9" x14ac:dyDescent="0.25">
      <c r="B183" s="1598"/>
      <c r="C183" s="1632">
        <v>1.4</v>
      </c>
      <c r="D183" s="6216" t="s">
        <v>168</v>
      </c>
      <c r="E183" s="6217"/>
      <c r="F183" s="3839"/>
      <c r="G183" s="3839"/>
      <c r="H183" s="5868"/>
      <c r="I183" s="1602"/>
    </row>
    <row r="184" spans="2:9" x14ac:dyDescent="0.25">
      <c r="B184" s="1598"/>
      <c r="C184" s="1654">
        <v>2</v>
      </c>
      <c r="D184" s="6221" t="s">
        <v>1586</v>
      </c>
      <c r="E184" s="6222"/>
      <c r="F184" s="1671"/>
      <c r="G184" s="1671"/>
      <c r="H184" s="1670"/>
      <c r="I184" s="1602"/>
    </row>
    <row r="185" spans="2:9" x14ac:dyDescent="0.25">
      <c r="B185" s="1598"/>
      <c r="C185" s="1632">
        <v>2.1</v>
      </c>
      <c r="D185" s="6216" t="s">
        <v>23</v>
      </c>
      <c r="E185" s="6217"/>
      <c r="F185" s="3839"/>
      <c r="G185" s="3839"/>
      <c r="H185" s="5867"/>
      <c r="I185" s="1602"/>
    </row>
    <row r="186" spans="2:9" x14ac:dyDescent="0.25">
      <c r="B186" s="1598"/>
      <c r="C186" s="1632">
        <v>2.2000000000000002</v>
      </c>
      <c r="D186" s="6216" t="s">
        <v>24</v>
      </c>
      <c r="E186" s="6217"/>
      <c r="F186" s="3839"/>
      <c r="G186" s="3839"/>
      <c r="H186" s="5890"/>
      <c r="I186" s="1602"/>
    </row>
    <row r="187" spans="2:9" x14ac:dyDescent="0.25">
      <c r="B187" s="1598"/>
      <c r="C187" s="1632">
        <v>2.2999999999999998</v>
      </c>
      <c r="D187" s="6216" t="s">
        <v>25</v>
      </c>
      <c r="E187" s="6217"/>
      <c r="F187" s="3839"/>
      <c r="G187" s="3839"/>
      <c r="H187" s="5890"/>
      <c r="I187" s="1602"/>
    </row>
    <row r="188" spans="2:9" x14ac:dyDescent="0.25">
      <c r="B188" s="1598"/>
      <c r="C188" s="1632">
        <v>2.4</v>
      </c>
      <c r="D188" s="6216" t="s">
        <v>168</v>
      </c>
      <c r="E188" s="6217"/>
      <c r="F188" s="3839"/>
      <c r="G188" s="3839"/>
      <c r="H188" s="5868"/>
      <c r="I188" s="1602"/>
    </row>
    <row r="189" spans="2:9" x14ac:dyDescent="0.25">
      <c r="B189" s="1598"/>
      <c r="C189" s="1654">
        <v>3</v>
      </c>
      <c r="D189" s="6221" t="s">
        <v>1956</v>
      </c>
      <c r="E189" s="6222"/>
      <c r="F189" s="1671"/>
      <c r="G189" s="1671"/>
      <c r="H189" s="1670"/>
      <c r="I189" s="1602"/>
    </row>
    <row r="190" spans="2:9" x14ac:dyDescent="0.25">
      <c r="B190" s="1598"/>
      <c r="C190" s="1632">
        <v>3.1</v>
      </c>
      <c r="D190" s="6216" t="s">
        <v>23</v>
      </c>
      <c r="E190" s="6217"/>
      <c r="F190" s="3839"/>
      <c r="G190" s="3839"/>
      <c r="H190" s="5867"/>
      <c r="I190" s="1602"/>
    </row>
    <row r="191" spans="2:9" x14ac:dyDescent="0.25">
      <c r="B191" s="1598"/>
      <c r="C191" s="1632">
        <v>3.2</v>
      </c>
      <c r="D191" s="6216" t="s">
        <v>24</v>
      </c>
      <c r="E191" s="6217"/>
      <c r="F191" s="3839"/>
      <c r="G191" s="3839"/>
      <c r="H191" s="5890"/>
      <c r="I191" s="1602"/>
    </row>
    <row r="192" spans="2:9" x14ac:dyDescent="0.25">
      <c r="B192" s="1598"/>
      <c r="C192" s="1632">
        <v>3.3</v>
      </c>
      <c r="D192" s="6216" t="s">
        <v>25</v>
      </c>
      <c r="E192" s="6217"/>
      <c r="F192" s="3839"/>
      <c r="G192" s="3839"/>
      <c r="H192" s="5890"/>
      <c r="I192" s="1602"/>
    </row>
    <row r="193" spans="2:9" x14ac:dyDescent="0.25">
      <c r="B193" s="1598"/>
      <c r="C193" s="1632">
        <v>3.4</v>
      </c>
      <c r="D193" s="6216" t="s">
        <v>168</v>
      </c>
      <c r="E193" s="6217"/>
      <c r="F193" s="3839"/>
      <c r="G193" s="3839"/>
      <c r="H193" s="5868"/>
      <c r="I193" s="1602"/>
    </row>
    <row r="194" spans="2:9" x14ac:dyDescent="0.25">
      <c r="B194" s="1598"/>
      <c r="C194" s="1654">
        <v>4</v>
      </c>
      <c r="D194" s="6221" t="s">
        <v>26</v>
      </c>
      <c r="E194" s="6222"/>
      <c r="F194" s="1671"/>
      <c r="G194" s="1671"/>
      <c r="H194" s="1670"/>
      <c r="I194" s="1602"/>
    </row>
    <row r="195" spans="2:9" x14ac:dyDescent="0.25">
      <c r="B195" s="1598"/>
      <c r="C195" s="1632">
        <v>4.0999999999999996</v>
      </c>
      <c r="D195" s="6216" t="s">
        <v>23</v>
      </c>
      <c r="E195" s="6217"/>
      <c r="F195" s="3839"/>
      <c r="G195" s="3839"/>
      <c r="H195" s="5867"/>
      <c r="I195" s="1602"/>
    </row>
    <row r="196" spans="2:9" x14ac:dyDescent="0.25">
      <c r="B196" s="1598"/>
      <c r="C196" s="1632">
        <v>4.2</v>
      </c>
      <c r="D196" s="6216" t="s">
        <v>24</v>
      </c>
      <c r="E196" s="6217"/>
      <c r="F196" s="3839"/>
      <c r="G196" s="3839"/>
      <c r="H196" s="5890"/>
      <c r="I196" s="1602"/>
    </row>
    <row r="197" spans="2:9" x14ac:dyDescent="0.25">
      <c r="B197" s="1598"/>
      <c r="C197" s="1632">
        <v>4.3</v>
      </c>
      <c r="D197" s="6216" t="s">
        <v>25</v>
      </c>
      <c r="E197" s="6217"/>
      <c r="F197" s="3839"/>
      <c r="G197" s="3839"/>
      <c r="H197" s="5890"/>
      <c r="I197" s="1602"/>
    </row>
    <row r="198" spans="2:9" x14ac:dyDescent="0.25">
      <c r="B198" s="1598"/>
      <c r="C198" s="1632">
        <v>4.4000000000000004</v>
      </c>
      <c r="D198" s="6216" t="s">
        <v>168</v>
      </c>
      <c r="E198" s="6217"/>
      <c r="F198" s="3839"/>
      <c r="G198" s="3839"/>
      <c r="H198" s="5868"/>
      <c r="I198" s="1602"/>
    </row>
    <row r="199" spans="2:9" x14ac:dyDescent="0.25">
      <c r="B199" s="1598"/>
      <c r="C199" s="1654">
        <v>5</v>
      </c>
      <c r="D199" s="6221" t="s">
        <v>254</v>
      </c>
      <c r="E199" s="6222"/>
      <c r="F199" s="1671"/>
      <c r="G199" s="1671"/>
      <c r="H199" s="1670"/>
      <c r="I199" s="1602"/>
    </row>
    <row r="200" spans="2:9" x14ac:dyDescent="0.25">
      <c r="B200" s="1598"/>
      <c r="C200" s="1632">
        <v>5.0999999999999996</v>
      </c>
      <c r="D200" s="6216" t="s">
        <v>256</v>
      </c>
      <c r="E200" s="6217"/>
      <c r="F200" s="3839"/>
      <c r="G200" s="5891"/>
      <c r="H200" s="5867"/>
      <c r="I200" s="1602"/>
    </row>
    <row r="201" spans="2:9" x14ac:dyDescent="0.25">
      <c r="B201" s="1598"/>
      <c r="C201" s="1632">
        <v>5.3</v>
      </c>
      <c r="D201" s="6216" t="s">
        <v>255</v>
      </c>
      <c r="E201" s="6217"/>
      <c r="F201" s="3839"/>
      <c r="G201" s="5891"/>
      <c r="H201" s="5890"/>
      <c r="I201" s="1602"/>
    </row>
    <row r="202" spans="2:9" x14ac:dyDescent="0.25">
      <c r="B202" s="1598"/>
      <c r="C202" s="1632">
        <v>5.2</v>
      </c>
      <c r="D202" s="6216" t="s">
        <v>1957</v>
      </c>
      <c r="E202" s="6217"/>
      <c r="F202" s="3839"/>
      <c r="G202" s="5891"/>
      <c r="H202" s="5868"/>
      <c r="I202" s="1602"/>
    </row>
    <row r="203" spans="2:9" x14ac:dyDescent="0.25">
      <c r="B203" s="1598"/>
      <c r="C203" s="1601"/>
      <c r="D203" s="1601"/>
      <c r="E203" s="1601"/>
      <c r="F203" s="1601"/>
      <c r="G203" s="1601"/>
      <c r="H203" s="1601"/>
      <c r="I203" s="1602"/>
    </row>
    <row r="204" spans="2:9" x14ac:dyDescent="0.25">
      <c r="B204" s="1669" t="s">
        <v>728</v>
      </c>
      <c r="C204" s="1635" t="s">
        <v>1016</v>
      </c>
      <c r="D204" s="1601"/>
      <c r="E204" s="1601"/>
      <c r="F204" s="1601"/>
      <c r="G204" s="1601"/>
      <c r="H204" s="1601"/>
      <c r="I204" s="1602"/>
    </row>
    <row r="205" spans="2:9" x14ac:dyDescent="0.25">
      <c r="B205" s="1598"/>
      <c r="C205" s="1653" t="s">
        <v>1010</v>
      </c>
      <c r="D205" s="6223" t="s">
        <v>4</v>
      </c>
      <c r="E205" s="6224"/>
      <c r="F205" s="1653" t="s">
        <v>33</v>
      </c>
      <c r="G205" s="1627" t="s">
        <v>9</v>
      </c>
      <c r="H205" s="5726" t="s">
        <v>2156</v>
      </c>
      <c r="I205" s="1602"/>
    </row>
    <row r="206" spans="2:9" x14ac:dyDescent="0.25">
      <c r="B206" s="1598"/>
      <c r="C206" s="1637">
        <v>1</v>
      </c>
      <c r="D206" s="6226" t="s">
        <v>1585</v>
      </c>
      <c r="E206" s="6227"/>
      <c r="F206" s="1643" t="s">
        <v>31</v>
      </c>
      <c r="G206" s="3835"/>
      <c r="H206" s="5885"/>
      <c r="I206" s="1602"/>
    </row>
    <row r="207" spans="2:9" x14ac:dyDescent="0.25">
      <c r="B207" s="1598"/>
      <c r="C207" s="1637">
        <v>2</v>
      </c>
      <c r="D207" s="6226" t="s">
        <v>1586</v>
      </c>
      <c r="E207" s="6227"/>
      <c r="F207" s="1643" t="s">
        <v>31</v>
      </c>
      <c r="G207" s="3835"/>
      <c r="H207" s="5886"/>
      <c r="I207" s="1602"/>
    </row>
    <row r="208" spans="2:9" x14ac:dyDescent="0.25">
      <c r="B208" s="1598"/>
      <c r="C208" s="1637">
        <v>3</v>
      </c>
      <c r="D208" s="6226" t="s">
        <v>1956</v>
      </c>
      <c r="E208" s="6227"/>
      <c r="F208" s="1643" t="s">
        <v>31</v>
      </c>
      <c r="G208" s="3835"/>
      <c r="H208" s="5886"/>
      <c r="I208" s="1602"/>
    </row>
    <row r="209" spans="2:9" x14ac:dyDescent="0.25">
      <c r="B209" s="1598"/>
      <c r="C209" s="1637">
        <v>4</v>
      </c>
      <c r="D209" s="6226" t="s">
        <v>26</v>
      </c>
      <c r="E209" s="6227"/>
      <c r="F209" s="1643" t="s">
        <v>31</v>
      </c>
      <c r="G209" s="3835"/>
      <c r="H209" s="5886"/>
      <c r="I209" s="1602"/>
    </row>
    <row r="210" spans="2:9" x14ac:dyDescent="0.25">
      <c r="B210" s="1598"/>
      <c r="C210" s="1637">
        <v>5</v>
      </c>
      <c r="D210" s="6226" t="s">
        <v>364</v>
      </c>
      <c r="E210" s="6227"/>
      <c r="F210" s="1643" t="s">
        <v>31</v>
      </c>
      <c r="G210" s="3835"/>
      <c r="H210" s="5889"/>
      <c r="I210" s="1602"/>
    </row>
    <row r="211" spans="2:9" x14ac:dyDescent="0.25">
      <c r="B211" s="1598"/>
      <c r="C211" s="1601"/>
      <c r="D211" s="1601"/>
      <c r="E211" s="1601"/>
      <c r="F211" s="1601"/>
      <c r="G211" s="1601"/>
      <c r="H211" s="1601"/>
      <c r="I211" s="1602"/>
    </row>
    <row r="212" spans="2:9" x14ac:dyDescent="0.25">
      <c r="B212" s="1669" t="s">
        <v>729</v>
      </c>
      <c r="C212" s="1635" t="s">
        <v>475</v>
      </c>
      <c r="D212" s="1601"/>
      <c r="E212" s="1601"/>
      <c r="F212" s="1601"/>
      <c r="G212" s="1601"/>
      <c r="H212" s="1601"/>
      <c r="I212" s="1602"/>
    </row>
    <row r="213" spans="2:9" x14ac:dyDescent="0.25">
      <c r="B213" s="1598"/>
      <c r="C213" s="1653" t="s">
        <v>1010</v>
      </c>
      <c r="D213" s="6223" t="s">
        <v>4</v>
      </c>
      <c r="E213" s="6224"/>
      <c r="F213" s="1653" t="s">
        <v>33</v>
      </c>
      <c r="G213" s="1627" t="s">
        <v>9</v>
      </c>
      <c r="H213" s="5726" t="s">
        <v>2156</v>
      </c>
      <c r="I213" s="1602"/>
    </row>
    <row r="214" spans="2:9" x14ac:dyDescent="0.25">
      <c r="B214" s="1598"/>
      <c r="C214" s="1637">
        <v>1</v>
      </c>
      <c r="D214" s="6226" t="s">
        <v>1602</v>
      </c>
      <c r="E214" s="6227"/>
      <c r="F214" s="1643" t="s">
        <v>1963</v>
      </c>
      <c r="G214" s="3839"/>
      <c r="H214" s="3839"/>
      <c r="I214" s="1602"/>
    </row>
    <row r="215" spans="2:9" x14ac:dyDescent="0.25">
      <c r="B215" s="1598"/>
      <c r="C215" s="1601"/>
      <c r="D215" s="1601"/>
      <c r="E215" s="1601"/>
      <c r="F215" s="1601"/>
      <c r="G215" s="1601"/>
      <c r="H215" s="1601"/>
      <c r="I215" s="1602"/>
    </row>
    <row r="216" spans="2:9" x14ac:dyDescent="0.25">
      <c r="B216" s="1598"/>
      <c r="C216" s="1601"/>
      <c r="D216" s="1601"/>
      <c r="E216" s="1601"/>
      <c r="F216" s="1601"/>
      <c r="G216" s="1601"/>
      <c r="H216" s="1601"/>
      <c r="I216" s="1602"/>
    </row>
    <row r="217" spans="2:9" ht="21" hidden="1" x14ac:dyDescent="0.25">
      <c r="B217" s="1603" t="s">
        <v>36</v>
      </c>
      <c r="C217" s="1604" t="s">
        <v>3429</v>
      </c>
      <c r="D217" s="1605"/>
      <c r="E217" s="1605"/>
      <c r="F217" s="1606"/>
      <c r="G217" s="1606"/>
      <c r="H217" s="1606"/>
      <c r="I217" s="1607"/>
    </row>
    <row r="218" spans="2:9" hidden="1" x14ac:dyDescent="0.25">
      <c r="B218" s="1655"/>
      <c r="C218" s="1601"/>
      <c r="D218" s="1601"/>
      <c r="E218" s="1601"/>
      <c r="F218" s="1601"/>
      <c r="G218" s="1672"/>
      <c r="H218" s="1672"/>
      <c r="I218" s="1602"/>
    </row>
    <row r="219" spans="2:9" ht="15.75" hidden="1" x14ac:dyDescent="0.25">
      <c r="B219" s="1655"/>
      <c r="C219" s="6213" t="s">
        <v>1603</v>
      </c>
      <c r="D219" s="6214"/>
      <c r="E219" s="6215"/>
      <c r="F219" s="6295" t="s">
        <v>3774</v>
      </c>
      <c r="G219" s="6296"/>
      <c r="H219" s="1614" t="s">
        <v>2156</v>
      </c>
      <c r="I219" s="1602"/>
    </row>
    <row r="220" spans="2:9" s="1675" customFormat="1" ht="32.25" hidden="1" customHeight="1" x14ac:dyDescent="0.25">
      <c r="B220" s="1673"/>
      <c r="C220" s="5266" t="s">
        <v>990</v>
      </c>
      <c r="D220" s="6269" t="s">
        <v>3007</v>
      </c>
      <c r="E220" s="6269"/>
      <c r="F220" s="6269"/>
      <c r="G220" s="6270"/>
      <c r="H220" s="3835"/>
      <c r="I220" s="1674"/>
    </row>
    <row r="221" spans="2:9" hidden="1" x14ac:dyDescent="0.25">
      <c r="B221" s="1655"/>
      <c r="C221" s="1601"/>
      <c r="D221" s="1601"/>
      <c r="E221" s="1601"/>
      <c r="F221" s="1601"/>
      <c r="G221" s="1672"/>
      <c r="H221" s="1672"/>
      <c r="I221" s="1602"/>
    </row>
    <row r="222" spans="2:9" hidden="1" x14ac:dyDescent="0.25">
      <c r="B222" s="1598"/>
      <c r="C222" s="1601"/>
      <c r="D222" s="1601"/>
      <c r="E222" s="1601"/>
      <c r="F222" s="1601"/>
      <c r="G222" s="1601"/>
      <c r="H222" s="1601"/>
      <c r="I222" s="1602"/>
    </row>
    <row r="223" spans="2:9" s="1608" customFormat="1" ht="15.75" hidden="1" x14ac:dyDescent="0.25">
      <c r="B223" s="1609" t="s">
        <v>2</v>
      </c>
      <c r="C223" s="1610" t="s">
        <v>1604</v>
      </c>
      <c r="D223" s="1611"/>
      <c r="E223" s="1611"/>
      <c r="F223" s="1668"/>
      <c r="G223" s="1611"/>
      <c r="H223" s="1611"/>
      <c r="I223" s="1612"/>
    </row>
    <row r="224" spans="2:9" hidden="1" x14ac:dyDescent="0.25">
      <c r="B224" s="1669" t="s">
        <v>725</v>
      </c>
      <c r="C224" s="1635" t="s">
        <v>1606</v>
      </c>
      <c r="D224" s="1647"/>
      <c r="E224" s="1647"/>
      <c r="F224" s="1601"/>
      <c r="G224" s="1601"/>
      <c r="H224" s="1601"/>
      <c r="I224" s="1602"/>
    </row>
    <row r="225" spans="2:9" hidden="1" x14ac:dyDescent="0.25">
      <c r="B225" s="1655"/>
      <c r="C225" s="1653" t="s">
        <v>1010</v>
      </c>
      <c r="D225" s="6223" t="s">
        <v>4</v>
      </c>
      <c r="E225" s="6224"/>
      <c r="F225" s="1653" t="s">
        <v>33</v>
      </c>
      <c r="G225" s="1627" t="s">
        <v>9</v>
      </c>
      <c r="H225" s="1614" t="s">
        <v>2156</v>
      </c>
      <c r="I225" s="1602"/>
    </row>
    <row r="226" spans="2:9" hidden="1" x14ac:dyDescent="0.25">
      <c r="B226" s="1655"/>
      <c r="C226" s="1637">
        <v>1</v>
      </c>
      <c r="D226" s="6226" t="s">
        <v>175</v>
      </c>
      <c r="E226" s="6227"/>
      <c r="F226" s="1676" t="s">
        <v>19</v>
      </c>
      <c r="G226" s="6115">
        <f>0.8*G50</f>
        <v>0</v>
      </c>
      <c r="H226" s="5886"/>
      <c r="I226" s="1602"/>
    </row>
    <row r="227" spans="2:9" hidden="1" x14ac:dyDescent="0.25">
      <c r="B227" s="1655"/>
      <c r="C227" s="1637">
        <v>2</v>
      </c>
      <c r="D227" s="6226" t="s">
        <v>174</v>
      </c>
      <c r="E227" s="6227"/>
      <c r="F227" s="1643" t="s">
        <v>80</v>
      </c>
      <c r="G227" s="3835"/>
      <c r="H227" s="5886"/>
      <c r="I227" s="1602"/>
    </row>
    <row r="228" spans="2:9" hidden="1" x14ac:dyDescent="0.25">
      <c r="B228" s="1655"/>
      <c r="C228" s="1637">
        <v>3</v>
      </c>
      <c r="D228" s="6226" t="s">
        <v>1295</v>
      </c>
      <c r="E228" s="6227"/>
      <c r="F228" s="1676" t="s">
        <v>1953</v>
      </c>
      <c r="G228" s="3835"/>
      <c r="H228" s="5886"/>
      <c r="I228" s="1602"/>
    </row>
    <row r="229" spans="2:9" hidden="1" x14ac:dyDescent="0.25">
      <c r="B229" s="1655"/>
      <c r="C229" s="1637">
        <v>4</v>
      </c>
      <c r="D229" s="6226" t="s">
        <v>1730</v>
      </c>
      <c r="E229" s="6227"/>
      <c r="F229" s="1676" t="s">
        <v>207</v>
      </c>
      <c r="G229" s="3840" t="s">
        <v>3775</v>
      </c>
      <c r="H229" s="5887"/>
      <c r="I229" s="1602"/>
    </row>
    <row r="230" spans="2:9" hidden="1" x14ac:dyDescent="0.25">
      <c r="B230" s="1655"/>
      <c r="C230" s="1637">
        <v>5</v>
      </c>
      <c r="D230" s="6226" t="s">
        <v>1607</v>
      </c>
      <c r="E230" s="6227"/>
      <c r="F230" s="1676" t="s">
        <v>18</v>
      </c>
      <c r="G230" s="3845"/>
      <c r="H230" s="5888"/>
      <c r="I230" s="1602"/>
    </row>
    <row r="231" spans="2:9" hidden="1" x14ac:dyDescent="0.25">
      <c r="B231" s="1655"/>
      <c r="C231" s="1601"/>
      <c r="D231" s="1601"/>
      <c r="E231" s="1601"/>
      <c r="F231" s="1601"/>
      <c r="G231" s="1672"/>
      <c r="H231" s="1672"/>
      <c r="I231" s="1602"/>
    </row>
    <row r="232" spans="2:9" hidden="1" x14ac:dyDescent="0.25">
      <c r="B232" s="1669" t="s">
        <v>726</v>
      </c>
      <c r="C232" s="1635" t="s">
        <v>1608</v>
      </c>
      <c r="D232" s="1601"/>
      <c r="E232" s="1601"/>
      <c r="F232" s="1601"/>
      <c r="G232" s="1601"/>
      <c r="H232" s="1601"/>
      <c r="I232" s="1602"/>
    </row>
    <row r="233" spans="2:9" ht="45" hidden="1" x14ac:dyDescent="0.25">
      <c r="B233" s="1598"/>
      <c r="C233" s="1653" t="s">
        <v>1010</v>
      </c>
      <c r="D233" s="1677" t="s">
        <v>4</v>
      </c>
      <c r="E233" s="1627" t="s">
        <v>179</v>
      </c>
      <c r="F233" s="1627" t="s">
        <v>1610</v>
      </c>
      <c r="G233" s="1627" t="s">
        <v>1609</v>
      </c>
      <c r="H233" s="5853" t="s">
        <v>2156</v>
      </c>
      <c r="I233" s="1602"/>
    </row>
    <row r="234" spans="2:9" ht="30" hidden="1" x14ac:dyDescent="0.25">
      <c r="B234" s="1598"/>
      <c r="C234" s="1628">
        <v>1</v>
      </c>
      <c r="D234" s="1678" t="s">
        <v>1585</v>
      </c>
      <c r="E234" s="3827"/>
      <c r="F234" s="3827"/>
      <c r="G234" s="6123"/>
      <c r="H234" s="5876"/>
      <c r="I234" s="1602"/>
    </row>
    <row r="235" spans="2:9" hidden="1" x14ac:dyDescent="0.25">
      <c r="B235" s="1598"/>
      <c r="C235" s="1628">
        <v>2</v>
      </c>
      <c r="D235" s="1678" t="s">
        <v>1586</v>
      </c>
      <c r="E235" s="3827"/>
      <c r="F235" s="3827"/>
      <c r="G235" s="6123"/>
      <c r="H235" s="5878"/>
      <c r="I235" s="1602"/>
    </row>
    <row r="236" spans="2:9" hidden="1" x14ac:dyDescent="0.25">
      <c r="B236" s="1598"/>
      <c r="C236" s="1628">
        <v>3</v>
      </c>
      <c r="D236" s="1678" t="s">
        <v>1611</v>
      </c>
      <c r="E236" s="3846"/>
      <c r="F236" s="1679"/>
      <c r="G236" s="1679"/>
      <c r="H236" s="1657"/>
      <c r="I236" s="1602"/>
    </row>
    <row r="237" spans="2:9" hidden="1" x14ac:dyDescent="0.25">
      <c r="B237" s="1598"/>
      <c r="C237" s="1628"/>
      <c r="D237" s="1680" t="s">
        <v>16</v>
      </c>
      <c r="E237" s="1681">
        <f>SUM(E234:E236)</f>
        <v>0</v>
      </c>
      <c r="F237" s="1681">
        <f>SUM(F234:F235)</f>
        <v>0</v>
      </c>
      <c r="G237" s="6124">
        <f>SUM(G234:G235)</f>
        <v>0</v>
      </c>
      <c r="H237" s="1657"/>
      <c r="I237" s="1602"/>
    </row>
    <row r="238" spans="2:9" ht="48" hidden="1" customHeight="1" x14ac:dyDescent="0.25">
      <c r="B238" s="1598"/>
      <c r="C238" s="1628">
        <v>4</v>
      </c>
      <c r="D238" s="1678" t="s">
        <v>1292</v>
      </c>
      <c r="E238" s="3847"/>
      <c r="F238" s="1679"/>
      <c r="G238" s="6125"/>
      <c r="H238" s="1658"/>
      <c r="I238" s="1602"/>
    </row>
    <row r="239" spans="2:9" hidden="1" x14ac:dyDescent="0.25">
      <c r="B239" s="1598"/>
      <c r="C239" s="1601"/>
      <c r="D239" s="1601"/>
      <c r="E239" s="1601"/>
      <c r="F239" s="1601"/>
      <c r="G239" s="1601"/>
      <c r="H239" s="1601"/>
      <c r="I239" s="1602"/>
    </row>
    <row r="240" spans="2:9" hidden="1" x14ac:dyDescent="0.25">
      <c r="B240" s="1669" t="s">
        <v>727</v>
      </c>
      <c r="C240" s="1635" t="s">
        <v>1612</v>
      </c>
      <c r="D240" s="1647"/>
      <c r="E240" s="1647"/>
      <c r="F240" s="1601"/>
      <c r="G240" s="1601"/>
      <c r="H240" s="1601"/>
      <c r="I240" s="1602"/>
    </row>
    <row r="241" spans="2:11" hidden="1" x14ac:dyDescent="0.25">
      <c r="B241" s="1655"/>
      <c r="C241" s="1653" t="s">
        <v>1010</v>
      </c>
      <c r="D241" s="6223" t="s">
        <v>4</v>
      </c>
      <c r="E241" s="6224"/>
      <c r="F241" s="1653" t="s">
        <v>33</v>
      </c>
      <c r="G241" s="1627" t="s">
        <v>9</v>
      </c>
      <c r="H241" s="5853" t="s">
        <v>2156</v>
      </c>
      <c r="I241" s="1602"/>
    </row>
    <row r="242" spans="2:11" hidden="1" x14ac:dyDescent="0.25">
      <c r="B242" s="1655"/>
      <c r="C242" s="1628">
        <v>1</v>
      </c>
      <c r="D242" s="6261" t="s">
        <v>1613</v>
      </c>
      <c r="E242" s="6262"/>
      <c r="F242" s="1682" t="s">
        <v>19</v>
      </c>
      <c r="G242" s="5588"/>
      <c r="H242" s="5600"/>
      <c r="I242" s="1602"/>
    </row>
    <row r="243" spans="2:11" hidden="1" x14ac:dyDescent="0.25">
      <c r="B243" s="1655"/>
      <c r="C243" s="1716">
        <v>2</v>
      </c>
      <c r="D243" s="6263" t="s">
        <v>2567</v>
      </c>
      <c r="E243" s="6264"/>
      <c r="F243" s="2937" t="s">
        <v>19</v>
      </c>
      <c r="G243" s="5588"/>
      <c r="H243" s="5869"/>
      <c r="I243" s="1602"/>
    </row>
    <row r="244" spans="2:11" hidden="1" x14ac:dyDescent="0.25">
      <c r="B244" s="1655"/>
      <c r="C244" s="6303">
        <v>3</v>
      </c>
      <c r="D244" s="6276" t="s">
        <v>2679</v>
      </c>
      <c r="E244" s="6277"/>
      <c r="F244" s="2938"/>
      <c r="G244" s="6116"/>
      <c r="H244" s="6121"/>
      <c r="I244" s="1602"/>
    </row>
    <row r="245" spans="2:11" hidden="1" x14ac:dyDescent="0.25">
      <c r="B245" s="1655"/>
      <c r="C245" s="6304"/>
      <c r="D245" s="6274" t="s">
        <v>2680</v>
      </c>
      <c r="E245" s="6275"/>
      <c r="F245" s="2939" t="s">
        <v>19</v>
      </c>
      <c r="G245" s="6117"/>
      <c r="H245" s="3849"/>
      <c r="I245" s="1602"/>
    </row>
    <row r="246" spans="2:11" hidden="1" x14ac:dyDescent="0.25">
      <c r="B246" s="1655"/>
      <c r="C246" s="6304"/>
      <c r="D246" s="6280" t="s">
        <v>2681</v>
      </c>
      <c r="E246" s="6281"/>
      <c r="F246" s="2940" t="s">
        <v>1160</v>
      </c>
      <c r="G246" s="6118"/>
      <c r="H246" s="3849"/>
      <c r="I246" s="1602"/>
    </row>
    <row r="247" spans="2:11" hidden="1" x14ac:dyDescent="0.25">
      <c r="B247" s="1655"/>
      <c r="C247" s="6305"/>
      <c r="D247" s="6282"/>
      <c r="E247" s="6283"/>
      <c r="F247" s="2941" t="s">
        <v>19</v>
      </c>
      <c r="G247" s="6119"/>
      <c r="H247" s="6122"/>
      <c r="I247" s="1602"/>
    </row>
    <row r="248" spans="2:11" ht="30.75" hidden="1" customHeight="1" x14ac:dyDescent="0.25">
      <c r="B248" s="1655"/>
      <c r="C248" s="1716">
        <v>4</v>
      </c>
      <c r="D248" s="6263" t="s">
        <v>2717</v>
      </c>
      <c r="E248" s="6264"/>
      <c r="F248" s="2937" t="s">
        <v>18</v>
      </c>
      <c r="G248" s="6120"/>
      <c r="H248" s="5882"/>
      <c r="I248" s="2297"/>
    </row>
    <row r="249" spans="2:11" hidden="1" x14ac:dyDescent="0.25">
      <c r="B249" s="1655"/>
      <c r="C249" s="1716">
        <v>5</v>
      </c>
      <c r="D249" s="6263" t="s">
        <v>2668</v>
      </c>
      <c r="E249" s="6264"/>
      <c r="F249" s="1715" t="s">
        <v>19</v>
      </c>
      <c r="G249" s="5968">
        <v>4.0671999999999997</v>
      </c>
      <c r="H249" s="5883"/>
      <c r="I249" s="1602"/>
    </row>
    <row r="250" spans="2:11" hidden="1" x14ac:dyDescent="0.25">
      <c r="B250" s="1598"/>
      <c r="C250" s="1601"/>
      <c r="D250" s="1601"/>
      <c r="E250" s="1601"/>
      <c r="F250" s="1601"/>
      <c r="G250" s="1601"/>
      <c r="H250" s="1601"/>
      <c r="I250" s="1602"/>
    </row>
    <row r="251" spans="2:11" hidden="1" x14ac:dyDescent="0.25">
      <c r="B251" s="1598"/>
      <c r="C251" s="1601"/>
      <c r="D251" s="1601"/>
      <c r="E251" s="1601"/>
      <c r="F251" s="1601"/>
      <c r="G251" s="1601"/>
      <c r="H251" s="1601"/>
      <c r="I251" s="1602"/>
    </row>
    <row r="252" spans="2:11" s="1608" customFormat="1" ht="15.75" hidden="1" x14ac:dyDescent="0.25">
      <c r="B252" s="1609" t="s">
        <v>8</v>
      </c>
      <c r="C252" s="1610" t="s">
        <v>1605</v>
      </c>
      <c r="D252" s="1611"/>
      <c r="E252" s="1611"/>
      <c r="F252" s="1668"/>
      <c r="G252" s="1611"/>
      <c r="H252" s="1611"/>
      <c r="I252" s="1612"/>
      <c r="K252" s="1683"/>
    </row>
    <row r="253" spans="2:11" hidden="1" x14ac:dyDescent="0.25">
      <c r="B253" s="1669" t="s">
        <v>725</v>
      </c>
      <c r="C253" s="1599" t="s">
        <v>2455</v>
      </c>
      <c r="D253" s="1601"/>
      <c r="E253" s="1601"/>
      <c r="F253" s="1601"/>
      <c r="G253" s="1601"/>
      <c r="H253" s="1601"/>
      <c r="I253" s="1602"/>
    </row>
    <row r="254" spans="2:11" hidden="1" x14ac:dyDescent="0.25">
      <c r="B254" s="1598"/>
      <c r="C254" s="1653" t="s">
        <v>1010</v>
      </c>
      <c r="D254" s="6223" t="s">
        <v>4</v>
      </c>
      <c r="E254" s="6224"/>
      <c r="F254" s="1653" t="s">
        <v>1614</v>
      </c>
      <c r="G254" s="2059" t="s">
        <v>1294</v>
      </c>
      <c r="H254" s="1614" t="s">
        <v>2156</v>
      </c>
      <c r="I254" s="1602"/>
    </row>
    <row r="255" spans="2:11" ht="30" hidden="1" x14ac:dyDescent="0.25">
      <c r="B255" s="1598"/>
      <c r="C255" s="1628"/>
      <c r="D255" s="2061" t="s">
        <v>2453</v>
      </c>
      <c r="E255" s="2063" t="s">
        <v>2454</v>
      </c>
      <c r="F255" s="2065"/>
      <c r="G255" s="2060"/>
      <c r="H255" s="2060"/>
      <c r="I255" s="1602"/>
    </row>
    <row r="256" spans="2:11" ht="15" hidden="1" customHeight="1" x14ac:dyDescent="0.25">
      <c r="B256" s="1598"/>
      <c r="C256" s="1628">
        <v>1</v>
      </c>
      <c r="D256" s="2062" t="s">
        <v>605</v>
      </c>
      <c r="E256" s="2064" t="s">
        <v>1257</v>
      </c>
      <c r="F256" s="3828">
        <v>424</v>
      </c>
      <c r="G256" s="3828"/>
      <c r="H256" s="5876"/>
      <c r="I256" s="1602"/>
    </row>
    <row r="257" spans="2:9" hidden="1" x14ac:dyDescent="0.25">
      <c r="B257" s="1598"/>
      <c r="C257" s="1628">
        <v>2</v>
      </c>
      <c r="D257" s="2062" t="s">
        <v>605</v>
      </c>
      <c r="E257" s="2064" t="s">
        <v>2456</v>
      </c>
      <c r="F257" s="3828">
        <v>3816</v>
      </c>
      <c r="G257" s="3828">
        <v>189</v>
      </c>
      <c r="H257" s="5878"/>
      <c r="I257" s="1602"/>
    </row>
    <row r="258" spans="2:9" hidden="1" x14ac:dyDescent="0.25">
      <c r="B258" s="1598"/>
      <c r="C258" s="1628">
        <v>3</v>
      </c>
      <c r="D258" s="2062" t="s">
        <v>2457</v>
      </c>
      <c r="E258" s="2064" t="s">
        <v>2456</v>
      </c>
      <c r="F258" s="3828">
        <v>211</v>
      </c>
      <c r="G258" s="3828">
        <v>2</v>
      </c>
      <c r="H258" s="5877"/>
      <c r="I258" s="1602"/>
    </row>
    <row r="259" spans="2:9" hidden="1" x14ac:dyDescent="0.25">
      <c r="B259" s="1598"/>
      <c r="C259" s="2051"/>
      <c r="D259" s="6278" t="s">
        <v>16</v>
      </c>
      <c r="E259" s="6279"/>
      <c r="F259" s="1681">
        <f>SUM(F256:F258)</f>
        <v>4451</v>
      </c>
      <c r="G259" s="1681">
        <f>SUM(G256:G258)</f>
        <v>191</v>
      </c>
      <c r="H259" s="1681"/>
      <c r="I259" s="1602"/>
    </row>
    <row r="260" spans="2:9" hidden="1" x14ac:dyDescent="0.25">
      <c r="B260" s="1598"/>
      <c r="C260" s="1601"/>
      <c r="D260" s="1601"/>
      <c r="E260" s="1601"/>
      <c r="F260" s="1601"/>
      <c r="G260" s="1601"/>
      <c r="H260" s="1601"/>
      <c r="I260" s="1602"/>
    </row>
    <row r="261" spans="2:9" hidden="1" x14ac:dyDescent="0.25">
      <c r="B261" s="1669" t="s">
        <v>726</v>
      </c>
      <c r="C261" s="1635" t="s">
        <v>3416</v>
      </c>
      <c r="D261" s="1601"/>
      <c r="E261" s="1601"/>
      <c r="F261" s="1598"/>
      <c r="G261" s="1601"/>
      <c r="H261" s="1601"/>
      <c r="I261" s="1602"/>
    </row>
    <row r="262" spans="2:9" ht="15" hidden="1" customHeight="1" x14ac:dyDescent="0.25">
      <c r="B262" s="1669"/>
      <c r="C262" s="1653" t="s">
        <v>1010</v>
      </c>
      <c r="D262" s="5614" t="s">
        <v>3428</v>
      </c>
      <c r="E262" s="5615"/>
      <c r="F262" s="5616"/>
      <c r="G262" s="6017"/>
      <c r="H262" s="1478"/>
      <c r="I262" s="1602"/>
    </row>
    <row r="263" spans="2:9" hidden="1" x14ac:dyDescent="0.25">
      <c r="B263" s="1669"/>
      <c r="C263" s="1637">
        <v>1</v>
      </c>
      <c r="D263" s="6226" t="s">
        <v>3396</v>
      </c>
      <c r="E263" s="6256"/>
      <c r="F263" s="3838">
        <v>3</v>
      </c>
      <c r="G263" s="6288" t="s">
        <v>3922</v>
      </c>
      <c r="H263" s="6289"/>
      <c r="I263" s="1602"/>
    </row>
    <row r="264" spans="2:9" hidden="1" x14ac:dyDescent="0.25">
      <c r="B264" s="1669"/>
      <c r="C264" s="1637">
        <v>2</v>
      </c>
      <c r="D264" s="6226" t="s">
        <v>3397</v>
      </c>
      <c r="E264" s="6227"/>
      <c r="F264" s="3838">
        <v>1</v>
      </c>
      <c r="G264" s="6288"/>
      <c r="H264" s="6289"/>
      <c r="I264" s="1602"/>
    </row>
    <row r="265" spans="2:9" hidden="1" x14ac:dyDescent="0.25">
      <c r="B265" s="1669"/>
      <c r="C265" s="1635"/>
      <c r="D265" s="1601"/>
      <c r="E265" s="1601"/>
      <c r="F265" s="1598"/>
      <c r="G265" s="1601"/>
      <c r="H265" s="1601"/>
      <c r="I265" s="1602"/>
    </row>
    <row r="266" spans="2:9" hidden="1" x14ac:dyDescent="0.25">
      <c r="B266" s="1655"/>
      <c r="C266" s="1653" t="s">
        <v>1010</v>
      </c>
      <c r="D266" s="6223" t="s">
        <v>4</v>
      </c>
      <c r="E266" s="6224"/>
      <c r="F266" s="1653" t="s">
        <v>3789</v>
      </c>
      <c r="G266" s="1627" t="s">
        <v>1640</v>
      </c>
      <c r="H266" s="1614" t="s">
        <v>2156</v>
      </c>
      <c r="I266" s="1602"/>
    </row>
    <row r="267" spans="2:9" ht="31.5" hidden="1" customHeight="1" x14ac:dyDescent="0.25">
      <c r="B267" s="1655"/>
      <c r="C267" s="1637">
        <v>1</v>
      </c>
      <c r="D267" s="6226" t="s">
        <v>2120</v>
      </c>
      <c r="E267" s="6256"/>
      <c r="F267" s="3852" t="s">
        <v>176</v>
      </c>
      <c r="G267" s="3852" t="s">
        <v>176</v>
      </c>
      <c r="H267" s="5879"/>
      <c r="I267" s="1602"/>
    </row>
    <row r="268" spans="2:9" ht="30.75" hidden="1" customHeight="1" x14ac:dyDescent="0.25">
      <c r="B268" s="1655"/>
      <c r="C268" s="1637">
        <v>2</v>
      </c>
      <c r="D268" s="6226" t="s">
        <v>1615</v>
      </c>
      <c r="E268" s="6227"/>
      <c r="F268" s="3838">
        <v>1</v>
      </c>
      <c r="G268" s="3838">
        <v>0</v>
      </c>
      <c r="H268" s="5880"/>
      <c r="I268" s="1602"/>
    </row>
    <row r="269" spans="2:9" hidden="1" x14ac:dyDescent="0.25">
      <c r="B269" s="1655"/>
      <c r="C269" s="1637">
        <v>3</v>
      </c>
      <c r="D269" s="6263" t="s">
        <v>2602</v>
      </c>
      <c r="E269" s="6264"/>
      <c r="F269" s="3838">
        <v>5</v>
      </c>
      <c r="G269" s="3838"/>
      <c r="H269" s="5880"/>
      <c r="I269" s="1602"/>
    </row>
    <row r="270" spans="2:9" ht="57.75" hidden="1" customHeight="1" x14ac:dyDescent="0.25">
      <c r="B270" s="1655"/>
      <c r="C270" s="1637">
        <v>4</v>
      </c>
      <c r="D270" s="6263" t="s">
        <v>3408</v>
      </c>
      <c r="E270" s="6264"/>
      <c r="F270" s="3853">
        <v>1</v>
      </c>
      <c r="G270" s="3853"/>
      <c r="H270" s="5884"/>
      <c r="I270" s="1602"/>
    </row>
    <row r="271" spans="2:9" hidden="1" x14ac:dyDescent="0.25">
      <c r="B271" s="1655"/>
      <c r="C271" s="1601"/>
      <c r="D271" s="1601"/>
      <c r="E271" s="1601"/>
      <c r="F271" s="1685"/>
      <c r="G271" s="1601"/>
      <c r="H271" s="1601"/>
      <c r="I271" s="1602"/>
    </row>
    <row r="272" spans="2:9" hidden="1" x14ac:dyDescent="0.25">
      <c r="B272" s="1669" t="s">
        <v>727</v>
      </c>
      <c r="C272" s="1635" t="s">
        <v>1617</v>
      </c>
      <c r="D272" s="1601"/>
      <c r="E272" s="1601"/>
      <c r="F272" s="1598"/>
      <c r="G272" s="1601"/>
      <c r="H272" s="1601"/>
      <c r="I272" s="1602"/>
    </row>
    <row r="273" spans="2:14" hidden="1" x14ac:dyDescent="0.25">
      <c r="B273" s="1634"/>
      <c r="C273" s="1653" t="s">
        <v>1010</v>
      </c>
      <c r="D273" s="6223" t="s">
        <v>4</v>
      </c>
      <c r="E273" s="6224"/>
      <c r="F273" s="1653" t="s">
        <v>33</v>
      </c>
      <c r="G273" s="1627" t="s">
        <v>9</v>
      </c>
      <c r="H273" s="1614" t="s">
        <v>2156</v>
      </c>
      <c r="I273" s="1602"/>
    </row>
    <row r="274" spans="2:14" hidden="1" x14ac:dyDescent="0.25">
      <c r="B274" s="1655"/>
      <c r="C274" s="1637">
        <v>1</v>
      </c>
      <c r="D274" s="6226" t="s">
        <v>1616</v>
      </c>
      <c r="E274" s="6227"/>
      <c r="F274" s="1643" t="s">
        <v>1160</v>
      </c>
      <c r="G274" s="3851">
        <v>0</v>
      </c>
      <c r="H274" s="5598"/>
      <c r="I274" s="1602"/>
    </row>
    <row r="275" spans="2:14" hidden="1" x14ac:dyDescent="0.25">
      <c r="B275" s="1655"/>
      <c r="C275" s="1716">
        <v>2</v>
      </c>
      <c r="D275" s="6263" t="s">
        <v>2568</v>
      </c>
      <c r="E275" s="6264"/>
      <c r="F275" s="1715" t="s">
        <v>1160</v>
      </c>
      <c r="G275" s="3851">
        <v>0</v>
      </c>
      <c r="H275" s="3849"/>
      <c r="I275" s="1602"/>
    </row>
    <row r="276" spans="2:14" ht="30.75" hidden="1" customHeight="1" x14ac:dyDescent="0.25">
      <c r="B276" s="1655"/>
      <c r="C276" s="1716">
        <v>3</v>
      </c>
      <c r="D276" s="6263" t="s">
        <v>2714</v>
      </c>
      <c r="E276" s="6264"/>
      <c r="F276" s="2937" t="s">
        <v>18</v>
      </c>
      <c r="G276" s="3850"/>
      <c r="H276" s="5882"/>
      <c r="I276" s="2297"/>
    </row>
    <row r="277" spans="2:14" ht="15" hidden="1" customHeight="1" x14ac:dyDescent="0.25">
      <c r="B277" s="1655"/>
      <c r="C277" s="1716">
        <v>4</v>
      </c>
      <c r="D277" s="6263" t="s">
        <v>2695</v>
      </c>
      <c r="E277" s="6264"/>
      <c r="F277" s="1715" t="s">
        <v>1160</v>
      </c>
      <c r="G277" s="3851">
        <v>0</v>
      </c>
      <c r="H277" s="5883"/>
      <c r="I277" s="2297"/>
    </row>
    <row r="278" spans="2:14" hidden="1" x14ac:dyDescent="0.25">
      <c r="B278" s="1598"/>
      <c r="C278" s="1601"/>
      <c r="D278" s="1601"/>
      <c r="E278" s="1601"/>
      <c r="F278" s="1601"/>
      <c r="G278" s="1601"/>
      <c r="H278" s="1601"/>
      <c r="I278" s="1602"/>
    </row>
    <row r="279" spans="2:14" hidden="1" x14ac:dyDescent="0.25">
      <c r="B279" s="1669" t="s">
        <v>728</v>
      </c>
      <c r="C279" s="1686" t="s">
        <v>1618</v>
      </c>
      <c r="D279" s="1647"/>
      <c r="E279" s="1647"/>
      <c r="F279" s="1598"/>
      <c r="G279" s="1601"/>
      <c r="H279" s="1601"/>
      <c r="I279" s="1602"/>
    </row>
    <row r="280" spans="2:14" hidden="1" x14ac:dyDescent="0.25">
      <c r="B280" s="1655"/>
      <c r="C280" s="1653" t="s">
        <v>1010</v>
      </c>
      <c r="D280" s="6223" t="s">
        <v>4</v>
      </c>
      <c r="E280" s="6224"/>
      <c r="F280" s="1653" t="s">
        <v>33</v>
      </c>
      <c r="G280" s="1627" t="s">
        <v>9</v>
      </c>
      <c r="H280" s="1614" t="s">
        <v>2156</v>
      </c>
      <c r="I280" s="1602"/>
    </row>
    <row r="281" spans="2:14" hidden="1" x14ac:dyDescent="0.25">
      <c r="B281" s="1655"/>
      <c r="C281" s="1628">
        <v>1</v>
      </c>
      <c r="D281" s="6261" t="s">
        <v>1619</v>
      </c>
      <c r="E281" s="6262"/>
      <c r="F281" s="1682" t="s">
        <v>19</v>
      </c>
      <c r="G281" s="3851">
        <v>0</v>
      </c>
      <c r="H281" s="6007"/>
      <c r="I281" s="1602"/>
    </row>
    <row r="282" spans="2:14" ht="15" hidden="1" customHeight="1" x14ac:dyDescent="0.25">
      <c r="B282" s="1655"/>
      <c r="C282" s="1716">
        <v>2</v>
      </c>
      <c r="D282" s="6263" t="s">
        <v>2634</v>
      </c>
      <c r="E282" s="6264"/>
      <c r="F282" s="1715" t="s">
        <v>19</v>
      </c>
      <c r="G282" s="3851">
        <v>0</v>
      </c>
      <c r="H282" s="6008"/>
      <c r="I282" s="1602"/>
    </row>
    <row r="283" spans="2:14" ht="30.75" hidden="1" customHeight="1" x14ac:dyDescent="0.25">
      <c r="B283" s="1655"/>
      <c r="C283" s="1716">
        <v>3</v>
      </c>
      <c r="D283" s="6263" t="s">
        <v>2718</v>
      </c>
      <c r="E283" s="6264"/>
      <c r="F283" s="2937" t="s">
        <v>18</v>
      </c>
      <c r="G283" s="3850">
        <v>0</v>
      </c>
      <c r="H283" s="6009"/>
      <c r="I283" s="2297"/>
    </row>
    <row r="284" spans="2:14" hidden="1" x14ac:dyDescent="0.25">
      <c r="B284" s="1655"/>
      <c r="C284" s="1716">
        <v>4</v>
      </c>
      <c r="D284" s="6263" t="s">
        <v>2635</v>
      </c>
      <c r="E284" s="6264"/>
      <c r="F284" s="1715" t="s">
        <v>19</v>
      </c>
      <c r="G284" s="3851">
        <v>0</v>
      </c>
      <c r="H284" s="6010"/>
      <c r="I284" s="1602"/>
    </row>
    <row r="285" spans="2:14" hidden="1" x14ac:dyDescent="0.25">
      <c r="B285" s="1655"/>
      <c r="C285" s="1601"/>
      <c r="D285" s="1601"/>
      <c r="E285" s="1601"/>
      <c r="F285" s="1601"/>
      <c r="G285" s="1601"/>
      <c r="H285" s="1601"/>
      <c r="I285" s="1602"/>
    </row>
    <row r="286" spans="2:14" hidden="1" x14ac:dyDescent="0.25">
      <c r="B286" s="1655"/>
      <c r="C286" s="1601"/>
      <c r="D286" s="1601"/>
      <c r="E286" s="1601"/>
      <c r="F286" s="1601"/>
      <c r="G286" s="1601"/>
      <c r="H286" s="1601"/>
      <c r="I286" s="1602"/>
    </row>
    <row r="287" spans="2:14" s="1608" customFormat="1" ht="15.75" hidden="1" x14ac:dyDescent="0.25">
      <c r="B287" s="1609" t="s">
        <v>10</v>
      </c>
      <c r="C287" s="1610" t="s">
        <v>2413</v>
      </c>
      <c r="D287" s="1611"/>
      <c r="E287" s="1611"/>
      <c r="F287" s="1668"/>
      <c r="G287" s="1611"/>
      <c r="H287" s="1611"/>
      <c r="I287" s="1612"/>
      <c r="N287" s="1687"/>
    </row>
    <row r="288" spans="2:14" hidden="1" x14ac:dyDescent="0.25">
      <c r="B288" s="1669" t="s">
        <v>725</v>
      </c>
      <c r="C288" s="1635" t="s">
        <v>37</v>
      </c>
      <c r="D288" s="1688"/>
      <c r="E288" s="1688"/>
      <c r="F288" s="1688"/>
      <c r="G288" s="1688"/>
      <c r="H288" s="1688"/>
      <c r="I288" s="1602"/>
    </row>
    <row r="289" spans="2:9" hidden="1" x14ac:dyDescent="0.25">
      <c r="B289" s="1689"/>
      <c r="C289" s="1653" t="s">
        <v>1010</v>
      </c>
      <c r="D289" s="6223" t="s">
        <v>4</v>
      </c>
      <c r="E289" s="6224"/>
      <c r="F289" s="1653" t="s">
        <v>1614</v>
      </c>
      <c r="G289" s="1627" t="s">
        <v>1294</v>
      </c>
      <c r="H289" s="5726" t="s">
        <v>2156</v>
      </c>
      <c r="I289" s="1602"/>
    </row>
    <row r="290" spans="2:9" ht="32.25" hidden="1" customHeight="1" x14ac:dyDescent="0.25">
      <c r="B290" s="1689"/>
      <c r="C290" s="1690">
        <v>1</v>
      </c>
      <c r="D290" s="6261" t="s">
        <v>1964</v>
      </c>
      <c r="E290" s="6262"/>
      <c r="F290" s="1691">
        <f>F259+G234</f>
        <v>4451</v>
      </c>
      <c r="G290" s="1692">
        <v>191</v>
      </c>
      <c r="H290" s="6006"/>
      <c r="I290" s="1602"/>
    </row>
    <row r="291" spans="2:9" hidden="1" x14ac:dyDescent="0.25">
      <c r="B291" s="1669"/>
      <c r="C291" s="1635"/>
      <c r="D291" s="1601"/>
      <c r="E291" s="1601"/>
      <c r="F291" s="1601"/>
      <c r="G291" s="1601"/>
      <c r="H291" s="1601"/>
      <c r="I291" s="1602"/>
    </row>
    <row r="292" spans="2:9" hidden="1" x14ac:dyDescent="0.25">
      <c r="B292" s="1669" t="s">
        <v>726</v>
      </c>
      <c r="C292" s="1635" t="s">
        <v>334</v>
      </c>
      <c r="D292" s="1601"/>
      <c r="E292" s="1601"/>
      <c r="F292" s="1601"/>
      <c r="G292" s="1601"/>
      <c r="H292" s="1601"/>
      <c r="I292" s="1602"/>
    </row>
    <row r="293" spans="2:9" ht="15" hidden="1" customHeight="1" x14ac:dyDescent="0.25">
      <c r="B293" s="1598"/>
      <c r="C293" s="1653" t="s">
        <v>1010</v>
      </c>
      <c r="D293" s="6223" t="s">
        <v>4</v>
      </c>
      <c r="E293" s="6224"/>
      <c r="F293" s="1653" t="s">
        <v>1614</v>
      </c>
      <c r="G293" s="1627" t="s">
        <v>1294</v>
      </c>
      <c r="H293" s="1614" t="s">
        <v>2156</v>
      </c>
      <c r="I293" s="1602"/>
    </row>
    <row r="294" spans="2:9" hidden="1" x14ac:dyDescent="0.25">
      <c r="B294" s="1598"/>
      <c r="C294" s="1618">
        <v>1</v>
      </c>
      <c r="D294" s="6255" t="s">
        <v>1288</v>
      </c>
      <c r="E294" s="6256"/>
      <c r="F294" s="3838">
        <v>46</v>
      </c>
      <c r="G294" s="3838">
        <v>2</v>
      </c>
      <c r="H294" s="5987"/>
      <c r="I294" s="1602"/>
    </row>
    <row r="295" spans="2:9" hidden="1" x14ac:dyDescent="0.25">
      <c r="B295" s="1598"/>
      <c r="C295" s="1618">
        <v>2</v>
      </c>
      <c r="D295" s="6255" t="s">
        <v>1620</v>
      </c>
      <c r="E295" s="6256"/>
      <c r="F295" s="3838">
        <v>253</v>
      </c>
      <c r="G295" s="3838">
        <v>12</v>
      </c>
      <c r="H295" s="5988"/>
      <c r="I295" s="1602"/>
    </row>
    <row r="296" spans="2:9" hidden="1" x14ac:dyDescent="0.25">
      <c r="B296" s="1598"/>
      <c r="C296" s="1618">
        <v>3</v>
      </c>
      <c r="D296" s="6255" t="s">
        <v>1621</v>
      </c>
      <c r="E296" s="6256"/>
      <c r="F296" s="3838">
        <v>45</v>
      </c>
      <c r="G296" s="3838">
        <v>0</v>
      </c>
      <c r="H296" s="5988"/>
      <c r="I296" s="1602"/>
    </row>
    <row r="297" spans="2:9" ht="30" hidden="1" customHeight="1" x14ac:dyDescent="0.25">
      <c r="B297" s="1598"/>
      <c r="C297" s="1637">
        <v>4</v>
      </c>
      <c r="D297" s="6226" t="s">
        <v>3840</v>
      </c>
      <c r="E297" s="6227"/>
      <c r="F297" s="3838">
        <v>10</v>
      </c>
      <c r="G297" s="3838">
        <v>13</v>
      </c>
      <c r="H297" s="5989"/>
      <c r="I297" s="1602"/>
    </row>
    <row r="298" spans="2:9" ht="15" hidden="1" customHeight="1" x14ac:dyDescent="0.25">
      <c r="B298" s="1598"/>
      <c r="C298" s="1693">
        <v>5</v>
      </c>
      <c r="D298" s="6265" t="s">
        <v>1622</v>
      </c>
      <c r="E298" s="6273"/>
      <c r="F298" s="6290"/>
      <c r="G298" s="6291"/>
      <c r="H298" s="6292"/>
      <c r="I298" s="1602"/>
    </row>
    <row r="299" spans="2:9" hidden="1" x14ac:dyDescent="0.25">
      <c r="B299" s="1598"/>
      <c r="C299" s="1695"/>
      <c r="D299" s="1696"/>
      <c r="E299" s="1697" t="s">
        <v>604</v>
      </c>
      <c r="F299" s="3854"/>
      <c r="G299" s="3854"/>
      <c r="H299" s="6004"/>
      <c r="I299" s="1602"/>
    </row>
    <row r="300" spans="2:9" hidden="1" x14ac:dyDescent="0.25">
      <c r="B300" s="1598"/>
      <c r="C300" s="1695"/>
      <c r="D300" s="1696"/>
      <c r="E300" s="1697" t="s">
        <v>605</v>
      </c>
      <c r="F300" s="3854">
        <v>46</v>
      </c>
      <c r="G300" s="3854">
        <v>2</v>
      </c>
      <c r="H300" s="6004"/>
      <c r="I300" s="1602"/>
    </row>
    <row r="301" spans="2:9" hidden="1" x14ac:dyDescent="0.25">
      <c r="B301" s="1598"/>
      <c r="C301" s="1616"/>
      <c r="D301" s="1698"/>
      <c r="E301" s="1699" t="s">
        <v>1300</v>
      </c>
      <c r="F301" s="1700">
        <f>F294-F299-F300</f>
        <v>0</v>
      </c>
      <c r="G301" s="1700">
        <f>G294-G299-G300</f>
        <v>0</v>
      </c>
      <c r="H301" s="6005"/>
      <c r="I301" s="1602"/>
    </row>
    <row r="302" spans="2:9" hidden="1" x14ac:dyDescent="0.25">
      <c r="B302" s="1598"/>
      <c r="C302" s="1601"/>
      <c r="D302" s="1601"/>
      <c r="E302" s="1601"/>
      <c r="F302" s="1601"/>
      <c r="G302" s="1601"/>
      <c r="H302" s="1601"/>
      <c r="I302" s="1602"/>
    </row>
    <row r="303" spans="2:9" hidden="1" x14ac:dyDescent="0.25">
      <c r="B303" s="1669" t="s">
        <v>727</v>
      </c>
      <c r="C303" s="1635" t="s">
        <v>954</v>
      </c>
      <c r="D303" s="1630"/>
      <c r="E303" s="1630"/>
      <c r="F303" s="1630"/>
      <c r="G303" s="1630"/>
      <c r="H303" s="1630"/>
      <c r="I303" s="1602"/>
    </row>
    <row r="304" spans="2:9" ht="15" hidden="1" customHeight="1" x14ac:dyDescent="0.25">
      <c r="B304" s="1598"/>
      <c r="C304" s="1653" t="s">
        <v>1010</v>
      </c>
      <c r="D304" s="6223" t="s">
        <v>4</v>
      </c>
      <c r="E304" s="6224"/>
      <c r="F304" s="6223" t="s">
        <v>955</v>
      </c>
      <c r="G304" s="6224"/>
      <c r="H304" s="1614" t="s">
        <v>2156</v>
      </c>
      <c r="I304" s="1602"/>
    </row>
    <row r="305" spans="2:9" hidden="1" x14ac:dyDescent="0.25">
      <c r="B305" s="1598"/>
      <c r="C305" s="1618">
        <v>1</v>
      </c>
      <c r="D305" s="6255" t="s">
        <v>1624</v>
      </c>
      <c r="E305" s="6256"/>
      <c r="F305" s="6253">
        <v>4</v>
      </c>
      <c r="G305" s="6254"/>
      <c r="H305" s="6002"/>
      <c r="I305" s="1602"/>
    </row>
    <row r="306" spans="2:9" hidden="1" x14ac:dyDescent="0.25">
      <c r="B306" s="1598"/>
      <c r="C306" s="1618">
        <v>2</v>
      </c>
      <c r="D306" s="6271" t="s">
        <v>1625</v>
      </c>
      <c r="E306" s="6272"/>
      <c r="F306" s="6253">
        <v>22</v>
      </c>
      <c r="G306" s="6254"/>
      <c r="H306" s="6003"/>
      <c r="I306" s="1602"/>
    </row>
    <row r="307" spans="2:9" hidden="1" x14ac:dyDescent="0.25">
      <c r="B307" s="1598"/>
      <c r="C307" s="1618">
        <v>3</v>
      </c>
      <c r="D307" s="6271" t="s">
        <v>1626</v>
      </c>
      <c r="E307" s="6272"/>
      <c r="F307" s="6253">
        <v>0</v>
      </c>
      <c r="G307" s="6254"/>
      <c r="H307" s="6003"/>
      <c r="I307" s="1602"/>
    </row>
    <row r="308" spans="2:9" ht="30.75" hidden="1" customHeight="1" x14ac:dyDescent="0.25">
      <c r="B308" s="1598"/>
      <c r="C308" s="1693">
        <v>4</v>
      </c>
      <c r="D308" s="6263" t="s">
        <v>2607</v>
      </c>
      <c r="E308" s="6264"/>
      <c r="F308" s="6253"/>
      <c r="G308" s="6254"/>
      <c r="H308" s="6001"/>
      <c r="I308" s="1602"/>
    </row>
    <row r="309" spans="2:9" hidden="1" x14ac:dyDescent="0.25">
      <c r="B309" s="1598"/>
      <c r="C309" s="1693">
        <v>5</v>
      </c>
      <c r="D309" s="6265" t="s">
        <v>1623</v>
      </c>
      <c r="E309" s="6273"/>
      <c r="F309" s="2191"/>
      <c r="G309" s="6293"/>
      <c r="H309" s="6294"/>
      <c r="I309" s="1602"/>
    </row>
    <row r="310" spans="2:9" hidden="1" x14ac:dyDescent="0.25">
      <c r="B310" s="1598"/>
      <c r="C310" s="1695"/>
      <c r="D310" s="1696"/>
      <c r="E310" s="1697" t="s">
        <v>604</v>
      </c>
      <c r="F310" s="6284"/>
      <c r="G310" s="6285"/>
      <c r="H310" s="6127"/>
      <c r="I310" s="1602"/>
    </row>
    <row r="311" spans="2:9" hidden="1" x14ac:dyDescent="0.25">
      <c r="B311" s="1598"/>
      <c r="C311" s="1695"/>
      <c r="D311" s="1696"/>
      <c r="E311" s="1697" t="s">
        <v>605</v>
      </c>
      <c r="F311" s="6284">
        <v>4</v>
      </c>
      <c r="G311" s="6285"/>
      <c r="H311" s="6128"/>
      <c r="I311" s="1602"/>
    </row>
    <row r="312" spans="2:9" hidden="1" x14ac:dyDescent="0.25">
      <c r="B312" s="1598"/>
      <c r="C312" s="1616"/>
      <c r="D312" s="1698"/>
      <c r="E312" s="1699" t="s">
        <v>1300</v>
      </c>
      <c r="F312" s="6286">
        <f>F305-F310-F311</f>
        <v>0</v>
      </c>
      <c r="G312" s="6287"/>
      <c r="H312" s="6126"/>
      <c r="I312" s="1602"/>
    </row>
    <row r="313" spans="2:9" hidden="1" x14ac:dyDescent="0.25">
      <c r="B313" s="1598"/>
      <c r="C313" s="1701"/>
      <c r="D313" s="1701"/>
      <c r="E313" s="1701"/>
      <c r="F313" s="1701"/>
      <c r="G313" s="1701"/>
      <c r="H313" s="1701"/>
      <c r="I313" s="1602"/>
    </row>
    <row r="314" spans="2:9" hidden="1" x14ac:dyDescent="0.25">
      <c r="B314" s="1598"/>
      <c r="C314" s="1601"/>
      <c r="D314" s="1601"/>
      <c r="E314" s="1601"/>
      <c r="F314" s="1601"/>
      <c r="G314" s="1601"/>
      <c r="H314" s="1601"/>
      <c r="I314" s="1602"/>
    </row>
    <row r="315" spans="2:9" s="1608" customFormat="1" ht="15.75" hidden="1" x14ac:dyDescent="0.25">
      <c r="B315" s="1609" t="s">
        <v>12</v>
      </c>
      <c r="C315" s="1610" t="s">
        <v>1287</v>
      </c>
      <c r="D315" s="1611"/>
      <c r="E315" s="1611"/>
      <c r="F315" s="1668"/>
      <c r="G315" s="1611"/>
      <c r="H315" s="1611"/>
      <c r="I315" s="1612"/>
    </row>
    <row r="316" spans="2:9" hidden="1" x14ac:dyDescent="0.25">
      <c r="B316" s="1669" t="s">
        <v>725</v>
      </c>
      <c r="C316" s="1635" t="s">
        <v>1627</v>
      </c>
      <c r="D316" s="1647"/>
      <c r="E316" s="1647"/>
      <c r="F316" s="1598"/>
      <c r="G316" s="1601"/>
      <c r="H316" s="1601"/>
      <c r="I316" s="1602"/>
    </row>
    <row r="317" spans="2:9" hidden="1" x14ac:dyDescent="0.25">
      <c r="B317" s="1655"/>
      <c r="C317" s="1653" t="s">
        <v>1010</v>
      </c>
      <c r="D317" s="6223" t="s">
        <v>4</v>
      </c>
      <c r="E317" s="6224"/>
      <c r="F317" s="1653" t="s">
        <v>33</v>
      </c>
      <c r="G317" s="1627" t="s">
        <v>9</v>
      </c>
      <c r="H317" s="1614" t="s">
        <v>2156</v>
      </c>
      <c r="I317" s="1602"/>
    </row>
    <row r="318" spans="2:9" ht="30.75" hidden="1" customHeight="1" x14ac:dyDescent="0.25">
      <c r="B318" s="1655"/>
      <c r="C318" s="1637">
        <v>1</v>
      </c>
      <c r="D318" s="6226" t="s">
        <v>1628</v>
      </c>
      <c r="E318" s="6227"/>
      <c r="F318" s="1702" t="s">
        <v>1965</v>
      </c>
      <c r="G318" s="3855"/>
      <c r="H318" s="5999"/>
      <c r="I318" s="1602"/>
    </row>
    <row r="319" spans="2:9" ht="31.5" hidden="1" customHeight="1" x14ac:dyDescent="0.25">
      <c r="B319" s="1655"/>
      <c r="C319" s="1637">
        <v>2</v>
      </c>
      <c r="D319" s="6226" t="s">
        <v>1629</v>
      </c>
      <c r="E319" s="6227"/>
      <c r="F319" s="1702" t="s">
        <v>1965</v>
      </c>
      <c r="G319" s="3855"/>
      <c r="H319" s="6000"/>
      <c r="I319" s="1602"/>
    </row>
    <row r="320" spans="2:9" hidden="1" x14ac:dyDescent="0.25">
      <c r="B320" s="1655"/>
      <c r="C320" s="1601"/>
      <c r="D320" s="1601"/>
      <c r="E320" s="1601"/>
      <c r="F320" s="1598"/>
      <c r="G320" s="1601"/>
      <c r="H320" s="1601"/>
      <c r="I320" s="1602"/>
    </row>
    <row r="321" spans="2:10" hidden="1" x14ac:dyDescent="0.25">
      <c r="B321" s="1669" t="s">
        <v>726</v>
      </c>
      <c r="C321" s="1599" t="s">
        <v>1289</v>
      </c>
      <c r="D321" s="1601"/>
      <c r="E321" s="1601"/>
      <c r="F321" s="1598"/>
      <c r="G321" s="1601"/>
      <c r="H321" s="1601"/>
      <c r="I321" s="1602"/>
    </row>
    <row r="322" spans="2:10" hidden="1" x14ac:dyDescent="0.25">
      <c r="B322" s="1655"/>
      <c r="C322" s="1653" t="s">
        <v>1010</v>
      </c>
      <c r="D322" s="6223" t="s">
        <v>4</v>
      </c>
      <c r="E322" s="6224"/>
      <c r="F322" s="1653" t="s">
        <v>33</v>
      </c>
      <c r="G322" s="1627" t="s">
        <v>9</v>
      </c>
      <c r="H322" s="1614" t="s">
        <v>2156</v>
      </c>
      <c r="I322" s="1602"/>
    </row>
    <row r="323" spans="2:10" ht="32.25" hidden="1" customHeight="1" x14ac:dyDescent="0.25">
      <c r="B323" s="1655"/>
      <c r="C323" s="1637">
        <v>1</v>
      </c>
      <c r="D323" s="6226" t="s">
        <v>1630</v>
      </c>
      <c r="E323" s="6227"/>
      <c r="F323" s="1702" t="s">
        <v>1965</v>
      </c>
      <c r="G323" s="3855">
        <v>0</v>
      </c>
      <c r="H323" s="5999"/>
      <c r="I323" s="1602"/>
    </row>
    <row r="324" spans="2:10" ht="32.25" hidden="1" customHeight="1" x14ac:dyDescent="0.25">
      <c r="B324" s="1655"/>
      <c r="C324" s="1637">
        <v>2</v>
      </c>
      <c r="D324" s="6226" t="s">
        <v>1631</v>
      </c>
      <c r="E324" s="6227"/>
      <c r="F324" s="1702" t="s">
        <v>1965</v>
      </c>
      <c r="G324" s="3855">
        <v>0</v>
      </c>
      <c r="H324" s="6000"/>
      <c r="I324" s="1602"/>
    </row>
    <row r="325" spans="2:10" hidden="1" x14ac:dyDescent="0.25">
      <c r="B325" s="1669"/>
      <c r="C325" s="1635"/>
      <c r="D325" s="1703"/>
      <c r="E325" s="1703"/>
      <c r="F325" s="1704"/>
      <c r="G325" s="1601"/>
      <c r="H325" s="1601"/>
      <c r="I325" s="1602"/>
    </row>
    <row r="326" spans="2:10" hidden="1" x14ac:dyDescent="0.25">
      <c r="B326" s="1669" t="s">
        <v>727</v>
      </c>
      <c r="C326" s="1635" t="s">
        <v>40</v>
      </c>
      <c r="D326" s="1703"/>
      <c r="E326" s="1703"/>
      <c r="F326" s="1704"/>
      <c r="G326" s="1601"/>
      <c r="H326" s="1601"/>
      <c r="I326" s="1602"/>
    </row>
    <row r="327" spans="2:10" hidden="1" x14ac:dyDescent="0.25">
      <c r="B327" s="1655"/>
      <c r="C327" s="1653" t="s">
        <v>1010</v>
      </c>
      <c r="D327" s="6223" t="s">
        <v>4</v>
      </c>
      <c r="E327" s="6224"/>
      <c r="F327" s="1653" t="s">
        <v>33</v>
      </c>
      <c r="G327" s="1627" t="s">
        <v>9</v>
      </c>
      <c r="H327" s="1614" t="s">
        <v>2156</v>
      </c>
      <c r="I327" s="1602"/>
    </row>
    <row r="328" spans="2:10" hidden="1" x14ac:dyDescent="0.25">
      <c r="B328" s="1655"/>
      <c r="C328" s="1637">
        <v>1</v>
      </c>
      <c r="D328" s="6226" t="s">
        <v>1966</v>
      </c>
      <c r="E328" s="6227"/>
      <c r="F328" s="1643" t="s">
        <v>1961</v>
      </c>
      <c r="G328" s="5729">
        <v>17.916666666666668</v>
      </c>
      <c r="H328" s="5997"/>
      <c r="I328" s="1602"/>
    </row>
    <row r="329" spans="2:10" hidden="1" x14ac:dyDescent="0.25">
      <c r="B329" s="1598"/>
      <c r="C329" s="1637">
        <v>2</v>
      </c>
      <c r="D329" s="6226" t="s">
        <v>35</v>
      </c>
      <c r="E329" s="6227"/>
      <c r="F329" s="1643" t="s">
        <v>1961</v>
      </c>
      <c r="G329" s="5729">
        <v>17.916666666666668</v>
      </c>
      <c r="H329" s="5998"/>
      <c r="I329" s="1602"/>
    </row>
    <row r="330" spans="2:10" hidden="1" x14ac:dyDescent="0.25">
      <c r="B330" s="1598"/>
      <c r="C330" s="1601"/>
      <c r="D330" s="1601"/>
      <c r="E330" s="1601"/>
      <c r="F330" s="1601"/>
      <c r="G330" s="1601"/>
      <c r="H330" s="1601"/>
      <c r="I330" s="1602"/>
    </row>
    <row r="331" spans="2:10" hidden="1" x14ac:dyDescent="0.25">
      <c r="B331" s="1655"/>
      <c r="C331" s="1601"/>
      <c r="D331" s="1601"/>
      <c r="E331" s="1601"/>
      <c r="F331" s="1601"/>
      <c r="G331" s="1601"/>
      <c r="H331" s="1601"/>
      <c r="I331" s="1602"/>
    </row>
    <row r="332" spans="2:10" s="1608" customFormat="1" ht="15.75" hidden="1" x14ac:dyDescent="0.25">
      <c r="B332" s="1609" t="s">
        <v>13</v>
      </c>
      <c r="C332" s="1610" t="s">
        <v>1136</v>
      </c>
      <c r="D332" s="1611"/>
      <c r="E332" s="1611"/>
      <c r="F332" s="1668"/>
      <c r="G332" s="1611"/>
      <c r="H332" s="1611"/>
      <c r="I332" s="1612"/>
    </row>
    <row r="333" spans="2:10" hidden="1" x14ac:dyDescent="0.25">
      <c r="B333" s="1669" t="s">
        <v>725</v>
      </c>
      <c r="C333" s="1635" t="s">
        <v>1633</v>
      </c>
      <c r="D333" s="1601"/>
      <c r="E333" s="1601"/>
      <c r="F333" s="1598"/>
      <c r="G333" s="1601"/>
      <c r="H333" s="1601"/>
      <c r="I333" s="1602"/>
    </row>
    <row r="334" spans="2:10" hidden="1" x14ac:dyDescent="0.25">
      <c r="B334" s="1598"/>
      <c r="C334" s="1653" t="s">
        <v>1010</v>
      </c>
      <c r="D334" s="6223" t="s">
        <v>4</v>
      </c>
      <c r="E334" s="6224"/>
      <c r="F334" s="1653" t="s">
        <v>33</v>
      </c>
      <c r="G334" s="1627" t="s">
        <v>9</v>
      </c>
      <c r="H334" s="1614" t="s">
        <v>2156</v>
      </c>
      <c r="I334" s="1602"/>
    </row>
    <row r="335" spans="2:10" hidden="1" x14ac:dyDescent="0.25">
      <c r="B335" s="1598"/>
      <c r="C335" s="1637">
        <v>1</v>
      </c>
      <c r="D335" s="6226" t="s">
        <v>173</v>
      </c>
      <c r="E335" s="6227"/>
      <c r="F335" s="1643" t="s">
        <v>1953</v>
      </c>
      <c r="G335" s="5566">
        <v>2.9</v>
      </c>
      <c r="H335" s="5994"/>
      <c r="I335" s="1629"/>
      <c r="J335" s="1705"/>
    </row>
    <row r="336" spans="2:10" hidden="1" x14ac:dyDescent="0.25">
      <c r="B336" s="1598"/>
      <c r="C336" s="1637">
        <v>2</v>
      </c>
      <c r="D336" s="6226" t="s">
        <v>172</v>
      </c>
      <c r="E336" s="6227"/>
      <c r="F336" s="1643" t="s">
        <v>80</v>
      </c>
      <c r="G336" s="5566">
        <v>70</v>
      </c>
      <c r="H336" s="5995"/>
      <c r="I336" s="1629"/>
      <c r="J336" s="1705"/>
    </row>
    <row r="337" spans="2:11" hidden="1" x14ac:dyDescent="0.25">
      <c r="B337" s="1598"/>
      <c r="C337" s="1637">
        <v>3</v>
      </c>
      <c r="D337" s="6226" t="s">
        <v>171</v>
      </c>
      <c r="E337" s="6227"/>
      <c r="F337" s="1643" t="s">
        <v>1953</v>
      </c>
      <c r="G337" s="5566"/>
      <c r="H337" s="5995"/>
      <c r="I337" s="1629"/>
      <c r="J337" s="1705"/>
    </row>
    <row r="338" spans="2:11" hidden="1" x14ac:dyDescent="0.25">
      <c r="B338" s="1598"/>
      <c r="C338" s="1637">
        <v>4</v>
      </c>
      <c r="D338" s="6226" t="s">
        <v>170</v>
      </c>
      <c r="E338" s="6227"/>
      <c r="F338" s="1643" t="s">
        <v>80</v>
      </c>
      <c r="G338" s="5566"/>
      <c r="H338" s="5996"/>
      <c r="I338" s="1629"/>
      <c r="K338" s="1663"/>
    </row>
    <row r="339" spans="2:11" hidden="1" x14ac:dyDescent="0.25">
      <c r="B339" s="1598"/>
      <c r="C339" s="1601"/>
      <c r="D339" s="1601"/>
      <c r="E339" s="1601"/>
      <c r="F339" s="1601"/>
      <c r="G339" s="1601"/>
      <c r="H339" s="1601"/>
      <c r="I339" s="1602"/>
    </row>
    <row r="340" spans="2:11" hidden="1" x14ac:dyDescent="0.25">
      <c r="B340" s="1669" t="s">
        <v>726</v>
      </c>
      <c r="C340" s="1635" t="s">
        <v>1632</v>
      </c>
      <c r="D340" s="1601"/>
      <c r="E340" s="1601"/>
      <c r="F340" s="1598"/>
      <c r="G340" s="1601"/>
      <c r="H340" s="1601"/>
      <c r="I340" s="1602"/>
    </row>
    <row r="341" spans="2:11" hidden="1" x14ac:dyDescent="0.25">
      <c r="B341" s="1598"/>
      <c r="C341" s="1653" t="s">
        <v>1010</v>
      </c>
      <c r="D341" s="6223" t="s">
        <v>4</v>
      </c>
      <c r="E341" s="6224"/>
      <c r="F341" s="1653" t="s">
        <v>33</v>
      </c>
      <c r="G341" s="1627" t="s">
        <v>9</v>
      </c>
      <c r="H341" s="1614" t="s">
        <v>2156</v>
      </c>
      <c r="I341" s="1602"/>
    </row>
    <row r="342" spans="2:11" hidden="1" x14ac:dyDescent="0.25">
      <c r="B342" s="1598"/>
      <c r="C342" s="1637">
        <v>1</v>
      </c>
      <c r="D342" s="6226" t="s">
        <v>1634</v>
      </c>
      <c r="E342" s="6227"/>
      <c r="F342" s="1643" t="s">
        <v>28</v>
      </c>
      <c r="G342" s="3829">
        <v>3</v>
      </c>
      <c r="H342" s="5992"/>
      <c r="I342" s="1629"/>
    </row>
    <row r="343" spans="2:11" hidden="1" x14ac:dyDescent="0.25">
      <c r="B343" s="1598"/>
      <c r="C343" s="1637">
        <v>2</v>
      </c>
      <c r="D343" s="6226" t="s">
        <v>1137</v>
      </c>
      <c r="E343" s="6227"/>
      <c r="F343" s="1643" t="s">
        <v>1635</v>
      </c>
      <c r="G343" s="3829">
        <v>1</v>
      </c>
      <c r="H343" s="5993"/>
      <c r="I343" s="1629"/>
    </row>
    <row r="344" spans="2:11" hidden="1" x14ac:dyDescent="0.25">
      <c r="B344" s="1598"/>
      <c r="C344" s="1601"/>
      <c r="D344" s="1601"/>
      <c r="E344" s="1601"/>
      <c r="F344" s="1601"/>
      <c r="G344" s="1601"/>
      <c r="H344" s="1601"/>
      <c r="I344" s="1602"/>
    </row>
    <row r="345" spans="2:11" hidden="1" x14ac:dyDescent="0.25">
      <c r="B345" s="1598"/>
      <c r="C345" s="1601"/>
      <c r="D345" s="1601"/>
      <c r="E345" s="1601"/>
      <c r="F345" s="1601"/>
      <c r="G345" s="1601"/>
      <c r="H345" s="1601"/>
      <c r="I345" s="1602"/>
    </row>
    <row r="346" spans="2:11" s="1608" customFormat="1" ht="15.75" hidden="1" x14ac:dyDescent="0.25">
      <c r="B346" s="1609" t="s">
        <v>22</v>
      </c>
      <c r="C346" s="1610" t="s">
        <v>3391</v>
      </c>
      <c r="D346" s="1611"/>
      <c r="E346" s="1611"/>
      <c r="F346" s="1668"/>
      <c r="G346" s="1611"/>
      <c r="H346" s="1611"/>
      <c r="I346" s="1612"/>
    </row>
    <row r="347" spans="2:11" hidden="1" x14ac:dyDescent="0.25">
      <c r="B347" s="1669" t="s">
        <v>725</v>
      </c>
      <c r="C347" s="1635" t="s">
        <v>1636</v>
      </c>
      <c r="D347" s="1601"/>
      <c r="E347" s="1601"/>
      <c r="F347" s="1601"/>
      <c r="G347" s="1601"/>
      <c r="H347" s="1601"/>
      <c r="I347" s="1602"/>
    </row>
    <row r="348" spans="2:11" ht="30" hidden="1" x14ac:dyDescent="0.25">
      <c r="B348" s="1655"/>
      <c r="C348" s="1627" t="s">
        <v>1010</v>
      </c>
      <c r="D348" s="6243" t="s">
        <v>4</v>
      </c>
      <c r="E348" s="6244"/>
      <c r="F348" s="1627" t="s">
        <v>1600</v>
      </c>
      <c r="G348" s="1627" t="s">
        <v>1644</v>
      </c>
      <c r="H348" s="1614" t="s">
        <v>2156</v>
      </c>
      <c r="I348" s="1602"/>
    </row>
    <row r="349" spans="2:11" hidden="1" x14ac:dyDescent="0.25">
      <c r="B349" s="1655"/>
      <c r="C349" s="6241">
        <v>1</v>
      </c>
      <c r="D349" s="6259" t="s">
        <v>1967</v>
      </c>
      <c r="E349" s="6260"/>
      <c r="F349" s="3856" t="s">
        <v>176</v>
      </c>
      <c r="G349" s="6251"/>
      <c r="H349" s="5987"/>
      <c r="I349" s="1602"/>
    </row>
    <row r="350" spans="2:11" hidden="1" x14ac:dyDescent="0.25">
      <c r="B350" s="1655"/>
      <c r="C350" s="6242"/>
      <c r="D350" s="6246" t="s">
        <v>384</v>
      </c>
      <c r="E350" s="6247"/>
      <c r="F350" s="3857" t="s">
        <v>3773</v>
      </c>
      <c r="G350" s="6252"/>
      <c r="H350" s="5988"/>
      <c r="I350" s="1602"/>
    </row>
    <row r="351" spans="2:11" hidden="1" x14ac:dyDescent="0.25">
      <c r="B351" s="1655"/>
      <c r="C351" s="1618">
        <v>2</v>
      </c>
      <c r="D351" s="6226" t="s">
        <v>3383</v>
      </c>
      <c r="E351" s="6227"/>
      <c r="F351" s="3858" t="s">
        <v>176</v>
      </c>
      <c r="G351" s="3859"/>
      <c r="H351" s="5991"/>
      <c r="I351" s="1602"/>
    </row>
    <row r="352" spans="2:11" hidden="1" x14ac:dyDescent="0.25">
      <c r="B352" s="1655"/>
      <c r="C352" s="1601"/>
      <c r="D352" s="1601"/>
      <c r="E352" s="1601"/>
      <c r="F352" s="1601"/>
      <c r="G352" s="1601"/>
      <c r="H352" s="1601"/>
      <c r="I352" s="1602"/>
    </row>
    <row r="353" spans="2:10" hidden="1" x14ac:dyDescent="0.25">
      <c r="B353" s="1669" t="s">
        <v>726</v>
      </c>
      <c r="C353" s="1635" t="s">
        <v>39</v>
      </c>
      <c r="D353" s="1601"/>
      <c r="E353" s="1601"/>
      <c r="F353" s="1601"/>
      <c r="G353" s="1601"/>
      <c r="H353" s="1601"/>
      <c r="I353" s="1602"/>
    </row>
    <row r="354" spans="2:10" hidden="1" x14ac:dyDescent="0.25">
      <c r="B354" s="1655"/>
      <c r="C354" s="1627" t="s">
        <v>1010</v>
      </c>
      <c r="D354" s="6243" t="s">
        <v>4</v>
      </c>
      <c r="E354" s="6244"/>
      <c r="F354" s="1627" t="s">
        <v>33</v>
      </c>
      <c r="G354" s="1627" t="s">
        <v>9</v>
      </c>
      <c r="H354" s="1614" t="s">
        <v>2156</v>
      </c>
      <c r="I354" s="1602"/>
    </row>
    <row r="355" spans="2:10" hidden="1" x14ac:dyDescent="0.25">
      <c r="B355" s="1655"/>
      <c r="C355" s="1637">
        <v>1</v>
      </c>
      <c r="D355" s="6226" t="s">
        <v>3788</v>
      </c>
      <c r="E355" s="6227"/>
      <c r="F355" s="1650" t="str">
        <f>IF($F$356="At the time of emptying","Rs./trip",IF(F356="-","-","Rs./annum"))</f>
        <v>-</v>
      </c>
      <c r="G355" s="6251">
        <v>500</v>
      </c>
      <c r="H355" s="5987"/>
      <c r="I355" s="1602"/>
    </row>
    <row r="356" spans="2:10" ht="29.25" hidden="1" customHeight="1" x14ac:dyDescent="0.2">
      <c r="B356" s="1655"/>
      <c r="C356" s="1637"/>
      <c r="D356" s="6248" t="s">
        <v>384</v>
      </c>
      <c r="E356" s="6249"/>
      <c r="F356" s="3855" t="s">
        <v>1520</v>
      </c>
      <c r="G356" s="6252"/>
      <c r="H356" s="5988"/>
      <c r="I356" s="1602"/>
      <c r="J356" s="5628"/>
    </row>
    <row r="357" spans="2:10" hidden="1" x14ac:dyDescent="0.25">
      <c r="B357" s="1655"/>
      <c r="C357" s="1618">
        <v>2</v>
      </c>
      <c r="D357" s="6226" t="s">
        <v>3384</v>
      </c>
      <c r="E357" s="6227"/>
      <c r="F357" s="3858" t="s">
        <v>3382</v>
      </c>
      <c r="G357" s="3828"/>
      <c r="H357" s="5989"/>
      <c r="I357" s="1602"/>
    </row>
    <row r="358" spans="2:10" hidden="1" x14ac:dyDescent="0.25">
      <c r="B358" s="1655"/>
      <c r="C358" s="1655"/>
      <c r="D358" s="1655"/>
      <c r="E358" s="1655"/>
      <c r="F358" s="1655"/>
      <c r="G358" s="1655"/>
      <c r="H358" s="1655"/>
      <c r="I358" s="1655"/>
    </row>
    <row r="359" spans="2:10" hidden="1" x14ac:dyDescent="0.25">
      <c r="B359" s="1655"/>
      <c r="C359" s="1637">
        <v>3</v>
      </c>
      <c r="D359" s="6226" t="s">
        <v>1639</v>
      </c>
      <c r="E359" s="6227"/>
      <c r="F359" s="1650" t="s">
        <v>1968</v>
      </c>
      <c r="G359" s="3838"/>
      <c r="H359" s="5990"/>
      <c r="I359" s="1602"/>
    </row>
    <row r="360" spans="2:10" hidden="1" x14ac:dyDescent="0.25">
      <c r="B360" s="1655"/>
      <c r="C360" s="1601"/>
      <c r="D360" s="1601"/>
      <c r="E360" s="1601"/>
      <c r="F360" s="1706"/>
      <c r="G360" s="1601"/>
      <c r="H360" s="1601"/>
      <c r="I360" s="1602"/>
    </row>
    <row r="361" spans="2:10" hidden="1" x14ac:dyDescent="0.25">
      <c r="B361" s="1669" t="s">
        <v>727</v>
      </c>
      <c r="C361" s="1635" t="s">
        <v>1638</v>
      </c>
      <c r="D361" s="1630"/>
      <c r="E361" s="1630"/>
      <c r="F361" s="1707"/>
      <c r="G361" s="1601"/>
      <c r="H361" s="1601"/>
      <c r="I361" s="1602"/>
    </row>
    <row r="362" spans="2:10" hidden="1" x14ac:dyDescent="0.25">
      <c r="B362" s="1655"/>
      <c r="C362" s="1627" t="s">
        <v>1010</v>
      </c>
      <c r="D362" s="6243" t="s">
        <v>4</v>
      </c>
      <c r="E362" s="6244"/>
      <c r="F362" s="1627" t="s">
        <v>33</v>
      </c>
      <c r="G362" s="1627" t="s">
        <v>9</v>
      </c>
      <c r="H362" s="1614" t="s">
        <v>2156</v>
      </c>
      <c r="I362" s="1602"/>
    </row>
    <row r="363" spans="2:10" hidden="1" x14ac:dyDescent="0.25">
      <c r="B363" s="1655"/>
      <c r="C363" s="1637">
        <v>1</v>
      </c>
      <c r="D363" s="6226" t="s">
        <v>1642</v>
      </c>
      <c r="E363" s="6227"/>
      <c r="F363" s="1650" t="s">
        <v>1969</v>
      </c>
      <c r="G363" s="3840"/>
      <c r="H363" s="5984"/>
      <c r="I363" s="1602"/>
    </row>
    <row r="364" spans="2:10" hidden="1" x14ac:dyDescent="0.25">
      <c r="B364" s="1655"/>
      <c r="C364" s="1637">
        <v>2</v>
      </c>
      <c r="D364" s="6226" t="s">
        <v>1643</v>
      </c>
      <c r="E364" s="6227"/>
      <c r="F364" s="1650" t="s">
        <v>1969</v>
      </c>
      <c r="G364" s="3860"/>
      <c r="H364" s="5985"/>
      <c r="I364" s="1602"/>
    </row>
    <row r="365" spans="2:10" hidden="1" x14ac:dyDescent="0.25">
      <c r="B365" s="1655"/>
      <c r="C365" s="1640">
        <v>3</v>
      </c>
      <c r="D365" s="6226" t="s">
        <v>1641</v>
      </c>
      <c r="E365" s="6245"/>
      <c r="F365" s="1650" t="s">
        <v>1969</v>
      </c>
      <c r="G365" s="3861"/>
      <c r="H365" s="5986"/>
      <c r="I365" s="1708"/>
      <c r="J365" s="1709"/>
    </row>
    <row r="366" spans="2:10" hidden="1" x14ac:dyDescent="0.25">
      <c r="B366" s="1655"/>
      <c r="C366" s="1601"/>
      <c r="D366" s="1601"/>
      <c r="E366" s="1601"/>
      <c r="F366" s="1601"/>
      <c r="G366" s="1601"/>
      <c r="H366" s="1601"/>
      <c r="I366" s="1602"/>
    </row>
    <row r="367" spans="2:10" hidden="1" x14ac:dyDescent="0.25">
      <c r="B367" s="1598"/>
      <c r="C367" s="1601"/>
      <c r="D367" s="1601"/>
      <c r="E367" s="1601"/>
      <c r="F367" s="1601"/>
      <c r="G367" s="1601"/>
      <c r="H367" s="1601"/>
      <c r="I367" s="1602"/>
    </row>
    <row r="368" spans="2:10" ht="21" hidden="1" x14ac:dyDescent="0.25">
      <c r="B368" s="1603" t="s">
        <v>150</v>
      </c>
      <c r="C368" s="1604" t="s">
        <v>1646</v>
      </c>
      <c r="D368" s="1605"/>
      <c r="E368" s="1605"/>
      <c r="F368" s="1606"/>
      <c r="G368" s="1606"/>
      <c r="H368" s="1606"/>
      <c r="I368" s="1607"/>
    </row>
    <row r="369" spans="2:9" s="1608" customFormat="1" ht="15.75" hidden="1" x14ac:dyDescent="0.25">
      <c r="B369" s="1609" t="s">
        <v>2</v>
      </c>
      <c r="C369" s="1610" t="s">
        <v>1527</v>
      </c>
      <c r="D369" s="1611"/>
      <c r="E369" s="1611"/>
      <c r="F369" s="1668"/>
      <c r="G369" s="1611"/>
      <c r="H369" s="1611"/>
      <c r="I369" s="1612"/>
    </row>
    <row r="370" spans="2:9" hidden="1" x14ac:dyDescent="0.25">
      <c r="B370" s="1669" t="s">
        <v>725</v>
      </c>
      <c r="C370" s="1635" t="s">
        <v>1527</v>
      </c>
      <c r="D370" s="1601"/>
      <c r="E370" s="1601"/>
      <c r="F370" s="1601"/>
      <c r="G370" s="1601"/>
      <c r="H370" s="1601"/>
      <c r="I370" s="1602"/>
    </row>
    <row r="371" spans="2:9" hidden="1" x14ac:dyDescent="0.25">
      <c r="B371" s="1655"/>
      <c r="C371" s="1627" t="s">
        <v>1010</v>
      </c>
      <c r="D371" s="6243" t="s">
        <v>4</v>
      </c>
      <c r="E371" s="6244"/>
      <c r="F371" s="1627" t="s">
        <v>33</v>
      </c>
      <c r="G371" s="1627" t="s">
        <v>9</v>
      </c>
      <c r="H371" s="1614" t="s">
        <v>2156</v>
      </c>
      <c r="I371" s="1602"/>
    </row>
    <row r="372" spans="2:9" hidden="1" x14ac:dyDescent="0.25">
      <c r="B372" s="1655"/>
      <c r="C372" s="1637">
        <v>1</v>
      </c>
      <c r="D372" s="6226" t="s">
        <v>1531</v>
      </c>
      <c r="E372" s="6227"/>
      <c r="F372" s="1643" t="s">
        <v>1417</v>
      </c>
      <c r="G372" s="3827">
        <v>360</v>
      </c>
      <c r="H372" s="3827"/>
      <c r="I372" s="1602"/>
    </row>
    <row r="373" spans="2:9" hidden="1" x14ac:dyDescent="0.25">
      <c r="B373" s="1655"/>
      <c r="C373" s="1637">
        <v>2</v>
      </c>
      <c r="D373" s="6226" t="s">
        <v>1532</v>
      </c>
      <c r="E373" s="6227"/>
      <c r="F373" s="1650" t="s">
        <v>1970</v>
      </c>
      <c r="G373" s="1710" t="str">
        <f>IFERROR((G372*10^3/30)/G18,"")</f>
        <v/>
      </c>
      <c r="H373" s="1710"/>
      <c r="I373" s="1602"/>
    </row>
    <row r="374" spans="2:9" ht="56.25" hidden="1" customHeight="1" x14ac:dyDescent="0.25">
      <c r="B374" s="1655"/>
      <c r="C374" s="1637">
        <v>3</v>
      </c>
      <c r="D374" s="6226" t="s">
        <v>1971</v>
      </c>
      <c r="E374" s="6227"/>
      <c r="F374" s="1650" t="s">
        <v>923</v>
      </c>
      <c r="G374" s="3862">
        <v>0</v>
      </c>
      <c r="H374" s="3862"/>
      <c r="I374" s="1602"/>
    </row>
    <row r="375" spans="2:9" hidden="1" x14ac:dyDescent="0.25">
      <c r="B375" s="1669"/>
      <c r="C375" s="1635"/>
      <c r="D375" s="1644"/>
      <c r="E375" s="1644"/>
      <c r="F375" s="1601"/>
      <c r="G375" s="1601"/>
      <c r="H375" s="1601"/>
      <c r="I375" s="1602"/>
    </row>
    <row r="376" spans="2:9" hidden="1" x14ac:dyDescent="0.25">
      <c r="B376" s="1669"/>
      <c r="C376" s="1635"/>
      <c r="D376" s="1644"/>
      <c r="E376" s="1644"/>
      <c r="F376" s="1601"/>
      <c r="G376" s="1601"/>
      <c r="H376" s="1601"/>
      <c r="I376" s="1602"/>
    </row>
    <row r="377" spans="2:9" s="1608" customFormat="1" ht="15.75" hidden="1" x14ac:dyDescent="0.25">
      <c r="B377" s="1609" t="s">
        <v>8</v>
      </c>
      <c r="C377" s="1610" t="s">
        <v>1528</v>
      </c>
      <c r="D377" s="1611"/>
      <c r="E377" s="1611"/>
      <c r="F377" s="1668"/>
      <c r="G377" s="1611"/>
      <c r="H377" s="1611"/>
      <c r="I377" s="1612"/>
    </row>
    <row r="378" spans="2:9" hidden="1" x14ac:dyDescent="0.25">
      <c r="B378" s="1669" t="s">
        <v>725</v>
      </c>
      <c r="C378" s="1635" t="s">
        <v>3009</v>
      </c>
      <c r="D378" s="1644"/>
      <c r="E378" s="1644"/>
      <c r="F378" s="1601"/>
      <c r="G378" s="1601"/>
      <c r="H378" s="1601"/>
      <c r="I378" s="1602"/>
    </row>
    <row r="379" spans="2:9" hidden="1" x14ac:dyDescent="0.25">
      <c r="B379" s="1598"/>
      <c r="C379" s="1627" t="s">
        <v>1010</v>
      </c>
      <c r="D379" s="6243" t="s">
        <v>4</v>
      </c>
      <c r="E379" s="6244"/>
      <c r="F379" s="1627" t="s">
        <v>33</v>
      </c>
      <c r="G379" s="1627" t="s">
        <v>9</v>
      </c>
      <c r="H379" s="1614" t="s">
        <v>2156</v>
      </c>
      <c r="I379" s="1602"/>
    </row>
    <row r="380" spans="2:9" hidden="1" x14ac:dyDescent="0.25">
      <c r="B380" s="1598"/>
      <c r="C380" s="1637">
        <v>1</v>
      </c>
      <c r="D380" s="6263" t="s">
        <v>3010</v>
      </c>
      <c r="E380" s="6264"/>
      <c r="F380" s="1650" t="s">
        <v>28</v>
      </c>
      <c r="G380" s="3828">
        <v>8647</v>
      </c>
      <c r="H380" s="5876"/>
      <c r="I380" s="1602"/>
    </row>
    <row r="381" spans="2:9" hidden="1" x14ac:dyDescent="0.25">
      <c r="B381" s="1598"/>
      <c r="C381" s="1637">
        <v>2</v>
      </c>
      <c r="D381" s="6263" t="s">
        <v>3011</v>
      </c>
      <c r="E381" s="6264"/>
      <c r="F381" s="1650" t="s">
        <v>28</v>
      </c>
      <c r="G381" s="3828">
        <v>360</v>
      </c>
      <c r="H381" s="5878"/>
      <c r="I381" s="1602"/>
    </row>
    <row r="382" spans="2:9" hidden="1" x14ac:dyDescent="0.25">
      <c r="B382" s="1598"/>
      <c r="C382" s="1637">
        <v>3</v>
      </c>
      <c r="D382" s="6226" t="s">
        <v>3012</v>
      </c>
      <c r="E382" s="6227"/>
      <c r="F382" s="1650" t="s">
        <v>28</v>
      </c>
      <c r="G382" s="3828">
        <v>8647</v>
      </c>
      <c r="H382" s="5877"/>
      <c r="I382" s="1602"/>
    </row>
    <row r="383" spans="2:9" hidden="1" x14ac:dyDescent="0.25">
      <c r="B383" s="1598"/>
      <c r="C383" s="1601"/>
      <c r="D383" s="1601"/>
      <c r="E383" s="1601"/>
      <c r="F383" s="1601"/>
      <c r="G383" s="1601"/>
      <c r="H383" s="1601"/>
      <c r="I383" s="1602"/>
    </row>
    <row r="384" spans="2:9" hidden="1" x14ac:dyDescent="0.25">
      <c r="B384" s="1669" t="s">
        <v>726</v>
      </c>
      <c r="C384" s="1635" t="s">
        <v>1529</v>
      </c>
      <c r="D384" s="1644"/>
      <c r="E384" s="1644"/>
      <c r="F384" s="1601"/>
      <c r="G384" s="1601"/>
      <c r="H384" s="1601"/>
      <c r="I384" s="1602"/>
    </row>
    <row r="385" spans="2:9" hidden="1" x14ac:dyDescent="0.25">
      <c r="B385" s="1598"/>
      <c r="C385" s="1627" t="s">
        <v>3</v>
      </c>
      <c r="D385" s="6243" t="s">
        <v>4</v>
      </c>
      <c r="E385" s="6244"/>
      <c r="F385" s="1627" t="s">
        <v>33</v>
      </c>
      <c r="G385" s="1627" t="s">
        <v>9</v>
      </c>
      <c r="H385" s="1614" t="s">
        <v>2156</v>
      </c>
      <c r="I385" s="1602"/>
    </row>
    <row r="386" spans="2:9" ht="30" hidden="1" customHeight="1" x14ac:dyDescent="0.25">
      <c r="B386" s="1598"/>
      <c r="C386" s="1628">
        <v>1</v>
      </c>
      <c r="D386" s="6261" t="s">
        <v>1647</v>
      </c>
      <c r="E386" s="6262"/>
      <c r="F386" s="1682" t="s">
        <v>28</v>
      </c>
      <c r="G386" s="3828"/>
      <c r="H386" s="5876"/>
      <c r="I386" s="1602"/>
    </row>
    <row r="387" spans="2:9" ht="30" hidden="1" customHeight="1" x14ac:dyDescent="0.25">
      <c r="B387" s="1598"/>
      <c r="C387" s="1628">
        <v>2</v>
      </c>
      <c r="D387" s="6261" t="s">
        <v>1648</v>
      </c>
      <c r="E387" s="6262"/>
      <c r="F387" s="1682" t="s">
        <v>28</v>
      </c>
      <c r="G387" s="3828"/>
      <c r="H387" s="5877"/>
      <c r="I387" s="1602"/>
    </row>
    <row r="388" spans="2:9" hidden="1" x14ac:dyDescent="0.25">
      <c r="B388" s="1669"/>
      <c r="C388" s="1635"/>
      <c r="D388" s="1644"/>
      <c r="E388" s="1644"/>
      <c r="F388" s="1601"/>
      <c r="G388" s="1601"/>
      <c r="H388" s="1601"/>
      <c r="I388" s="1602"/>
    </row>
    <row r="389" spans="2:9" hidden="1" x14ac:dyDescent="0.25">
      <c r="B389" s="1669" t="s">
        <v>727</v>
      </c>
      <c r="C389" s="1635" t="s">
        <v>1667</v>
      </c>
      <c r="D389" s="1644"/>
      <c r="E389" s="1644"/>
      <c r="F389" s="1601"/>
      <c r="G389" s="1601"/>
      <c r="H389" s="1601"/>
      <c r="I389" s="1602"/>
    </row>
    <row r="390" spans="2:9" hidden="1" x14ac:dyDescent="0.25">
      <c r="B390" s="1655"/>
      <c r="C390" s="1627" t="s">
        <v>1010</v>
      </c>
      <c r="D390" s="6243" t="s">
        <v>4</v>
      </c>
      <c r="E390" s="6244"/>
      <c r="F390" s="1627" t="s">
        <v>33</v>
      </c>
      <c r="G390" s="1627" t="s">
        <v>9</v>
      </c>
      <c r="H390" s="1614" t="s">
        <v>2156</v>
      </c>
      <c r="I390" s="1602"/>
    </row>
    <row r="391" spans="2:9" ht="57" hidden="1" customHeight="1" x14ac:dyDescent="0.25">
      <c r="B391" s="1655"/>
      <c r="C391" s="1637">
        <v>1</v>
      </c>
      <c r="D391" s="6235" t="s">
        <v>3008</v>
      </c>
      <c r="E391" s="6236"/>
      <c r="F391" s="1650" t="s">
        <v>207</v>
      </c>
      <c r="G391" s="5488"/>
      <c r="H391" s="5855"/>
      <c r="I391" s="1629"/>
    </row>
    <row r="392" spans="2:9" ht="30" hidden="1" customHeight="1" x14ac:dyDescent="0.25">
      <c r="B392" s="1655"/>
      <c r="C392" s="1637">
        <v>2</v>
      </c>
      <c r="D392" s="6235" t="s">
        <v>1701</v>
      </c>
      <c r="E392" s="6236"/>
      <c r="F392" s="1650" t="s">
        <v>207</v>
      </c>
      <c r="G392" s="5488"/>
      <c r="H392" s="5871"/>
      <c r="I392" s="1629"/>
    </row>
    <row r="393" spans="2:9" hidden="1" x14ac:dyDescent="0.25">
      <c r="B393" s="1655"/>
      <c r="C393" s="1637">
        <v>3</v>
      </c>
      <c r="D393" s="6226" t="s">
        <v>1649</v>
      </c>
      <c r="E393" s="6227"/>
      <c r="F393" s="1643" t="s">
        <v>207</v>
      </c>
      <c r="G393" s="3829">
        <v>75</v>
      </c>
      <c r="H393" s="5872"/>
      <c r="I393" s="1629"/>
    </row>
    <row r="394" spans="2:9" hidden="1" x14ac:dyDescent="0.25">
      <c r="B394" s="1655"/>
      <c r="C394" s="1637">
        <v>4</v>
      </c>
      <c r="D394" s="6226" t="s">
        <v>1650</v>
      </c>
      <c r="E394" s="6227"/>
      <c r="F394" s="1643" t="s">
        <v>1017</v>
      </c>
      <c r="G394" s="3863">
        <v>0.5</v>
      </c>
      <c r="H394" s="5873"/>
      <c r="I394" s="1629"/>
    </row>
    <row r="395" spans="2:9" hidden="1" x14ac:dyDescent="0.25">
      <c r="B395" s="1655"/>
      <c r="C395" s="1637">
        <v>5</v>
      </c>
      <c r="D395" s="6226" t="s">
        <v>1651</v>
      </c>
      <c r="E395" s="6227"/>
      <c r="F395" s="1643" t="s">
        <v>207</v>
      </c>
      <c r="G395" s="3864"/>
      <c r="H395" s="5874"/>
      <c r="I395" s="1629"/>
    </row>
    <row r="396" spans="2:9" hidden="1" x14ac:dyDescent="0.25">
      <c r="B396" s="1655"/>
      <c r="C396" s="1637">
        <v>6</v>
      </c>
      <c r="D396" s="6226" t="s">
        <v>1652</v>
      </c>
      <c r="E396" s="6227"/>
      <c r="F396" s="1643" t="s">
        <v>1017</v>
      </c>
      <c r="G396" s="3864"/>
      <c r="H396" s="5875"/>
      <c r="I396" s="1629"/>
    </row>
    <row r="397" spans="2:9" hidden="1" x14ac:dyDescent="0.25">
      <c r="B397" s="1669"/>
      <c r="C397" s="1635"/>
      <c r="D397" s="1644"/>
      <c r="E397" s="1644"/>
      <c r="F397" s="1601"/>
      <c r="G397" s="1601"/>
      <c r="H397" s="1601"/>
      <c r="I397" s="1602"/>
    </row>
    <row r="398" spans="2:9" hidden="1" x14ac:dyDescent="0.25">
      <c r="B398" s="1669" t="s">
        <v>728</v>
      </c>
      <c r="C398" s="1635" t="s">
        <v>386</v>
      </c>
      <c r="D398" s="1644"/>
      <c r="E398" s="1644"/>
      <c r="F398" s="1601"/>
      <c r="G398" s="1601"/>
      <c r="H398" s="1601"/>
      <c r="I398" s="1602"/>
    </row>
    <row r="399" spans="2:9" hidden="1" x14ac:dyDescent="0.25">
      <c r="B399" s="1655"/>
      <c r="C399" s="1627" t="s">
        <v>1010</v>
      </c>
      <c r="D399" s="6243" t="s">
        <v>4</v>
      </c>
      <c r="E399" s="6244"/>
      <c r="F399" s="1627" t="s">
        <v>33</v>
      </c>
      <c r="G399" s="1627" t="s">
        <v>9</v>
      </c>
      <c r="H399" s="1614" t="s">
        <v>2156</v>
      </c>
      <c r="I399" s="1602"/>
    </row>
    <row r="400" spans="2:9" hidden="1" x14ac:dyDescent="0.25">
      <c r="B400" s="1655"/>
      <c r="C400" s="1637">
        <v>1</v>
      </c>
      <c r="D400" s="6226" t="s">
        <v>1653</v>
      </c>
      <c r="E400" s="6227"/>
      <c r="F400" s="1643" t="s">
        <v>1961</v>
      </c>
      <c r="G400" s="3848">
        <v>26</v>
      </c>
      <c r="H400" s="5600"/>
      <c r="I400" s="1629"/>
    </row>
    <row r="401" spans="2:9" hidden="1" x14ac:dyDescent="0.25">
      <c r="B401" s="1655"/>
      <c r="C401" s="1637">
        <v>2</v>
      </c>
      <c r="D401" s="6226" t="s">
        <v>1654</v>
      </c>
      <c r="E401" s="6227"/>
      <c r="F401" s="1643" t="s">
        <v>1961</v>
      </c>
      <c r="G401" s="3848"/>
      <c r="H401" s="5869"/>
      <c r="I401" s="1629"/>
    </row>
    <row r="402" spans="2:9" hidden="1" x14ac:dyDescent="0.25">
      <c r="B402" s="1655"/>
      <c r="C402" s="1637">
        <v>3</v>
      </c>
      <c r="D402" s="6226" t="s">
        <v>1655</v>
      </c>
      <c r="E402" s="6227"/>
      <c r="F402" s="1643" t="s">
        <v>1961</v>
      </c>
      <c r="G402" s="3848"/>
      <c r="H402" s="5870"/>
      <c r="I402" s="1629"/>
    </row>
    <row r="403" spans="2:9" hidden="1" x14ac:dyDescent="0.25">
      <c r="B403" s="1598"/>
      <c r="C403" s="1601"/>
      <c r="D403" s="1601"/>
      <c r="E403" s="1601"/>
      <c r="F403" s="1601"/>
      <c r="G403" s="1601"/>
      <c r="H403" s="1601"/>
      <c r="I403" s="1602"/>
    </row>
    <row r="404" spans="2:9" hidden="1" x14ac:dyDescent="0.25">
      <c r="B404" s="1669" t="s">
        <v>729</v>
      </c>
      <c r="C404" s="1635" t="s">
        <v>40</v>
      </c>
      <c r="D404" s="1703"/>
      <c r="E404" s="1703"/>
      <c r="F404" s="1601"/>
      <c r="G404" s="1601"/>
      <c r="H404" s="1601"/>
      <c r="I404" s="1602"/>
    </row>
    <row r="405" spans="2:9" hidden="1" x14ac:dyDescent="0.25">
      <c r="B405" s="1598"/>
      <c r="C405" s="1627" t="s">
        <v>1010</v>
      </c>
      <c r="D405" s="6243" t="s">
        <v>4</v>
      </c>
      <c r="E405" s="6244"/>
      <c r="F405" s="1627" t="s">
        <v>33</v>
      </c>
      <c r="G405" s="1627" t="s">
        <v>9</v>
      </c>
      <c r="H405" s="1614" t="s">
        <v>2156</v>
      </c>
      <c r="I405" s="1602"/>
    </row>
    <row r="406" spans="2:9" hidden="1" x14ac:dyDescent="0.25">
      <c r="B406" s="1598"/>
      <c r="C406" s="1637">
        <v>1</v>
      </c>
      <c r="D406" s="6226" t="s">
        <v>1656</v>
      </c>
      <c r="E406" s="6227"/>
      <c r="F406" s="1643" t="s">
        <v>1961</v>
      </c>
      <c r="G406" s="3839">
        <v>38.333333333333336</v>
      </c>
      <c r="H406" s="5867"/>
      <c r="I406" s="1602"/>
    </row>
    <row r="407" spans="2:9" hidden="1" x14ac:dyDescent="0.25">
      <c r="B407" s="1598"/>
      <c r="C407" s="1637">
        <v>2</v>
      </c>
      <c r="D407" s="6226" t="s">
        <v>35</v>
      </c>
      <c r="E407" s="6227"/>
      <c r="F407" s="1643" t="s">
        <v>1961</v>
      </c>
      <c r="G407" s="3839">
        <v>37.083333333333336</v>
      </c>
      <c r="H407" s="5868"/>
      <c r="I407" s="1602"/>
    </row>
    <row r="408" spans="2:9" ht="11.25" hidden="1" customHeight="1" x14ac:dyDescent="0.25">
      <c r="B408" s="1598"/>
      <c r="C408" s="1601"/>
      <c r="D408" s="1601"/>
      <c r="E408" s="1601"/>
      <c r="F408" s="1601"/>
      <c r="G408" s="1601"/>
      <c r="H408" s="1601"/>
      <c r="I408" s="1602"/>
    </row>
    <row r="409" spans="2:9" ht="11.25" hidden="1" customHeight="1" x14ac:dyDescent="0.25">
      <c r="B409" s="1598"/>
      <c r="C409" s="1601"/>
      <c r="D409" s="1601"/>
      <c r="E409" s="1601"/>
      <c r="F409" s="1601"/>
      <c r="G409" s="1601"/>
      <c r="H409" s="1601"/>
      <c r="I409" s="1602"/>
    </row>
    <row r="410" spans="2:9" s="1608" customFormat="1" ht="15.75" hidden="1" x14ac:dyDescent="0.25">
      <c r="B410" s="1609" t="s">
        <v>10</v>
      </c>
      <c r="C410" s="1610" t="s">
        <v>1530</v>
      </c>
      <c r="D410" s="1611"/>
      <c r="E410" s="1611"/>
      <c r="F410" s="1668"/>
      <c r="G410" s="1611"/>
      <c r="H410" s="1611"/>
      <c r="I410" s="1612"/>
    </row>
    <row r="411" spans="2:9" hidden="1" x14ac:dyDescent="0.25">
      <c r="B411" s="1669" t="s">
        <v>725</v>
      </c>
      <c r="C411" s="1635" t="s">
        <v>1657</v>
      </c>
      <c r="D411" s="1644"/>
      <c r="E411" s="1644"/>
      <c r="F411" s="1601"/>
      <c r="G411" s="1601"/>
      <c r="H411" s="1601"/>
      <c r="I411" s="1602"/>
    </row>
    <row r="412" spans="2:9" ht="30" hidden="1" x14ac:dyDescent="0.25">
      <c r="B412" s="1655"/>
      <c r="C412" s="1627" t="s">
        <v>1010</v>
      </c>
      <c r="D412" s="6243" t="s">
        <v>4</v>
      </c>
      <c r="E412" s="6244"/>
      <c r="F412" s="1627" t="s">
        <v>387</v>
      </c>
      <c r="G412" s="1627" t="s">
        <v>1973</v>
      </c>
      <c r="H412" s="1614" t="s">
        <v>2156</v>
      </c>
      <c r="I412" s="1602"/>
    </row>
    <row r="413" spans="2:9" hidden="1" x14ac:dyDescent="0.25">
      <c r="B413" s="1598"/>
      <c r="C413" s="1637">
        <v>1</v>
      </c>
      <c r="D413" s="6226" t="s">
        <v>1148</v>
      </c>
      <c r="E413" s="6227"/>
      <c r="F413" s="3865">
        <v>4</v>
      </c>
      <c r="G413" s="3831">
        <v>0.5</v>
      </c>
      <c r="H413" s="5866"/>
      <c r="I413" s="1602"/>
    </row>
    <row r="414" spans="2:9" hidden="1" x14ac:dyDescent="0.25">
      <c r="B414" s="1598"/>
      <c r="C414" s="1637">
        <v>2</v>
      </c>
      <c r="D414" s="6226" t="s">
        <v>1149</v>
      </c>
      <c r="E414" s="6227"/>
      <c r="F414" s="3865">
        <v>0</v>
      </c>
      <c r="G414" s="3831">
        <v>0</v>
      </c>
      <c r="H414" s="5857"/>
      <c r="I414" s="1602"/>
    </row>
    <row r="415" spans="2:9" hidden="1" x14ac:dyDescent="0.25">
      <c r="B415" s="1598"/>
      <c r="C415" s="1637">
        <v>3</v>
      </c>
      <c r="D415" s="6226" t="s">
        <v>1150</v>
      </c>
      <c r="E415" s="6227"/>
      <c r="F415" s="3865">
        <v>1</v>
      </c>
      <c r="G415" s="3831">
        <v>1.5</v>
      </c>
      <c r="H415" s="5857"/>
      <c r="I415" s="1602"/>
    </row>
    <row r="416" spans="2:9" hidden="1" x14ac:dyDescent="0.25">
      <c r="B416" s="1598"/>
      <c r="C416" s="1637">
        <v>4</v>
      </c>
      <c r="D416" s="6226" t="s">
        <v>1151</v>
      </c>
      <c r="E416" s="6227"/>
      <c r="F416" s="3865">
        <v>0</v>
      </c>
      <c r="G416" s="3831">
        <v>0</v>
      </c>
      <c r="H416" s="5857"/>
      <c r="I416" s="1602"/>
    </row>
    <row r="417" spans="2:12" hidden="1" x14ac:dyDescent="0.25">
      <c r="B417" s="1598"/>
      <c r="C417" s="1637">
        <v>5</v>
      </c>
      <c r="D417" s="6226" t="s">
        <v>1152</v>
      </c>
      <c r="E417" s="6227"/>
      <c r="F417" s="3865">
        <v>0</v>
      </c>
      <c r="G417" s="3831">
        <v>0</v>
      </c>
      <c r="H417" s="5857"/>
      <c r="I417" s="1602"/>
    </row>
    <row r="418" spans="2:12" hidden="1" x14ac:dyDescent="0.25">
      <c r="B418" s="1598"/>
      <c r="C418" s="1637">
        <v>6</v>
      </c>
      <c r="D418" s="6226" t="s">
        <v>1153</v>
      </c>
      <c r="E418" s="6227"/>
      <c r="F418" s="3865">
        <v>1</v>
      </c>
      <c r="G418" s="3831">
        <v>3</v>
      </c>
      <c r="H418" s="5858"/>
      <c r="I418" s="1602"/>
    </row>
    <row r="419" spans="2:12" hidden="1" x14ac:dyDescent="0.25">
      <c r="B419" s="1598"/>
      <c r="C419" s="1601"/>
      <c r="D419" s="1601"/>
      <c r="E419" s="1601"/>
      <c r="F419" s="1601"/>
      <c r="G419" s="1601"/>
      <c r="H419" s="1601"/>
      <c r="I419" s="1602"/>
    </row>
    <row r="420" spans="2:12" hidden="1" x14ac:dyDescent="0.25">
      <c r="B420" s="1669" t="s">
        <v>726</v>
      </c>
      <c r="C420" s="1635" t="s">
        <v>1658</v>
      </c>
      <c r="D420" s="1644"/>
      <c r="E420" s="1644"/>
      <c r="F420" s="1601"/>
      <c r="G420" s="1601"/>
      <c r="H420" s="1601"/>
      <c r="I420" s="1602"/>
    </row>
    <row r="421" spans="2:12" hidden="1" x14ac:dyDescent="0.25">
      <c r="B421" s="1655"/>
      <c r="C421" s="1627" t="s">
        <v>1010</v>
      </c>
      <c r="D421" s="6243" t="s">
        <v>4</v>
      </c>
      <c r="E421" s="6244"/>
      <c r="F421" s="1627" t="s">
        <v>33</v>
      </c>
      <c r="G421" s="1627" t="s">
        <v>9</v>
      </c>
      <c r="H421" s="1614" t="s">
        <v>2156</v>
      </c>
      <c r="I421" s="1602"/>
    </row>
    <row r="422" spans="2:12" hidden="1" x14ac:dyDescent="0.25">
      <c r="B422" s="1598"/>
      <c r="C422" s="1637">
        <v>1</v>
      </c>
      <c r="D422" s="6226" t="s">
        <v>1148</v>
      </c>
      <c r="E422" s="6227"/>
      <c r="F422" s="1643" t="s">
        <v>402</v>
      </c>
      <c r="G422" s="3865">
        <v>3</v>
      </c>
      <c r="H422" s="5863"/>
      <c r="I422" s="1602"/>
    </row>
    <row r="423" spans="2:12" hidden="1" x14ac:dyDescent="0.25">
      <c r="B423" s="1598"/>
      <c r="C423" s="1637">
        <v>2</v>
      </c>
      <c r="D423" s="6226" t="s">
        <v>1149</v>
      </c>
      <c r="E423" s="6227"/>
      <c r="F423" s="1643" t="s">
        <v>402</v>
      </c>
      <c r="G423" s="3865">
        <v>0</v>
      </c>
      <c r="H423" s="5864"/>
      <c r="I423" s="1602"/>
    </row>
    <row r="424" spans="2:12" hidden="1" x14ac:dyDescent="0.25">
      <c r="B424" s="1598"/>
      <c r="C424" s="1637">
        <v>3</v>
      </c>
      <c r="D424" s="6226" t="s">
        <v>1150</v>
      </c>
      <c r="E424" s="6227"/>
      <c r="F424" s="1643" t="s">
        <v>402</v>
      </c>
      <c r="G424" s="3865">
        <v>2</v>
      </c>
      <c r="H424" s="5864"/>
      <c r="I424" s="1602"/>
    </row>
    <row r="425" spans="2:12" hidden="1" x14ac:dyDescent="0.25">
      <c r="B425" s="1598"/>
      <c r="C425" s="1637">
        <v>4</v>
      </c>
      <c r="D425" s="6226" t="s">
        <v>1151</v>
      </c>
      <c r="E425" s="6227"/>
      <c r="F425" s="1643" t="s">
        <v>402</v>
      </c>
      <c r="G425" s="3865">
        <v>0</v>
      </c>
      <c r="H425" s="5864"/>
      <c r="I425" s="1602"/>
    </row>
    <row r="426" spans="2:12" hidden="1" x14ac:dyDescent="0.25">
      <c r="B426" s="1598"/>
      <c r="C426" s="1637">
        <v>5</v>
      </c>
      <c r="D426" s="6226" t="s">
        <v>1152</v>
      </c>
      <c r="E426" s="6227"/>
      <c r="F426" s="1643" t="s">
        <v>402</v>
      </c>
      <c r="G426" s="3865">
        <v>0</v>
      </c>
      <c r="H426" s="5864"/>
      <c r="I426" s="1602"/>
    </row>
    <row r="427" spans="2:12" hidden="1" x14ac:dyDescent="0.25">
      <c r="B427" s="1598"/>
      <c r="C427" s="1637">
        <v>6</v>
      </c>
      <c r="D427" s="6226" t="s">
        <v>1153</v>
      </c>
      <c r="E427" s="6227"/>
      <c r="F427" s="1643" t="s">
        <v>402</v>
      </c>
      <c r="G427" s="3865">
        <v>1</v>
      </c>
      <c r="H427" s="5865"/>
      <c r="I427" s="1602"/>
    </row>
    <row r="428" spans="2:12" ht="9" hidden="1" customHeight="1" x14ac:dyDescent="0.25">
      <c r="B428" s="1598"/>
      <c r="C428" s="1601"/>
      <c r="D428" s="1601"/>
      <c r="E428" s="1601"/>
      <c r="F428" s="1601"/>
      <c r="G428" s="1601"/>
      <c r="H428" s="1601"/>
      <c r="I428" s="1602"/>
    </row>
    <row r="429" spans="2:12" ht="9" hidden="1" customHeight="1" x14ac:dyDescent="0.25">
      <c r="B429" s="1598"/>
      <c r="C429" s="1601"/>
      <c r="D429" s="1601"/>
      <c r="E429" s="1601"/>
      <c r="F429" s="1601"/>
      <c r="G429" s="1601"/>
      <c r="H429" s="1601"/>
      <c r="I429" s="1602"/>
    </row>
    <row r="430" spans="2:12" s="1608" customFormat="1" ht="15.75" hidden="1" x14ac:dyDescent="0.25">
      <c r="B430" s="1609" t="s">
        <v>12</v>
      </c>
      <c r="C430" s="1610" t="s">
        <v>1659</v>
      </c>
      <c r="D430" s="1611"/>
      <c r="E430" s="1611"/>
      <c r="F430" s="1668"/>
      <c r="G430" s="1611"/>
      <c r="H430" s="1611"/>
      <c r="I430" s="1612"/>
      <c r="J430" s="1312"/>
      <c r="L430" s="1312"/>
    </row>
    <row r="431" spans="2:12" hidden="1" x14ac:dyDescent="0.25">
      <c r="B431" s="1669" t="s">
        <v>725</v>
      </c>
      <c r="C431" s="1635" t="s">
        <v>1974</v>
      </c>
      <c r="D431" s="1711"/>
      <c r="E431" s="1711"/>
      <c r="F431" s="1647"/>
      <c r="G431" s="1647"/>
      <c r="H431" s="1647"/>
      <c r="I431" s="1602"/>
    </row>
    <row r="432" spans="2:12" hidden="1" x14ac:dyDescent="0.25">
      <c r="B432" s="1655"/>
      <c r="C432" s="1627" t="s">
        <v>1010</v>
      </c>
      <c r="D432" s="6243" t="s">
        <v>4</v>
      </c>
      <c r="E432" s="6244"/>
      <c r="F432" s="1627" t="s">
        <v>33</v>
      </c>
      <c r="G432" s="1627" t="s">
        <v>9</v>
      </c>
      <c r="H432" s="1614" t="s">
        <v>2156</v>
      </c>
      <c r="I432" s="1602"/>
    </row>
    <row r="433" spans="2:9" ht="30.75" hidden="1" customHeight="1" x14ac:dyDescent="0.25">
      <c r="B433" s="1655"/>
      <c r="C433" s="1628">
        <v>1</v>
      </c>
      <c r="D433" s="6261" t="s">
        <v>1666</v>
      </c>
      <c r="E433" s="6262"/>
      <c r="F433" s="1682" t="s">
        <v>1975</v>
      </c>
      <c r="G433" s="3866">
        <v>120</v>
      </c>
      <c r="H433" s="3866"/>
      <c r="I433" s="1708"/>
    </row>
    <row r="434" spans="2:9" hidden="1" x14ac:dyDescent="0.25">
      <c r="B434" s="1669"/>
      <c r="C434" s="1635"/>
      <c r="D434" s="1644"/>
      <c r="E434" s="1644"/>
      <c r="F434" s="1598"/>
      <c r="G434" s="1601"/>
      <c r="H434" s="1601"/>
      <c r="I434" s="1602"/>
    </row>
    <row r="435" spans="2:9" hidden="1" x14ac:dyDescent="0.25">
      <c r="B435" s="1669" t="s">
        <v>726</v>
      </c>
      <c r="C435" s="1635" t="s">
        <v>1659</v>
      </c>
      <c r="D435" s="1644"/>
      <c r="E435" s="1644"/>
      <c r="F435" s="1598"/>
      <c r="G435" s="1601"/>
      <c r="H435" s="1601"/>
      <c r="I435" s="1602"/>
    </row>
    <row r="436" spans="2:9" hidden="1" x14ac:dyDescent="0.25">
      <c r="B436" s="1655"/>
      <c r="C436" s="1627" t="s">
        <v>1010</v>
      </c>
      <c r="D436" s="6243" t="s">
        <v>4</v>
      </c>
      <c r="E436" s="6244"/>
      <c r="F436" s="1627" t="s">
        <v>33</v>
      </c>
      <c r="G436" s="1627" t="s">
        <v>9</v>
      </c>
      <c r="H436" s="1614" t="s">
        <v>2156</v>
      </c>
      <c r="I436" s="1602"/>
    </row>
    <row r="437" spans="2:9" hidden="1" x14ac:dyDescent="0.25">
      <c r="B437" s="1655"/>
      <c r="C437" s="1632">
        <v>1</v>
      </c>
      <c r="D437" s="6239" t="s">
        <v>1533</v>
      </c>
      <c r="E437" s="6240"/>
      <c r="F437" s="1714" t="s">
        <v>2008</v>
      </c>
      <c r="G437" s="3867">
        <v>12</v>
      </c>
      <c r="H437" s="5859"/>
      <c r="I437" s="1602"/>
    </row>
    <row r="438" spans="2:9" hidden="1" x14ac:dyDescent="0.25">
      <c r="B438" s="1655"/>
      <c r="C438" s="1632">
        <v>2</v>
      </c>
      <c r="D438" s="6239" t="s">
        <v>2574</v>
      </c>
      <c r="E438" s="6240"/>
      <c r="F438" s="1714" t="s">
        <v>2008</v>
      </c>
      <c r="G438" s="3867"/>
      <c r="H438" s="5860"/>
      <c r="I438" s="1602"/>
    </row>
    <row r="439" spans="2:9" ht="30.75" hidden="1" customHeight="1" x14ac:dyDescent="0.25">
      <c r="B439" s="1655"/>
      <c r="C439" s="1684">
        <v>3</v>
      </c>
      <c r="D439" s="6267" t="s">
        <v>1660</v>
      </c>
      <c r="E439" s="6268"/>
      <c r="F439" s="1682" t="s">
        <v>18</v>
      </c>
      <c r="G439" s="3868"/>
      <c r="H439" s="5861"/>
      <c r="I439" s="1602"/>
    </row>
    <row r="440" spans="2:9" ht="30.75" hidden="1" customHeight="1" x14ac:dyDescent="0.25">
      <c r="B440" s="1655"/>
      <c r="C440" s="1628">
        <v>4</v>
      </c>
      <c r="D440" s="6261" t="s">
        <v>1976</v>
      </c>
      <c r="E440" s="6262"/>
      <c r="F440" s="1682" t="s">
        <v>18</v>
      </c>
      <c r="G440" s="3869">
        <v>0</v>
      </c>
      <c r="H440" s="5862"/>
      <c r="I440" s="1602"/>
    </row>
    <row r="441" spans="2:9" ht="31.5" hidden="1" customHeight="1" x14ac:dyDescent="0.25">
      <c r="B441" s="1655"/>
      <c r="C441" s="1628">
        <v>5</v>
      </c>
      <c r="D441" s="6261" t="s">
        <v>1977</v>
      </c>
      <c r="E441" s="6262"/>
      <c r="F441" s="1712" t="s">
        <v>18</v>
      </c>
      <c r="G441" s="1713">
        <f>1-G439-G440</f>
        <v>1</v>
      </c>
      <c r="H441" s="1713"/>
      <c r="I441" s="1602"/>
    </row>
    <row r="442" spans="2:9" hidden="1" x14ac:dyDescent="0.25">
      <c r="B442" s="1669"/>
      <c r="C442" s="1635"/>
      <c r="D442" s="1644"/>
      <c r="E442" s="1644"/>
      <c r="F442" s="1598"/>
      <c r="G442" s="1601"/>
      <c r="H442" s="1601"/>
      <c r="I442" s="1602"/>
    </row>
    <row r="443" spans="2:9" hidden="1" x14ac:dyDescent="0.25">
      <c r="B443" s="1669" t="s">
        <v>727</v>
      </c>
      <c r="C443" s="1635" t="s">
        <v>1665</v>
      </c>
      <c r="D443" s="1644"/>
      <c r="E443" s="1644"/>
      <c r="F443" s="1598"/>
      <c r="G443" s="1601"/>
      <c r="H443" s="1601"/>
      <c r="I443" s="1602"/>
    </row>
    <row r="444" spans="2:9" hidden="1" x14ac:dyDescent="0.25">
      <c r="B444" s="1655"/>
      <c r="C444" s="1627" t="s">
        <v>1010</v>
      </c>
      <c r="D444" s="6243" t="s">
        <v>4</v>
      </c>
      <c r="E444" s="6244"/>
      <c r="F444" s="1627" t="s">
        <v>33</v>
      </c>
      <c r="G444" s="1627" t="s">
        <v>9</v>
      </c>
      <c r="H444" s="1614" t="s">
        <v>2156</v>
      </c>
      <c r="I444" s="1602"/>
    </row>
    <row r="445" spans="2:9" hidden="1" x14ac:dyDescent="0.25">
      <c r="B445" s="1598"/>
      <c r="C445" s="1632">
        <v>1</v>
      </c>
      <c r="D445" s="6226" t="s">
        <v>1661</v>
      </c>
      <c r="E445" s="6227"/>
      <c r="F445" s="1714" t="s">
        <v>1978</v>
      </c>
      <c r="G445" s="3870" t="s">
        <v>176</v>
      </c>
      <c r="H445" s="5857"/>
      <c r="I445" s="1602"/>
    </row>
    <row r="446" spans="2:9" hidden="1" x14ac:dyDescent="0.25">
      <c r="B446" s="1598"/>
      <c r="C446" s="1632">
        <v>2</v>
      </c>
      <c r="D446" s="6226" t="s">
        <v>1662</v>
      </c>
      <c r="E446" s="6227"/>
      <c r="F446" s="1715" t="s">
        <v>1017</v>
      </c>
      <c r="G446" s="3831"/>
      <c r="H446" s="5857"/>
      <c r="I446" s="1602"/>
    </row>
    <row r="447" spans="2:9" s="1709" customFormat="1" hidden="1" x14ac:dyDescent="0.25">
      <c r="B447" s="1626"/>
      <c r="C447" s="1716">
        <v>3</v>
      </c>
      <c r="D447" s="6226" t="s">
        <v>1663</v>
      </c>
      <c r="E447" s="6227"/>
      <c r="F447" s="1715" t="s">
        <v>1017</v>
      </c>
      <c r="G447" s="3831"/>
      <c r="H447" s="5858"/>
      <c r="I447" s="1708"/>
    </row>
    <row r="448" spans="2:9" hidden="1" x14ac:dyDescent="0.25">
      <c r="B448" s="1598"/>
      <c r="C448" s="1601"/>
      <c r="D448" s="1601"/>
      <c r="E448" s="1601"/>
      <c r="F448" s="1601"/>
      <c r="G448" s="1601"/>
      <c r="H448" s="1601"/>
      <c r="I448" s="1602"/>
    </row>
    <row r="449" spans="2:9" hidden="1" x14ac:dyDescent="0.25">
      <c r="B449" s="1598"/>
      <c r="C449" s="1601"/>
      <c r="D449" s="1601"/>
      <c r="E449" s="1601"/>
      <c r="F449" s="1601"/>
      <c r="G449" s="1601"/>
      <c r="H449" s="1601"/>
      <c r="I449" s="1602"/>
    </row>
    <row r="450" spans="2:9" s="1608" customFormat="1" ht="15.75" hidden="1" x14ac:dyDescent="0.25">
      <c r="B450" s="1609" t="s">
        <v>13</v>
      </c>
      <c r="C450" s="1610" t="s">
        <v>771</v>
      </c>
      <c r="D450" s="1611"/>
      <c r="E450" s="1611"/>
      <c r="F450" s="1668"/>
      <c r="G450" s="1611"/>
      <c r="H450" s="1611"/>
      <c r="I450" s="1612"/>
    </row>
    <row r="451" spans="2:9" ht="30" hidden="1" x14ac:dyDescent="0.25">
      <c r="B451" s="1717"/>
      <c r="C451" s="1627" t="s">
        <v>1010</v>
      </c>
      <c r="D451" s="6243" t="s">
        <v>4</v>
      </c>
      <c r="E451" s="6244"/>
      <c r="F451" s="1627" t="s">
        <v>1600</v>
      </c>
      <c r="G451" s="1627" t="s">
        <v>1645</v>
      </c>
      <c r="H451" s="5853" t="s">
        <v>2156</v>
      </c>
      <c r="I451" s="1602"/>
    </row>
    <row r="452" spans="2:9" ht="15" hidden="1" customHeight="1" x14ac:dyDescent="0.25">
      <c r="B452" s="1598"/>
      <c r="C452" s="6241">
        <v>1</v>
      </c>
      <c r="D452" s="6265" t="s">
        <v>1979</v>
      </c>
      <c r="E452" s="6266"/>
      <c r="F452" s="3871" t="s">
        <v>176</v>
      </c>
      <c r="G452" s="6250"/>
      <c r="H452" s="5855"/>
      <c r="I452" s="1602"/>
    </row>
    <row r="453" spans="2:9" hidden="1" x14ac:dyDescent="0.25">
      <c r="B453" s="1598"/>
      <c r="C453" s="6242"/>
      <c r="D453" s="6257" t="s">
        <v>384</v>
      </c>
      <c r="E453" s="6258"/>
      <c r="F453" s="3872" t="s">
        <v>3773</v>
      </c>
      <c r="G453" s="6250"/>
      <c r="H453" s="5856"/>
      <c r="I453" s="1602"/>
    </row>
    <row r="454" spans="2:9" hidden="1" x14ac:dyDescent="0.25">
      <c r="B454" s="1598"/>
      <c r="C454" s="1649">
        <v>2</v>
      </c>
      <c r="D454" s="6255" t="s">
        <v>1664</v>
      </c>
      <c r="E454" s="6256"/>
      <c r="F454" s="3843" t="s">
        <v>176</v>
      </c>
      <c r="G454" s="3841" t="s">
        <v>3775</v>
      </c>
      <c r="H454" s="5854"/>
      <c r="I454" s="1602"/>
    </row>
    <row r="455" spans="2:9" hidden="1" x14ac:dyDescent="0.25">
      <c r="B455" s="1717"/>
      <c r="C455" s="1601"/>
      <c r="D455" s="1601"/>
      <c r="E455" s="1601"/>
      <c r="F455" s="1601"/>
      <c r="G455" s="1601"/>
      <c r="H455" s="1601"/>
      <c r="I455" s="1602"/>
    </row>
    <row r="456" spans="2:9" hidden="1" x14ac:dyDescent="0.25">
      <c r="B456" s="1598"/>
      <c r="C456" s="1601"/>
      <c r="D456" s="1601"/>
      <c r="E456" s="1601"/>
      <c r="F456" s="1601"/>
      <c r="G456" s="1601"/>
      <c r="H456" s="1601"/>
      <c r="I456" s="1602"/>
    </row>
    <row r="458" spans="2:9" x14ac:dyDescent="0.25">
      <c r="B458" s="1718"/>
      <c r="I458" s="1719"/>
    </row>
  </sheetData>
  <mergeCells count="313">
    <mergeCell ref="F219:G219"/>
    <mergeCell ref="D295:E295"/>
    <mergeCell ref="E10:H10"/>
    <mergeCell ref="E11:H11"/>
    <mergeCell ref="E12:H12"/>
    <mergeCell ref="E13:H13"/>
    <mergeCell ref="B10:D13"/>
    <mergeCell ref="C8:G8"/>
    <mergeCell ref="D168:E168"/>
    <mergeCell ref="D138:E138"/>
    <mergeCell ref="C244:C247"/>
    <mergeCell ref="D85:E85"/>
    <mergeCell ref="D81:E81"/>
    <mergeCell ref="D76:E76"/>
    <mergeCell ref="D75:E75"/>
    <mergeCell ref="D142:E142"/>
    <mergeCell ref="D139:E139"/>
    <mergeCell ref="D171:E171"/>
    <mergeCell ref="D162:E162"/>
    <mergeCell ref="D161:E161"/>
    <mergeCell ref="D163:E163"/>
    <mergeCell ref="D174:E174"/>
    <mergeCell ref="D175:E175"/>
    <mergeCell ref="D153:E153"/>
    <mergeCell ref="G355:G356"/>
    <mergeCell ref="D263:E263"/>
    <mergeCell ref="D264:E264"/>
    <mergeCell ref="D309:E309"/>
    <mergeCell ref="F310:G310"/>
    <mergeCell ref="D284:E284"/>
    <mergeCell ref="D270:E270"/>
    <mergeCell ref="D275:E275"/>
    <mergeCell ref="D282:E282"/>
    <mergeCell ref="D273:E273"/>
    <mergeCell ref="F311:G311"/>
    <mergeCell ref="F312:G312"/>
    <mergeCell ref="D267:E267"/>
    <mergeCell ref="D280:E280"/>
    <mergeCell ref="D276:E276"/>
    <mergeCell ref="D327:E327"/>
    <mergeCell ref="D328:E328"/>
    <mergeCell ref="D329:E329"/>
    <mergeCell ref="D343:E343"/>
    <mergeCell ref="G263:H264"/>
    <mergeCell ref="F298:H298"/>
    <mergeCell ref="G309:H309"/>
    <mergeCell ref="D187:E187"/>
    <mergeCell ref="D214:E214"/>
    <mergeCell ref="D191:E191"/>
    <mergeCell ref="D184:E184"/>
    <mergeCell ref="D189:E189"/>
    <mergeCell ref="D199:E199"/>
    <mergeCell ref="D193:E193"/>
    <mergeCell ref="D205:E205"/>
    <mergeCell ref="D200:E200"/>
    <mergeCell ref="D190:E190"/>
    <mergeCell ref="D185:E185"/>
    <mergeCell ref="D213:E213"/>
    <mergeCell ref="D208:E208"/>
    <mergeCell ref="D209:E209"/>
    <mergeCell ref="D210:E210"/>
    <mergeCell ref="D201:E201"/>
    <mergeCell ref="D207:E207"/>
    <mergeCell ref="D206:E206"/>
    <mergeCell ref="D197:E197"/>
    <mergeCell ref="D192:E192"/>
    <mergeCell ref="D186:E186"/>
    <mergeCell ref="D194:E194"/>
    <mergeCell ref="D188:E188"/>
    <mergeCell ref="D198:E198"/>
    <mergeCell ref="D226:E226"/>
    <mergeCell ref="D294:E294"/>
    <mergeCell ref="D243:E243"/>
    <mergeCell ref="D245:E245"/>
    <mergeCell ref="D244:E244"/>
    <mergeCell ref="D225:E225"/>
    <mergeCell ref="D293:E293"/>
    <mergeCell ref="D229:E229"/>
    <mergeCell ref="D269:E269"/>
    <mergeCell ref="D248:E248"/>
    <mergeCell ref="D259:E259"/>
    <mergeCell ref="D249:E249"/>
    <mergeCell ref="D254:E254"/>
    <mergeCell ref="D266:E266"/>
    <mergeCell ref="D268:E268"/>
    <mergeCell ref="D246:E247"/>
    <mergeCell ref="D230:E230"/>
    <mergeCell ref="D220:G220"/>
    <mergeCell ref="D227:E227"/>
    <mergeCell ref="D228:E228"/>
    <mergeCell ref="D281:E281"/>
    <mergeCell ref="D317:E317"/>
    <mergeCell ref="D322:E322"/>
    <mergeCell ref="D363:E363"/>
    <mergeCell ref="D364:E364"/>
    <mergeCell ref="D354:E354"/>
    <mergeCell ref="D323:E323"/>
    <mergeCell ref="D324:E324"/>
    <mergeCell ref="D307:E307"/>
    <mergeCell ref="D289:E289"/>
    <mergeCell ref="D290:E290"/>
    <mergeCell ref="D304:E304"/>
    <mergeCell ref="D306:E306"/>
    <mergeCell ref="D298:E298"/>
    <mergeCell ref="D242:E242"/>
    <mergeCell ref="D241:E241"/>
    <mergeCell ref="D283:E283"/>
    <mergeCell ref="D277:E277"/>
    <mergeCell ref="D274:E274"/>
    <mergeCell ref="D296:E296"/>
    <mergeCell ref="D297:E297"/>
    <mergeCell ref="D94:E94"/>
    <mergeCell ref="D67:E67"/>
    <mergeCell ref="D49:E49"/>
    <mergeCell ref="D71:E71"/>
    <mergeCell ref="D80:E80"/>
    <mergeCell ref="D84:E84"/>
    <mergeCell ref="D74:E74"/>
    <mergeCell ref="D93:E93"/>
    <mergeCell ref="D90:E90"/>
    <mergeCell ref="D92:E92"/>
    <mergeCell ref="D91:E91"/>
    <mergeCell ref="D66:E66"/>
    <mergeCell ref="D87:E87"/>
    <mergeCell ref="D69:E69"/>
    <mergeCell ref="D70:E70"/>
    <mergeCell ref="D454:E454"/>
    <mergeCell ref="D433:E433"/>
    <mergeCell ref="D440:E440"/>
    <mergeCell ref="D437:E437"/>
    <mergeCell ref="D445:E445"/>
    <mergeCell ref="D447:E447"/>
    <mergeCell ref="D444:E444"/>
    <mergeCell ref="D451:E451"/>
    <mergeCell ref="D452:E452"/>
    <mergeCell ref="D439:E439"/>
    <mergeCell ref="D441:E441"/>
    <mergeCell ref="D446:E446"/>
    <mergeCell ref="D438:E438"/>
    <mergeCell ref="D436:E436"/>
    <mergeCell ref="D393:E393"/>
    <mergeCell ref="D390:E390"/>
    <mergeCell ref="D334:E334"/>
    <mergeCell ref="D391:E391"/>
    <mergeCell ref="D405:E405"/>
    <mergeCell ref="D348:E348"/>
    <mergeCell ref="D394:E394"/>
    <mergeCell ref="D395:E395"/>
    <mergeCell ref="D396:E396"/>
    <mergeCell ref="D399:E399"/>
    <mergeCell ref="D392:E392"/>
    <mergeCell ref="D386:E386"/>
    <mergeCell ref="D385:E385"/>
    <mergeCell ref="D382:E382"/>
    <mergeCell ref="D372:E372"/>
    <mergeCell ref="D374:E374"/>
    <mergeCell ref="D380:E380"/>
    <mergeCell ref="D381:E381"/>
    <mergeCell ref="D379:E379"/>
    <mergeCell ref="D351:E351"/>
    <mergeCell ref="D373:E373"/>
    <mergeCell ref="D357:E357"/>
    <mergeCell ref="D355:E355"/>
    <mergeCell ref="G452:G453"/>
    <mergeCell ref="G349:G350"/>
    <mergeCell ref="F304:G304"/>
    <mergeCell ref="F306:G306"/>
    <mergeCell ref="F307:G307"/>
    <mergeCell ref="F305:G305"/>
    <mergeCell ref="D305:E305"/>
    <mergeCell ref="D453:E453"/>
    <mergeCell ref="D342:E342"/>
    <mergeCell ref="D341:E341"/>
    <mergeCell ref="D349:E349"/>
    <mergeCell ref="D337:E337"/>
    <mergeCell ref="D338:E338"/>
    <mergeCell ref="D335:E335"/>
    <mergeCell ref="D336:E336"/>
    <mergeCell ref="F308:G308"/>
    <mergeCell ref="D413:E413"/>
    <mergeCell ref="D412:E412"/>
    <mergeCell ref="D402:E402"/>
    <mergeCell ref="D318:E318"/>
    <mergeCell ref="D319:E319"/>
    <mergeCell ref="D387:E387"/>
    <mergeCell ref="D407:E407"/>
    <mergeCell ref="D308:E308"/>
    <mergeCell ref="C452:C453"/>
    <mergeCell ref="C349:C350"/>
    <mergeCell ref="D400:E400"/>
    <mergeCell ref="D427:E427"/>
    <mergeCell ref="D415:E415"/>
    <mergeCell ref="D416:E416"/>
    <mergeCell ref="D417:E417"/>
    <mergeCell ref="D418:E418"/>
    <mergeCell ref="D422:E422"/>
    <mergeCell ref="D421:E421"/>
    <mergeCell ref="D423:E423"/>
    <mergeCell ref="D424:E424"/>
    <mergeCell ref="D425:E425"/>
    <mergeCell ref="D426:E426"/>
    <mergeCell ref="D414:E414"/>
    <mergeCell ref="D401:E401"/>
    <mergeCell ref="D365:E365"/>
    <mergeCell ref="D350:E350"/>
    <mergeCell ref="D432:E432"/>
    <mergeCell ref="D356:E356"/>
    <mergeCell ref="D359:E359"/>
    <mergeCell ref="D406:E406"/>
    <mergeCell ref="D362:E362"/>
    <mergeCell ref="D371:E371"/>
    <mergeCell ref="D20:E20"/>
    <mergeCell ref="D21:E21"/>
    <mergeCell ref="D61:E61"/>
    <mergeCell ref="D36:E36"/>
    <mergeCell ref="D47:E47"/>
    <mergeCell ref="D62:E62"/>
    <mergeCell ref="D37:E37"/>
    <mergeCell ref="D63:E63"/>
    <mergeCell ref="D55:E55"/>
    <mergeCell ref="D38:E38"/>
    <mergeCell ref="D45:E45"/>
    <mergeCell ref="D54:E54"/>
    <mergeCell ref="D48:E48"/>
    <mergeCell ref="C2:G2"/>
    <mergeCell ref="C4:G4"/>
    <mergeCell ref="C6:G6"/>
    <mergeCell ref="D95:E95"/>
    <mergeCell ref="D86:E86"/>
    <mergeCell ref="D17:E17"/>
    <mergeCell ref="D24:E24"/>
    <mergeCell ref="D35:E35"/>
    <mergeCell ref="D29:E29"/>
    <mergeCell ref="D25:E25"/>
    <mergeCell ref="D26:E26"/>
    <mergeCell ref="D18:E18"/>
    <mergeCell ref="D19:E19"/>
    <mergeCell ref="D51:E51"/>
    <mergeCell ref="D39:E39"/>
    <mergeCell ref="D50:E50"/>
    <mergeCell ref="D68:E68"/>
    <mergeCell ref="D32:E32"/>
    <mergeCell ref="D31:E31"/>
    <mergeCell ref="D30:E30"/>
    <mergeCell ref="D56:E56"/>
    <mergeCell ref="D46:E46"/>
    <mergeCell ref="F51:G51"/>
    <mergeCell ref="D60:E60"/>
    <mergeCell ref="D96:E96"/>
    <mergeCell ref="D129:E129"/>
    <mergeCell ref="D132:E132"/>
    <mergeCell ref="D133:E133"/>
    <mergeCell ref="D123:E123"/>
    <mergeCell ref="D125:E125"/>
    <mergeCell ref="D126:E126"/>
    <mergeCell ref="D104:E104"/>
    <mergeCell ref="D105:E105"/>
    <mergeCell ref="D106:E106"/>
    <mergeCell ref="D130:E130"/>
    <mergeCell ref="D131:E131"/>
    <mergeCell ref="D119:E119"/>
    <mergeCell ref="D97:E97"/>
    <mergeCell ref="D98:E98"/>
    <mergeCell ref="D99:E99"/>
    <mergeCell ref="D118:E118"/>
    <mergeCell ref="D100:E100"/>
    <mergeCell ref="D102:E102"/>
    <mergeCell ref="D101:E101"/>
    <mergeCell ref="D114:E114"/>
    <mergeCell ref="D113:E113"/>
    <mergeCell ref="D151:E151"/>
    <mergeCell ref="D170:E170"/>
    <mergeCell ref="D152:E152"/>
    <mergeCell ref="D137:E137"/>
    <mergeCell ref="D122:E122"/>
    <mergeCell ref="D156:E156"/>
    <mergeCell ref="D120:E120"/>
    <mergeCell ref="D121:E121"/>
    <mergeCell ref="D136:E136"/>
    <mergeCell ref="D158:E158"/>
    <mergeCell ref="D124:E124"/>
    <mergeCell ref="D148:E148"/>
    <mergeCell ref="D145:E145"/>
    <mergeCell ref="D167:E167"/>
    <mergeCell ref="D157:E157"/>
    <mergeCell ref="D140:E140"/>
    <mergeCell ref="D141:E141"/>
    <mergeCell ref="D146:E146"/>
    <mergeCell ref="D147:E147"/>
    <mergeCell ref="C219:E219"/>
    <mergeCell ref="D202:E202"/>
    <mergeCell ref="D195:E195"/>
    <mergeCell ref="D196:E196"/>
    <mergeCell ref="H36:H39"/>
    <mergeCell ref="D134:E134"/>
    <mergeCell ref="D103:E103"/>
    <mergeCell ref="D178:E178"/>
    <mergeCell ref="D180:E180"/>
    <mergeCell ref="D181:E181"/>
    <mergeCell ref="D182:E182"/>
    <mergeCell ref="D183:E183"/>
    <mergeCell ref="D179:E179"/>
    <mergeCell ref="D127:E127"/>
    <mergeCell ref="D128:E128"/>
    <mergeCell ref="D169:E169"/>
    <mergeCell ref="D107:E107"/>
    <mergeCell ref="D108:E108"/>
    <mergeCell ref="D109:E109"/>
    <mergeCell ref="D110:E110"/>
    <mergeCell ref="D112:E112"/>
    <mergeCell ref="D111:E111"/>
    <mergeCell ref="D135:E135"/>
    <mergeCell ref="D115:E115"/>
  </mergeCells>
  <conditionalFormatting sqref="G175:H175">
    <cfRule type="expression" dxfId="421" priority="148">
      <formula>$G$168="No"</formula>
    </cfRule>
  </conditionalFormatting>
  <conditionalFormatting sqref="F179:H200">
    <cfRule type="expression" dxfId="420" priority="147">
      <formula>$G$169="No"</formula>
    </cfRule>
  </conditionalFormatting>
  <conditionalFormatting sqref="G206:H210">
    <cfRule type="expression" dxfId="419" priority="146">
      <formula>$G$170="No"</formula>
    </cfRule>
  </conditionalFormatting>
  <conditionalFormatting sqref="G214:H214">
    <cfRule type="expression" dxfId="418" priority="145">
      <formula>$G$171="No"</formula>
    </cfRule>
  </conditionalFormatting>
  <conditionalFormatting sqref="G363:H365 F357:G357 F299:G299 F310 E234:E236 E238 E235:F235 G227:H230 F234:H235 G242:H249">
    <cfRule type="expression" dxfId="417" priority="143">
      <formula>$F$219="3. City fully covered with onsite sanitation system"</formula>
    </cfRule>
  </conditionalFormatting>
  <conditionalFormatting sqref="G452:H453">
    <cfRule type="expression" dxfId="416" priority="138">
      <formula>$F$452="No"</formula>
    </cfRule>
  </conditionalFormatting>
  <conditionalFormatting sqref="G454:H454">
    <cfRule type="expression" dxfId="415" priority="137">
      <formula>$F$454="No"</formula>
    </cfRule>
  </conditionalFormatting>
  <conditionalFormatting sqref="F350 G349:H350">
    <cfRule type="expression" dxfId="414" priority="136">
      <formula>$F$349="No"</formula>
    </cfRule>
  </conditionalFormatting>
  <conditionalFormatting sqref="G351:H351">
    <cfRule type="expression" dxfId="413" priority="135">
      <formula>$F$351="No"</formula>
    </cfRule>
  </conditionalFormatting>
  <conditionalFormatting sqref="G357">
    <cfRule type="expression" dxfId="412" priority="134">
      <formula>$F$357="No"</formula>
    </cfRule>
  </conditionalFormatting>
  <conditionalFormatting sqref="F268:F270">
    <cfRule type="expression" dxfId="411" priority="128">
      <formula>$F$267="No"</formula>
    </cfRule>
  </conditionalFormatting>
  <conditionalFormatting sqref="G268:G270">
    <cfRule type="expression" dxfId="410" priority="127">
      <formula>$G$267="No"</formula>
    </cfRule>
  </conditionalFormatting>
  <conditionalFormatting sqref="F256:H258 G274:H277 G281:H284 F300:G300 F311 G323:H324 G245:H246 G359:H359 F267:G270">
    <cfRule type="expression" dxfId="409" priority="57">
      <formula>$F$219="1. City fully covered with sewerage network"</formula>
    </cfRule>
  </conditionalFormatting>
  <conditionalFormatting sqref="F180:H180">
    <cfRule type="expression" dxfId="408" priority="56">
      <formula>$F$170="No"</formula>
    </cfRule>
  </conditionalFormatting>
  <conditionalFormatting sqref="F185:H185">
    <cfRule type="expression" dxfId="407" priority="55">
      <formula>$F$170="No"</formula>
    </cfRule>
  </conditionalFormatting>
  <conditionalFormatting sqref="F190:H190">
    <cfRule type="expression" dxfId="406" priority="54">
      <formula>$F$170="No"</formula>
    </cfRule>
  </conditionalFormatting>
  <conditionalFormatting sqref="G335:H338">
    <cfRule type="expression" dxfId="405" priority="53">
      <formula>$E$220="1. City fully covered with sewerage network"</formula>
    </cfRule>
  </conditionalFormatting>
  <conditionalFormatting sqref="G359:H359">
    <cfRule type="expression" dxfId="404" priority="50">
      <formula>$G$267="No"</formula>
    </cfRule>
  </conditionalFormatting>
  <conditionalFormatting sqref="F263:F264">
    <cfRule type="expression" dxfId="403" priority="41">
      <formula>$F$219="1. City fully covered with sewerage network"</formula>
    </cfRule>
  </conditionalFormatting>
  <conditionalFormatting sqref="F356 G355">
    <cfRule type="expression" dxfId="402" priority="39">
      <formula>($F$267="No")</formula>
    </cfRule>
  </conditionalFormatting>
  <conditionalFormatting sqref="H355">
    <cfRule type="expression" dxfId="401" priority="38">
      <formula>($F$267="No")</formula>
    </cfRule>
  </conditionalFormatting>
  <conditionalFormatting sqref="H220">
    <cfRule type="expression" dxfId="400" priority="37">
      <formula>$F$219="3. City fully covered with onsite sanitation system"</formula>
    </cfRule>
  </conditionalFormatting>
  <conditionalFormatting sqref="F201:F202">
    <cfRule type="expression" dxfId="399" priority="36">
      <formula>$G$169="No"</formula>
    </cfRule>
  </conditionalFormatting>
  <conditionalFormatting sqref="G201:G202">
    <cfRule type="expression" dxfId="398" priority="35">
      <formula>$G$169="No"</formula>
    </cfRule>
  </conditionalFormatting>
  <conditionalFormatting sqref="H201:H202">
    <cfRule type="expression" dxfId="397" priority="34">
      <formula>$G$169="No"</formula>
    </cfRule>
  </conditionalFormatting>
  <conditionalFormatting sqref="H185">
    <cfRule type="expression" dxfId="396" priority="33">
      <formula>$F$170="No"</formula>
    </cfRule>
  </conditionalFormatting>
  <conditionalFormatting sqref="H190">
    <cfRule type="expression" dxfId="395" priority="32">
      <formula>$F$170="No"</formula>
    </cfRule>
  </conditionalFormatting>
  <conditionalFormatting sqref="H195">
    <cfRule type="expression" dxfId="394" priority="31">
      <formula>$F$170="No"</formula>
    </cfRule>
  </conditionalFormatting>
  <conditionalFormatting sqref="H168:H171">
    <cfRule type="expression" dxfId="393" priority="30">
      <formula>$G$169="No"</formula>
    </cfRule>
  </conditionalFormatting>
  <conditionalFormatting sqref="H168">
    <cfRule type="expression" dxfId="392" priority="29">
      <formula>$F$170="No"</formula>
    </cfRule>
  </conditionalFormatting>
  <conditionalFormatting sqref="F119:H123">
    <cfRule type="expression" dxfId="391" priority="28">
      <formula>$G$169="No"</formula>
    </cfRule>
  </conditionalFormatting>
  <conditionalFormatting sqref="F120:H120">
    <cfRule type="expression" dxfId="390" priority="27">
      <formula>$F$170="No"</formula>
    </cfRule>
  </conditionalFormatting>
  <conditionalFormatting sqref="F124:H128">
    <cfRule type="expression" dxfId="389" priority="26">
      <formula>$G$169="No"</formula>
    </cfRule>
  </conditionalFormatting>
  <conditionalFormatting sqref="F125:H125">
    <cfRule type="expression" dxfId="388" priority="25">
      <formula>$F$170="No"</formula>
    </cfRule>
  </conditionalFormatting>
  <conditionalFormatting sqref="F129:H133">
    <cfRule type="expression" dxfId="387" priority="24">
      <formula>$G$169="No"</formula>
    </cfRule>
  </conditionalFormatting>
  <conditionalFormatting sqref="F130:H130">
    <cfRule type="expression" dxfId="386" priority="23">
      <formula>$F$170="No"</formula>
    </cfRule>
  </conditionalFormatting>
  <conditionalFormatting sqref="F134:H138">
    <cfRule type="expression" dxfId="385" priority="22">
      <formula>$G$169="No"</formula>
    </cfRule>
  </conditionalFormatting>
  <conditionalFormatting sqref="F135:H135">
    <cfRule type="expression" dxfId="384" priority="21">
      <formula>$F$170="No"</formula>
    </cfRule>
  </conditionalFormatting>
  <conditionalFormatting sqref="F139:H139">
    <cfRule type="expression" dxfId="383" priority="20">
      <formula>$G$169="No"</formula>
    </cfRule>
  </conditionalFormatting>
  <conditionalFormatting sqref="F91:H95">
    <cfRule type="expression" dxfId="382" priority="19">
      <formula>$G$169="No"</formula>
    </cfRule>
  </conditionalFormatting>
  <conditionalFormatting sqref="F92:H92">
    <cfRule type="expression" dxfId="381" priority="18">
      <formula>$F$170="No"</formula>
    </cfRule>
  </conditionalFormatting>
  <conditionalFormatting sqref="F96:H100">
    <cfRule type="expression" dxfId="380" priority="17">
      <formula>$G$169="No"</formula>
    </cfRule>
  </conditionalFormatting>
  <conditionalFormatting sqref="F97:H97">
    <cfRule type="expression" dxfId="379" priority="16">
      <formula>$F$170="No"</formula>
    </cfRule>
  </conditionalFormatting>
  <conditionalFormatting sqref="F101:H101">
    <cfRule type="expression" dxfId="378" priority="15">
      <formula>$G$169="No"</formula>
    </cfRule>
  </conditionalFormatting>
  <conditionalFormatting sqref="F106:H106">
    <cfRule type="expression" dxfId="377" priority="14">
      <formula>$G$169="No"</formula>
    </cfRule>
  </conditionalFormatting>
  <conditionalFormatting sqref="F111:H111">
    <cfRule type="expression" dxfId="376" priority="13">
      <formula>$G$169="No"</formula>
    </cfRule>
  </conditionalFormatting>
  <conditionalFormatting sqref="H102:H105">
    <cfRule type="expression" dxfId="375" priority="12">
      <formula>$G$169="No"</formula>
    </cfRule>
  </conditionalFormatting>
  <conditionalFormatting sqref="H102">
    <cfRule type="expression" dxfId="374" priority="11">
      <formula>$F$170="No"</formula>
    </cfRule>
  </conditionalFormatting>
  <conditionalFormatting sqref="H107:H110">
    <cfRule type="expression" dxfId="373" priority="10">
      <formula>$G$169="No"</formula>
    </cfRule>
  </conditionalFormatting>
  <conditionalFormatting sqref="H107">
    <cfRule type="expression" dxfId="372" priority="9">
      <formula>$F$170="No"</formula>
    </cfRule>
  </conditionalFormatting>
  <conditionalFormatting sqref="H112:H114">
    <cfRule type="expression" dxfId="371" priority="8">
      <formula>$G$169="No"</formula>
    </cfRule>
  </conditionalFormatting>
  <conditionalFormatting sqref="H112">
    <cfRule type="expression" dxfId="370" priority="7">
      <formula>$F$170="No"</formula>
    </cfRule>
  </conditionalFormatting>
  <conditionalFormatting sqref="H299">
    <cfRule type="expression" dxfId="369" priority="4">
      <formula>$F$219="3. City fully covered with onsite sanitation system"</formula>
    </cfRule>
  </conditionalFormatting>
  <conditionalFormatting sqref="H300">
    <cfRule type="expression" dxfId="368" priority="3">
      <formula>$F$219="1. City fully covered with sewerage network"</formula>
    </cfRule>
  </conditionalFormatting>
  <conditionalFormatting sqref="G226">
    <cfRule type="expression" dxfId="367" priority="2">
      <formula>$F$219="3. City fully covered with onsite sanitation system"</formula>
    </cfRule>
  </conditionalFormatting>
  <conditionalFormatting sqref="H226">
    <cfRule type="expression" dxfId="366" priority="1">
      <formula>$F$219="3. City fully covered with onsite sanitation system"</formula>
    </cfRule>
  </conditionalFormatting>
  <dataValidations count="7">
    <dataValidation type="list" allowBlank="1" showInputMessage="1" showErrorMessage="1" sqref="G445 F267:G267">
      <formula1>"Yes, No"</formula1>
    </dataValidation>
    <dataValidation type="list" allowBlank="1" showInputMessage="1" showErrorMessage="1" sqref="F452 F454 G168:G171">
      <formula1>"No,Yes"</formula1>
    </dataValidation>
    <dataValidation type="list" allowBlank="1" showInputMessage="1" showErrorMessage="1" sqref="F453">
      <formula1>"None, Number of properties, Number of households and establishment served"</formula1>
    </dataValidation>
    <dataValidation type="list" allowBlank="1" showInputMessage="1" showErrorMessage="1" sqref="F349 F357 F351">
      <formula1>"YES, NO"</formula1>
    </dataValidation>
    <dataValidation type="list" allowBlank="1" showInputMessage="1" showErrorMessage="1" sqref="F350">
      <formula1>"None, Number of properties, Number of toilets"</formula1>
    </dataValidation>
    <dataValidation type="list" allowBlank="1" showInputMessage="1" showErrorMessage="1" sqref="F219:G219">
      <formula1>"1. City fully covered with sewerage network,2. City partially covered with sewerage network,3. City fully covered with onsite sanitation system"</formula1>
    </dataValidation>
    <dataValidation type="list" allowBlank="1" showInputMessage="1" showErrorMessage="1" sqref="F356">
      <formula1>"-,At the time of emptying, Annual charge for scheduled emptying"</formula1>
    </dataValidation>
  </dataValidations>
  <hyperlinks>
    <hyperlink ref="D9" location="'WSS info'!D15" display="Demography"/>
    <hyperlink ref="E9" location="'WSS info'!C42" display="Water Supply"/>
  </hyperlinks>
  <printOptions horizontalCentered="1"/>
  <pageMargins left="0.19685039370078741" right="0.11811023622047245" top="0.11811023622047245" bottom="0.11811023622047245" header="0.11811023622047245" footer="0.11811023622047245"/>
  <pageSetup paperSize="9" scale="75" fitToHeight="0" orientation="portrait" r:id="rId1"/>
  <rowBreaks count="7" manualBreakCount="7">
    <brk id="57" min="1" max="7" man="1"/>
    <brk id="116" min="1" max="7" man="1"/>
    <brk id="176" min="1" max="7" man="1"/>
    <brk id="239" min="1" max="7" man="1"/>
    <brk id="302" min="1" max="7" man="1"/>
    <brk id="367" min="1" max="7" man="1"/>
    <brk id="427" min="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4098" r:id="rId4" name="Button 2">
              <controlPr defaultSize="0" print="0" autoFill="0" autoPict="0" macro="[0]!Print_Sheet" altText="Print this page">
                <anchor moveWithCells="1" sizeWithCells="1">
                  <from>
                    <xdr:col>7</xdr:col>
                    <xdr:colOff>1066800</xdr:colOff>
                    <xdr:row>5</xdr:row>
                    <xdr:rowOff>0</xdr:rowOff>
                  </from>
                  <to>
                    <xdr:col>8</xdr:col>
                    <xdr:colOff>0</xdr:colOff>
                    <xdr:row>5</xdr:row>
                    <xdr:rowOff>257175</xdr:rowOff>
                  </to>
                </anchor>
              </controlPr>
            </control>
          </mc:Choice>
        </mc:AlternateContent>
        <mc:AlternateContent xmlns:mc="http://schemas.openxmlformats.org/markup-compatibility/2006">
          <mc:Choice Requires="x14">
            <control shapeId="4099" r:id="rId5" name="Button 3">
              <controlPr defaultSize="0" print="0" autoFill="0" autoPict="0" macro="[0]!ResetInputCells" altText="Print this page">
                <anchor moveWithCells="1" sizeWithCells="1">
                  <from>
                    <xdr:col>7</xdr:col>
                    <xdr:colOff>200025</xdr:colOff>
                    <xdr:row>5</xdr:row>
                    <xdr:rowOff>0</xdr:rowOff>
                  </from>
                  <to>
                    <xdr:col>7</xdr:col>
                    <xdr:colOff>981075</xdr:colOff>
                    <xdr:row>5</xdr:row>
                    <xdr:rowOff>257175</xdr:rowOff>
                  </to>
                </anchor>
              </controlPr>
            </control>
          </mc:Choice>
        </mc:AlternateContent>
        <mc:AlternateContent xmlns:mc="http://schemas.openxmlformats.org/markup-compatibility/2006">
          <mc:Choice Requires="x14">
            <control shapeId="4101" r:id="rId6" name="Button 5">
              <controlPr defaultSize="0" print="0" autoFill="0" autoPict="0" macro="[0]!ImportValuesFromChecklist" altText="Print this page">
                <anchor moveWithCells="1" sizeWithCells="1">
                  <from>
                    <xdr:col>37</xdr:col>
                    <xdr:colOff>190500</xdr:colOff>
                    <xdr:row>8</xdr:row>
                    <xdr:rowOff>47625</xdr:rowOff>
                  </from>
                  <to>
                    <xdr:col>40</xdr:col>
                    <xdr:colOff>180975</xdr:colOff>
                    <xdr:row>9</xdr:row>
                    <xdr:rowOff>76200</xdr:rowOff>
                  </to>
                </anchor>
              </controlPr>
            </control>
          </mc:Choice>
        </mc:AlternateContent>
        <mc:AlternateContent xmlns:mc="http://schemas.openxmlformats.org/markup-compatibility/2006">
          <mc:Choice Requires="x14">
            <control shapeId="4103" r:id="rId7" name="Button 7">
              <controlPr defaultSize="0" print="0" autoFill="0" autoPict="0" macro="[0]!ImportValuesFromChecklist">
                <anchor moveWithCells="1" sizeWithCells="1">
                  <from>
                    <xdr:col>6</xdr:col>
                    <xdr:colOff>1609725</xdr:colOff>
                    <xdr:row>14</xdr:row>
                    <xdr:rowOff>9525</xdr:rowOff>
                  </from>
                  <to>
                    <xdr:col>7</xdr:col>
                    <xdr:colOff>1552575</xdr:colOff>
                    <xdr:row>15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pageSetUpPr autoPageBreaks="0" fitToPage="1"/>
  </sheetPr>
  <dimension ref="A1:T259"/>
  <sheetViews>
    <sheetView showGridLines="0" zoomScale="64" zoomScaleNormal="64" zoomScaleSheetLayoutView="40" workbookViewId="0">
      <selection activeCell="Y76" sqref="Y76"/>
    </sheetView>
  </sheetViews>
  <sheetFormatPr defaultColWidth="9.140625" defaultRowHeight="15" x14ac:dyDescent="0.25"/>
  <cols>
    <col min="1" max="1" width="9.28515625" style="1311" customWidth="1"/>
    <col min="2" max="2" width="8" style="1316" customWidth="1"/>
    <col min="3" max="3" width="13.5703125" style="1316" customWidth="1"/>
    <col min="4" max="4" width="41.5703125" style="1759" customWidth="1"/>
    <col min="5" max="8" width="14.140625" style="1316" customWidth="1"/>
    <col min="9" max="9" width="15.42578125" style="1316" customWidth="1"/>
    <col min="10" max="10" width="15.7109375" style="1316" customWidth="1"/>
    <col min="11" max="11" width="7.140625" style="1316" customWidth="1"/>
    <col min="12" max="12" width="9.85546875" style="1311" customWidth="1"/>
    <col min="13" max="16384" width="9.140625" style="1316"/>
  </cols>
  <sheetData>
    <row r="1" spans="1:12" s="1311" customFormat="1" ht="6" customHeight="1" x14ac:dyDescent="0.25">
      <c r="J1" s="1312"/>
    </row>
    <row r="2" spans="1:12" s="1311" customFormat="1" ht="50.25" customHeight="1" x14ac:dyDescent="0.4">
      <c r="B2" s="1313"/>
      <c r="C2" s="6187" t="s">
        <v>2088</v>
      </c>
      <c r="D2" s="6187"/>
      <c r="E2" s="6187"/>
      <c r="F2" s="6187"/>
      <c r="G2" s="6187"/>
      <c r="H2" s="6187"/>
      <c r="I2" s="1314"/>
      <c r="J2" s="1314"/>
      <c r="K2" s="1315"/>
    </row>
    <row r="3" spans="1:12" s="1311" customFormat="1" ht="9" customHeight="1" x14ac:dyDescent="0.25">
      <c r="B3" s="1318"/>
      <c r="C3" s="1322"/>
      <c r="D3" s="1322"/>
      <c r="E3" s="1322"/>
      <c r="F3" s="1322"/>
      <c r="G3" s="1322"/>
      <c r="H3" s="1322"/>
      <c r="I3" s="1320"/>
      <c r="J3" s="1320"/>
      <c r="K3" s="1321"/>
    </row>
    <row r="4" spans="1:12" s="1311" customFormat="1" ht="26.25" x14ac:dyDescent="0.25">
      <c r="B4" s="1318"/>
      <c r="C4" s="6309" t="s">
        <v>3738</v>
      </c>
      <c r="D4" s="6309"/>
      <c r="E4" s="6309"/>
      <c r="F4" s="6309"/>
      <c r="G4" s="6309"/>
      <c r="H4" s="6309"/>
      <c r="I4" s="6309"/>
      <c r="J4" s="6309"/>
      <c r="K4" s="1321"/>
    </row>
    <row r="5" spans="1:12" s="1311" customFormat="1" ht="6" customHeight="1" x14ac:dyDescent="0.25">
      <c r="B5" s="1318"/>
      <c r="C5" s="1322"/>
      <c r="D5" s="1322"/>
      <c r="E5" s="1322"/>
      <c r="F5" s="1322"/>
      <c r="G5" s="1322"/>
      <c r="H5" s="1322"/>
      <c r="I5" s="1320"/>
      <c r="J5" s="1320"/>
      <c r="K5" s="1321"/>
    </row>
    <row r="6" spans="1:12" s="1324" customFormat="1" ht="19.5" customHeight="1" x14ac:dyDescent="0.25">
      <c r="B6" s="945"/>
      <c r="C6" s="6306" t="s">
        <v>1948</v>
      </c>
      <c r="D6" s="6306"/>
      <c r="E6" s="6306"/>
      <c r="F6" s="6306"/>
      <c r="G6" s="6306"/>
      <c r="H6" s="6306"/>
      <c r="I6" s="6306"/>
      <c r="J6" s="6306"/>
      <c r="K6" s="1326"/>
    </row>
    <row r="7" spans="1:12" s="1324" customFormat="1" ht="6" customHeight="1" x14ac:dyDescent="0.25">
      <c r="B7" s="1586"/>
      <c r="C7" s="1584"/>
      <c r="D7" s="1585"/>
      <c r="E7" s="1585"/>
      <c r="F7" s="1585"/>
      <c r="G7" s="1585"/>
      <c r="H7" s="1585"/>
      <c r="I7" s="1325"/>
      <c r="J7" s="1325"/>
      <c r="K7" s="1326"/>
    </row>
    <row r="8" spans="1:12" s="1328" customFormat="1" ht="26.25" customHeight="1" x14ac:dyDescent="0.25">
      <c r="B8" s="1722"/>
      <c r="C8" s="6307" t="s">
        <v>1668</v>
      </c>
      <c r="D8" s="6307"/>
      <c r="E8" s="6307"/>
      <c r="F8" s="6307"/>
      <c r="G8" s="6307"/>
      <c r="H8" s="6307"/>
      <c r="I8" s="6307"/>
      <c r="J8" s="6307"/>
      <c r="K8" s="6308"/>
      <c r="L8" s="1324"/>
    </row>
    <row r="9" spans="1:12" s="1328" customFormat="1" ht="22.5" customHeight="1" x14ac:dyDescent="0.25">
      <c r="A9" s="5472" t="s">
        <v>184</v>
      </c>
      <c r="B9" s="5648"/>
      <c r="C9" s="5648"/>
      <c r="D9" s="3644" t="s">
        <v>881</v>
      </c>
      <c r="E9" s="5648" t="s">
        <v>0</v>
      </c>
      <c r="F9" s="3644"/>
      <c r="G9" s="5953" t="s">
        <v>3719</v>
      </c>
      <c r="H9" s="5953" t="s">
        <v>3720</v>
      </c>
      <c r="I9" s="5983"/>
      <c r="J9" s="5953" t="s">
        <v>3431</v>
      </c>
      <c r="K9" s="5952"/>
      <c r="L9" s="1709"/>
    </row>
    <row r="10" spans="1:12" s="1328" customFormat="1" ht="292.5" customHeight="1" x14ac:dyDescent="0.25">
      <c r="B10" s="6310" t="s">
        <v>3466</v>
      </c>
      <c r="C10" s="6310"/>
      <c r="D10" s="6297" t="s">
        <v>3790</v>
      </c>
      <c r="E10" s="6311"/>
      <c r="F10" s="6311"/>
      <c r="G10" s="6311"/>
      <c r="H10" s="6311"/>
      <c r="I10" s="6311"/>
      <c r="J10" s="6311"/>
      <c r="K10" s="1723"/>
    </row>
    <row r="11" spans="1:12" s="1312" customFormat="1" ht="18" customHeight="1" x14ac:dyDescent="0.25">
      <c r="B11" s="1598"/>
      <c r="C11" s="1599"/>
      <c r="D11" s="1600"/>
      <c r="E11" s="1601"/>
      <c r="F11" s="1601"/>
      <c r="G11" s="1601"/>
      <c r="H11" s="1601"/>
      <c r="I11" s="1601"/>
      <c r="J11" s="1601"/>
      <c r="K11" s="1601"/>
    </row>
    <row r="12" spans="1:12" s="1608" customFormat="1" ht="21" x14ac:dyDescent="0.25">
      <c r="B12" s="1603"/>
      <c r="C12" s="1604" t="s">
        <v>3868</v>
      </c>
      <c r="D12" s="1604"/>
      <c r="E12" s="1604"/>
      <c r="F12" s="1604"/>
      <c r="G12" s="1604"/>
      <c r="H12" s="1604"/>
      <c r="I12" s="1604"/>
      <c r="J12" s="5830"/>
      <c r="K12" s="1604"/>
    </row>
    <row r="13" spans="1:12" s="1729" customFormat="1" x14ac:dyDescent="0.25">
      <c r="A13" s="1312"/>
      <c r="B13" s="1601"/>
      <c r="C13" s="6319" t="s">
        <v>4</v>
      </c>
      <c r="D13" s="6319"/>
      <c r="E13" s="1613">
        <f>IFERROR(F13-1,"")</f>
        <v>2009</v>
      </c>
      <c r="F13" s="1613">
        <f>IFERROR(G13-1,"")</f>
        <v>2010</v>
      </c>
      <c r="G13" s="1613">
        <f>IFERROR(H13-1,"")</f>
        <v>2011</v>
      </c>
      <c r="H13" s="1613">
        <f>IFERROR(I13-1,"")</f>
        <v>2012</v>
      </c>
      <c r="I13" s="1613">
        <f>IFERROR(J13-1,"")</f>
        <v>2013</v>
      </c>
      <c r="J13" s="1614">
        <f>IF('General info'!$E$20=0,"",'General info'!$E$20)</f>
        <v>2014</v>
      </c>
      <c r="K13" s="1601"/>
      <c r="L13" s="1312"/>
    </row>
    <row r="14" spans="1:12" s="1729" customFormat="1" x14ac:dyDescent="0.25">
      <c r="A14" s="1312"/>
      <c r="B14" s="1601"/>
      <c r="C14" s="6316" t="s">
        <v>3748</v>
      </c>
      <c r="D14" s="6316"/>
      <c r="E14" s="5967" t="b">
        <v>1</v>
      </c>
      <c r="F14" s="5967" t="b">
        <v>1</v>
      </c>
      <c r="G14" s="5967" t="b">
        <v>1</v>
      </c>
      <c r="H14" s="5967" t="b">
        <v>1</v>
      </c>
      <c r="I14" s="5967" t="b">
        <v>1</v>
      </c>
      <c r="J14" s="5967" t="b">
        <v>1</v>
      </c>
      <c r="K14" s="1601"/>
      <c r="L14" s="1312"/>
    </row>
    <row r="15" spans="1:12" s="1729" customFormat="1" ht="17.25" customHeight="1" x14ac:dyDescent="0.25">
      <c r="A15" s="1312"/>
      <c r="B15" s="1601"/>
      <c r="C15" s="6316" t="s">
        <v>1077</v>
      </c>
      <c r="D15" s="6316"/>
      <c r="E15" s="3874"/>
      <c r="F15" s="3874" t="s">
        <v>3865</v>
      </c>
      <c r="G15" s="3874" t="s">
        <v>3865</v>
      </c>
      <c r="H15" s="3874" t="s">
        <v>3865</v>
      </c>
      <c r="I15" s="3874" t="s">
        <v>3867</v>
      </c>
      <c r="J15" s="3874" t="s">
        <v>3866</v>
      </c>
      <c r="K15" s="1601"/>
      <c r="L15" s="1312"/>
    </row>
    <row r="16" spans="1:12" s="1729" customFormat="1" x14ac:dyDescent="0.25">
      <c r="A16" s="1312"/>
      <c r="B16" s="1601"/>
      <c r="C16" s="6317" t="s">
        <v>1674</v>
      </c>
      <c r="D16" s="6318"/>
      <c r="E16" s="1730" t="str">
        <f>IF(E$15="Actuals"," (A)",IF(E$15="Revised estimates"," (RE)",IF(E$15="Budget estimates","(BE)","")))</f>
        <v/>
      </c>
      <c r="F16" s="1730" t="str">
        <f t="shared" ref="F16:J16" si="0">IF(F$15="Actuals"," (A)",IF(F$15="Revised estimates"," (RE)",IF(F$15="Budget estimates","(BE)","")))</f>
        <v xml:space="preserve"> (A)</v>
      </c>
      <c r="G16" s="1730" t="str">
        <f t="shared" si="0"/>
        <v xml:space="preserve"> (A)</v>
      </c>
      <c r="H16" s="1730" t="str">
        <f t="shared" si="0"/>
        <v xml:space="preserve"> (A)</v>
      </c>
      <c r="I16" s="1730" t="str">
        <f t="shared" si="0"/>
        <v xml:space="preserve"> (RE)</v>
      </c>
      <c r="J16" s="1730" t="str">
        <f t="shared" si="0"/>
        <v>(BE)</v>
      </c>
      <c r="K16" s="1601"/>
      <c r="L16" s="1312"/>
    </row>
    <row r="17" spans="1:20" s="1729" customFormat="1" ht="15.75" hidden="1" x14ac:dyDescent="0.25">
      <c r="A17" s="1312"/>
      <c r="B17" s="1601"/>
      <c r="C17" s="1601"/>
      <c r="D17" s="1731"/>
      <c r="E17" s="1601"/>
      <c r="F17" s="1601"/>
      <c r="G17" s="1601"/>
      <c r="H17" s="1601"/>
      <c r="I17" s="1601"/>
      <c r="J17" s="1601"/>
      <c r="K17" s="3520"/>
      <c r="L17" s="1312"/>
      <c r="M17" s="1608"/>
      <c r="N17" s="1608"/>
      <c r="O17" s="1608"/>
      <c r="P17" s="1608"/>
      <c r="Q17" s="1608"/>
      <c r="R17" s="1608"/>
      <c r="S17" s="1608"/>
      <c r="T17" s="1608"/>
    </row>
    <row r="18" spans="1:20" s="1317" customFormat="1" ht="21" hidden="1" x14ac:dyDescent="0.25">
      <c r="B18" s="1603"/>
      <c r="C18" s="1724" t="s">
        <v>1670</v>
      </c>
      <c r="D18" s="1724"/>
      <c r="E18" s="1724"/>
      <c r="F18" s="1724"/>
      <c r="G18" s="1604"/>
      <c r="H18" s="1604"/>
      <c r="I18" s="1604"/>
      <c r="J18" s="1604"/>
      <c r="K18" s="1604"/>
    </row>
    <row r="19" spans="1:20" s="1312" customFormat="1" hidden="1" x14ac:dyDescent="0.25">
      <c r="B19" s="1601"/>
      <c r="C19" s="1613" t="s">
        <v>1010</v>
      </c>
      <c r="D19" s="1614" t="s">
        <v>4</v>
      </c>
      <c r="E19" s="1613" t="s">
        <v>33</v>
      </c>
      <c r="F19" s="1613" t="s">
        <v>9</v>
      </c>
      <c r="G19" s="6320" t="s">
        <v>3013</v>
      </c>
      <c r="H19" s="6320"/>
      <c r="I19" s="6320"/>
      <c r="J19" s="6320"/>
      <c r="K19" s="1601"/>
      <c r="L19" s="1311"/>
    </row>
    <row r="20" spans="1:20" s="1312" customFormat="1" ht="15" hidden="1" customHeight="1" x14ac:dyDescent="0.25">
      <c r="B20" s="1601"/>
      <c r="C20" s="1637">
        <v>1</v>
      </c>
      <c r="D20" s="1725" t="s">
        <v>1672</v>
      </c>
      <c r="E20" s="1676" t="s">
        <v>64</v>
      </c>
      <c r="F20" s="5555">
        <f>'Financial Projections'!F15</f>
        <v>7.0000000000000007E-2</v>
      </c>
      <c r="G20" s="6320"/>
      <c r="H20" s="6320"/>
      <c r="I20" s="6320"/>
      <c r="J20" s="6320"/>
      <c r="K20" s="1601"/>
      <c r="L20" s="1311"/>
    </row>
    <row r="21" spans="1:20" s="1312" customFormat="1" hidden="1" x14ac:dyDescent="0.25">
      <c r="B21" s="1726"/>
      <c r="C21" s="1637">
        <v>2</v>
      </c>
      <c r="D21" s="1725" t="s">
        <v>1671</v>
      </c>
      <c r="E21" s="1676" t="s">
        <v>64</v>
      </c>
      <c r="F21" s="5555">
        <f>'Financial Projections'!F16</f>
        <v>0.05</v>
      </c>
      <c r="G21" s="6320"/>
      <c r="H21" s="6320"/>
      <c r="I21" s="6320"/>
      <c r="J21" s="6320"/>
      <c r="K21" s="1601"/>
    </row>
    <row r="22" spans="1:20" s="1312" customFormat="1" hidden="1" x14ac:dyDescent="0.25">
      <c r="B22" s="1726"/>
      <c r="C22" s="1637">
        <v>3</v>
      </c>
      <c r="D22" s="1725" t="s">
        <v>461</v>
      </c>
      <c r="E22" s="1676" t="s">
        <v>64</v>
      </c>
      <c r="F22" s="5555">
        <f>'Financial Projections'!F17</f>
        <v>0.03</v>
      </c>
      <c r="G22" s="6320"/>
      <c r="H22" s="6320"/>
      <c r="I22" s="6320"/>
      <c r="J22" s="6320"/>
      <c r="K22" s="1601"/>
    </row>
    <row r="23" spans="1:20" s="1312" customFormat="1" x14ac:dyDescent="0.25">
      <c r="B23" s="1726"/>
      <c r="C23" s="1726"/>
      <c r="D23" s="1727"/>
      <c r="E23" s="1726"/>
      <c r="F23" s="1726"/>
      <c r="G23" s="1601"/>
      <c r="H23" s="1601"/>
      <c r="I23" s="1601"/>
      <c r="J23" s="1601"/>
      <c r="K23" s="1601"/>
    </row>
    <row r="24" spans="1:20" ht="21" x14ac:dyDescent="0.25">
      <c r="B24" s="1603" t="s">
        <v>1</v>
      </c>
      <c r="C24" s="1604" t="s">
        <v>1673</v>
      </c>
      <c r="D24" s="1604"/>
      <c r="E24" s="1604"/>
      <c r="F24" s="1604"/>
      <c r="G24" s="1604"/>
      <c r="H24" s="1604"/>
      <c r="I24" s="1604"/>
      <c r="J24" s="5830" t="str">
        <f>CONCATENATE("All figures in ",'General info'!$E$43," ",'General info'!$G$43)</f>
        <v>All figures in INR Lakhs</v>
      </c>
      <c r="K24" s="1604"/>
    </row>
    <row r="25" spans="1:20" ht="15.75" x14ac:dyDescent="0.25">
      <c r="B25" s="1609"/>
      <c r="C25" s="1610"/>
      <c r="D25" s="1623"/>
      <c r="E25" s="1611"/>
      <c r="F25" s="1611"/>
      <c r="G25" s="1728"/>
      <c r="H25" s="1611"/>
      <c r="I25" s="1611"/>
      <c r="J25" s="1611"/>
      <c r="K25" s="1611"/>
    </row>
    <row r="26" spans="1:20" x14ac:dyDescent="0.25">
      <c r="B26" s="1601"/>
      <c r="C26" s="5965" t="s">
        <v>1010</v>
      </c>
      <c r="D26" s="1614" t="s">
        <v>4</v>
      </c>
      <c r="E26" s="5965" t="str">
        <f t="shared" ref="E26:J26" si="1">CONCATENATE(E$13," ",E$16)</f>
        <v xml:space="preserve">2009 </v>
      </c>
      <c r="F26" s="5965" t="str">
        <f t="shared" si="1"/>
        <v>2010  (A)</v>
      </c>
      <c r="G26" s="5965" t="str">
        <f t="shared" si="1"/>
        <v>2011  (A)</v>
      </c>
      <c r="H26" s="5965" t="str">
        <f t="shared" si="1"/>
        <v>2012  (A)</v>
      </c>
      <c r="I26" s="5965" t="str">
        <f t="shared" si="1"/>
        <v>2013  (RE)</v>
      </c>
      <c r="J26" s="5965" t="str">
        <f t="shared" si="1"/>
        <v>2014 (BE)</v>
      </c>
      <c r="K26" s="1601"/>
    </row>
    <row r="27" spans="1:20" x14ac:dyDescent="0.25">
      <c r="B27" s="1731"/>
      <c r="C27" s="1637"/>
      <c r="D27" s="1735" t="s">
        <v>180</v>
      </c>
      <c r="E27" s="3848"/>
      <c r="F27" s="3848">
        <v>315.22091999999998</v>
      </c>
      <c r="G27" s="3848">
        <v>300.15590999999995</v>
      </c>
      <c r="H27" s="3848">
        <v>473.27787000000001</v>
      </c>
      <c r="I27" s="5588">
        <v>743.5</v>
      </c>
      <c r="J27" s="3848">
        <v>858.04</v>
      </c>
      <c r="K27" s="1601"/>
    </row>
    <row r="28" spans="1:20" x14ac:dyDescent="0.25">
      <c r="B28" s="1731"/>
      <c r="C28" s="1637"/>
      <c r="D28" s="1735" t="s">
        <v>206</v>
      </c>
      <c r="E28" s="3848"/>
      <c r="F28" s="3848">
        <v>85.792540000000002</v>
      </c>
      <c r="G28" s="3848">
        <v>86.876559999999998</v>
      </c>
      <c r="H28" s="3848">
        <v>142.1378</v>
      </c>
      <c r="I28" s="3848">
        <v>200.7</v>
      </c>
      <c r="J28" s="3848">
        <v>250.08</v>
      </c>
      <c r="K28" s="1601"/>
    </row>
    <row r="29" spans="1:20" x14ac:dyDescent="0.25">
      <c r="B29" s="1731"/>
      <c r="C29" s="1637"/>
      <c r="D29" s="1735" t="s">
        <v>3776</v>
      </c>
      <c r="E29" s="3848"/>
      <c r="F29" s="3848">
        <v>72.57987</v>
      </c>
      <c r="G29" s="3848">
        <v>64.610830000000007</v>
      </c>
      <c r="H29" s="3848">
        <v>98.006529999999984</v>
      </c>
      <c r="I29" s="3848">
        <v>174.34</v>
      </c>
      <c r="J29" s="3848">
        <v>182.47</v>
      </c>
      <c r="K29" s="1601"/>
    </row>
    <row r="30" spans="1:20" x14ac:dyDescent="0.25">
      <c r="B30" s="1731"/>
      <c r="C30" s="1637"/>
      <c r="D30" s="1735" t="s">
        <v>3749</v>
      </c>
      <c r="E30" s="3848"/>
      <c r="F30" s="3848">
        <v>601.61822500000017</v>
      </c>
      <c r="G30" s="3848">
        <v>655.99288500000011</v>
      </c>
      <c r="H30" s="3848">
        <v>761.85159999999996</v>
      </c>
      <c r="I30" s="3848">
        <v>1013.9268499999999</v>
      </c>
      <c r="J30" s="3848">
        <v>971.39200000000005</v>
      </c>
      <c r="K30" s="1601"/>
    </row>
    <row r="31" spans="1:20" x14ac:dyDescent="0.25">
      <c r="B31" s="1726"/>
      <c r="C31" s="1637"/>
      <c r="D31" s="1735" t="s">
        <v>3750</v>
      </c>
      <c r="E31" s="5592">
        <f>SUM(E28:E30)</f>
        <v>0</v>
      </c>
      <c r="F31" s="5592">
        <f t="shared" ref="F31:J31" si="2">SUM(F28:F30)</f>
        <v>759.99063500000011</v>
      </c>
      <c r="G31" s="5592">
        <f t="shared" si="2"/>
        <v>807.48027500000012</v>
      </c>
      <c r="H31" s="5592">
        <f t="shared" si="2"/>
        <v>1001.9959299999999</v>
      </c>
      <c r="I31" s="5592">
        <f t="shared" si="2"/>
        <v>1388.9668499999998</v>
      </c>
      <c r="J31" s="5592">
        <f t="shared" si="2"/>
        <v>1403.942</v>
      </c>
      <c r="K31" s="1601"/>
    </row>
    <row r="32" spans="1:20" x14ac:dyDescent="0.25">
      <c r="B32" s="1726"/>
      <c r="C32" s="1726"/>
      <c r="D32" s="1727"/>
      <c r="E32" s="1726"/>
      <c r="F32" s="1726"/>
      <c r="G32" s="1601"/>
      <c r="H32" s="1601"/>
      <c r="I32" s="1601"/>
      <c r="J32" s="1601"/>
      <c r="K32" s="1601"/>
    </row>
    <row r="33" spans="2:11" x14ac:dyDescent="0.25">
      <c r="B33" s="1726"/>
      <c r="C33" s="1637"/>
      <c r="D33" s="1735" t="s">
        <v>190</v>
      </c>
      <c r="E33" s="3848"/>
      <c r="F33" s="3848">
        <v>802.12968000000001</v>
      </c>
      <c r="G33" s="3848">
        <v>724.71022999999991</v>
      </c>
      <c r="H33" s="3848">
        <v>918.3304599999999</v>
      </c>
      <c r="I33" s="5588">
        <v>1169.3414</v>
      </c>
      <c r="J33" s="3848">
        <v>1320.70433</v>
      </c>
      <c r="K33" s="1601"/>
    </row>
    <row r="34" spans="2:11" x14ac:dyDescent="0.25">
      <c r="B34" s="1726"/>
      <c r="C34" s="1726"/>
      <c r="D34" s="1727"/>
      <c r="E34" s="1726"/>
      <c r="F34" s="1726"/>
      <c r="G34" s="1601"/>
      <c r="H34" s="1601"/>
      <c r="I34" s="1601"/>
      <c r="J34" s="1601"/>
      <c r="K34" s="1601"/>
    </row>
    <row r="35" spans="2:11" x14ac:dyDescent="0.25">
      <c r="B35" s="1726"/>
      <c r="C35" s="1637"/>
      <c r="D35" s="1735" t="s">
        <v>192</v>
      </c>
      <c r="E35" s="3848"/>
      <c r="F35" s="3848">
        <v>196.53337499999998</v>
      </c>
      <c r="G35" s="3848">
        <v>644.02077500000007</v>
      </c>
      <c r="H35" s="3848">
        <v>128.93708999999998</v>
      </c>
      <c r="I35" s="5588">
        <v>962.6</v>
      </c>
      <c r="J35" s="3848">
        <v>688.2</v>
      </c>
      <c r="K35" s="1601"/>
    </row>
    <row r="36" spans="2:11" x14ac:dyDescent="0.25">
      <c r="B36" s="1726"/>
      <c r="C36" s="1637"/>
      <c r="D36" s="1735" t="s">
        <v>146</v>
      </c>
      <c r="E36" s="3848"/>
      <c r="F36" s="3848">
        <v>188.28072999999998</v>
      </c>
      <c r="G36" s="3848">
        <v>958.62439000000006</v>
      </c>
      <c r="H36" s="3848">
        <v>215.00096000000002</v>
      </c>
      <c r="I36" s="5588">
        <v>939.1</v>
      </c>
      <c r="J36" s="3848">
        <v>471.2</v>
      </c>
      <c r="K36" s="1601"/>
    </row>
    <row r="37" spans="2:11" x14ac:dyDescent="0.25">
      <c r="B37" s="1726"/>
      <c r="C37" s="1726"/>
      <c r="D37" s="1727"/>
      <c r="E37" s="1726"/>
      <c r="F37" s="1726"/>
      <c r="G37" s="1601"/>
      <c r="H37" s="1601"/>
      <c r="I37" s="1601"/>
      <c r="J37" s="1601"/>
      <c r="K37" s="1601"/>
    </row>
    <row r="38" spans="2:11" ht="21" x14ac:dyDescent="0.25">
      <c r="B38" s="1603" t="s">
        <v>14</v>
      </c>
      <c r="C38" s="1604" t="s">
        <v>3751</v>
      </c>
      <c r="D38" s="1604"/>
      <c r="E38" s="1604"/>
      <c r="F38" s="1604"/>
      <c r="G38" s="1604"/>
      <c r="H38" s="1604"/>
      <c r="I38" s="1604"/>
      <c r="J38" s="5830" t="str">
        <f>CONCATENATE("All figures in ",'General info'!$E$43," ",'General info'!$G$43)</f>
        <v>All figures in INR Lakhs</v>
      </c>
      <c r="K38" s="1604"/>
    </row>
    <row r="39" spans="2:11" ht="15.75" x14ac:dyDescent="0.25">
      <c r="B39" s="1609" t="s">
        <v>2</v>
      </c>
      <c r="C39" s="1610" t="s">
        <v>0</v>
      </c>
      <c r="D39" s="1623"/>
      <c r="E39" s="1611"/>
      <c r="F39" s="1611"/>
      <c r="G39" s="1728"/>
      <c r="H39" s="1611"/>
      <c r="I39" s="1611"/>
      <c r="J39" s="1611"/>
      <c r="K39" s="1611"/>
    </row>
    <row r="40" spans="2:11" x14ac:dyDescent="0.25">
      <c r="B40" s="1601"/>
      <c r="C40" s="5965" t="s">
        <v>1010</v>
      </c>
      <c r="D40" s="1614" t="s">
        <v>4</v>
      </c>
      <c r="E40" s="5965" t="str">
        <f t="shared" ref="E40:J40" si="3">CONCATENATE(E$13," ",E$16)</f>
        <v xml:space="preserve">2009 </v>
      </c>
      <c r="F40" s="5965" t="str">
        <f t="shared" si="3"/>
        <v>2010  (A)</v>
      </c>
      <c r="G40" s="5965" t="str">
        <f t="shared" si="3"/>
        <v>2011  (A)</v>
      </c>
      <c r="H40" s="5965" t="str">
        <f t="shared" si="3"/>
        <v>2012  (A)</v>
      </c>
      <c r="I40" s="5965" t="str">
        <f t="shared" si="3"/>
        <v>2013  (RE)</v>
      </c>
      <c r="J40" s="5965" t="str">
        <f t="shared" si="3"/>
        <v>2014 (BE)</v>
      </c>
      <c r="K40" s="1601"/>
    </row>
    <row r="41" spans="2:11" x14ac:dyDescent="0.25">
      <c r="B41" s="1731"/>
      <c r="C41" s="1637"/>
      <c r="D41" s="1735" t="s">
        <v>3752</v>
      </c>
      <c r="E41" s="3848"/>
      <c r="F41" s="3848"/>
      <c r="G41" s="3848"/>
      <c r="H41" s="3848"/>
      <c r="I41" s="5588"/>
      <c r="J41" s="3848"/>
      <c r="K41" s="1601"/>
    </row>
    <row r="42" spans="2:11" x14ac:dyDescent="0.25">
      <c r="B42" s="1731"/>
      <c r="C42" s="1637"/>
      <c r="D42" s="1735" t="s">
        <v>3753</v>
      </c>
      <c r="E42" s="3848"/>
      <c r="F42" s="3848"/>
      <c r="G42" s="3848"/>
      <c r="H42" s="3848"/>
      <c r="I42" s="5588"/>
      <c r="J42" s="3848"/>
      <c r="K42" s="1601"/>
    </row>
    <row r="43" spans="2:11" x14ac:dyDescent="0.25">
      <c r="B43" s="1731"/>
      <c r="C43" s="1637"/>
      <c r="D43" s="1735" t="s">
        <v>3750</v>
      </c>
      <c r="E43" s="5592"/>
      <c r="F43" s="5592"/>
      <c r="G43" s="5592"/>
      <c r="H43" s="5592"/>
      <c r="I43" s="5593"/>
      <c r="J43" s="5592"/>
      <c r="K43" s="1601"/>
    </row>
    <row r="44" spans="2:11" x14ac:dyDescent="0.25">
      <c r="B44" s="1731"/>
      <c r="C44" s="1731"/>
      <c r="D44" s="1731"/>
      <c r="E44" s="1731"/>
      <c r="F44" s="1731"/>
      <c r="G44" s="1731"/>
      <c r="H44" s="1731"/>
      <c r="I44" s="1731"/>
      <c r="J44" s="1731"/>
      <c r="K44" s="1731"/>
    </row>
    <row r="45" spans="2:11" x14ac:dyDescent="0.25">
      <c r="B45" s="1731"/>
      <c r="C45" s="1637"/>
      <c r="D45" s="1735" t="s">
        <v>3754</v>
      </c>
      <c r="E45" s="3848"/>
      <c r="F45" s="3848"/>
      <c r="G45" s="3848"/>
      <c r="H45" s="3848"/>
      <c r="I45" s="5588"/>
      <c r="J45" s="3848"/>
      <c r="K45" s="1601"/>
    </row>
    <row r="46" spans="2:11" x14ac:dyDescent="0.25">
      <c r="B46" s="1726"/>
      <c r="C46" s="1726"/>
      <c r="D46" s="1727"/>
      <c r="E46" s="1726"/>
      <c r="F46" s="1726"/>
      <c r="G46" s="1601"/>
      <c r="H46" s="1601"/>
      <c r="I46" s="1601"/>
      <c r="J46" s="1601"/>
      <c r="K46" s="1601"/>
    </row>
    <row r="47" spans="2:11" x14ac:dyDescent="0.25">
      <c r="B47" s="1726"/>
      <c r="C47" s="1637"/>
      <c r="D47" s="1735" t="s">
        <v>192</v>
      </c>
      <c r="E47" s="3848"/>
      <c r="F47" s="3848"/>
      <c r="G47" s="3848"/>
      <c r="H47" s="3848"/>
      <c r="I47" s="5588"/>
      <c r="J47" s="3848"/>
      <c r="K47" s="1601"/>
    </row>
    <row r="48" spans="2:11" x14ac:dyDescent="0.25">
      <c r="B48" s="1726"/>
      <c r="C48" s="1637"/>
      <c r="D48" s="1735" t="s">
        <v>146</v>
      </c>
      <c r="E48" s="3848"/>
      <c r="F48" s="3848"/>
      <c r="G48" s="3848"/>
      <c r="H48" s="3848"/>
      <c r="I48" s="5588"/>
      <c r="J48" s="3848"/>
      <c r="K48" s="1601"/>
    </row>
    <row r="49" spans="2:11" x14ac:dyDescent="0.25">
      <c r="B49" s="1726"/>
      <c r="C49" s="1726"/>
      <c r="D49" s="1727"/>
      <c r="E49" s="1726"/>
      <c r="F49" s="1726"/>
      <c r="G49" s="1601"/>
      <c r="H49" s="1601"/>
      <c r="I49" s="1601"/>
      <c r="J49" s="1601"/>
      <c r="K49" s="1601"/>
    </row>
    <row r="50" spans="2:11" ht="15.75" x14ac:dyDescent="0.25">
      <c r="B50" s="1609" t="s">
        <v>8</v>
      </c>
      <c r="C50" s="1610" t="s">
        <v>3768</v>
      </c>
      <c r="D50" s="1623"/>
      <c r="E50" s="1611"/>
      <c r="F50" s="1611"/>
      <c r="G50" s="1728"/>
      <c r="H50" s="1611"/>
      <c r="I50" s="1611"/>
      <c r="J50" s="1611"/>
      <c r="K50" s="1611"/>
    </row>
    <row r="51" spans="2:11" x14ac:dyDescent="0.25">
      <c r="B51" s="1601"/>
      <c r="C51" s="5965" t="s">
        <v>1010</v>
      </c>
      <c r="D51" s="1614" t="s">
        <v>4</v>
      </c>
      <c r="E51" s="5965" t="str">
        <f t="shared" ref="E51:J51" si="4">CONCATENATE(E$13," ",E$16)</f>
        <v xml:space="preserve">2009 </v>
      </c>
      <c r="F51" s="5965" t="str">
        <f t="shared" si="4"/>
        <v>2010  (A)</v>
      </c>
      <c r="G51" s="5965" t="str">
        <f t="shared" si="4"/>
        <v>2011  (A)</v>
      </c>
      <c r="H51" s="5965" t="str">
        <f t="shared" si="4"/>
        <v>2012  (A)</v>
      </c>
      <c r="I51" s="5965" t="str">
        <f t="shared" si="4"/>
        <v>2013  (RE)</v>
      </c>
      <c r="J51" s="5965" t="str">
        <f t="shared" si="4"/>
        <v>2014 (BE)</v>
      </c>
      <c r="K51" s="1601"/>
    </row>
    <row r="52" spans="2:11" x14ac:dyDescent="0.25">
      <c r="B52" s="1731"/>
      <c r="C52" s="1637"/>
      <c r="D52" s="1735" t="s">
        <v>3755</v>
      </c>
      <c r="E52" s="3848">
        <v>0</v>
      </c>
      <c r="F52" s="3848">
        <v>0</v>
      </c>
      <c r="G52" s="3848">
        <v>0</v>
      </c>
      <c r="H52" s="3848">
        <v>0</v>
      </c>
      <c r="I52" s="3848">
        <v>0</v>
      </c>
      <c r="J52" s="3848">
        <v>0</v>
      </c>
      <c r="K52" s="1601"/>
    </row>
    <row r="53" spans="2:11" x14ac:dyDescent="0.25">
      <c r="B53" s="1731"/>
      <c r="C53" s="1637"/>
      <c r="D53" s="1735" t="s">
        <v>3753</v>
      </c>
      <c r="E53" s="3848">
        <v>0</v>
      </c>
      <c r="F53" s="3848">
        <v>0</v>
      </c>
      <c r="G53" s="3848">
        <v>0</v>
      </c>
      <c r="H53" s="3848">
        <v>0</v>
      </c>
      <c r="I53" s="3848">
        <v>0</v>
      </c>
      <c r="J53" s="3848">
        <v>0</v>
      </c>
      <c r="K53" s="1601"/>
    </row>
    <row r="54" spans="2:11" x14ac:dyDescent="0.25">
      <c r="B54" s="1731"/>
      <c r="C54" s="1637"/>
      <c r="D54" s="1735" t="s">
        <v>3750</v>
      </c>
      <c r="E54" s="5592">
        <f>SUM(E52:E53)</f>
        <v>0</v>
      </c>
      <c r="F54" s="5592">
        <f t="shared" ref="F54:J54" si="5">SUM(F52:F53)</f>
        <v>0</v>
      </c>
      <c r="G54" s="5592">
        <f t="shared" si="5"/>
        <v>0</v>
      </c>
      <c r="H54" s="5592">
        <f t="shared" si="5"/>
        <v>0</v>
      </c>
      <c r="I54" s="5592">
        <f t="shared" si="5"/>
        <v>0</v>
      </c>
      <c r="J54" s="5592">
        <f t="shared" si="5"/>
        <v>0</v>
      </c>
      <c r="K54" s="1601"/>
    </row>
    <row r="55" spans="2:11" x14ac:dyDescent="0.25">
      <c r="B55" s="1731"/>
      <c r="C55" s="1731"/>
      <c r="D55" s="1731"/>
      <c r="E55" s="1731"/>
      <c r="F55" s="1731"/>
      <c r="G55" s="1731"/>
      <c r="H55" s="1731"/>
      <c r="I55" s="1731"/>
      <c r="J55" s="1731"/>
      <c r="K55" s="1731"/>
    </row>
    <row r="56" spans="2:11" x14ac:dyDescent="0.25">
      <c r="B56" s="1731"/>
      <c r="C56" s="1637"/>
      <c r="D56" s="1735" t="s">
        <v>190</v>
      </c>
      <c r="E56" s="3848">
        <v>55.488790000000002</v>
      </c>
      <c r="F56" s="3848">
        <v>68.531319999999994</v>
      </c>
      <c r="G56" s="3848">
        <v>84.86090999999999</v>
      </c>
      <c r="H56" s="3848">
        <v>111.61520000000002</v>
      </c>
      <c r="I56" s="5588">
        <v>121.2</v>
      </c>
      <c r="J56" s="3848">
        <v>108</v>
      </c>
      <c r="K56" s="1601"/>
    </row>
    <row r="57" spans="2:11" x14ac:dyDescent="0.25">
      <c r="B57" s="1726"/>
      <c r="C57" s="1726"/>
      <c r="D57" s="1727"/>
      <c r="E57" s="1726"/>
      <c r="F57" s="1726"/>
      <c r="G57" s="1601"/>
      <c r="H57" s="1601"/>
      <c r="I57" s="1601"/>
      <c r="J57" s="1601"/>
      <c r="K57" s="1601"/>
    </row>
    <row r="58" spans="2:11" x14ac:dyDescent="0.25">
      <c r="B58" s="1726"/>
      <c r="C58" s="1637"/>
      <c r="D58" s="1735" t="s">
        <v>192</v>
      </c>
      <c r="E58" s="3848">
        <v>0</v>
      </c>
      <c r="F58" s="3848">
        <v>0</v>
      </c>
      <c r="G58" s="3848">
        <v>0</v>
      </c>
      <c r="H58" s="3848">
        <v>0</v>
      </c>
      <c r="I58" s="3848">
        <v>0</v>
      </c>
      <c r="J58" s="3848">
        <v>0</v>
      </c>
      <c r="K58" s="1601"/>
    </row>
    <row r="59" spans="2:11" x14ac:dyDescent="0.25">
      <c r="B59" s="1726"/>
      <c r="C59" s="1637"/>
      <c r="D59" s="1735" t="s">
        <v>146</v>
      </c>
      <c r="E59" s="3848">
        <v>0</v>
      </c>
      <c r="F59" s="3848">
        <v>0</v>
      </c>
      <c r="G59" s="3848">
        <v>0</v>
      </c>
      <c r="H59" s="3848">
        <v>0</v>
      </c>
      <c r="I59" s="3848">
        <v>0</v>
      </c>
      <c r="J59" s="3848">
        <v>0</v>
      </c>
      <c r="K59" s="1601"/>
    </row>
    <row r="60" spans="2:11" x14ac:dyDescent="0.25">
      <c r="B60" s="1726"/>
      <c r="C60" s="1726"/>
      <c r="D60" s="1727"/>
      <c r="E60" s="1726"/>
      <c r="F60" s="1726"/>
      <c r="G60" s="1601"/>
      <c r="H60" s="1601"/>
      <c r="I60" s="1601"/>
      <c r="J60" s="1601"/>
      <c r="K60" s="1601"/>
    </row>
    <row r="61" spans="2:11" ht="15.75" x14ac:dyDescent="0.25">
      <c r="B61" s="1609" t="s">
        <v>10</v>
      </c>
      <c r="C61" s="1610" t="s">
        <v>3756</v>
      </c>
      <c r="D61" s="1623"/>
      <c r="E61" s="1611"/>
      <c r="F61" s="1611"/>
      <c r="G61" s="1728"/>
      <c r="H61" s="1611"/>
      <c r="I61" s="1611"/>
      <c r="J61" s="1611"/>
      <c r="K61" s="1611"/>
    </row>
    <row r="62" spans="2:11" x14ac:dyDescent="0.25">
      <c r="B62" s="1601"/>
      <c r="C62" s="5965" t="s">
        <v>1010</v>
      </c>
      <c r="D62" s="1614" t="s">
        <v>4</v>
      </c>
      <c r="E62" s="5965" t="str">
        <f t="shared" ref="E62:J62" si="6">CONCATENATE(E$13," ",E$16)</f>
        <v xml:space="preserve">2009 </v>
      </c>
      <c r="F62" s="5965" t="str">
        <f t="shared" si="6"/>
        <v>2010  (A)</v>
      </c>
      <c r="G62" s="5965" t="str">
        <f t="shared" si="6"/>
        <v>2011  (A)</v>
      </c>
      <c r="H62" s="5965" t="str">
        <f t="shared" si="6"/>
        <v>2012  (A)</v>
      </c>
      <c r="I62" s="5965" t="str">
        <f t="shared" si="6"/>
        <v>2013  (RE)</v>
      </c>
      <c r="J62" s="5965" t="str">
        <f t="shared" si="6"/>
        <v>2014 (BE)</v>
      </c>
      <c r="K62" s="1601"/>
    </row>
    <row r="63" spans="2:11" x14ac:dyDescent="0.25">
      <c r="B63" s="1731"/>
      <c r="C63" s="1637"/>
      <c r="D63" s="1735" t="s">
        <v>3757</v>
      </c>
      <c r="E63" s="3848"/>
      <c r="F63" s="3848"/>
      <c r="G63" s="3848"/>
      <c r="H63" s="3848"/>
      <c r="I63" s="5588"/>
      <c r="J63" s="3848"/>
      <c r="K63" s="1601"/>
    </row>
    <row r="64" spans="2:11" x14ac:dyDescent="0.25">
      <c r="B64" s="1731"/>
      <c r="C64" s="1637"/>
      <c r="D64" s="1735" t="s">
        <v>3753</v>
      </c>
      <c r="E64" s="3848"/>
      <c r="F64" s="3848"/>
      <c r="G64" s="3848"/>
      <c r="H64" s="3848"/>
      <c r="I64" s="5588"/>
      <c r="J64" s="3848"/>
      <c r="K64" s="1601"/>
    </row>
    <row r="65" spans="1:12" x14ac:dyDescent="0.25">
      <c r="B65" s="1731"/>
      <c r="C65" s="1637"/>
      <c r="D65" s="1735" t="s">
        <v>3750</v>
      </c>
      <c r="E65" s="5592"/>
      <c r="F65" s="5592"/>
      <c r="G65" s="5592"/>
      <c r="H65" s="5592"/>
      <c r="I65" s="5593"/>
      <c r="J65" s="5592"/>
      <c r="K65" s="1601"/>
    </row>
    <row r="66" spans="1:12" x14ac:dyDescent="0.25">
      <c r="B66" s="1731"/>
      <c r="C66" s="1731"/>
      <c r="D66" s="1731"/>
      <c r="E66" s="1731"/>
      <c r="F66" s="1731"/>
      <c r="G66" s="1731"/>
      <c r="H66" s="1731"/>
      <c r="I66" s="1731"/>
      <c r="J66" s="1731"/>
      <c r="K66" s="1731"/>
    </row>
    <row r="67" spans="1:12" x14ac:dyDescent="0.25">
      <c r="B67" s="1731"/>
      <c r="C67" s="1637"/>
      <c r="D67" s="1735" t="s">
        <v>190</v>
      </c>
      <c r="E67" s="3848"/>
      <c r="F67" s="3848"/>
      <c r="G67" s="3848"/>
      <c r="H67" s="3848"/>
      <c r="I67" s="5588"/>
      <c r="J67" s="3848"/>
      <c r="K67" s="1601"/>
    </row>
    <row r="68" spans="1:12" x14ac:dyDescent="0.25">
      <c r="B68" s="1726"/>
      <c r="C68" s="1726"/>
      <c r="D68" s="1727"/>
      <c r="E68" s="1726"/>
      <c r="F68" s="1726"/>
      <c r="G68" s="1601"/>
      <c r="H68" s="1601"/>
      <c r="I68" s="1601"/>
      <c r="J68" s="1601"/>
      <c r="K68" s="1601"/>
    </row>
    <row r="69" spans="1:12" x14ac:dyDescent="0.25">
      <c r="B69" s="1726"/>
      <c r="C69" s="1637"/>
      <c r="D69" s="1735" t="s">
        <v>192</v>
      </c>
      <c r="E69" s="3848"/>
      <c r="F69" s="3848"/>
      <c r="G69" s="3848"/>
      <c r="H69" s="3848"/>
      <c r="I69" s="5588"/>
      <c r="J69" s="3848"/>
      <c r="K69" s="1601"/>
    </row>
    <row r="70" spans="1:12" x14ac:dyDescent="0.25">
      <c r="B70" s="1726"/>
      <c r="C70" s="1637"/>
      <c r="D70" s="1735" t="s">
        <v>146</v>
      </c>
      <c r="E70" s="3848"/>
      <c r="F70" s="3848"/>
      <c r="G70" s="3848"/>
      <c r="H70" s="3848"/>
      <c r="I70" s="5588"/>
      <c r="J70" s="3848"/>
      <c r="K70" s="1601"/>
    </row>
    <row r="71" spans="1:12" s="1729" customFormat="1" x14ac:dyDescent="0.25">
      <c r="A71" s="1312"/>
      <c r="B71" s="1601"/>
      <c r="C71" s="1601"/>
      <c r="D71" s="1731"/>
      <c r="E71" s="1601"/>
      <c r="F71" s="1601"/>
      <c r="G71" s="1601"/>
      <c r="H71" s="1601"/>
      <c r="I71" s="1601"/>
      <c r="J71" s="1601"/>
      <c r="K71" s="1601"/>
      <c r="L71" s="1312"/>
    </row>
    <row r="72" spans="1:12" s="1317" customFormat="1" ht="21" x14ac:dyDescent="0.25">
      <c r="B72" s="1603" t="s">
        <v>36</v>
      </c>
      <c r="C72" s="1604" t="s">
        <v>3232</v>
      </c>
      <c r="D72" s="1604"/>
      <c r="E72" s="1604"/>
      <c r="F72" s="1604"/>
      <c r="G72" s="1604"/>
      <c r="H72" s="1604"/>
      <c r="I72" s="1604"/>
      <c r="J72" s="5830" t="str">
        <f>CONCATENATE("All figures in ",'General info'!$E$43," ",'General info'!$G$43)</f>
        <v>All figures in INR Lakhs</v>
      </c>
      <c r="K72" s="1604"/>
    </row>
    <row r="73" spans="1:12" s="1608" customFormat="1" ht="15.75" x14ac:dyDescent="0.25">
      <c r="B73" s="1609" t="s">
        <v>2</v>
      </c>
      <c r="C73" s="1610" t="s">
        <v>3842</v>
      </c>
      <c r="D73" s="1623"/>
      <c r="E73" s="1611"/>
      <c r="F73" s="1611"/>
      <c r="G73" s="1728"/>
      <c r="H73" s="1611"/>
      <c r="I73" s="1611"/>
      <c r="J73" s="1611"/>
      <c r="K73" s="1611"/>
    </row>
    <row r="74" spans="1:12" s="1729" customFormat="1" x14ac:dyDescent="0.25">
      <c r="A74" s="1312"/>
      <c r="B74" s="1599"/>
      <c r="C74" s="1599"/>
      <c r="D74" s="1731"/>
      <c r="E74" s="1630"/>
      <c r="F74" s="1601"/>
      <c r="G74" s="1601"/>
      <c r="H74" s="1601"/>
      <c r="I74" s="1601"/>
      <c r="J74" s="1601"/>
      <c r="K74" s="1601"/>
      <c r="L74" s="1312"/>
    </row>
    <row r="75" spans="1:12" s="1729" customFormat="1" x14ac:dyDescent="0.25">
      <c r="A75" s="1312"/>
      <c r="B75" s="1601"/>
      <c r="C75" s="6321" t="s">
        <v>1010</v>
      </c>
      <c r="D75" s="6322" t="s">
        <v>4</v>
      </c>
      <c r="E75" s="6314" t="str">
        <f>H252</f>
        <v>2012  (A)</v>
      </c>
      <c r="F75" s="6315"/>
      <c r="G75" s="6324" t="str">
        <f>I252</f>
        <v>2013  (RE)</v>
      </c>
      <c r="H75" s="6313"/>
      <c r="I75" s="6312" t="str">
        <f>J252</f>
        <v>2014 (BE)</v>
      </c>
      <c r="J75" s="6313"/>
      <c r="K75" s="1601"/>
      <c r="L75" s="1312"/>
    </row>
    <row r="76" spans="1:12" s="1729" customFormat="1" x14ac:dyDescent="0.25">
      <c r="A76" s="1312"/>
      <c r="B76" s="1601"/>
      <c r="C76" s="6321"/>
      <c r="D76" s="6323"/>
      <c r="E76" s="5268" t="s">
        <v>500</v>
      </c>
      <c r="F76" s="5269" t="s">
        <v>501</v>
      </c>
      <c r="G76" s="5268" t="s">
        <v>500</v>
      </c>
      <c r="H76" s="5269" t="s">
        <v>501</v>
      </c>
      <c r="I76" s="5268" t="s">
        <v>500</v>
      </c>
      <c r="J76" s="5269" t="s">
        <v>501</v>
      </c>
      <c r="K76" s="1601"/>
      <c r="L76" s="1312"/>
    </row>
    <row r="77" spans="1:12" s="1729" customFormat="1" x14ac:dyDescent="0.25">
      <c r="A77" s="1312"/>
      <c r="B77" s="1601"/>
      <c r="C77" s="1637"/>
      <c r="D77" s="5270" t="s">
        <v>498</v>
      </c>
      <c r="E77" s="5271"/>
      <c r="F77" s="5271"/>
      <c r="G77" s="5271"/>
      <c r="H77" s="5271"/>
      <c r="I77" s="5271"/>
      <c r="J77" s="5272"/>
      <c r="K77" s="1601"/>
      <c r="L77" s="1312"/>
    </row>
    <row r="78" spans="1:12" s="1729" customFormat="1" x14ac:dyDescent="0.25">
      <c r="A78" s="1312"/>
      <c r="B78" s="1601"/>
      <c r="C78" s="1637">
        <v>1</v>
      </c>
      <c r="D78" s="1758" t="s">
        <v>1124</v>
      </c>
      <c r="E78" s="5968">
        <v>112.60714</v>
      </c>
      <c r="F78" s="5969">
        <v>94.928340000000006</v>
      </c>
      <c r="G78" s="5968">
        <v>111.63312999999999</v>
      </c>
      <c r="H78" s="5969">
        <v>91.777990000000003</v>
      </c>
      <c r="I78" s="5968">
        <v>111.63312999999999</v>
      </c>
      <c r="J78" s="5969">
        <v>91.777990000000003</v>
      </c>
      <c r="K78" s="1601"/>
      <c r="L78" s="1652"/>
    </row>
    <row r="79" spans="1:12" s="1729" customFormat="1" x14ac:dyDescent="0.25">
      <c r="A79" s="1312"/>
      <c r="B79" s="1601"/>
      <c r="C79" s="1637">
        <v>2</v>
      </c>
      <c r="D79" s="1758" t="s">
        <v>188</v>
      </c>
      <c r="E79" s="5588"/>
      <c r="F79" s="5970"/>
      <c r="G79" s="5588"/>
      <c r="H79" s="5970"/>
      <c r="I79" s="5588"/>
      <c r="J79" s="5970"/>
      <c r="K79" s="1601"/>
      <c r="L79" s="1652"/>
    </row>
    <row r="80" spans="1:12" s="1729" customFormat="1" ht="30" x14ac:dyDescent="0.25">
      <c r="A80" s="1312"/>
      <c r="B80" s="1601"/>
      <c r="C80" s="1637">
        <v>3</v>
      </c>
      <c r="D80" s="1758" t="s">
        <v>3595</v>
      </c>
      <c r="E80" s="5588"/>
      <c r="F80" s="5970"/>
      <c r="G80" s="5588"/>
      <c r="H80" s="5970"/>
      <c r="I80" s="5588"/>
      <c r="J80" s="5970"/>
      <c r="K80" s="1601"/>
      <c r="L80" s="1652"/>
    </row>
    <row r="81" spans="1:12" s="1729" customFormat="1" x14ac:dyDescent="0.25">
      <c r="A81" s="1312"/>
      <c r="B81" s="1601"/>
      <c r="C81" s="1637">
        <v>4</v>
      </c>
      <c r="D81" s="1758" t="s">
        <v>771</v>
      </c>
      <c r="E81" s="5588"/>
      <c r="F81" s="5970"/>
      <c r="G81" s="5588"/>
      <c r="H81" s="5970"/>
      <c r="I81" s="5588"/>
      <c r="J81" s="5970"/>
      <c r="K81" s="1601"/>
      <c r="L81" s="1652"/>
    </row>
    <row r="82" spans="1:12" s="1729" customFormat="1" x14ac:dyDescent="0.25">
      <c r="A82" s="1312"/>
      <c r="B82" s="1601"/>
      <c r="C82" s="1637">
        <v>5</v>
      </c>
      <c r="D82" s="1758" t="s">
        <v>26</v>
      </c>
      <c r="E82" s="5588">
        <v>111.15688</v>
      </c>
      <c r="F82" s="5970">
        <v>90.385710000000003</v>
      </c>
      <c r="G82" s="5588">
        <v>134.65555000000001</v>
      </c>
      <c r="H82" s="5970">
        <v>112.5175</v>
      </c>
      <c r="I82" s="5588">
        <v>134.65555000000001</v>
      </c>
      <c r="J82" s="5970">
        <v>112.5175</v>
      </c>
      <c r="K82" s="1601"/>
      <c r="L82" s="1652"/>
    </row>
    <row r="83" spans="1:12" s="1729" customFormat="1" x14ac:dyDescent="0.25">
      <c r="A83" s="1312"/>
      <c r="B83" s="1601"/>
      <c r="C83" s="1638"/>
      <c r="D83" s="5267" t="s">
        <v>16</v>
      </c>
      <c r="E83" s="5602">
        <f t="shared" ref="E83:J83" si="7">SUM(E78:E82)</f>
        <v>223.76402000000002</v>
      </c>
      <c r="F83" s="5603">
        <f t="shared" si="7"/>
        <v>185.31405000000001</v>
      </c>
      <c r="G83" s="5602">
        <f t="shared" si="7"/>
        <v>246.28868</v>
      </c>
      <c r="H83" s="5603">
        <f t="shared" si="7"/>
        <v>204.29549</v>
      </c>
      <c r="I83" s="5602">
        <f t="shared" si="7"/>
        <v>246.28868</v>
      </c>
      <c r="J83" s="5603">
        <f t="shared" si="7"/>
        <v>204.29549</v>
      </c>
      <c r="K83" s="1601"/>
      <c r="L83" s="1652"/>
    </row>
    <row r="84" spans="1:12" s="1729" customFormat="1" x14ac:dyDescent="0.25">
      <c r="A84" s="1312"/>
      <c r="B84" s="1601"/>
      <c r="C84" s="1637"/>
      <c r="D84" s="5270" t="s">
        <v>499</v>
      </c>
      <c r="E84" s="5604"/>
      <c r="F84" s="5604"/>
      <c r="G84" s="5604"/>
      <c r="H84" s="5604"/>
      <c r="I84" s="5604"/>
      <c r="J84" s="5605"/>
      <c r="K84" s="1601"/>
      <c r="L84" s="1652"/>
    </row>
    <row r="85" spans="1:12" s="1729" customFormat="1" x14ac:dyDescent="0.25">
      <c r="A85" s="1312"/>
      <c r="B85" s="1601"/>
      <c r="C85" s="1637">
        <v>1</v>
      </c>
      <c r="D85" s="1758" t="s">
        <v>1124</v>
      </c>
      <c r="E85" s="5968">
        <v>66.172839999999994</v>
      </c>
      <c r="F85" s="5969">
        <v>46.854410000000001</v>
      </c>
      <c r="G85" s="5968">
        <v>37.642240000000001</v>
      </c>
      <c r="H85" s="5969">
        <v>19.33794</v>
      </c>
      <c r="I85" s="5968">
        <v>37.642240000000001</v>
      </c>
      <c r="J85" s="5969">
        <v>19.33794</v>
      </c>
      <c r="K85" s="1601"/>
      <c r="L85" s="1652"/>
    </row>
    <row r="86" spans="1:12" s="1729" customFormat="1" x14ac:dyDescent="0.25">
      <c r="A86" s="1312"/>
      <c r="B86" s="1601"/>
      <c r="C86" s="1637">
        <v>2</v>
      </c>
      <c r="D86" s="1758" t="s">
        <v>188</v>
      </c>
      <c r="E86" s="5588"/>
      <c r="F86" s="5970"/>
      <c r="G86" s="5588"/>
      <c r="H86" s="5970"/>
      <c r="I86" s="5588"/>
      <c r="J86" s="5970"/>
      <c r="K86" s="1601"/>
      <c r="L86" s="1652"/>
    </row>
    <row r="87" spans="1:12" s="1729" customFormat="1" ht="15" customHeight="1" x14ac:dyDescent="0.25">
      <c r="A87" s="1312"/>
      <c r="B87" s="1601"/>
      <c r="C87" s="1637">
        <v>3</v>
      </c>
      <c r="D87" s="1758" t="str">
        <f>D80</f>
        <v>FSM and wastewater related taxes and charges</v>
      </c>
      <c r="E87" s="5588"/>
      <c r="F87" s="5970"/>
      <c r="G87" s="5588"/>
      <c r="H87" s="5970"/>
      <c r="I87" s="5588"/>
      <c r="J87" s="5970"/>
      <c r="K87" s="1601"/>
      <c r="L87" s="1652"/>
    </row>
    <row r="88" spans="1:12" s="1729" customFormat="1" x14ac:dyDescent="0.25">
      <c r="A88" s="1312"/>
      <c r="B88" s="1601"/>
      <c r="C88" s="1637">
        <v>4</v>
      </c>
      <c r="D88" s="1758" t="s">
        <v>771</v>
      </c>
      <c r="E88" s="5588"/>
      <c r="F88" s="5970"/>
      <c r="G88" s="5588"/>
      <c r="H88" s="5970"/>
      <c r="I88" s="5588"/>
      <c r="J88" s="5970"/>
      <c r="K88" s="1601"/>
      <c r="L88" s="1652"/>
    </row>
    <row r="89" spans="1:12" s="1729" customFormat="1" x14ac:dyDescent="0.25">
      <c r="A89" s="1312"/>
      <c r="B89" s="1601"/>
      <c r="C89" s="1637">
        <v>5</v>
      </c>
      <c r="D89" s="1758" t="s">
        <v>26</v>
      </c>
      <c r="E89" s="5588">
        <v>53.206140000000005</v>
      </c>
      <c r="F89" s="5970">
        <v>40.019759999999998</v>
      </c>
      <c r="G89" s="5588">
        <v>51.959769999999999</v>
      </c>
      <c r="H89" s="5970">
        <v>37.778469999999999</v>
      </c>
      <c r="I89" s="5588">
        <v>51.959769999999999</v>
      </c>
      <c r="J89" s="5970">
        <v>37.778469999999999</v>
      </c>
      <c r="K89" s="1601"/>
      <c r="L89" s="1652"/>
    </row>
    <row r="90" spans="1:12" s="1729" customFormat="1" x14ac:dyDescent="0.25">
      <c r="A90" s="1312"/>
      <c r="B90" s="1601"/>
      <c r="C90" s="1638"/>
      <c r="D90" s="5267" t="s">
        <v>16</v>
      </c>
      <c r="E90" s="5602">
        <f t="shared" ref="E90:J90" si="8">SUM(E85:E89)</f>
        <v>119.37898</v>
      </c>
      <c r="F90" s="5603">
        <f t="shared" si="8"/>
        <v>86.874169999999992</v>
      </c>
      <c r="G90" s="5602">
        <f t="shared" si="8"/>
        <v>89.602010000000007</v>
      </c>
      <c r="H90" s="5603">
        <f t="shared" si="8"/>
        <v>57.116410000000002</v>
      </c>
      <c r="I90" s="5602">
        <f t="shared" si="8"/>
        <v>89.602010000000007</v>
      </c>
      <c r="J90" s="5603">
        <f t="shared" si="8"/>
        <v>57.116410000000002</v>
      </c>
      <c r="K90" s="1601"/>
      <c r="L90" s="1652"/>
    </row>
    <row r="91" spans="1:12" s="1729" customFormat="1" x14ac:dyDescent="0.25">
      <c r="A91" s="1312"/>
      <c r="B91" s="1601"/>
      <c r="C91" s="1601"/>
      <c r="D91" s="1731"/>
      <c r="E91" s="1601"/>
      <c r="F91" s="1601"/>
      <c r="G91" s="1601"/>
      <c r="H91" s="1601"/>
      <c r="I91" s="1601"/>
      <c r="J91" s="1601"/>
      <c r="K91" s="1601"/>
      <c r="L91" s="1312"/>
    </row>
    <row r="92" spans="1:12" x14ac:dyDescent="0.25">
      <c r="B92" s="1364"/>
      <c r="C92" s="1364"/>
      <c r="D92" s="1380"/>
      <c r="E92" s="1364"/>
      <c r="F92" s="1364"/>
      <c r="G92" s="1364"/>
      <c r="H92" s="1364"/>
      <c r="I92" s="1364"/>
      <c r="J92" s="1364"/>
      <c r="K92" s="1601"/>
      <c r="L92" s="1312"/>
    </row>
    <row r="93" spans="1:12" hidden="1" x14ac:dyDescent="0.25">
      <c r="B93" s="1731"/>
      <c r="C93" s="1731"/>
      <c r="D93" s="1731"/>
      <c r="E93" s="1731"/>
      <c r="F93" s="1731"/>
      <c r="G93" s="1731"/>
      <c r="H93" s="1731"/>
      <c r="I93" s="1731"/>
      <c r="J93" s="1731"/>
      <c r="K93" s="1731"/>
    </row>
    <row r="94" spans="1:12" hidden="1" x14ac:dyDescent="0.25">
      <c r="B94" s="1731"/>
      <c r="C94" s="1731"/>
      <c r="D94" s="1731"/>
      <c r="E94" s="1731"/>
      <c r="F94" s="1731"/>
      <c r="G94" s="1731"/>
      <c r="H94" s="1731"/>
      <c r="I94" s="1731"/>
      <c r="J94" s="1731"/>
      <c r="K94" s="1731"/>
    </row>
    <row r="95" spans="1:12" s="1312" customFormat="1" hidden="1" x14ac:dyDescent="0.25">
      <c r="B95" s="1726"/>
      <c r="C95" s="1726"/>
      <c r="D95" s="1727"/>
      <c r="E95" s="1726"/>
      <c r="F95" s="1726"/>
      <c r="G95" s="1601"/>
      <c r="H95" s="1601"/>
      <c r="I95" s="1601"/>
      <c r="J95" s="1601"/>
      <c r="K95" s="1601"/>
    </row>
    <row r="96" spans="1:12" s="1317" customFormat="1" ht="21" hidden="1" x14ac:dyDescent="0.25">
      <c r="B96" s="1603" t="s">
        <v>1</v>
      </c>
      <c r="C96" s="1604" t="s">
        <v>1673</v>
      </c>
      <c r="D96" s="1604"/>
      <c r="E96" s="1604"/>
      <c r="F96" s="1604"/>
      <c r="G96" s="1604"/>
      <c r="H96" s="1604"/>
      <c r="I96" s="1604"/>
      <c r="J96" s="5830" t="str">
        <f>CONCATENATE("All figures in ",'General info'!$E$43," ",'General info'!$G$43)</f>
        <v>All figures in INR Lakhs</v>
      </c>
      <c r="K96" s="1604"/>
    </row>
    <row r="97" spans="1:12" s="1608" customFormat="1" ht="15.75" hidden="1" x14ac:dyDescent="0.25">
      <c r="B97" s="1609" t="s">
        <v>2</v>
      </c>
      <c r="C97" s="1610" t="s">
        <v>1083</v>
      </c>
      <c r="D97" s="1623"/>
      <c r="E97" s="1611"/>
      <c r="F97" s="1611"/>
      <c r="G97" s="1728"/>
      <c r="H97" s="1611"/>
      <c r="I97" s="1611"/>
      <c r="J97" s="1611"/>
      <c r="K97" s="1611"/>
    </row>
    <row r="98" spans="1:12" s="1312" customFormat="1" hidden="1" x14ac:dyDescent="0.25">
      <c r="B98" s="1669" t="s">
        <v>725</v>
      </c>
      <c r="C98" s="1635" t="s">
        <v>191</v>
      </c>
      <c r="D98" s="1732"/>
      <c r="E98" s="1601"/>
      <c r="F98" s="1641"/>
      <c r="G98" s="1601"/>
      <c r="H98" s="1601"/>
      <c r="I98" s="1601"/>
      <c r="J98" s="1733"/>
      <c r="K98" s="1601"/>
    </row>
    <row r="99" spans="1:12" s="1729" customFormat="1" hidden="1" x14ac:dyDescent="0.25">
      <c r="A99" s="1312"/>
      <c r="B99" s="1601"/>
      <c r="C99" s="1613" t="s">
        <v>1010</v>
      </c>
      <c r="D99" s="1614" t="s">
        <v>4</v>
      </c>
      <c r="E99" s="1613" t="str">
        <f t="shared" ref="E99:J99" si="9">CONCATENATE(E$13," ",E$16)</f>
        <v xml:space="preserve">2009 </v>
      </c>
      <c r="F99" s="1613" t="str">
        <f t="shared" si="9"/>
        <v>2010  (A)</v>
      </c>
      <c r="G99" s="1613" t="str">
        <f t="shared" si="9"/>
        <v>2011  (A)</v>
      </c>
      <c r="H99" s="1613" t="str">
        <f t="shared" si="9"/>
        <v>2012  (A)</v>
      </c>
      <c r="I99" s="1613" t="str">
        <f t="shared" si="9"/>
        <v>2013  (RE)</v>
      </c>
      <c r="J99" s="1613" t="str">
        <f t="shared" si="9"/>
        <v>2014 (BE)</v>
      </c>
      <c r="K99" s="1601"/>
      <c r="L99" s="1312"/>
    </row>
    <row r="100" spans="1:12" s="1736" customFormat="1" hidden="1" x14ac:dyDescent="0.25">
      <c r="A100" s="1734"/>
      <c r="B100" s="1731"/>
      <c r="C100" s="1637"/>
      <c r="D100" s="1735" t="s">
        <v>180</v>
      </c>
      <c r="E100" s="3848"/>
      <c r="F100" s="3848"/>
      <c r="G100" s="3848"/>
      <c r="H100" s="3848"/>
      <c r="I100" s="5588"/>
      <c r="J100" s="3848"/>
      <c r="K100" s="1601"/>
      <c r="L100" s="1312"/>
    </row>
    <row r="101" spans="1:12" s="1729" customFormat="1" ht="27.75" hidden="1" x14ac:dyDescent="0.25">
      <c r="A101" s="1312"/>
      <c r="B101" s="1601"/>
      <c r="C101" s="1737">
        <v>1</v>
      </c>
      <c r="D101" s="1694" t="s">
        <v>1263</v>
      </c>
      <c r="E101" s="5589"/>
      <c r="F101" s="5589"/>
      <c r="G101" s="5589"/>
      <c r="H101" s="5589"/>
      <c r="I101" s="5589"/>
      <c r="J101" s="5589"/>
      <c r="K101" s="1601"/>
      <c r="L101" s="1709"/>
    </row>
    <row r="102" spans="1:12" s="1729" customFormat="1" hidden="1" x14ac:dyDescent="0.25">
      <c r="A102" s="1312"/>
      <c r="B102" s="1601"/>
      <c r="C102" s="1738"/>
      <c r="D102" s="1739" t="s">
        <v>909</v>
      </c>
      <c r="E102" s="5590"/>
      <c r="F102" s="5590"/>
      <c r="G102" s="5590"/>
      <c r="H102" s="5590"/>
      <c r="I102" s="5591"/>
      <c r="J102" s="5590"/>
      <c r="K102" s="1601"/>
      <c r="L102" s="1312"/>
    </row>
    <row r="103" spans="1:12" s="1729" customFormat="1" hidden="1" x14ac:dyDescent="0.25">
      <c r="A103" s="1312"/>
      <c r="B103" s="1601"/>
      <c r="C103" s="1637">
        <v>2</v>
      </c>
      <c r="D103" s="1735" t="s">
        <v>1675</v>
      </c>
      <c r="E103" s="3848"/>
      <c r="F103" s="3848"/>
      <c r="G103" s="3848"/>
      <c r="H103" s="3848"/>
      <c r="I103" s="5588"/>
      <c r="J103" s="3848"/>
      <c r="K103" s="1601"/>
      <c r="L103" s="1312"/>
    </row>
    <row r="104" spans="1:12" s="1729" customFormat="1" hidden="1" x14ac:dyDescent="0.25">
      <c r="A104" s="1312"/>
      <c r="B104" s="1601"/>
      <c r="C104" s="1637">
        <v>3</v>
      </c>
      <c r="D104" s="1735" t="s">
        <v>1676</v>
      </c>
      <c r="E104" s="3848"/>
      <c r="F104" s="3848"/>
      <c r="G104" s="3848"/>
      <c r="H104" s="3848"/>
      <c r="I104" s="5588"/>
      <c r="J104" s="3848"/>
      <c r="K104" s="1601"/>
      <c r="L104" s="1312"/>
    </row>
    <row r="105" spans="1:12" s="1729" customFormat="1" hidden="1" x14ac:dyDescent="0.25">
      <c r="A105" s="1312"/>
      <c r="B105" s="1601"/>
      <c r="C105" s="1637">
        <f>C104+1</f>
        <v>4</v>
      </c>
      <c r="D105" s="1735" t="s">
        <v>1028</v>
      </c>
      <c r="E105" s="3848"/>
      <c r="F105" s="3848"/>
      <c r="G105" s="3848"/>
      <c r="H105" s="3848"/>
      <c r="I105" s="5588"/>
      <c r="J105" s="3848"/>
      <c r="K105" s="1601"/>
      <c r="L105" s="1312"/>
    </row>
    <row r="106" spans="1:12" s="1729" customFormat="1" hidden="1" x14ac:dyDescent="0.25">
      <c r="A106" s="1312"/>
      <c r="B106" s="1601"/>
      <c r="C106" s="1637">
        <f>C105+1</f>
        <v>5</v>
      </c>
      <c r="D106" s="1735" t="s">
        <v>41</v>
      </c>
      <c r="E106" s="3848"/>
      <c r="F106" s="3848"/>
      <c r="G106" s="3848"/>
      <c r="H106" s="3848"/>
      <c r="I106" s="5588"/>
      <c r="J106" s="3848"/>
      <c r="K106" s="1601"/>
      <c r="L106" s="1312"/>
    </row>
    <row r="107" spans="1:12" s="1729" customFormat="1" hidden="1" x14ac:dyDescent="0.25">
      <c r="A107" s="1312"/>
      <c r="B107" s="1601"/>
      <c r="C107" s="1638"/>
      <c r="D107" s="1740" t="s">
        <v>16</v>
      </c>
      <c r="E107" s="5592">
        <f t="shared" ref="E107:J107" si="10">SUM(E101:E106)</f>
        <v>0</v>
      </c>
      <c r="F107" s="5592">
        <f t="shared" si="10"/>
        <v>0</v>
      </c>
      <c r="G107" s="5592">
        <f t="shared" si="10"/>
        <v>0</v>
      </c>
      <c r="H107" s="5592">
        <f t="shared" si="10"/>
        <v>0</v>
      </c>
      <c r="I107" s="5593">
        <f t="shared" si="10"/>
        <v>0</v>
      </c>
      <c r="J107" s="5592">
        <f t="shared" si="10"/>
        <v>0</v>
      </c>
      <c r="K107" s="1601"/>
      <c r="L107" s="1312"/>
    </row>
    <row r="108" spans="1:12" s="1729" customFormat="1" hidden="1" x14ac:dyDescent="0.25">
      <c r="A108" s="1312"/>
      <c r="B108" s="1601"/>
      <c r="C108" s="1601"/>
      <c r="D108" s="1731"/>
      <c r="E108" s="1601"/>
      <c r="F108" s="1601"/>
      <c r="G108" s="1601"/>
      <c r="H108" s="1601"/>
      <c r="I108" s="1601"/>
      <c r="J108" s="1601"/>
      <c r="K108" s="1601"/>
      <c r="L108" s="1312"/>
    </row>
    <row r="109" spans="1:12" s="1312" customFormat="1" hidden="1" x14ac:dyDescent="0.25">
      <c r="B109" s="1669" t="s">
        <v>726</v>
      </c>
      <c r="C109" s="1635" t="s">
        <v>190</v>
      </c>
      <c r="D109" s="1732"/>
      <c r="E109" s="1601"/>
      <c r="F109" s="1601"/>
      <c r="G109" s="1601"/>
      <c r="H109" s="1601"/>
      <c r="I109" s="1733"/>
      <c r="J109" s="1601"/>
      <c r="K109" s="1601"/>
    </row>
    <row r="110" spans="1:12" s="1729" customFormat="1" hidden="1" x14ac:dyDescent="0.25">
      <c r="A110" s="1312"/>
      <c r="B110" s="1601"/>
      <c r="C110" s="1613" t="s">
        <v>1010</v>
      </c>
      <c r="D110" s="1614" t="s">
        <v>4</v>
      </c>
      <c r="E110" s="1614" t="str">
        <f t="shared" ref="E110:J110" si="11">E$99</f>
        <v xml:space="preserve">2009 </v>
      </c>
      <c r="F110" s="1614" t="str">
        <f t="shared" si="11"/>
        <v>2010  (A)</v>
      </c>
      <c r="G110" s="1614" t="str">
        <f t="shared" si="11"/>
        <v>2011  (A)</v>
      </c>
      <c r="H110" s="1614" t="str">
        <f t="shared" si="11"/>
        <v>2012  (A)</v>
      </c>
      <c r="I110" s="1614" t="str">
        <f t="shared" si="11"/>
        <v>2013  (RE)</v>
      </c>
      <c r="J110" s="1614" t="str">
        <f t="shared" si="11"/>
        <v>2014 (BE)</v>
      </c>
      <c r="K110" s="1601"/>
      <c r="L110" s="1312"/>
    </row>
    <row r="111" spans="1:12" s="1729" customFormat="1" hidden="1" x14ac:dyDescent="0.25">
      <c r="A111" s="1312"/>
      <c r="B111" s="1601"/>
      <c r="C111" s="1637">
        <v>1</v>
      </c>
      <c r="D111" s="1741" t="s">
        <v>42</v>
      </c>
      <c r="E111" s="3848"/>
      <c r="F111" s="3848"/>
      <c r="G111" s="3848"/>
      <c r="H111" s="3848"/>
      <c r="I111" s="5588"/>
      <c r="J111" s="3848"/>
      <c r="K111" s="1601"/>
      <c r="L111" s="1312"/>
    </row>
    <row r="112" spans="1:12" s="1729" customFormat="1" hidden="1" x14ac:dyDescent="0.25">
      <c r="A112" s="1312"/>
      <c r="B112" s="1601"/>
      <c r="C112" s="1637">
        <v>2</v>
      </c>
      <c r="D112" s="1741" t="s">
        <v>43</v>
      </c>
      <c r="E112" s="3848"/>
      <c r="F112" s="3848"/>
      <c r="G112" s="3848"/>
      <c r="H112" s="3848"/>
      <c r="I112" s="5588"/>
      <c r="J112" s="3848"/>
      <c r="K112" s="1601"/>
      <c r="L112" s="1312"/>
    </row>
    <row r="113" spans="1:12" s="1729" customFormat="1" hidden="1" x14ac:dyDescent="0.25">
      <c r="A113" s="1312"/>
      <c r="B113" s="1601"/>
      <c r="C113" s="1637">
        <v>3</v>
      </c>
      <c r="D113" s="1741" t="s">
        <v>1677</v>
      </c>
      <c r="E113" s="3848"/>
      <c r="F113" s="3848"/>
      <c r="G113" s="3848"/>
      <c r="H113" s="3848"/>
      <c r="I113" s="5588"/>
      <c r="J113" s="3848"/>
      <c r="K113" s="1601"/>
      <c r="L113" s="1312"/>
    </row>
    <row r="114" spans="1:12" s="1729" customFormat="1" hidden="1" x14ac:dyDescent="0.25">
      <c r="A114" s="1312"/>
      <c r="B114" s="1601"/>
      <c r="C114" s="1637">
        <v>4</v>
      </c>
      <c r="D114" s="1741" t="s">
        <v>45</v>
      </c>
      <c r="E114" s="3848"/>
      <c r="F114" s="3848"/>
      <c r="G114" s="3848"/>
      <c r="H114" s="3848"/>
      <c r="I114" s="5588"/>
      <c r="J114" s="3848"/>
      <c r="K114" s="1601"/>
      <c r="L114" s="1312"/>
    </row>
    <row r="115" spans="1:12" s="1729" customFormat="1" hidden="1" x14ac:dyDescent="0.25">
      <c r="A115" s="1312"/>
      <c r="B115" s="1601"/>
      <c r="C115" s="1637">
        <v>5</v>
      </c>
      <c r="D115" s="1741" t="s">
        <v>46</v>
      </c>
      <c r="E115" s="3848"/>
      <c r="F115" s="3848"/>
      <c r="G115" s="3848"/>
      <c r="H115" s="3848"/>
      <c r="I115" s="5588"/>
      <c r="J115" s="3848"/>
      <c r="K115" s="1601"/>
      <c r="L115" s="1312"/>
    </row>
    <row r="116" spans="1:12" s="1729" customFormat="1" hidden="1" x14ac:dyDescent="0.25">
      <c r="A116" s="1312"/>
      <c r="B116" s="1601"/>
      <c r="C116" s="1637">
        <v>6</v>
      </c>
      <c r="D116" s="1741" t="s">
        <v>47</v>
      </c>
      <c r="E116" s="3848"/>
      <c r="F116" s="3848"/>
      <c r="G116" s="3848"/>
      <c r="H116" s="3848"/>
      <c r="I116" s="5588"/>
      <c r="J116" s="3848"/>
      <c r="K116" s="1601"/>
      <c r="L116" s="1312"/>
    </row>
    <row r="117" spans="1:12" s="1729" customFormat="1" hidden="1" x14ac:dyDescent="0.25">
      <c r="A117" s="1312"/>
      <c r="B117" s="1601"/>
      <c r="C117" s="1638"/>
      <c r="D117" s="1742" t="s">
        <v>16</v>
      </c>
      <c r="E117" s="5594">
        <f t="shared" ref="E117:J117" si="12">SUM(E111:E116)</f>
        <v>0</v>
      </c>
      <c r="F117" s="5594">
        <f t="shared" si="12"/>
        <v>0</v>
      </c>
      <c r="G117" s="5594">
        <f t="shared" si="12"/>
        <v>0</v>
      </c>
      <c r="H117" s="5594">
        <f t="shared" si="12"/>
        <v>0</v>
      </c>
      <c r="I117" s="5595">
        <f t="shared" si="12"/>
        <v>0</v>
      </c>
      <c r="J117" s="5594">
        <f t="shared" si="12"/>
        <v>0</v>
      </c>
      <c r="K117" s="1601"/>
      <c r="L117" s="1312"/>
    </row>
    <row r="118" spans="1:12" s="1729" customFormat="1" hidden="1" x14ac:dyDescent="0.25">
      <c r="A118" s="1312"/>
      <c r="B118" s="1601"/>
      <c r="C118" s="1601"/>
      <c r="D118" s="1731"/>
      <c r="E118" s="1601"/>
      <c r="F118" s="1601"/>
      <c r="G118" s="1601"/>
      <c r="H118" s="1601"/>
      <c r="I118" s="1601"/>
      <c r="J118" s="1601"/>
      <c r="K118" s="1601"/>
      <c r="L118" s="1312"/>
    </row>
    <row r="119" spans="1:12" s="1608" customFormat="1" ht="15.75" hidden="1" x14ac:dyDescent="0.25">
      <c r="B119" s="1609" t="s">
        <v>8</v>
      </c>
      <c r="C119" s="1610" t="s">
        <v>1084</v>
      </c>
      <c r="D119" s="1623"/>
      <c r="E119" s="1611"/>
      <c r="F119" s="1611"/>
      <c r="G119" s="1728"/>
      <c r="H119" s="1611"/>
      <c r="I119" s="1611"/>
      <c r="J119" s="1611"/>
      <c r="K119" s="1611"/>
    </row>
    <row r="120" spans="1:12" s="1312" customFormat="1" hidden="1" x14ac:dyDescent="0.25">
      <c r="B120" s="1669" t="s">
        <v>725</v>
      </c>
      <c r="C120" s="1635" t="s">
        <v>192</v>
      </c>
      <c r="D120" s="1732"/>
      <c r="E120" s="1601"/>
      <c r="F120" s="1601"/>
      <c r="G120" s="1601"/>
      <c r="H120" s="1601"/>
      <c r="I120" s="1733"/>
      <c r="J120" s="1601"/>
      <c r="K120" s="1601"/>
    </row>
    <row r="121" spans="1:12" s="1729" customFormat="1" hidden="1" x14ac:dyDescent="0.25">
      <c r="A121" s="1312"/>
      <c r="B121" s="1601"/>
      <c r="C121" s="1613" t="s">
        <v>1010</v>
      </c>
      <c r="D121" s="1614" t="s">
        <v>4</v>
      </c>
      <c r="E121" s="1614" t="str">
        <f t="shared" ref="E121:J121" si="13">E$99</f>
        <v xml:space="preserve">2009 </v>
      </c>
      <c r="F121" s="1614" t="str">
        <f t="shared" si="13"/>
        <v>2010  (A)</v>
      </c>
      <c r="G121" s="1614" t="str">
        <f t="shared" si="13"/>
        <v>2011  (A)</v>
      </c>
      <c r="H121" s="1614" t="str">
        <f t="shared" si="13"/>
        <v>2012  (A)</v>
      </c>
      <c r="I121" s="1614" t="str">
        <f t="shared" si="13"/>
        <v>2013  (RE)</v>
      </c>
      <c r="J121" s="1614" t="str">
        <f t="shared" si="13"/>
        <v>2014 (BE)</v>
      </c>
      <c r="K121" s="1601"/>
      <c r="L121" s="1312"/>
    </row>
    <row r="122" spans="1:12" s="1729" customFormat="1" hidden="1" x14ac:dyDescent="0.25">
      <c r="A122" s="1312"/>
      <c r="B122" s="1655"/>
      <c r="C122" s="1637">
        <v>1</v>
      </c>
      <c r="D122" s="1725" t="s">
        <v>56</v>
      </c>
      <c r="E122" s="5596"/>
      <c r="F122" s="5596"/>
      <c r="G122" s="5596"/>
      <c r="H122" s="5596"/>
      <c r="I122" s="5597"/>
      <c r="J122" s="3848"/>
      <c r="K122" s="1601"/>
      <c r="L122" s="1312"/>
    </row>
    <row r="123" spans="1:12" s="1729" customFormat="1" hidden="1" x14ac:dyDescent="0.25">
      <c r="A123" s="1312"/>
      <c r="B123" s="1655"/>
      <c r="C123" s="1637">
        <v>2</v>
      </c>
      <c r="D123" s="1745" t="s">
        <v>57</v>
      </c>
      <c r="E123" s="5596"/>
      <c r="F123" s="5596"/>
      <c r="G123" s="5596"/>
      <c r="H123" s="5596"/>
      <c r="I123" s="5597"/>
      <c r="J123" s="3848"/>
      <c r="K123" s="1601"/>
      <c r="L123" s="1312"/>
    </row>
    <row r="124" spans="1:12" s="1729" customFormat="1" hidden="1" x14ac:dyDescent="0.25">
      <c r="A124" s="1312"/>
      <c r="B124" s="1655"/>
      <c r="C124" s="1637">
        <v>3</v>
      </c>
      <c r="D124" s="1725" t="s">
        <v>48</v>
      </c>
      <c r="E124" s="5596"/>
      <c r="F124" s="5596"/>
      <c r="G124" s="5596"/>
      <c r="H124" s="5596"/>
      <c r="I124" s="5597"/>
      <c r="J124" s="3848"/>
      <c r="K124" s="1601"/>
      <c r="L124" s="1312"/>
    </row>
    <row r="125" spans="1:12" s="1729" customFormat="1" hidden="1" x14ac:dyDescent="0.25">
      <c r="A125" s="1312"/>
      <c r="B125" s="1655"/>
      <c r="C125" s="1637">
        <v>4</v>
      </c>
      <c r="D125" s="1725" t="s">
        <v>26</v>
      </c>
      <c r="E125" s="5596"/>
      <c r="F125" s="5596"/>
      <c r="G125" s="5596"/>
      <c r="H125" s="5596"/>
      <c r="I125" s="5597"/>
      <c r="J125" s="3848"/>
      <c r="K125" s="1601"/>
      <c r="L125" s="1312"/>
    </row>
    <row r="126" spans="1:12" s="1729" customFormat="1" hidden="1" x14ac:dyDescent="0.25">
      <c r="A126" s="1312"/>
      <c r="B126" s="1655"/>
      <c r="C126" s="1638"/>
      <c r="D126" s="1746" t="s">
        <v>16</v>
      </c>
      <c r="E126" s="5594">
        <f t="shared" ref="E126:J126" si="14">SUM(E122:E125)</f>
        <v>0</v>
      </c>
      <c r="F126" s="5594">
        <f t="shared" si="14"/>
        <v>0</v>
      </c>
      <c r="G126" s="5594">
        <f t="shared" si="14"/>
        <v>0</v>
      </c>
      <c r="H126" s="5594">
        <f t="shared" si="14"/>
        <v>0</v>
      </c>
      <c r="I126" s="5595">
        <f t="shared" si="14"/>
        <v>0</v>
      </c>
      <c r="J126" s="5594">
        <f t="shared" si="14"/>
        <v>0</v>
      </c>
      <c r="K126" s="1601"/>
      <c r="L126" s="1312"/>
    </row>
    <row r="127" spans="1:12" s="1729" customFormat="1" hidden="1" x14ac:dyDescent="0.25">
      <c r="A127" s="1312"/>
      <c r="B127" s="1655"/>
      <c r="C127" s="1601"/>
      <c r="D127" s="1731"/>
      <c r="E127" s="1601"/>
      <c r="F127" s="1601"/>
      <c r="G127" s="1601"/>
      <c r="H127" s="1601"/>
      <c r="I127" s="1601"/>
      <c r="J127" s="1601"/>
      <c r="K127" s="1601"/>
      <c r="L127" s="1312"/>
    </row>
    <row r="128" spans="1:12" s="1312" customFormat="1" hidden="1" x14ac:dyDescent="0.25">
      <c r="B128" s="1669" t="s">
        <v>726</v>
      </c>
      <c r="C128" s="1635" t="s">
        <v>146</v>
      </c>
      <c r="D128" s="1732"/>
      <c r="E128" s="1601"/>
      <c r="F128" s="1601"/>
      <c r="G128" s="1601"/>
      <c r="H128" s="1601"/>
      <c r="I128" s="1733"/>
      <c r="J128" s="1601"/>
      <c r="K128" s="1601"/>
    </row>
    <row r="129" spans="1:12" s="1729" customFormat="1" hidden="1" x14ac:dyDescent="0.25">
      <c r="A129" s="1312"/>
      <c r="B129" s="1601"/>
      <c r="C129" s="1613" t="s">
        <v>1010</v>
      </c>
      <c r="D129" s="1614" t="s">
        <v>4</v>
      </c>
      <c r="E129" s="1614" t="str">
        <f t="shared" ref="E129:J129" si="15">E$99</f>
        <v xml:space="preserve">2009 </v>
      </c>
      <c r="F129" s="1614" t="str">
        <f t="shared" si="15"/>
        <v>2010  (A)</v>
      </c>
      <c r="G129" s="1614" t="str">
        <f t="shared" si="15"/>
        <v>2011  (A)</v>
      </c>
      <c r="H129" s="1614" t="str">
        <f t="shared" si="15"/>
        <v>2012  (A)</v>
      </c>
      <c r="I129" s="1614" t="str">
        <f t="shared" si="15"/>
        <v>2013  (RE)</v>
      </c>
      <c r="J129" s="1614" t="str">
        <f t="shared" si="15"/>
        <v>2014 (BE)</v>
      </c>
      <c r="K129" s="1601"/>
      <c r="L129" s="1312"/>
    </row>
    <row r="130" spans="1:12" s="1729" customFormat="1" hidden="1" x14ac:dyDescent="0.25">
      <c r="A130" s="1312"/>
      <c r="B130" s="1601"/>
      <c r="C130" s="1637">
        <v>1</v>
      </c>
      <c r="D130" s="1725" t="s">
        <v>58</v>
      </c>
      <c r="E130" s="3848"/>
      <c r="F130" s="3848"/>
      <c r="G130" s="3848"/>
      <c r="H130" s="3848"/>
      <c r="I130" s="5588"/>
      <c r="J130" s="3848"/>
      <c r="K130" s="1601"/>
      <c r="L130" s="1312"/>
    </row>
    <row r="131" spans="1:12" s="1729" customFormat="1" ht="31.5" hidden="1" customHeight="1" x14ac:dyDescent="0.25">
      <c r="A131" s="1312"/>
      <c r="B131" s="1601"/>
      <c r="C131" s="1637">
        <v>2</v>
      </c>
      <c r="D131" s="1745" t="s">
        <v>3014</v>
      </c>
      <c r="E131" s="5598"/>
      <c r="F131" s="5598"/>
      <c r="G131" s="5598"/>
      <c r="H131" s="5598"/>
      <c r="I131" s="5599"/>
      <c r="J131" s="5598"/>
      <c r="K131" s="1601"/>
      <c r="L131" s="1312"/>
    </row>
    <row r="132" spans="1:12" s="1729" customFormat="1" hidden="1" x14ac:dyDescent="0.25">
      <c r="A132" s="1312"/>
      <c r="B132" s="1601"/>
      <c r="C132" s="1637">
        <v>3</v>
      </c>
      <c r="D132" s="1725" t="s">
        <v>26</v>
      </c>
      <c r="E132" s="5600"/>
      <c r="F132" s="5600"/>
      <c r="G132" s="5600"/>
      <c r="H132" s="5600"/>
      <c r="I132" s="5601"/>
      <c r="J132" s="5600"/>
      <c r="K132" s="1601"/>
      <c r="L132" s="1312"/>
    </row>
    <row r="133" spans="1:12" s="1729" customFormat="1" hidden="1" x14ac:dyDescent="0.25">
      <c r="A133" s="1312"/>
      <c r="B133" s="1601"/>
      <c r="C133" s="1638"/>
      <c r="D133" s="1746" t="s">
        <v>16</v>
      </c>
      <c r="E133" s="5594">
        <f t="shared" ref="E133:J133" si="16">SUM(E130:E132)</f>
        <v>0</v>
      </c>
      <c r="F133" s="5594">
        <f t="shared" si="16"/>
        <v>0</v>
      </c>
      <c r="G133" s="5594">
        <f t="shared" si="16"/>
        <v>0</v>
      </c>
      <c r="H133" s="5594">
        <f t="shared" si="16"/>
        <v>0</v>
      </c>
      <c r="I133" s="5595">
        <f t="shared" si="16"/>
        <v>0</v>
      </c>
      <c r="J133" s="5594">
        <f t="shared" si="16"/>
        <v>0</v>
      </c>
      <c r="K133" s="1601"/>
      <c r="L133" s="1312"/>
    </row>
    <row r="134" spans="1:12" s="1729" customFormat="1" hidden="1" x14ac:dyDescent="0.25">
      <c r="A134" s="1312"/>
      <c r="B134" s="1601"/>
      <c r="C134" s="1601"/>
      <c r="D134" s="1731"/>
      <c r="E134" s="1601"/>
      <c r="F134" s="1601"/>
      <c r="G134" s="1601"/>
      <c r="H134" s="1601"/>
      <c r="I134" s="1601"/>
      <c r="J134" s="1601"/>
      <c r="K134" s="1601"/>
      <c r="L134" s="1312"/>
    </row>
    <row r="135" spans="1:12" s="1608" customFormat="1" ht="15.75" hidden="1" x14ac:dyDescent="0.25">
      <c r="B135" s="1609" t="s">
        <v>10</v>
      </c>
      <c r="C135" s="1610" t="s">
        <v>199</v>
      </c>
      <c r="D135" s="1623"/>
      <c r="E135" s="1611"/>
      <c r="F135" s="1611"/>
      <c r="G135" s="1728"/>
      <c r="H135" s="1611"/>
      <c r="I135" s="1611"/>
      <c r="J135" s="1611"/>
      <c r="K135" s="1611"/>
    </row>
    <row r="136" spans="1:12" s="1729" customFormat="1" hidden="1" x14ac:dyDescent="0.25">
      <c r="A136" s="1312"/>
      <c r="B136" s="1601"/>
      <c r="C136" s="1613" t="s">
        <v>1010</v>
      </c>
      <c r="D136" s="1614" t="s">
        <v>4</v>
      </c>
      <c r="E136" s="1614" t="str">
        <f t="shared" ref="E136:J136" si="17">E$99</f>
        <v xml:space="preserve">2009 </v>
      </c>
      <c r="F136" s="1614" t="str">
        <f t="shared" si="17"/>
        <v>2010  (A)</v>
      </c>
      <c r="G136" s="1614" t="str">
        <f t="shared" si="17"/>
        <v>2011  (A)</v>
      </c>
      <c r="H136" s="1614" t="str">
        <f t="shared" si="17"/>
        <v>2012  (A)</v>
      </c>
      <c r="I136" s="1614" t="str">
        <f t="shared" si="17"/>
        <v>2013  (RE)</v>
      </c>
      <c r="J136" s="1614" t="str">
        <f t="shared" si="17"/>
        <v>2014 (BE)</v>
      </c>
      <c r="K136" s="1601"/>
      <c r="L136" s="1312"/>
    </row>
    <row r="137" spans="1:12" s="1729" customFormat="1" hidden="1" x14ac:dyDescent="0.25">
      <c r="A137" s="1312"/>
      <c r="B137" s="1601"/>
      <c r="C137" s="1637">
        <v>1</v>
      </c>
      <c r="D137" s="1741" t="s">
        <v>1111</v>
      </c>
      <c r="E137" s="3848"/>
      <c r="F137" s="3848"/>
      <c r="G137" s="3848"/>
      <c r="H137" s="3848"/>
      <c r="I137" s="5588"/>
      <c r="J137" s="3848"/>
      <c r="K137" s="1601"/>
      <c r="L137" s="1312"/>
    </row>
    <row r="138" spans="1:12" s="1729" customFormat="1" hidden="1" x14ac:dyDescent="0.25">
      <c r="A138" s="1312"/>
      <c r="B138" s="1601"/>
      <c r="C138" s="1637">
        <v>2</v>
      </c>
      <c r="D138" s="1741" t="s">
        <v>1110</v>
      </c>
      <c r="E138" s="3848"/>
      <c r="F138" s="3848"/>
      <c r="G138" s="3848"/>
      <c r="H138" s="3848"/>
      <c r="I138" s="5588"/>
      <c r="J138" s="3848"/>
      <c r="K138" s="1601"/>
      <c r="L138" s="1312"/>
    </row>
    <row r="139" spans="1:12" s="1729" customFormat="1" hidden="1" x14ac:dyDescent="0.25">
      <c r="A139" s="1312"/>
      <c r="B139" s="1601"/>
      <c r="C139" s="1601"/>
      <c r="D139" s="1731"/>
      <c r="E139" s="1601"/>
      <c r="F139" s="1601"/>
      <c r="G139" s="1601"/>
      <c r="H139" s="1601"/>
      <c r="I139" s="1601"/>
      <c r="J139" s="1601"/>
      <c r="K139" s="1601"/>
      <c r="L139" s="1312"/>
    </row>
    <row r="140" spans="1:12" s="1608" customFormat="1" ht="15.75" hidden="1" x14ac:dyDescent="0.25">
      <c r="B140" s="1609" t="s">
        <v>12</v>
      </c>
      <c r="C140" s="1610" t="s">
        <v>1678</v>
      </c>
      <c r="D140" s="1623"/>
      <c r="E140" s="1611"/>
      <c r="F140" s="1611"/>
      <c r="G140" s="1728"/>
      <c r="H140" s="1611"/>
      <c r="I140" s="1611"/>
      <c r="J140" s="1611"/>
      <c r="K140" s="1611"/>
    </row>
    <row r="141" spans="1:12" s="1729" customFormat="1" hidden="1" x14ac:dyDescent="0.25">
      <c r="A141" s="1312"/>
      <c r="B141" s="1601"/>
      <c r="C141" s="1613" t="s">
        <v>1010</v>
      </c>
      <c r="D141" s="1614" t="s">
        <v>4</v>
      </c>
      <c r="E141" s="1614" t="str">
        <f t="shared" ref="E141:J141" si="18">E$99</f>
        <v xml:space="preserve">2009 </v>
      </c>
      <c r="F141" s="1614" t="str">
        <f t="shared" si="18"/>
        <v>2010  (A)</v>
      </c>
      <c r="G141" s="1614" t="str">
        <f t="shared" si="18"/>
        <v>2011  (A)</v>
      </c>
      <c r="H141" s="1614" t="str">
        <f t="shared" si="18"/>
        <v>2012  (A)</v>
      </c>
      <c r="I141" s="1614" t="str">
        <f t="shared" si="18"/>
        <v>2013  (RE)</v>
      </c>
      <c r="J141" s="1614" t="str">
        <f t="shared" si="18"/>
        <v>2014 (BE)</v>
      </c>
      <c r="K141" s="1601"/>
      <c r="L141" s="1312"/>
    </row>
    <row r="142" spans="1:12" s="1729" customFormat="1" hidden="1" x14ac:dyDescent="0.25">
      <c r="A142" s="1312"/>
      <c r="B142" s="1601"/>
      <c r="C142" s="1637">
        <v>1</v>
      </c>
      <c r="D142" s="1741" t="s">
        <v>145</v>
      </c>
      <c r="E142" s="1747">
        <f t="shared" ref="E142:J142" si="19">E100</f>
        <v>0</v>
      </c>
      <c r="F142" s="1747">
        <f t="shared" si="19"/>
        <v>0</v>
      </c>
      <c r="G142" s="1747">
        <f t="shared" si="19"/>
        <v>0</v>
      </c>
      <c r="H142" s="1747">
        <f t="shared" si="19"/>
        <v>0</v>
      </c>
      <c r="I142" s="1748">
        <f t="shared" si="19"/>
        <v>0</v>
      </c>
      <c r="J142" s="1747">
        <f t="shared" si="19"/>
        <v>0</v>
      </c>
      <c r="K142" s="1601"/>
      <c r="L142" s="1312"/>
    </row>
    <row r="143" spans="1:12" s="1750" customFormat="1" hidden="1" x14ac:dyDescent="0.25">
      <c r="A143" s="1709"/>
      <c r="B143" s="1630"/>
      <c r="C143" s="1628">
        <v>2</v>
      </c>
      <c r="D143" s="1749" t="s">
        <v>481</v>
      </c>
      <c r="E143" s="1747">
        <f t="shared" ref="E143:J143" si="20">E107+E126+E137</f>
        <v>0</v>
      </c>
      <c r="F143" s="1747">
        <f t="shared" si="20"/>
        <v>0</v>
      </c>
      <c r="G143" s="1747">
        <f t="shared" si="20"/>
        <v>0</v>
      </c>
      <c r="H143" s="1747">
        <f t="shared" si="20"/>
        <v>0</v>
      </c>
      <c r="I143" s="1747">
        <f t="shared" si="20"/>
        <v>0</v>
      </c>
      <c r="J143" s="1747">
        <f t="shared" si="20"/>
        <v>0</v>
      </c>
      <c r="K143" s="1630"/>
      <c r="L143" s="1709"/>
    </row>
    <row r="144" spans="1:12" s="1750" customFormat="1" hidden="1" x14ac:dyDescent="0.25">
      <c r="A144" s="1709"/>
      <c r="B144" s="1630"/>
      <c r="C144" s="1628">
        <v>3</v>
      </c>
      <c r="D144" s="1749" t="s">
        <v>147</v>
      </c>
      <c r="E144" s="1747">
        <f t="shared" ref="E144:J144" si="21">E117+E133+E138</f>
        <v>0</v>
      </c>
      <c r="F144" s="1747">
        <f t="shared" si="21"/>
        <v>0</v>
      </c>
      <c r="G144" s="1747">
        <f t="shared" si="21"/>
        <v>0</v>
      </c>
      <c r="H144" s="1747">
        <f t="shared" si="21"/>
        <v>0</v>
      </c>
      <c r="I144" s="1747">
        <f t="shared" si="21"/>
        <v>0</v>
      </c>
      <c r="J144" s="1747">
        <f t="shared" si="21"/>
        <v>0</v>
      </c>
      <c r="K144" s="1630"/>
      <c r="L144" s="1709"/>
    </row>
    <row r="145" spans="1:14" s="1729" customFormat="1" hidden="1" x14ac:dyDescent="0.25">
      <c r="A145" s="1312"/>
      <c r="B145" s="1601"/>
      <c r="C145" s="1637">
        <v>4</v>
      </c>
      <c r="D145" s="1741" t="s">
        <v>480</v>
      </c>
      <c r="E145" s="1747">
        <f t="shared" ref="E145:J145" si="22">E142+E143-E144</f>
        <v>0</v>
      </c>
      <c r="F145" s="1747">
        <f t="shared" si="22"/>
        <v>0</v>
      </c>
      <c r="G145" s="1747">
        <f t="shared" si="22"/>
        <v>0</v>
      </c>
      <c r="H145" s="1747">
        <f t="shared" si="22"/>
        <v>0</v>
      </c>
      <c r="I145" s="1748">
        <f t="shared" si="22"/>
        <v>0</v>
      </c>
      <c r="J145" s="1747">
        <f t="shared" si="22"/>
        <v>0</v>
      </c>
      <c r="K145" s="1601"/>
      <c r="L145" s="1312"/>
    </row>
    <row r="146" spans="1:14" s="1729" customFormat="1" hidden="1" x14ac:dyDescent="0.25">
      <c r="A146" s="1312"/>
      <c r="B146" s="1601"/>
      <c r="C146" s="1601"/>
      <c r="D146" s="1731"/>
      <c r="E146" s="1601"/>
      <c r="F146" s="1601"/>
      <c r="G146" s="1601"/>
      <c r="H146" s="1601"/>
      <c r="I146" s="1601"/>
      <c r="J146" s="1601"/>
      <c r="K146" s="1601"/>
      <c r="L146" s="1312"/>
    </row>
    <row r="147" spans="1:14" s="1729" customFormat="1" hidden="1" x14ac:dyDescent="0.25">
      <c r="A147" s="1312"/>
      <c r="B147" s="1601"/>
      <c r="C147" s="1601"/>
      <c r="D147" s="1731"/>
      <c r="E147" s="1646"/>
      <c r="F147" s="1646"/>
      <c r="G147" s="1646"/>
      <c r="H147" s="1646"/>
      <c r="I147" s="1646"/>
      <c r="J147" s="1646"/>
      <c r="K147" s="1601"/>
      <c r="L147" s="1312"/>
    </row>
    <row r="148" spans="1:14" s="1317" customFormat="1" ht="21" hidden="1" x14ac:dyDescent="0.25">
      <c r="B148" s="1603" t="s">
        <v>14</v>
      </c>
      <c r="C148" s="1604" t="s">
        <v>1019</v>
      </c>
      <c r="D148" s="1604"/>
      <c r="E148" s="1604"/>
      <c r="F148" s="1604"/>
      <c r="G148" s="1604"/>
      <c r="H148" s="1604"/>
      <c r="I148" s="1604"/>
      <c r="J148" s="1604"/>
      <c r="K148" s="1604"/>
    </row>
    <row r="149" spans="1:14" s="1608" customFormat="1" ht="15.75" hidden="1" x14ac:dyDescent="0.25">
      <c r="B149" s="1609" t="s">
        <v>2</v>
      </c>
      <c r="C149" s="1610" t="s">
        <v>195</v>
      </c>
      <c r="D149" s="1623"/>
      <c r="E149" s="1611"/>
      <c r="F149" s="1611"/>
      <c r="G149" s="1728"/>
      <c r="H149" s="1611"/>
      <c r="I149" s="1611"/>
      <c r="J149" s="1611"/>
      <c r="K149" s="1611"/>
    </row>
    <row r="150" spans="1:14" s="1312" customFormat="1" hidden="1" x14ac:dyDescent="0.25">
      <c r="B150" s="1669" t="s">
        <v>725</v>
      </c>
      <c r="C150" s="1635" t="s">
        <v>196</v>
      </c>
      <c r="D150" s="1732"/>
      <c r="E150" s="1601"/>
      <c r="F150" s="1601"/>
      <c r="G150" s="1601"/>
      <c r="H150" s="1601"/>
      <c r="I150" s="1601"/>
      <c r="J150" s="1733"/>
      <c r="K150" s="1601"/>
    </row>
    <row r="151" spans="1:14" s="1729" customFormat="1" hidden="1" x14ac:dyDescent="0.25">
      <c r="A151" s="1312"/>
      <c r="B151" s="1601"/>
      <c r="C151" s="1613" t="s">
        <v>1010</v>
      </c>
      <c r="D151" s="1614" t="s">
        <v>4</v>
      </c>
      <c r="E151" s="1614" t="str">
        <f t="shared" ref="E151:J151" si="23">E$99</f>
        <v xml:space="preserve">2009 </v>
      </c>
      <c r="F151" s="1614" t="str">
        <f t="shared" si="23"/>
        <v>2010  (A)</v>
      </c>
      <c r="G151" s="1614" t="str">
        <f t="shared" si="23"/>
        <v>2011  (A)</v>
      </c>
      <c r="H151" s="1614" t="str">
        <f t="shared" si="23"/>
        <v>2012  (A)</v>
      </c>
      <c r="I151" s="1614" t="str">
        <f t="shared" si="23"/>
        <v>2013  (RE)</v>
      </c>
      <c r="J151" s="1614" t="str">
        <f t="shared" si="23"/>
        <v>2014 (BE)</v>
      </c>
      <c r="K151" s="1601"/>
      <c r="L151" s="1312"/>
    </row>
    <row r="152" spans="1:14" s="1729" customFormat="1" hidden="1" x14ac:dyDescent="0.25">
      <c r="A152" s="1312"/>
      <c r="B152" s="1601"/>
      <c r="C152" s="1637">
        <v>1</v>
      </c>
      <c r="D152" s="1725" t="s">
        <v>348</v>
      </c>
      <c r="E152" s="3831"/>
      <c r="F152" s="3831"/>
      <c r="G152" s="3831"/>
      <c r="H152" s="3831"/>
      <c r="I152" s="5561"/>
      <c r="J152" s="5562"/>
      <c r="K152" s="1601"/>
      <c r="L152" s="1312"/>
    </row>
    <row r="153" spans="1:14" s="1729" customFormat="1" hidden="1" x14ac:dyDescent="0.25">
      <c r="A153" s="1312"/>
      <c r="B153" s="1601"/>
      <c r="C153" s="1637">
        <v>2</v>
      </c>
      <c r="D153" s="1745" t="s">
        <v>475</v>
      </c>
      <c r="E153" s="3831"/>
      <c r="F153" s="3831"/>
      <c r="G153" s="3831"/>
      <c r="H153" s="3831"/>
      <c r="I153" s="5561"/>
      <c r="J153" s="5562"/>
      <c r="K153" s="1601"/>
      <c r="L153" s="1312"/>
    </row>
    <row r="154" spans="1:14" s="1729" customFormat="1" hidden="1" x14ac:dyDescent="0.25">
      <c r="A154" s="1312"/>
      <c r="B154" s="1601"/>
      <c r="C154" s="1637">
        <v>3</v>
      </c>
      <c r="D154" s="1725" t="s">
        <v>1679</v>
      </c>
      <c r="E154" s="3831"/>
      <c r="F154" s="3831"/>
      <c r="G154" s="3831"/>
      <c r="H154" s="3831"/>
      <c r="I154" s="5561"/>
      <c r="J154" s="5562"/>
      <c r="K154" s="1601"/>
      <c r="L154" s="1312"/>
    </row>
    <row r="155" spans="1:14" s="1729" customFormat="1" hidden="1" x14ac:dyDescent="0.25">
      <c r="A155" s="1312"/>
      <c r="B155" s="1601"/>
      <c r="C155" s="1637">
        <v>4</v>
      </c>
      <c r="D155" s="1725" t="s">
        <v>49</v>
      </c>
      <c r="E155" s="3831"/>
      <c r="F155" s="3831"/>
      <c r="G155" s="3831"/>
      <c r="H155" s="3831"/>
      <c r="I155" s="5561"/>
      <c r="J155" s="5562"/>
      <c r="K155" s="1601"/>
      <c r="L155" s="1312"/>
    </row>
    <row r="156" spans="1:14" s="1729" customFormat="1" hidden="1" x14ac:dyDescent="0.25">
      <c r="A156" s="1312"/>
      <c r="B156" s="1601"/>
      <c r="C156" s="1637">
        <v>5</v>
      </c>
      <c r="D156" s="1751" t="s">
        <v>1262</v>
      </c>
      <c r="E156" s="3831"/>
      <c r="F156" s="3831"/>
      <c r="G156" s="3831"/>
      <c r="H156" s="3831"/>
      <c r="I156" s="5561"/>
      <c r="J156" s="5562"/>
      <c r="K156" s="1601"/>
      <c r="L156" s="1312"/>
    </row>
    <row r="157" spans="1:14" s="1729" customFormat="1" hidden="1" x14ac:dyDescent="0.25">
      <c r="A157" s="1312"/>
      <c r="B157" s="1601"/>
      <c r="C157" s="1638"/>
      <c r="D157" s="1746" t="s">
        <v>16</v>
      </c>
      <c r="E157" s="1743">
        <f t="shared" ref="E157:J157" si="24">SUM(E152:E156)</f>
        <v>0</v>
      </c>
      <c r="F157" s="1743">
        <f t="shared" si="24"/>
        <v>0</v>
      </c>
      <c r="G157" s="1743">
        <f t="shared" si="24"/>
        <v>0</v>
      </c>
      <c r="H157" s="1743">
        <f t="shared" si="24"/>
        <v>0</v>
      </c>
      <c r="I157" s="1744">
        <f t="shared" si="24"/>
        <v>0</v>
      </c>
      <c r="J157" s="1752">
        <f t="shared" si="24"/>
        <v>0</v>
      </c>
      <c r="K157" s="1601"/>
      <c r="L157" s="1312"/>
    </row>
    <row r="158" spans="1:14" s="1729" customFormat="1" hidden="1" x14ac:dyDescent="0.25">
      <c r="A158" s="1312"/>
      <c r="B158" s="1601"/>
      <c r="C158" s="1601"/>
      <c r="D158" s="1731"/>
      <c r="E158" s="1601"/>
      <c r="F158" s="1601"/>
      <c r="G158" s="1601"/>
      <c r="H158" s="1601"/>
      <c r="I158" s="1601"/>
      <c r="J158" s="1601"/>
      <c r="K158" s="1601"/>
      <c r="L158" s="1312"/>
    </row>
    <row r="159" spans="1:14" s="1312" customFormat="1" hidden="1" x14ac:dyDescent="0.25">
      <c r="B159" s="1669" t="s">
        <v>726</v>
      </c>
      <c r="C159" s="1635" t="s">
        <v>197</v>
      </c>
      <c r="D159" s="1732"/>
      <c r="E159" s="1601"/>
      <c r="F159" s="1601"/>
      <c r="G159" s="1601"/>
      <c r="H159" s="1601"/>
      <c r="I159" s="1733"/>
      <c r="J159" s="1601"/>
      <c r="K159" s="1601"/>
      <c r="M159" s="1729"/>
      <c r="N159" s="1729"/>
    </row>
    <row r="160" spans="1:14" s="1729" customFormat="1" hidden="1" x14ac:dyDescent="0.25">
      <c r="A160" s="1312"/>
      <c r="B160" s="1601"/>
      <c r="C160" s="1613" t="s">
        <v>1010</v>
      </c>
      <c r="D160" s="1614" t="s">
        <v>4</v>
      </c>
      <c r="E160" s="1614" t="str">
        <f t="shared" ref="E160:J160" si="25">E$99</f>
        <v xml:space="preserve">2009 </v>
      </c>
      <c r="F160" s="1614" t="str">
        <f t="shared" si="25"/>
        <v>2010  (A)</v>
      </c>
      <c r="G160" s="1614" t="str">
        <f t="shared" si="25"/>
        <v>2011  (A)</v>
      </c>
      <c r="H160" s="1614" t="str">
        <f t="shared" si="25"/>
        <v>2012  (A)</v>
      </c>
      <c r="I160" s="1614" t="str">
        <f t="shared" si="25"/>
        <v>2013  (RE)</v>
      </c>
      <c r="J160" s="1614" t="str">
        <f t="shared" si="25"/>
        <v>2014 (BE)</v>
      </c>
      <c r="K160" s="1601"/>
      <c r="L160" s="1312"/>
    </row>
    <row r="161" spans="1:12" s="1729" customFormat="1" hidden="1" x14ac:dyDescent="0.25">
      <c r="A161" s="1312"/>
      <c r="B161" s="1601"/>
      <c r="C161" s="1637">
        <v>1</v>
      </c>
      <c r="D161" s="1725" t="s">
        <v>1029</v>
      </c>
      <c r="E161" s="3831"/>
      <c r="F161" s="3831"/>
      <c r="G161" s="3831"/>
      <c r="H161" s="3831"/>
      <c r="I161" s="5561"/>
      <c r="J161" s="5562"/>
      <c r="K161" s="1601"/>
      <c r="L161" s="1312"/>
    </row>
    <row r="162" spans="1:12" s="1729" customFormat="1" hidden="1" x14ac:dyDescent="0.25">
      <c r="A162" s="1312"/>
      <c r="B162" s="1601"/>
      <c r="C162" s="1637">
        <v>2</v>
      </c>
      <c r="D162" s="1745" t="s">
        <v>51</v>
      </c>
      <c r="E162" s="3831"/>
      <c r="F162" s="3831"/>
      <c r="G162" s="3831"/>
      <c r="H162" s="3831"/>
      <c r="I162" s="5561"/>
      <c r="J162" s="5562"/>
      <c r="K162" s="1601"/>
      <c r="L162" s="1312"/>
    </row>
    <row r="163" spans="1:12" s="1729" customFormat="1" hidden="1" x14ac:dyDescent="0.25">
      <c r="A163" s="1312"/>
      <c r="B163" s="1601"/>
      <c r="C163" s="1637">
        <v>3</v>
      </c>
      <c r="D163" s="1725" t="s">
        <v>52</v>
      </c>
      <c r="E163" s="3831"/>
      <c r="F163" s="3831"/>
      <c r="G163" s="3831"/>
      <c r="H163" s="3831"/>
      <c r="I163" s="5561"/>
      <c r="J163" s="5562"/>
      <c r="K163" s="1601"/>
      <c r="L163" s="1312"/>
    </row>
    <row r="164" spans="1:12" s="1729" customFormat="1" hidden="1" x14ac:dyDescent="0.25">
      <c r="A164" s="1312"/>
      <c r="B164" s="1601"/>
      <c r="C164" s="1637">
        <v>4</v>
      </c>
      <c r="D164" s="1725" t="s">
        <v>53</v>
      </c>
      <c r="E164" s="3831"/>
      <c r="F164" s="3831"/>
      <c r="G164" s="3831"/>
      <c r="H164" s="3831"/>
      <c r="I164" s="5561"/>
      <c r="J164" s="5562"/>
      <c r="K164" s="1601"/>
      <c r="L164" s="1312"/>
    </row>
    <row r="165" spans="1:12" s="1729" customFormat="1" hidden="1" x14ac:dyDescent="0.25">
      <c r="A165" s="1312"/>
      <c r="B165" s="1601"/>
      <c r="C165" s="1737">
        <v>5</v>
      </c>
      <c r="D165" s="1753" t="s">
        <v>55</v>
      </c>
      <c r="E165" s="3831"/>
      <c r="F165" s="3831"/>
      <c r="G165" s="3831"/>
      <c r="H165" s="3831"/>
      <c r="I165" s="5561"/>
      <c r="J165" s="5562"/>
      <c r="K165" s="1601"/>
      <c r="L165" s="1312"/>
    </row>
    <row r="166" spans="1:12" s="1729" customFormat="1" hidden="1" x14ac:dyDescent="0.25">
      <c r="A166" s="1312"/>
      <c r="B166" s="1601"/>
      <c r="C166" s="1637">
        <v>6</v>
      </c>
      <c r="D166" s="1725" t="s">
        <v>54</v>
      </c>
      <c r="E166" s="3831"/>
      <c r="F166" s="3831"/>
      <c r="G166" s="3831"/>
      <c r="H166" s="3831"/>
      <c r="I166" s="5561"/>
      <c r="J166" s="5562"/>
      <c r="K166" s="1601"/>
      <c r="L166" s="1312"/>
    </row>
    <row r="167" spans="1:12" s="1729" customFormat="1" hidden="1" x14ac:dyDescent="0.25">
      <c r="A167" s="1312"/>
      <c r="B167" s="1601"/>
      <c r="C167" s="1638"/>
      <c r="D167" s="1746" t="s">
        <v>16</v>
      </c>
      <c r="E167" s="1743">
        <f t="shared" ref="E167:J167" si="26">SUM(E161:E166)</f>
        <v>0</v>
      </c>
      <c r="F167" s="1743">
        <f t="shared" si="26"/>
        <v>0</v>
      </c>
      <c r="G167" s="1743">
        <f t="shared" si="26"/>
        <v>0</v>
      </c>
      <c r="H167" s="1743">
        <f t="shared" si="26"/>
        <v>0</v>
      </c>
      <c r="I167" s="1744">
        <f t="shared" si="26"/>
        <v>0</v>
      </c>
      <c r="J167" s="1743">
        <f t="shared" si="26"/>
        <v>0</v>
      </c>
      <c r="K167" s="6129"/>
      <c r="L167" s="1312"/>
    </row>
    <row r="168" spans="1:12" s="1729" customFormat="1" hidden="1" x14ac:dyDescent="0.25">
      <c r="A168" s="1312"/>
      <c r="B168" s="1601"/>
      <c r="C168" s="1601"/>
      <c r="D168" s="1731"/>
      <c r="E168" s="1601"/>
      <c r="F168" s="1601"/>
      <c r="G168" s="1601"/>
      <c r="H168" s="1601"/>
      <c r="I168" s="1601"/>
      <c r="J168" s="1601"/>
      <c r="K168" s="1601"/>
      <c r="L168" s="1312"/>
    </row>
    <row r="169" spans="1:12" s="1608" customFormat="1" ht="15.75" hidden="1" x14ac:dyDescent="0.25">
      <c r="B169" s="1609" t="s">
        <v>8</v>
      </c>
      <c r="C169" s="1610" t="s">
        <v>198</v>
      </c>
      <c r="D169" s="1623"/>
      <c r="E169" s="1611"/>
      <c r="F169" s="1611"/>
      <c r="G169" s="1728"/>
      <c r="H169" s="1611"/>
      <c r="I169" s="1611"/>
      <c r="J169" s="1611" t="s">
        <v>769</v>
      </c>
      <c r="K169" s="1611"/>
    </row>
    <row r="170" spans="1:12" s="1312" customFormat="1" hidden="1" x14ac:dyDescent="0.25">
      <c r="B170" s="1669" t="s">
        <v>725</v>
      </c>
      <c r="C170" s="1635" t="s">
        <v>193</v>
      </c>
      <c r="D170" s="1732"/>
      <c r="E170" s="1601"/>
      <c r="F170" s="1601"/>
      <c r="G170" s="1601"/>
      <c r="H170" s="1601"/>
      <c r="I170" s="1733"/>
      <c r="J170" s="1601"/>
      <c r="K170" s="1601"/>
    </row>
    <row r="171" spans="1:12" s="1729" customFormat="1" hidden="1" x14ac:dyDescent="0.25">
      <c r="A171" s="1312"/>
      <c r="B171" s="1601"/>
      <c r="C171" s="1613" t="s">
        <v>1010</v>
      </c>
      <c r="D171" s="1614" t="s">
        <v>4</v>
      </c>
      <c r="E171" s="1614" t="str">
        <f t="shared" ref="E171:J171" si="27">E$99</f>
        <v xml:space="preserve">2009 </v>
      </c>
      <c r="F171" s="1614" t="str">
        <f t="shared" si="27"/>
        <v>2010  (A)</v>
      </c>
      <c r="G171" s="1614" t="str">
        <f t="shared" si="27"/>
        <v>2011  (A)</v>
      </c>
      <c r="H171" s="1614" t="str">
        <f t="shared" si="27"/>
        <v>2012  (A)</v>
      </c>
      <c r="I171" s="1614" t="str">
        <f t="shared" si="27"/>
        <v>2013  (RE)</v>
      </c>
      <c r="J171" s="1614" t="str">
        <f t="shared" si="27"/>
        <v>2014 (BE)</v>
      </c>
      <c r="K171" s="1601"/>
      <c r="L171" s="1312"/>
    </row>
    <row r="172" spans="1:12" s="1729" customFormat="1" hidden="1" x14ac:dyDescent="0.25">
      <c r="A172" s="1312"/>
      <c r="B172" s="1601"/>
      <c r="C172" s="1637">
        <v>1</v>
      </c>
      <c r="D172" s="1725" t="s">
        <v>56</v>
      </c>
      <c r="E172" s="3875"/>
      <c r="F172" s="3875"/>
      <c r="G172" s="3875"/>
      <c r="H172" s="3875"/>
      <c r="I172" s="3875"/>
      <c r="J172" s="3875"/>
      <c r="K172" s="1601"/>
      <c r="L172" s="1312"/>
    </row>
    <row r="173" spans="1:12" s="1729" customFormat="1" hidden="1" x14ac:dyDescent="0.25">
      <c r="A173" s="1312"/>
      <c r="B173" s="1601"/>
      <c r="C173" s="1637">
        <v>2</v>
      </c>
      <c r="D173" s="1745" t="s">
        <v>57</v>
      </c>
      <c r="E173" s="3875"/>
      <c r="F173" s="3875"/>
      <c r="G173" s="3875"/>
      <c r="H173" s="3875"/>
      <c r="I173" s="3875"/>
      <c r="J173" s="3875"/>
      <c r="K173" s="1601"/>
      <c r="L173" s="1312"/>
    </row>
    <row r="174" spans="1:12" s="1729" customFormat="1" hidden="1" x14ac:dyDescent="0.25">
      <c r="A174" s="1312"/>
      <c r="B174" s="1601"/>
      <c r="C174" s="1637">
        <v>3</v>
      </c>
      <c r="D174" s="1725" t="s">
        <v>48</v>
      </c>
      <c r="E174" s="3875"/>
      <c r="F174" s="3875"/>
      <c r="G174" s="3875"/>
      <c r="H174" s="3875"/>
      <c r="I174" s="3875"/>
      <c r="J174" s="3875"/>
      <c r="K174" s="1601"/>
      <c r="L174" s="1312"/>
    </row>
    <row r="175" spans="1:12" s="1729" customFormat="1" hidden="1" x14ac:dyDescent="0.25">
      <c r="A175" s="1312"/>
      <c r="B175" s="1601"/>
      <c r="C175" s="1637">
        <v>4</v>
      </c>
      <c r="D175" s="1725" t="s">
        <v>26</v>
      </c>
      <c r="E175" s="3875"/>
      <c r="F175" s="3875"/>
      <c r="G175" s="3875"/>
      <c r="H175" s="3875"/>
      <c r="I175" s="3875"/>
      <c r="J175" s="3875"/>
      <c r="K175" s="1601"/>
      <c r="L175" s="1312"/>
    </row>
    <row r="176" spans="1:12" s="1729" customFormat="1" hidden="1" x14ac:dyDescent="0.25">
      <c r="A176" s="1312"/>
      <c r="B176" s="1601"/>
      <c r="C176" s="1638"/>
      <c r="D176" s="1746" t="s">
        <v>16</v>
      </c>
      <c r="E176" s="1743">
        <f t="shared" ref="E176:J176" si="28">SUM(E172:E175)</f>
        <v>0</v>
      </c>
      <c r="F176" s="1743">
        <f t="shared" si="28"/>
        <v>0</v>
      </c>
      <c r="G176" s="1743">
        <f t="shared" si="28"/>
        <v>0</v>
      </c>
      <c r="H176" s="1743">
        <f t="shared" si="28"/>
        <v>0</v>
      </c>
      <c r="I176" s="1744">
        <f t="shared" si="28"/>
        <v>0</v>
      </c>
      <c r="J176" s="1743">
        <f t="shared" si="28"/>
        <v>0</v>
      </c>
      <c r="K176" s="1601"/>
      <c r="L176" s="1312"/>
    </row>
    <row r="177" spans="1:12" s="1729" customFormat="1" hidden="1" x14ac:dyDescent="0.25">
      <c r="A177" s="1312"/>
      <c r="B177" s="1601"/>
      <c r="C177" s="1601"/>
      <c r="D177" s="1731"/>
      <c r="E177" s="1601"/>
      <c r="F177" s="1601"/>
      <c r="G177" s="1601"/>
      <c r="H177" s="1601"/>
      <c r="I177" s="1601"/>
      <c r="J177" s="1601"/>
      <c r="K177" s="1601"/>
      <c r="L177" s="1312"/>
    </row>
    <row r="178" spans="1:12" s="1312" customFormat="1" hidden="1" x14ac:dyDescent="0.25">
      <c r="B178" s="1669" t="s">
        <v>726</v>
      </c>
      <c r="C178" s="1635" t="s">
        <v>194</v>
      </c>
      <c r="D178" s="1732"/>
      <c r="E178" s="1601"/>
      <c r="F178" s="1601"/>
      <c r="G178" s="1601"/>
      <c r="H178" s="1601"/>
      <c r="I178" s="1733"/>
      <c r="J178" s="1601"/>
      <c r="K178" s="1601"/>
    </row>
    <row r="179" spans="1:12" s="1729" customFormat="1" hidden="1" x14ac:dyDescent="0.25">
      <c r="A179" s="1312"/>
      <c r="B179" s="1601"/>
      <c r="C179" s="1613" t="s">
        <v>1010</v>
      </c>
      <c r="D179" s="1614" t="s">
        <v>4</v>
      </c>
      <c r="E179" s="1614" t="str">
        <f t="shared" ref="E179:J179" si="29">E$99</f>
        <v xml:space="preserve">2009 </v>
      </c>
      <c r="F179" s="1614" t="str">
        <f t="shared" si="29"/>
        <v>2010  (A)</v>
      </c>
      <c r="G179" s="1614" t="str">
        <f t="shared" si="29"/>
        <v>2011  (A)</v>
      </c>
      <c r="H179" s="1614" t="str">
        <f t="shared" si="29"/>
        <v>2012  (A)</v>
      </c>
      <c r="I179" s="1614" t="str">
        <f t="shared" si="29"/>
        <v>2013  (RE)</v>
      </c>
      <c r="J179" s="1614" t="str">
        <f t="shared" si="29"/>
        <v>2014 (BE)</v>
      </c>
      <c r="K179" s="1601"/>
      <c r="L179" s="1312"/>
    </row>
    <row r="180" spans="1:12" s="1729" customFormat="1" hidden="1" x14ac:dyDescent="0.25">
      <c r="A180" s="1312"/>
      <c r="B180" s="1601"/>
      <c r="C180" s="1637">
        <v>1</v>
      </c>
      <c r="D180" s="1725" t="s">
        <v>58</v>
      </c>
      <c r="E180" s="3831"/>
      <c r="F180" s="3831"/>
      <c r="G180" s="3831"/>
      <c r="H180" s="3831"/>
      <c r="I180" s="5561"/>
      <c r="J180" s="3831"/>
      <c r="K180" s="1601"/>
      <c r="L180" s="1312"/>
    </row>
    <row r="181" spans="1:12" s="1729" customFormat="1" ht="31.5" hidden="1" customHeight="1" x14ac:dyDescent="0.25">
      <c r="A181" s="1312"/>
      <c r="B181" s="1601"/>
      <c r="C181" s="1637">
        <v>2</v>
      </c>
      <c r="D181" s="1745" t="s">
        <v>3014</v>
      </c>
      <c r="E181" s="3831"/>
      <c r="F181" s="3831"/>
      <c r="G181" s="3831"/>
      <c r="H181" s="3831"/>
      <c r="I181" s="5561"/>
      <c r="J181" s="3831"/>
      <c r="K181" s="1601"/>
      <c r="L181" s="1312"/>
    </row>
    <row r="182" spans="1:12" s="1729" customFormat="1" hidden="1" x14ac:dyDescent="0.25">
      <c r="A182" s="1312"/>
      <c r="B182" s="1601"/>
      <c r="C182" s="1637">
        <v>3</v>
      </c>
      <c r="D182" s="1725" t="s">
        <v>26</v>
      </c>
      <c r="E182" s="3831"/>
      <c r="F182" s="3831"/>
      <c r="G182" s="3831"/>
      <c r="H182" s="3831"/>
      <c r="I182" s="5561"/>
      <c r="J182" s="3831"/>
      <c r="K182" s="1601"/>
      <c r="L182" s="1312"/>
    </row>
    <row r="183" spans="1:12" s="1729" customFormat="1" hidden="1" x14ac:dyDescent="0.25">
      <c r="A183" s="1312"/>
      <c r="B183" s="1601"/>
      <c r="C183" s="1638"/>
      <c r="D183" s="1746" t="s">
        <v>16</v>
      </c>
      <c r="E183" s="1743">
        <f t="shared" ref="E183:J183" si="30">SUM(E180:E182)</f>
        <v>0</v>
      </c>
      <c r="F183" s="1743">
        <f t="shared" si="30"/>
        <v>0</v>
      </c>
      <c r="G183" s="1743">
        <f t="shared" si="30"/>
        <v>0</v>
      </c>
      <c r="H183" s="1743">
        <f t="shared" si="30"/>
        <v>0</v>
      </c>
      <c r="I183" s="1744">
        <f t="shared" si="30"/>
        <v>0</v>
      </c>
      <c r="J183" s="1743">
        <f t="shared" si="30"/>
        <v>0</v>
      </c>
      <c r="K183" s="1601"/>
      <c r="L183" s="1312"/>
    </row>
    <row r="184" spans="1:12" s="1729" customFormat="1" hidden="1" x14ac:dyDescent="0.25">
      <c r="A184" s="1312"/>
      <c r="B184" s="1601"/>
      <c r="C184" s="1601"/>
      <c r="D184" s="1731"/>
      <c r="E184" s="1601"/>
      <c r="F184" s="1601"/>
      <c r="G184" s="1601"/>
      <c r="H184" s="1601"/>
      <c r="I184" s="1601"/>
      <c r="J184" s="1601"/>
      <c r="K184" s="1601"/>
      <c r="L184" s="1312"/>
    </row>
    <row r="185" spans="1:12" s="1729" customFormat="1" hidden="1" x14ac:dyDescent="0.25">
      <c r="A185" s="1312"/>
      <c r="B185" s="1601"/>
      <c r="C185" s="1601"/>
      <c r="D185" s="1731"/>
      <c r="E185" s="1601"/>
      <c r="F185" s="1601"/>
      <c r="G185" s="1601"/>
      <c r="H185" s="1601"/>
      <c r="I185" s="1601"/>
      <c r="J185" s="1601"/>
      <c r="K185" s="1601"/>
      <c r="L185" s="1312"/>
    </row>
    <row r="186" spans="1:12" s="1317" customFormat="1" ht="21" hidden="1" x14ac:dyDescent="0.25">
      <c r="B186" s="1603" t="s">
        <v>14</v>
      </c>
      <c r="C186" s="1604" t="s">
        <v>3588</v>
      </c>
      <c r="D186" s="1604"/>
      <c r="E186" s="1604"/>
      <c r="F186" s="1604"/>
      <c r="G186" s="1604"/>
      <c r="H186" s="1604"/>
      <c r="I186" s="1604"/>
      <c r="J186" s="5830" t="str">
        <f>CONCATENATE("All figures in ",'General info'!$E$43," ",'General info'!$G$43)</f>
        <v>All figures in INR Lakhs</v>
      </c>
      <c r="K186" s="1604"/>
    </row>
    <row r="187" spans="1:12" s="1608" customFormat="1" ht="15.75" hidden="1" x14ac:dyDescent="0.25">
      <c r="B187" s="1609" t="s">
        <v>2</v>
      </c>
      <c r="C187" s="1610" t="s">
        <v>3589</v>
      </c>
      <c r="D187" s="1623"/>
      <c r="E187" s="1611"/>
      <c r="F187" s="1611"/>
      <c r="G187" s="1728"/>
      <c r="H187" s="1611"/>
      <c r="I187" s="1611"/>
      <c r="J187" s="1611"/>
      <c r="K187" s="1611"/>
    </row>
    <row r="188" spans="1:12" s="1312" customFormat="1" hidden="1" x14ac:dyDescent="0.25">
      <c r="B188" s="1669" t="s">
        <v>725</v>
      </c>
      <c r="C188" s="1635" t="s">
        <v>3590</v>
      </c>
      <c r="D188" s="1732"/>
      <c r="E188" s="1601"/>
      <c r="F188" s="1601"/>
      <c r="G188" s="1601"/>
      <c r="H188" s="1601"/>
      <c r="I188" s="1733"/>
      <c r="J188" s="1601"/>
      <c r="K188" s="1601"/>
    </row>
    <row r="189" spans="1:12" s="1729" customFormat="1" hidden="1" x14ac:dyDescent="0.25">
      <c r="A189" s="1312"/>
      <c r="B189" s="1601"/>
      <c r="C189" s="1613" t="s">
        <v>1010</v>
      </c>
      <c r="D189" s="1614" t="s">
        <v>4</v>
      </c>
      <c r="E189" s="1614" t="str">
        <f t="shared" ref="E189:J189" si="31">E$99</f>
        <v xml:space="preserve">2009 </v>
      </c>
      <c r="F189" s="1614" t="str">
        <f t="shared" si="31"/>
        <v>2010  (A)</v>
      </c>
      <c r="G189" s="1614" t="str">
        <f t="shared" si="31"/>
        <v>2011  (A)</v>
      </c>
      <c r="H189" s="1614" t="str">
        <f t="shared" si="31"/>
        <v>2012  (A)</v>
      </c>
      <c r="I189" s="1614" t="str">
        <f t="shared" si="31"/>
        <v>2013  (RE)</v>
      </c>
      <c r="J189" s="1614" t="str">
        <f t="shared" si="31"/>
        <v>2014 (BE)</v>
      </c>
      <c r="K189" s="1601"/>
      <c r="L189" s="1312"/>
    </row>
    <row r="190" spans="1:12" s="1729" customFormat="1" hidden="1" x14ac:dyDescent="0.25">
      <c r="A190" s="1312"/>
      <c r="B190" s="1601"/>
      <c r="C190" s="1637">
        <v>1</v>
      </c>
      <c r="D190" s="1725" t="s">
        <v>3430</v>
      </c>
      <c r="E190" s="3848"/>
      <c r="F190" s="3848"/>
      <c r="G190" s="3848"/>
      <c r="H190" s="3848"/>
      <c r="I190" s="3848"/>
      <c r="J190" s="3848"/>
      <c r="K190" s="1601"/>
      <c r="L190" s="1312"/>
    </row>
    <row r="191" spans="1:12" s="1729" customFormat="1" hidden="1" x14ac:dyDescent="0.25">
      <c r="A191" s="1312"/>
      <c r="B191" s="1601"/>
      <c r="C191" s="1637">
        <v>2</v>
      </c>
      <c r="D191" s="1725" t="s">
        <v>3361</v>
      </c>
      <c r="E191" s="3848"/>
      <c r="F191" s="3848"/>
      <c r="G191" s="3848"/>
      <c r="H191" s="3848"/>
      <c r="I191" s="3848"/>
      <c r="J191" s="3848"/>
      <c r="K191" s="1601"/>
      <c r="L191" s="1312"/>
    </row>
    <row r="192" spans="1:12" s="1729" customFormat="1" hidden="1" x14ac:dyDescent="0.25">
      <c r="A192" s="1312"/>
      <c r="B192" s="1601"/>
      <c r="C192" s="1637">
        <v>3</v>
      </c>
      <c r="D192" s="1725" t="s">
        <v>3386</v>
      </c>
      <c r="E192" s="3848"/>
      <c r="F192" s="3848"/>
      <c r="G192" s="3848"/>
      <c r="H192" s="3848"/>
      <c r="I192" s="3848"/>
      <c r="J192" s="3848"/>
      <c r="K192" s="1601"/>
      <c r="L192" s="1312"/>
    </row>
    <row r="193" spans="1:12" s="1729" customFormat="1" hidden="1" x14ac:dyDescent="0.25">
      <c r="A193" s="1312"/>
      <c r="B193" s="1601"/>
      <c r="C193" s="1637">
        <v>4</v>
      </c>
      <c r="D193" s="1725" t="s">
        <v>49</v>
      </c>
      <c r="E193" s="3848"/>
      <c r="F193" s="3848"/>
      <c r="G193" s="3848"/>
      <c r="H193" s="3848"/>
      <c r="I193" s="3848"/>
      <c r="J193" s="3848"/>
      <c r="K193" s="1601"/>
      <c r="L193" s="1312"/>
    </row>
    <row r="194" spans="1:12" s="1729" customFormat="1" hidden="1" x14ac:dyDescent="0.25">
      <c r="A194" s="1312"/>
      <c r="B194" s="1601"/>
      <c r="C194" s="1637">
        <v>5</v>
      </c>
      <c r="D194" s="1751" t="s">
        <v>1262</v>
      </c>
      <c r="E194" s="3848"/>
      <c r="F194" s="3848"/>
      <c r="G194" s="3848"/>
      <c r="H194" s="3848"/>
      <c r="I194" s="3848"/>
      <c r="J194" s="3848"/>
      <c r="K194" s="1601"/>
      <c r="L194" s="1312"/>
    </row>
    <row r="195" spans="1:12" s="1729" customFormat="1" hidden="1" x14ac:dyDescent="0.25">
      <c r="A195" s="1312"/>
      <c r="B195" s="1601"/>
      <c r="C195" s="1638"/>
      <c r="D195" s="1746" t="s">
        <v>16</v>
      </c>
      <c r="E195" s="5594">
        <f t="shared" ref="E195:J195" si="32">SUM(E190:E194)</f>
        <v>0</v>
      </c>
      <c r="F195" s="5594">
        <f t="shared" si="32"/>
        <v>0</v>
      </c>
      <c r="G195" s="5594">
        <f t="shared" si="32"/>
        <v>0</v>
      </c>
      <c r="H195" s="5594">
        <f t="shared" si="32"/>
        <v>0</v>
      </c>
      <c r="I195" s="5595">
        <f t="shared" si="32"/>
        <v>0</v>
      </c>
      <c r="J195" s="5594">
        <f t="shared" si="32"/>
        <v>0</v>
      </c>
      <c r="K195" s="1601"/>
      <c r="L195" s="1312"/>
    </row>
    <row r="196" spans="1:12" s="1729" customFormat="1" hidden="1" x14ac:dyDescent="0.25">
      <c r="A196" s="1312"/>
      <c r="B196" s="1601"/>
      <c r="C196" s="1601"/>
      <c r="D196" s="1731"/>
      <c r="E196" s="1754"/>
      <c r="F196" s="1754"/>
      <c r="G196" s="1754"/>
      <c r="H196" s="1754"/>
      <c r="I196" s="1754"/>
      <c r="J196" s="1601"/>
      <c r="K196" s="1601"/>
      <c r="L196" s="1312"/>
    </row>
    <row r="197" spans="1:12" s="1312" customFormat="1" hidden="1" x14ac:dyDescent="0.25">
      <c r="B197" s="1669" t="s">
        <v>726</v>
      </c>
      <c r="C197" s="1635" t="s">
        <v>3591</v>
      </c>
      <c r="D197" s="1732"/>
      <c r="E197" s="1601"/>
      <c r="F197" s="1601"/>
      <c r="G197" s="1601"/>
      <c r="H197" s="1601"/>
      <c r="I197" s="1733"/>
      <c r="J197" s="1601"/>
      <c r="K197" s="1601"/>
    </row>
    <row r="198" spans="1:12" s="1729" customFormat="1" hidden="1" x14ac:dyDescent="0.25">
      <c r="A198" s="1312"/>
      <c r="B198" s="1601"/>
      <c r="C198" s="1613" t="s">
        <v>1010</v>
      </c>
      <c r="D198" s="1614" t="s">
        <v>4</v>
      </c>
      <c r="E198" s="1614" t="str">
        <f t="shared" ref="E198:J198" si="33">E$99</f>
        <v xml:space="preserve">2009 </v>
      </c>
      <c r="F198" s="1614" t="str">
        <f t="shared" si="33"/>
        <v>2010  (A)</v>
      </c>
      <c r="G198" s="1614" t="str">
        <f t="shared" si="33"/>
        <v>2011  (A)</v>
      </c>
      <c r="H198" s="1614" t="str">
        <f t="shared" si="33"/>
        <v>2012  (A)</v>
      </c>
      <c r="I198" s="1614" t="str">
        <f t="shared" si="33"/>
        <v>2013  (RE)</v>
      </c>
      <c r="J198" s="1614" t="str">
        <f t="shared" si="33"/>
        <v>2014 (BE)</v>
      </c>
      <c r="K198" s="1601"/>
      <c r="L198" s="1312"/>
    </row>
    <row r="199" spans="1:12" s="1729" customFormat="1" hidden="1" x14ac:dyDescent="0.25">
      <c r="A199" s="1312"/>
      <c r="B199" s="1601"/>
      <c r="C199" s="1637">
        <v>1</v>
      </c>
      <c r="D199" s="1725" t="s">
        <v>1029</v>
      </c>
      <c r="E199" s="3848"/>
      <c r="F199" s="3848"/>
      <c r="G199" s="3848"/>
      <c r="H199" s="3848"/>
      <c r="I199" s="3848"/>
      <c r="J199" s="3848"/>
      <c r="K199" s="1601"/>
      <c r="L199" s="1312"/>
    </row>
    <row r="200" spans="1:12" s="1729" customFormat="1" hidden="1" x14ac:dyDescent="0.25">
      <c r="A200" s="1312"/>
      <c r="B200" s="1601"/>
      <c r="C200" s="1637">
        <v>2</v>
      </c>
      <c r="D200" s="1745" t="s">
        <v>52</v>
      </c>
      <c r="E200" s="3848"/>
      <c r="F200" s="3848"/>
      <c r="G200" s="3848"/>
      <c r="H200" s="3848"/>
      <c r="I200" s="3848"/>
      <c r="J200" s="3848"/>
      <c r="K200" s="1601"/>
      <c r="L200" s="1312"/>
    </row>
    <row r="201" spans="1:12" s="1729" customFormat="1" hidden="1" x14ac:dyDescent="0.25">
      <c r="A201" s="1312"/>
      <c r="B201" s="1601"/>
      <c r="C201" s="1637">
        <v>3</v>
      </c>
      <c r="D201" s="1745" t="s">
        <v>3387</v>
      </c>
      <c r="E201" s="3848"/>
      <c r="F201" s="3848"/>
      <c r="G201" s="3848"/>
      <c r="H201" s="3848"/>
      <c r="I201" s="3848"/>
      <c r="J201" s="3848"/>
      <c r="K201" s="1601"/>
      <c r="L201" s="1312"/>
    </row>
    <row r="202" spans="1:12" s="1729" customFormat="1" hidden="1" x14ac:dyDescent="0.25">
      <c r="A202" s="1312"/>
      <c r="B202" s="1601"/>
      <c r="C202" s="1637">
        <v>4</v>
      </c>
      <c r="D202" s="1725" t="s">
        <v>53</v>
      </c>
      <c r="E202" s="3848"/>
      <c r="F202" s="3848"/>
      <c r="G202" s="3848"/>
      <c r="H202" s="3848"/>
      <c r="I202" s="3848"/>
      <c r="J202" s="3848"/>
      <c r="K202" s="1601"/>
      <c r="L202" s="1312"/>
    </row>
    <row r="203" spans="1:12" s="1729" customFormat="1" hidden="1" x14ac:dyDescent="0.25">
      <c r="A203" s="1312"/>
      <c r="B203" s="1601"/>
      <c r="C203" s="1637">
        <v>5</v>
      </c>
      <c r="D203" s="1725" t="s">
        <v>1262</v>
      </c>
      <c r="E203" s="3848"/>
      <c r="F203" s="3848"/>
      <c r="G203" s="3848"/>
      <c r="H203" s="3848"/>
      <c r="I203" s="3848"/>
      <c r="J203" s="3848"/>
      <c r="K203" s="1601"/>
      <c r="L203" s="1312"/>
    </row>
    <row r="204" spans="1:12" s="1729" customFormat="1" hidden="1" x14ac:dyDescent="0.25">
      <c r="A204" s="1312"/>
      <c r="B204" s="1601"/>
      <c r="C204" s="1637">
        <v>6</v>
      </c>
      <c r="D204" s="1725" t="s">
        <v>54</v>
      </c>
      <c r="E204" s="3848"/>
      <c r="F204" s="3848"/>
      <c r="G204" s="3848"/>
      <c r="H204" s="3848"/>
      <c r="I204" s="3848"/>
      <c r="J204" s="3848"/>
      <c r="K204" s="1601"/>
      <c r="L204" s="1312"/>
    </row>
    <row r="205" spans="1:12" s="1729" customFormat="1" hidden="1" x14ac:dyDescent="0.25">
      <c r="A205" s="1312"/>
      <c r="B205" s="1601"/>
      <c r="C205" s="1638"/>
      <c r="D205" s="1746" t="s">
        <v>16</v>
      </c>
      <c r="E205" s="5594">
        <f>SUM(E199:E204)</f>
        <v>0</v>
      </c>
      <c r="F205" s="5594">
        <f t="shared" ref="F205:J205" si="34">SUM(F199:F204)</f>
        <v>0</v>
      </c>
      <c r="G205" s="5594">
        <f t="shared" si="34"/>
        <v>0</v>
      </c>
      <c r="H205" s="5594">
        <f t="shared" si="34"/>
        <v>0</v>
      </c>
      <c r="I205" s="5594">
        <f t="shared" si="34"/>
        <v>0</v>
      </c>
      <c r="J205" s="5594">
        <f t="shared" si="34"/>
        <v>0</v>
      </c>
      <c r="K205" s="1601"/>
      <c r="L205" s="1312"/>
    </row>
    <row r="206" spans="1:12" s="1729" customFormat="1" hidden="1" x14ac:dyDescent="0.25">
      <c r="A206" s="1312"/>
      <c r="B206" s="1601"/>
      <c r="C206" s="1601"/>
      <c r="D206" s="1731"/>
      <c r="E206" s="1601"/>
      <c r="F206" s="1601"/>
      <c r="G206" s="1601"/>
      <c r="H206" s="1601"/>
      <c r="I206" s="1601"/>
      <c r="J206" s="1601"/>
      <c r="K206" s="1601"/>
      <c r="L206" s="1312"/>
    </row>
    <row r="207" spans="1:12" s="1608" customFormat="1" ht="15.75" hidden="1" x14ac:dyDescent="0.25">
      <c r="B207" s="1609" t="s">
        <v>8</v>
      </c>
      <c r="C207" s="1610" t="s">
        <v>3592</v>
      </c>
      <c r="D207" s="1623"/>
      <c r="E207" s="1611"/>
      <c r="F207" s="1611"/>
      <c r="G207" s="1728"/>
      <c r="H207" s="1611"/>
      <c r="I207" s="1611"/>
      <c r="J207" s="1611"/>
      <c r="K207" s="1611"/>
    </row>
    <row r="208" spans="1:12" s="1312" customFormat="1" hidden="1" x14ac:dyDescent="0.25">
      <c r="B208" s="1669" t="s">
        <v>725</v>
      </c>
      <c r="C208" s="1635" t="s">
        <v>3593</v>
      </c>
      <c r="D208" s="1732"/>
      <c r="E208" s="1601"/>
      <c r="F208" s="1601"/>
      <c r="G208" s="1601"/>
      <c r="H208" s="1601"/>
      <c r="I208" s="1733"/>
      <c r="J208" s="1601"/>
      <c r="K208" s="1601"/>
    </row>
    <row r="209" spans="1:12" s="1729" customFormat="1" hidden="1" x14ac:dyDescent="0.25">
      <c r="A209" s="1312"/>
      <c r="B209" s="1601"/>
      <c r="C209" s="1613" t="s">
        <v>1010</v>
      </c>
      <c r="D209" s="1614" t="s">
        <v>4</v>
      </c>
      <c r="E209" s="1614" t="str">
        <f t="shared" ref="E209:J209" si="35">E$99</f>
        <v xml:space="preserve">2009 </v>
      </c>
      <c r="F209" s="1614" t="str">
        <f t="shared" si="35"/>
        <v>2010  (A)</v>
      </c>
      <c r="G209" s="1614" t="str">
        <f t="shared" si="35"/>
        <v>2011  (A)</v>
      </c>
      <c r="H209" s="1614" t="str">
        <f t="shared" si="35"/>
        <v>2012  (A)</v>
      </c>
      <c r="I209" s="1614" t="str">
        <f t="shared" si="35"/>
        <v>2013  (RE)</v>
      </c>
      <c r="J209" s="1614" t="str">
        <f t="shared" si="35"/>
        <v>2014 (BE)</v>
      </c>
      <c r="K209" s="1601"/>
      <c r="L209" s="1312"/>
    </row>
    <row r="210" spans="1:12" s="1729" customFormat="1" hidden="1" x14ac:dyDescent="0.25">
      <c r="A210" s="1312"/>
      <c r="B210" s="1601"/>
      <c r="C210" s="1637">
        <v>1</v>
      </c>
      <c r="D210" s="1725" t="s">
        <v>56</v>
      </c>
      <c r="E210" s="3848"/>
      <c r="F210" s="3848"/>
      <c r="G210" s="3848"/>
      <c r="H210" s="3848"/>
      <c r="I210" s="5588"/>
      <c r="J210" s="3848"/>
      <c r="K210" s="1601"/>
      <c r="L210" s="1312"/>
    </row>
    <row r="211" spans="1:12" s="1729" customFormat="1" hidden="1" x14ac:dyDescent="0.25">
      <c r="A211" s="1312"/>
      <c r="B211" s="1601"/>
      <c r="C211" s="1637">
        <v>2</v>
      </c>
      <c r="D211" s="1745" t="s">
        <v>57</v>
      </c>
      <c r="E211" s="3848"/>
      <c r="F211" s="3848"/>
      <c r="G211" s="3848"/>
      <c r="H211" s="3848"/>
      <c r="I211" s="5588"/>
      <c r="J211" s="3848"/>
      <c r="K211" s="1601"/>
      <c r="L211" s="1312"/>
    </row>
    <row r="212" spans="1:12" s="1729" customFormat="1" hidden="1" x14ac:dyDescent="0.25">
      <c r="A212" s="1312"/>
      <c r="B212" s="1601"/>
      <c r="C212" s="1637">
        <v>3</v>
      </c>
      <c r="D212" s="1725" t="s">
        <v>48</v>
      </c>
      <c r="E212" s="3848"/>
      <c r="F212" s="3848"/>
      <c r="G212" s="3848"/>
      <c r="H212" s="3848"/>
      <c r="I212" s="5588"/>
      <c r="J212" s="3848"/>
      <c r="K212" s="1601"/>
      <c r="L212" s="1312"/>
    </row>
    <row r="213" spans="1:12" s="1729" customFormat="1" hidden="1" x14ac:dyDescent="0.25">
      <c r="A213" s="1312"/>
      <c r="B213" s="1601"/>
      <c r="C213" s="1637">
        <v>4</v>
      </c>
      <c r="D213" s="1725" t="s">
        <v>26</v>
      </c>
      <c r="E213" s="3848"/>
      <c r="F213" s="3848"/>
      <c r="G213" s="3848"/>
      <c r="H213" s="3848"/>
      <c r="I213" s="5588"/>
      <c r="J213" s="3848"/>
      <c r="K213" s="1601"/>
      <c r="L213" s="1312"/>
    </row>
    <row r="214" spans="1:12" s="1729" customFormat="1" hidden="1" x14ac:dyDescent="0.25">
      <c r="A214" s="1312"/>
      <c r="B214" s="1601"/>
      <c r="C214" s="1638"/>
      <c r="D214" s="1746" t="s">
        <v>16</v>
      </c>
      <c r="E214" s="5594">
        <f t="shared" ref="E214:J214" si="36">SUM(E210:E213)</f>
        <v>0</v>
      </c>
      <c r="F214" s="5594">
        <f t="shared" si="36"/>
        <v>0</v>
      </c>
      <c r="G214" s="5594">
        <f t="shared" si="36"/>
        <v>0</v>
      </c>
      <c r="H214" s="5594">
        <f t="shared" si="36"/>
        <v>0</v>
      </c>
      <c r="I214" s="5595">
        <f t="shared" si="36"/>
        <v>0</v>
      </c>
      <c r="J214" s="5594">
        <f t="shared" si="36"/>
        <v>0</v>
      </c>
      <c r="K214" s="1601"/>
      <c r="L214" s="1312"/>
    </row>
    <row r="215" spans="1:12" s="1729" customFormat="1" hidden="1" x14ac:dyDescent="0.25">
      <c r="A215" s="1312"/>
      <c r="B215" s="1601"/>
      <c r="C215" s="1601"/>
      <c r="D215" s="1731"/>
      <c r="E215" s="1601"/>
      <c r="F215" s="1601"/>
      <c r="G215" s="1601"/>
      <c r="H215" s="1601"/>
      <c r="I215" s="1601"/>
      <c r="J215" s="1630"/>
      <c r="K215" s="1601"/>
      <c r="L215" s="1312"/>
    </row>
    <row r="216" spans="1:12" s="1312" customFormat="1" hidden="1" x14ac:dyDescent="0.25">
      <c r="B216" s="1669" t="s">
        <v>726</v>
      </c>
      <c r="C216" s="1635" t="s">
        <v>3594</v>
      </c>
      <c r="D216" s="1732"/>
      <c r="E216" s="1601"/>
      <c r="F216" s="1601"/>
      <c r="G216" s="1601"/>
      <c r="H216" s="1601"/>
      <c r="I216" s="1733"/>
      <c r="J216" s="1755"/>
      <c r="K216" s="1601"/>
    </row>
    <row r="217" spans="1:12" s="1729" customFormat="1" hidden="1" x14ac:dyDescent="0.25">
      <c r="A217" s="1312"/>
      <c r="B217" s="1669"/>
      <c r="C217" s="1613" t="s">
        <v>1010</v>
      </c>
      <c r="D217" s="1614" t="s">
        <v>4</v>
      </c>
      <c r="E217" s="1614" t="str">
        <f t="shared" ref="E217:J217" si="37">E$99</f>
        <v xml:space="preserve">2009 </v>
      </c>
      <c r="F217" s="1614" t="str">
        <f t="shared" si="37"/>
        <v>2010  (A)</v>
      </c>
      <c r="G217" s="1614" t="str">
        <f t="shared" si="37"/>
        <v>2011  (A)</v>
      </c>
      <c r="H217" s="1614" t="str">
        <f t="shared" si="37"/>
        <v>2012  (A)</v>
      </c>
      <c r="I217" s="1614" t="str">
        <f t="shared" si="37"/>
        <v>2013  (RE)</v>
      </c>
      <c r="J217" s="1614" t="str">
        <f t="shared" si="37"/>
        <v>2014 (BE)</v>
      </c>
      <c r="K217" s="1601"/>
      <c r="L217" s="1312"/>
    </row>
    <row r="218" spans="1:12" s="1729" customFormat="1" hidden="1" x14ac:dyDescent="0.25">
      <c r="A218" s="1312"/>
      <c r="B218" s="1601"/>
      <c r="C218" s="1637">
        <v>1</v>
      </c>
      <c r="D218" s="1725" t="s">
        <v>58</v>
      </c>
      <c r="E218" s="3848"/>
      <c r="F218" s="3848"/>
      <c r="G218" s="3848"/>
      <c r="H218" s="3848"/>
      <c r="I218" s="5588"/>
      <c r="J218" s="3848"/>
      <c r="K218" s="1601"/>
      <c r="L218" s="1312"/>
    </row>
    <row r="219" spans="1:12" s="1729" customFormat="1" ht="30.75" hidden="1" customHeight="1" x14ac:dyDescent="0.25">
      <c r="A219" s="1312"/>
      <c r="B219" s="1601"/>
      <c r="C219" s="1637">
        <v>2</v>
      </c>
      <c r="D219" s="1745" t="s">
        <v>59</v>
      </c>
      <c r="E219" s="3848"/>
      <c r="F219" s="3848"/>
      <c r="G219" s="3848"/>
      <c r="H219" s="3848"/>
      <c r="I219" s="5588"/>
      <c r="J219" s="3848"/>
      <c r="K219" s="1601"/>
      <c r="L219" s="1312"/>
    </row>
    <row r="220" spans="1:12" s="1729" customFormat="1" hidden="1" x14ac:dyDescent="0.25">
      <c r="A220" s="1312"/>
      <c r="B220" s="1601"/>
      <c r="C220" s="1637">
        <v>3</v>
      </c>
      <c r="D220" s="1725" t="s">
        <v>26</v>
      </c>
      <c r="E220" s="3848"/>
      <c r="F220" s="3848"/>
      <c r="G220" s="3848"/>
      <c r="H220" s="3848"/>
      <c r="I220" s="5588"/>
      <c r="J220" s="3848"/>
      <c r="K220" s="1601"/>
      <c r="L220" s="1312"/>
    </row>
    <row r="221" spans="1:12" s="1729" customFormat="1" hidden="1" x14ac:dyDescent="0.25">
      <c r="A221" s="1312"/>
      <c r="B221" s="1601"/>
      <c r="C221" s="1638"/>
      <c r="D221" s="1746" t="s">
        <v>16</v>
      </c>
      <c r="E221" s="5594">
        <f t="shared" ref="E221:J221" si="38">SUM(E218:E220)</f>
        <v>0</v>
      </c>
      <c r="F221" s="5594">
        <f t="shared" si="38"/>
        <v>0</v>
      </c>
      <c r="G221" s="5594">
        <f t="shared" si="38"/>
        <v>0</v>
      </c>
      <c r="H221" s="5594">
        <f t="shared" si="38"/>
        <v>0</v>
      </c>
      <c r="I221" s="5595">
        <f t="shared" si="38"/>
        <v>0</v>
      </c>
      <c r="J221" s="5594">
        <f t="shared" si="38"/>
        <v>0</v>
      </c>
      <c r="K221" s="1601"/>
      <c r="L221" s="1312"/>
    </row>
    <row r="222" spans="1:12" s="1729" customFormat="1" hidden="1" x14ac:dyDescent="0.25">
      <c r="A222" s="1312"/>
      <c r="B222" s="1601"/>
      <c r="C222" s="1601"/>
      <c r="D222" s="1731"/>
      <c r="E222" s="1601"/>
      <c r="F222" s="1601"/>
      <c r="G222" s="1601"/>
      <c r="H222" s="1601"/>
      <c r="I222" s="1601"/>
      <c r="J222" s="1601"/>
      <c r="K222" s="1601"/>
      <c r="L222" s="1312"/>
    </row>
    <row r="223" spans="1:12" s="1729" customFormat="1" hidden="1" x14ac:dyDescent="0.25">
      <c r="A223" s="1312"/>
      <c r="B223" s="1601"/>
      <c r="C223" s="1601"/>
      <c r="D223" s="1731"/>
      <c r="E223" s="1601"/>
      <c r="F223" s="1601"/>
      <c r="G223" s="1601"/>
      <c r="H223" s="1601"/>
      <c r="I223" s="1601"/>
      <c r="J223" s="1601"/>
      <c r="K223" s="1601"/>
      <c r="L223" s="1312"/>
    </row>
    <row r="224" spans="1:12" s="1317" customFormat="1" ht="21" hidden="1" x14ac:dyDescent="0.25">
      <c r="B224" s="1603" t="s">
        <v>150</v>
      </c>
      <c r="C224" s="1604" t="s">
        <v>1039</v>
      </c>
      <c r="D224" s="1604"/>
      <c r="E224" s="1604"/>
      <c r="F224" s="1604"/>
      <c r="G224" s="1604"/>
      <c r="H224" s="1604"/>
      <c r="I224" s="1604"/>
      <c r="J224" s="1604"/>
      <c r="K224" s="1604"/>
    </row>
    <row r="225" spans="1:12" s="1608" customFormat="1" ht="15.75" hidden="1" x14ac:dyDescent="0.25">
      <c r="B225" s="1609" t="s">
        <v>2</v>
      </c>
      <c r="C225" s="1610" t="s">
        <v>200</v>
      </c>
      <c r="D225" s="1623"/>
      <c r="E225" s="1611"/>
      <c r="F225" s="1611"/>
      <c r="G225" s="1728"/>
      <c r="H225" s="1611"/>
      <c r="I225" s="1611"/>
      <c r="J225" s="1611"/>
      <c r="K225" s="1611"/>
    </row>
    <row r="226" spans="1:12" s="1312" customFormat="1" hidden="1" x14ac:dyDescent="0.25">
      <c r="B226" s="1669" t="s">
        <v>725</v>
      </c>
      <c r="C226" s="1635" t="s">
        <v>201</v>
      </c>
      <c r="D226" s="1732"/>
      <c r="E226" s="1601"/>
      <c r="F226" s="1601"/>
      <c r="G226" s="1601"/>
      <c r="H226" s="1601"/>
      <c r="I226" s="1733"/>
      <c r="J226" s="1601"/>
      <c r="K226" s="1601"/>
    </row>
    <row r="227" spans="1:12" s="1729" customFormat="1" hidden="1" x14ac:dyDescent="0.25">
      <c r="A227" s="1312"/>
      <c r="B227" s="1601"/>
      <c r="C227" s="1613" t="s">
        <v>1010</v>
      </c>
      <c r="D227" s="1614" t="s">
        <v>4</v>
      </c>
      <c r="E227" s="1614" t="str">
        <f t="shared" ref="E227:J227" si="39">E$99</f>
        <v xml:space="preserve">2009 </v>
      </c>
      <c r="F227" s="1614" t="str">
        <f t="shared" si="39"/>
        <v>2010  (A)</v>
      </c>
      <c r="G227" s="1614" t="str">
        <f t="shared" si="39"/>
        <v>2011  (A)</v>
      </c>
      <c r="H227" s="1614" t="str">
        <f t="shared" si="39"/>
        <v>2012  (A)</v>
      </c>
      <c r="I227" s="1614" t="str">
        <f t="shared" si="39"/>
        <v>2013  (RE)</v>
      </c>
      <c r="J227" s="1614" t="str">
        <f t="shared" si="39"/>
        <v>2014 (BE)</v>
      </c>
      <c r="K227" s="1601"/>
      <c r="L227" s="1312"/>
    </row>
    <row r="228" spans="1:12" s="1729" customFormat="1" hidden="1" x14ac:dyDescent="0.25">
      <c r="A228" s="1312"/>
      <c r="B228" s="1601"/>
      <c r="C228" s="1637">
        <v>1</v>
      </c>
      <c r="D228" s="1725" t="s">
        <v>60</v>
      </c>
      <c r="E228" s="3831"/>
      <c r="F228" s="3831"/>
      <c r="G228" s="3831"/>
      <c r="H228" s="3831"/>
      <c r="I228" s="3831"/>
      <c r="J228" s="3831"/>
      <c r="K228" s="1601"/>
      <c r="L228" s="1312"/>
    </row>
    <row r="229" spans="1:12" s="1729" customFormat="1" hidden="1" x14ac:dyDescent="0.25">
      <c r="A229" s="1312"/>
      <c r="B229" s="1601"/>
      <c r="C229" s="1637">
        <v>2</v>
      </c>
      <c r="D229" s="1745" t="s">
        <v>49</v>
      </c>
      <c r="E229" s="3831"/>
      <c r="F229" s="3831"/>
      <c r="G229" s="3831"/>
      <c r="H229" s="3831"/>
      <c r="I229" s="5561"/>
      <c r="J229" s="3831"/>
      <c r="K229" s="1601"/>
      <c r="L229" s="1312"/>
    </row>
    <row r="230" spans="1:12" s="1729" customFormat="1" hidden="1" x14ac:dyDescent="0.25">
      <c r="A230" s="1312"/>
      <c r="B230" s="1601"/>
      <c r="C230" s="1637">
        <v>3</v>
      </c>
      <c r="D230" s="1751" t="s">
        <v>1262</v>
      </c>
      <c r="E230" s="3831"/>
      <c r="F230" s="3831"/>
      <c r="G230" s="3831"/>
      <c r="H230" s="3831"/>
      <c r="I230" s="5561"/>
      <c r="J230" s="3831"/>
      <c r="K230" s="1601"/>
      <c r="L230" s="1312"/>
    </row>
    <row r="231" spans="1:12" s="1729" customFormat="1" hidden="1" x14ac:dyDescent="0.25">
      <c r="A231" s="1312"/>
      <c r="B231" s="1601"/>
      <c r="C231" s="1638"/>
      <c r="D231" s="1746" t="s">
        <v>16</v>
      </c>
      <c r="E231" s="1743">
        <f t="shared" ref="E231:J231" si="40">SUM(E228:E230)</f>
        <v>0</v>
      </c>
      <c r="F231" s="1743">
        <f t="shared" si="40"/>
        <v>0</v>
      </c>
      <c r="G231" s="1743">
        <f t="shared" si="40"/>
        <v>0</v>
      </c>
      <c r="H231" s="1743">
        <f t="shared" si="40"/>
        <v>0</v>
      </c>
      <c r="I231" s="1744">
        <f t="shared" si="40"/>
        <v>0</v>
      </c>
      <c r="J231" s="1743">
        <f t="shared" si="40"/>
        <v>0</v>
      </c>
      <c r="K231" s="1601"/>
      <c r="L231" s="1312"/>
    </row>
    <row r="232" spans="1:12" s="1729" customFormat="1" hidden="1" x14ac:dyDescent="0.25">
      <c r="A232" s="1312"/>
      <c r="B232" s="1601"/>
      <c r="C232" s="1601"/>
      <c r="D232" s="1731"/>
      <c r="E232" s="1601"/>
      <c r="F232" s="1601"/>
      <c r="G232" s="1601"/>
      <c r="H232" s="1601"/>
      <c r="I232" s="1601"/>
      <c r="J232" s="1601"/>
      <c r="K232" s="1601"/>
      <c r="L232" s="1312"/>
    </row>
    <row r="233" spans="1:12" s="1312" customFormat="1" hidden="1" x14ac:dyDescent="0.25">
      <c r="B233" s="1669" t="s">
        <v>726</v>
      </c>
      <c r="C233" s="1635" t="s">
        <v>202</v>
      </c>
      <c r="D233" s="1732"/>
      <c r="E233" s="1601"/>
      <c r="F233" s="1601"/>
      <c r="G233" s="1601"/>
      <c r="H233" s="1601"/>
      <c r="I233" s="1733"/>
      <c r="J233" s="1733"/>
      <c r="K233" s="1601"/>
    </row>
    <row r="234" spans="1:12" s="1729" customFormat="1" hidden="1" x14ac:dyDescent="0.25">
      <c r="A234" s="1312"/>
      <c r="B234" s="1601"/>
      <c r="C234" s="1613" t="s">
        <v>1010</v>
      </c>
      <c r="D234" s="1614" t="s">
        <v>4</v>
      </c>
      <c r="E234" s="1614" t="str">
        <f t="shared" ref="E234:J234" si="41">E$99</f>
        <v xml:space="preserve">2009 </v>
      </c>
      <c r="F234" s="1614" t="str">
        <f t="shared" si="41"/>
        <v>2010  (A)</v>
      </c>
      <c r="G234" s="1614" t="str">
        <f t="shared" si="41"/>
        <v>2011  (A)</v>
      </c>
      <c r="H234" s="1614" t="str">
        <f t="shared" si="41"/>
        <v>2012  (A)</v>
      </c>
      <c r="I234" s="1614" t="str">
        <f t="shared" si="41"/>
        <v>2013  (RE)</v>
      </c>
      <c r="J234" s="1614" t="str">
        <f t="shared" si="41"/>
        <v>2014 (BE)</v>
      </c>
      <c r="K234" s="1601"/>
      <c r="L234" s="1312"/>
    </row>
    <row r="235" spans="1:12" s="1729" customFormat="1" hidden="1" x14ac:dyDescent="0.25">
      <c r="A235" s="1312"/>
      <c r="B235" s="1601"/>
      <c r="C235" s="1637">
        <v>1</v>
      </c>
      <c r="D235" s="1725" t="s">
        <v>1029</v>
      </c>
      <c r="E235" s="3831"/>
      <c r="F235" s="3831"/>
      <c r="G235" s="3831"/>
      <c r="H235" s="3831"/>
      <c r="I235" s="5561"/>
      <c r="J235" s="3831"/>
      <c r="K235" s="1601"/>
      <c r="L235" s="1312"/>
    </row>
    <row r="236" spans="1:12" s="1729" customFormat="1" hidden="1" x14ac:dyDescent="0.25">
      <c r="A236" s="1312"/>
      <c r="B236" s="1601"/>
      <c r="C236" s="1637">
        <v>2</v>
      </c>
      <c r="D236" s="1745" t="s">
        <v>52</v>
      </c>
      <c r="E236" s="3831"/>
      <c r="F236" s="3831"/>
      <c r="G236" s="3831"/>
      <c r="H236" s="3831"/>
      <c r="I236" s="5561"/>
      <c r="J236" s="3831"/>
      <c r="K236" s="1601"/>
      <c r="L236" s="1312"/>
    </row>
    <row r="237" spans="1:12" s="1729" customFormat="1" hidden="1" x14ac:dyDescent="0.25">
      <c r="A237" s="1312"/>
      <c r="B237" s="1601"/>
      <c r="C237" s="1637">
        <v>3</v>
      </c>
      <c r="D237" s="1725" t="s">
        <v>53</v>
      </c>
      <c r="E237" s="3831"/>
      <c r="F237" s="3831"/>
      <c r="G237" s="3831"/>
      <c r="H237" s="3831"/>
      <c r="I237" s="5561"/>
      <c r="J237" s="3831"/>
      <c r="K237" s="1601"/>
      <c r="L237" s="1312"/>
    </row>
    <row r="238" spans="1:12" s="1729" customFormat="1" hidden="1" x14ac:dyDescent="0.25">
      <c r="A238" s="1312"/>
      <c r="B238" s="1601"/>
      <c r="C238" s="1637">
        <v>4</v>
      </c>
      <c r="D238" s="1725" t="s">
        <v>55</v>
      </c>
      <c r="E238" s="3831"/>
      <c r="F238" s="3831"/>
      <c r="G238" s="3831"/>
      <c r="H238" s="3831"/>
      <c r="I238" s="5561"/>
      <c r="J238" s="3831"/>
      <c r="K238" s="1601"/>
      <c r="L238" s="1312"/>
    </row>
    <row r="239" spans="1:12" s="1729" customFormat="1" hidden="1" x14ac:dyDescent="0.25">
      <c r="A239" s="1312"/>
      <c r="B239" s="1601"/>
      <c r="C239" s="1637">
        <v>5</v>
      </c>
      <c r="D239" s="1725" t="s">
        <v>54</v>
      </c>
      <c r="E239" s="3831"/>
      <c r="F239" s="3831"/>
      <c r="G239" s="3831"/>
      <c r="H239" s="3831"/>
      <c r="I239" s="5561"/>
      <c r="J239" s="3831"/>
      <c r="K239" s="1601"/>
      <c r="L239" s="1312"/>
    </row>
    <row r="240" spans="1:12" s="1729" customFormat="1" hidden="1" x14ac:dyDescent="0.25">
      <c r="A240" s="1312"/>
      <c r="B240" s="1601"/>
      <c r="C240" s="1638"/>
      <c r="D240" s="1746" t="s">
        <v>16</v>
      </c>
      <c r="E240" s="1756">
        <f t="shared" ref="E240:J240" si="42">SUM(E235:E239)</f>
        <v>0</v>
      </c>
      <c r="F240" s="1756">
        <f t="shared" si="42"/>
        <v>0</v>
      </c>
      <c r="G240" s="1756">
        <f t="shared" si="42"/>
        <v>0</v>
      </c>
      <c r="H240" s="1756">
        <f t="shared" si="42"/>
        <v>0</v>
      </c>
      <c r="I240" s="1757">
        <f t="shared" si="42"/>
        <v>0</v>
      </c>
      <c r="J240" s="1756">
        <f t="shared" si="42"/>
        <v>0</v>
      </c>
      <c r="K240" s="1601"/>
      <c r="L240" s="1312"/>
    </row>
    <row r="241" spans="1:12" s="1729" customFormat="1" hidden="1" x14ac:dyDescent="0.25">
      <c r="A241" s="1312"/>
      <c r="B241" s="1601"/>
      <c r="C241" s="1601"/>
      <c r="D241" s="1731"/>
      <c r="E241" s="1601"/>
      <c r="F241" s="1601"/>
      <c r="G241" s="1601"/>
      <c r="H241" s="1601"/>
      <c r="I241" s="1601"/>
      <c r="J241" s="1601"/>
      <c r="K241" s="1601"/>
      <c r="L241" s="1312"/>
    </row>
    <row r="242" spans="1:12" s="1608" customFormat="1" ht="15.75" hidden="1" x14ac:dyDescent="0.25">
      <c r="B242" s="1609" t="s">
        <v>8</v>
      </c>
      <c r="C242" s="1610" t="s">
        <v>203</v>
      </c>
      <c r="D242" s="1623"/>
      <c r="E242" s="1611"/>
      <c r="F242" s="1611"/>
      <c r="G242" s="1728"/>
      <c r="H242" s="1611"/>
      <c r="I242" s="1611"/>
      <c r="J242" s="1611"/>
      <c r="K242" s="1611"/>
    </row>
    <row r="243" spans="1:12" s="1312" customFormat="1" hidden="1" x14ac:dyDescent="0.25">
      <c r="B243" s="1669" t="s">
        <v>725</v>
      </c>
      <c r="C243" s="1635" t="s">
        <v>204</v>
      </c>
      <c r="D243" s="1732"/>
      <c r="E243" s="1601"/>
      <c r="F243" s="1601"/>
      <c r="G243" s="1601"/>
      <c r="H243" s="1601"/>
      <c r="I243" s="1733"/>
      <c r="J243" s="1733"/>
      <c r="K243" s="1601"/>
    </row>
    <row r="244" spans="1:12" s="1729" customFormat="1" hidden="1" x14ac:dyDescent="0.25">
      <c r="A244" s="1312"/>
      <c r="B244" s="1601"/>
      <c r="C244" s="1613" t="s">
        <v>1010</v>
      </c>
      <c r="D244" s="1614" t="s">
        <v>4</v>
      </c>
      <c r="E244" s="1614" t="str">
        <f t="shared" ref="E244:J244" si="43">E$99</f>
        <v xml:space="preserve">2009 </v>
      </c>
      <c r="F244" s="1614" t="str">
        <f t="shared" si="43"/>
        <v>2010  (A)</v>
      </c>
      <c r="G244" s="1614" t="str">
        <f t="shared" si="43"/>
        <v>2011  (A)</v>
      </c>
      <c r="H244" s="1614" t="str">
        <f t="shared" si="43"/>
        <v>2012  (A)</v>
      </c>
      <c r="I244" s="1614" t="str">
        <f t="shared" si="43"/>
        <v>2013  (RE)</v>
      </c>
      <c r="J244" s="1614" t="str">
        <f t="shared" si="43"/>
        <v>2014 (BE)</v>
      </c>
      <c r="K244" s="1601"/>
      <c r="L244" s="1312"/>
    </row>
    <row r="245" spans="1:12" s="1729" customFormat="1" hidden="1" x14ac:dyDescent="0.25">
      <c r="A245" s="1312"/>
      <c r="B245" s="1601"/>
      <c r="C245" s="1637">
        <v>1</v>
      </c>
      <c r="D245" s="1725" t="s">
        <v>56</v>
      </c>
      <c r="E245" s="3831"/>
      <c r="F245" s="3831"/>
      <c r="G245" s="3831"/>
      <c r="H245" s="3831"/>
      <c r="I245" s="3831"/>
      <c r="J245" s="3831"/>
      <c r="K245" s="1601"/>
      <c r="L245" s="1312"/>
    </row>
    <row r="246" spans="1:12" s="1729" customFormat="1" hidden="1" x14ac:dyDescent="0.25">
      <c r="A246" s="1312"/>
      <c r="B246" s="1601"/>
      <c r="C246" s="1637">
        <v>2</v>
      </c>
      <c r="D246" s="1745" t="s">
        <v>57</v>
      </c>
      <c r="E246" s="3831"/>
      <c r="F246" s="3831"/>
      <c r="G246" s="3831"/>
      <c r="H246" s="3831"/>
      <c r="I246" s="3831"/>
      <c r="J246" s="3831"/>
      <c r="K246" s="1601"/>
      <c r="L246" s="1312"/>
    </row>
    <row r="247" spans="1:12" s="1729" customFormat="1" hidden="1" x14ac:dyDescent="0.25">
      <c r="A247" s="1312"/>
      <c r="B247" s="1601"/>
      <c r="C247" s="1637">
        <v>3</v>
      </c>
      <c r="D247" s="1725" t="s">
        <v>48</v>
      </c>
      <c r="E247" s="3831"/>
      <c r="F247" s="3831"/>
      <c r="G247" s="3831"/>
      <c r="H247" s="3831"/>
      <c r="I247" s="3831"/>
      <c r="J247" s="3831"/>
      <c r="K247" s="1601"/>
      <c r="L247" s="1312"/>
    </row>
    <row r="248" spans="1:12" s="1729" customFormat="1" hidden="1" x14ac:dyDescent="0.25">
      <c r="A248" s="1312"/>
      <c r="B248" s="1601"/>
      <c r="C248" s="1637">
        <v>4</v>
      </c>
      <c r="D248" s="1725" t="s">
        <v>26</v>
      </c>
      <c r="E248" s="3831"/>
      <c r="F248" s="3831"/>
      <c r="G248" s="3831"/>
      <c r="H248" s="3831"/>
      <c r="I248" s="3831"/>
      <c r="J248" s="3831"/>
      <c r="K248" s="1601"/>
      <c r="L248" s="1312"/>
    </row>
    <row r="249" spans="1:12" s="1729" customFormat="1" hidden="1" x14ac:dyDescent="0.25">
      <c r="A249" s="1312"/>
      <c r="B249" s="1601"/>
      <c r="C249" s="1638"/>
      <c r="D249" s="1746" t="s">
        <v>16</v>
      </c>
      <c r="E249" s="1743">
        <f t="shared" ref="E249:J249" si="44">SUM(E245:E248)</f>
        <v>0</v>
      </c>
      <c r="F249" s="1743">
        <f t="shared" si="44"/>
        <v>0</v>
      </c>
      <c r="G249" s="1743">
        <f t="shared" si="44"/>
        <v>0</v>
      </c>
      <c r="H249" s="1743">
        <f t="shared" si="44"/>
        <v>0</v>
      </c>
      <c r="I249" s="1744">
        <f t="shared" si="44"/>
        <v>0</v>
      </c>
      <c r="J249" s="1743">
        <f t="shared" si="44"/>
        <v>0</v>
      </c>
      <c r="K249" s="1601"/>
      <c r="L249" s="1312"/>
    </row>
    <row r="250" spans="1:12" s="1729" customFormat="1" hidden="1" x14ac:dyDescent="0.25">
      <c r="A250" s="1312"/>
      <c r="B250" s="1601"/>
      <c r="C250" s="1601"/>
      <c r="D250" s="1731"/>
      <c r="E250" s="1601"/>
      <c r="F250" s="1601"/>
      <c r="G250" s="1601"/>
      <c r="H250" s="1601"/>
      <c r="I250" s="1601"/>
      <c r="J250" s="1601"/>
      <c r="K250" s="1601"/>
      <c r="L250" s="1312"/>
    </row>
    <row r="251" spans="1:12" s="1312" customFormat="1" hidden="1" x14ac:dyDescent="0.25">
      <c r="B251" s="1669" t="s">
        <v>726</v>
      </c>
      <c r="C251" s="1635" t="s">
        <v>205</v>
      </c>
      <c r="D251" s="1732"/>
      <c r="E251" s="1601"/>
      <c r="F251" s="1601"/>
      <c r="G251" s="1601"/>
      <c r="H251" s="1601"/>
      <c r="I251" s="1733"/>
      <c r="J251" s="1733"/>
      <c r="K251" s="1601"/>
    </row>
    <row r="252" spans="1:12" s="1729" customFormat="1" hidden="1" x14ac:dyDescent="0.25">
      <c r="A252" s="1312"/>
      <c r="B252" s="1601"/>
      <c r="C252" s="1613" t="s">
        <v>1010</v>
      </c>
      <c r="D252" s="1614" t="s">
        <v>4</v>
      </c>
      <c r="E252" s="1614" t="str">
        <f t="shared" ref="E252:J252" si="45">E$99</f>
        <v xml:space="preserve">2009 </v>
      </c>
      <c r="F252" s="1614" t="str">
        <f t="shared" si="45"/>
        <v>2010  (A)</v>
      </c>
      <c r="G252" s="1614" t="str">
        <f t="shared" si="45"/>
        <v>2011  (A)</v>
      </c>
      <c r="H252" s="1614" t="str">
        <f t="shared" si="45"/>
        <v>2012  (A)</v>
      </c>
      <c r="I252" s="1614" t="str">
        <f t="shared" si="45"/>
        <v>2013  (RE)</v>
      </c>
      <c r="J252" s="1614" t="str">
        <f t="shared" si="45"/>
        <v>2014 (BE)</v>
      </c>
      <c r="K252" s="1601"/>
      <c r="L252" s="1312"/>
    </row>
    <row r="253" spans="1:12" s="1729" customFormat="1" hidden="1" x14ac:dyDescent="0.25">
      <c r="A253" s="1312"/>
      <c r="B253" s="1601"/>
      <c r="C253" s="1637">
        <v>1</v>
      </c>
      <c r="D253" s="1725" t="s">
        <v>58</v>
      </c>
      <c r="E253" s="3831"/>
      <c r="F253" s="3831"/>
      <c r="G253" s="3831"/>
      <c r="H253" s="3831"/>
      <c r="I253" s="5561"/>
      <c r="J253" s="3831"/>
      <c r="K253" s="1601"/>
      <c r="L253" s="1312"/>
    </row>
    <row r="254" spans="1:12" s="1729" customFormat="1" ht="30" hidden="1" customHeight="1" x14ac:dyDescent="0.25">
      <c r="A254" s="1312"/>
      <c r="B254" s="1601"/>
      <c r="C254" s="1637">
        <v>2</v>
      </c>
      <c r="D254" s="1745" t="s">
        <v>59</v>
      </c>
      <c r="E254" s="3831"/>
      <c r="F254" s="3848"/>
      <c r="G254" s="3831"/>
      <c r="H254" s="3831"/>
      <c r="I254" s="5561"/>
      <c r="J254" s="3831"/>
      <c r="K254" s="1601"/>
      <c r="L254" s="1312"/>
    </row>
    <row r="255" spans="1:12" s="1729" customFormat="1" hidden="1" x14ac:dyDescent="0.25">
      <c r="A255" s="1312"/>
      <c r="B255" s="1601"/>
      <c r="C255" s="1637">
        <v>3</v>
      </c>
      <c r="D255" s="1725" t="s">
        <v>26</v>
      </c>
      <c r="E255" s="3831"/>
      <c r="F255" s="3831"/>
      <c r="G255" s="3831"/>
      <c r="H255" s="3831"/>
      <c r="I255" s="5561"/>
      <c r="J255" s="3831"/>
      <c r="K255" s="1601"/>
      <c r="L255" s="1312"/>
    </row>
    <row r="256" spans="1:12" s="1729" customFormat="1" hidden="1" x14ac:dyDescent="0.25">
      <c r="A256" s="1312"/>
      <c r="B256" s="1601"/>
      <c r="C256" s="1638"/>
      <c r="D256" s="1746" t="s">
        <v>16</v>
      </c>
      <c r="E256" s="1756">
        <f t="shared" ref="E256:J256" si="46">SUM(E253:E255)</f>
        <v>0</v>
      </c>
      <c r="F256" s="1756">
        <f t="shared" si="46"/>
        <v>0</v>
      </c>
      <c r="G256" s="1756">
        <f t="shared" si="46"/>
        <v>0</v>
      </c>
      <c r="H256" s="1756">
        <f t="shared" si="46"/>
        <v>0</v>
      </c>
      <c r="I256" s="1757">
        <f t="shared" si="46"/>
        <v>0</v>
      </c>
      <c r="J256" s="1756">
        <f t="shared" si="46"/>
        <v>0</v>
      </c>
      <c r="K256" s="1601"/>
      <c r="L256" s="1312"/>
    </row>
    <row r="257" spans="1:12" s="1729" customFormat="1" hidden="1" x14ac:dyDescent="0.25">
      <c r="A257" s="1312"/>
      <c r="B257" s="1601"/>
      <c r="C257" s="1601"/>
      <c r="D257" s="1731"/>
      <c r="E257" s="1601"/>
      <c r="F257" s="1601"/>
      <c r="G257" s="1601"/>
      <c r="H257" s="1601"/>
      <c r="I257" s="1601"/>
      <c r="J257" s="1601"/>
      <c r="K257" s="1601"/>
      <c r="L257" s="1312"/>
    </row>
    <row r="258" spans="1:12" x14ac:dyDescent="0.25">
      <c r="L258" s="1312"/>
    </row>
    <row r="259" spans="1:12" x14ac:dyDescent="0.25">
      <c r="L259" s="1312"/>
    </row>
  </sheetData>
  <sheetProtection password="DBDC" sheet="1" objects="1" scenarios="1"/>
  <mergeCells count="16">
    <mergeCell ref="I75:J75"/>
    <mergeCell ref="E75:F75"/>
    <mergeCell ref="C15:D15"/>
    <mergeCell ref="C16:D16"/>
    <mergeCell ref="C13:D13"/>
    <mergeCell ref="G19:J22"/>
    <mergeCell ref="C75:C76"/>
    <mergeCell ref="D75:D76"/>
    <mergeCell ref="G75:H75"/>
    <mergeCell ref="C14:D14"/>
    <mergeCell ref="C6:J6"/>
    <mergeCell ref="C2:H2"/>
    <mergeCell ref="C8:K8"/>
    <mergeCell ref="C4:J4"/>
    <mergeCell ref="B10:C10"/>
    <mergeCell ref="D10:J10"/>
  </mergeCells>
  <conditionalFormatting sqref="E199:J204">
    <cfRule type="expression" dxfId="365" priority="12">
      <formula>#REF!="1. As an independednt department"</formula>
    </cfRule>
  </conditionalFormatting>
  <conditionalFormatting sqref="E190:J194">
    <cfRule type="expression" dxfId="364" priority="13">
      <formula>#REF!="1. As an independednt department"</formula>
    </cfRule>
  </conditionalFormatting>
  <conditionalFormatting sqref="E210:J213">
    <cfRule type="expression" dxfId="363" priority="11">
      <formula>#REF!="1. As an independednt department"</formula>
    </cfRule>
  </conditionalFormatting>
  <conditionalFormatting sqref="E218:J220">
    <cfRule type="expression" dxfId="362" priority="10">
      <formula>#REF!="1. As an independednt department"</formula>
    </cfRule>
  </conditionalFormatting>
  <conditionalFormatting sqref="E15:J15 E33:J33 E35:J36 E41:J42 E45:J45 E47:J48 E56:J56 E63:J64 E67:J67 E69:J70 E27:J30 E52:J53 E58:J59">
    <cfRule type="expression" dxfId="361" priority="449">
      <formula>E$14=FALSE</formula>
    </cfRule>
  </conditionalFormatting>
  <conditionalFormatting sqref="E78:J82 E85:J89">
    <cfRule type="expression" dxfId="360" priority="461">
      <formula>$H$14=FALSE</formula>
    </cfRule>
  </conditionalFormatting>
  <dataValidations count="1">
    <dataValidation type="list" allowBlank="1" showInputMessage="1" showErrorMessage="1" sqref="E15:J15">
      <formula1>"Actuals, Revised estimates, Budget estimates"</formula1>
    </dataValidation>
  </dataValidations>
  <hyperlinks>
    <hyperlink ref="F9" location="'Finance info'!C117" display="FSM and Wastewater"/>
    <hyperlink ref="J9" location="'Finance info'!C190" display="Taxes/Fees"/>
    <hyperlink ref="D9" location="'Finance info'!C26" display="Municipal Finance"/>
    <hyperlink ref="G9" location="'Finance info'!C50" display="FSM and WW"/>
    <hyperlink ref="E9" location="'Finance info'!D39" display="Water Supply"/>
    <hyperlink ref="H9:I9" location="'Finance info'!D61" display="SWM"/>
  </hyperlinks>
  <printOptions horizontalCentered="1"/>
  <pageMargins left="0.196850393700787" right="0.118110236220472" top="0.118110236220472" bottom="0.118110236220472" header="0.118110236220472" footer="0.118110236220472"/>
  <pageSetup paperSize="9" scale="62" fitToHeight="0" orientation="portrait" verticalDpi="300" r:id="rId1"/>
  <rowBreaks count="2" manualBreakCount="2">
    <brk id="138" min="1" max="10" man="1"/>
    <brk id="222" min="1" max="10" man="1"/>
  </rowBreaks>
  <colBreaks count="1" manualBreakCount="1">
    <brk id="23" max="1048575" man="1"/>
  </colBreaks>
  <ignoredErrors>
    <ignoredError sqref="E31:J31"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Print_Sheet" altText="Print this page">
                <anchor moveWithCells="1" sizeWithCells="1">
                  <from>
                    <xdr:col>9</xdr:col>
                    <xdr:colOff>95250</xdr:colOff>
                    <xdr:row>4</xdr:row>
                    <xdr:rowOff>57150</xdr:rowOff>
                  </from>
                  <to>
                    <xdr:col>10</xdr:col>
                    <xdr:colOff>0</xdr:colOff>
                    <xdr:row>6</xdr:row>
                    <xdr:rowOff>0</xdr:rowOff>
                  </to>
                </anchor>
              </controlPr>
            </control>
          </mc:Choice>
        </mc:AlternateContent>
        <mc:AlternateContent xmlns:mc="http://schemas.openxmlformats.org/markup-compatibility/2006">
          <mc:Choice Requires="x14">
            <control shapeId="5122" r:id="rId5" name="Button 2">
              <controlPr defaultSize="0" print="0" autoFill="0" autoPict="0" macro="[0]!ResetInputCells" altText="Print this page">
                <anchor moveWithCells="1" sizeWithCells="1">
                  <from>
                    <xdr:col>8</xdr:col>
                    <xdr:colOff>133350</xdr:colOff>
                    <xdr:row>4</xdr:row>
                    <xdr:rowOff>57150</xdr:rowOff>
                  </from>
                  <to>
                    <xdr:col>8</xdr:col>
                    <xdr:colOff>1019175</xdr:colOff>
                    <xdr:row>5</xdr:row>
                    <xdr:rowOff>238125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4</xdr:col>
                    <xdr:colOff>400050</xdr:colOff>
                    <xdr:row>13</xdr:row>
                    <xdr:rowOff>28575</xdr:rowOff>
                  </from>
                  <to>
                    <xdr:col>4</xdr:col>
                    <xdr:colOff>638175</xdr:colOff>
                    <xdr:row>13</xdr:row>
                    <xdr:rowOff>180975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5</xdr:col>
                    <xdr:colOff>409575</xdr:colOff>
                    <xdr:row>13</xdr:row>
                    <xdr:rowOff>28575</xdr:rowOff>
                  </from>
                  <to>
                    <xdr:col>5</xdr:col>
                    <xdr:colOff>638175</xdr:colOff>
                    <xdr:row>13</xdr:row>
                    <xdr:rowOff>180975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6</xdr:col>
                    <xdr:colOff>400050</xdr:colOff>
                    <xdr:row>13</xdr:row>
                    <xdr:rowOff>28575</xdr:rowOff>
                  </from>
                  <to>
                    <xdr:col>6</xdr:col>
                    <xdr:colOff>638175</xdr:colOff>
                    <xdr:row>13</xdr:row>
                    <xdr:rowOff>180975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7</xdr:col>
                    <xdr:colOff>409575</xdr:colOff>
                    <xdr:row>13</xdr:row>
                    <xdr:rowOff>28575</xdr:rowOff>
                  </from>
                  <to>
                    <xdr:col>7</xdr:col>
                    <xdr:colOff>638175</xdr:colOff>
                    <xdr:row>13</xdr:row>
                    <xdr:rowOff>180975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8</xdr:col>
                    <xdr:colOff>447675</xdr:colOff>
                    <xdr:row>13</xdr:row>
                    <xdr:rowOff>28575</xdr:rowOff>
                  </from>
                  <to>
                    <xdr:col>8</xdr:col>
                    <xdr:colOff>685800</xdr:colOff>
                    <xdr:row>13</xdr:row>
                    <xdr:rowOff>180975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9</xdr:col>
                    <xdr:colOff>428625</xdr:colOff>
                    <xdr:row>13</xdr:row>
                    <xdr:rowOff>28575</xdr:rowOff>
                  </from>
                  <to>
                    <xdr:col>9</xdr:col>
                    <xdr:colOff>666750</xdr:colOff>
                    <xdr:row>13</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70C0"/>
    <pageSetUpPr fitToPage="1"/>
  </sheetPr>
  <dimension ref="A1:AC236"/>
  <sheetViews>
    <sheetView zoomScale="60" zoomScaleNormal="60" workbookViewId="0">
      <selection activeCell="I15" sqref="I15"/>
    </sheetView>
  </sheetViews>
  <sheetFormatPr defaultRowHeight="15" x14ac:dyDescent="0.25"/>
  <cols>
    <col min="1" max="1" width="6.140625" style="918" customWidth="1"/>
    <col min="2" max="2" width="6.5703125" customWidth="1"/>
    <col min="3" max="3" width="57.5703125" style="7" customWidth="1"/>
    <col min="4" max="4" width="51" hidden="1" customWidth="1"/>
    <col min="5" max="12" width="11.5703125" customWidth="1"/>
    <col min="13" max="13" width="6.5703125" customWidth="1"/>
    <col min="14" max="27" width="9.140625" style="918"/>
  </cols>
  <sheetData>
    <row r="1" spans="1:29" s="1311" customFormat="1" ht="6" customHeight="1" x14ac:dyDescent="0.25">
      <c r="J1" s="1312"/>
      <c r="U1" s="3735"/>
      <c r="V1" s="3735"/>
      <c r="W1" s="3735"/>
      <c r="X1" s="3735"/>
      <c r="Y1" s="3735"/>
      <c r="Z1" s="3735"/>
      <c r="AA1" s="3735"/>
      <c r="AB1" s="3735"/>
    </row>
    <row r="2" spans="1:29" s="1311" customFormat="1" ht="49.5" customHeight="1" x14ac:dyDescent="0.5">
      <c r="B2" s="1313"/>
      <c r="C2" s="5664" t="s">
        <v>2088</v>
      </c>
      <c r="D2" s="5663"/>
      <c r="E2" s="5663"/>
      <c r="F2" s="5663"/>
      <c r="G2" s="5663"/>
      <c r="H2" s="5663"/>
      <c r="I2" s="5663"/>
      <c r="J2" s="5663"/>
      <c r="K2" s="5663"/>
      <c r="L2" s="1763"/>
      <c r="M2" s="1315"/>
      <c r="U2" s="3735"/>
      <c r="V2" s="3735"/>
      <c r="W2" s="3735"/>
      <c r="X2" s="3735"/>
      <c r="Y2" s="3735"/>
      <c r="Z2" s="3735"/>
      <c r="AA2" s="3735"/>
      <c r="AB2" s="3735"/>
    </row>
    <row r="3" spans="1:29" s="1311" customFormat="1" ht="9" customHeight="1" x14ac:dyDescent="0.25">
      <c r="B3" s="1318"/>
      <c r="C3" s="1322"/>
      <c r="D3" s="1322"/>
      <c r="E3" s="1322"/>
      <c r="F3" s="1322"/>
      <c r="G3" s="1322"/>
      <c r="H3" s="1322"/>
      <c r="I3" s="1320"/>
      <c r="J3" s="1320"/>
      <c r="K3" s="1320"/>
      <c r="L3" s="1320"/>
      <c r="M3" s="1321"/>
      <c r="U3" s="3735"/>
      <c r="V3" s="3735"/>
      <c r="W3" s="3735"/>
      <c r="X3" s="3735"/>
      <c r="Y3" s="3735"/>
      <c r="Z3" s="3735"/>
      <c r="AA3" s="3735"/>
      <c r="AB3" s="3735"/>
    </row>
    <row r="4" spans="1:29" s="1311" customFormat="1" ht="23.25" x14ac:dyDescent="0.25">
      <c r="B4" s="1318"/>
      <c r="C4" s="6326" t="s">
        <v>3738</v>
      </c>
      <c r="D4" s="6326"/>
      <c r="E4" s="6326"/>
      <c r="F4" s="6326"/>
      <c r="G4" s="6326"/>
      <c r="H4" s="6326"/>
      <c r="I4" s="6326"/>
      <c r="J4" s="6326"/>
      <c r="K4" s="6326"/>
      <c r="L4" s="6326"/>
      <c r="M4" s="1321"/>
      <c r="U4" s="3735"/>
      <c r="V4" s="3735"/>
      <c r="W4" s="3735"/>
      <c r="X4" s="3735"/>
      <c r="Y4" s="3735"/>
      <c r="Z4" s="3735"/>
      <c r="AA4" s="3735"/>
      <c r="AB4" s="3735"/>
      <c r="AC4" s="1328"/>
    </row>
    <row r="5" spans="1:29" s="1311" customFormat="1" ht="9" customHeight="1" x14ac:dyDescent="0.25">
      <c r="B5" s="1318"/>
      <c r="C5" s="1322"/>
      <c r="D5" s="1322"/>
      <c r="E5" s="1322"/>
      <c r="F5" s="1322"/>
      <c r="G5" s="1322"/>
      <c r="H5" s="1322"/>
      <c r="I5" s="1320"/>
      <c r="J5" s="1320"/>
      <c r="K5" s="1320"/>
      <c r="L5" s="1320"/>
      <c r="M5" s="1321"/>
      <c r="U5" s="3735"/>
      <c r="V5" s="3735"/>
      <c r="W5" s="3735"/>
      <c r="X5" s="3735"/>
      <c r="Y5" s="3735"/>
      <c r="Z5" s="3735"/>
      <c r="AA5" s="3735"/>
      <c r="AB5" s="3735"/>
      <c r="AC5" s="1328"/>
    </row>
    <row r="6" spans="1:29" s="1324" customFormat="1" ht="19.5" customHeight="1" x14ac:dyDescent="0.25">
      <c r="B6" s="802"/>
      <c r="C6" s="6232" t="s">
        <v>1948</v>
      </c>
      <c r="D6" s="6232"/>
      <c r="E6" s="6232"/>
      <c r="F6" s="6232"/>
      <c r="G6" s="6232"/>
      <c r="H6" s="6232"/>
      <c r="I6" s="6232"/>
      <c r="J6" s="6232"/>
      <c r="K6" s="6232"/>
      <c r="L6" s="6232"/>
      <c r="M6" s="1326"/>
      <c r="N6" s="1311"/>
      <c r="O6" s="5668"/>
      <c r="P6" s="5668"/>
      <c r="Q6" s="5668"/>
      <c r="U6" s="1327"/>
      <c r="V6" s="1327"/>
      <c r="W6" s="1327"/>
      <c r="X6" s="1327"/>
      <c r="Y6" s="1327"/>
      <c r="Z6" s="1327"/>
      <c r="AA6" s="1327"/>
      <c r="AB6" s="1327"/>
      <c r="AC6" s="1328"/>
    </row>
    <row r="7" spans="1:29" s="1324" customFormat="1" ht="8.25" customHeight="1" x14ac:dyDescent="0.25">
      <c r="B7" s="5911"/>
      <c r="C7" s="5909"/>
      <c r="D7" s="5910"/>
      <c r="E7" s="5910"/>
      <c r="F7" s="5910"/>
      <c r="G7" s="5910"/>
      <c r="H7" s="5910"/>
      <c r="I7" s="1325"/>
      <c r="J7" s="1325"/>
      <c r="K7" s="1325"/>
      <c r="L7" s="1325"/>
      <c r="M7" s="1326"/>
      <c r="N7" s="1311"/>
      <c r="O7" s="5668"/>
      <c r="P7" s="5668"/>
      <c r="Q7" s="5668"/>
      <c r="U7" s="1327"/>
      <c r="V7" s="1327"/>
      <c r="W7" s="1327"/>
      <c r="X7" s="1327"/>
      <c r="Y7" s="1327"/>
      <c r="Z7" s="1327"/>
      <c r="AA7" s="1327"/>
      <c r="AB7" s="1327"/>
      <c r="AC7" s="1328"/>
    </row>
    <row r="8" spans="1:29" s="1328" customFormat="1" ht="31.5" customHeight="1" x14ac:dyDescent="0.25">
      <c r="B8" s="1329"/>
      <c r="C8" s="6302" t="s">
        <v>3446</v>
      </c>
      <c r="D8" s="6302"/>
      <c r="E8" s="6302"/>
      <c r="F8" s="6302"/>
      <c r="G8" s="6302"/>
      <c r="H8" s="6302"/>
      <c r="I8" s="6302"/>
      <c r="J8" s="6302"/>
      <c r="K8" s="6302"/>
      <c r="L8" s="6302"/>
      <c r="M8" s="5949"/>
      <c r="N8" s="1311"/>
      <c r="O8" s="5668"/>
      <c r="P8" s="5668"/>
      <c r="Q8" s="5668"/>
      <c r="R8" s="1324"/>
      <c r="S8" s="5665"/>
      <c r="T8" s="5665"/>
      <c r="U8" s="5665"/>
      <c r="V8" s="5665"/>
      <c r="W8" s="5665"/>
      <c r="X8" s="5665"/>
      <c r="Y8" s="3736"/>
      <c r="Z8" s="3736"/>
      <c r="AA8" s="3736"/>
      <c r="AB8" s="3736"/>
    </row>
    <row r="9" spans="1:29" s="3736" customFormat="1" ht="25.5" customHeight="1" x14ac:dyDescent="0.25">
      <c r="A9" s="5472" t="s">
        <v>184</v>
      </c>
      <c r="B9" s="5950"/>
      <c r="C9" s="6333" t="s">
        <v>0</v>
      </c>
      <c r="D9" s="6333"/>
      <c r="E9" s="6332" t="s">
        <v>3727</v>
      </c>
      <c r="F9" s="6332"/>
      <c r="G9" s="6334" t="s">
        <v>3730</v>
      </c>
      <c r="H9" s="6334"/>
      <c r="I9" s="6334"/>
      <c r="J9" s="5948"/>
      <c r="K9" s="6332" t="s">
        <v>3720</v>
      </c>
      <c r="L9" s="6332"/>
      <c r="M9" s="5951"/>
      <c r="N9" s="3735"/>
      <c r="O9" s="5668"/>
      <c r="P9" s="5668"/>
      <c r="Q9" s="5668"/>
      <c r="R9" s="1324"/>
    </row>
    <row r="10" spans="1:29" s="1328" customFormat="1" ht="25.5" customHeight="1" x14ac:dyDescent="0.25">
      <c r="B10" s="6130"/>
      <c r="C10" s="6327" t="s">
        <v>3466</v>
      </c>
      <c r="D10" s="6327"/>
      <c r="E10" s="6327"/>
      <c r="F10" s="6327"/>
      <c r="G10" s="6327"/>
      <c r="H10" s="6327"/>
      <c r="I10" s="6327"/>
      <c r="J10" s="6327"/>
      <c r="K10" s="6327"/>
      <c r="L10" s="6327"/>
      <c r="M10" s="6131"/>
      <c r="N10" s="1311"/>
      <c r="O10" s="5668"/>
      <c r="P10" s="5668"/>
      <c r="Q10" s="5668"/>
      <c r="R10" s="1324"/>
      <c r="S10" s="5665"/>
      <c r="T10" s="5665"/>
      <c r="U10" s="5665"/>
      <c r="V10" s="5665"/>
      <c r="W10" s="5665"/>
      <c r="X10" s="5665"/>
      <c r="Y10" s="3736"/>
      <c r="Z10" s="3736"/>
      <c r="AA10" s="3736"/>
      <c r="AB10" s="3736"/>
    </row>
    <row r="11" spans="1:29" ht="45" customHeight="1" x14ac:dyDescent="0.25">
      <c r="A11" s="1316"/>
      <c r="B11" s="1855"/>
      <c r="C11" s="6325" t="s">
        <v>3479</v>
      </c>
      <c r="D11" s="6325"/>
      <c r="E11" s="6325"/>
      <c r="F11" s="6325"/>
      <c r="G11" s="6325"/>
      <c r="H11" s="6325"/>
      <c r="I11" s="6325"/>
      <c r="J11" s="6325"/>
      <c r="K11" s="6325"/>
      <c r="L11" s="6325"/>
      <c r="M11" s="739"/>
      <c r="N11" s="1311"/>
      <c r="O11" s="5667"/>
      <c r="P11" s="5668"/>
      <c r="Q11" s="5666"/>
      <c r="R11" s="5666"/>
      <c r="S11" s="5666" t="s">
        <v>824</v>
      </c>
      <c r="T11" s="5666" t="s">
        <v>70</v>
      </c>
      <c r="U11" s="5666" t="s">
        <v>825</v>
      </c>
      <c r="V11" s="5666">
        <v>135</v>
      </c>
      <c r="W11" s="5666">
        <v>100</v>
      </c>
      <c r="X11" s="5666"/>
    </row>
    <row r="12" spans="1:29" ht="18.75" customHeight="1" x14ac:dyDescent="0.25">
      <c r="A12" s="1316"/>
      <c r="B12" s="5675"/>
      <c r="C12" s="5677"/>
      <c r="D12" s="5677"/>
      <c r="E12" s="5677"/>
      <c r="F12" s="5677"/>
      <c r="G12" s="5677"/>
      <c r="H12" s="5678"/>
      <c r="I12" s="5678"/>
      <c r="J12" s="5678"/>
      <c r="K12" s="5678"/>
      <c r="L12" s="5678"/>
      <c r="M12" s="5676"/>
      <c r="N12" s="1311"/>
      <c r="O12" s="5667"/>
      <c r="P12" s="5668"/>
      <c r="Q12" s="5666"/>
      <c r="R12" s="5666"/>
      <c r="S12" s="5666"/>
      <c r="T12" s="5666"/>
      <c r="U12" s="5666"/>
      <c r="V12" s="5666"/>
      <c r="W12" s="5666"/>
      <c r="X12" s="5666"/>
    </row>
    <row r="13" spans="1:29" ht="30" x14ac:dyDescent="0.25">
      <c r="A13" s="5669">
        <v>1</v>
      </c>
      <c r="B13" s="5912">
        <v>1</v>
      </c>
      <c r="C13" s="5947" t="s">
        <v>3707</v>
      </c>
      <c r="D13" s="5659" t="s">
        <v>3417</v>
      </c>
      <c r="E13" s="5944" t="s">
        <v>582</v>
      </c>
      <c r="F13" s="5944" t="s">
        <v>33</v>
      </c>
      <c r="G13" s="5944" t="s">
        <v>3705</v>
      </c>
      <c r="H13" s="5944" t="s">
        <v>3706</v>
      </c>
      <c r="I13" s="5945" t="s">
        <v>3426</v>
      </c>
      <c r="J13" s="5945" t="s">
        <v>3427</v>
      </c>
      <c r="K13" s="5945" t="s">
        <v>3716</v>
      </c>
      <c r="L13" s="5946" t="s">
        <v>3717</v>
      </c>
      <c r="M13" s="5674"/>
      <c r="P13" s="1324"/>
    </row>
    <row r="14" spans="1:29" ht="21" x14ac:dyDescent="0.25">
      <c r="A14" s="5670">
        <v>2</v>
      </c>
      <c r="B14" s="5913">
        <v>2</v>
      </c>
      <c r="C14" s="5961" t="s">
        <v>795</v>
      </c>
      <c r="D14" s="5954"/>
      <c r="E14" s="5955"/>
      <c r="F14" s="5955"/>
      <c r="G14" s="5956"/>
      <c r="H14" s="5956"/>
      <c r="I14" s="5956"/>
      <c r="J14" s="5956"/>
      <c r="K14" s="5956"/>
      <c r="L14" s="5957"/>
      <c r="M14" s="5938" t="s">
        <v>3718</v>
      </c>
      <c r="P14" s="1324"/>
    </row>
    <row r="15" spans="1:29" ht="18.75" customHeight="1" x14ac:dyDescent="0.25">
      <c r="A15" s="5671">
        <v>3</v>
      </c>
      <c r="B15" s="5914">
        <v>3</v>
      </c>
      <c r="C15" s="6140" t="s">
        <v>796</v>
      </c>
      <c r="D15" s="5942" t="s">
        <v>1478</v>
      </c>
      <c r="E15" s="5941">
        <v>100</v>
      </c>
      <c r="F15" s="5940" t="s">
        <v>18</v>
      </c>
      <c r="G15" s="6070">
        <v>100</v>
      </c>
      <c r="H15" s="6070">
        <v>75</v>
      </c>
      <c r="I15" s="6070">
        <v>68</v>
      </c>
      <c r="J15" s="6070">
        <v>74</v>
      </c>
      <c r="K15" s="6070">
        <v>72</v>
      </c>
      <c r="L15" s="6071">
        <v>73</v>
      </c>
      <c r="M15" s="5939">
        <f>E15</f>
        <v>100</v>
      </c>
      <c r="P15" s="1324"/>
    </row>
    <row r="16" spans="1:29" ht="18.75" customHeight="1" x14ac:dyDescent="0.25">
      <c r="A16" s="5671"/>
      <c r="B16" s="5912">
        <v>4</v>
      </c>
      <c r="C16" s="6328" t="s">
        <v>2057</v>
      </c>
      <c r="D16" s="6329"/>
      <c r="E16" s="6329"/>
      <c r="F16" s="6329"/>
      <c r="G16" s="6329"/>
      <c r="H16" s="6329"/>
      <c r="I16" s="6329"/>
      <c r="J16" s="6329"/>
      <c r="K16" s="6329"/>
      <c r="L16" s="6330"/>
      <c r="M16" s="5939"/>
      <c r="P16" s="1324"/>
    </row>
    <row r="17" spans="1:16" ht="18.75" customHeight="1" x14ac:dyDescent="0.25">
      <c r="A17" s="5671">
        <v>12</v>
      </c>
      <c r="B17" s="5912">
        <v>5</v>
      </c>
      <c r="C17" s="5943" t="s">
        <v>2904</v>
      </c>
      <c r="D17" s="5942" t="s">
        <v>1479</v>
      </c>
      <c r="E17" s="5941">
        <v>100</v>
      </c>
      <c r="F17" s="5940" t="s">
        <v>18</v>
      </c>
      <c r="G17" s="6070">
        <v>58</v>
      </c>
      <c r="H17" s="6070">
        <v>35</v>
      </c>
      <c r="I17" s="6070">
        <v>55</v>
      </c>
      <c r="J17" s="6070">
        <v>59</v>
      </c>
      <c r="K17" s="6070">
        <v>54</v>
      </c>
      <c r="L17" s="6071">
        <v>63</v>
      </c>
      <c r="M17" s="5939">
        <f>E17</f>
        <v>100</v>
      </c>
      <c r="P17" s="1324"/>
    </row>
    <row r="18" spans="1:16" ht="18.75" customHeight="1" x14ac:dyDescent="0.25">
      <c r="A18" s="5671"/>
      <c r="B18" s="5913">
        <v>6</v>
      </c>
      <c r="C18" s="6328" t="s">
        <v>3721</v>
      </c>
      <c r="D18" s="6329"/>
      <c r="E18" s="6329"/>
      <c r="F18" s="6329"/>
      <c r="G18" s="6329"/>
      <c r="H18" s="6329"/>
      <c r="I18" s="6329"/>
      <c r="J18" s="6329"/>
      <c r="K18" s="6329"/>
      <c r="L18" s="6330"/>
      <c r="M18" s="5939"/>
      <c r="P18" s="1324"/>
    </row>
    <row r="19" spans="1:16" ht="18.75" customHeight="1" x14ac:dyDescent="0.25">
      <c r="A19" s="5671">
        <v>4</v>
      </c>
      <c r="B19" s="5914">
        <v>7</v>
      </c>
      <c r="C19" s="5943" t="s">
        <v>798</v>
      </c>
      <c r="D19" s="5942" t="s">
        <v>798</v>
      </c>
      <c r="E19" s="5941">
        <f>IF(_ModeCityWWDisposal="1. City fully covered with sewerage network",135,IF(_ModeCityWWDisposal="2. City partially covered with sewerage network",100,IF(_ModeCityWWDisposal="3. City fully covered with onsite sanitation system",70,100)))</f>
        <v>70</v>
      </c>
      <c r="F19" s="5940" t="s">
        <v>74</v>
      </c>
      <c r="G19" s="6070">
        <v>87.931325301204851</v>
      </c>
      <c r="H19" s="6070">
        <v>117</v>
      </c>
      <c r="I19" s="6070">
        <v>89</v>
      </c>
      <c r="J19" s="6070">
        <v>92</v>
      </c>
      <c r="K19" s="6070">
        <v>79.503636363636375</v>
      </c>
      <c r="L19" s="6071">
        <v>87.953650793650795</v>
      </c>
      <c r="M19" s="5939">
        <v>400</v>
      </c>
      <c r="P19" s="1324"/>
    </row>
    <row r="20" spans="1:16" ht="18.75" customHeight="1" x14ac:dyDescent="0.25">
      <c r="A20" s="5671"/>
      <c r="B20" s="5912">
        <v>8</v>
      </c>
      <c r="C20" s="6328" t="s">
        <v>1466</v>
      </c>
      <c r="D20" s="6329"/>
      <c r="E20" s="6329"/>
      <c r="F20" s="6329"/>
      <c r="G20" s="6329"/>
      <c r="H20" s="6329"/>
      <c r="I20" s="6329"/>
      <c r="J20" s="6329"/>
      <c r="K20" s="6329"/>
      <c r="L20" s="6330"/>
      <c r="M20" s="5939"/>
      <c r="P20" s="1324"/>
    </row>
    <row r="21" spans="1:16" ht="18.75" customHeight="1" x14ac:dyDescent="0.25">
      <c r="A21" s="5671">
        <v>5</v>
      </c>
      <c r="B21" s="5912">
        <v>9</v>
      </c>
      <c r="C21" s="5943" t="s">
        <v>800</v>
      </c>
      <c r="D21" s="5942" t="s">
        <v>1477</v>
      </c>
      <c r="E21" s="5941">
        <v>100</v>
      </c>
      <c r="F21" s="5940" t="s">
        <v>18</v>
      </c>
      <c r="G21" s="6070">
        <v>9.1199999999999996E-3</v>
      </c>
      <c r="H21" s="6070">
        <v>10</v>
      </c>
      <c r="I21" s="6070">
        <v>10</v>
      </c>
      <c r="J21" s="6070">
        <v>10</v>
      </c>
      <c r="K21" s="6070">
        <v>12</v>
      </c>
      <c r="L21" s="6071">
        <v>15</v>
      </c>
      <c r="M21" s="5939">
        <f t="shared" ref="M21:M86" si="0">E21</f>
        <v>100</v>
      </c>
      <c r="P21" s="1324"/>
    </row>
    <row r="22" spans="1:16" ht="18.75" customHeight="1" x14ac:dyDescent="0.25">
      <c r="A22" s="5671"/>
      <c r="B22" s="5913">
        <v>10</v>
      </c>
      <c r="C22" s="6328" t="s">
        <v>1861</v>
      </c>
      <c r="D22" s="6329"/>
      <c r="E22" s="6329"/>
      <c r="F22" s="6329"/>
      <c r="G22" s="6329"/>
      <c r="H22" s="6329"/>
      <c r="I22" s="6329"/>
      <c r="J22" s="6329"/>
      <c r="K22" s="6329"/>
      <c r="L22" s="6330"/>
      <c r="M22" s="5939"/>
      <c r="P22" s="1324"/>
    </row>
    <row r="23" spans="1:16" ht="18.75" customHeight="1" x14ac:dyDescent="0.25">
      <c r="A23" s="5671">
        <v>6</v>
      </c>
      <c r="B23" s="5914">
        <v>11</v>
      </c>
      <c r="C23" s="5943" t="s">
        <v>799</v>
      </c>
      <c r="D23" s="5942" t="s">
        <v>1476</v>
      </c>
      <c r="E23" s="5941">
        <v>15</v>
      </c>
      <c r="F23" s="5940" t="s">
        <v>18</v>
      </c>
      <c r="G23" s="6070">
        <v>20</v>
      </c>
      <c r="H23" s="6070">
        <v>23</v>
      </c>
      <c r="I23" s="6070">
        <v>22</v>
      </c>
      <c r="J23" s="6070">
        <v>17</v>
      </c>
      <c r="K23" s="6070">
        <v>20</v>
      </c>
      <c r="L23" s="6071">
        <v>23</v>
      </c>
      <c r="M23" s="5939">
        <v>100</v>
      </c>
      <c r="P23" s="1324"/>
    </row>
    <row r="24" spans="1:16" ht="18.75" customHeight="1" x14ac:dyDescent="0.25">
      <c r="A24" s="5671"/>
      <c r="B24" s="5912">
        <v>12</v>
      </c>
      <c r="C24" s="6328" t="s">
        <v>1862</v>
      </c>
      <c r="D24" s="6329"/>
      <c r="E24" s="6329"/>
      <c r="F24" s="6329"/>
      <c r="G24" s="6329"/>
      <c r="H24" s="6329"/>
      <c r="I24" s="6329"/>
      <c r="J24" s="6329"/>
      <c r="K24" s="6329"/>
      <c r="L24" s="6330"/>
      <c r="M24" s="5939"/>
      <c r="P24" s="1324"/>
    </row>
    <row r="25" spans="1:16" ht="18.75" customHeight="1" x14ac:dyDescent="0.25">
      <c r="A25" s="5671">
        <v>7</v>
      </c>
      <c r="B25" s="5912">
        <v>13</v>
      </c>
      <c r="C25" s="5943" t="s">
        <v>66</v>
      </c>
      <c r="D25" s="5942" t="s">
        <v>1475</v>
      </c>
      <c r="E25" s="5941">
        <v>24</v>
      </c>
      <c r="F25" s="5940" t="s">
        <v>1497</v>
      </c>
      <c r="G25" s="6070">
        <v>1.3206626506024097</v>
      </c>
      <c r="H25" s="6070">
        <v>1.2850000000000001</v>
      </c>
      <c r="I25" s="6070">
        <v>1.5655555555555554</v>
      </c>
      <c r="J25" s="6070">
        <v>1.153939393939394</v>
      </c>
      <c r="K25" s="6070">
        <v>1.0688636363636361</v>
      </c>
      <c r="L25" s="6071">
        <v>1.5184126984126987</v>
      </c>
      <c r="M25" s="5939">
        <f t="shared" si="0"/>
        <v>24</v>
      </c>
      <c r="P25" s="1324"/>
    </row>
    <row r="26" spans="1:16" ht="18.75" customHeight="1" x14ac:dyDescent="0.25">
      <c r="A26" s="5671"/>
      <c r="B26" s="5913">
        <v>14</v>
      </c>
      <c r="C26" s="6331" t="s">
        <v>1468</v>
      </c>
      <c r="D26" s="6329"/>
      <c r="E26" s="6329"/>
      <c r="F26" s="6329"/>
      <c r="G26" s="6329"/>
      <c r="H26" s="6329"/>
      <c r="I26" s="6329"/>
      <c r="J26" s="6329"/>
      <c r="K26" s="6329"/>
      <c r="L26" s="6330"/>
      <c r="M26" s="5939"/>
      <c r="P26" s="1324"/>
    </row>
    <row r="27" spans="1:16" ht="18.75" customHeight="1" x14ac:dyDescent="0.25">
      <c r="A27" s="5671">
        <v>8</v>
      </c>
      <c r="B27" s="5914">
        <v>15</v>
      </c>
      <c r="C27" s="5943" t="s">
        <v>802</v>
      </c>
      <c r="D27" s="5942" t="s">
        <v>3418</v>
      </c>
      <c r="E27" s="5941">
        <v>80</v>
      </c>
      <c r="F27" s="5940" t="s">
        <v>18</v>
      </c>
      <c r="G27" s="6070">
        <v>90</v>
      </c>
      <c r="H27" s="6070">
        <v>72</v>
      </c>
      <c r="I27" s="6070">
        <v>92</v>
      </c>
      <c r="J27" s="6070">
        <v>90</v>
      </c>
      <c r="K27" s="6070">
        <v>92</v>
      </c>
      <c r="L27" s="6071">
        <v>91</v>
      </c>
      <c r="M27" s="5939">
        <v>100</v>
      </c>
      <c r="P27" s="1324"/>
    </row>
    <row r="28" spans="1:16" ht="18.75" customHeight="1" x14ac:dyDescent="0.25">
      <c r="A28" s="5671"/>
      <c r="B28" s="5912">
        <v>16</v>
      </c>
      <c r="C28" s="6328" t="s">
        <v>1863</v>
      </c>
      <c r="D28" s="6329"/>
      <c r="E28" s="6329"/>
      <c r="F28" s="6329"/>
      <c r="G28" s="6329"/>
      <c r="H28" s="6329"/>
      <c r="I28" s="6329"/>
      <c r="J28" s="6329"/>
      <c r="K28" s="6329"/>
      <c r="L28" s="6330"/>
      <c r="M28" s="5939"/>
      <c r="P28" s="1324"/>
    </row>
    <row r="29" spans="1:16" ht="18.75" customHeight="1" x14ac:dyDescent="0.25">
      <c r="A29" s="5671">
        <v>9</v>
      </c>
      <c r="B29" s="5912">
        <v>17</v>
      </c>
      <c r="C29" s="5943" t="s">
        <v>801</v>
      </c>
      <c r="D29" s="5942" t="s">
        <v>801</v>
      </c>
      <c r="E29" s="5941">
        <v>100</v>
      </c>
      <c r="F29" s="5940" t="s">
        <v>18</v>
      </c>
      <c r="G29" s="6070">
        <v>100</v>
      </c>
      <c r="H29" s="6070">
        <v>87</v>
      </c>
      <c r="I29" s="6070">
        <v>96</v>
      </c>
      <c r="J29" s="6070">
        <v>97</v>
      </c>
      <c r="K29" s="6070">
        <v>94</v>
      </c>
      <c r="L29" s="6071">
        <v>98</v>
      </c>
      <c r="M29" s="5939">
        <f t="shared" si="0"/>
        <v>100</v>
      </c>
      <c r="P29" s="1324"/>
    </row>
    <row r="30" spans="1:16" ht="18.75" customHeight="1" x14ac:dyDescent="0.25">
      <c r="A30" s="5671"/>
      <c r="B30" s="5913">
        <v>18</v>
      </c>
      <c r="C30" s="6328" t="s">
        <v>2059</v>
      </c>
      <c r="D30" s="6329"/>
      <c r="E30" s="6329"/>
      <c r="F30" s="6329"/>
      <c r="G30" s="6329"/>
      <c r="H30" s="6329"/>
      <c r="I30" s="6329"/>
      <c r="J30" s="6329"/>
      <c r="K30" s="6329"/>
      <c r="L30" s="6330"/>
      <c r="M30" s="5939"/>
      <c r="P30" s="1324"/>
    </row>
    <row r="31" spans="1:16" ht="18.75" customHeight="1" x14ac:dyDescent="0.25">
      <c r="A31" s="5671">
        <v>10</v>
      </c>
      <c r="B31" s="5914">
        <v>19</v>
      </c>
      <c r="C31" s="5943" t="s">
        <v>803</v>
      </c>
      <c r="D31" s="5942" t="s">
        <v>1480</v>
      </c>
      <c r="E31" s="5941">
        <v>90</v>
      </c>
      <c r="F31" s="5940" t="s">
        <v>18</v>
      </c>
      <c r="G31" s="6070">
        <v>58</v>
      </c>
      <c r="H31" s="6070">
        <v>41</v>
      </c>
      <c r="I31" s="6070">
        <v>50</v>
      </c>
      <c r="J31" s="6070">
        <v>67</v>
      </c>
      <c r="K31" s="6070">
        <v>64</v>
      </c>
      <c r="L31" s="6071">
        <v>59</v>
      </c>
      <c r="M31" s="5939">
        <v>100</v>
      </c>
      <c r="P31" s="1324"/>
    </row>
    <row r="32" spans="1:16" ht="18.75" customHeight="1" x14ac:dyDescent="0.25">
      <c r="A32" s="5671"/>
      <c r="B32" s="5912">
        <v>20</v>
      </c>
      <c r="C32" s="6328" t="s">
        <v>1865</v>
      </c>
      <c r="D32" s="6329"/>
      <c r="E32" s="6329"/>
      <c r="F32" s="6329"/>
      <c r="G32" s="6329"/>
      <c r="H32" s="6329"/>
      <c r="I32" s="6329"/>
      <c r="J32" s="6329"/>
      <c r="K32" s="6329"/>
      <c r="L32" s="6330"/>
      <c r="M32" s="5939"/>
      <c r="P32" s="1324"/>
    </row>
    <row r="33" spans="1:16" ht="18.75" customHeight="1" x14ac:dyDescent="0.25">
      <c r="A33" s="5671">
        <v>11</v>
      </c>
      <c r="B33" s="5912">
        <v>21</v>
      </c>
      <c r="C33" s="5943" t="s">
        <v>804</v>
      </c>
      <c r="D33" s="5942" t="s">
        <v>3419</v>
      </c>
      <c r="E33" s="5941">
        <v>100</v>
      </c>
      <c r="F33" s="5940" t="s">
        <v>18</v>
      </c>
      <c r="G33" s="6070">
        <v>69</v>
      </c>
      <c r="H33" s="6070">
        <v>27</v>
      </c>
      <c r="I33" s="6070">
        <v>66</v>
      </c>
      <c r="J33" s="6070">
        <v>65</v>
      </c>
      <c r="K33" s="6070">
        <v>68</v>
      </c>
      <c r="L33" s="6071">
        <v>76</v>
      </c>
      <c r="M33" s="5939">
        <v>300</v>
      </c>
      <c r="P33" s="1324"/>
    </row>
    <row r="34" spans="1:16" ht="18.75" customHeight="1" x14ac:dyDescent="0.25">
      <c r="A34" s="5671"/>
      <c r="B34" s="5913">
        <v>22</v>
      </c>
      <c r="C34" s="6331" t="s">
        <v>1864</v>
      </c>
      <c r="D34" s="6329"/>
      <c r="E34" s="6329"/>
      <c r="F34" s="6329"/>
      <c r="G34" s="6329"/>
      <c r="H34" s="6329"/>
      <c r="I34" s="6329"/>
      <c r="J34" s="6329"/>
      <c r="K34" s="6329"/>
      <c r="L34" s="6330"/>
      <c r="M34" s="5939"/>
      <c r="P34" s="1324"/>
    </row>
    <row r="35" spans="1:16" ht="21" x14ac:dyDescent="0.25">
      <c r="A35" s="5670">
        <v>15</v>
      </c>
      <c r="B35" s="5914">
        <v>23</v>
      </c>
      <c r="C35" s="5961" t="s">
        <v>3771</v>
      </c>
      <c r="D35" s="5954"/>
      <c r="E35" s="5955"/>
      <c r="F35" s="5955"/>
      <c r="G35" s="5955"/>
      <c r="H35" s="5955"/>
      <c r="I35" s="5955"/>
      <c r="J35" s="5955"/>
      <c r="K35" s="5955"/>
      <c r="L35" s="5958"/>
      <c r="M35" s="5939"/>
      <c r="P35" s="1324"/>
    </row>
    <row r="36" spans="1:16" ht="21" x14ac:dyDescent="0.25">
      <c r="A36" s="5671">
        <v>16</v>
      </c>
      <c r="B36" s="5912">
        <v>24</v>
      </c>
      <c r="C36" s="5943" t="s">
        <v>1330</v>
      </c>
      <c r="D36" s="5942" t="s">
        <v>1330</v>
      </c>
      <c r="E36" s="5941">
        <v>100</v>
      </c>
      <c r="F36" s="5940" t="s">
        <v>18</v>
      </c>
      <c r="G36" s="6070">
        <v>75</v>
      </c>
      <c r="H36" s="6070">
        <v>77</v>
      </c>
      <c r="I36" s="6070">
        <v>77</v>
      </c>
      <c r="J36" s="6070">
        <v>77</v>
      </c>
      <c r="K36" s="6070">
        <v>72</v>
      </c>
      <c r="L36" s="6071">
        <v>74</v>
      </c>
      <c r="M36" s="5939">
        <f t="shared" si="0"/>
        <v>100</v>
      </c>
      <c r="P36" s="1324"/>
    </row>
    <row r="37" spans="1:16" ht="21" x14ac:dyDescent="0.25">
      <c r="A37" s="5671"/>
      <c r="B37" s="5912">
        <v>25</v>
      </c>
      <c r="C37" s="6328" t="s">
        <v>1504</v>
      </c>
      <c r="D37" s="6329"/>
      <c r="E37" s="6329"/>
      <c r="F37" s="6329"/>
      <c r="G37" s="6329"/>
      <c r="H37" s="6329"/>
      <c r="I37" s="6329"/>
      <c r="J37" s="6329"/>
      <c r="K37" s="6329"/>
      <c r="L37" s="6330"/>
      <c r="M37" s="5939"/>
      <c r="P37" s="1324"/>
    </row>
    <row r="38" spans="1:16" ht="21" x14ac:dyDescent="0.25">
      <c r="A38" s="5671">
        <v>17</v>
      </c>
      <c r="B38" s="5913">
        <v>26</v>
      </c>
      <c r="C38" s="5943" t="s">
        <v>1384</v>
      </c>
      <c r="D38" s="5942" t="s">
        <v>1384</v>
      </c>
      <c r="E38" s="5941">
        <v>100</v>
      </c>
      <c r="F38" s="5940" t="s">
        <v>18</v>
      </c>
      <c r="G38" s="6070">
        <v>42</v>
      </c>
      <c r="H38" s="6070">
        <v>62</v>
      </c>
      <c r="I38" s="6070">
        <v>45</v>
      </c>
      <c r="J38" s="6070">
        <v>39</v>
      </c>
      <c r="K38" s="6070">
        <v>37</v>
      </c>
      <c r="L38" s="6071">
        <v>36</v>
      </c>
      <c r="M38" s="5939">
        <f t="shared" si="0"/>
        <v>100</v>
      </c>
      <c r="P38" s="1324"/>
    </row>
    <row r="39" spans="1:16" ht="21" x14ac:dyDescent="0.25">
      <c r="A39" s="5671"/>
      <c r="B39" s="5914">
        <v>27</v>
      </c>
      <c r="C39" s="6328" t="s">
        <v>1469</v>
      </c>
      <c r="D39" s="6329"/>
      <c r="E39" s="6329"/>
      <c r="F39" s="6329"/>
      <c r="G39" s="6329"/>
      <c r="H39" s="6329"/>
      <c r="I39" s="6329"/>
      <c r="J39" s="6329"/>
      <c r="K39" s="6329"/>
      <c r="L39" s="6330"/>
      <c r="M39" s="5939"/>
      <c r="P39" s="1324"/>
    </row>
    <row r="40" spans="1:16" ht="21" x14ac:dyDescent="0.25">
      <c r="A40" s="5671">
        <v>18</v>
      </c>
      <c r="B40" s="5912">
        <v>28</v>
      </c>
      <c r="C40" s="5943" t="s">
        <v>805</v>
      </c>
      <c r="D40" s="5942" t="s">
        <v>805</v>
      </c>
      <c r="E40" s="5941">
        <v>100</v>
      </c>
      <c r="F40" s="5940" t="s">
        <v>18</v>
      </c>
      <c r="G40" s="6070">
        <v>81</v>
      </c>
      <c r="H40" s="6070">
        <v>78</v>
      </c>
      <c r="I40" s="6070">
        <v>90</v>
      </c>
      <c r="J40" s="6070">
        <v>83</v>
      </c>
      <c r="K40" s="6070">
        <v>90</v>
      </c>
      <c r="L40" s="6071">
        <v>55</v>
      </c>
      <c r="M40" s="5939">
        <f t="shared" si="0"/>
        <v>100</v>
      </c>
      <c r="P40" s="1324"/>
    </row>
    <row r="41" spans="1:16" ht="21" x14ac:dyDescent="0.25">
      <c r="A41" s="5671"/>
      <c r="B41" s="5912">
        <v>29</v>
      </c>
      <c r="C41" s="6328" t="s">
        <v>3791</v>
      </c>
      <c r="D41" s="6329"/>
      <c r="E41" s="6329"/>
      <c r="F41" s="6329"/>
      <c r="G41" s="6329"/>
      <c r="H41" s="6329"/>
      <c r="I41" s="6329"/>
      <c r="J41" s="6329"/>
      <c r="K41" s="6329"/>
      <c r="L41" s="6330"/>
      <c r="M41" s="5939"/>
      <c r="P41" s="1324"/>
    </row>
    <row r="42" spans="1:16" ht="21" x14ac:dyDescent="0.25">
      <c r="A42" s="5671">
        <v>19</v>
      </c>
      <c r="B42" s="5913">
        <v>30</v>
      </c>
      <c r="C42" s="5943" t="s">
        <v>159</v>
      </c>
      <c r="D42" s="5942" t="s">
        <v>159</v>
      </c>
      <c r="E42" s="5941">
        <v>100</v>
      </c>
      <c r="F42" s="5940" t="s">
        <v>18</v>
      </c>
      <c r="G42" s="6070">
        <v>96</v>
      </c>
      <c r="H42" s="6070">
        <v>98</v>
      </c>
      <c r="I42" s="6070">
        <v>90</v>
      </c>
      <c r="J42" s="6070">
        <v>91</v>
      </c>
      <c r="K42" s="6070">
        <v>93</v>
      </c>
      <c r="L42" s="6071">
        <v>89</v>
      </c>
      <c r="M42" s="5939">
        <f t="shared" si="0"/>
        <v>100</v>
      </c>
      <c r="P42" s="1324"/>
    </row>
    <row r="43" spans="1:16" ht="21" x14ac:dyDescent="0.25">
      <c r="A43" s="5671"/>
      <c r="B43" s="5914">
        <v>31</v>
      </c>
      <c r="C43" s="6328" t="s">
        <v>1866</v>
      </c>
      <c r="D43" s="6329"/>
      <c r="E43" s="6329"/>
      <c r="F43" s="6329"/>
      <c r="G43" s="6329"/>
      <c r="H43" s="6329"/>
      <c r="I43" s="6329"/>
      <c r="J43" s="6329"/>
      <c r="K43" s="6329"/>
      <c r="L43" s="6330"/>
      <c r="M43" s="5939"/>
      <c r="P43" s="1324"/>
    </row>
    <row r="44" spans="1:16" ht="21" x14ac:dyDescent="0.25">
      <c r="A44" s="5671">
        <v>20</v>
      </c>
      <c r="B44" s="5912">
        <v>32</v>
      </c>
      <c r="C44" s="5943" t="s">
        <v>3722</v>
      </c>
      <c r="D44" s="5942" t="s">
        <v>806</v>
      </c>
      <c r="E44" s="5941">
        <v>20</v>
      </c>
      <c r="F44" s="5940" t="s">
        <v>18</v>
      </c>
      <c r="G44" s="6070">
        <v>12</v>
      </c>
      <c r="H44" s="6070">
        <v>10</v>
      </c>
      <c r="I44" s="6070">
        <v>6</v>
      </c>
      <c r="J44" s="6070">
        <v>5</v>
      </c>
      <c r="K44" s="6070">
        <v>7</v>
      </c>
      <c r="L44" s="6071">
        <v>2</v>
      </c>
      <c r="M44" s="5939">
        <v>100</v>
      </c>
      <c r="P44" s="1324"/>
    </row>
    <row r="45" spans="1:16" ht="21" x14ac:dyDescent="0.25">
      <c r="A45" s="5671"/>
      <c r="B45" s="5912">
        <v>33</v>
      </c>
      <c r="C45" s="6328" t="s">
        <v>1868</v>
      </c>
      <c r="D45" s="6329"/>
      <c r="E45" s="6329"/>
      <c r="F45" s="6329"/>
      <c r="G45" s="6329"/>
      <c r="H45" s="6329"/>
      <c r="I45" s="6329"/>
      <c r="J45" s="6329"/>
      <c r="K45" s="6329"/>
      <c r="L45" s="6330"/>
      <c r="M45" s="5939"/>
      <c r="P45" s="1324"/>
    </row>
    <row r="46" spans="1:16" ht="21" x14ac:dyDescent="0.25">
      <c r="A46" s="5671">
        <v>21</v>
      </c>
      <c r="B46" s="5913">
        <v>34</v>
      </c>
      <c r="C46" s="5943" t="s">
        <v>38</v>
      </c>
      <c r="D46" s="5942" t="s">
        <v>38</v>
      </c>
      <c r="E46" s="5941">
        <v>100</v>
      </c>
      <c r="F46" s="5940" t="s">
        <v>18</v>
      </c>
      <c r="G46" s="6070">
        <v>70</v>
      </c>
      <c r="H46" s="6070">
        <v>77</v>
      </c>
      <c r="I46" s="6070">
        <v>100</v>
      </c>
      <c r="J46" s="6070">
        <v>70</v>
      </c>
      <c r="K46" s="6070">
        <v>67</v>
      </c>
      <c r="L46" s="6071">
        <v>53</v>
      </c>
      <c r="M46" s="5939">
        <f t="shared" si="0"/>
        <v>100</v>
      </c>
      <c r="P46" s="1324"/>
    </row>
    <row r="47" spans="1:16" ht="21" x14ac:dyDescent="0.25">
      <c r="A47" s="5671"/>
      <c r="B47" s="5914">
        <v>35</v>
      </c>
      <c r="C47" s="6331" t="s">
        <v>1867</v>
      </c>
      <c r="D47" s="6329"/>
      <c r="E47" s="6329"/>
      <c r="F47" s="6329"/>
      <c r="G47" s="6329"/>
      <c r="H47" s="6329"/>
      <c r="I47" s="6329"/>
      <c r="J47" s="6329"/>
      <c r="K47" s="6329"/>
      <c r="L47" s="6330"/>
      <c r="M47" s="5939"/>
      <c r="P47" s="1324"/>
    </row>
    <row r="48" spans="1:16" ht="21" x14ac:dyDescent="0.25">
      <c r="A48" s="5671">
        <v>22</v>
      </c>
      <c r="B48" s="5912">
        <v>36</v>
      </c>
      <c r="C48" s="5943" t="s">
        <v>807</v>
      </c>
      <c r="D48" s="5942" t="s">
        <v>3420</v>
      </c>
      <c r="E48" s="5941">
        <v>80</v>
      </c>
      <c r="F48" s="5940" t="s">
        <v>18</v>
      </c>
      <c r="G48" s="6070">
        <v>94</v>
      </c>
      <c r="H48" s="6070">
        <v>75</v>
      </c>
      <c r="I48" s="6070">
        <v>92</v>
      </c>
      <c r="J48" s="6070">
        <v>96</v>
      </c>
      <c r="K48" s="6070">
        <v>95</v>
      </c>
      <c r="L48" s="6071">
        <v>96</v>
      </c>
      <c r="M48" s="5939">
        <v>100</v>
      </c>
      <c r="P48" s="1324"/>
    </row>
    <row r="49" spans="1:16" ht="21" x14ac:dyDescent="0.25">
      <c r="A49" s="5671"/>
      <c r="B49" s="5912">
        <v>37</v>
      </c>
      <c r="C49" s="6328" t="s">
        <v>2060</v>
      </c>
      <c r="D49" s="6329"/>
      <c r="E49" s="6329"/>
      <c r="F49" s="6329"/>
      <c r="G49" s="6329"/>
      <c r="H49" s="6329"/>
      <c r="I49" s="6329"/>
      <c r="J49" s="6329"/>
      <c r="K49" s="6329"/>
      <c r="L49" s="6330"/>
      <c r="M49" s="5939"/>
      <c r="P49" s="1324"/>
    </row>
    <row r="50" spans="1:16" ht="21" x14ac:dyDescent="0.25">
      <c r="A50" s="5671">
        <v>23</v>
      </c>
      <c r="B50" s="5913">
        <v>38</v>
      </c>
      <c r="C50" s="5943" t="s">
        <v>808</v>
      </c>
      <c r="D50" s="5942" t="s">
        <v>808</v>
      </c>
      <c r="E50" s="5941">
        <v>90</v>
      </c>
      <c r="F50" s="5940" t="s">
        <v>18</v>
      </c>
      <c r="G50" s="6070">
        <v>62</v>
      </c>
      <c r="H50" s="6070">
        <v>64</v>
      </c>
      <c r="I50" s="6070">
        <v>52</v>
      </c>
      <c r="J50" s="6070">
        <v>67</v>
      </c>
      <c r="K50" s="6070">
        <v>61</v>
      </c>
      <c r="L50" s="6071">
        <v>63</v>
      </c>
      <c r="M50" s="5939">
        <v>100</v>
      </c>
      <c r="P50" s="1324"/>
    </row>
    <row r="51" spans="1:16" ht="21" x14ac:dyDescent="0.25">
      <c r="A51" s="5671"/>
      <c r="B51" s="5914">
        <v>39</v>
      </c>
      <c r="C51" s="6328" t="s">
        <v>1865</v>
      </c>
      <c r="D51" s="6329"/>
      <c r="E51" s="6329"/>
      <c r="F51" s="6329"/>
      <c r="G51" s="6329"/>
      <c r="H51" s="6329"/>
      <c r="I51" s="6329"/>
      <c r="J51" s="6329"/>
      <c r="K51" s="6329"/>
      <c r="L51" s="6330"/>
      <c r="M51" s="5939"/>
      <c r="P51" s="1324"/>
    </row>
    <row r="52" spans="1:16" ht="21" x14ac:dyDescent="0.25">
      <c r="A52" s="5671">
        <v>24</v>
      </c>
      <c r="B52" s="5912">
        <v>40</v>
      </c>
      <c r="C52" s="5943" t="s">
        <v>809</v>
      </c>
      <c r="D52" s="5942" t="s">
        <v>3421</v>
      </c>
      <c r="E52" s="5941">
        <v>100</v>
      </c>
      <c r="F52" s="5940" t="s">
        <v>18</v>
      </c>
      <c r="G52" s="6070">
        <v>58</v>
      </c>
      <c r="H52" s="6070">
        <v>60</v>
      </c>
      <c r="I52" s="6070">
        <v>82</v>
      </c>
      <c r="J52" s="6070">
        <v>59</v>
      </c>
      <c r="K52" s="6070">
        <v>43</v>
      </c>
      <c r="L52" s="6071">
        <v>57</v>
      </c>
      <c r="M52" s="5939">
        <v>300</v>
      </c>
      <c r="P52" s="1324"/>
    </row>
    <row r="53" spans="1:16" ht="21" x14ac:dyDescent="0.25">
      <c r="A53" s="5671"/>
      <c r="B53" s="5912">
        <v>41</v>
      </c>
      <c r="C53" s="6328" t="s">
        <v>1869</v>
      </c>
      <c r="D53" s="6329"/>
      <c r="E53" s="6329"/>
      <c r="F53" s="6329"/>
      <c r="G53" s="6329"/>
      <c r="H53" s="6329"/>
      <c r="I53" s="6329"/>
      <c r="J53" s="6329"/>
      <c r="K53" s="6329"/>
      <c r="L53" s="6330"/>
      <c r="M53" s="5939"/>
      <c r="P53" s="1324"/>
    </row>
    <row r="54" spans="1:16" ht="21" x14ac:dyDescent="0.25">
      <c r="A54" s="5671">
        <v>25</v>
      </c>
      <c r="B54" s="5913">
        <v>42</v>
      </c>
      <c r="C54" s="5943" t="s">
        <v>1345</v>
      </c>
      <c r="D54" s="5942" t="s">
        <v>1481</v>
      </c>
      <c r="E54" s="5941">
        <v>100</v>
      </c>
      <c r="F54" s="5940" t="s">
        <v>18</v>
      </c>
      <c r="G54" s="6070">
        <v>59</v>
      </c>
      <c r="H54" s="6070">
        <v>39</v>
      </c>
      <c r="I54" s="6070">
        <v>51</v>
      </c>
      <c r="J54" s="6070">
        <v>52</v>
      </c>
      <c r="K54" s="6070">
        <v>64</v>
      </c>
      <c r="L54" s="6071">
        <v>64</v>
      </c>
      <c r="M54" s="5939">
        <f t="shared" si="0"/>
        <v>100</v>
      </c>
      <c r="P54" s="1324"/>
    </row>
    <row r="55" spans="1:16" ht="21" x14ac:dyDescent="0.25">
      <c r="A55" s="5671"/>
      <c r="B55" s="5914">
        <v>43</v>
      </c>
      <c r="C55" s="6328" t="s">
        <v>2980</v>
      </c>
      <c r="D55" s="6329"/>
      <c r="E55" s="6329"/>
      <c r="F55" s="6329"/>
      <c r="G55" s="6329"/>
      <c r="H55" s="6329"/>
      <c r="I55" s="6329"/>
      <c r="J55" s="6329"/>
      <c r="K55" s="6329"/>
      <c r="L55" s="6330"/>
      <c r="M55" s="5939"/>
      <c r="P55" s="1324"/>
    </row>
    <row r="56" spans="1:16" ht="21" x14ac:dyDescent="0.25">
      <c r="A56" s="5671">
        <v>26</v>
      </c>
      <c r="B56" s="5912">
        <v>44</v>
      </c>
      <c r="C56" s="5943" t="s">
        <v>1346</v>
      </c>
      <c r="D56" s="5942" t="s">
        <v>1482</v>
      </c>
      <c r="E56" s="5941">
        <v>100</v>
      </c>
      <c r="F56" s="5940" t="s">
        <v>18</v>
      </c>
      <c r="G56" s="6070">
        <v>65</v>
      </c>
      <c r="H56" s="6070">
        <v>48</v>
      </c>
      <c r="I56" s="6070">
        <v>58</v>
      </c>
      <c r="J56" s="6070">
        <v>67</v>
      </c>
      <c r="K56" s="6070">
        <v>65</v>
      </c>
      <c r="L56" s="6071">
        <v>66</v>
      </c>
      <c r="M56" s="5939">
        <f t="shared" si="0"/>
        <v>100</v>
      </c>
      <c r="P56" s="1324"/>
    </row>
    <row r="57" spans="1:16" ht="21" x14ac:dyDescent="0.25">
      <c r="A57" s="5671"/>
      <c r="B57" s="5912">
        <v>45</v>
      </c>
      <c r="C57" s="6328" t="s">
        <v>2981</v>
      </c>
      <c r="D57" s="6329"/>
      <c r="E57" s="6329"/>
      <c r="F57" s="6329"/>
      <c r="G57" s="6329"/>
      <c r="H57" s="6329"/>
      <c r="I57" s="6329"/>
      <c r="J57" s="6329"/>
      <c r="K57" s="6329"/>
      <c r="L57" s="6330"/>
      <c r="M57" s="5939"/>
      <c r="P57" s="1324"/>
    </row>
    <row r="58" spans="1:16" ht="21" x14ac:dyDescent="0.25">
      <c r="A58" s="5671">
        <v>27</v>
      </c>
      <c r="B58" s="5913">
        <v>46</v>
      </c>
      <c r="C58" s="5943" t="s">
        <v>1381</v>
      </c>
      <c r="D58" s="5942" t="s">
        <v>1483</v>
      </c>
      <c r="E58" s="5941">
        <v>100</v>
      </c>
      <c r="F58" s="5940" t="s">
        <v>18</v>
      </c>
      <c r="G58" s="6070">
        <v>34</v>
      </c>
      <c r="H58" s="6070">
        <v>81</v>
      </c>
      <c r="I58" s="6070">
        <v>57</v>
      </c>
      <c r="J58" s="6070">
        <v>45</v>
      </c>
      <c r="K58" s="6070">
        <v>29</v>
      </c>
      <c r="L58" s="6071">
        <v>21</v>
      </c>
      <c r="M58" s="5939">
        <f t="shared" si="0"/>
        <v>100</v>
      </c>
      <c r="P58" s="1324"/>
    </row>
    <row r="59" spans="1:16" ht="21" x14ac:dyDescent="0.25">
      <c r="A59" s="5671"/>
      <c r="B59" s="5914">
        <v>47</v>
      </c>
      <c r="C59" s="6328" t="s">
        <v>2026</v>
      </c>
      <c r="D59" s="6329"/>
      <c r="E59" s="6329"/>
      <c r="F59" s="6329"/>
      <c r="G59" s="6329"/>
      <c r="H59" s="6329"/>
      <c r="I59" s="6329"/>
      <c r="J59" s="6329"/>
      <c r="K59" s="6329"/>
      <c r="L59" s="6330"/>
      <c r="M59" s="5939"/>
      <c r="P59" s="1324"/>
    </row>
    <row r="60" spans="1:16" x14ac:dyDescent="0.25">
      <c r="A60" s="5671">
        <v>28</v>
      </c>
      <c r="B60" s="5912">
        <v>48</v>
      </c>
      <c r="C60" s="5943" t="s">
        <v>1430</v>
      </c>
      <c r="D60" s="5942" t="s">
        <v>1484</v>
      </c>
      <c r="E60" s="5941">
        <v>100</v>
      </c>
      <c r="F60" s="5940" t="s">
        <v>18</v>
      </c>
      <c r="G60" s="6070">
        <v>70</v>
      </c>
      <c r="H60" s="6070">
        <v>25</v>
      </c>
      <c r="I60" s="6070">
        <v>35</v>
      </c>
      <c r="J60" s="6070">
        <v>20</v>
      </c>
      <c r="K60" s="6070">
        <v>29</v>
      </c>
      <c r="L60" s="6071">
        <v>0</v>
      </c>
      <c r="M60" s="5939">
        <f t="shared" si="0"/>
        <v>100</v>
      </c>
    </row>
    <row r="61" spans="1:16" ht="38.25" customHeight="1" x14ac:dyDescent="0.25">
      <c r="A61" s="5671"/>
      <c r="B61" s="5912">
        <v>49</v>
      </c>
      <c r="C61" s="6328" t="s">
        <v>2028</v>
      </c>
      <c r="D61" s="6329"/>
      <c r="E61" s="6329"/>
      <c r="F61" s="6329"/>
      <c r="G61" s="6329"/>
      <c r="H61" s="6329"/>
      <c r="I61" s="6329"/>
      <c r="J61" s="6329"/>
      <c r="K61" s="6329"/>
      <c r="L61" s="6330"/>
      <c r="M61" s="5939"/>
    </row>
    <row r="62" spans="1:16" x14ac:dyDescent="0.25">
      <c r="A62" s="5671">
        <v>29</v>
      </c>
      <c r="B62" s="5913">
        <v>50</v>
      </c>
      <c r="C62" s="5943" t="s">
        <v>1368</v>
      </c>
      <c r="D62" s="5942" t="s">
        <v>1485</v>
      </c>
      <c r="E62" s="5941">
        <v>100</v>
      </c>
      <c r="F62" s="5940" t="s">
        <v>18</v>
      </c>
      <c r="G62" s="6070">
        <v>50</v>
      </c>
      <c r="H62" s="6070">
        <v>28</v>
      </c>
      <c r="I62" s="6070">
        <v>50</v>
      </c>
      <c r="J62" s="6070">
        <v>100</v>
      </c>
      <c r="K62" s="6070">
        <v>0</v>
      </c>
      <c r="L62" s="6071">
        <v>80</v>
      </c>
      <c r="M62" s="5939">
        <f t="shared" si="0"/>
        <v>100</v>
      </c>
    </row>
    <row r="63" spans="1:16" ht="30" customHeight="1" x14ac:dyDescent="0.25">
      <c r="A63" s="5671"/>
      <c r="B63" s="5914">
        <v>51</v>
      </c>
      <c r="C63" s="6328" t="s">
        <v>2029</v>
      </c>
      <c r="D63" s="6329"/>
      <c r="E63" s="6329"/>
      <c r="F63" s="6329"/>
      <c r="G63" s="6329"/>
      <c r="H63" s="6329"/>
      <c r="I63" s="6329"/>
      <c r="J63" s="6329"/>
      <c r="K63" s="6329"/>
      <c r="L63" s="6330"/>
      <c r="M63" s="5939"/>
    </row>
    <row r="64" spans="1:16" x14ac:dyDescent="0.25">
      <c r="A64" s="5671">
        <v>30</v>
      </c>
      <c r="B64" s="5912">
        <v>52</v>
      </c>
      <c r="C64" s="5943" t="s">
        <v>1363</v>
      </c>
      <c r="D64" s="5942" t="s">
        <v>1487</v>
      </c>
      <c r="E64" s="5941">
        <v>20</v>
      </c>
      <c r="F64" s="5940" t="s">
        <v>18</v>
      </c>
      <c r="G64" s="6070">
        <v>5</v>
      </c>
      <c r="H64" s="6070">
        <v>3</v>
      </c>
      <c r="I64" s="6070">
        <v>4</v>
      </c>
      <c r="J64" s="6070">
        <v>6</v>
      </c>
      <c r="K64" s="6070">
        <v>0</v>
      </c>
      <c r="L64" s="6071">
        <v>2</v>
      </c>
      <c r="M64" s="5939">
        <v>100</v>
      </c>
    </row>
    <row r="65" spans="1:13" ht="30" customHeight="1" x14ac:dyDescent="0.25">
      <c r="A65" s="5671"/>
      <c r="B65" s="5912">
        <v>53</v>
      </c>
      <c r="C65" s="6328" t="s">
        <v>2032</v>
      </c>
      <c r="D65" s="6329"/>
      <c r="E65" s="6329"/>
      <c r="F65" s="6329"/>
      <c r="G65" s="6329"/>
      <c r="H65" s="6329"/>
      <c r="I65" s="6329"/>
      <c r="J65" s="6329"/>
      <c r="K65" s="6329"/>
      <c r="L65" s="6330"/>
      <c r="M65" s="5939"/>
    </row>
    <row r="66" spans="1:13" x14ac:dyDescent="0.25">
      <c r="A66" s="5671">
        <v>31</v>
      </c>
      <c r="B66" s="5913">
        <v>54</v>
      </c>
      <c r="C66" s="5943" t="s">
        <v>1139</v>
      </c>
      <c r="D66" s="5942" t="s">
        <v>1486</v>
      </c>
      <c r="E66" s="5941">
        <v>100</v>
      </c>
      <c r="F66" s="5940" t="s">
        <v>18</v>
      </c>
      <c r="G66" s="6070">
        <v>1</v>
      </c>
      <c r="H66" s="6070">
        <v>100</v>
      </c>
      <c r="I66" s="6070">
        <v>60</v>
      </c>
      <c r="J66" s="6070">
        <v>48</v>
      </c>
      <c r="K66" s="6070">
        <v>52</v>
      </c>
      <c r="L66" s="6071">
        <v>64</v>
      </c>
      <c r="M66" s="5939">
        <f t="shared" si="0"/>
        <v>100</v>
      </c>
    </row>
    <row r="67" spans="1:13" ht="30" customHeight="1" x14ac:dyDescent="0.25">
      <c r="A67" s="5671"/>
      <c r="B67" s="5914">
        <v>55</v>
      </c>
      <c r="C67" s="6328" t="s">
        <v>2033</v>
      </c>
      <c r="D67" s="6329"/>
      <c r="E67" s="6329"/>
      <c r="F67" s="6329"/>
      <c r="G67" s="6329"/>
      <c r="H67" s="6329"/>
      <c r="I67" s="6329"/>
      <c r="J67" s="6329"/>
      <c r="K67" s="6329"/>
      <c r="L67" s="6330"/>
      <c r="M67" s="5939"/>
    </row>
    <row r="68" spans="1:13" ht="18.75" x14ac:dyDescent="0.25">
      <c r="A68" s="5670">
        <v>33</v>
      </c>
      <c r="B68" s="5912">
        <v>56</v>
      </c>
      <c r="C68" s="5961" t="s">
        <v>1414</v>
      </c>
      <c r="D68" s="5954"/>
      <c r="E68" s="5959"/>
      <c r="F68" s="5955"/>
      <c r="G68" s="5959"/>
      <c r="H68" s="5959"/>
      <c r="I68" s="5959"/>
      <c r="J68" s="5959"/>
      <c r="K68" s="5959"/>
      <c r="L68" s="5960"/>
      <c r="M68" s="5939">
        <f t="shared" si="0"/>
        <v>0</v>
      </c>
    </row>
    <row r="69" spans="1:13" x14ac:dyDescent="0.25">
      <c r="A69" s="5671">
        <v>34</v>
      </c>
      <c r="B69" s="5912">
        <v>57</v>
      </c>
      <c r="C69" s="5943" t="s">
        <v>1331</v>
      </c>
      <c r="D69" s="5942" t="s">
        <v>1331</v>
      </c>
      <c r="E69" s="5941">
        <v>100</v>
      </c>
      <c r="F69" s="5940" t="s">
        <v>18</v>
      </c>
      <c r="G69" s="6070">
        <v>16</v>
      </c>
      <c r="H69" s="6070">
        <v>25</v>
      </c>
      <c r="I69" s="6070">
        <v>29</v>
      </c>
      <c r="J69" s="6070">
        <v>15</v>
      </c>
      <c r="K69" s="6070">
        <v>10</v>
      </c>
      <c r="L69" s="6071">
        <v>16</v>
      </c>
      <c r="M69" s="5939">
        <f t="shared" si="0"/>
        <v>100</v>
      </c>
    </row>
    <row r="70" spans="1:13" ht="15.75" x14ac:dyDescent="0.25">
      <c r="A70" s="5671"/>
      <c r="B70" s="5913">
        <v>58</v>
      </c>
      <c r="C70" s="6331" t="s">
        <v>1870</v>
      </c>
      <c r="D70" s="6329"/>
      <c r="E70" s="6329"/>
      <c r="F70" s="6329"/>
      <c r="G70" s="6329"/>
      <c r="H70" s="6329"/>
      <c r="I70" s="6329"/>
      <c r="J70" s="6329"/>
      <c r="K70" s="6329"/>
      <c r="L70" s="6330"/>
      <c r="M70" s="5939"/>
    </row>
    <row r="71" spans="1:13" x14ac:dyDescent="0.25">
      <c r="A71" s="5671">
        <v>35</v>
      </c>
      <c r="B71" s="5914">
        <v>59</v>
      </c>
      <c r="C71" s="5943" t="s">
        <v>1122</v>
      </c>
      <c r="D71" s="5942" t="s">
        <v>1122</v>
      </c>
      <c r="E71" s="5941">
        <v>0</v>
      </c>
      <c r="F71" s="5940" t="s">
        <v>28</v>
      </c>
      <c r="G71" s="6070">
        <v>0</v>
      </c>
      <c r="H71" s="6070">
        <v>31</v>
      </c>
      <c r="I71" s="6070">
        <v>14</v>
      </c>
      <c r="J71" s="6070">
        <v>6</v>
      </c>
      <c r="K71" s="6070">
        <v>3</v>
      </c>
      <c r="L71" s="6071">
        <v>2</v>
      </c>
      <c r="M71" s="5939"/>
    </row>
    <row r="72" spans="1:13" x14ac:dyDescent="0.25">
      <c r="A72" s="5671"/>
      <c r="B72" s="5912">
        <v>60</v>
      </c>
      <c r="C72" s="6328" t="s">
        <v>2062</v>
      </c>
      <c r="D72" s="6329"/>
      <c r="E72" s="6329"/>
      <c r="F72" s="6329"/>
      <c r="G72" s="6329"/>
      <c r="H72" s="6329"/>
      <c r="I72" s="6329"/>
      <c r="J72" s="6329"/>
      <c r="K72" s="6329"/>
      <c r="L72" s="6330"/>
      <c r="M72" s="5939"/>
    </row>
    <row r="73" spans="1:13" ht="18.75" x14ac:dyDescent="0.25">
      <c r="A73" s="5670">
        <v>36</v>
      </c>
      <c r="B73" s="5912">
        <v>61</v>
      </c>
      <c r="C73" s="5961" t="s">
        <v>792</v>
      </c>
      <c r="D73" s="5954"/>
      <c r="E73" s="5959"/>
      <c r="F73" s="5955"/>
      <c r="G73" s="5955"/>
      <c r="H73" s="5955"/>
      <c r="I73" s="5955"/>
      <c r="J73" s="5955"/>
      <c r="K73" s="5955"/>
      <c r="L73" s="5958"/>
      <c r="M73" s="5939">
        <f t="shared" si="0"/>
        <v>0</v>
      </c>
    </row>
    <row r="74" spans="1:13" x14ac:dyDescent="0.25">
      <c r="A74" s="5671">
        <v>37</v>
      </c>
      <c r="B74" s="5913">
        <v>62</v>
      </c>
      <c r="C74" s="6132" t="s">
        <v>3724</v>
      </c>
      <c r="D74" s="5942" t="s">
        <v>793</v>
      </c>
      <c r="E74" s="5941">
        <v>100</v>
      </c>
      <c r="F74" s="5940" t="s">
        <v>18</v>
      </c>
      <c r="G74" s="6070">
        <v>84</v>
      </c>
      <c r="H74" s="6070">
        <v>74</v>
      </c>
      <c r="I74" s="6070">
        <v>86</v>
      </c>
      <c r="J74" s="6070">
        <v>81</v>
      </c>
      <c r="K74" s="6070">
        <v>89</v>
      </c>
      <c r="L74" s="6071">
        <v>84</v>
      </c>
      <c r="M74" s="5939">
        <f t="shared" si="0"/>
        <v>100</v>
      </c>
    </row>
    <row r="75" spans="1:13" x14ac:dyDescent="0.25">
      <c r="A75" s="5671"/>
      <c r="B75" s="5914">
        <v>63</v>
      </c>
      <c r="C75" s="6328" t="s">
        <v>1871</v>
      </c>
      <c r="D75" s="6329"/>
      <c r="E75" s="6329"/>
      <c r="F75" s="6329"/>
      <c r="G75" s="6329"/>
      <c r="H75" s="6329"/>
      <c r="I75" s="6329"/>
      <c r="J75" s="6329"/>
      <c r="K75" s="6329"/>
      <c r="L75" s="6330"/>
      <c r="M75" s="5939"/>
    </row>
    <row r="76" spans="1:13" x14ac:dyDescent="0.25">
      <c r="A76" s="5671">
        <v>45</v>
      </c>
      <c r="B76" s="5912">
        <v>64</v>
      </c>
      <c r="C76" s="6132" t="s">
        <v>1364</v>
      </c>
      <c r="D76" s="5942" t="s">
        <v>1489</v>
      </c>
      <c r="E76" s="5941">
        <v>100</v>
      </c>
      <c r="F76" s="5940" t="s">
        <v>18</v>
      </c>
      <c r="G76" s="6070">
        <v>85</v>
      </c>
      <c r="H76" s="6070">
        <v>86</v>
      </c>
      <c r="I76" s="6070">
        <v>88</v>
      </c>
      <c r="J76" s="6070">
        <v>83</v>
      </c>
      <c r="K76" s="6070">
        <v>89</v>
      </c>
      <c r="L76" s="6071">
        <v>85</v>
      </c>
      <c r="M76" s="5939">
        <f>E76</f>
        <v>100</v>
      </c>
    </row>
    <row r="77" spans="1:13" x14ac:dyDescent="0.25">
      <c r="A77" s="5671"/>
      <c r="B77" s="5912">
        <v>65</v>
      </c>
      <c r="C77" s="6328" t="s">
        <v>3725</v>
      </c>
      <c r="D77" s="6329"/>
      <c r="E77" s="6329"/>
      <c r="F77" s="6329"/>
      <c r="G77" s="6329"/>
      <c r="H77" s="6329"/>
      <c r="I77" s="6329"/>
      <c r="J77" s="6329"/>
      <c r="K77" s="6329"/>
      <c r="L77" s="6330"/>
      <c r="M77" s="5939"/>
    </row>
    <row r="78" spans="1:13" x14ac:dyDescent="0.25">
      <c r="A78" s="5671">
        <v>46</v>
      </c>
      <c r="B78" s="5913">
        <v>66</v>
      </c>
      <c r="C78" s="6132" t="s">
        <v>1365</v>
      </c>
      <c r="D78" s="5942" t="s">
        <v>1495</v>
      </c>
      <c r="E78" s="5941">
        <v>100</v>
      </c>
      <c r="F78" s="5940" t="s">
        <v>18</v>
      </c>
      <c r="G78" s="6070">
        <v>70</v>
      </c>
      <c r="H78" s="6070">
        <v>100</v>
      </c>
      <c r="I78" s="6070">
        <v>68</v>
      </c>
      <c r="J78" s="6070">
        <v>75</v>
      </c>
      <c r="K78" s="6070">
        <v>69</v>
      </c>
      <c r="L78" s="6071">
        <v>69</v>
      </c>
      <c r="M78" s="5939">
        <f>E78</f>
        <v>100</v>
      </c>
    </row>
    <row r="79" spans="1:13" x14ac:dyDescent="0.25">
      <c r="A79" s="5671"/>
      <c r="B79" s="5914">
        <v>67</v>
      </c>
      <c r="C79" s="6328" t="s">
        <v>3726</v>
      </c>
      <c r="D79" s="6329"/>
      <c r="E79" s="6329"/>
      <c r="F79" s="6329"/>
      <c r="G79" s="6329"/>
      <c r="H79" s="6329"/>
      <c r="I79" s="6329"/>
      <c r="J79" s="6329"/>
      <c r="K79" s="6329"/>
      <c r="L79" s="6330"/>
      <c r="M79" s="5939"/>
    </row>
    <row r="80" spans="1:13" x14ac:dyDescent="0.25">
      <c r="A80" s="5671">
        <v>38</v>
      </c>
      <c r="B80" s="5912">
        <v>68</v>
      </c>
      <c r="C80" s="5943" t="s">
        <v>810</v>
      </c>
      <c r="D80" s="5942" t="s">
        <v>1490</v>
      </c>
      <c r="E80" s="5941">
        <v>100</v>
      </c>
      <c r="F80" s="5940" t="s">
        <v>18</v>
      </c>
      <c r="G80" s="6070">
        <v>94</v>
      </c>
      <c r="H80" s="6070">
        <v>83</v>
      </c>
      <c r="I80" s="6070">
        <v>95</v>
      </c>
      <c r="J80" s="6070">
        <v>92</v>
      </c>
      <c r="K80" s="6070">
        <v>94</v>
      </c>
      <c r="L80" s="6071">
        <v>93</v>
      </c>
      <c r="M80" s="5939">
        <f t="shared" si="0"/>
        <v>100</v>
      </c>
    </row>
    <row r="81" spans="1:13" x14ac:dyDescent="0.25">
      <c r="A81" s="5671"/>
      <c r="B81" s="5912">
        <v>69</v>
      </c>
      <c r="C81" s="6328" t="s">
        <v>3723</v>
      </c>
      <c r="D81" s="6329"/>
      <c r="E81" s="6329"/>
      <c r="F81" s="6329"/>
      <c r="G81" s="6329"/>
      <c r="H81" s="6329"/>
      <c r="I81" s="6329"/>
      <c r="J81" s="6329"/>
      <c r="K81" s="6329"/>
      <c r="L81" s="6330"/>
      <c r="M81" s="5939"/>
    </row>
    <row r="82" spans="1:13" x14ac:dyDescent="0.25">
      <c r="A82" s="5671">
        <v>39</v>
      </c>
      <c r="B82" s="5913">
        <v>70</v>
      </c>
      <c r="C82" s="5943" t="s">
        <v>442</v>
      </c>
      <c r="D82" s="5942" t="s">
        <v>1491</v>
      </c>
      <c r="E82" s="5941">
        <v>100</v>
      </c>
      <c r="F82" s="5940" t="s">
        <v>18</v>
      </c>
      <c r="G82" s="6070">
        <v>10</v>
      </c>
      <c r="H82" s="6070">
        <v>6</v>
      </c>
      <c r="I82" s="6070">
        <v>0</v>
      </c>
      <c r="J82" s="6070">
        <v>10</v>
      </c>
      <c r="K82" s="6070">
        <v>5</v>
      </c>
      <c r="L82" s="6071">
        <v>0</v>
      </c>
      <c r="M82" s="5939">
        <f t="shared" si="0"/>
        <v>100</v>
      </c>
    </row>
    <row r="83" spans="1:13" x14ac:dyDescent="0.25">
      <c r="A83" s="5671"/>
      <c r="B83" s="5914">
        <v>71</v>
      </c>
      <c r="C83" s="6328" t="s">
        <v>1872</v>
      </c>
      <c r="D83" s="6329"/>
      <c r="E83" s="6329"/>
      <c r="F83" s="6329"/>
      <c r="G83" s="6329"/>
      <c r="H83" s="6329"/>
      <c r="I83" s="6329"/>
      <c r="J83" s="6329"/>
      <c r="K83" s="6329"/>
      <c r="L83" s="6330"/>
      <c r="M83" s="5939"/>
    </row>
    <row r="84" spans="1:13" x14ac:dyDescent="0.25">
      <c r="A84" s="5671">
        <v>40</v>
      </c>
      <c r="B84" s="5912">
        <v>72</v>
      </c>
      <c r="C84" s="5943" t="s">
        <v>685</v>
      </c>
      <c r="D84" s="5942" t="s">
        <v>1492</v>
      </c>
      <c r="E84" s="5941">
        <v>80</v>
      </c>
      <c r="F84" s="5940" t="s">
        <v>18</v>
      </c>
      <c r="G84" s="6070">
        <v>41</v>
      </c>
      <c r="H84" s="6070">
        <v>50</v>
      </c>
      <c r="I84" s="6070">
        <v>17</v>
      </c>
      <c r="J84" s="6070">
        <v>33</v>
      </c>
      <c r="K84" s="6070">
        <v>44</v>
      </c>
      <c r="L84" s="6071">
        <v>41</v>
      </c>
      <c r="M84" s="5939">
        <v>100</v>
      </c>
    </row>
    <row r="85" spans="1:13" x14ac:dyDescent="0.25">
      <c r="A85" s="5671"/>
      <c r="B85" s="5912">
        <v>73</v>
      </c>
      <c r="C85" s="6328" t="s">
        <v>1873</v>
      </c>
      <c r="D85" s="6329"/>
      <c r="E85" s="6329"/>
      <c r="F85" s="6329"/>
      <c r="G85" s="6329"/>
      <c r="H85" s="6329"/>
      <c r="I85" s="6329"/>
      <c r="J85" s="6329"/>
      <c r="K85" s="6329"/>
      <c r="L85" s="6330"/>
      <c r="M85" s="5939"/>
    </row>
    <row r="86" spans="1:13" x14ac:dyDescent="0.25">
      <c r="A86" s="5671">
        <v>41</v>
      </c>
      <c r="B86" s="5913">
        <v>74</v>
      </c>
      <c r="C86" s="5943" t="s">
        <v>686</v>
      </c>
      <c r="D86" s="5942" t="s">
        <v>1493</v>
      </c>
      <c r="E86" s="5941">
        <v>100</v>
      </c>
      <c r="F86" s="5940" t="s">
        <v>18</v>
      </c>
      <c r="G86" s="6070">
        <v>29</v>
      </c>
      <c r="H86" s="6070">
        <v>41</v>
      </c>
      <c r="I86" s="6070">
        <v>0</v>
      </c>
      <c r="J86" s="6070">
        <v>0</v>
      </c>
      <c r="K86" s="6070">
        <v>0</v>
      </c>
      <c r="L86" s="6071">
        <v>0</v>
      </c>
      <c r="M86" s="5939">
        <f t="shared" si="0"/>
        <v>100</v>
      </c>
    </row>
    <row r="87" spans="1:13" ht="30" customHeight="1" x14ac:dyDescent="0.25">
      <c r="A87" s="5671"/>
      <c r="B87" s="5914">
        <v>75</v>
      </c>
      <c r="C87" s="6328" t="s">
        <v>3021</v>
      </c>
      <c r="D87" s="6329"/>
      <c r="E87" s="6329"/>
      <c r="F87" s="6329"/>
      <c r="G87" s="6329"/>
      <c r="H87" s="6329"/>
      <c r="I87" s="6329"/>
      <c r="J87" s="6329"/>
      <c r="K87" s="6329"/>
      <c r="L87" s="6330"/>
      <c r="M87" s="5939"/>
    </row>
    <row r="88" spans="1:13" x14ac:dyDescent="0.25">
      <c r="A88" s="5671">
        <v>42</v>
      </c>
      <c r="B88" s="5912">
        <v>76</v>
      </c>
      <c r="C88" s="5943" t="s">
        <v>802</v>
      </c>
      <c r="D88" s="5942" t="s">
        <v>3422</v>
      </c>
      <c r="E88" s="5941">
        <v>80</v>
      </c>
      <c r="F88" s="5940" t="s">
        <v>18</v>
      </c>
      <c r="G88" s="6070">
        <v>96</v>
      </c>
      <c r="H88" s="6070">
        <v>84</v>
      </c>
      <c r="I88" s="6070">
        <v>94</v>
      </c>
      <c r="J88" s="6070">
        <v>95</v>
      </c>
      <c r="K88" s="6070">
        <v>96</v>
      </c>
      <c r="L88" s="6071">
        <v>98</v>
      </c>
      <c r="M88" s="5939">
        <v>100</v>
      </c>
    </row>
    <row r="89" spans="1:13" x14ac:dyDescent="0.25">
      <c r="A89" s="5671"/>
      <c r="B89" s="5912">
        <v>77</v>
      </c>
      <c r="C89" s="6328" t="s">
        <v>1874</v>
      </c>
      <c r="D89" s="6329"/>
      <c r="E89" s="6329"/>
      <c r="F89" s="6329"/>
      <c r="G89" s="6329"/>
      <c r="H89" s="6329"/>
      <c r="I89" s="6329"/>
      <c r="J89" s="6329"/>
      <c r="K89" s="6329"/>
      <c r="L89" s="6330"/>
      <c r="M89" s="5939"/>
    </row>
    <row r="90" spans="1:13" x14ac:dyDescent="0.25">
      <c r="A90" s="5671">
        <v>43</v>
      </c>
      <c r="B90" s="5913">
        <v>78</v>
      </c>
      <c r="C90" s="5943" t="s">
        <v>811</v>
      </c>
      <c r="D90" s="5942" t="s">
        <v>811</v>
      </c>
      <c r="E90" s="5941">
        <v>90</v>
      </c>
      <c r="F90" s="5940" t="s">
        <v>18</v>
      </c>
      <c r="G90" s="6070">
        <v>57</v>
      </c>
      <c r="H90" s="6070">
        <v>42</v>
      </c>
      <c r="I90" s="6070">
        <v>56</v>
      </c>
      <c r="J90" s="6070">
        <v>65</v>
      </c>
      <c r="K90" s="6070">
        <v>61</v>
      </c>
      <c r="L90" s="6071">
        <v>53</v>
      </c>
      <c r="M90" s="5939">
        <v>100</v>
      </c>
    </row>
    <row r="91" spans="1:13" x14ac:dyDescent="0.25">
      <c r="A91" s="5671"/>
      <c r="B91" s="5914">
        <v>79</v>
      </c>
      <c r="C91" s="6328" t="s">
        <v>1865</v>
      </c>
      <c r="D91" s="6329"/>
      <c r="E91" s="6329"/>
      <c r="F91" s="6329"/>
      <c r="G91" s="6329"/>
      <c r="H91" s="6329"/>
      <c r="I91" s="6329"/>
      <c r="J91" s="6329"/>
      <c r="K91" s="6329"/>
      <c r="L91" s="6330"/>
      <c r="M91" s="5939"/>
    </row>
    <row r="92" spans="1:13" x14ac:dyDescent="0.25">
      <c r="A92" s="5671">
        <v>44</v>
      </c>
      <c r="B92" s="5912">
        <v>80</v>
      </c>
      <c r="C92" s="5943" t="s">
        <v>812</v>
      </c>
      <c r="D92" s="5942" t="s">
        <v>3423</v>
      </c>
      <c r="E92" s="5941">
        <v>100</v>
      </c>
      <c r="F92" s="5940" t="s">
        <v>18</v>
      </c>
      <c r="G92" s="6070">
        <v>18</v>
      </c>
      <c r="H92" s="6070">
        <v>18</v>
      </c>
      <c r="I92" s="6070">
        <v>22</v>
      </c>
      <c r="J92" s="6070">
        <v>16</v>
      </c>
      <c r="K92" s="6070">
        <v>16</v>
      </c>
      <c r="L92" s="6071">
        <v>20</v>
      </c>
      <c r="M92" s="5939">
        <v>300</v>
      </c>
    </row>
    <row r="93" spans="1:13" x14ac:dyDescent="0.25">
      <c r="A93" s="5671"/>
      <c r="B93" s="5912">
        <v>81</v>
      </c>
      <c r="C93" s="6328" t="s">
        <v>3792</v>
      </c>
      <c r="D93" s="6329"/>
      <c r="E93" s="6329"/>
      <c r="F93" s="6329"/>
      <c r="G93" s="6329"/>
      <c r="H93" s="6329"/>
      <c r="I93" s="6329"/>
      <c r="J93" s="6329"/>
      <c r="K93" s="6329"/>
      <c r="L93" s="6330"/>
      <c r="M93" s="5939"/>
    </row>
    <row r="94" spans="1:13" x14ac:dyDescent="0.25">
      <c r="A94" s="1316"/>
      <c r="B94" s="5672"/>
      <c r="C94" s="5673"/>
      <c r="D94" s="5672"/>
      <c r="E94" s="5672"/>
      <c r="F94" s="5672"/>
      <c r="G94" s="5673"/>
      <c r="H94" s="5672"/>
      <c r="I94" s="5672"/>
      <c r="J94" s="5673"/>
      <c r="K94" s="5672"/>
      <c r="L94" s="5672"/>
      <c r="M94" s="5674"/>
    </row>
    <row r="95" spans="1:13" x14ac:dyDescent="0.25">
      <c r="A95" s="1316"/>
      <c r="B95" s="1316"/>
      <c r="C95" s="1316"/>
      <c r="D95" s="1316"/>
      <c r="E95" s="1316"/>
      <c r="F95" s="1316"/>
      <c r="G95" s="1316"/>
      <c r="H95" s="1316"/>
      <c r="I95" s="1316"/>
      <c r="J95" s="1316"/>
      <c r="K95" s="1316"/>
      <c r="L95" s="1316"/>
      <c r="M95" s="1316"/>
    </row>
    <row r="96" spans="1:13" x14ac:dyDescent="0.25">
      <c r="A96" s="1316"/>
      <c r="B96" s="1316"/>
      <c r="C96" s="1316"/>
      <c r="D96" s="1316"/>
      <c r="E96" s="1316"/>
      <c r="F96" s="1316"/>
      <c r="G96" s="1316"/>
      <c r="H96" s="1316"/>
      <c r="I96" s="1316"/>
      <c r="J96" s="1316"/>
      <c r="K96" s="1316"/>
      <c r="L96" s="1316"/>
      <c r="M96" s="1316"/>
    </row>
    <row r="97" spans="1:13" x14ac:dyDescent="0.25">
      <c r="A97" s="1316"/>
      <c r="B97" s="1316"/>
      <c r="C97" s="1316"/>
      <c r="D97" s="1316"/>
      <c r="E97" s="1316"/>
      <c r="F97" s="1316"/>
      <c r="G97" s="1316"/>
      <c r="H97" s="1316"/>
      <c r="I97" s="1316"/>
      <c r="J97" s="1316"/>
      <c r="K97" s="1316"/>
      <c r="L97" s="1316"/>
      <c r="M97" s="1316"/>
    </row>
    <row r="98" spans="1:13" x14ac:dyDescent="0.25">
      <c r="A98" s="1316"/>
      <c r="B98" s="1316"/>
      <c r="C98" s="1316"/>
      <c r="D98" s="1316"/>
      <c r="E98" s="1316"/>
      <c r="F98" s="1316"/>
      <c r="G98" s="1316"/>
      <c r="H98" s="1316"/>
      <c r="I98" s="1316"/>
      <c r="J98" s="1316"/>
      <c r="K98" s="1316"/>
      <c r="L98" s="1316"/>
      <c r="M98" s="1316"/>
    </row>
    <row r="99" spans="1:13" x14ac:dyDescent="0.25">
      <c r="A99" s="1316"/>
      <c r="B99" s="1316"/>
      <c r="C99" s="1316"/>
      <c r="D99" s="1316"/>
      <c r="E99" s="1316"/>
      <c r="F99" s="1316"/>
      <c r="G99" s="1316"/>
      <c r="H99" s="1316"/>
      <c r="I99" s="1316"/>
      <c r="J99" s="1316"/>
      <c r="K99" s="1316"/>
      <c r="L99" s="1316"/>
      <c r="M99" s="1316"/>
    </row>
    <row r="100" spans="1:13" x14ac:dyDescent="0.25">
      <c r="A100" s="1316"/>
      <c r="B100" s="1316"/>
      <c r="C100" s="1316"/>
      <c r="D100" s="1316"/>
      <c r="E100" s="1316"/>
      <c r="F100" s="1316"/>
      <c r="G100" s="1316"/>
      <c r="H100" s="1316"/>
      <c r="I100" s="1316"/>
      <c r="J100" s="1316"/>
      <c r="K100" s="1316"/>
      <c r="L100" s="1316"/>
      <c r="M100" s="1316"/>
    </row>
    <row r="101" spans="1:13" x14ac:dyDescent="0.25">
      <c r="A101" s="1316"/>
      <c r="B101" s="1316"/>
      <c r="C101" s="1316"/>
      <c r="D101" s="1316"/>
      <c r="E101" s="1316"/>
      <c r="F101" s="1316"/>
      <c r="G101" s="1316"/>
      <c r="H101" s="1316"/>
      <c r="I101" s="1316"/>
      <c r="J101" s="1316"/>
      <c r="K101" s="1316"/>
      <c r="L101" s="1316"/>
      <c r="M101" s="1316"/>
    </row>
    <row r="102" spans="1:13" x14ac:dyDescent="0.25">
      <c r="A102" s="1316"/>
      <c r="B102" s="1316"/>
      <c r="C102" s="1316"/>
      <c r="D102" s="1316"/>
      <c r="E102" s="1316"/>
      <c r="F102" s="1316"/>
      <c r="G102" s="1316"/>
      <c r="H102" s="1316"/>
      <c r="I102" s="1316"/>
      <c r="J102" s="1316"/>
      <c r="K102" s="1316"/>
      <c r="L102" s="1316"/>
      <c r="M102" s="1316"/>
    </row>
    <row r="103" spans="1:13" x14ac:dyDescent="0.25">
      <c r="A103" s="1316"/>
      <c r="B103" s="1316"/>
      <c r="C103" s="1316"/>
      <c r="D103" s="1316"/>
      <c r="E103" s="1316"/>
      <c r="F103" s="1316"/>
      <c r="G103" s="1316"/>
      <c r="H103" s="1316"/>
      <c r="I103" s="1316"/>
      <c r="J103" s="1316"/>
      <c r="K103" s="1316"/>
      <c r="L103" s="1316"/>
      <c r="M103" s="1316"/>
    </row>
    <row r="104" spans="1:13" x14ac:dyDescent="0.25">
      <c r="A104" s="1316"/>
      <c r="B104" s="1316"/>
      <c r="C104" s="1316"/>
      <c r="D104" s="1316"/>
      <c r="E104" s="1316"/>
      <c r="F104" s="1316"/>
      <c r="G104" s="1316"/>
      <c r="H104" s="1316"/>
      <c r="I104" s="1316"/>
      <c r="J104" s="1316"/>
      <c r="K104" s="1316"/>
      <c r="L104" s="1316"/>
      <c r="M104" s="1316"/>
    </row>
    <row r="105" spans="1:13" x14ac:dyDescent="0.25">
      <c r="A105" s="1316"/>
      <c r="B105" s="1316"/>
      <c r="C105" s="1316"/>
      <c r="D105" s="1316"/>
      <c r="E105" s="1316"/>
      <c r="F105" s="1316"/>
      <c r="G105" s="1316"/>
      <c r="H105" s="1316"/>
      <c r="I105" s="1316"/>
      <c r="J105" s="1316"/>
      <c r="K105" s="1316"/>
      <c r="L105" s="1316"/>
      <c r="M105" s="1316"/>
    </row>
    <row r="106" spans="1:13" x14ac:dyDescent="0.25">
      <c r="A106" s="1316"/>
      <c r="B106" s="1316"/>
      <c r="C106" s="1316"/>
      <c r="D106" s="1316"/>
      <c r="E106" s="1316"/>
      <c r="F106" s="1316"/>
      <c r="G106" s="1316"/>
      <c r="H106" s="1316"/>
      <c r="I106" s="1316"/>
      <c r="J106" s="1316"/>
      <c r="K106" s="1316"/>
      <c r="L106" s="1316"/>
      <c r="M106" s="1316"/>
    </row>
    <row r="107" spans="1:13" x14ac:dyDescent="0.25">
      <c r="A107" s="1316"/>
      <c r="B107" s="1316"/>
      <c r="C107" s="1316"/>
      <c r="D107" s="1316"/>
      <c r="E107" s="1316"/>
      <c r="F107" s="1316"/>
      <c r="G107" s="1316"/>
      <c r="H107" s="1316"/>
      <c r="I107" s="1316"/>
      <c r="J107" s="1316"/>
      <c r="K107" s="1316"/>
      <c r="L107" s="1316"/>
      <c r="M107" s="1316"/>
    </row>
    <row r="108" spans="1:13" x14ac:dyDescent="0.25">
      <c r="A108" s="1316"/>
      <c r="B108" s="1316"/>
      <c r="C108" s="1316"/>
      <c r="D108" s="1316"/>
      <c r="E108" s="1316"/>
      <c r="F108" s="1316"/>
      <c r="G108" s="1316"/>
      <c r="H108" s="1316"/>
      <c r="I108" s="1316"/>
      <c r="J108" s="1316"/>
      <c r="K108" s="1316"/>
      <c r="L108" s="1316"/>
      <c r="M108" s="1316"/>
    </row>
    <row r="109" spans="1:13" x14ac:dyDescent="0.25">
      <c r="A109" s="1316"/>
      <c r="B109" s="1316"/>
      <c r="C109" s="1316"/>
      <c r="D109" s="1316"/>
      <c r="E109" s="1316"/>
      <c r="F109" s="1316"/>
      <c r="G109" s="1316"/>
      <c r="H109" s="1316"/>
      <c r="I109" s="1316"/>
      <c r="J109" s="1316"/>
      <c r="K109" s="1316"/>
      <c r="L109" s="1316"/>
      <c r="M109" s="1316"/>
    </row>
    <row r="110" spans="1:13" x14ac:dyDescent="0.25">
      <c r="A110" s="1316"/>
      <c r="B110" s="1316"/>
      <c r="C110" s="1316"/>
      <c r="D110" s="1316"/>
      <c r="E110" s="1316"/>
      <c r="F110" s="1316"/>
      <c r="G110" s="1316"/>
      <c r="H110" s="1316"/>
      <c r="I110" s="1316"/>
      <c r="J110" s="1316"/>
      <c r="K110" s="1316"/>
      <c r="L110" s="1316"/>
      <c r="M110" s="1316"/>
    </row>
    <row r="111" spans="1:13" x14ac:dyDescent="0.25">
      <c r="A111" s="1316"/>
      <c r="B111" s="1316"/>
      <c r="C111" s="1316"/>
      <c r="D111" s="1316"/>
      <c r="E111" s="1316"/>
      <c r="F111" s="1316"/>
      <c r="G111" s="1316"/>
      <c r="H111" s="1316"/>
      <c r="I111" s="1316"/>
      <c r="J111" s="1316"/>
      <c r="K111" s="1316"/>
      <c r="L111" s="1316"/>
      <c r="M111" s="1316"/>
    </row>
    <row r="112" spans="1:13" x14ac:dyDescent="0.25">
      <c r="A112" s="1316"/>
      <c r="B112" s="1316"/>
      <c r="C112" s="1316"/>
      <c r="D112" s="1316"/>
      <c r="E112" s="1316"/>
      <c r="F112" s="1316"/>
      <c r="G112" s="1316"/>
      <c r="H112" s="1316"/>
      <c r="I112" s="1316"/>
      <c r="J112" s="1316"/>
      <c r="K112" s="1316"/>
      <c r="L112" s="1316"/>
      <c r="M112" s="1316"/>
    </row>
    <row r="113" spans="1:13" x14ac:dyDescent="0.25">
      <c r="A113" s="1316"/>
      <c r="B113" s="1316"/>
      <c r="C113" s="1316"/>
      <c r="D113" s="1316"/>
      <c r="E113" s="1316"/>
      <c r="F113" s="1316"/>
      <c r="G113" s="1316"/>
      <c r="H113" s="1316"/>
      <c r="I113" s="1316"/>
      <c r="J113" s="1316"/>
      <c r="K113" s="1316"/>
      <c r="L113" s="1316"/>
      <c r="M113" s="1316"/>
    </row>
    <row r="114" spans="1:13" x14ac:dyDescent="0.25">
      <c r="A114" s="1316"/>
      <c r="B114" s="1316"/>
      <c r="C114" s="1316"/>
      <c r="D114" s="1316"/>
      <c r="E114" s="1316"/>
      <c r="F114" s="1316"/>
      <c r="G114" s="1316"/>
      <c r="H114" s="1316"/>
      <c r="I114" s="1316"/>
      <c r="J114" s="1316"/>
      <c r="K114" s="1316"/>
      <c r="L114" s="1316"/>
      <c r="M114" s="1316"/>
    </row>
    <row r="115" spans="1:13" x14ac:dyDescent="0.25">
      <c r="A115" s="1316"/>
      <c r="B115" s="1316"/>
      <c r="C115" s="1316"/>
      <c r="D115" s="1316"/>
      <c r="E115" s="1316"/>
      <c r="F115" s="1316"/>
      <c r="G115" s="1316"/>
      <c r="H115" s="1316"/>
      <c r="I115" s="1316"/>
      <c r="J115" s="1316"/>
      <c r="K115" s="1316"/>
      <c r="L115" s="1316"/>
      <c r="M115" s="1316"/>
    </row>
    <row r="116" spans="1:13" x14ac:dyDescent="0.25">
      <c r="A116" s="1316"/>
      <c r="B116" s="1316"/>
      <c r="C116" s="1316"/>
      <c r="D116" s="1316"/>
      <c r="E116" s="1316"/>
      <c r="F116" s="1316"/>
      <c r="G116" s="1316"/>
      <c r="H116" s="1316"/>
      <c r="I116" s="1316"/>
      <c r="J116" s="1316"/>
      <c r="K116" s="1316"/>
      <c r="L116" s="1316"/>
      <c r="M116" s="1316"/>
    </row>
    <row r="117" spans="1:13" x14ac:dyDescent="0.25">
      <c r="A117" s="1316"/>
      <c r="B117" s="1316"/>
      <c r="C117" s="1316"/>
      <c r="D117" s="1316"/>
      <c r="E117" s="1316"/>
      <c r="F117" s="1316"/>
      <c r="G117" s="1316"/>
      <c r="H117" s="1316"/>
      <c r="I117" s="1316"/>
      <c r="J117" s="1316"/>
      <c r="K117" s="1316"/>
      <c r="L117" s="1316"/>
      <c r="M117" s="1316"/>
    </row>
    <row r="118" spans="1:13" x14ac:dyDescent="0.25">
      <c r="A118" s="1316"/>
      <c r="B118" s="1316"/>
      <c r="C118" s="1316"/>
      <c r="D118" s="1316"/>
      <c r="E118" s="1316"/>
      <c r="F118" s="1316"/>
      <c r="G118" s="1316"/>
      <c r="H118" s="1316"/>
      <c r="I118" s="1316"/>
      <c r="J118" s="1316"/>
      <c r="K118" s="1316"/>
      <c r="L118" s="1316"/>
      <c r="M118" s="1316"/>
    </row>
    <row r="119" spans="1:13" x14ac:dyDescent="0.25">
      <c r="A119" s="1316"/>
      <c r="B119" s="1316"/>
      <c r="C119" s="1316"/>
      <c r="D119" s="1316"/>
      <c r="E119" s="1316"/>
      <c r="F119" s="1316"/>
      <c r="G119" s="1316"/>
      <c r="H119" s="1316"/>
      <c r="I119" s="1316"/>
      <c r="J119" s="1316"/>
      <c r="K119" s="1316"/>
      <c r="L119" s="1316"/>
      <c r="M119" s="1316"/>
    </row>
    <row r="120" spans="1:13" x14ac:dyDescent="0.25">
      <c r="A120" s="1316"/>
      <c r="B120" s="1316"/>
      <c r="C120" s="1316"/>
      <c r="D120" s="1316"/>
      <c r="E120" s="1316"/>
      <c r="F120" s="1316"/>
      <c r="G120" s="1316"/>
      <c r="H120" s="1316"/>
      <c r="I120" s="1316"/>
      <c r="J120" s="1316"/>
      <c r="K120" s="1316"/>
      <c r="L120" s="1316"/>
      <c r="M120" s="1316"/>
    </row>
    <row r="121" spans="1:13" x14ac:dyDescent="0.25">
      <c r="A121" s="1316"/>
      <c r="B121" s="1316"/>
      <c r="C121" s="1316"/>
      <c r="D121" s="1316"/>
      <c r="E121" s="1316"/>
      <c r="F121" s="1316"/>
      <c r="G121" s="1316"/>
      <c r="H121" s="1316"/>
      <c r="I121" s="1316"/>
      <c r="J121" s="1316"/>
      <c r="K121" s="1316"/>
      <c r="L121" s="1316"/>
      <c r="M121" s="1316"/>
    </row>
    <row r="122" spans="1:13" x14ac:dyDescent="0.25">
      <c r="A122" s="1316"/>
      <c r="B122" s="1316"/>
      <c r="C122" s="1316"/>
      <c r="D122" s="1316"/>
      <c r="E122" s="1316"/>
      <c r="F122" s="1316"/>
      <c r="G122" s="1316"/>
      <c r="H122" s="1316"/>
      <c r="I122" s="1316"/>
      <c r="J122" s="1316"/>
      <c r="K122" s="1316"/>
      <c r="L122" s="1316"/>
      <c r="M122" s="1316"/>
    </row>
    <row r="123" spans="1:13" x14ac:dyDescent="0.25">
      <c r="A123" s="1316"/>
      <c r="B123" s="1316"/>
      <c r="C123" s="1316"/>
      <c r="D123" s="1316"/>
      <c r="E123" s="1316"/>
      <c r="F123" s="1316"/>
      <c r="G123" s="1316"/>
      <c r="H123" s="1316"/>
      <c r="I123" s="1316"/>
      <c r="J123" s="1316"/>
      <c r="K123" s="1316"/>
      <c r="L123" s="1316"/>
      <c r="M123" s="1316"/>
    </row>
    <row r="124" spans="1:13" x14ac:dyDescent="0.25">
      <c r="A124" s="1316"/>
      <c r="B124" s="1316"/>
      <c r="C124" s="1316"/>
      <c r="D124" s="1316"/>
      <c r="E124" s="1316"/>
      <c r="F124" s="1316"/>
      <c r="G124" s="1316"/>
      <c r="H124" s="1316"/>
      <c r="I124" s="1316"/>
      <c r="J124" s="1316"/>
      <c r="K124" s="1316"/>
      <c r="L124" s="1316"/>
      <c r="M124" s="1316"/>
    </row>
    <row r="125" spans="1:13" x14ac:dyDescent="0.25">
      <c r="A125" s="1316"/>
      <c r="B125" s="1316"/>
      <c r="C125" s="1316"/>
      <c r="D125" s="1316"/>
      <c r="E125" s="1316"/>
      <c r="F125" s="1316"/>
      <c r="G125" s="1316"/>
      <c r="H125" s="1316"/>
      <c r="I125" s="1316"/>
      <c r="J125" s="1316"/>
      <c r="K125" s="1316"/>
      <c r="L125" s="1316"/>
      <c r="M125" s="1316"/>
    </row>
    <row r="126" spans="1:13" x14ac:dyDescent="0.25">
      <c r="A126" s="1316"/>
      <c r="B126" s="1316"/>
      <c r="C126" s="1316"/>
      <c r="D126" s="1316"/>
      <c r="E126" s="1316"/>
      <c r="F126" s="1316"/>
      <c r="G126" s="1316"/>
      <c r="H126" s="1316"/>
      <c r="I126" s="1316"/>
      <c r="J126" s="1316"/>
      <c r="K126" s="1316"/>
      <c r="L126" s="1316"/>
      <c r="M126" s="1316"/>
    </row>
    <row r="127" spans="1:13" x14ac:dyDescent="0.25">
      <c r="A127" s="1316"/>
      <c r="B127" s="1316"/>
      <c r="C127" s="1316"/>
      <c r="D127" s="1316"/>
      <c r="E127" s="1316"/>
      <c r="F127" s="1316"/>
      <c r="G127" s="1316"/>
      <c r="H127" s="1316"/>
      <c r="I127" s="1316"/>
      <c r="J127" s="1316"/>
      <c r="K127" s="1316"/>
      <c r="L127" s="1316"/>
      <c r="M127" s="1316"/>
    </row>
    <row r="128" spans="1:13" x14ac:dyDescent="0.25">
      <c r="A128" s="1316"/>
      <c r="B128" s="1316"/>
      <c r="C128" s="1316"/>
      <c r="D128" s="1316"/>
      <c r="E128" s="1316"/>
      <c r="F128" s="1316"/>
      <c r="G128" s="1316"/>
      <c r="H128" s="1316"/>
      <c r="I128" s="1316"/>
      <c r="J128" s="1316"/>
      <c r="K128" s="1316"/>
      <c r="L128" s="1316"/>
      <c r="M128" s="1316"/>
    </row>
    <row r="129" spans="1:13" x14ac:dyDescent="0.25">
      <c r="A129" s="1316"/>
      <c r="B129" s="1316"/>
      <c r="C129" s="1316"/>
      <c r="D129" s="1316"/>
      <c r="E129" s="1316"/>
      <c r="F129" s="1316"/>
      <c r="G129" s="1316"/>
      <c r="H129" s="1316"/>
      <c r="I129" s="1316"/>
      <c r="J129" s="1316"/>
      <c r="K129" s="1316"/>
      <c r="L129" s="1316"/>
      <c r="M129" s="1316"/>
    </row>
    <row r="130" spans="1:13" x14ac:dyDescent="0.25">
      <c r="A130" s="1316"/>
      <c r="B130" s="1316"/>
      <c r="C130" s="1316"/>
      <c r="D130" s="1316"/>
      <c r="E130" s="1316"/>
      <c r="F130" s="1316"/>
      <c r="G130" s="1316"/>
      <c r="H130" s="1316"/>
      <c r="I130" s="1316"/>
      <c r="J130" s="1316"/>
      <c r="K130" s="1316"/>
      <c r="L130" s="1316"/>
      <c r="M130" s="1316"/>
    </row>
    <row r="131" spans="1:13" x14ac:dyDescent="0.25">
      <c r="A131" s="1316"/>
      <c r="B131" s="1316"/>
      <c r="C131" s="1316"/>
      <c r="D131" s="1316"/>
      <c r="E131" s="1316"/>
      <c r="F131" s="1316"/>
      <c r="G131" s="1316"/>
      <c r="H131" s="1316"/>
      <c r="I131" s="1316"/>
      <c r="J131" s="1316"/>
      <c r="K131" s="1316"/>
      <c r="L131" s="1316"/>
      <c r="M131" s="1316"/>
    </row>
    <row r="132" spans="1:13" x14ac:dyDescent="0.25">
      <c r="A132" s="1316"/>
      <c r="B132" s="1316"/>
      <c r="C132" s="1316"/>
      <c r="D132" s="1316"/>
      <c r="E132" s="1316"/>
      <c r="F132" s="1316"/>
      <c r="G132" s="1316"/>
      <c r="H132" s="1316"/>
      <c r="I132" s="1316"/>
      <c r="J132" s="1316"/>
      <c r="K132" s="1316"/>
      <c r="L132" s="1316"/>
      <c r="M132" s="1316"/>
    </row>
    <row r="133" spans="1:13" x14ac:dyDescent="0.25">
      <c r="A133" s="1316"/>
      <c r="B133" s="1316"/>
      <c r="C133" s="1316"/>
      <c r="D133" s="1316"/>
      <c r="E133" s="1316"/>
      <c r="F133" s="1316"/>
      <c r="G133" s="1316"/>
      <c r="H133" s="1316"/>
      <c r="I133" s="1316"/>
      <c r="J133" s="1316"/>
      <c r="K133" s="1316"/>
      <c r="L133" s="1316"/>
      <c r="M133" s="1316"/>
    </row>
    <row r="134" spans="1:13" x14ac:dyDescent="0.25">
      <c r="A134" s="1316"/>
      <c r="B134" s="1316"/>
      <c r="C134" s="1316"/>
      <c r="D134" s="1316"/>
      <c r="E134" s="1316"/>
      <c r="F134" s="1316"/>
      <c r="G134" s="1316"/>
      <c r="H134" s="1316"/>
      <c r="I134" s="1316"/>
      <c r="J134" s="1316"/>
      <c r="K134" s="1316"/>
      <c r="L134" s="1316"/>
      <c r="M134" s="1316"/>
    </row>
    <row r="135" spans="1:13" x14ac:dyDescent="0.25">
      <c r="A135" s="1316"/>
      <c r="B135" s="1316"/>
      <c r="C135" s="1316"/>
      <c r="D135" s="1316"/>
      <c r="E135" s="1316"/>
      <c r="F135" s="1316"/>
      <c r="G135" s="1316"/>
      <c r="H135" s="1316"/>
      <c r="I135" s="1316"/>
      <c r="J135" s="1316"/>
      <c r="K135" s="1316"/>
      <c r="L135" s="1316"/>
      <c r="M135" s="1316"/>
    </row>
    <row r="136" spans="1:13" x14ac:dyDescent="0.25">
      <c r="A136" s="1316"/>
      <c r="B136" s="1316"/>
      <c r="C136" s="1316"/>
      <c r="D136" s="1316"/>
      <c r="E136" s="1316"/>
      <c r="F136" s="1316"/>
      <c r="G136" s="1316"/>
      <c r="H136" s="1316"/>
      <c r="I136" s="1316"/>
      <c r="J136" s="1316"/>
      <c r="K136" s="1316"/>
      <c r="L136" s="1316"/>
      <c r="M136" s="1316"/>
    </row>
    <row r="137" spans="1:13" x14ac:dyDescent="0.25">
      <c r="A137" s="1316"/>
      <c r="B137" s="1316"/>
      <c r="C137" s="1316"/>
      <c r="D137" s="1316"/>
      <c r="E137" s="1316"/>
      <c r="F137" s="1316"/>
      <c r="G137" s="1316"/>
      <c r="H137" s="1316"/>
      <c r="I137" s="1316"/>
      <c r="J137" s="1316"/>
      <c r="K137" s="1316"/>
      <c r="L137" s="1316"/>
      <c r="M137" s="1316"/>
    </row>
    <row r="138" spans="1:13" x14ac:dyDescent="0.25">
      <c r="A138" s="1316"/>
      <c r="B138" s="1316"/>
      <c r="C138" s="1316"/>
      <c r="D138" s="1316"/>
      <c r="E138" s="1316"/>
      <c r="F138" s="1316"/>
      <c r="G138" s="1316"/>
      <c r="H138" s="1316"/>
      <c r="I138" s="1316"/>
      <c r="J138" s="1316"/>
      <c r="K138" s="1316"/>
      <c r="L138" s="1316"/>
      <c r="M138" s="1316"/>
    </row>
    <row r="139" spans="1:13" x14ac:dyDescent="0.25">
      <c r="A139" s="1316"/>
      <c r="B139" s="1316"/>
      <c r="C139" s="1316"/>
      <c r="D139" s="1316"/>
      <c r="E139" s="1316"/>
      <c r="F139" s="1316"/>
      <c r="G139" s="1316"/>
      <c r="H139" s="1316"/>
      <c r="I139" s="1316"/>
      <c r="J139" s="1316"/>
      <c r="K139" s="1316"/>
      <c r="L139" s="1316"/>
      <c r="M139" s="1316"/>
    </row>
    <row r="140" spans="1:13" x14ac:dyDescent="0.25">
      <c r="A140" s="1316"/>
      <c r="B140" s="1316"/>
      <c r="C140" s="1316"/>
      <c r="D140" s="1316"/>
      <c r="E140" s="1316"/>
      <c r="F140" s="1316"/>
      <c r="G140" s="1316"/>
      <c r="H140" s="1316"/>
      <c r="I140" s="1316"/>
      <c r="J140" s="1316"/>
      <c r="K140" s="1316"/>
      <c r="L140" s="1316"/>
      <c r="M140" s="1316"/>
    </row>
    <row r="141" spans="1:13" x14ac:dyDescent="0.25">
      <c r="A141" s="1316"/>
      <c r="B141" s="1316"/>
      <c r="C141" s="1316"/>
      <c r="D141" s="1316"/>
      <c r="E141" s="1316"/>
      <c r="F141" s="1316"/>
      <c r="G141" s="1316"/>
      <c r="H141" s="1316"/>
      <c r="I141" s="1316"/>
      <c r="J141" s="1316"/>
      <c r="K141" s="1316"/>
      <c r="L141" s="1316"/>
      <c r="M141" s="1316"/>
    </row>
    <row r="142" spans="1:13" x14ac:dyDescent="0.25">
      <c r="A142" s="1316"/>
      <c r="B142" s="1316"/>
      <c r="C142" s="1316"/>
      <c r="D142" s="1316"/>
      <c r="E142" s="1316"/>
      <c r="F142" s="1316"/>
      <c r="G142" s="1316"/>
      <c r="H142" s="1316"/>
      <c r="I142" s="1316"/>
      <c r="J142" s="1316"/>
      <c r="K142" s="1316"/>
      <c r="L142" s="1316"/>
      <c r="M142" s="1316"/>
    </row>
    <row r="143" spans="1:13" x14ac:dyDescent="0.25">
      <c r="A143" s="1316"/>
      <c r="B143" s="1316"/>
      <c r="C143" s="1316"/>
      <c r="D143" s="1316"/>
      <c r="E143" s="1316"/>
      <c r="F143" s="1316"/>
      <c r="G143" s="1316"/>
      <c r="H143" s="1316"/>
      <c r="I143" s="1316"/>
      <c r="J143" s="1316"/>
      <c r="K143" s="1316"/>
      <c r="L143" s="1316"/>
      <c r="M143" s="1316"/>
    </row>
    <row r="144" spans="1:13" x14ac:dyDescent="0.25">
      <c r="A144" s="1316"/>
      <c r="B144" s="1316"/>
      <c r="C144" s="1316"/>
      <c r="D144" s="1316"/>
      <c r="E144" s="1316"/>
      <c r="F144" s="1316"/>
      <c r="G144" s="1316"/>
      <c r="H144" s="1316"/>
      <c r="I144" s="1316"/>
      <c r="J144" s="1316"/>
      <c r="K144" s="1316"/>
      <c r="L144" s="1316"/>
      <c r="M144" s="1316"/>
    </row>
    <row r="145" spans="1:13" x14ac:dyDescent="0.25">
      <c r="A145" s="1316"/>
      <c r="B145" s="1316"/>
      <c r="C145" s="1316"/>
      <c r="D145" s="1316"/>
      <c r="E145" s="1316"/>
      <c r="F145" s="1316"/>
      <c r="G145" s="1316"/>
      <c r="H145" s="1316"/>
      <c r="I145" s="1316"/>
      <c r="J145" s="1316"/>
      <c r="K145" s="1316"/>
      <c r="L145" s="1316"/>
      <c r="M145" s="1316"/>
    </row>
    <row r="146" spans="1:13" x14ac:dyDescent="0.25">
      <c r="A146" s="1316"/>
      <c r="B146" s="1316"/>
      <c r="C146" s="1316"/>
      <c r="D146" s="1316"/>
      <c r="E146" s="1316"/>
      <c r="F146" s="1316"/>
      <c r="G146" s="1316"/>
      <c r="H146" s="1316"/>
      <c r="I146" s="1316"/>
      <c r="J146" s="1316"/>
      <c r="K146" s="1316"/>
      <c r="L146" s="1316"/>
      <c r="M146" s="1316"/>
    </row>
    <row r="147" spans="1:13" x14ac:dyDescent="0.25">
      <c r="A147" s="1316"/>
      <c r="B147" s="1316"/>
      <c r="C147" s="1316"/>
      <c r="D147" s="1316"/>
      <c r="E147" s="1316"/>
      <c r="F147" s="1316"/>
      <c r="G147" s="1316"/>
      <c r="H147" s="1316"/>
      <c r="I147" s="1316"/>
      <c r="J147" s="1316"/>
      <c r="K147" s="1316"/>
      <c r="L147" s="1316"/>
      <c r="M147" s="1316"/>
    </row>
    <row r="148" spans="1:13" x14ac:dyDescent="0.25">
      <c r="A148" s="1316"/>
      <c r="B148" s="1316"/>
      <c r="C148" s="1316"/>
      <c r="D148" s="1316"/>
      <c r="E148" s="1316"/>
      <c r="F148" s="1316"/>
      <c r="G148" s="1316"/>
      <c r="H148" s="1316"/>
      <c r="I148" s="1316"/>
      <c r="J148" s="1316"/>
      <c r="K148" s="1316"/>
      <c r="L148" s="1316"/>
      <c r="M148" s="1316"/>
    </row>
    <row r="149" spans="1:13" x14ac:dyDescent="0.25">
      <c r="A149" s="1316"/>
      <c r="B149" s="1316"/>
      <c r="C149" s="1316"/>
      <c r="D149" s="1316"/>
      <c r="E149" s="1316"/>
      <c r="F149" s="1316"/>
      <c r="G149" s="1316"/>
      <c r="H149" s="1316"/>
      <c r="I149" s="1316"/>
      <c r="J149" s="1316"/>
      <c r="K149" s="1316"/>
      <c r="L149" s="1316"/>
      <c r="M149" s="1316"/>
    </row>
    <row r="150" spans="1:13" x14ac:dyDescent="0.25">
      <c r="A150" s="1316"/>
      <c r="B150" s="1316"/>
      <c r="C150" s="1316"/>
      <c r="D150" s="1316"/>
      <c r="E150" s="1316"/>
      <c r="F150" s="1316"/>
      <c r="G150" s="1316"/>
      <c r="H150" s="1316"/>
      <c r="I150" s="1316"/>
      <c r="J150" s="1316"/>
      <c r="K150" s="1316"/>
      <c r="L150" s="1316"/>
      <c r="M150" s="1316"/>
    </row>
    <row r="151" spans="1:13" x14ac:dyDescent="0.25">
      <c r="A151" s="1316"/>
      <c r="B151" s="1316"/>
      <c r="C151" s="1316"/>
      <c r="D151" s="1316"/>
      <c r="E151" s="1316"/>
      <c r="F151" s="1316"/>
      <c r="G151" s="1316"/>
      <c r="H151" s="1316"/>
      <c r="I151" s="1316"/>
      <c r="J151" s="1316"/>
      <c r="K151" s="1316"/>
      <c r="L151" s="1316"/>
      <c r="M151" s="1316"/>
    </row>
    <row r="152" spans="1:13" x14ac:dyDescent="0.25">
      <c r="A152" s="1316"/>
      <c r="B152" s="1316"/>
      <c r="C152" s="1316"/>
      <c r="D152" s="1316"/>
      <c r="E152" s="1316"/>
      <c r="F152" s="1316"/>
      <c r="G152" s="1316"/>
      <c r="H152" s="1316"/>
      <c r="I152" s="1316"/>
      <c r="J152" s="1316"/>
      <c r="K152" s="1316"/>
      <c r="L152" s="1316"/>
      <c r="M152" s="1316"/>
    </row>
    <row r="153" spans="1:13" x14ac:dyDescent="0.25">
      <c r="A153" s="1316"/>
      <c r="B153" s="1316"/>
      <c r="C153" s="1316"/>
      <c r="D153" s="1316"/>
      <c r="E153" s="1316"/>
      <c r="F153" s="1316"/>
      <c r="G153" s="1316"/>
      <c r="H153" s="1316"/>
      <c r="I153" s="1316"/>
      <c r="J153" s="1316"/>
      <c r="K153" s="1316"/>
      <c r="L153" s="1316"/>
      <c r="M153" s="1316"/>
    </row>
    <row r="154" spans="1:13" x14ac:dyDescent="0.25">
      <c r="A154" s="1316"/>
      <c r="B154" s="1316"/>
      <c r="C154" s="1316"/>
      <c r="D154" s="1316"/>
      <c r="E154" s="1316"/>
      <c r="F154" s="1316"/>
      <c r="G154" s="1316"/>
      <c r="H154" s="1316"/>
      <c r="I154" s="1316"/>
      <c r="J154" s="1316"/>
      <c r="K154" s="1316"/>
      <c r="L154" s="1316"/>
      <c r="M154" s="1316"/>
    </row>
    <row r="155" spans="1:13" x14ac:dyDescent="0.25">
      <c r="A155" s="1316"/>
      <c r="B155" s="1316"/>
      <c r="C155" s="1316"/>
      <c r="D155" s="1316"/>
      <c r="E155" s="1316"/>
      <c r="F155" s="1316"/>
      <c r="G155" s="1316"/>
      <c r="H155" s="1316"/>
      <c r="I155" s="1316"/>
      <c r="J155" s="1316"/>
      <c r="K155" s="1316"/>
      <c r="L155" s="1316"/>
      <c r="M155" s="1316"/>
    </row>
    <row r="156" spans="1:13" x14ac:dyDescent="0.25">
      <c r="A156" s="1316"/>
      <c r="B156" s="1316"/>
      <c r="C156" s="1316"/>
      <c r="D156" s="1316"/>
      <c r="E156" s="1316"/>
      <c r="F156" s="1316"/>
      <c r="G156" s="1316"/>
      <c r="H156" s="1316"/>
      <c r="I156" s="1316"/>
      <c r="J156" s="1316"/>
      <c r="K156" s="1316"/>
      <c r="L156" s="1316"/>
      <c r="M156" s="1316"/>
    </row>
    <row r="157" spans="1:13" x14ac:dyDescent="0.25">
      <c r="A157" s="1316"/>
      <c r="B157" s="1316"/>
      <c r="C157" s="1316"/>
      <c r="D157" s="1316"/>
      <c r="E157" s="1316"/>
      <c r="F157" s="1316"/>
      <c r="G157" s="1316"/>
      <c r="H157" s="1316"/>
      <c r="I157" s="1316"/>
      <c r="J157" s="1316"/>
      <c r="K157" s="1316"/>
      <c r="L157" s="1316"/>
      <c r="M157" s="1316"/>
    </row>
    <row r="158" spans="1:13" x14ac:dyDescent="0.25">
      <c r="A158" s="1316"/>
      <c r="B158" s="1316"/>
      <c r="C158" s="1316"/>
      <c r="D158" s="1316"/>
      <c r="E158" s="1316"/>
      <c r="F158" s="1316"/>
      <c r="G158" s="1316"/>
      <c r="H158" s="1316"/>
      <c r="I158" s="1316"/>
      <c r="J158" s="1316"/>
      <c r="K158" s="1316"/>
      <c r="L158" s="1316"/>
      <c r="M158" s="1316"/>
    </row>
    <row r="159" spans="1:13" x14ac:dyDescent="0.25">
      <c r="A159" s="1316"/>
      <c r="B159" s="1316"/>
      <c r="C159" s="1316"/>
      <c r="D159" s="1316"/>
      <c r="E159" s="1316"/>
      <c r="F159" s="1316"/>
      <c r="G159" s="1316"/>
      <c r="H159" s="1316"/>
      <c r="I159" s="1316"/>
      <c r="J159" s="1316"/>
      <c r="K159" s="1316"/>
      <c r="L159" s="1316"/>
      <c r="M159" s="1316"/>
    </row>
    <row r="160" spans="1:13" x14ac:dyDescent="0.25">
      <c r="A160" s="1316"/>
      <c r="B160" s="1316"/>
      <c r="C160" s="1316"/>
      <c r="D160" s="1316"/>
      <c r="E160" s="1316"/>
      <c r="F160" s="1316"/>
      <c r="G160" s="1316"/>
      <c r="H160" s="1316"/>
      <c r="I160" s="1316"/>
      <c r="J160" s="1316"/>
      <c r="K160" s="1316"/>
      <c r="L160" s="1316"/>
      <c r="M160" s="1316"/>
    </row>
    <row r="161" spans="1:13" x14ac:dyDescent="0.25">
      <c r="A161" s="1316"/>
      <c r="B161" s="1316"/>
      <c r="C161" s="1316"/>
      <c r="D161" s="1316"/>
      <c r="E161" s="1316"/>
      <c r="F161" s="1316"/>
      <c r="G161" s="1316"/>
      <c r="H161" s="1316"/>
      <c r="I161" s="1316"/>
      <c r="J161" s="1316"/>
      <c r="K161" s="1316"/>
      <c r="L161" s="1316"/>
      <c r="M161" s="1316"/>
    </row>
    <row r="162" spans="1:13" x14ac:dyDescent="0.25">
      <c r="A162" s="1316"/>
      <c r="B162" s="1316"/>
      <c r="C162" s="1316"/>
      <c r="D162" s="1316"/>
      <c r="E162" s="1316"/>
      <c r="F162" s="1316"/>
      <c r="G162" s="1316"/>
      <c r="H162" s="1316"/>
      <c r="I162" s="1316"/>
      <c r="J162" s="1316"/>
      <c r="K162" s="1316"/>
      <c r="L162" s="1316"/>
      <c r="M162" s="1316"/>
    </row>
    <row r="163" spans="1:13" x14ac:dyDescent="0.25">
      <c r="A163" s="1316"/>
      <c r="B163" s="1316"/>
      <c r="C163" s="1316"/>
      <c r="D163" s="1316"/>
      <c r="E163" s="1316"/>
      <c r="F163" s="1316"/>
      <c r="G163" s="1316"/>
      <c r="H163" s="1316"/>
      <c r="I163" s="1316"/>
      <c r="J163" s="1316"/>
      <c r="K163" s="1316"/>
      <c r="L163" s="1316"/>
      <c r="M163" s="1316"/>
    </row>
    <row r="164" spans="1:13" x14ac:dyDescent="0.25">
      <c r="A164" s="1316"/>
      <c r="B164" s="1316"/>
      <c r="C164" s="1316"/>
      <c r="D164" s="1316"/>
      <c r="E164" s="1316"/>
      <c r="F164" s="1316"/>
      <c r="G164" s="1316"/>
      <c r="H164" s="1316"/>
      <c r="I164" s="1316"/>
      <c r="J164" s="1316"/>
      <c r="K164" s="1316"/>
      <c r="L164" s="1316"/>
      <c r="M164" s="1316"/>
    </row>
    <row r="165" spans="1:13" x14ac:dyDescent="0.25">
      <c r="A165" s="1316"/>
      <c r="B165" s="1316"/>
      <c r="C165" s="1316"/>
      <c r="D165" s="1316"/>
      <c r="E165" s="1316"/>
      <c r="F165" s="1316"/>
      <c r="G165" s="1316"/>
      <c r="H165" s="1316"/>
      <c r="I165" s="1316"/>
      <c r="J165" s="1316"/>
      <c r="K165" s="1316"/>
      <c r="L165" s="1316"/>
      <c r="M165" s="1316"/>
    </row>
    <row r="166" spans="1:13" x14ac:dyDescent="0.25">
      <c r="B166" s="1316"/>
      <c r="C166" s="1316"/>
      <c r="D166" s="1316"/>
      <c r="E166" s="1316"/>
      <c r="F166" s="1316"/>
      <c r="G166" s="1316"/>
      <c r="H166" s="1316"/>
      <c r="I166" s="1316"/>
      <c r="J166" s="1316"/>
      <c r="K166" s="1316"/>
      <c r="L166" s="1316"/>
      <c r="M166" s="1316"/>
    </row>
    <row r="167" spans="1:13" x14ac:dyDescent="0.25">
      <c r="B167" s="1316"/>
      <c r="C167" s="1316"/>
      <c r="D167" s="1316"/>
      <c r="E167" s="1316"/>
      <c r="F167" s="1316"/>
      <c r="G167" s="1316"/>
      <c r="H167" s="1316"/>
      <c r="I167" s="1316"/>
      <c r="J167" s="1316"/>
      <c r="K167" s="1316"/>
      <c r="L167" s="1316"/>
      <c r="M167" s="1316"/>
    </row>
    <row r="168" spans="1:13" x14ac:dyDescent="0.25">
      <c r="B168" s="1316"/>
      <c r="C168" s="1316"/>
      <c r="D168" s="1316"/>
      <c r="E168" s="1316"/>
      <c r="F168" s="1316"/>
      <c r="G168" s="1316"/>
      <c r="H168" s="1316"/>
      <c r="I168" s="1316"/>
      <c r="J168" s="1316"/>
      <c r="K168" s="1316"/>
      <c r="L168" s="1316"/>
      <c r="M168" s="1316"/>
    </row>
    <row r="169" spans="1:13" x14ac:dyDescent="0.25">
      <c r="B169" s="1316"/>
      <c r="C169" s="1316"/>
      <c r="D169" s="1316"/>
      <c r="E169" s="1316"/>
      <c r="F169" s="1316"/>
      <c r="G169" s="1316"/>
      <c r="H169" s="1316"/>
      <c r="I169" s="1316"/>
      <c r="J169" s="1316"/>
      <c r="K169" s="1316"/>
      <c r="L169" s="1316"/>
      <c r="M169" s="1316"/>
    </row>
    <row r="170" spans="1:13" x14ac:dyDescent="0.25">
      <c r="B170" s="1316"/>
      <c r="C170" s="1316"/>
      <c r="D170" s="1316"/>
      <c r="E170" s="1316"/>
      <c r="F170" s="1316"/>
      <c r="G170" s="1316"/>
      <c r="H170" s="1316"/>
      <c r="I170" s="1316"/>
      <c r="J170" s="1316"/>
      <c r="K170" s="1316"/>
      <c r="L170" s="1316"/>
      <c r="M170" s="1316"/>
    </row>
    <row r="171" spans="1:13" x14ac:dyDescent="0.25">
      <c r="B171" s="1316"/>
      <c r="C171" s="1316"/>
      <c r="D171" s="1316"/>
      <c r="E171" s="1316"/>
      <c r="F171" s="1316"/>
      <c r="G171" s="1316"/>
      <c r="H171" s="1316"/>
      <c r="I171" s="1316"/>
      <c r="J171" s="1316"/>
      <c r="K171" s="1316"/>
      <c r="L171" s="1316"/>
      <c r="M171" s="1316"/>
    </row>
    <row r="172" spans="1:13" x14ac:dyDescent="0.25">
      <c r="B172" s="1316"/>
      <c r="C172" s="1316"/>
      <c r="D172" s="1316"/>
      <c r="E172" s="1316"/>
      <c r="F172" s="1316"/>
      <c r="G172" s="1316"/>
      <c r="H172" s="1316"/>
      <c r="I172" s="1316"/>
      <c r="J172" s="1316"/>
      <c r="K172" s="1316"/>
      <c r="L172" s="1316"/>
      <c r="M172" s="1316"/>
    </row>
    <row r="173" spans="1:13" x14ac:dyDescent="0.25">
      <c r="B173" s="1316"/>
      <c r="C173" s="1316"/>
      <c r="D173" s="1316"/>
      <c r="E173" s="1316"/>
      <c r="F173" s="1316"/>
      <c r="G173" s="1316"/>
      <c r="H173" s="1316"/>
      <c r="I173" s="1316"/>
      <c r="J173" s="1316"/>
      <c r="K173" s="1316"/>
      <c r="L173" s="1316"/>
      <c r="M173" s="1316"/>
    </row>
    <row r="174" spans="1:13" x14ac:dyDescent="0.25">
      <c r="B174" s="1316"/>
      <c r="C174" s="1316"/>
      <c r="D174" s="1316"/>
      <c r="E174" s="1316"/>
      <c r="F174" s="1316"/>
      <c r="G174" s="1316"/>
      <c r="H174" s="1316"/>
      <c r="I174" s="1316"/>
      <c r="J174" s="1316"/>
      <c r="K174" s="1316"/>
      <c r="L174" s="1316"/>
      <c r="M174" s="1316"/>
    </row>
    <row r="175" spans="1:13" x14ac:dyDescent="0.25">
      <c r="B175" s="1316"/>
      <c r="C175" s="1316"/>
      <c r="D175" s="1316"/>
      <c r="E175" s="1316"/>
      <c r="F175" s="1316"/>
      <c r="G175" s="1316"/>
      <c r="H175" s="1316"/>
      <c r="I175" s="1316"/>
      <c r="J175" s="1316"/>
      <c r="K175" s="1316"/>
      <c r="L175" s="1316"/>
      <c r="M175" s="1316"/>
    </row>
    <row r="176" spans="1:13" x14ac:dyDescent="0.25">
      <c r="B176" s="1316"/>
      <c r="C176" s="1316"/>
      <c r="D176" s="1316"/>
      <c r="E176" s="1316"/>
      <c r="F176" s="1316"/>
      <c r="G176" s="1316"/>
      <c r="H176" s="1316"/>
      <c r="I176" s="1316"/>
      <c r="J176" s="1316"/>
      <c r="K176" s="1316"/>
      <c r="L176" s="1316"/>
      <c r="M176" s="1316"/>
    </row>
    <row r="177" spans="2:13" x14ac:dyDescent="0.25">
      <c r="B177" s="1316"/>
      <c r="C177" s="1316"/>
      <c r="D177" s="1316"/>
      <c r="E177" s="1316"/>
      <c r="F177" s="1316"/>
      <c r="G177" s="1316"/>
      <c r="H177" s="1316"/>
      <c r="I177" s="1316"/>
      <c r="J177" s="1316"/>
      <c r="K177" s="1316"/>
      <c r="L177" s="1316"/>
      <c r="M177" s="1316"/>
    </row>
    <row r="178" spans="2:13" x14ac:dyDescent="0.25">
      <c r="B178" s="1316"/>
      <c r="C178" s="1316"/>
      <c r="D178" s="1316"/>
      <c r="E178" s="1316"/>
      <c r="F178" s="1316"/>
      <c r="G178" s="1316"/>
      <c r="H178" s="1316"/>
      <c r="I178" s="1316"/>
      <c r="J178" s="1316"/>
      <c r="K178" s="1316"/>
      <c r="L178" s="1316"/>
      <c r="M178" s="1316"/>
    </row>
    <row r="179" spans="2:13" x14ac:dyDescent="0.25">
      <c r="B179" s="1316"/>
      <c r="C179" s="1316"/>
      <c r="D179" s="1316"/>
      <c r="E179" s="1316"/>
      <c r="F179" s="1316"/>
      <c r="G179" s="1316"/>
      <c r="H179" s="1316"/>
      <c r="I179" s="1316"/>
      <c r="J179" s="1316"/>
      <c r="K179" s="1316"/>
      <c r="L179" s="1316"/>
      <c r="M179" s="1316"/>
    </row>
    <row r="180" spans="2:13" x14ac:dyDescent="0.25">
      <c r="B180" s="1316"/>
      <c r="C180" s="1316"/>
      <c r="D180" s="1316"/>
      <c r="E180" s="1316"/>
      <c r="F180" s="1316"/>
      <c r="G180" s="1316"/>
      <c r="H180" s="1316"/>
      <c r="I180" s="1316"/>
      <c r="J180" s="1316"/>
      <c r="K180" s="1316"/>
      <c r="L180" s="1316"/>
      <c r="M180" s="1316"/>
    </row>
    <row r="181" spans="2:13" x14ac:dyDescent="0.25">
      <c r="B181" s="1316"/>
      <c r="C181" s="1316"/>
      <c r="D181" s="1316"/>
      <c r="E181" s="1316"/>
      <c r="F181" s="1316"/>
      <c r="G181" s="1316"/>
      <c r="H181" s="1316"/>
      <c r="I181" s="1316"/>
      <c r="J181" s="1316"/>
      <c r="K181" s="1316"/>
      <c r="L181" s="1316"/>
      <c r="M181" s="1316"/>
    </row>
    <row r="182" spans="2:13" x14ac:dyDescent="0.25">
      <c r="B182" s="1316"/>
      <c r="C182" s="1316"/>
      <c r="D182" s="1316"/>
      <c r="E182" s="1316"/>
      <c r="F182" s="1316"/>
      <c r="G182" s="1316"/>
      <c r="H182" s="1316"/>
      <c r="I182" s="1316"/>
      <c r="J182" s="1316"/>
      <c r="K182" s="1316"/>
      <c r="L182" s="1316"/>
      <c r="M182" s="1316"/>
    </row>
    <row r="183" spans="2:13" x14ac:dyDescent="0.25">
      <c r="B183" s="1316"/>
      <c r="C183" s="1316"/>
      <c r="D183" s="1316"/>
      <c r="E183" s="1316"/>
      <c r="F183" s="1316"/>
      <c r="G183" s="1316"/>
      <c r="H183" s="1316"/>
      <c r="I183" s="1316"/>
      <c r="J183" s="1316"/>
      <c r="K183" s="1316"/>
      <c r="L183" s="1316"/>
      <c r="M183" s="1316"/>
    </row>
    <row r="184" spans="2:13" x14ac:dyDescent="0.25">
      <c r="B184" s="1316"/>
      <c r="C184" s="1316"/>
      <c r="D184" s="1316"/>
      <c r="E184" s="1316"/>
      <c r="F184" s="1316"/>
      <c r="G184" s="1316"/>
      <c r="H184" s="1316"/>
      <c r="I184" s="1316"/>
      <c r="J184" s="1316"/>
      <c r="K184" s="1316"/>
      <c r="L184" s="1316"/>
      <c r="M184" s="1316"/>
    </row>
    <row r="185" spans="2:13" x14ac:dyDescent="0.25">
      <c r="B185" s="1316"/>
      <c r="C185" s="1316"/>
      <c r="D185" s="1316"/>
      <c r="E185" s="1316"/>
      <c r="F185" s="1316"/>
      <c r="G185" s="1316"/>
      <c r="H185" s="1316"/>
      <c r="I185" s="1316"/>
      <c r="J185" s="1316"/>
      <c r="K185" s="1316"/>
      <c r="L185" s="1316"/>
      <c r="M185" s="1316"/>
    </row>
    <row r="186" spans="2:13" x14ac:dyDescent="0.25">
      <c r="B186" s="1316"/>
      <c r="C186" s="1316"/>
      <c r="D186" s="1316"/>
      <c r="E186" s="1316"/>
      <c r="F186" s="1316"/>
      <c r="G186" s="1316"/>
      <c r="H186" s="1316"/>
      <c r="I186" s="1316"/>
      <c r="J186" s="1316"/>
      <c r="K186" s="1316"/>
      <c r="L186" s="1316"/>
      <c r="M186" s="1316"/>
    </row>
    <row r="187" spans="2:13" x14ac:dyDescent="0.25">
      <c r="B187" s="1316"/>
      <c r="C187" s="1316"/>
      <c r="D187" s="1316"/>
      <c r="E187" s="1316"/>
      <c r="F187" s="1316"/>
      <c r="G187" s="1316"/>
      <c r="H187" s="1316"/>
      <c r="I187" s="1316"/>
      <c r="J187" s="1316"/>
      <c r="K187" s="1316"/>
      <c r="L187" s="1316"/>
      <c r="M187" s="1316"/>
    </row>
    <row r="188" spans="2:13" x14ac:dyDescent="0.25">
      <c r="B188" s="1316"/>
      <c r="C188" s="1316"/>
      <c r="D188" s="1316"/>
      <c r="E188" s="1316"/>
      <c r="F188" s="1316"/>
      <c r="G188" s="1316"/>
      <c r="H188" s="1316"/>
      <c r="I188" s="1316"/>
      <c r="J188" s="1316"/>
      <c r="K188" s="1316"/>
      <c r="L188" s="1316"/>
      <c r="M188" s="1316"/>
    </row>
    <row r="189" spans="2:13" x14ac:dyDescent="0.25">
      <c r="B189" s="1316"/>
      <c r="C189" s="1316"/>
      <c r="D189" s="1316"/>
      <c r="E189" s="1316"/>
      <c r="F189" s="1316"/>
      <c r="G189" s="1316"/>
      <c r="H189" s="1316"/>
      <c r="I189" s="1316"/>
      <c r="J189" s="1316"/>
      <c r="K189" s="1316"/>
      <c r="L189" s="1316"/>
      <c r="M189" s="1316"/>
    </row>
    <row r="190" spans="2:13" x14ac:dyDescent="0.25">
      <c r="B190" s="1316"/>
      <c r="C190" s="1316"/>
      <c r="D190" s="1316"/>
      <c r="E190" s="1316"/>
      <c r="F190" s="1316"/>
      <c r="G190" s="1316"/>
      <c r="H190" s="1316"/>
      <c r="I190" s="1316"/>
      <c r="J190" s="1316"/>
      <c r="K190" s="1316"/>
      <c r="L190" s="1316"/>
      <c r="M190" s="1316"/>
    </row>
    <row r="191" spans="2:13" x14ac:dyDescent="0.25">
      <c r="B191" s="1316"/>
      <c r="C191" s="1316"/>
      <c r="D191" s="1316"/>
      <c r="E191" s="1316"/>
      <c r="F191" s="1316"/>
      <c r="G191" s="1316"/>
      <c r="H191" s="1316"/>
      <c r="I191" s="1316"/>
      <c r="J191" s="1316"/>
      <c r="K191" s="1316"/>
      <c r="L191" s="1316"/>
      <c r="M191" s="1316"/>
    </row>
    <row r="192" spans="2:13" x14ac:dyDescent="0.25">
      <c r="B192" s="1316"/>
      <c r="C192" s="1316"/>
      <c r="D192" s="1316"/>
      <c r="E192" s="1316"/>
      <c r="F192" s="1316"/>
      <c r="G192" s="1316"/>
      <c r="H192" s="1316"/>
      <c r="I192" s="1316"/>
      <c r="J192" s="1316"/>
      <c r="K192" s="1316"/>
      <c r="L192" s="1316"/>
      <c r="M192" s="1316"/>
    </row>
    <row r="193" spans="2:13" x14ac:dyDescent="0.25">
      <c r="B193" s="1316"/>
      <c r="C193" s="1316"/>
      <c r="D193" s="1316"/>
      <c r="E193" s="1316"/>
      <c r="F193" s="1316"/>
      <c r="G193" s="1316"/>
      <c r="H193" s="1316"/>
      <c r="I193" s="1316"/>
      <c r="J193" s="1316"/>
      <c r="K193" s="1316"/>
      <c r="L193" s="1316"/>
      <c r="M193" s="1316"/>
    </row>
    <row r="194" spans="2:13" x14ac:dyDescent="0.25">
      <c r="B194" s="1316"/>
      <c r="C194" s="1316"/>
      <c r="D194" s="1316"/>
      <c r="E194" s="1316"/>
      <c r="F194" s="1316"/>
      <c r="G194" s="1316"/>
      <c r="H194" s="1316"/>
      <c r="I194" s="1316"/>
      <c r="J194" s="1316"/>
      <c r="K194" s="1316"/>
      <c r="L194" s="1316"/>
      <c r="M194" s="1316"/>
    </row>
    <row r="195" spans="2:13" x14ac:dyDescent="0.25">
      <c r="B195" s="1316"/>
      <c r="C195" s="1316"/>
      <c r="D195" s="1316"/>
      <c r="E195" s="1316"/>
      <c r="F195" s="1316"/>
      <c r="G195" s="1316"/>
      <c r="H195" s="1316"/>
      <c r="I195" s="1316"/>
      <c r="J195" s="1316"/>
      <c r="K195" s="1316"/>
      <c r="L195" s="1316"/>
      <c r="M195" s="1316"/>
    </row>
    <row r="196" spans="2:13" x14ac:dyDescent="0.25">
      <c r="B196" s="1316"/>
      <c r="C196" s="1316"/>
      <c r="D196" s="1316"/>
      <c r="E196" s="1316"/>
      <c r="F196" s="1316"/>
      <c r="G196" s="1316"/>
      <c r="H196" s="1316"/>
      <c r="I196" s="1316"/>
      <c r="J196" s="1316"/>
      <c r="K196" s="1316"/>
      <c r="L196" s="1316"/>
      <c r="M196" s="1316"/>
    </row>
    <row r="197" spans="2:13" x14ac:dyDescent="0.25">
      <c r="B197" s="1316"/>
      <c r="C197" s="1316"/>
      <c r="D197" s="1316"/>
      <c r="E197" s="1316"/>
      <c r="F197" s="1316"/>
      <c r="G197" s="1316"/>
      <c r="H197" s="1316"/>
      <c r="I197" s="1316"/>
      <c r="J197" s="1316"/>
      <c r="K197" s="1316"/>
      <c r="L197" s="1316"/>
      <c r="M197" s="1316"/>
    </row>
    <row r="198" spans="2:13" x14ac:dyDescent="0.25">
      <c r="B198" s="1316"/>
      <c r="C198" s="1316"/>
      <c r="D198" s="1316"/>
      <c r="E198" s="1316"/>
      <c r="F198" s="1316"/>
      <c r="G198" s="1316"/>
      <c r="H198" s="1316"/>
      <c r="I198" s="1316"/>
      <c r="J198" s="1316"/>
      <c r="K198" s="1316"/>
      <c r="L198" s="1316"/>
      <c r="M198" s="1316"/>
    </row>
    <row r="199" spans="2:13" x14ac:dyDescent="0.25">
      <c r="B199" s="1316"/>
      <c r="C199" s="1316"/>
      <c r="D199" s="1316"/>
      <c r="E199" s="1316"/>
      <c r="F199" s="1316"/>
      <c r="G199" s="1316"/>
      <c r="H199" s="1316"/>
      <c r="I199" s="1316"/>
      <c r="J199" s="1316"/>
      <c r="K199" s="1316"/>
      <c r="L199" s="1316"/>
      <c r="M199" s="1316"/>
    </row>
    <row r="200" spans="2:13" x14ac:dyDescent="0.25">
      <c r="B200" s="1316"/>
      <c r="C200" s="1316"/>
      <c r="D200" s="1316"/>
      <c r="E200" s="1316"/>
      <c r="F200" s="1316"/>
      <c r="G200" s="1316"/>
      <c r="H200" s="1316"/>
      <c r="I200" s="1316"/>
      <c r="J200" s="1316"/>
      <c r="K200" s="1316"/>
      <c r="L200" s="1316"/>
      <c r="M200" s="1316"/>
    </row>
    <row r="201" spans="2:13" x14ac:dyDescent="0.25">
      <c r="B201" s="1316"/>
      <c r="C201" s="1316"/>
      <c r="D201" s="1316"/>
      <c r="E201" s="1316"/>
      <c r="F201" s="1316"/>
      <c r="G201" s="1316"/>
      <c r="H201" s="1316"/>
      <c r="I201" s="1316"/>
      <c r="J201" s="1316"/>
      <c r="K201" s="1316"/>
      <c r="L201" s="1316"/>
      <c r="M201" s="1316"/>
    </row>
    <row r="202" spans="2:13" x14ac:dyDescent="0.25">
      <c r="B202" s="1316"/>
      <c r="C202" s="1316"/>
      <c r="D202" s="1316"/>
      <c r="E202" s="1316"/>
      <c r="F202" s="1316"/>
      <c r="G202" s="1316"/>
      <c r="H202" s="1316"/>
      <c r="I202" s="1316"/>
      <c r="J202" s="1316"/>
      <c r="K202" s="1316"/>
      <c r="L202" s="1316"/>
      <c r="M202" s="1316"/>
    </row>
    <row r="203" spans="2:13" x14ac:dyDescent="0.25">
      <c r="B203" s="1316"/>
      <c r="C203" s="1316"/>
      <c r="D203" s="1316"/>
      <c r="E203" s="1316"/>
      <c r="F203" s="1316"/>
      <c r="G203" s="1316"/>
      <c r="H203" s="1316"/>
      <c r="I203" s="1316"/>
      <c r="J203" s="1316"/>
      <c r="K203" s="1316"/>
      <c r="L203" s="1316"/>
      <c r="M203" s="1316"/>
    </row>
    <row r="204" spans="2:13" x14ac:dyDescent="0.25">
      <c r="B204" s="1316"/>
      <c r="C204" s="1316"/>
      <c r="D204" s="1316"/>
      <c r="E204" s="1316"/>
      <c r="F204" s="1316"/>
      <c r="G204" s="1316"/>
      <c r="H204" s="1316"/>
      <c r="I204" s="1316"/>
      <c r="J204" s="1316"/>
      <c r="K204" s="1316"/>
      <c r="L204" s="1316"/>
      <c r="M204" s="1316"/>
    </row>
    <row r="205" spans="2:13" x14ac:dyDescent="0.25">
      <c r="B205" s="1316"/>
      <c r="C205" s="1316"/>
      <c r="D205" s="1316"/>
      <c r="E205" s="1316"/>
      <c r="F205" s="1316"/>
      <c r="G205" s="1316"/>
      <c r="H205" s="1316"/>
      <c r="I205" s="1316"/>
      <c r="J205" s="1316"/>
      <c r="K205" s="1316"/>
      <c r="L205" s="1316"/>
      <c r="M205" s="1316"/>
    </row>
    <row r="206" spans="2:13" x14ac:dyDescent="0.25">
      <c r="B206" s="1316"/>
      <c r="C206" s="1316"/>
      <c r="D206" s="1316"/>
      <c r="E206" s="1316"/>
      <c r="F206" s="1316"/>
      <c r="G206" s="1316"/>
      <c r="H206" s="1316"/>
      <c r="I206" s="1316"/>
      <c r="J206" s="1316"/>
      <c r="K206" s="1316"/>
      <c r="L206" s="1316"/>
      <c r="M206" s="1316"/>
    </row>
    <row r="207" spans="2:13" x14ac:dyDescent="0.25">
      <c r="B207" s="1316"/>
      <c r="C207" s="1316"/>
      <c r="D207" s="1316"/>
      <c r="E207" s="1316"/>
      <c r="F207" s="1316"/>
      <c r="G207" s="1316"/>
      <c r="H207" s="1316"/>
      <c r="I207" s="1316"/>
      <c r="J207" s="1316"/>
      <c r="K207" s="1316"/>
      <c r="L207" s="1316"/>
      <c r="M207" s="1316"/>
    </row>
    <row r="208" spans="2:13" x14ac:dyDescent="0.25">
      <c r="B208" s="1316"/>
      <c r="C208" s="1316"/>
      <c r="D208" s="1316"/>
      <c r="E208" s="1316"/>
      <c r="F208" s="1316"/>
      <c r="G208" s="1316"/>
      <c r="H208" s="1316"/>
      <c r="I208" s="1316"/>
      <c r="J208" s="1316"/>
      <c r="K208" s="1316"/>
      <c r="L208" s="1316"/>
      <c r="M208" s="1316"/>
    </row>
    <row r="209" spans="2:13" x14ac:dyDescent="0.25">
      <c r="B209" s="1316"/>
      <c r="C209" s="1316"/>
      <c r="D209" s="1316"/>
      <c r="E209" s="1316"/>
      <c r="F209" s="1316"/>
      <c r="G209" s="1316"/>
      <c r="H209" s="1316"/>
      <c r="I209" s="1316"/>
      <c r="J209" s="1316"/>
      <c r="K209" s="1316"/>
      <c r="L209" s="1316"/>
      <c r="M209" s="1316"/>
    </row>
    <row r="210" spans="2:13" x14ac:dyDescent="0.25">
      <c r="B210" s="1316"/>
      <c r="C210" s="1316"/>
      <c r="D210" s="1316"/>
      <c r="E210" s="1316"/>
      <c r="F210" s="1316"/>
      <c r="G210" s="1316"/>
      <c r="H210" s="1316"/>
      <c r="I210" s="1316"/>
      <c r="J210" s="1316"/>
      <c r="K210" s="1316"/>
      <c r="L210" s="1316"/>
      <c r="M210" s="1316"/>
    </row>
    <row r="211" spans="2:13" x14ac:dyDescent="0.25">
      <c r="B211" s="1316"/>
      <c r="C211" s="1316"/>
      <c r="D211" s="1316"/>
      <c r="E211" s="1316"/>
      <c r="F211" s="1316"/>
      <c r="G211" s="1316"/>
      <c r="H211" s="1316"/>
      <c r="I211" s="1316"/>
      <c r="J211" s="1316"/>
      <c r="K211" s="1316"/>
      <c r="L211" s="1316"/>
      <c r="M211" s="1316"/>
    </row>
    <row r="212" spans="2:13" x14ac:dyDescent="0.25">
      <c r="B212" s="1316"/>
      <c r="C212" s="1316"/>
      <c r="D212" s="1316"/>
      <c r="E212" s="1316"/>
      <c r="F212" s="1316"/>
      <c r="G212" s="1316"/>
      <c r="H212" s="1316"/>
      <c r="I212" s="1316"/>
      <c r="J212" s="1316"/>
      <c r="K212" s="1316"/>
      <c r="L212" s="1316"/>
      <c r="M212" s="1316"/>
    </row>
    <row r="213" spans="2:13" x14ac:dyDescent="0.25">
      <c r="B213" s="1316"/>
      <c r="C213" s="1316"/>
      <c r="D213" s="1316"/>
      <c r="E213" s="1316"/>
      <c r="F213" s="1316"/>
      <c r="G213" s="1316"/>
      <c r="H213" s="1316"/>
      <c r="I213" s="1316"/>
      <c r="J213" s="1316"/>
      <c r="K213" s="1316"/>
      <c r="L213" s="1316"/>
      <c r="M213" s="1316"/>
    </row>
    <row r="214" spans="2:13" x14ac:dyDescent="0.25">
      <c r="B214" s="1316"/>
      <c r="C214" s="1316"/>
      <c r="D214" s="1316"/>
      <c r="E214" s="1316"/>
      <c r="F214" s="1316"/>
      <c r="G214" s="1316"/>
      <c r="H214" s="1316"/>
      <c r="I214" s="1316"/>
      <c r="J214" s="1316"/>
      <c r="K214" s="1316"/>
      <c r="L214" s="1316"/>
      <c r="M214" s="1316"/>
    </row>
    <row r="215" spans="2:13" x14ac:dyDescent="0.25">
      <c r="B215" s="1316"/>
      <c r="C215" s="1316"/>
      <c r="D215" s="1316"/>
      <c r="E215" s="1316"/>
      <c r="F215" s="1316"/>
      <c r="G215" s="1316"/>
      <c r="H215" s="1316"/>
      <c r="I215" s="1316"/>
      <c r="J215" s="1316"/>
      <c r="K215" s="1316"/>
      <c r="L215" s="1316"/>
      <c r="M215" s="1316"/>
    </row>
    <row r="216" spans="2:13" x14ac:dyDescent="0.25">
      <c r="B216" s="1316"/>
      <c r="C216" s="1316"/>
      <c r="D216" s="1316"/>
      <c r="E216" s="1316"/>
      <c r="F216" s="1316"/>
      <c r="G216" s="1316"/>
      <c r="H216" s="1316"/>
      <c r="I216" s="1316"/>
      <c r="J216" s="1316"/>
      <c r="K216" s="1316"/>
      <c r="L216" s="1316"/>
      <c r="M216" s="1316"/>
    </row>
    <row r="217" spans="2:13" x14ac:dyDescent="0.25">
      <c r="B217" s="1316"/>
      <c r="C217" s="1316"/>
      <c r="D217" s="1316"/>
      <c r="E217" s="1316"/>
      <c r="F217" s="1316"/>
      <c r="G217" s="1316"/>
      <c r="H217" s="1316"/>
      <c r="I217" s="1316"/>
      <c r="J217" s="1316"/>
      <c r="K217" s="1316"/>
      <c r="L217" s="1316"/>
      <c r="M217" s="1316"/>
    </row>
    <row r="218" spans="2:13" x14ac:dyDescent="0.25">
      <c r="B218" s="1316"/>
      <c r="C218" s="1316"/>
      <c r="D218" s="1316"/>
      <c r="E218" s="1316"/>
      <c r="F218" s="1316"/>
      <c r="G218" s="1316"/>
      <c r="H218" s="1316"/>
      <c r="I218" s="1316"/>
      <c r="J218" s="1316"/>
      <c r="K218" s="1316"/>
      <c r="L218" s="1316"/>
      <c r="M218" s="1316"/>
    </row>
    <row r="219" spans="2:13" x14ac:dyDescent="0.25">
      <c r="B219" s="1316"/>
      <c r="C219" s="1316"/>
      <c r="D219" s="1316"/>
      <c r="E219" s="1316"/>
      <c r="F219" s="1316"/>
      <c r="G219" s="1316"/>
      <c r="H219" s="1316"/>
      <c r="I219" s="1316"/>
      <c r="J219" s="1316"/>
      <c r="K219" s="1316"/>
      <c r="L219" s="1316"/>
      <c r="M219" s="1316"/>
    </row>
    <row r="220" spans="2:13" x14ac:dyDescent="0.25">
      <c r="B220" s="1316"/>
      <c r="C220" s="1316"/>
      <c r="D220" s="1316"/>
      <c r="E220" s="1316"/>
      <c r="F220" s="1316"/>
      <c r="G220" s="1316"/>
      <c r="H220" s="1316"/>
      <c r="I220" s="1316"/>
      <c r="J220" s="1316"/>
      <c r="K220" s="1316"/>
      <c r="L220" s="1316"/>
      <c r="M220" s="1316"/>
    </row>
    <row r="221" spans="2:13" x14ac:dyDescent="0.25">
      <c r="B221" s="1316"/>
      <c r="C221" s="1316"/>
      <c r="D221" s="1316"/>
      <c r="E221" s="1316"/>
      <c r="F221" s="1316"/>
      <c r="G221" s="1316"/>
      <c r="H221" s="1316"/>
      <c r="I221" s="1316"/>
      <c r="J221" s="1316"/>
      <c r="K221" s="1316"/>
      <c r="L221" s="1316"/>
      <c r="M221" s="1316"/>
    </row>
    <row r="222" spans="2:13" x14ac:dyDescent="0.25">
      <c r="B222" s="1316"/>
      <c r="C222" s="1316"/>
      <c r="D222" s="1316"/>
      <c r="E222" s="1316"/>
      <c r="F222" s="1316"/>
      <c r="G222" s="1316"/>
      <c r="H222" s="1316"/>
      <c r="I222" s="1316"/>
      <c r="J222" s="1316"/>
      <c r="K222" s="1316"/>
      <c r="L222" s="1316"/>
      <c r="M222" s="1316"/>
    </row>
    <row r="223" spans="2:13" x14ac:dyDescent="0.25">
      <c r="B223" s="1316"/>
      <c r="C223" s="1316"/>
      <c r="D223" s="1316"/>
      <c r="E223" s="1316"/>
      <c r="F223" s="1316"/>
      <c r="G223" s="1316"/>
      <c r="H223" s="1316"/>
      <c r="I223" s="1316"/>
      <c r="J223" s="1316"/>
      <c r="K223" s="1316"/>
      <c r="L223" s="1316"/>
      <c r="M223" s="1316"/>
    </row>
    <row r="224" spans="2:13" x14ac:dyDescent="0.25">
      <c r="B224" s="1316"/>
      <c r="C224" s="1316"/>
      <c r="D224" s="1316"/>
      <c r="E224" s="1316"/>
      <c r="F224" s="1316"/>
      <c r="G224" s="1316"/>
      <c r="H224" s="1316"/>
      <c r="I224" s="1316"/>
      <c r="J224" s="1316"/>
      <c r="K224" s="1316"/>
      <c r="L224" s="1316"/>
      <c r="M224" s="1316"/>
    </row>
    <row r="225" spans="2:13" x14ac:dyDescent="0.25">
      <c r="B225" s="1316"/>
      <c r="C225" s="1316"/>
      <c r="D225" s="1316"/>
      <c r="E225" s="1316"/>
      <c r="F225" s="1316"/>
      <c r="G225" s="1316"/>
      <c r="H225" s="1316"/>
      <c r="I225" s="1316"/>
      <c r="J225" s="1316"/>
      <c r="K225" s="1316"/>
      <c r="L225" s="1316"/>
      <c r="M225" s="1316"/>
    </row>
    <row r="226" spans="2:13" x14ac:dyDescent="0.25">
      <c r="B226" s="1316"/>
      <c r="C226" s="1316"/>
      <c r="D226" s="1316"/>
      <c r="E226" s="1316"/>
      <c r="F226" s="1316"/>
      <c r="G226" s="1316"/>
      <c r="H226" s="1316"/>
      <c r="I226" s="1316"/>
      <c r="J226" s="1316"/>
      <c r="K226" s="1316"/>
      <c r="L226" s="1316"/>
      <c r="M226" s="1316"/>
    </row>
    <row r="227" spans="2:13" x14ac:dyDescent="0.25">
      <c r="B227" s="1316"/>
      <c r="C227" s="1316"/>
      <c r="D227" s="1316"/>
      <c r="E227" s="1316"/>
      <c r="F227" s="1316"/>
      <c r="G227" s="1316"/>
      <c r="H227" s="1316"/>
      <c r="I227" s="1316"/>
      <c r="J227" s="1316"/>
      <c r="K227" s="1316"/>
      <c r="L227" s="1316"/>
      <c r="M227" s="1316"/>
    </row>
    <row r="228" spans="2:13" x14ac:dyDescent="0.25">
      <c r="B228" s="1316"/>
      <c r="C228" s="1316"/>
      <c r="D228" s="1316"/>
      <c r="E228" s="1316"/>
      <c r="F228" s="1316"/>
      <c r="G228" s="1316"/>
      <c r="H228" s="1316"/>
      <c r="I228" s="1316"/>
      <c r="J228" s="1316"/>
      <c r="K228" s="1316"/>
      <c r="L228" s="1316"/>
      <c r="M228" s="1316"/>
    </row>
    <row r="229" spans="2:13" x14ac:dyDescent="0.25">
      <c r="B229" s="1316"/>
      <c r="C229" s="1316"/>
      <c r="D229" s="1316"/>
      <c r="E229" s="1316"/>
      <c r="F229" s="1316"/>
      <c r="G229" s="1316"/>
      <c r="H229" s="1316"/>
      <c r="I229" s="1316"/>
      <c r="J229" s="1316"/>
      <c r="K229" s="1316"/>
      <c r="L229" s="1316"/>
      <c r="M229" s="1316"/>
    </row>
    <row r="230" spans="2:13" x14ac:dyDescent="0.25">
      <c r="B230" s="1316"/>
      <c r="C230" s="1316"/>
      <c r="D230" s="1316"/>
      <c r="E230" s="1316"/>
      <c r="F230" s="1316"/>
      <c r="G230" s="1316"/>
      <c r="H230" s="1316"/>
      <c r="I230" s="1316"/>
      <c r="J230" s="1316"/>
      <c r="K230" s="1316"/>
      <c r="L230" s="1316"/>
      <c r="M230" s="1316"/>
    </row>
    <row r="231" spans="2:13" x14ac:dyDescent="0.25">
      <c r="B231" s="1316"/>
      <c r="C231" s="1316"/>
      <c r="D231" s="1316"/>
      <c r="E231" s="1316"/>
      <c r="F231" s="1316"/>
      <c r="G231" s="1316"/>
      <c r="H231" s="1316"/>
      <c r="I231" s="1316"/>
      <c r="J231" s="1316"/>
      <c r="K231" s="1316"/>
      <c r="L231" s="1316"/>
      <c r="M231" s="1316"/>
    </row>
    <row r="232" spans="2:13" x14ac:dyDescent="0.25">
      <c r="B232" s="1316"/>
      <c r="C232" s="1316"/>
      <c r="D232" s="1316"/>
      <c r="E232" s="1316"/>
      <c r="F232" s="1316"/>
      <c r="G232" s="1316"/>
      <c r="H232" s="1316"/>
      <c r="I232" s="1316"/>
      <c r="J232" s="1316"/>
      <c r="K232" s="1316"/>
      <c r="L232" s="1316"/>
      <c r="M232" s="1316"/>
    </row>
    <row r="233" spans="2:13" x14ac:dyDescent="0.25">
      <c r="B233" s="1316"/>
      <c r="C233" s="1316"/>
      <c r="D233" s="1316"/>
      <c r="E233" s="1316"/>
      <c r="F233" s="1316"/>
      <c r="G233" s="1316"/>
      <c r="H233" s="1316"/>
      <c r="I233" s="1316"/>
      <c r="J233" s="1316"/>
      <c r="K233" s="1316"/>
      <c r="L233" s="1316"/>
      <c r="M233" s="1316"/>
    </row>
    <row r="234" spans="2:13" x14ac:dyDescent="0.25">
      <c r="B234" s="1316"/>
      <c r="C234" s="1316"/>
      <c r="D234" s="1316"/>
      <c r="E234" s="1316"/>
      <c r="F234" s="1316"/>
      <c r="G234" s="1316"/>
      <c r="H234" s="1316"/>
      <c r="I234" s="1316"/>
      <c r="J234" s="1316"/>
      <c r="K234" s="1316"/>
      <c r="L234" s="1316"/>
      <c r="M234" s="1316"/>
    </row>
    <row r="235" spans="2:13" x14ac:dyDescent="0.25">
      <c r="B235" s="1316"/>
      <c r="C235" s="1316"/>
      <c r="D235" s="1316"/>
      <c r="E235" s="1316"/>
      <c r="F235" s="1316"/>
      <c r="G235" s="1316"/>
      <c r="H235" s="1316"/>
      <c r="I235" s="1316"/>
      <c r="J235" s="1316"/>
      <c r="K235" s="1316"/>
      <c r="L235" s="1316"/>
      <c r="M235" s="1316"/>
    </row>
    <row r="236" spans="2:13" x14ac:dyDescent="0.25">
      <c r="B236" s="1316"/>
      <c r="C236" s="1316"/>
      <c r="D236" s="1316"/>
      <c r="E236" s="1316"/>
      <c r="F236" s="1316"/>
      <c r="G236" s="1316"/>
      <c r="H236" s="1316"/>
      <c r="I236" s="1316"/>
      <c r="J236" s="1316"/>
      <c r="K236" s="1316"/>
      <c r="L236" s="1316"/>
      <c r="M236" s="1316"/>
    </row>
  </sheetData>
  <sheetProtection password="DBDC" sheet="1" objects="1" scenarios="1" selectLockedCells="1"/>
  <mergeCells count="47">
    <mergeCell ref="C93:L93"/>
    <mergeCell ref="C77:L77"/>
    <mergeCell ref="C79:L79"/>
    <mergeCell ref="E9:F9"/>
    <mergeCell ref="C9:D9"/>
    <mergeCell ref="G9:I9"/>
    <mergeCell ref="K9:L9"/>
    <mergeCell ref="C83:L83"/>
    <mergeCell ref="C85:L85"/>
    <mergeCell ref="C87:L87"/>
    <mergeCell ref="C89:L89"/>
    <mergeCell ref="C91:L91"/>
    <mergeCell ref="C67:L67"/>
    <mergeCell ref="C70:L70"/>
    <mergeCell ref="C72:L72"/>
    <mergeCell ref="C75:L75"/>
    <mergeCell ref="C81:L81"/>
    <mergeCell ref="C57:L57"/>
    <mergeCell ref="C59:L59"/>
    <mergeCell ref="C61:L61"/>
    <mergeCell ref="C63:L63"/>
    <mergeCell ref="C65:L65"/>
    <mergeCell ref="C47:L47"/>
    <mergeCell ref="C49:L49"/>
    <mergeCell ref="C51:L51"/>
    <mergeCell ref="C53:L53"/>
    <mergeCell ref="C55:L55"/>
    <mergeCell ref="C37:L37"/>
    <mergeCell ref="C39:L39"/>
    <mergeCell ref="C41:L41"/>
    <mergeCell ref="C43:L43"/>
    <mergeCell ref="C45:L45"/>
    <mergeCell ref="C28:L28"/>
    <mergeCell ref="C30:L30"/>
    <mergeCell ref="C32:L32"/>
    <mergeCell ref="C34:L34"/>
    <mergeCell ref="C18:L18"/>
    <mergeCell ref="C16:L16"/>
    <mergeCell ref="C20:L20"/>
    <mergeCell ref="C22:L22"/>
    <mergeCell ref="C24:L24"/>
    <mergeCell ref="C26:L26"/>
    <mergeCell ref="C11:L11"/>
    <mergeCell ref="C4:L4"/>
    <mergeCell ref="C6:L6"/>
    <mergeCell ref="C8:L8"/>
    <mergeCell ref="C10:L10"/>
  </mergeCells>
  <dataValidations count="1">
    <dataValidation type="decimal" allowBlank="1" showInputMessage="1" showErrorMessage="1" errorTitle="Error" error="The entered value is not admissable" sqref="G36:L70 G15:L15 G17:L34 G74:L93">
      <formula1>0</formula1>
      <formula2>$M15</formula2>
    </dataValidation>
  </dataValidations>
  <hyperlinks>
    <hyperlink ref="C9" location="'Indicator info'!C14" display="Water supply"/>
    <hyperlink ref="E9:F9" location="'Indicator info'!C35" display="WW and FSM"/>
    <hyperlink ref="K9" location="'Indicator info'!C73" display="SWM"/>
    <hyperlink ref="G9:I9" location="'Indicator info'!C68" display="Storm Water Drainage"/>
  </hyperlinks>
  <pageMargins left="0.25" right="0.25" top="0.75" bottom="0.75" header="0.3" footer="0.3"/>
  <pageSetup paperSize="9" scale="2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Button 1">
              <controlPr defaultSize="0" print="0" autoFill="0" autoPict="0" macro="[0]!Print_Sheet" altText="Print this page">
                <anchor moveWithCells="1" sizeWithCells="1">
                  <from>
                    <xdr:col>10</xdr:col>
                    <xdr:colOff>571500</xdr:colOff>
                    <xdr:row>4</xdr:row>
                    <xdr:rowOff>85725</xdr:rowOff>
                  </from>
                  <to>
                    <xdr:col>11</xdr:col>
                    <xdr:colOff>495300</xdr:colOff>
                    <xdr:row>5</xdr:row>
                    <xdr:rowOff>238125</xdr:rowOff>
                  </to>
                </anchor>
              </controlPr>
            </control>
          </mc:Choice>
        </mc:AlternateContent>
        <mc:AlternateContent xmlns:mc="http://schemas.openxmlformats.org/markup-compatibility/2006">
          <mc:Choice Requires="x14">
            <control shapeId="212994" r:id="rId5" name="Button 2">
              <controlPr defaultSize="0" print="0" autoFill="0" autoPict="0" macro="[0]!ResetInputCells" altText="Print this page">
                <anchor moveWithCells="1" sizeWithCells="1">
                  <from>
                    <xdr:col>11</xdr:col>
                    <xdr:colOff>542925</xdr:colOff>
                    <xdr:row>4</xdr:row>
                    <xdr:rowOff>95250</xdr:rowOff>
                  </from>
                  <to>
                    <xdr:col>12</xdr:col>
                    <xdr:colOff>333375</xdr:colOff>
                    <xdr:row>5</xdr:row>
                    <xdr:rowOff>238125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AA328"/>
  <sheetViews>
    <sheetView zoomScale="80" zoomScaleNormal="80" zoomScaleSheetLayoutView="50" workbookViewId="0">
      <selection activeCell="D15" sqref="D15:M15"/>
    </sheetView>
  </sheetViews>
  <sheetFormatPr defaultRowHeight="15" x14ac:dyDescent="0.25"/>
  <cols>
    <col min="1" max="1" width="9.140625" style="1311" customWidth="1"/>
    <col min="2" max="2" width="6.85546875" style="1316" customWidth="1"/>
    <col min="3" max="3" width="63.85546875" style="1316" customWidth="1"/>
    <col min="4" max="13" width="15.28515625" style="1316" customWidth="1"/>
    <col min="14" max="14" width="7.5703125" style="1311" customWidth="1"/>
    <col min="15" max="15" width="8.5703125" style="1311" customWidth="1"/>
    <col min="16" max="19" width="9.140625" style="1311" customWidth="1"/>
    <col min="20" max="20" width="12.42578125" style="3735" customWidth="1"/>
    <col min="21" max="27" width="9.140625" style="3735" customWidth="1"/>
    <col min="28" max="28" width="9.140625" style="1311" customWidth="1"/>
    <col min="29" max="16384" width="9.140625" style="1311"/>
  </cols>
  <sheetData>
    <row r="1" spans="1:27" ht="6" customHeight="1" x14ac:dyDescent="0.25">
      <c r="B1" s="1311"/>
      <c r="C1" s="1311"/>
      <c r="D1" s="1311"/>
      <c r="E1" s="1311"/>
      <c r="F1" s="1311"/>
      <c r="G1" s="1311"/>
      <c r="H1" s="1311"/>
      <c r="I1" s="1312"/>
      <c r="J1" s="1311"/>
      <c r="K1" s="1311"/>
      <c r="L1" s="1311"/>
      <c r="M1" s="1311"/>
    </row>
    <row r="2" spans="1:27" ht="49.5" customHeight="1" x14ac:dyDescent="0.5">
      <c r="B2" s="1313"/>
      <c r="C2" s="6347" t="s">
        <v>2088</v>
      </c>
      <c r="D2" s="6347"/>
      <c r="E2" s="6347"/>
      <c r="F2" s="6347"/>
      <c r="G2" s="6347"/>
      <c r="H2" s="6347"/>
      <c r="I2" s="6347"/>
      <c r="J2" s="6347"/>
      <c r="K2" s="1763"/>
      <c r="L2" s="1763"/>
      <c r="M2" s="1763"/>
      <c r="N2" s="1315"/>
    </row>
    <row r="3" spans="1:27" ht="9" customHeight="1" x14ac:dyDescent="0.25">
      <c r="B3" s="1318"/>
      <c r="C3" s="1322"/>
      <c r="D3" s="1322"/>
      <c r="E3" s="1322"/>
      <c r="F3" s="1322"/>
      <c r="G3" s="1322"/>
      <c r="H3" s="1320"/>
      <c r="I3" s="1320"/>
      <c r="J3" s="1320"/>
      <c r="K3" s="1320"/>
      <c r="L3" s="1320"/>
      <c r="M3" s="1320"/>
      <c r="N3" s="1321"/>
    </row>
    <row r="4" spans="1:27" ht="28.5" x14ac:dyDescent="0.25">
      <c r="B4" s="1318"/>
      <c r="C4" s="6348"/>
      <c r="D4" s="6348"/>
      <c r="E4" s="6348"/>
      <c r="F4" s="6348"/>
      <c r="G4" s="6348"/>
      <c r="H4" s="6348"/>
      <c r="I4" s="6348"/>
      <c r="J4" s="6348"/>
      <c r="K4" s="6348"/>
      <c r="L4" s="6348"/>
      <c r="M4" s="6348"/>
      <c r="N4" s="1321"/>
    </row>
    <row r="5" spans="1:27" ht="9" customHeight="1" x14ac:dyDescent="0.25">
      <c r="B5" s="1318"/>
      <c r="C5" s="1322"/>
      <c r="D5" s="1322"/>
      <c r="E5" s="1322"/>
      <c r="F5" s="1322"/>
      <c r="G5" s="1322"/>
      <c r="H5" s="1320"/>
      <c r="I5" s="1320"/>
      <c r="J5" s="1320"/>
      <c r="K5" s="1320"/>
      <c r="L5" s="1320"/>
      <c r="M5" s="1320"/>
      <c r="N5" s="1321"/>
    </row>
    <row r="6" spans="1:27" s="1324" customFormat="1" ht="19.5" customHeight="1" x14ac:dyDescent="0.25">
      <c r="B6" s="802"/>
      <c r="C6" s="6349"/>
      <c r="D6" s="6349"/>
      <c r="E6" s="6349"/>
      <c r="F6" s="6349"/>
      <c r="G6" s="6349"/>
      <c r="H6" s="6349"/>
      <c r="I6" s="6349"/>
      <c r="J6" s="6349"/>
      <c r="K6" s="6349"/>
      <c r="L6" s="6349"/>
      <c r="M6" s="6349"/>
      <c r="N6" s="1326"/>
      <c r="T6" s="1327"/>
      <c r="U6" s="1327"/>
      <c r="V6" s="1327"/>
      <c r="W6" s="1327"/>
      <c r="X6" s="1327"/>
      <c r="Y6" s="1327"/>
      <c r="Z6" s="1327"/>
      <c r="AA6" s="1327"/>
    </row>
    <row r="7" spans="1:27" s="1324" customFormat="1" ht="8.25" customHeight="1" x14ac:dyDescent="0.25">
      <c r="B7" s="1586"/>
      <c r="C7" s="1584"/>
      <c r="D7" s="1585"/>
      <c r="E7" s="1585"/>
      <c r="F7" s="1585"/>
      <c r="G7" s="1585"/>
      <c r="H7" s="1325"/>
      <c r="I7" s="1325"/>
      <c r="J7" s="1325"/>
      <c r="K7" s="1325"/>
      <c r="L7" s="1325"/>
      <c r="M7" s="1325"/>
      <c r="N7" s="1326"/>
      <c r="T7" s="1327"/>
      <c r="U7" s="1327"/>
      <c r="V7" s="1327"/>
      <c r="W7" s="1327"/>
      <c r="X7" s="1327"/>
      <c r="Y7" s="1327"/>
      <c r="Z7" s="1327"/>
      <c r="AA7" s="1327"/>
    </row>
    <row r="8" spans="1:27" s="1328" customFormat="1" ht="31.5" customHeight="1" x14ac:dyDescent="0.25">
      <c r="B8" s="1329"/>
      <c r="C8" s="6350" t="s">
        <v>3935</v>
      </c>
      <c r="D8" s="6350"/>
      <c r="E8" s="6350"/>
      <c r="F8" s="6350"/>
      <c r="G8" s="6350"/>
      <c r="H8" s="6350"/>
      <c r="I8" s="6350"/>
      <c r="J8" s="6350"/>
      <c r="K8" s="6350"/>
      <c r="L8" s="6350"/>
      <c r="M8" s="6350"/>
      <c r="N8" s="1331"/>
      <c r="T8" s="3736"/>
      <c r="U8" s="3736"/>
      <c r="V8" s="3736"/>
      <c r="W8" s="3736"/>
      <c r="X8" s="3736"/>
      <c r="Y8" s="3736"/>
      <c r="Z8" s="3736"/>
      <c r="AA8" s="3736"/>
    </row>
    <row r="9" spans="1:27" s="1328" customFormat="1" ht="26.25" customHeight="1" x14ac:dyDescent="0.25">
      <c r="A9" s="5468" t="s">
        <v>184</v>
      </c>
      <c r="B9" s="1764"/>
      <c r="C9" s="6133" t="s">
        <v>3731</v>
      </c>
      <c r="D9" s="6334"/>
      <c r="E9" s="6334"/>
      <c r="F9" s="6334"/>
      <c r="G9" s="6334"/>
      <c r="H9" s="6334"/>
      <c r="I9" s="6334"/>
      <c r="J9" s="6334"/>
      <c r="K9" s="6334"/>
      <c r="L9" s="6334"/>
      <c r="M9" s="5704"/>
      <c r="N9" s="5705"/>
      <c r="T9" s="3736"/>
      <c r="U9" s="3736"/>
      <c r="V9" s="3736"/>
      <c r="W9" s="3736"/>
      <c r="X9" s="3736"/>
      <c r="Y9" s="3736"/>
      <c r="Z9" s="3736"/>
      <c r="AA9" s="3736"/>
    </row>
    <row r="10" spans="1:27" s="5274" customFormat="1" ht="28.5" customHeight="1" x14ac:dyDescent="0.35">
      <c r="B10" s="5702"/>
      <c r="C10" s="5702" t="s">
        <v>3466</v>
      </c>
      <c r="D10" s="5275"/>
      <c r="E10" s="5275"/>
      <c r="F10" s="5275"/>
      <c r="G10" s="5275"/>
      <c r="H10" s="5275"/>
      <c r="I10" s="5275"/>
      <c r="J10" s="5275"/>
      <c r="K10" s="5275"/>
      <c r="L10" s="5275"/>
      <c r="M10" s="5275"/>
      <c r="N10" s="5275"/>
      <c r="T10" s="5276"/>
      <c r="U10" s="5276"/>
      <c r="V10" s="5276"/>
      <c r="W10" s="5276"/>
      <c r="X10" s="5276"/>
      <c r="Y10" s="5276"/>
      <c r="Z10" s="5276"/>
      <c r="AA10" s="5276"/>
    </row>
    <row r="11" spans="1:27" s="1328" customFormat="1" ht="93" customHeight="1" x14ac:dyDescent="0.25">
      <c r="B11" s="1765"/>
      <c r="C11" s="6298" t="s">
        <v>3482</v>
      </c>
      <c r="D11" s="6298"/>
      <c r="E11" s="6298"/>
      <c r="F11" s="6298"/>
      <c r="G11" s="6298"/>
      <c r="H11" s="6298"/>
      <c r="I11" s="6298"/>
      <c r="J11" s="6298"/>
      <c r="K11" s="6298"/>
      <c r="L11" s="6298"/>
      <c r="M11" s="6298"/>
      <c r="N11" s="1723"/>
      <c r="T11" s="3736"/>
      <c r="U11" s="3736"/>
      <c r="V11" s="3736"/>
      <c r="W11" s="3736"/>
      <c r="X11" s="3736"/>
      <c r="Y11" s="3736"/>
      <c r="Z11" s="3736"/>
      <c r="AA11" s="3736"/>
    </row>
    <row r="12" spans="1:27" s="1328" customFormat="1" ht="18.75" customHeight="1" x14ac:dyDescent="0.25">
      <c r="B12" s="1765"/>
      <c r="C12" s="5273" t="s">
        <v>767</v>
      </c>
      <c r="D12" s="6351" t="s">
        <v>3467</v>
      </c>
      <c r="E12" s="6351"/>
      <c r="F12" s="6351"/>
      <c r="G12" s="6351"/>
      <c r="H12" s="6351"/>
      <c r="I12" s="6351"/>
      <c r="J12" s="6351"/>
      <c r="K12" s="6351"/>
      <c r="L12" s="6351"/>
      <c r="M12" s="6351"/>
      <c r="N12" s="1723"/>
      <c r="T12" s="3736"/>
      <c r="U12" s="3736"/>
      <c r="V12" s="3736"/>
      <c r="W12" s="3736"/>
      <c r="X12" s="3736"/>
      <c r="Y12" s="3736"/>
      <c r="Z12" s="3736"/>
      <c r="AA12" s="3736"/>
    </row>
    <row r="13" spans="1:27" s="1328" customFormat="1" ht="18.75" customHeight="1" x14ac:dyDescent="0.25">
      <c r="B13" s="1765"/>
      <c r="C13" s="5273" t="s">
        <v>1020</v>
      </c>
      <c r="D13" s="6351" t="s">
        <v>3468</v>
      </c>
      <c r="E13" s="6351"/>
      <c r="F13" s="6351"/>
      <c r="G13" s="6351"/>
      <c r="H13" s="6351"/>
      <c r="I13" s="6351"/>
      <c r="J13" s="6351"/>
      <c r="K13" s="6351"/>
      <c r="L13" s="6351"/>
      <c r="M13" s="6351"/>
      <c r="N13" s="1723"/>
      <c r="T13" s="3736"/>
      <c r="U13" s="3736"/>
      <c r="V13" s="3736"/>
      <c r="W13" s="3736"/>
      <c r="X13" s="3736"/>
      <c r="Y13" s="3736"/>
      <c r="Z13" s="3736"/>
      <c r="AA13" s="3736"/>
    </row>
    <row r="14" spans="1:27" s="1328" customFormat="1" ht="18.75" customHeight="1" x14ac:dyDescent="0.25">
      <c r="B14" s="1765"/>
      <c r="C14" s="5273" t="s">
        <v>1043</v>
      </c>
      <c r="D14" s="6351" t="s">
        <v>3469</v>
      </c>
      <c r="E14" s="6351"/>
      <c r="F14" s="6351"/>
      <c r="G14" s="6351"/>
      <c r="H14" s="6351"/>
      <c r="I14" s="6351"/>
      <c r="J14" s="6351"/>
      <c r="K14" s="6351"/>
      <c r="L14" s="6351"/>
      <c r="M14" s="6351"/>
      <c r="N14" s="1723"/>
      <c r="T14" s="3736"/>
      <c r="U14" s="3736"/>
      <c r="V14" s="3736"/>
      <c r="W14" s="3736"/>
      <c r="X14" s="3736"/>
      <c r="Y14" s="3736"/>
      <c r="Z14" s="3736"/>
      <c r="AA14" s="3736"/>
    </row>
    <row r="15" spans="1:27" s="1328" customFormat="1" ht="18.75" customHeight="1" x14ac:dyDescent="0.25">
      <c r="B15" s="1765"/>
      <c r="C15" s="5273" t="s">
        <v>768</v>
      </c>
      <c r="D15" s="6351" t="s">
        <v>3470</v>
      </c>
      <c r="E15" s="6351"/>
      <c r="F15" s="6351"/>
      <c r="G15" s="6351"/>
      <c r="H15" s="6351"/>
      <c r="I15" s="6351"/>
      <c r="J15" s="6351"/>
      <c r="K15" s="6351"/>
      <c r="L15" s="6351"/>
      <c r="M15" s="6351"/>
      <c r="N15" s="1723"/>
      <c r="T15" s="3736"/>
      <c r="U15" s="3736"/>
      <c r="V15" s="3736"/>
      <c r="W15" s="3736"/>
      <c r="X15" s="3736"/>
      <c r="Y15" s="3736"/>
      <c r="Z15" s="3736"/>
      <c r="AA15" s="3736"/>
    </row>
    <row r="16" spans="1:27" s="1328" customFormat="1" ht="42" customHeight="1" x14ac:dyDescent="0.25">
      <c r="B16" s="1765"/>
      <c r="C16" s="6335" t="s">
        <v>3471</v>
      </c>
      <c r="D16" s="6335"/>
      <c r="E16" s="6335"/>
      <c r="F16" s="6335"/>
      <c r="G16" s="6335"/>
      <c r="H16" s="6335"/>
      <c r="I16" s="6335"/>
      <c r="J16" s="6335"/>
      <c r="K16" s="6335"/>
      <c r="L16" s="6335"/>
      <c r="M16" s="6335"/>
      <c r="N16" s="1723"/>
      <c r="T16" s="3736"/>
      <c r="U16" s="3736"/>
      <c r="V16" s="3736"/>
      <c r="W16" s="3736"/>
      <c r="X16" s="3736"/>
      <c r="Y16" s="3736"/>
      <c r="Z16" s="3736"/>
      <c r="AA16" s="3736"/>
    </row>
    <row r="17" spans="2:27" s="1312" customFormat="1" ht="26.25" customHeight="1" x14ac:dyDescent="0.25">
      <c r="B17" s="1598"/>
      <c r="C17" s="1599"/>
      <c r="D17" s="1601"/>
      <c r="E17" s="1601"/>
      <c r="F17" s="1601"/>
      <c r="G17" s="1601"/>
      <c r="H17" s="1601"/>
      <c r="I17" s="1601"/>
      <c r="J17" s="1601"/>
      <c r="K17" s="1601"/>
      <c r="L17" s="1601"/>
      <c r="M17" s="1601"/>
      <c r="N17" s="1601"/>
      <c r="T17" s="3737"/>
      <c r="U17" s="3737"/>
      <c r="V17" s="3737"/>
      <c r="W17" s="3737"/>
      <c r="X17" s="3737"/>
      <c r="Y17" s="3737"/>
      <c r="Z17" s="3737"/>
      <c r="AA17" s="3737"/>
    </row>
    <row r="18" spans="2:27" s="1766" customFormat="1" ht="35.25" customHeight="1" x14ac:dyDescent="0.25">
      <c r="B18" s="1767" t="s">
        <v>1</v>
      </c>
      <c r="C18" s="6344" t="s">
        <v>84</v>
      </c>
      <c r="D18" s="6344"/>
      <c r="E18" s="6344"/>
      <c r="F18" s="6344"/>
      <c r="G18" s="6344"/>
      <c r="H18" s="6344"/>
      <c r="I18" s="6344"/>
      <c r="J18" s="6344"/>
      <c r="K18" s="6344"/>
      <c r="L18" s="6344"/>
      <c r="M18" s="6344"/>
      <c r="N18" s="1606"/>
      <c r="T18" s="3738"/>
      <c r="U18" s="3738"/>
      <c r="V18" s="3738"/>
      <c r="W18" s="3738"/>
      <c r="X18" s="3738"/>
      <c r="Y18" s="3738"/>
      <c r="Z18" s="3738"/>
      <c r="AA18" s="3738"/>
    </row>
    <row r="19" spans="2:27" s="1766" customFormat="1" ht="15.75" customHeight="1" x14ac:dyDescent="0.25">
      <c r="B19" s="1364"/>
      <c r="C19" s="1364"/>
      <c r="D19" s="1364"/>
      <c r="E19" s="1364"/>
      <c r="F19" s="1364"/>
      <c r="G19" s="1364"/>
      <c r="H19" s="5661"/>
      <c r="I19" s="5661"/>
      <c r="J19" s="1364"/>
      <c r="K19" s="1364"/>
      <c r="L19" s="1364"/>
      <c r="M19" s="1364"/>
      <c r="N19" s="1364"/>
      <c r="T19" s="3738"/>
      <c r="U19" s="3738"/>
      <c r="V19" s="3738"/>
      <c r="W19" s="3738"/>
      <c r="X19" s="3738"/>
      <c r="Y19" s="3738"/>
      <c r="Z19" s="3738"/>
      <c r="AA19" s="3738"/>
    </row>
    <row r="20" spans="2:27" x14ac:dyDescent="0.25">
      <c r="B20" s="1364"/>
      <c r="C20" s="1364"/>
      <c r="D20" s="1364"/>
      <c r="E20" s="1364"/>
      <c r="F20" s="1364"/>
      <c r="G20" s="1364"/>
      <c r="H20" s="5661"/>
      <c r="I20" s="5661"/>
      <c r="J20" s="1364"/>
      <c r="K20" s="1364"/>
      <c r="L20" s="1364"/>
      <c r="M20" s="1364"/>
      <c r="N20" s="1364"/>
      <c r="S20" s="6141"/>
      <c r="T20" s="6141"/>
      <c r="U20" s="6141"/>
    </row>
    <row r="21" spans="2:27" ht="15.75" customHeight="1" x14ac:dyDescent="0.25">
      <c r="B21" s="1364"/>
      <c r="C21" s="6337" t="s">
        <v>675</v>
      </c>
      <c r="D21" s="6337" t="s">
        <v>9</v>
      </c>
      <c r="E21" s="1364"/>
      <c r="F21" s="1364" t="s">
        <v>3424</v>
      </c>
      <c r="G21" s="5658" t="s">
        <v>3425</v>
      </c>
      <c r="H21" s="5661"/>
      <c r="I21" s="5661"/>
      <c r="J21" s="5661"/>
      <c r="K21" s="1364"/>
      <c r="L21" s="1364"/>
      <c r="M21" s="1364"/>
      <c r="N21" s="1364"/>
      <c r="S21" s="6141"/>
      <c r="T21" s="6399" t="s">
        <v>84</v>
      </c>
      <c r="U21" s="6399"/>
    </row>
    <row r="22" spans="2:27" ht="17.25" customHeight="1" x14ac:dyDescent="0.25">
      <c r="B22" s="1364"/>
      <c r="C22" s="6337"/>
      <c r="D22" s="6337"/>
      <c r="E22" s="1364"/>
      <c r="F22" s="1364"/>
      <c r="G22" s="1364"/>
      <c r="H22" s="1364"/>
      <c r="I22" s="1364"/>
      <c r="J22" s="1364"/>
      <c r="K22" s="1364"/>
      <c r="L22" s="1364"/>
      <c r="M22" s="1364"/>
      <c r="N22" s="1364"/>
      <c r="S22" s="6141"/>
      <c r="T22" s="6141">
        <f>COUNTIF($U$22:U22,TRUE)</f>
        <v>0</v>
      </c>
      <c r="U22" s="6142" t="b">
        <v>0</v>
      </c>
    </row>
    <row r="23" spans="2:27" ht="29.25" customHeight="1" x14ac:dyDescent="0.25">
      <c r="B23" s="1364"/>
      <c r="C23" s="1768" t="s">
        <v>796</v>
      </c>
      <c r="D23" s="1769">
        <f>'Summary of PIP'!D24</f>
        <v>0</v>
      </c>
      <c r="E23" s="1364"/>
      <c r="F23" s="1364"/>
      <c r="G23" s="1364"/>
      <c r="H23" s="1364"/>
      <c r="I23" s="1364"/>
      <c r="J23" s="1364"/>
      <c r="K23" s="1364"/>
      <c r="L23" s="1364"/>
      <c r="M23" s="1364"/>
      <c r="N23" s="1364"/>
      <c r="S23" s="6141"/>
      <c r="T23" s="6141">
        <f>COUNTIF($U$22:U23,TRUE)</f>
        <v>0</v>
      </c>
      <c r="U23" s="6142" t="b">
        <v>0</v>
      </c>
    </row>
    <row r="24" spans="2:27" ht="29.25" customHeight="1" x14ac:dyDescent="0.25">
      <c r="B24" s="1364"/>
      <c r="C24" s="1768" t="s">
        <v>2904</v>
      </c>
      <c r="D24" s="1769">
        <f>'Summary of PIP'!D26</f>
        <v>0</v>
      </c>
      <c r="E24" s="1364"/>
      <c r="F24" s="1364"/>
      <c r="G24" s="1364"/>
      <c r="H24" s="1364"/>
      <c r="I24" s="1364"/>
      <c r="J24" s="1364"/>
      <c r="K24" s="1364"/>
      <c r="L24" s="1364"/>
      <c r="M24" s="1364"/>
      <c r="N24" s="1364"/>
      <c r="S24" s="6141"/>
      <c r="T24" s="6141">
        <f>COUNTIF($U$22:U24,TRUE)</f>
        <v>0</v>
      </c>
      <c r="U24" s="6142"/>
    </row>
    <row r="25" spans="2:27" ht="29.25" customHeight="1" x14ac:dyDescent="0.25">
      <c r="B25" s="1364"/>
      <c r="C25" s="1768" t="s">
        <v>1680</v>
      </c>
      <c r="D25" s="1770">
        <f>'Summary of PIP'!D35</f>
        <v>0</v>
      </c>
      <c r="E25" s="1364"/>
      <c r="F25" s="1364"/>
      <c r="G25" s="1364"/>
      <c r="H25" s="1364"/>
      <c r="I25" s="1364"/>
      <c r="J25" s="1364"/>
      <c r="K25" s="1364"/>
      <c r="L25" s="1364"/>
      <c r="M25" s="1364"/>
      <c r="N25" s="1364"/>
      <c r="S25" s="6141"/>
      <c r="T25" s="6141">
        <f>COUNTIF($U$22:U25,TRUE)</f>
        <v>0</v>
      </c>
      <c r="U25" s="6142" t="b">
        <v>0</v>
      </c>
    </row>
    <row r="26" spans="2:27" ht="29.25" customHeight="1" x14ac:dyDescent="0.25">
      <c r="B26" s="1364"/>
      <c r="C26" s="1768" t="s">
        <v>1980</v>
      </c>
      <c r="D26" s="1771">
        <f>'Summary of PIP'!D37</f>
        <v>0</v>
      </c>
      <c r="E26" s="1364"/>
      <c r="F26" s="1364"/>
      <c r="G26" s="1364"/>
      <c r="H26" s="1364"/>
      <c r="I26" s="1364"/>
      <c r="J26" s="1364"/>
      <c r="K26" s="1364"/>
      <c r="L26" s="1364"/>
      <c r="M26" s="1364"/>
      <c r="N26" s="1364"/>
      <c r="S26" s="6141"/>
      <c r="T26" s="6141">
        <f>COUNTIF($U$22:U26,TRUE)</f>
        <v>0</v>
      </c>
      <c r="U26" s="6142"/>
    </row>
    <row r="27" spans="2:27" ht="29.25" customHeight="1" x14ac:dyDescent="0.25">
      <c r="B27" s="1364"/>
      <c r="C27" s="1768" t="s">
        <v>1115</v>
      </c>
      <c r="D27" s="1769">
        <f>'Summary of PIP'!D50</f>
        <v>0</v>
      </c>
      <c r="E27" s="1364"/>
      <c r="F27" s="1364"/>
      <c r="G27" s="1364"/>
      <c r="H27" s="1364"/>
      <c r="I27" s="1364"/>
      <c r="J27" s="1364"/>
      <c r="K27" s="1364"/>
      <c r="L27" s="1364"/>
      <c r="M27" s="1364"/>
      <c r="N27" s="1364"/>
      <c r="S27" s="6141"/>
      <c r="T27" s="6141">
        <f>COUNTIF($U$22:U27,TRUE)</f>
        <v>0</v>
      </c>
      <c r="U27" s="6142" t="b">
        <v>0</v>
      </c>
    </row>
    <row r="28" spans="2:27" ht="29.25" customHeight="1" x14ac:dyDescent="0.25">
      <c r="B28" s="1364"/>
      <c r="C28" s="1768" t="s">
        <v>1856</v>
      </c>
      <c r="D28" s="1769">
        <f>'Summary of PIP'!D52</f>
        <v>0</v>
      </c>
      <c r="E28" s="1364"/>
      <c r="F28" s="1364"/>
      <c r="G28" s="1364"/>
      <c r="H28" s="1364"/>
      <c r="I28" s="1364"/>
      <c r="J28" s="1364"/>
      <c r="K28" s="1364"/>
      <c r="L28" s="1364"/>
      <c r="M28" s="1364"/>
      <c r="N28" s="1364"/>
      <c r="S28" s="6141"/>
      <c r="T28" s="6141">
        <f>COUNTIF($U$22:U28,TRUE)</f>
        <v>0</v>
      </c>
      <c r="U28" s="6142"/>
    </row>
    <row r="29" spans="2:27" ht="29.25" customHeight="1" x14ac:dyDescent="0.25">
      <c r="B29" s="1364"/>
      <c r="C29" s="1768" t="s">
        <v>1116</v>
      </c>
      <c r="D29" s="1769">
        <f>'Summary of PIP'!D39</f>
        <v>0</v>
      </c>
      <c r="E29" s="1364"/>
      <c r="F29" s="1364"/>
      <c r="G29" s="1364"/>
      <c r="H29" s="1364"/>
      <c r="I29" s="1364"/>
      <c r="J29" s="1364"/>
      <c r="K29" s="1364"/>
      <c r="L29" s="1364"/>
      <c r="M29" s="1364"/>
      <c r="N29" s="1364"/>
      <c r="S29" s="6141"/>
      <c r="T29" s="6141">
        <f>COUNTIF($U$22:U29,TRUE)</f>
        <v>0</v>
      </c>
      <c r="U29" s="6142"/>
    </row>
    <row r="30" spans="2:27" ht="29.25" customHeight="1" x14ac:dyDescent="0.25">
      <c r="B30" s="1364"/>
      <c r="C30" s="1768" t="s">
        <v>1117</v>
      </c>
      <c r="D30" s="1769">
        <f>'Summary of PIP'!D54</f>
        <v>0</v>
      </c>
      <c r="E30" s="1364"/>
      <c r="F30" s="1364"/>
      <c r="G30" s="1364"/>
      <c r="H30" s="1364"/>
      <c r="I30" s="1364"/>
      <c r="J30" s="1364"/>
      <c r="K30" s="1364"/>
      <c r="L30" s="1364"/>
      <c r="M30" s="1364"/>
      <c r="N30" s="1364"/>
      <c r="S30" s="6141"/>
      <c r="T30" s="6141">
        <f>COUNTIF($U$22:U30,TRUE)</f>
        <v>0</v>
      </c>
      <c r="U30" s="6142"/>
    </row>
    <row r="31" spans="2:27" ht="29.25" customHeight="1" x14ac:dyDescent="0.25">
      <c r="B31" s="1364"/>
      <c r="C31" s="1768" t="s">
        <v>1499</v>
      </c>
      <c r="D31" s="1769">
        <f>'Summary of PIP'!D65</f>
        <v>0</v>
      </c>
      <c r="E31" s="1364"/>
      <c r="F31" s="1364"/>
      <c r="G31" s="1364"/>
      <c r="H31" s="1364"/>
      <c r="I31" s="1364"/>
      <c r="J31" s="1364"/>
      <c r="K31" s="1364"/>
      <c r="L31" s="1364"/>
      <c r="M31" s="1364"/>
      <c r="N31" s="1364"/>
      <c r="S31" s="6141"/>
      <c r="T31" s="6141">
        <f>COUNTIF($U$22:U31,TRUE)</f>
        <v>0</v>
      </c>
      <c r="U31" s="6142" t="b">
        <v>0</v>
      </c>
    </row>
    <row r="32" spans="2:27" ht="29.25" customHeight="1" x14ac:dyDescent="0.25">
      <c r="B32" s="1364"/>
      <c r="C32" s="1768" t="s">
        <v>1118</v>
      </c>
      <c r="D32" s="1769">
        <f>'Summary of PIP'!D67</f>
        <v>0</v>
      </c>
      <c r="E32" s="1364"/>
      <c r="F32" s="1364"/>
      <c r="G32" s="1364"/>
      <c r="H32" s="1364"/>
      <c r="I32" s="1364"/>
      <c r="J32" s="1364"/>
      <c r="K32" s="1364"/>
      <c r="L32" s="1364"/>
      <c r="M32" s="1364"/>
      <c r="N32" s="1364"/>
      <c r="S32" s="6141"/>
      <c r="T32" s="6141"/>
      <c r="U32" s="6142"/>
    </row>
    <row r="33" spans="2:21" x14ac:dyDescent="0.25">
      <c r="B33" s="1364"/>
      <c r="C33" s="1364"/>
      <c r="D33" s="1364"/>
      <c r="E33" s="1364"/>
      <c r="F33" s="1364"/>
      <c r="G33" s="1364"/>
      <c r="H33" s="1364"/>
      <c r="I33" s="1364"/>
      <c r="J33" s="1364"/>
      <c r="K33" s="1364"/>
      <c r="L33" s="1364"/>
      <c r="M33" s="1364"/>
      <c r="N33" s="1364"/>
      <c r="S33" s="6141"/>
      <c r="T33" s="6141"/>
      <c r="U33" s="6142"/>
    </row>
    <row r="34" spans="2:21" x14ac:dyDescent="0.25">
      <c r="B34" s="1364"/>
      <c r="C34" s="1364"/>
      <c r="D34" s="1364"/>
      <c r="E34" s="1364"/>
      <c r="F34" s="1364"/>
      <c r="G34" s="1364"/>
      <c r="H34" s="1364"/>
      <c r="I34" s="1364"/>
      <c r="J34" s="1364"/>
      <c r="K34" s="1364"/>
      <c r="L34" s="1364"/>
      <c r="M34" s="1364"/>
      <c r="N34" s="1364"/>
      <c r="S34" s="6141"/>
      <c r="T34" s="6141"/>
      <c r="U34" s="6142"/>
    </row>
    <row r="35" spans="2:21" ht="32.25" customHeight="1" x14ac:dyDescent="0.25">
      <c r="B35" s="1364"/>
      <c r="C35" s="6404" t="s">
        <v>570</v>
      </c>
      <c r="D35" s="6405"/>
      <c r="E35" s="6405"/>
      <c r="F35" s="6405"/>
      <c r="G35" s="6405"/>
      <c r="H35" s="6405"/>
      <c r="I35" s="5277" t="s">
        <v>676</v>
      </c>
      <c r="J35" s="6338" t="s">
        <v>3101</v>
      </c>
      <c r="K35" s="6338"/>
      <c r="L35" s="6338"/>
      <c r="M35" s="6339"/>
      <c r="N35" s="1364"/>
      <c r="P35" s="1317"/>
      <c r="U35" s="3876"/>
    </row>
    <row r="36" spans="2:21" ht="198" customHeight="1" x14ac:dyDescent="0.25">
      <c r="B36" s="1364"/>
      <c r="C36" s="1772"/>
      <c r="D36" s="1773"/>
      <c r="E36" s="1773"/>
      <c r="F36" s="1773"/>
      <c r="G36" s="1773"/>
      <c r="H36" s="1773"/>
      <c r="I36" s="1773"/>
      <c r="J36" s="1773"/>
      <c r="K36" s="1773"/>
      <c r="L36" s="1773"/>
      <c r="M36" s="1774"/>
      <c r="N36" s="1364"/>
      <c r="U36" s="3876"/>
    </row>
    <row r="37" spans="2:21" ht="15.75" customHeight="1" x14ac:dyDescent="0.25">
      <c r="B37" s="1364"/>
      <c r="C37" s="6402" t="s">
        <v>209</v>
      </c>
      <c r="D37" s="6400" t="s">
        <v>684</v>
      </c>
      <c r="E37" s="6400"/>
      <c r="F37" s="6400"/>
      <c r="G37" s="6400"/>
      <c r="H37" s="6400"/>
      <c r="I37" s="6400"/>
      <c r="J37" s="6400"/>
      <c r="K37" s="6400"/>
      <c r="L37" s="6400"/>
      <c r="M37" s="6401"/>
      <c r="N37" s="1364"/>
      <c r="U37" s="3876"/>
    </row>
    <row r="38" spans="2:21" ht="64.5" customHeight="1" x14ac:dyDescent="0.25">
      <c r="B38" s="1364"/>
      <c r="C38" s="6403"/>
      <c r="D38" s="4666" t="s">
        <v>1682</v>
      </c>
      <c r="E38" s="4666" t="s">
        <v>1683</v>
      </c>
      <c r="F38" s="4666" t="s">
        <v>1023</v>
      </c>
      <c r="G38" s="4666" t="s">
        <v>1684</v>
      </c>
      <c r="H38" s="4666" t="s">
        <v>1021</v>
      </c>
      <c r="I38" s="4666" t="s">
        <v>682</v>
      </c>
      <c r="J38" s="4666" t="s">
        <v>801</v>
      </c>
      <c r="K38" s="4666" t="s">
        <v>1022</v>
      </c>
      <c r="L38" s="4666" t="s">
        <v>1498</v>
      </c>
      <c r="M38" s="4667" t="s">
        <v>1722</v>
      </c>
      <c r="N38" s="1364"/>
      <c r="T38" s="6141"/>
      <c r="U38" s="3876"/>
    </row>
    <row r="39" spans="2:21" x14ac:dyDescent="0.25">
      <c r="B39" s="1364"/>
      <c r="C39" s="4698" t="s">
        <v>737</v>
      </c>
      <c r="D39" s="4697"/>
      <c r="E39" s="4697"/>
      <c r="F39" s="4697"/>
      <c r="G39" s="4697"/>
      <c r="H39" s="4697"/>
      <c r="I39" s="4697"/>
      <c r="J39" s="4697"/>
      <c r="K39" s="4697"/>
      <c r="L39" s="4697"/>
      <c r="M39" s="4699"/>
      <c r="N39" s="1364"/>
      <c r="T39" s="6141">
        <f>COUNTIF($U$39:U39,TRUE)</f>
        <v>0</v>
      </c>
      <c r="U39" s="3876"/>
    </row>
    <row r="40" spans="2:21" x14ac:dyDescent="0.25">
      <c r="B40" s="1364"/>
      <c r="C40" s="4668" t="str">
        <f>'WS Plan'!F22</f>
        <v xml:space="preserve">Household survey to assess water supply services </v>
      </c>
      <c r="D40" s="4688"/>
      <c r="E40" s="4688"/>
      <c r="F40" s="4688"/>
      <c r="G40" s="4670"/>
      <c r="H40" s="4688"/>
      <c r="I40" s="4670"/>
      <c r="J40" s="4669"/>
      <c r="K40" s="4669"/>
      <c r="L40" s="4670"/>
      <c r="M40" s="4671"/>
      <c r="N40" s="1364"/>
      <c r="T40" s="6141">
        <f>COUNTIF($U$39:U40,TRUE)</f>
        <v>0</v>
      </c>
      <c r="U40" s="3876" t="b">
        <v>0</v>
      </c>
    </row>
    <row r="41" spans="2:21" ht="16.5" customHeight="1" x14ac:dyDescent="0.25">
      <c r="B41" s="1364"/>
      <c r="C41" s="4668" t="str">
        <f>'WS Plan'!F28</f>
        <v>Computerise water supply records</v>
      </c>
      <c r="D41" s="4688"/>
      <c r="E41" s="4688"/>
      <c r="F41" s="4688"/>
      <c r="G41" s="4669"/>
      <c r="H41" s="4669"/>
      <c r="I41" s="4669"/>
      <c r="J41" s="4669"/>
      <c r="K41" s="4670"/>
      <c r="L41" s="4688"/>
      <c r="M41" s="4689"/>
      <c r="N41" s="1364"/>
      <c r="T41" s="6141">
        <f>COUNTIF($U$39:U41,TRUE)</f>
        <v>0</v>
      </c>
      <c r="U41" s="3876" t="b">
        <v>0</v>
      </c>
    </row>
    <row r="42" spans="2:21" x14ac:dyDescent="0.25">
      <c r="B42" s="1364"/>
      <c r="C42" s="4698" t="s">
        <v>1690</v>
      </c>
      <c r="D42" s="4697"/>
      <c r="E42" s="4697"/>
      <c r="F42" s="4697"/>
      <c r="G42" s="4697"/>
      <c r="H42" s="4697"/>
      <c r="I42" s="4697"/>
      <c r="J42" s="4697"/>
      <c r="K42" s="4697"/>
      <c r="L42" s="4697"/>
      <c r="M42" s="4699"/>
      <c r="N42" s="1364"/>
      <c r="T42" s="6141">
        <f>COUNTIF($U$39:U42,TRUE)</f>
        <v>0</v>
      </c>
      <c r="U42" s="3876"/>
    </row>
    <row r="43" spans="2:21" ht="30" x14ac:dyDescent="0.25">
      <c r="B43" s="1364"/>
      <c r="C43" s="4668" t="str">
        <f>'WS Plan'!F34</f>
        <v>Process improvement for new water supply connection applications</v>
      </c>
      <c r="D43" s="4688"/>
      <c r="E43" s="4688"/>
      <c r="F43" s="4688"/>
      <c r="G43" s="4672"/>
      <c r="H43" s="4672"/>
      <c r="I43" s="4672"/>
      <c r="J43" s="4672"/>
      <c r="K43" s="4672"/>
      <c r="L43" s="4670"/>
      <c r="M43" s="4689"/>
      <c r="N43" s="1364"/>
      <c r="T43" s="6141">
        <f>COUNTIF($U$39:U43,TRUE)</f>
        <v>0</v>
      </c>
      <c r="U43" s="3876"/>
    </row>
    <row r="44" spans="2:21" x14ac:dyDescent="0.25">
      <c r="B44" s="1364"/>
      <c r="C44" s="4668" t="str">
        <f>'WS Plan'!F35</f>
        <v>Policy for providing individual water connections in slums</v>
      </c>
      <c r="D44" s="4688"/>
      <c r="E44" s="4688"/>
      <c r="F44" s="4688"/>
      <c r="G44" s="4672"/>
      <c r="H44" s="4672"/>
      <c r="I44" s="4672"/>
      <c r="J44" s="4672"/>
      <c r="K44" s="4672"/>
      <c r="L44" s="4670"/>
      <c r="M44" s="4671"/>
      <c r="N44" s="1364"/>
      <c r="T44" s="6141">
        <f>COUNTIF($U$39:U44,TRUE)</f>
        <v>0</v>
      </c>
      <c r="U44" s="3876"/>
    </row>
    <row r="45" spans="2:21" x14ac:dyDescent="0.25">
      <c r="B45" s="1364"/>
      <c r="C45" s="4698" t="s">
        <v>1685</v>
      </c>
      <c r="D45" s="4697"/>
      <c r="E45" s="4697"/>
      <c r="F45" s="4697"/>
      <c r="G45" s="4697"/>
      <c r="H45" s="4697"/>
      <c r="I45" s="4697"/>
      <c r="J45" s="4697"/>
      <c r="K45" s="4697"/>
      <c r="L45" s="4697"/>
      <c r="M45" s="4699"/>
      <c r="N45" s="1364"/>
      <c r="T45" s="6141">
        <f>COUNTIF($U$39:U45,TRUE)</f>
        <v>0</v>
      </c>
      <c r="U45" s="3876"/>
    </row>
    <row r="46" spans="2:21" x14ac:dyDescent="0.25">
      <c r="B46" s="1364"/>
      <c r="C46" s="4673" t="str">
        <f>'WS Plan'!F39</f>
        <v>Regularise unauthorised water supply connections</v>
      </c>
      <c r="D46" s="4688"/>
      <c r="E46" s="4688"/>
      <c r="F46" s="4688"/>
      <c r="G46" s="4669"/>
      <c r="H46" s="4688"/>
      <c r="I46" s="4669"/>
      <c r="J46" s="4688"/>
      <c r="K46" s="4669"/>
      <c r="L46" s="4669"/>
      <c r="M46" s="4689"/>
      <c r="N46" s="1364"/>
      <c r="T46" s="6141">
        <f>COUNTIF($U$39:U46,TRUE)</f>
        <v>0</v>
      </c>
      <c r="U46" s="3876" t="b">
        <v>0</v>
      </c>
    </row>
    <row r="47" spans="2:21" ht="30" x14ac:dyDescent="0.25">
      <c r="B47" s="1364"/>
      <c r="C47" s="4673" t="str">
        <f>'WS Plan'!F44</f>
        <v>Increase connections using existing water supply distribution network</v>
      </c>
      <c r="D47" s="4688"/>
      <c r="E47" s="4688"/>
      <c r="F47" s="4688"/>
      <c r="G47" s="4688"/>
      <c r="H47" s="4669"/>
      <c r="I47" s="4669"/>
      <c r="J47" s="4669"/>
      <c r="K47" s="4669"/>
      <c r="L47" s="4670"/>
      <c r="M47" s="4689"/>
      <c r="N47" s="1364"/>
      <c r="T47" s="6141">
        <f>COUNTIF($U$39:U47,TRUE)</f>
        <v>0</v>
      </c>
      <c r="U47" s="3876" t="b">
        <v>0</v>
      </c>
    </row>
    <row r="48" spans="2:21" ht="15" customHeight="1" x14ac:dyDescent="0.25">
      <c r="B48" s="1364"/>
      <c r="C48" s="4673" t="str">
        <f>'WS Plan'!F49</f>
        <v>Convert stand posts/public taps into group connections</v>
      </c>
      <c r="D48" s="4688"/>
      <c r="E48" s="4688"/>
      <c r="F48" s="4688"/>
      <c r="G48" s="4669"/>
      <c r="H48" s="4688"/>
      <c r="I48" s="4669"/>
      <c r="J48" s="4669"/>
      <c r="K48" s="4669"/>
      <c r="L48" s="4670"/>
      <c r="M48" s="4689"/>
      <c r="N48" s="1364"/>
      <c r="T48" s="6141">
        <f>COUNTIF($U$39:U48,TRUE)</f>
        <v>0</v>
      </c>
      <c r="U48" s="3876"/>
    </row>
    <row r="49" spans="2:21" x14ac:dyDescent="0.25">
      <c r="B49" s="1364"/>
      <c r="C49" s="4698" t="s">
        <v>1686</v>
      </c>
      <c r="D49" s="4697"/>
      <c r="E49" s="4697"/>
      <c r="F49" s="4697"/>
      <c r="G49" s="4697"/>
      <c r="H49" s="4697"/>
      <c r="I49" s="4697"/>
      <c r="J49" s="4697"/>
      <c r="K49" s="4697"/>
      <c r="L49" s="4697"/>
      <c r="M49" s="4699"/>
      <c r="N49" s="1364"/>
      <c r="T49" s="6141">
        <f>COUNTIF($U$39:U49,TRUE)</f>
        <v>0</v>
      </c>
      <c r="U49" s="3876"/>
    </row>
    <row r="50" spans="2:21" ht="16.5" customHeight="1" x14ac:dyDescent="0.25">
      <c r="B50" s="1364"/>
      <c r="C50" s="4673" t="str">
        <f>'WS Plan'!F55</f>
        <v>Lay new water supply distribution network</v>
      </c>
      <c r="D50" s="4688"/>
      <c r="E50" s="4688"/>
      <c r="F50" s="4688"/>
      <c r="G50" s="4688"/>
      <c r="H50" s="4674"/>
      <c r="I50" s="4674"/>
      <c r="J50" s="4670"/>
      <c r="K50" s="4674"/>
      <c r="L50" s="4670"/>
      <c r="M50" s="4689"/>
      <c r="N50" s="1364"/>
      <c r="T50" s="6141">
        <f>COUNTIF($U$39:U50,TRUE)</f>
        <v>0</v>
      </c>
      <c r="U50" s="3876" t="b">
        <v>0</v>
      </c>
    </row>
    <row r="51" spans="2:21" ht="16.5" customHeight="1" x14ac:dyDescent="0.25">
      <c r="B51" s="1364"/>
      <c r="C51" s="4675" t="str">
        <f>'WS Plan'!F64</f>
        <v>Lay internal infrastructure of water supply lines in slums</v>
      </c>
      <c r="D51" s="4692"/>
      <c r="E51" s="4692"/>
      <c r="F51" s="4692"/>
      <c r="G51" s="4692"/>
      <c r="H51" s="4676"/>
      <c r="I51" s="4676"/>
      <c r="J51" s="4742"/>
      <c r="K51" s="4676"/>
      <c r="L51" s="4742"/>
      <c r="M51" s="4693"/>
      <c r="N51" s="1364"/>
      <c r="T51" s="6141">
        <f>COUNTIF($U$39:U51,TRUE)</f>
        <v>0</v>
      </c>
      <c r="U51" s="3876" t="b">
        <v>0</v>
      </c>
    </row>
    <row r="52" spans="2:21" ht="32.25" customHeight="1" x14ac:dyDescent="0.25">
      <c r="B52" s="1364"/>
      <c r="C52" s="6404" t="s">
        <v>679</v>
      </c>
      <c r="D52" s="6405"/>
      <c r="E52" s="6405"/>
      <c r="F52" s="6405"/>
      <c r="G52" s="6405"/>
      <c r="H52" s="6405"/>
      <c r="I52" s="5277" t="s">
        <v>676</v>
      </c>
      <c r="J52" s="6338" t="s">
        <v>3101</v>
      </c>
      <c r="K52" s="6338"/>
      <c r="L52" s="6338"/>
      <c r="M52" s="6339"/>
      <c r="N52" s="1364"/>
      <c r="T52" s="6141">
        <f>COUNTIF($U$39:U52,TRUE)</f>
        <v>0</v>
      </c>
      <c r="U52" s="3876"/>
    </row>
    <row r="53" spans="2:21" ht="174.75" customHeight="1" x14ac:dyDescent="0.25">
      <c r="B53" s="1364"/>
      <c r="C53" s="1772"/>
      <c r="D53" s="1773"/>
      <c r="E53" s="1773"/>
      <c r="F53" s="1773"/>
      <c r="G53" s="1773"/>
      <c r="H53" s="1773"/>
      <c r="I53" s="1773"/>
      <c r="J53" s="1773"/>
      <c r="K53" s="1773"/>
      <c r="L53" s="1773"/>
      <c r="M53" s="1774"/>
      <c r="N53" s="1364"/>
      <c r="T53" s="6141">
        <f>COUNTIF($U$39:U53,TRUE)</f>
        <v>0</v>
      </c>
      <c r="U53" s="3876"/>
    </row>
    <row r="54" spans="2:21" ht="15.75" customHeight="1" x14ac:dyDescent="0.25">
      <c r="B54" s="1364"/>
      <c r="C54" s="6402" t="s">
        <v>209</v>
      </c>
      <c r="D54" s="6400" t="s">
        <v>684</v>
      </c>
      <c r="E54" s="6400"/>
      <c r="F54" s="6400"/>
      <c r="G54" s="6400"/>
      <c r="H54" s="6400"/>
      <c r="I54" s="6400"/>
      <c r="J54" s="6400"/>
      <c r="K54" s="6400"/>
      <c r="L54" s="6400"/>
      <c r="M54" s="6401"/>
      <c r="N54" s="1364"/>
      <c r="T54" s="6141">
        <f>COUNTIF($U$39:U54,TRUE)</f>
        <v>0</v>
      </c>
      <c r="U54" s="3876"/>
    </row>
    <row r="55" spans="2:21" ht="64.5" customHeight="1" x14ac:dyDescent="0.25">
      <c r="B55" s="1364"/>
      <c r="C55" s="6403"/>
      <c r="D55" s="4666" t="s">
        <v>1682</v>
      </c>
      <c r="E55" s="4666" t="s">
        <v>1683</v>
      </c>
      <c r="F55" s="4666" t="s">
        <v>1023</v>
      </c>
      <c r="G55" s="4666" t="s">
        <v>1684</v>
      </c>
      <c r="H55" s="4666" t="s">
        <v>1021</v>
      </c>
      <c r="I55" s="4666" t="s">
        <v>682</v>
      </c>
      <c r="J55" s="4666" t="s">
        <v>801</v>
      </c>
      <c r="K55" s="4666" t="s">
        <v>1022</v>
      </c>
      <c r="L55" s="4666" t="s">
        <v>1498</v>
      </c>
      <c r="M55" s="4667" t="s">
        <v>1722</v>
      </c>
      <c r="N55" s="1364"/>
      <c r="T55" s="6141">
        <f>COUNTIF($U$39:U55,TRUE)</f>
        <v>0</v>
      </c>
      <c r="U55" s="3876"/>
    </row>
    <row r="56" spans="2:21" x14ac:dyDescent="0.25">
      <c r="B56" s="1364"/>
      <c r="C56" s="4698" t="s">
        <v>1691</v>
      </c>
      <c r="D56" s="4697"/>
      <c r="E56" s="4697"/>
      <c r="F56" s="4697"/>
      <c r="G56" s="4697"/>
      <c r="H56" s="4697"/>
      <c r="I56" s="4697"/>
      <c r="J56" s="4697"/>
      <c r="K56" s="4697"/>
      <c r="L56" s="4697"/>
      <c r="M56" s="4699"/>
      <c r="N56" s="1364"/>
      <c r="T56" s="6141">
        <f>COUNTIF($U$39:U56,TRUE)</f>
        <v>0</v>
      </c>
      <c r="U56" s="3876"/>
    </row>
    <row r="57" spans="2:21" x14ac:dyDescent="0.25">
      <c r="B57" s="1364"/>
      <c r="C57" s="4673" t="str">
        <f>'WS Plan'!F76</f>
        <v>Improve water supply quality surveillance</v>
      </c>
      <c r="D57" s="4700"/>
      <c r="E57" s="4690"/>
      <c r="F57" s="4690"/>
      <c r="G57" s="4690"/>
      <c r="H57" s="4690"/>
      <c r="I57" s="4690"/>
      <c r="J57" s="4688"/>
      <c r="K57" s="4688"/>
      <c r="L57" s="4690"/>
      <c r="M57" s="4691"/>
      <c r="N57" s="1364"/>
      <c r="T57" s="6141">
        <f>COUNTIF($U$39:U57,TRUE)</f>
        <v>0</v>
      </c>
      <c r="U57" s="3876" t="b">
        <v>0</v>
      </c>
    </row>
    <row r="58" spans="2:21" x14ac:dyDescent="0.25">
      <c r="B58" s="1364"/>
      <c r="C58" s="4698" t="s">
        <v>1688</v>
      </c>
      <c r="D58" s="4697"/>
      <c r="E58" s="4697"/>
      <c r="F58" s="4697"/>
      <c r="G58" s="4697"/>
      <c r="H58" s="4697"/>
      <c r="I58" s="4697"/>
      <c r="J58" s="4697"/>
      <c r="K58" s="4697"/>
      <c r="L58" s="4697"/>
      <c r="M58" s="4699"/>
      <c r="N58" s="1364"/>
      <c r="T58" s="6141">
        <f>COUNTIF($U$39:U58,TRUE)</f>
        <v>0</v>
      </c>
      <c r="U58" s="3876"/>
    </row>
    <row r="59" spans="2:21" ht="15" customHeight="1" x14ac:dyDescent="0.25">
      <c r="B59" s="1364"/>
      <c r="C59" s="4673" t="str">
        <f>'WS Plan'!F80</f>
        <v>Increase continuity of water supply services</v>
      </c>
      <c r="D59" s="4690"/>
      <c r="E59" s="4690"/>
      <c r="F59" s="4688"/>
      <c r="G59" s="4688"/>
      <c r="H59" s="4688"/>
      <c r="I59" s="4690"/>
      <c r="J59" s="4690"/>
      <c r="K59" s="4688"/>
      <c r="L59" s="4690"/>
      <c r="M59" s="4691"/>
      <c r="N59" s="1364"/>
      <c r="T59" s="6141">
        <f>COUNTIF($U$39:U59,TRUE)</f>
        <v>0</v>
      </c>
      <c r="U59" s="3876"/>
    </row>
    <row r="60" spans="2:21" ht="30" customHeight="1" x14ac:dyDescent="0.25">
      <c r="B60" s="1364"/>
      <c r="C60" s="5278" t="str">
        <f>'WS Plan'!F87</f>
        <v>Repair existing water treatment plant to improve water quality</v>
      </c>
      <c r="D60" s="4690"/>
      <c r="E60" s="4690"/>
      <c r="F60" s="4690"/>
      <c r="G60" s="4690"/>
      <c r="H60" s="4690"/>
      <c r="I60" s="4690"/>
      <c r="J60" s="4688"/>
      <c r="K60" s="4688"/>
      <c r="L60" s="4690"/>
      <c r="M60" s="4689"/>
      <c r="N60" s="1364"/>
      <c r="T60" s="6141">
        <f>COUNTIF($U$39:U60,TRUE)</f>
        <v>0</v>
      </c>
      <c r="U60" s="3876" t="b">
        <v>0</v>
      </c>
    </row>
    <row r="61" spans="2:21" ht="15" customHeight="1" x14ac:dyDescent="0.25">
      <c r="B61" s="1364"/>
      <c r="C61" s="4673" t="str">
        <f>'WS Plan'!F94</f>
        <v>Treatment of untreated supply ground water</v>
      </c>
      <c r="D61" s="4690"/>
      <c r="E61" s="4690"/>
      <c r="F61" s="4690"/>
      <c r="G61" s="4690"/>
      <c r="H61" s="4690"/>
      <c r="I61" s="4690"/>
      <c r="J61" s="4688"/>
      <c r="K61" s="4688"/>
      <c r="L61" s="4690"/>
      <c r="M61" s="4689"/>
      <c r="N61" s="1364"/>
      <c r="T61" s="6141">
        <f>COUNTIF($U$39:U61,TRUE)</f>
        <v>0</v>
      </c>
      <c r="U61" s="3876"/>
    </row>
    <row r="62" spans="2:21" x14ac:dyDescent="0.25">
      <c r="B62" s="1364"/>
      <c r="C62" s="4698" t="s">
        <v>1687</v>
      </c>
      <c r="D62" s="4697"/>
      <c r="E62" s="4697"/>
      <c r="F62" s="4697"/>
      <c r="G62" s="4697"/>
      <c r="H62" s="4697"/>
      <c r="I62" s="4697"/>
      <c r="J62" s="4697"/>
      <c r="K62" s="4697"/>
      <c r="L62" s="4697"/>
      <c r="M62" s="4699"/>
      <c r="N62" s="1364"/>
      <c r="T62" s="6141">
        <f>COUNTIF($U$39:U62,TRUE)</f>
        <v>0</v>
      </c>
      <c r="U62" s="3876"/>
    </row>
    <row r="63" spans="2:21" x14ac:dyDescent="0.25">
      <c r="B63" s="1364"/>
      <c r="C63" s="4673" t="str">
        <f>'WS Plan'!F101</f>
        <v>Augment water supply sources</v>
      </c>
      <c r="D63" s="4670"/>
      <c r="E63" s="4670"/>
      <c r="F63" s="4688"/>
      <c r="G63" s="4688"/>
      <c r="H63" s="4670"/>
      <c r="I63" s="4701"/>
      <c r="J63" s="4701"/>
      <c r="K63" s="4701"/>
      <c r="L63" s="4701"/>
      <c r="M63" s="4689"/>
      <c r="N63" s="1364"/>
      <c r="T63" s="6141">
        <f>COUNTIF($U$39:U63,TRUE)</f>
        <v>0</v>
      </c>
      <c r="U63" s="3876" t="b">
        <v>0</v>
      </c>
    </row>
    <row r="64" spans="2:21" ht="15" customHeight="1" x14ac:dyDescent="0.25">
      <c r="B64" s="1364"/>
      <c r="C64" s="4673" t="str">
        <f>'WS Plan'!F125</f>
        <v>Expand/replace water supply transmission network</v>
      </c>
      <c r="D64" s="4670"/>
      <c r="E64" s="4670"/>
      <c r="F64" s="4688"/>
      <c r="G64" s="4688"/>
      <c r="H64" s="4688"/>
      <c r="I64" s="4701"/>
      <c r="J64" s="4701"/>
      <c r="K64" s="4701"/>
      <c r="L64" s="4701"/>
      <c r="M64" s="4689"/>
      <c r="N64" s="1364"/>
      <c r="T64" s="6141">
        <f>COUNTIF($U$39:U64,TRUE)</f>
        <v>0</v>
      </c>
      <c r="U64" s="3876"/>
    </row>
    <row r="65" spans="2:21" x14ac:dyDescent="0.25">
      <c r="B65" s="1364"/>
      <c r="C65" s="4673" t="str">
        <f>'WS Plan'!F129</f>
        <v>Construct/augment water treatment plant</v>
      </c>
      <c r="D65" s="4670"/>
      <c r="E65" s="4670"/>
      <c r="F65" s="4688"/>
      <c r="G65" s="4670"/>
      <c r="H65" s="4670"/>
      <c r="I65" s="4701"/>
      <c r="J65" s="4688"/>
      <c r="K65" s="4701"/>
      <c r="L65" s="4701"/>
      <c r="M65" s="4689"/>
      <c r="N65" s="1364"/>
      <c r="T65" s="6141">
        <f>COUNTIF($U$39:U65,TRUE)</f>
        <v>0</v>
      </c>
      <c r="U65" s="3876"/>
    </row>
    <row r="66" spans="2:21" x14ac:dyDescent="0.25">
      <c r="B66" s="1364"/>
      <c r="C66" s="4675" t="str">
        <f>'WS Plan'!F135</f>
        <v>Construct/augment water storage capacity</v>
      </c>
      <c r="D66" s="4742"/>
      <c r="E66" s="4742"/>
      <c r="F66" s="4692"/>
      <c r="G66" s="4692"/>
      <c r="H66" s="4742"/>
      <c r="I66" s="4702"/>
      <c r="J66" s="4702"/>
      <c r="K66" s="4702"/>
      <c r="L66" s="4702"/>
      <c r="M66" s="4693"/>
      <c r="N66" s="1364"/>
      <c r="T66" s="6141">
        <f>COUNTIF($U$39:U66,TRUE)</f>
        <v>0</v>
      </c>
      <c r="U66" s="3876"/>
    </row>
    <row r="67" spans="2:21" ht="32.25" customHeight="1" x14ac:dyDescent="0.25">
      <c r="B67" s="1364"/>
      <c r="C67" s="6404" t="s">
        <v>678</v>
      </c>
      <c r="D67" s="6405"/>
      <c r="E67" s="6405"/>
      <c r="F67" s="6405"/>
      <c r="G67" s="6405"/>
      <c r="H67" s="6405"/>
      <c r="I67" s="5277" t="s">
        <v>676</v>
      </c>
      <c r="J67" s="6338" t="s">
        <v>694</v>
      </c>
      <c r="K67" s="6338"/>
      <c r="L67" s="6338"/>
      <c r="M67" s="6339"/>
      <c r="N67" s="1364"/>
      <c r="T67" s="6141">
        <f>COUNTIF($U$39:U67,TRUE)</f>
        <v>0</v>
      </c>
      <c r="U67" s="3876"/>
    </row>
    <row r="68" spans="2:21" ht="184.5" customHeight="1" x14ac:dyDescent="0.25">
      <c r="B68" s="1364"/>
      <c r="C68" s="1772"/>
      <c r="D68" s="1773"/>
      <c r="E68" s="1773"/>
      <c r="F68" s="1773"/>
      <c r="G68" s="1773"/>
      <c r="H68" s="1773"/>
      <c r="I68" s="1773"/>
      <c r="J68" s="1773"/>
      <c r="K68" s="1773"/>
      <c r="L68" s="1773"/>
      <c r="M68" s="1774"/>
      <c r="N68" s="1364"/>
      <c r="T68" s="6141">
        <f>COUNTIF($U$39:U68,TRUE)</f>
        <v>0</v>
      </c>
      <c r="U68" s="3876"/>
    </row>
    <row r="69" spans="2:21" ht="15.75" customHeight="1" x14ac:dyDescent="0.25">
      <c r="B69" s="1364"/>
      <c r="C69" s="6402" t="s">
        <v>209</v>
      </c>
      <c r="D69" s="6400" t="s">
        <v>684</v>
      </c>
      <c r="E69" s="6400"/>
      <c r="F69" s="6400"/>
      <c r="G69" s="6400"/>
      <c r="H69" s="6400"/>
      <c r="I69" s="6400"/>
      <c r="J69" s="6400"/>
      <c r="K69" s="6400"/>
      <c r="L69" s="6400"/>
      <c r="M69" s="6401"/>
      <c r="N69" s="1364"/>
      <c r="T69" s="6141">
        <f>COUNTIF($U$39:U69,TRUE)</f>
        <v>0</v>
      </c>
      <c r="U69" s="3876"/>
    </row>
    <row r="70" spans="2:21" ht="64.5" customHeight="1" x14ac:dyDescent="0.25">
      <c r="B70" s="1364"/>
      <c r="C70" s="6403"/>
      <c r="D70" s="4666" t="s">
        <v>1682</v>
      </c>
      <c r="E70" s="4666" t="s">
        <v>1683</v>
      </c>
      <c r="F70" s="4666" t="s">
        <v>1023</v>
      </c>
      <c r="G70" s="4666" t="s">
        <v>1684</v>
      </c>
      <c r="H70" s="4666" t="s">
        <v>1021</v>
      </c>
      <c r="I70" s="4666" t="s">
        <v>682</v>
      </c>
      <c r="J70" s="4666" t="s">
        <v>801</v>
      </c>
      <c r="K70" s="4666" t="s">
        <v>1022</v>
      </c>
      <c r="L70" s="4666" t="s">
        <v>1498</v>
      </c>
      <c r="M70" s="4667" t="s">
        <v>1722</v>
      </c>
      <c r="N70" s="1364"/>
      <c r="T70" s="6141">
        <f>COUNTIF($U$39:U70,TRUE)</f>
        <v>0</v>
      </c>
      <c r="U70" s="3876"/>
    </row>
    <row r="71" spans="2:21" x14ac:dyDescent="0.25">
      <c r="B71" s="1364"/>
      <c r="C71" s="4698" t="s">
        <v>737</v>
      </c>
      <c r="D71" s="4697"/>
      <c r="E71" s="4697"/>
      <c r="F71" s="4697"/>
      <c r="G71" s="4697"/>
      <c r="H71" s="4697"/>
      <c r="I71" s="4697"/>
      <c r="J71" s="4697"/>
      <c r="K71" s="4697"/>
      <c r="L71" s="4697"/>
      <c r="M71" s="4699"/>
      <c r="N71" s="1364"/>
      <c r="T71" s="6141">
        <f>COUNTIF($U$39:U71,TRUE)</f>
        <v>0</v>
      </c>
      <c r="U71" s="3876"/>
    </row>
    <row r="72" spans="2:21" x14ac:dyDescent="0.25">
      <c r="B72" s="1364"/>
      <c r="C72" s="4673" t="str">
        <f>'WS Plan'!F147</f>
        <v>Conduct water audit</v>
      </c>
      <c r="D72" s="4703"/>
      <c r="E72" s="4703"/>
      <c r="F72" s="4688"/>
      <c r="G72" s="4688"/>
      <c r="H72" s="4688"/>
      <c r="I72" s="4703"/>
      <c r="J72" s="4688"/>
      <c r="K72" s="4703"/>
      <c r="L72" s="4703"/>
      <c r="M72" s="4704"/>
      <c r="N72" s="1364"/>
      <c r="T72" s="6141">
        <f>COUNTIF($U$39:U72,TRUE)</f>
        <v>0</v>
      </c>
      <c r="U72" s="3876" t="b">
        <v>0</v>
      </c>
    </row>
    <row r="73" spans="2:21" x14ac:dyDescent="0.25">
      <c r="B73" s="1364"/>
      <c r="C73" s="4673" t="str">
        <f>'WS Plan'!F149</f>
        <v>Conduct energy audit</v>
      </c>
      <c r="D73" s="4703"/>
      <c r="E73" s="4703"/>
      <c r="F73" s="4669"/>
      <c r="G73" s="4703"/>
      <c r="H73" s="4703"/>
      <c r="I73" s="4703"/>
      <c r="J73" s="4703"/>
      <c r="K73" s="4703"/>
      <c r="L73" s="4670"/>
      <c r="M73" s="4689"/>
      <c r="N73" s="1364"/>
      <c r="T73" s="6141">
        <f>COUNTIF($U$39:U73,TRUE)</f>
        <v>0</v>
      </c>
      <c r="U73" s="3876" t="b">
        <v>0</v>
      </c>
    </row>
    <row r="74" spans="2:21" x14ac:dyDescent="0.25">
      <c r="B74" s="1364"/>
      <c r="C74" s="4673" t="str">
        <f>'WS Plan'!F151</f>
        <v>Install bulk flow meters</v>
      </c>
      <c r="D74" s="4703"/>
      <c r="E74" s="4703"/>
      <c r="F74" s="4688"/>
      <c r="G74" s="4703"/>
      <c r="H74" s="4688"/>
      <c r="I74" s="4703"/>
      <c r="J74" s="4703"/>
      <c r="K74" s="4703"/>
      <c r="L74" s="4703"/>
      <c r="M74" s="4689"/>
      <c r="N74" s="1364"/>
      <c r="T74" s="6141">
        <f>COUNTIF($U$39:U74,TRUE)</f>
        <v>0</v>
      </c>
      <c r="U74" s="3876"/>
    </row>
    <row r="75" spans="2:21" ht="15" customHeight="1" x14ac:dyDescent="0.25">
      <c r="B75" s="1364"/>
      <c r="C75" s="4673" t="str">
        <f>'WS Plan'!F155</f>
        <v>Map water supply and wastewater network</v>
      </c>
      <c r="D75" s="4670"/>
      <c r="E75" s="4670"/>
      <c r="F75" s="4670"/>
      <c r="G75" s="4688"/>
      <c r="H75" s="4688"/>
      <c r="I75" s="4703"/>
      <c r="J75" s="4703"/>
      <c r="K75" s="4703"/>
      <c r="L75" s="4703"/>
      <c r="M75" s="4704"/>
      <c r="N75" s="1364"/>
      <c r="T75" s="6141">
        <f>COUNTIF($U$39:U75,TRUE)</f>
        <v>0</v>
      </c>
      <c r="U75" s="3876" t="b">
        <v>0</v>
      </c>
    </row>
    <row r="76" spans="2:21" x14ac:dyDescent="0.25">
      <c r="B76" s="1364"/>
      <c r="C76" s="4673" t="str">
        <f>'WS Plan'!F159</f>
        <v>Conduct Hydraulic modelling</v>
      </c>
      <c r="D76" s="4703"/>
      <c r="E76" s="4703"/>
      <c r="F76" s="4688"/>
      <c r="G76" s="4688"/>
      <c r="H76" s="4688"/>
      <c r="I76" s="4703"/>
      <c r="J76" s="4703"/>
      <c r="K76" s="4688"/>
      <c r="L76" s="4703"/>
      <c r="M76" s="4704"/>
      <c r="N76" s="1364"/>
      <c r="T76" s="6141">
        <f>COUNTIF($U$39:U76,TRUE)</f>
        <v>0</v>
      </c>
      <c r="U76" s="3876"/>
    </row>
    <row r="77" spans="2:21" x14ac:dyDescent="0.25">
      <c r="B77" s="1364"/>
      <c r="C77" s="4673" t="str">
        <f>'WS Plan'!F161</f>
        <v>Conduct Utilities survey (asset mapping)</v>
      </c>
      <c r="D77" s="4703"/>
      <c r="E77" s="4703"/>
      <c r="F77" s="4669"/>
      <c r="G77" s="4703"/>
      <c r="H77" s="4703"/>
      <c r="I77" s="4703"/>
      <c r="J77" s="4703"/>
      <c r="K77" s="4703"/>
      <c r="L77" s="4703"/>
      <c r="M77" s="4689"/>
      <c r="N77" s="1364"/>
      <c r="T77" s="6141">
        <f>COUNTIF($U$39:U77,TRUE)</f>
        <v>0</v>
      </c>
      <c r="U77" s="3876"/>
    </row>
    <row r="78" spans="2:21" x14ac:dyDescent="0.25">
      <c r="B78" s="1364"/>
      <c r="C78" s="4698" t="s">
        <v>1690</v>
      </c>
      <c r="D78" s="4697"/>
      <c r="E78" s="4697"/>
      <c r="F78" s="4697"/>
      <c r="G78" s="4697"/>
      <c r="H78" s="4697"/>
      <c r="I78" s="4697"/>
      <c r="J78" s="4697"/>
      <c r="K78" s="4697"/>
      <c r="L78" s="4697"/>
      <c r="M78" s="4699"/>
      <c r="N78" s="1364"/>
      <c r="T78" s="6141">
        <f>COUNTIF($U$39:U78,TRUE)</f>
        <v>0</v>
      </c>
      <c r="U78" s="3876"/>
    </row>
    <row r="79" spans="2:21" x14ac:dyDescent="0.25">
      <c r="B79" s="1364"/>
      <c r="C79" s="4673" t="str">
        <f>'WS Plan'!F168</f>
        <v>Improve processes for regular checking of water losses</v>
      </c>
      <c r="D79" s="4703"/>
      <c r="E79" s="4703"/>
      <c r="F79" s="4688"/>
      <c r="G79" s="4688"/>
      <c r="H79" s="4688"/>
      <c r="I79" s="4703"/>
      <c r="J79" s="4688"/>
      <c r="K79" s="4688"/>
      <c r="L79" s="4703"/>
      <c r="M79" s="4704"/>
      <c r="N79" s="1364"/>
      <c r="T79" s="6141">
        <f>COUNTIF($U$39:U79,TRUE)</f>
        <v>0</v>
      </c>
      <c r="U79" s="3876" t="b">
        <v>0</v>
      </c>
    </row>
    <row r="80" spans="2:21" x14ac:dyDescent="0.25">
      <c r="B80" s="1364"/>
      <c r="C80" s="4673" t="str">
        <f>'WS Plan'!F169</f>
        <v>Policy to introduce universal consumer meters</v>
      </c>
      <c r="D80" s="4690"/>
      <c r="E80" s="4690"/>
      <c r="F80" s="4690"/>
      <c r="G80" s="4690"/>
      <c r="H80" s="4688"/>
      <c r="I80" s="4688"/>
      <c r="J80" s="4690"/>
      <c r="K80" s="4690"/>
      <c r="L80" s="4690"/>
      <c r="M80" s="4689"/>
      <c r="N80" s="1364"/>
      <c r="T80" s="6141">
        <f>COUNTIF($U$39:U80,TRUE)</f>
        <v>0</v>
      </c>
      <c r="U80" s="3876" t="b">
        <v>0</v>
      </c>
    </row>
    <row r="81" spans="2:21" x14ac:dyDescent="0.25">
      <c r="B81" s="1364"/>
      <c r="C81" s="4705" t="str">
        <f>'WS Plan'!F170</f>
        <v>Improve processes for management of consumer complaints</v>
      </c>
      <c r="D81" s="4701"/>
      <c r="E81" s="4701"/>
      <c r="F81" s="4706"/>
      <c r="G81" s="4701"/>
      <c r="H81" s="4701"/>
      <c r="I81" s="4701"/>
      <c r="J81" s="4701"/>
      <c r="K81" s="4688"/>
      <c r="L81" s="4701"/>
      <c r="M81" s="4707"/>
      <c r="N81" s="1364"/>
      <c r="T81" s="6141">
        <f>COUNTIF($U$39:U81,TRUE)</f>
        <v>0</v>
      </c>
      <c r="U81" s="3876" t="b">
        <v>0</v>
      </c>
    </row>
    <row r="82" spans="2:21" x14ac:dyDescent="0.25">
      <c r="B82" s="1364"/>
      <c r="C82" s="4698" t="s">
        <v>1981</v>
      </c>
      <c r="D82" s="4697"/>
      <c r="E82" s="4697"/>
      <c r="F82" s="4697"/>
      <c r="G82" s="4697"/>
      <c r="H82" s="4697"/>
      <c r="I82" s="4697"/>
      <c r="J82" s="4697"/>
      <c r="K82" s="4697"/>
      <c r="L82" s="4697"/>
      <c r="M82" s="4699"/>
      <c r="N82" s="1364"/>
      <c r="T82" s="6141">
        <f>COUNTIF($U$39:U82,TRUE)</f>
        <v>0</v>
      </c>
      <c r="U82" s="3876"/>
    </row>
    <row r="83" spans="2:21" ht="15" customHeight="1" x14ac:dyDescent="0.25">
      <c r="B83" s="1364"/>
      <c r="C83" s="4673" t="str">
        <f>'WS Plan'!F174</f>
        <v>Reduce losses in trunk main transmission network</v>
      </c>
      <c r="D83" s="4703"/>
      <c r="E83" s="4703"/>
      <c r="F83" s="4688"/>
      <c r="G83" s="4688"/>
      <c r="H83" s="4688"/>
      <c r="I83" s="4703"/>
      <c r="J83" s="4703"/>
      <c r="K83" s="4703"/>
      <c r="L83" s="4703"/>
      <c r="M83" s="4689"/>
      <c r="N83" s="1364"/>
      <c r="T83" s="6141">
        <f>COUNTIF($U$39:U83,TRUE)</f>
        <v>0</v>
      </c>
      <c r="U83" s="3876"/>
    </row>
    <row r="84" spans="2:21" x14ac:dyDescent="0.25">
      <c r="B84" s="1364"/>
      <c r="C84" s="4673" t="str">
        <f>'WS Plan'!F178</f>
        <v>Reduce losses at water treatment plant</v>
      </c>
      <c r="D84" s="4703"/>
      <c r="E84" s="4703"/>
      <c r="F84" s="4688"/>
      <c r="G84" s="4688"/>
      <c r="H84" s="4688"/>
      <c r="I84" s="4703"/>
      <c r="J84" s="4688"/>
      <c r="K84" s="4688"/>
      <c r="L84" s="4703"/>
      <c r="M84" s="4689"/>
      <c r="N84" s="1364"/>
      <c r="T84" s="6141">
        <f>COUNTIF($U$39:U84,TRUE)</f>
        <v>0</v>
      </c>
      <c r="U84" s="3876" t="b">
        <v>0</v>
      </c>
    </row>
    <row r="85" spans="2:21" ht="15" customHeight="1" x14ac:dyDescent="0.25">
      <c r="B85" s="1364"/>
      <c r="C85" s="4673" t="str">
        <f>'WS Plan'!F182</f>
        <v>Reduce losses in treated water transmission network</v>
      </c>
      <c r="D85" s="4703"/>
      <c r="E85" s="4703"/>
      <c r="F85" s="4688"/>
      <c r="G85" s="4688"/>
      <c r="H85" s="4688"/>
      <c r="I85" s="4708"/>
      <c r="J85" s="4708"/>
      <c r="K85" s="4708"/>
      <c r="L85" s="4708"/>
      <c r="M85" s="4689"/>
      <c r="N85" s="1364"/>
      <c r="T85" s="6141">
        <f>COUNTIF($U$39:U85,TRUE)</f>
        <v>0</v>
      </c>
      <c r="U85" s="3876" t="b">
        <v>0</v>
      </c>
    </row>
    <row r="86" spans="2:21" x14ac:dyDescent="0.25">
      <c r="B86" s="1364"/>
      <c r="C86" s="4673" t="str">
        <f>'WS Plan'!F189</f>
        <v>Refurbishment of water storage reservoirs</v>
      </c>
      <c r="D86" s="4703"/>
      <c r="E86" s="4703"/>
      <c r="F86" s="4688"/>
      <c r="G86" s="4688"/>
      <c r="H86" s="4688"/>
      <c r="I86" s="4703"/>
      <c r="J86" s="4703"/>
      <c r="K86" s="4703"/>
      <c r="L86" s="4703"/>
      <c r="M86" s="4689"/>
      <c r="N86" s="1364"/>
      <c r="T86" s="6141">
        <f>COUNTIF($U$39:U86,TRUE)</f>
        <v>0</v>
      </c>
      <c r="U86" s="3876"/>
    </row>
    <row r="87" spans="2:21" x14ac:dyDescent="0.25">
      <c r="B87" s="1364"/>
      <c r="C87" s="4673" t="str">
        <f>'WS Plan'!F192</f>
        <v>Improvement in water supply distribution network</v>
      </c>
      <c r="D87" s="4703"/>
      <c r="E87" s="4703"/>
      <c r="F87" s="4688"/>
      <c r="G87" s="4688"/>
      <c r="H87" s="4688"/>
      <c r="I87" s="4703"/>
      <c r="J87" s="4703"/>
      <c r="K87" s="4703"/>
      <c r="L87" s="4703"/>
      <c r="M87" s="4689"/>
      <c r="N87" s="1364"/>
      <c r="T87" s="6141">
        <f>COUNTIF($U$39:U87,TRUE)</f>
        <v>0</v>
      </c>
      <c r="U87" s="3876" t="b">
        <v>0</v>
      </c>
    </row>
    <row r="88" spans="2:21" x14ac:dyDescent="0.25">
      <c r="B88" s="1364"/>
      <c r="C88" s="4673" t="str">
        <f>'WS Plan'!F195</f>
        <v>Plugging of leakages at valves</v>
      </c>
      <c r="D88" s="4703"/>
      <c r="E88" s="4703"/>
      <c r="F88" s="4688"/>
      <c r="G88" s="4688"/>
      <c r="H88" s="4688"/>
      <c r="I88" s="4703"/>
      <c r="J88" s="4703"/>
      <c r="K88" s="4703"/>
      <c r="L88" s="4703"/>
      <c r="M88" s="4689"/>
      <c r="N88" s="1364"/>
      <c r="T88" s="6141">
        <f>COUNTIF($U$39:U88,TRUE)</f>
        <v>0</v>
      </c>
      <c r="U88" s="3876" t="b">
        <v>0</v>
      </c>
    </row>
    <row r="89" spans="2:21" x14ac:dyDescent="0.25">
      <c r="B89" s="1364"/>
      <c r="C89" s="4673" t="str">
        <f>'WS Plan'!F198</f>
        <v>Replacement of service line connections</v>
      </c>
      <c r="D89" s="4708"/>
      <c r="E89" s="4703"/>
      <c r="F89" s="4688"/>
      <c r="G89" s="4688"/>
      <c r="H89" s="4688"/>
      <c r="I89" s="4703"/>
      <c r="J89" s="4703"/>
      <c r="K89" s="4703"/>
      <c r="L89" s="4703"/>
      <c r="M89" s="4689"/>
      <c r="N89" s="1364"/>
      <c r="T89" s="6141">
        <f>COUNTIF($U$39:U89,TRUE)</f>
        <v>0</v>
      </c>
      <c r="U89" s="3876" t="b">
        <v>0</v>
      </c>
    </row>
    <row r="90" spans="2:21" x14ac:dyDescent="0.25">
      <c r="B90" s="1364"/>
      <c r="C90" s="4673" t="str">
        <f>'WS Plan'!F202</f>
        <v>Reduce free water supply</v>
      </c>
      <c r="D90" s="4703"/>
      <c r="E90" s="4703"/>
      <c r="F90" s="4688"/>
      <c r="G90" s="4688"/>
      <c r="H90" s="4688"/>
      <c r="I90" s="4703"/>
      <c r="J90" s="4703"/>
      <c r="K90" s="4703"/>
      <c r="L90" s="4688"/>
      <c r="M90" s="4689"/>
      <c r="N90" s="1364"/>
      <c r="T90" s="6141">
        <f>COUNTIF($U$39:U90,TRUE)</f>
        <v>0</v>
      </c>
      <c r="U90" s="3876"/>
    </row>
    <row r="91" spans="2:21" ht="15" customHeight="1" x14ac:dyDescent="0.25">
      <c r="B91" s="1364"/>
      <c r="C91" s="4673" t="str">
        <f>'WS Plan'!F206</f>
        <v>Repair non-functional metered water supply connections</v>
      </c>
      <c r="D91" s="4709"/>
      <c r="E91" s="4669"/>
      <c r="F91" s="4669"/>
      <c r="G91" s="4669"/>
      <c r="H91" s="4669"/>
      <c r="I91" s="4688"/>
      <c r="J91" s="4669"/>
      <c r="K91" s="4669"/>
      <c r="L91" s="4669"/>
      <c r="M91" s="4689"/>
      <c r="N91" s="1364"/>
      <c r="T91" s="6141">
        <f>COUNTIF($U$39:U91,TRUE)</f>
        <v>0</v>
      </c>
      <c r="U91" s="3876"/>
    </row>
    <row r="92" spans="2:21" ht="15" customHeight="1" x14ac:dyDescent="0.25">
      <c r="B92" s="1364"/>
      <c r="C92" s="4705" t="str">
        <f>'WS Plan'!F215</f>
        <v>Improve consumer grievance redressal system</v>
      </c>
      <c r="D92" s="4701"/>
      <c r="E92" s="4701"/>
      <c r="F92" s="4706"/>
      <c r="G92" s="4701"/>
      <c r="H92" s="4701"/>
      <c r="I92" s="4701"/>
      <c r="J92" s="4701"/>
      <c r="K92" s="4688"/>
      <c r="L92" s="4701"/>
      <c r="M92" s="4707"/>
      <c r="N92" s="1364"/>
      <c r="T92" s="6141">
        <f>COUNTIF($U$39:U92,TRUE)</f>
        <v>0</v>
      </c>
      <c r="U92" s="3876" t="b">
        <v>0</v>
      </c>
    </row>
    <row r="93" spans="2:21" x14ac:dyDescent="0.25">
      <c r="B93" s="1364"/>
      <c r="C93" s="4698" t="s">
        <v>1686</v>
      </c>
      <c r="D93" s="4697"/>
      <c r="E93" s="4697"/>
      <c r="F93" s="4697"/>
      <c r="G93" s="4697"/>
      <c r="H93" s="4697"/>
      <c r="I93" s="4697"/>
      <c r="J93" s="4697"/>
      <c r="K93" s="4697"/>
      <c r="L93" s="4697"/>
      <c r="M93" s="4699"/>
      <c r="N93" s="1364"/>
      <c r="T93" s="6141">
        <f>COUNTIF($U$39:U93,TRUE)</f>
        <v>0</v>
      </c>
      <c r="U93" s="3876"/>
    </row>
    <row r="94" spans="2:21" ht="15" customHeight="1" x14ac:dyDescent="0.25">
      <c r="B94" s="1364"/>
      <c r="C94" s="4675" t="str">
        <f>'WS Plan'!F222</f>
        <v>Metering of consumer water supply connections</v>
      </c>
      <c r="D94" s="4710"/>
      <c r="E94" s="4710"/>
      <c r="F94" s="4710"/>
      <c r="G94" s="4710"/>
      <c r="H94" s="4692"/>
      <c r="I94" s="4692"/>
      <c r="J94" s="4710"/>
      <c r="K94" s="4710"/>
      <c r="L94" s="4710"/>
      <c r="M94" s="4693"/>
      <c r="N94" s="1364"/>
      <c r="T94" s="6141">
        <f>COUNTIF($U$39:U94,TRUE)</f>
        <v>0</v>
      </c>
      <c r="U94" s="3876"/>
    </row>
    <row r="95" spans="2:21" ht="32.25" customHeight="1" x14ac:dyDescent="0.25">
      <c r="B95" s="1364"/>
      <c r="C95" s="6404" t="s">
        <v>677</v>
      </c>
      <c r="D95" s="6405"/>
      <c r="E95" s="6405"/>
      <c r="F95" s="6405"/>
      <c r="G95" s="6405"/>
      <c r="H95" s="6405"/>
      <c r="I95" s="5277" t="s">
        <v>676</v>
      </c>
      <c r="J95" s="6338" t="s">
        <v>3101</v>
      </c>
      <c r="K95" s="6338"/>
      <c r="L95" s="6338"/>
      <c r="M95" s="6339"/>
      <c r="N95" s="1364"/>
      <c r="T95" s="6141">
        <f>COUNTIF($U$39:U95,TRUE)</f>
        <v>0</v>
      </c>
      <c r="U95" s="3876"/>
    </row>
    <row r="96" spans="2:21" ht="198" customHeight="1" x14ac:dyDescent="0.25">
      <c r="B96" s="1364"/>
      <c r="C96" s="1772"/>
      <c r="D96" s="1773"/>
      <c r="E96" s="1773"/>
      <c r="F96" s="1773"/>
      <c r="G96" s="1773"/>
      <c r="H96" s="1773"/>
      <c r="I96" s="1773"/>
      <c r="J96" s="1773"/>
      <c r="K96" s="1773"/>
      <c r="L96" s="1773"/>
      <c r="M96" s="1774"/>
      <c r="N96" s="1364"/>
      <c r="T96" s="6141">
        <f>COUNTIF($U$39:U96,TRUE)</f>
        <v>0</v>
      </c>
      <c r="U96" s="3876"/>
    </row>
    <row r="97" spans="2:27" ht="15.75" customHeight="1" x14ac:dyDescent="0.25">
      <c r="B97" s="1364"/>
      <c r="C97" s="6402" t="s">
        <v>209</v>
      </c>
      <c r="D97" s="6400" t="s">
        <v>684</v>
      </c>
      <c r="E97" s="6400"/>
      <c r="F97" s="6400"/>
      <c r="G97" s="6400"/>
      <c r="H97" s="6400"/>
      <c r="I97" s="6400"/>
      <c r="J97" s="6400"/>
      <c r="K97" s="6400"/>
      <c r="L97" s="6400"/>
      <c r="M97" s="6401"/>
      <c r="N97" s="1364"/>
      <c r="T97" s="6141">
        <f>COUNTIF($U$39:U97,TRUE)</f>
        <v>0</v>
      </c>
      <c r="U97" s="3876"/>
    </row>
    <row r="98" spans="2:27" ht="64.5" customHeight="1" x14ac:dyDescent="0.25">
      <c r="B98" s="1364"/>
      <c r="C98" s="6403"/>
      <c r="D98" s="4666" t="s">
        <v>1682</v>
      </c>
      <c r="E98" s="4666" t="s">
        <v>1683</v>
      </c>
      <c r="F98" s="4666" t="s">
        <v>1023</v>
      </c>
      <c r="G98" s="4666" t="s">
        <v>1684</v>
      </c>
      <c r="H98" s="4666" t="s">
        <v>1021</v>
      </c>
      <c r="I98" s="4666" t="s">
        <v>682</v>
      </c>
      <c r="J98" s="4666" t="s">
        <v>801</v>
      </c>
      <c r="K98" s="4666" t="s">
        <v>1022</v>
      </c>
      <c r="L98" s="4666" t="s">
        <v>1498</v>
      </c>
      <c r="M98" s="4667" t="s">
        <v>1722</v>
      </c>
      <c r="N98" s="1364"/>
      <c r="T98" s="6141">
        <f>COUNTIF($U$39:U98,TRUE)</f>
        <v>0</v>
      </c>
      <c r="U98" s="3876"/>
    </row>
    <row r="99" spans="2:27" x14ac:dyDescent="0.25">
      <c r="B99" s="1364"/>
      <c r="C99" s="4698" t="s">
        <v>1691</v>
      </c>
      <c r="D99" s="4697"/>
      <c r="E99" s="4697"/>
      <c r="F99" s="4697"/>
      <c r="G99" s="4697"/>
      <c r="H99" s="4697"/>
      <c r="I99" s="4697"/>
      <c r="J99" s="4697"/>
      <c r="K99" s="4697"/>
      <c r="L99" s="4697"/>
      <c r="M99" s="4699"/>
      <c r="N99" s="1364"/>
      <c r="T99" s="6141">
        <f>COUNTIF($U$39:U99,TRUE)</f>
        <v>0</v>
      </c>
      <c r="U99" s="3876"/>
    </row>
    <row r="100" spans="2:27" x14ac:dyDescent="0.25">
      <c r="B100" s="1364"/>
      <c r="C100" s="4673" t="str">
        <f>'WS Plan'!F258</f>
        <v>Improve billing and collection of water supply bills</v>
      </c>
      <c r="D100" s="4690"/>
      <c r="E100" s="4690"/>
      <c r="F100" s="4690"/>
      <c r="G100" s="4690"/>
      <c r="H100" s="4690"/>
      <c r="I100" s="4690"/>
      <c r="J100" s="4690"/>
      <c r="K100" s="4688"/>
      <c r="L100" s="4688"/>
      <c r="M100" s="4689"/>
      <c r="N100" s="1364"/>
      <c r="T100" s="6141">
        <f>COUNTIF($U$39:U100,TRUE)</f>
        <v>0</v>
      </c>
      <c r="U100" s="3876"/>
    </row>
    <row r="101" spans="2:27" x14ac:dyDescent="0.25">
      <c r="B101" s="1364"/>
      <c r="C101" s="4698" t="s">
        <v>1982</v>
      </c>
      <c r="D101" s="4697"/>
      <c r="E101" s="4697"/>
      <c r="F101" s="4697"/>
      <c r="G101" s="4697"/>
      <c r="H101" s="4697"/>
      <c r="I101" s="4697"/>
      <c r="J101" s="4697"/>
      <c r="K101" s="4697"/>
      <c r="L101" s="4697"/>
      <c r="M101" s="4699"/>
      <c r="N101" s="1364"/>
      <c r="T101" s="6141">
        <f>COUNTIF($U$39:U101,TRUE)</f>
        <v>0</v>
      </c>
      <c r="U101" s="3876"/>
    </row>
    <row r="102" spans="2:27" ht="30" customHeight="1" x14ac:dyDescent="0.25">
      <c r="B102" s="1364"/>
      <c r="C102" s="5278" t="str">
        <f>'WS Plan'!F262</f>
        <v>Improve collection efficiency of water supply charges and taxes</v>
      </c>
      <c r="D102" s="4701"/>
      <c r="E102" s="4701"/>
      <c r="F102" s="4706"/>
      <c r="G102" s="4701"/>
      <c r="H102" s="4701"/>
      <c r="I102" s="4701"/>
      <c r="J102" s="4701"/>
      <c r="K102" s="4711"/>
      <c r="L102" s="4688"/>
      <c r="M102" s="4689"/>
      <c r="N102" s="1364"/>
      <c r="T102" s="6141">
        <f>COUNTIF($U$39:U102,TRUE)</f>
        <v>0</v>
      </c>
      <c r="U102" s="3876"/>
    </row>
    <row r="103" spans="2:27" x14ac:dyDescent="0.25">
      <c r="B103" s="1364"/>
      <c r="C103" s="4673" t="str">
        <f>'WS Plan'!F268</f>
        <v>Replace pumping machinery</v>
      </c>
      <c r="D103" s="4703"/>
      <c r="E103" s="4703"/>
      <c r="F103" s="4703"/>
      <c r="G103" s="4703"/>
      <c r="H103" s="4688"/>
      <c r="I103" s="4703"/>
      <c r="J103" s="4703"/>
      <c r="K103" s="4711"/>
      <c r="L103" s="4711"/>
      <c r="M103" s="4689"/>
      <c r="N103" s="1364"/>
      <c r="T103" s="6141">
        <f>COUNTIF($U$39:U103,TRUE)</f>
        <v>0</v>
      </c>
      <c r="U103" s="3876"/>
    </row>
    <row r="104" spans="2:27" ht="15.75" customHeight="1" x14ac:dyDescent="0.25">
      <c r="B104" s="1364"/>
      <c r="C104" s="4675" t="str">
        <f>'WS Plan'!F274</f>
        <v>Other measures to optimise power and energy expenses</v>
      </c>
      <c r="D104" s="4710"/>
      <c r="E104" s="4710"/>
      <c r="F104" s="4676"/>
      <c r="G104" s="4710"/>
      <c r="H104" s="4710"/>
      <c r="I104" s="4710"/>
      <c r="J104" s="4710"/>
      <c r="K104" s="4712"/>
      <c r="L104" s="4712"/>
      <c r="M104" s="4693"/>
      <c r="N104" s="1364"/>
      <c r="T104" s="6141">
        <f>COUNTIF($U$39:U104,TRUE)</f>
        <v>0</v>
      </c>
      <c r="U104" s="3876"/>
    </row>
    <row r="105" spans="2:27" x14ac:dyDescent="0.25">
      <c r="B105" s="1364"/>
      <c r="C105" s="1341"/>
      <c r="D105" s="1341"/>
      <c r="E105" s="1341"/>
      <c r="F105" s="1341"/>
      <c r="G105" s="1341"/>
      <c r="H105" s="1341"/>
      <c r="I105" s="1341"/>
      <c r="J105" s="1341"/>
      <c r="K105" s="1341"/>
      <c r="L105" s="1341"/>
      <c r="M105" s="1341"/>
      <c r="N105" s="1364"/>
      <c r="T105" s="6141"/>
      <c r="U105" s="3876"/>
    </row>
    <row r="106" spans="2:27" x14ac:dyDescent="0.25">
      <c r="B106" s="1364"/>
      <c r="C106" s="1364"/>
      <c r="D106" s="1341"/>
      <c r="E106" s="1341"/>
      <c r="F106" s="1341"/>
      <c r="G106" s="1341"/>
      <c r="H106" s="1341"/>
      <c r="I106" s="1341"/>
      <c r="J106" s="1341"/>
      <c r="K106" s="1341"/>
      <c r="L106" s="1341"/>
      <c r="M106" s="1341"/>
      <c r="N106" s="1364"/>
      <c r="T106" s="6141"/>
      <c r="U106" s="3876"/>
    </row>
    <row r="107" spans="2:27" x14ac:dyDescent="0.25">
      <c r="B107" s="1364"/>
      <c r="C107" s="1364"/>
      <c r="D107" s="1364"/>
      <c r="E107" s="1364"/>
      <c r="F107" s="1364"/>
      <c r="G107" s="1364"/>
      <c r="H107" s="1364"/>
      <c r="I107" s="1364"/>
      <c r="J107" s="1364"/>
      <c r="K107" s="1364"/>
      <c r="L107" s="1364"/>
      <c r="M107" s="1364"/>
      <c r="N107" s="1364"/>
      <c r="T107" s="6141"/>
      <c r="U107" s="3876"/>
    </row>
    <row r="108" spans="2:27" s="1766" customFormat="1" ht="35.25" hidden="1" customHeight="1" x14ac:dyDescent="0.25">
      <c r="B108" s="1767" t="s">
        <v>14</v>
      </c>
      <c r="C108" s="6344" t="s">
        <v>3733</v>
      </c>
      <c r="D108" s="6344"/>
      <c r="E108" s="6344"/>
      <c r="F108" s="6344"/>
      <c r="G108" s="6344"/>
      <c r="H108" s="6344"/>
      <c r="I108" s="6344"/>
      <c r="J108" s="6344"/>
      <c r="K108" s="6344"/>
      <c r="L108" s="6344"/>
      <c r="M108" s="6344"/>
      <c r="N108" s="1606"/>
      <c r="T108" s="6143"/>
      <c r="U108" s="3877"/>
      <c r="V108" s="3738"/>
      <c r="W108" s="3738"/>
      <c r="X108" s="3738"/>
      <c r="Y108" s="3738"/>
      <c r="Z108" s="3738"/>
      <c r="AA108" s="3738"/>
    </row>
    <row r="109" spans="2:27" hidden="1" x14ac:dyDescent="0.25">
      <c r="B109" s="1364"/>
      <c r="C109" s="1364"/>
      <c r="D109" s="1364"/>
      <c r="E109" s="1364"/>
      <c r="F109" s="1364"/>
      <c r="G109" s="1364"/>
      <c r="H109" s="5661" t="s">
        <v>3432</v>
      </c>
      <c r="I109" s="5661" t="s">
        <v>3432</v>
      </c>
      <c r="J109" s="1364"/>
      <c r="K109" s="1364"/>
      <c r="L109" s="1364"/>
      <c r="M109" s="1364"/>
      <c r="N109" s="1364"/>
      <c r="T109" s="6141"/>
      <c r="U109" s="3876"/>
    </row>
    <row r="110" spans="2:27" ht="15.75" hidden="1" customHeight="1" x14ac:dyDescent="0.25">
      <c r="B110" s="1364"/>
      <c r="C110" s="6336" t="s">
        <v>675</v>
      </c>
      <c r="D110" s="6336" t="s">
        <v>9</v>
      </c>
      <c r="E110" s="1364"/>
      <c r="F110" s="1364" t="s">
        <v>3424</v>
      </c>
      <c r="G110" s="5658" t="s">
        <v>3425</v>
      </c>
      <c r="H110" s="6043" t="s">
        <v>3427</v>
      </c>
      <c r="I110" s="6044" t="s">
        <v>3716</v>
      </c>
      <c r="J110" s="5661" t="s">
        <v>3433</v>
      </c>
      <c r="K110" s="1364"/>
      <c r="L110" s="1364"/>
      <c r="M110" s="1364"/>
      <c r="N110" s="1364"/>
      <c r="T110" s="6141"/>
      <c r="U110" s="3876"/>
    </row>
    <row r="111" spans="2:27" ht="17.25" hidden="1" customHeight="1" x14ac:dyDescent="0.25">
      <c r="B111" s="1364"/>
      <c r="C111" s="6336"/>
      <c r="D111" s="6336"/>
      <c r="E111" s="1364"/>
      <c r="F111" s="1364"/>
      <c r="G111" s="1364"/>
      <c r="H111" s="1364"/>
      <c r="I111" s="1364"/>
      <c r="J111" s="1364"/>
      <c r="K111" s="1364"/>
      <c r="L111" s="1364"/>
      <c r="M111" s="1364"/>
      <c r="N111" s="1364"/>
      <c r="T111" s="6144">
        <f>COUNTIF($U$111:U111,TRUE)</f>
        <v>1</v>
      </c>
      <c r="U111" s="3876" t="b">
        <v>1</v>
      </c>
    </row>
    <row r="112" spans="2:27" ht="30" hidden="1" customHeight="1" x14ac:dyDescent="0.25">
      <c r="B112" s="1364"/>
      <c r="C112" s="1775" t="s">
        <v>1835</v>
      </c>
      <c r="D112" s="1776">
        <f>'Summary of PIP'!D85</f>
        <v>0</v>
      </c>
      <c r="E112" s="1364"/>
      <c r="F112" s="1364"/>
      <c r="G112" s="1364"/>
      <c r="H112" s="1364"/>
      <c r="I112" s="1364"/>
      <c r="J112" s="1364"/>
      <c r="K112" s="1364"/>
      <c r="L112" s="1364"/>
      <c r="M112" s="1364"/>
      <c r="N112" s="1364"/>
      <c r="T112" s="6144">
        <f>COUNTIF($U$111:U112,TRUE)</f>
        <v>2</v>
      </c>
      <c r="U112" s="3876" t="b">
        <v>1</v>
      </c>
    </row>
    <row r="113" spans="2:27" ht="30" hidden="1" customHeight="1" x14ac:dyDescent="0.25">
      <c r="B113" s="1364"/>
      <c r="C113" s="1775" t="s">
        <v>1836</v>
      </c>
      <c r="D113" s="1776">
        <f>'Summary of PIP'!D87</f>
        <v>0</v>
      </c>
      <c r="E113" s="1364"/>
      <c r="F113" s="1364"/>
      <c r="G113" s="1364"/>
      <c r="H113" s="1364"/>
      <c r="I113" s="1364"/>
      <c r="J113" s="1364"/>
      <c r="K113" s="1364"/>
      <c r="L113" s="1364"/>
      <c r="M113" s="1364"/>
      <c r="N113" s="1364"/>
      <c r="T113" s="6144">
        <f>COUNTIF($U$111:U113,TRUE)</f>
        <v>3</v>
      </c>
      <c r="U113" s="3876" t="b">
        <v>1</v>
      </c>
    </row>
    <row r="114" spans="2:27" ht="30" hidden="1" customHeight="1" x14ac:dyDescent="0.25">
      <c r="B114" s="1364"/>
      <c r="C114" s="1775" t="s">
        <v>1381</v>
      </c>
      <c r="D114" s="1776">
        <f>'Summary of PIP'!D98</f>
        <v>0</v>
      </c>
      <c r="E114" s="1364"/>
      <c r="F114" s="1364"/>
      <c r="G114" s="1364"/>
      <c r="H114" s="1364"/>
      <c r="I114" s="1364"/>
      <c r="J114" s="1364"/>
      <c r="K114" s="1364"/>
      <c r="L114" s="1364"/>
      <c r="M114" s="1364"/>
      <c r="N114" s="1364"/>
      <c r="T114" s="6144">
        <f>COUNTIF($U$111:U114,TRUE)</f>
        <v>4</v>
      </c>
      <c r="U114" s="3876" t="b">
        <v>1</v>
      </c>
    </row>
    <row r="115" spans="2:27" ht="30" hidden="1" customHeight="1" x14ac:dyDescent="0.25">
      <c r="B115" s="1364"/>
      <c r="C115" s="1775" t="s">
        <v>1430</v>
      </c>
      <c r="D115" s="1776">
        <f>'Summary of PIP'!D100</f>
        <v>0</v>
      </c>
      <c r="E115" s="1364"/>
      <c r="F115" s="1364"/>
      <c r="G115" s="1364"/>
      <c r="H115" s="1364"/>
      <c r="I115" s="1364"/>
      <c r="J115" s="1364"/>
      <c r="K115" s="1364"/>
      <c r="L115" s="1364"/>
      <c r="M115" s="1364"/>
      <c r="N115" s="1364"/>
      <c r="T115" s="6144">
        <f>COUNTIF($U$111:U115,TRUE)</f>
        <v>5</v>
      </c>
      <c r="U115" s="3876" t="b">
        <v>1</v>
      </c>
    </row>
    <row r="116" spans="2:27" ht="30" hidden="1" customHeight="1" x14ac:dyDescent="0.25">
      <c r="B116" s="1364"/>
      <c r="C116" s="1775" t="s">
        <v>1368</v>
      </c>
      <c r="D116" s="1776">
        <f>'Summary of PIP'!D102</f>
        <v>0</v>
      </c>
      <c r="E116" s="1364"/>
      <c r="F116" s="1364"/>
      <c r="G116" s="1364"/>
      <c r="H116" s="1364"/>
      <c r="I116" s="1364"/>
      <c r="J116" s="1364"/>
      <c r="K116" s="1364"/>
      <c r="L116" s="1364"/>
      <c r="M116" s="1364"/>
      <c r="N116" s="1364"/>
      <c r="T116" s="6144">
        <f>COUNTIF($U$111:U116,TRUE)</f>
        <v>6</v>
      </c>
      <c r="U116" s="3876" t="b">
        <v>1</v>
      </c>
    </row>
    <row r="117" spans="2:27" ht="30" hidden="1" customHeight="1" x14ac:dyDescent="0.25">
      <c r="B117" s="1364"/>
      <c r="C117" s="1775" t="s">
        <v>1139</v>
      </c>
      <c r="D117" s="1776">
        <f>'Summary of PIP'!D123</f>
        <v>0</v>
      </c>
      <c r="E117" s="1364"/>
      <c r="F117" s="1364"/>
      <c r="G117" s="1364"/>
      <c r="H117" s="1364"/>
      <c r="I117" s="1364"/>
      <c r="J117" s="1364"/>
      <c r="K117" s="1364"/>
      <c r="L117" s="1364"/>
      <c r="M117" s="1364"/>
      <c r="N117" s="1364"/>
      <c r="T117" s="6144">
        <f>COUNTIF($U$111:U117,TRUE)</f>
        <v>7</v>
      </c>
      <c r="U117" s="3876" t="b">
        <v>1</v>
      </c>
    </row>
    <row r="118" spans="2:27" ht="30" hidden="1" customHeight="1" x14ac:dyDescent="0.25">
      <c r="B118" s="1364"/>
      <c r="C118" s="1775" t="s">
        <v>1983</v>
      </c>
      <c r="D118" s="1776">
        <f>'Summary of PIP'!D121</f>
        <v>0</v>
      </c>
      <c r="E118" s="1364"/>
      <c r="F118" s="1364"/>
      <c r="G118" s="1364"/>
      <c r="H118" s="1364"/>
      <c r="I118" s="1364"/>
      <c r="J118" s="1364"/>
      <c r="K118" s="1364"/>
      <c r="L118" s="1364"/>
      <c r="M118" s="1364"/>
      <c r="N118" s="1364"/>
      <c r="T118" s="6144">
        <f>COUNTIF($U$111:U118,TRUE)</f>
        <v>7</v>
      </c>
      <c r="U118" s="3876"/>
    </row>
    <row r="119" spans="2:27" ht="30" hidden="1" customHeight="1" x14ac:dyDescent="0.25">
      <c r="B119" s="1364"/>
      <c r="C119" s="1775" t="s">
        <v>1117</v>
      </c>
      <c r="D119" s="1776">
        <f>'Summary of PIP'!D125</f>
        <v>1</v>
      </c>
      <c r="E119" s="1364"/>
      <c r="F119" s="1364"/>
      <c r="G119" s="1364"/>
      <c r="H119" s="1364"/>
      <c r="I119" s="1364"/>
      <c r="J119" s="1364"/>
      <c r="K119" s="1364"/>
      <c r="L119" s="1364"/>
      <c r="M119" s="1364"/>
      <c r="N119" s="1364"/>
      <c r="T119" s="6144">
        <f>COUNTIF($U$111:U119,TRUE)</f>
        <v>7</v>
      </c>
      <c r="U119" s="3876"/>
    </row>
    <row r="120" spans="2:27" ht="30" hidden="1" customHeight="1" x14ac:dyDescent="0.25">
      <c r="B120" s="1364"/>
      <c r="C120" s="1775" t="s">
        <v>1436</v>
      </c>
      <c r="D120" s="1776">
        <f>'Summary of PIP'!D134</f>
        <v>0</v>
      </c>
      <c r="E120" s="1364"/>
      <c r="F120" s="1364"/>
      <c r="G120" s="1364"/>
      <c r="H120" s="1364"/>
      <c r="I120" s="1364"/>
      <c r="J120" s="1364"/>
      <c r="K120" s="1364"/>
      <c r="L120" s="1364"/>
      <c r="M120" s="1364"/>
      <c r="N120" s="1364"/>
      <c r="T120" s="6144">
        <f>COUNTIF($U$111:U120,TRUE)</f>
        <v>8</v>
      </c>
      <c r="U120" s="3876" t="b">
        <v>1</v>
      </c>
    </row>
    <row r="121" spans="2:27" ht="30" hidden="1" customHeight="1" x14ac:dyDescent="0.25">
      <c r="B121" s="1364"/>
      <c r="C121" s="1775" t="s">
        <v>1119</v>
      </c>
      <c r="D121" s="1776">
        <f>'Summary of PIP'!D136</f>
        <v>0</v>
      </c>
      <c r="E121" s="1364"/>
      <c r="F121" s="1364"/>
      <c r="G121" s="1364"/>
      <c r="H121" s="1364"/>
      <c r="I121" s="1364"/>
      <c r="J121" s="1364"/>
      <c r="K121" s="1364"/>
      <c r="L121" s="1364"/>
      <c r="M121" s="1364"/>
      <c r="N121" s="1364"/>
      <c r="T121" s="6141"/>
      <c r="U121" s="3876"/>
    </row>
    <row r="122" spans="2:27" ht="23.25" hidden="1" customHeight="1" x14ac:dyDescent="0.25">
      <c r="B122" s="1364"/>
      <c r="C122" s="1364"/>
      <c r="D122" s="1364"/>
      <c r="E122" s="1364"/>
      <c r="F122" s="1364"/>
      <c r="G122" s="1364"/>
      <c r="H122" s="1364"/>
      <c r="I122" s="1364"/>
      <c r="J122" s="1364"/>
      <c r="K122" s="1364"/>
      <c r="L122" s="1364"/>
      <c r="M122" s="1364"/>
      <c r="N122" s="1364"/>
      <c r="T122" s="6141"/>
      <c r="U122" s="3876"/>
    </row>
    <row r="123" spans="2:27" ht="32.25" hidden="1" customHeight="1" x14ac:dyDescent="0.25">
      <c r="B123" s="1364"/>
      <c r="C123" s="6340" t="s">
        <v>570</v>
      </c>
      <c r="D123" s="6341"/>
      <c r="E123" s="6341"/>
      <c r="F123" s="6341"/>
      <c r="G123" s="6341"/>
      <c r="H123" s="6341"/>
      <c r="I123" s="1777" t="s">
        <v>676</v>
      </c>
      <c r="J123" s="6338" t="s">
        <v>3101</v>
      </c>
      <c r="K123" s="6338"/>
      <c r="L123" s="6338"/>
      <c r="M123" s="6339"/>
      <c r="N123" s="1364"/>
      <c r="T123" s="6141"/>
      <c r="U123" s="3876"/>
    </row>
    <row r="124" spans="2:27" ht="198" hidden="1" customHeight="1" x14ac:dyDescent="0.25">
      <c r="B124" s="1364"/>
      <c r="C124" s="1778"/>
      <c r="D124" s="1779"/>
      <c r="E124" s="1779"/>
      <c r="F124" s="1779"/>
      <c r="G124" s="1779"/>
      <c r="H124" s="1779"/>
      <c r="I124" s="1779"/>
      <c r="J124" s="1779"/>
      <c r="K124" s="1779"/>
      <c r="L124" s="1779"/>
      <c r="M124" s="1780"/>
      <c r="N124" s="1364"/>
      <c r="T124" s="6141"/>
      <c r="U124" s="3876"/>
    </row>
    <row r="125" spans="2:27" ht="18.75" hidden="1" customHeight="1" x14ac:dyDescent="0.25">
      <c r="B125" s="1364"/>
      <c r="C125" s="6342" t="s">
        <v>209</v>
      </c>
      <c r="D125" s="6345" t="s">
        <v>684</v>
      </c>
      <c r="E125" s="6345"/>
      <c r="F125" s="6345"/>
      <c r="G125" s="6345"/>
      <c r="H125" s="6345"/>
      <c r="I125" s="6345"/>
      <c r="J125" s="6345"/>
      <c r="K125" s="6345"/>
      <c r="L125" s="6345"/>
      <c r="M125" s="6346"/>
      <c r="N125" s="1364"/>
      <c r="T125" s="6141"/>
      <c r="U125" s="3876"/>
    </row>
    <row r="126" spans="2:27" ht="75" hidden="1" customHeight="1" x14ac:dyDescent="0.25">
      <c r="B126" s="1364"/>
      <c r="C126" s="6343"/>
      <c r="D126" s="4678" t="s">
        <v>1718</v>
      </c>
      <c r="E126" s="4678" t="s">
        <v>2987</v>
      </c>
      <c r="F126" s="4678" t="s">
        <v>1719</v>
      </c>
      <c r="G126" s="4678" t="s">
        <v>1723</v>
      </c>
      <c r="H126" s="4678" t="s">
        <v>1724</v>
      </c>
      <c r="I126" s="4678" t="s">
        <v>1725</v>
      </c>
      <c r="J126" s="4678" t="s">
        <v>1726</v>
      </c>
      <c r="K126" s="4678" t="s">
        <v>1022</v>
      </c>
      <c r="L126" s="4678" t="s">
        <v>1727</v>
      </c>
      <c r="M126" s="4683" t="s">
        <v>1728</v>
      </c>
      <c r="N126" s="1364"/>
      <c r="T126" s="6141"/>
      <c r="U126" s="3876"/>
    </row>
    <row r="127" spans="2:27" s="1781" customFormat="1" hidden="1" x14ac:dyDescent="0.25">
      <c r="B127" s="1782"/>
      <c r="C127" s="4694" t="s">
        <v>737</v>
      </c>
      <c r="D127" s="4695"/>
      <c r="E127" s="4695"/>
      <c r="F127" s="4695"/>
      <c r="G127" s="4695"/>
      <c r="H127" s="4695"/>
      <c r="I127" s="4695"/>
      <c r="J127" s="4695"/>
      <c r="K127" s="4695"/>
      <c r="L127" s="4695"/>
      <c r="M127" s="4696"/>
      <c r="N127" s="1782"/>
      <c r="T127" s="6141"/>
      <c r="U127" s="3878"/>
      <c r="V127" s="3879"/>
      <c r="W127" s="3879"/>
      <c r="X127" s="3879"/>
      <c r="Y127" s="3879"/>
      <c r="Z127" s="3879"/>
      <c r="AA127" s="3879"/>
    </row>
    <row r="128" spans="2:27" ht="15" hidden="1" customHeight="1" x14ac:dyDescent="0.25">
      <c r="B128" s="1364"/>
      <c r="C128" s="4657" t="str">
        <f>'WW Plan'!F22</f>
        <v>Household survey to assess wastewater services</v>
      </c>
      <c r="D128" s="4661"/>
      <c r="E128" s="4661"/>
      <c r="F128" s="4661"/>
      <c r="G128" s="4679"/>
      <c r="H128" s="4679"/>
      <c r="I128" s="4679"/>
      <c r="J128" s="4679"/>
      <c r="K128" s="4679"/>
      <c r="L128" s="4654"/>
      <c r="M128" s="4684"/>
      <c r="N128" s="1364"/>
      <c r="T128" s="6141">
        <f>COUNTIF($U$127:U128,TRUE)</f>
        <v>0</v>
      </c>
      <c r="U128" s="3876"/>
    </row>
    <row r="129" spans="2:27" hidden="1" x14ac:dyDescent="0.25">
      <c r="B129" s="1364"/>
      <c r="C129" s="4657" t="str">
        <f>'WW Plan'!F28</f>
        <v>Surveys and monitoring of open defecation sites</v>
      </c>
      <c r="D129" s="4661"/>
      <c r="E129" s="4661"/>
      <c r="F129" s="4661"/>
      <c r="G129" s="4679"/>
      <c r="H129" s="4679"/>
      <c r="I129" s="4679"/>
      <c r="J129" s="4679"/>
      <c r="K129" s="4679"/>
      <c r="L129" s="4679"/>
      <c r="M129" s="4684"/>
      <c r="N129" s="1364"/>
      <c r="T129" s="6141">
        <f>COUNTIF($U$127:U129,TRUE)</f>
        <v>1</v>
      </c>
      <c r="U129" s="3876" t="b">
        <v>1</v>
      </c>
    </row>
    <row r="130" spans="2:27" hidden="1" x14ac:dyDescent="0.25">
      <c r="B130" s="1364"/>
      <c r="C130" s="4657" t="str">
        <f>'WW Plan'!F32</f>
        <v>Computerise wastewater records</v>
      </c>
      <c r="D130" s="4661"/>
      <c r="E130" s="4661"/>
      <c r="F130" s="4661"/>
      <c r="G130" s="4680"/>
      <c r="H130" s="4680"/>
      <c r="I130" s="4680"/>
      <c r="J130" s="4680"/>
      <c r="K130" s="4680"/>
      <c r="L130" s="4661"/>
      <c r="M130" s="4663"/>
      <c r="N130" s="1364"/>
      <c r="T130" s="6141">
        <f>COUNTIF($U$127:U130,TRUE)</f>
        <v>1</v>
      </c>
      <c r="U130" s="3876"/>
    </row>
    <row r="131" spans="2:27" s="1781" customFormat="1" hidden="1" x14ac:dyDescent="0.25">
      <c r="B131" s="1782"/>
      <c r="C131" s="4694" t="s">
        <v>1690</v>
      </c>
      <c r="D131" s="4695"/>
      <c r="E131" s="4695"/>
      <c r="F131" s="4695"/>
      <c r="G131" s="4695"/>
      <c r="H131" s="4695"/>
      <c r="I131" s="4695"/>
      <c r="J131" s="4695"/>
      <c r="K131" s="4695"/>
      <c r="L131" s="4695"/>
      <c r="M131" s="4696"/>
      <c r="N131" s="1782"/>
      <c r="T131" s="6141">
        <f>COUNTIF($U$127:U131,TRUE)</f>
        <v>1</v>
      </c>
      <c r="U131" s="3878"/>
      <c r="V131" s="3879"/>
      <c r="W131" s="3879"/>
      <c r="X131" s="3879"/>
      <c r="Y131" s="3879"/>
      <c r="Z131" s="3879"/>
      <c r="AA131" s="3879"/>
    </row>
    <row r="132" spans="2:27" hidden="1" x14ac:dyDescent="0.25">
      <c r="B132" s="1364"/>
      <c r="C132" s="4657" t="str">
        <f>'WW Plan'!F38</f>
        <v>Policy for providing sanitation services in slums</v>
      </c>
      <c r="D132" s="4661"/>
      <c r="E132" s="4661"/>
      <c r="F132" s="4661"/>
      <c r="G132" s="4660"/>
      <c r="H132" s="4660"/>
      <c r="I132" s="4660"/>
      <c r="J132" s="4660"/>
      <c r="K132" s="4660"/>
      <c r="L132" s="4654"/>
      <c r="M132" s="4655"/>
      <c r="N132" s="1364"/>
      <c r="T132" s="6141">
        <f>COUNTIF($U$127:U132,TRUE)</f>
        <v>2</v>
      </c>
      <c r="U132" s="3876" t="b">
        <v>1</v>
      </c>
    </row>
    <row r="133" spans="2:27" s="1781" customFormat="1" hidden="1" x14ac:dyDescent="0.25">
      <c r="B133" s="1782"/>
      <c r="C133" s="4694" t="s">
        <v>1981</v>
      </c>
      <c r="D133" s="4695"/>
      <c r="E133" s="4695"/>
      <c r="F133" s="4695"/>
      <c r="G133" s="4695"/>
      <c r="H133" s="4695"/>
      <c r="I133" s="4695"/>
      <c r="J133" s="4695"/>
      <c r="K133" s="4695"/>
      <c r="L133" s="4695"/>
      <c r="M133" s="4696"/>
      <c r="N133" s="1782"/>
      <c r="T133" s="6141">
        <f>COUNTIF($U$127:U133,TRUE)</f>
        <v>2</v>
      </c>
      <c r="U133" s="3878"/>
      <c r="V133" s="3879"/>
      <c r="W133" s="3879"/>
      <c r="X133" s="3879"/>
      <c r="Y133" s="3879"/>
      <c r="Z133" s="3879"/>
      <c r="AA133" s="3879"/>
    </row>
    <row r="134" spans="2:27" ht="30" hidden="1" x14ac:dyDescent="0.25">
      <c r="B134" s="1364"/>
      <c r="C134" s="4657" t="str">
        <f>'WW Plan'!F42</f>
        <v>Improve condition of existing individual toilets by providing safe sanitation disposal system</v>
      </c>
      <c r="D134" s="4654"/>
      <c r="E134" s="4654"/>
      <c r="F134" s="4661"/>
      <c r="G134" s="4656"/>
      <c r="H134" s="4654"/>
      <c r="I134" s="4654"/>
      <c r="J134" s="4654"/>
      <c r="K134" s="4654"/>
      <c r="L134" s="4656"/>
      <c r="M134" s="4685"/>
      <c r="N134" s="1364"/>
      <c r="T134" s="6141">
        <f>COUNTIF($U$127:U134,TRUE)</f>
        <v>3</v>
      </c>
      <c r="U134" s="3876" t="b">
        <v>1</v>
      </c>
    </row>
    <row r="135" spans="2:27" hidden="1" x14ac:dyDescent="0.25">
      <c r="B135" s="1364"/>
      <c r="C135" s="4657" t="str">
        <f>'WW Plan'!F57</f>
        <v>Improve condition of existing Community toilets</v>
      </c>
      <c r="D135" s="4661"/>
      <c r="E135" s="4661"/>
      <c r="F135" s="4661"/>
      <c r="G135" s="4660"/>
      <c r="H135" s="4660"/>
      <c r="I135" s="4660"/>
      <c r="J135" s="4660"/>
      <c r="K135" s="4661"/>
      <c r="L135" s="4660"/>
      <c r="M135" s="4662"/>
      <c r="N135" s="1364"/>
      <c r="T135" s="6141">
        <f>COUNTIF($U$127:U135,TRUE)</f>
        <v>3</v>
      </c>
      <c r="U135" s="3876"/>
    </row>
    <row r="136" spans="2:27" hidden="1" x14ac:dyDescent="0.25">
      <c r="B136" s="1364"/>
      <c r="C136" s="4657" t="str">
        <f>'WW Plan'!F79</f>
        <v>Improve condition of existing Public toilets</v>
      </c>
      <c r="D136" s="4656"/>
      <c r="E136" s="4654"/>
      <c r="F136" s="4661"/>
      <c r="G136" s="4660"/>
      <c r="H136" s="4660"/>
      <c r="I136" s="4660"/>
      <c r="J136" s="4660"/>
      <c r="K136" s="4661"/>
      <c r="L136" s="4660"/>
      <c r="M136" s="4662"/>
      <c r="N136" s="1364"/>
      <c r="T136" s="6141">
        <f>COUNTIF($U$127:U136,TRUE)</f>
        <v>4</v>
      </c>
      <c r="U136" s="3876" t="b">
        <v>1</v>
      </c>
    </row>
    <row r="137" spans="2:27" hidden="1" x14ac:dyDescent="0.25">
      <c r="B137" s="1364"/>
      <c r="C137" s="4657" t="str">
        <f>'WW Plan'!F97</f>
        <v>Refurbishment of exisiting septic tanks in city</v>
      </c>
      <c r="D137" s="4681"/>
      <c r="E137" s="4681"/>
      <c r="F137" s="4661"/>
      <c r="G137" s="4654"/>
      <c r="H137" s="4654"/>
      <c r="I137" s="4654"/>
      <c r="J137" s="4654"/>
      <c r="K137" s="4681"/>
      <c r="L137" s="4682"/>
      <c r="M137" s="4686"/>
      <c r="N137" s="1364"/>
      <c r="T137" s="6141">
        <f>COUNTIF($U$127:U137,TRUE)</f>
        <v>4</v>
      </c>
      <c r="U137" s="3876"/>
    </row>
    <row r="138" spans="2:27" ht="30" hidden="1" x14ac:dyDescent="0.25">
      <c r="B138" s="1364"/>
      <c r="C138" s="4657" t="str">
        <f>'WW Plan'!F106</f>
        <v>Information, education and communication (IEC) campaigns for sanitation awareness</v>
      </c>
      <c r="D138" s="4661"/>
      <c r="E138" s="4661"/>
      <c r="F138" s="4661"/>
      <c r="G138" s="4679"/>
      <c r="H138" s="4679"/>
      <c r="I138" s="4679"/>
      <c r="J138" s="4679"/>
      <c r="K138" s="4661"/>
      <c r="L138" s="4679"/>
      <c r="M138" s="4684"/>
      <c r="N138" s="1364"/>
      <c r="T138" s="6141">
        <f>COUNTIF($U$127:U138,TRUE)</f>
        <v>5</v>
      </c>
      <c r="U138" s="3876" t="b">
        <v>1</v>
      </c>
    </row>
    <row r="139" spans="2:27" s="1781" customFormat="1" hidden="1" x14ac:dyDescent="0.25">
      <c r="B139" s="1782"/>
      <c r="C139" s="4694" t="s">
        <v>1686</v>
      </c>
      <c r="D139" s="4695"/>
      <c r="E139" s="4695"/>
      <c r="F139" s="4695"/>
      <c r="G139" s="4695"/>
      <c r="H139" s="4695"/>
      <c r="I139" s="4695"/>
      <c r="J139" s="4695"/>
      <c r="K139" s="4695"/>
      <c r="L139" s="4695"/>
      <c r="M139" s="4696"/>
      <c r="N139" s="1782"/>
      <c r="T139" s="6141">
        <f>COUNTIF($U$127:U139,TRUE)</f>
        <v>5</v>
      </c>
      <c r="U139" s="3878"/>
      <c r="V139" s="3879"/>
      <c r="W139" s="3879"/>
      <c r="X139" s="3879"/>
      <c r="Y139" s="3879"/>
      <c r="Z139" s="3879"/>
      <c r="AA139" s="3879"/>
    </row>
    <row r="140" spans="2:27" hidden="1" x14ac:dyDescent="0.25">
      <c r="B140" s="1364"/>
      <c r="C140" s="4657" t="str">
        <f>'WW Plan'!F111</f>
        <v>Construct new individual toilets</v>
      </c>
      <c r="D140" s="4661"/>
      <c r="E140" s="4661"/>
      <c r="F140" s="4660"/>
      <c r="G140" s="4654"/>
      <c r="H140" s="4661"/>
      <c r="I140" s="4660"/>
      <c r="J140" s="4661"/>
      <c r="K140" s="4660"/>
      <c r="L140" s="4661"/>
      <c r="M140" s="4655"/>
      <c r="N140" s="1364"/>
      <c r="T140" s="6141">
        <f>COUNTIF($U$127:U140,TRUE)</f>
        <v>6</v>
      </c>
      <c r="U140" s="3876" t="b">
        <v>1</v>
      </c>
    </row>
    <row r="141" spans="2:27" hidden="1" x14ac:dyDescent="0.25">
      <c r="B141" s="1364"/>
      <c r="C141" s="4657" t="str">
        <f>'WW Plan'!F137</f>
        <v>Construct new group toilets</v>
      </c>
      <c r="D141" s="4661"/>
      <c r="E141" s="4661"/>
      <c r="F141" s="4656"/>
      <c r="G141" s="4654"/>
      <c r="H141" s="4661"/>
      <c r="I141" s="4656"/>
      <c r="J141" s="4661"/>
      <c r="K141" s="4656"/>
      <c r="L141" s="4661"/>
      <c r="M141" s="4655"/>
      <c r="N141" s="1364"/>
      <c r="T141" s="6141">
        <f>COUNTIF($U$127:U141,TRUE)</f>
        <v>7</v>
      </c>
      <c r="U141" s="3876" t="b">
        <v>1</v>
      </c>
    </row>
    <row r="142" spans="2:27" ht="15.75" hidden="1" customHeight="1" x14ac:dyDescent="0.25">
      <c r="B142" s="1364"/>
      <c r="C142" s="4657" t="str">
        <f>'WW Plan'!F161</f>
        <v>Construct new community toilet blocks</v>
      </c>
      <c r="D142" s="4661"/>
      <c r="E142" s="4661"/>
      <c r="F142" s="4679"/>
      <c r="G142" s="4679"/>
      <c r="H142" s="4661"/>
      <c r="I142" s="4679"/>
      <c r="J142" s="4661"/>
      <c r="K142" s="4679"/>
      <c r="L142" s="4679"/>
      <c r="M142" s="4663"/>
      <c r="N142" s="1364"/>
      <c r="T142" s="6141">
        <f>COUNTIF($U$127:U142,TRUE)</f>
        <v>7</v>
      </c>
      <c r="U142" s="3876"/>
    </row>
    <row r="143" spans="2:27" hidden="1" x14ac:dyDescent="0.25">
      <c r="B143" s="1364"/>
      <c r="C143" s="4658" t="str">
        <f>'WW Plan'!F182</f>
        <v>Construct new public toilet blocks</v>
      </c>
      <c r="D143" s="4664"/>
      <c r="E143" s="4664"/>
      <c r="F143" s="4687"/>
      <c r="G143" s="4687"/>
      <c r="H143" s="4664"/>
      <c r="I143" s="4687"/>
      <c r="J143" s="4664"/>
      <c r="K143" s="4687"/>
      <c r="L143" s="4687"/>
      <c r="M143" s="4665"/>
      <c r="N143" s="1364"/>
      <c r="T143" s="6141">
        <f>COUNTIF($U$127:U143,TRUE)</f>
        <v>7</v>
      </c>
      <c r="U143" s="3876"/>
    </row>
    <row r="144" spans="2:27" ht="32.25" hidden="1" customHeight="1" x14ac:dyDescent="0.25">
      <c r="B144" s="1364"/>
      <c r="C144" s="6340" t="s">
        <v>679</v>
      </c>
      <c r="D144" s="6341"/>
      <c r="E144" s="6341"/>
      <c r="F144" s="6341"/>
      <c r="G144" s="6341"/>
      <c r="H144" s="6341"/>
      <c r="I144" s="1777" t="s">
        <v>676</v>
      </c>
      <c r="J144" s="6338" t="s">
        <v>3101</v>
      </c>
      <c r="K144" s="6338"/>
      <c r="L144" s="6338"/>
      <c r="M144" s="6339"/>
      <c r="N144" s="1364"/>
      <c r="T144" s="6141">
        <f>COUNTIF($U$127:U144,TRUE)</f>
        <v>7</v>
      </c>
      <c r="U144" s="3876"/>
    </row>
    <row r="145" spans="2:27" ht="198" hidden="1" customHeight="1" x14ac:dyDescent="0.25">
      <c r="B145" s="1364"/>
      <c r="C145" s="1778"/>
      <c r="D145" s="1779"/>
      <c r="E145" s="1779"/>
      <c r="F145" s="1779"/>
      <c r="G145" s="1779"/>
      <c r="H145" s="1779"/>
      <c r="I145" s="1779"/>
      <c r="J145" s="1779"/>
      <c r="K145" s="1779"/>
      <c r="L145" s="1779"/>
      <c r="M145" s="1780"/>
      <c r="N145" s="1364"/>
      <c r="T145" s="6141">
        <f>COUNTIF($U$127:U145,TRUE)</f>
        <v>7</v>
      </c>
      <c r="U145" s="3876"/>
    </row>
    <row r="146" spans="2:27" ht="18.75" hidden="1" customHeight="1" x14ac:dyDescent="0.25">
      <c r="B146" s="1364"/>
      <c r="C146" s="6342" t="s">
        <v>209</v>
      </c>
      <c r="D146" s="6345" t="s">
        <v>684</v>
      </c>
      <c r="E146" s="6345"/>
      <c r="F146" s="6345"/>
      <c r="G146" s="6345"/>
      <c r="H146" s="6345"/>
      <c r="I146" s="6345"/>
      <c r="J146" s="6345"/>
      <c r="K146" s="6345"/>
      <c r="L146" s="6345"/>
      <c r="M146" s="6346"/>
      <c r="N146" s="1364"/>
      <c r="T146" s="6141">
        <f>COUNTIF($U$127:U146,TRUE)</f>
        <v>7</v>
      </c>
      <c r="U146" s="3876"/>
    </row>
    <row r="147" spans="2:27" ht="75" hidden="1" customHeight="1" x14ac:dyDescent="0.25">
      <c r="B147" s="1364"/>
      <c r="C147" s="6343"/>
      <c r="D147" s="4678" t="s">
        <v>1718</v>
      </c>
      <c r="E147" s="4678" t="s">
        <v>2987</v>
      </c>
      <c r="F147" s="4678" t="s">
        <v>1719</v>
      </c>
      <c r="G147" s="4678" t="s">
        <v>1723</v>
      </c>
      <c r="H147" s="4678" t="s">
        <v>1724</v>
      </c>
      <c r="I147" s="4678" t="s">
        <v>1725</v>
      </c>
      <c r="J147" s="4678" t="s">
        <v>1726</v>
      </c>
      <c r="K147" s="4678" t="s">
        <v>1022</v>
      </c>
      <c r="L147" s="4678" t="s">
        <v>1727</v>
      </c>
      <c r="M147" s="4683" t="s">
        <v>1728</v>
      </c>
      <c r="N147" s="1364"/>
      <c r="T147" s="6141">
        <f>COUNTIF($U$127:U147,TRUE)</f>
        <v>7</v>
      </c>
      <c r="U147" s="3876"/>
    </row>
    <row r="148" spans="2:27" s="1781" customFormat="1" hidden="1" x14ac:dyDescent="0.25">
      <c r="B148" s="1782"/>
      <c r="C148" s="4694" t="s">
        <v>1691</v>
      </c>
      <c r="D148" s="4695"/>
      <c r="E148" s="4695"/>
      <c r="F148" s="4695"/>
      <c r="G148" s="4695"/>
      <c r="H148" s="4695"/>
      <c r="I148" s="4695"/>
      <c r="J148" s="4695"/>
      <c r="K148" s="4695"/>
      <c r="L148" s="4695"/>
      <c r="M148" s="4696"/>
      <c r="N148" s="1782"/>
      <c r="T148" s="6141">
        <f>COUNTIF($U$127:U148,TRUE)</f>
        <v>7</v>
      </c>
      <c r="U148" s="3878"/>
      <c r="V148" s="3879"/>
      <c r="W148" s="3879"/>
      <c r="X148" s="3879"/>
      <c r="Y148" s="3879"/>
      <c r="Z148" s="3879"/>
      <c r="AA148" s="3879"/>
    </row>
    <row r="149" spans="2:27" hidden="1" x14ac:dyDescent="0.25">
      <c r="B149" s="1364"/>
      <c r="C149" s="4657" t="str">
        <f>'WW Plan'!F208</f>
        <v>Process improvement for new sewerage connection applications</v>
      </c>
      <c r="D149" s="4660"/>
      <c r="E149" s="4660"/>
      <c r="F149" s="4661"/>
      <c r="G149" s="4661"/>
      <c r="H149" s="4660"/>
      <c r="I149" s="4660"/>
      <c r="J149" s="4660"/>
      <c r="K149" s="4660"/>
      <c r="L149" s="4661"/>
      <c r="M149" s="4663"/>
      <c r="N149" s="1364"/>
      <c r="T149" s="6141">
        <f>COUNTIF($U$127:U149,TRUE)</f>
        <v>8</v>
      </c>
      <c r="U149" s="3876" t="b">
        <v>1</v>
      </c>
    </row>
    <row r="150" spans="2:27" hidden="1" x14ac:dyDescent="0.25">
      <c r="B150" s="1364"/>
      <c r="C150" s="4657" t="str">
        <f>'WW Plan'!F209</f>
        <v>Improve processes for regular cleaning of drains and sewers</v>
      </c>
      <c r="D150" s="4679"/>
      <c r="E150" s="4679"/>
      <c r="F150" s="4679"/>
      <c r="G150" s="4661"/>
      <c r="H150" s="4679"/>
      <c r="I150" s="4679"/>
      <c r="J150" s="4679"/>
      <c r="K150" s="4661"/>
      <c r="L150" s="4679"/>
      <c r="M150" s="4684"/>
      <c r="N150" s="1364"/>
      <c r="T150" s="6141">
        <f>COUNTIF($U$127:U150,TRUE)</f>
        <v>9</v>
      </c>
      <c r="U150" s="3876" t="b">
        <v>1</v>
      </c>
    </row>
    <row r="151" spans="2:27" s="1781" customFormat="1" hidden="1" x14ac:dyDescent="0.25">
      <c r="B151" s="1782"/>
      <c r="C151" s="4694" t="s">
        <v>1982</v>
      </c>
      <c r="D151" s="4695"/>
      <c r="E151" s="4695"/>
      <c r="F151" s="4695"/>
      <c r="G151" s="4695"/>
      <c r="H151" s="4695"/>
      <c r="I151" s="4695"/>
      <c r="J151" s="4695"/>
      <c r="K151" s="4695"/>
      <c r="L151" s="4695"/>
      <c r="M151" s="4696"/>
      <c r="N151" s="1782"/>
      <c r="T151" s="6141">
        <f>COUNTIF($U$127:U151,TRUE)</f>
        <v>9</v>
      </c>
      <c r="U151" s="3878"/>
      <c r="V151" s="3879"/>
      <c r="W151" s="3879"/>
      <c r="X151" s="3879"/>
      <c r="Y151" s="3879"/>
      <c r="Z151" s="3879"/>
      <c r="AA151" s="3879"/>
    </row>
    <row r="152" spans="2:27" hidden="1" x14ac:dyDescent="0.25">
      <c r="B152" s="1364"/>
      <c r="C152" s="4657" t="str">
        <f>'WW Plan'!F213</f>
        <v xml:space="preserve">Regularise unauthorised sewerage connections </v>
      </c>
      <c r="D152" s="4679"/>
      <c r="E152" s="4679"/>
      <c r="F152" s="4661"/>
      <c r="G152" s="4679"/>
      <c r="H152" s="4679"/>
      <c r="I152" s="4679"/>
      <c r="J152" s="4679"/>
      <c r="K152" s="4679"/>
      <c r="L152" s="4679"/>
      <c r="M152" s="4663"/>
      <c r="N152" s="1364"/>
      <c r="T152" s="6141">
        <f>COUNTIF($U$127:U152,TRUE)</f>
        <v>9</v>
      </c>
      <c r="U152" s="3876" t="b">
        <v>0</v>
      </c>
    </row>
    <row r="153" spans="2:27" hidden="1" x14ac:dyDescent="0.25">
      <c r="B153" s="1364"/>
      <c r="C153" s="4657" t="str">
        <f>'WW Plan'!F217</f>
        <v>Increase connections using existing sewerage network</v>
      </c>
      <c r="D153" s="4679"/>
      <c r="E153" s="4679"/>
      <c r="F153" s="4661"/>
      <c r="G153" s="4661"/>
      <c r="H153" s="4661"/>
      <c r="I153" s="4679"/>
      <c r="J153" s="4654"/>
      <c r="K153" s="4679"/>
      <c r="L153" s="4679"/>
      <c r="M153" s="4663"/>
      <c r="N153" s="1364"/>
      <c r="T153" s="6141">
        <f>COUNTIF($U$127:U153,TRUE)</f>
        <v>9</v>
      </c>
      <c r="U153" s="3876"/>
    </row>
    <row r="154" spans="2:27" ht="15" hidden="1" customHeight="1" x14ac:dyDescent="0.25">
      <c r="B154" s="1364"/>
      <c r="C154" s="4657" t="str">
        <f>'WW Plan'!F225</f>
        <v>Improve existing sewerage network and plug leakages</v>
      </c>
      <c r="D154" s="4654"/>
      <c r="E154" s="4656"/>
      <c r="F154" s="4654"/>
      <c r="G154" s="4661"/>
      <c r="H154" s="4656"/>
      <c r="I154" s="4656"/>
      <c r="J154" s="4656"/>
      <c r="K154" s="4661"/>
      <c r="L154" s="4656"/>
      <c r="M154" s="4685"/>
      <c r="N154" s="1364"/>
      <c r="T154" s="6141">
        <f>COUNTIF($U$127:U154,TRUE)</f>
        <v>9</v>
      </c>
      <c r="U154" s="3876"/>
    </row>
    <row r="155" spans="2:27" ht="31.5" hidden="1" customHeight="1" x14ac:dyDescent="0.25">
      <c r="B155" s="1364"/>
      <c r="C155" s="5279" t="str">
        <f>'WW Plan'!F231</f>
        <v>Increase septage collection with existing suction emptier trucks</v>
      </c>
      <c r="D155" s="4660"/>
      <c r="E155" s="4660"/>
      <c r="F155" s="4660"/>
      <c r="G155" s="4661"/>
      <c r="H155" s="4661"/>
      <c r="I155" s="4660"/>
      <c r="J155" s="4660"/>
      <c r="K155" s="4660"/>
      <c r="L155" s="4660"/>
      <c r="M155" s="4663"/>
      <c r="N155" s="1364"/>
      <c r="T155" s="6141">
        <f>COUNTIF($U$127:U155,TRUE)</f>
        <v>9</v>
      </c>
      <c r="U155" s="3876"/>
    </row>
    <row r="156" spans="2:27" hidden="1" x14ac:dyDescent="0.25">
      <c r="B156" s="1364"/>
      <c r="C156" s="4657" t="str">
        <f>'WW Plan'!F241</f>
        <v>Increase efficiency of all existing treatment plants</v>
      </c>
      <c r="D156" s="4656"/>
      <c r="E156" s="4656"/>
      <c r="F156" s="4656"/>
      <c r="G156" s="4656"/>
      <c r="H156" s="4661"/>
      <c r="I156" s="4661"/>
      <c r="J156" s="4656"/>
      <c r="K156" s="4661"/>
      <c r="L156" s="4656"/>
      <c r="M156" s="4663"/>
      <c r="N156" s="1364"/>
      <c r="T156" s="6141">
        <f>COUNTIF($U$127:U156,TRUE)</f>
        <v>9</v>
      </c>
      <c r="U156" s="3876"/>
    </row>
    <row r="157" spans="2:27" ht="30.75" hidden="1" customHeight="1" x14ac:dyDescent="0.25">
      <c r="B157" s="1364"/>
      <c r="C157" s="4657" t="str">
        <f>'WW Plan'!F256</f>
        <v>Upgrade open surface drains to closed drains for storm water drainage</v>
      </c>
      <c r="D157" s="4656"/>
      <c r="E157" s="4656"/>
      <c r="F157" s="4656"/>
      <c r="G157" s="4656"/>
      <c r="H157" s="4656"/>
      <c r="I157" s="4656"/>
      <c r="J157" s="4656"/>
      <c r="K157" s="4661"/>
      <c r="L157" s="4656"/>
      <c r="M157" s="4685"/>
      <c r="N157" s="1364"/>
      <c r="T157" s="6141">
        <f>COUNTIF($U$127:U157,TRUE)</f>
        <v>10</v>
      </c>
      <c r="U157" s="3876" t="b">
        <v>1</v>
      </c>
    </row>
    <row r="158" spans="2:27" ht="15" hidden="1" customHeight="1" x14ac:dyDescent="0.25">
      <c r="B158" s="1364"/>
      <c r="C158" s="4657" t="str">
        <f>'WW Plan'!F264</f>
        <v>Reduce water logging/flooding in city</v>
      </c>
      <c r="D158" s="4654"/>
      <c r="E158" s="4656"/>
      <c r="F158" s="4654"/>
      <c r="G158" s="4656"/>
      <c r="H158" s="4656"/>
      <c r="I158" s="4656"/>
      <c r="J158" s="4656"/>
      <c r="K158" s="4661"/>
      <c r="L158" s="4656"/>
      <c r="M158" s="4685"/>
      <c r="N158" s="1364"/>
      <c r="T158" s="6141">
        <f>COUNTIF($U$127:U158,TRUE)</f>
        <v>10</v>
      </c>
      <c r="U158" s="3876"/>
    </row>
    <row r="159" spans="2:27" s="1781" customFormat="1" hidden="1" x14ac:dyDescent="0.25">
      <c r="B159" s="1782"/>
      <c r="C159" s="4694" t="s">
        <v>1687</v>
      </c>
      <c r="D159" s="4695"/>
      <c r="E159" s="4695"/>
      <c r="F159" s="4695"/>
      <c r="G159" s="4695"/>
      <c r="H159" s="4695"/>
      <c r="I159" s="4695"/>
      <c r="J159" s="4695"/>
      <c r="K159" s="4695"/>
      <c r="L159" s="4695"/>
      <c r="M159" s="4696"/>
      <c r="N159" s="1782"/>
      <c r="T159" s="6141">
        <f>COUNTIF($U$127:U159,TRUE)</f>
        <v>10</v>
      </c>
      <c r="U159" s="3878"/>
      <c r="V159" s="3879"/>
      <c r="W159" s="3879"/>
      <c r="X159" s="3879"/>
      <c r="Y159" s="3879"/>
      <c r="Z159" s="3879"/>
      <c r="AA159" s="3879"/>
    </row>
    <row r="160" spans="2:27" hidden="1" x14ac:dyDescent="0.25">
      <c r="B160" s="1364"/>
      <c r="C160" s="4657" t="str">
        <f>'WW Plan'!F275</f>
        <v xml:space="preserve">Provide soak pits for wastewater disposal </v>
      </c>
      <c r="D160" s="4654"/>
      <c r="E160" s="4654"/>
      <c r="F160" s="4661"/>
      <c r="G160" s="4656"/>
      <c r="H160" s="4654"/>
      <c r="I160" s="4654"/>
      <c r="J160" s="4654"/>
      <c r="K160" s="4661"/>
      <c r="L160" s="4656"/>
      <c r="M160" s="4685"/>
      <c r="N160" s="1364"/>
      <c r="T160" s="6141">
        <f>COUNTIF($U$127:U160,TRUE)</f>
        <v>10</v>
      </c>
      <c r="U160" s="3876"/>
    </row>
    <row r="161" spans="2:27" hidden="1" x14ac:dyDescent="0.25">
      <c r="B161" s="1364"/>
      <c r="C161" s="4657" t="str">
        <f>'WW Plan'!F282</f>
        <v>Lay new settled sewer for wastewater conveyance</v>
      </c>
      <c r="D161" s="4654"/>
      <c r="E161" s="4654"/>
      <c r="F161" s="4661"/>
      <c r="G161" s="4661"/>
      <c r="H161" s="4661"/>
      <c r="I161" s="4654"/>
      <c r="J161" s="4654"/>
      <c r="K161" s="4661"/>
      <c r="L161" s="4654"/>
      <c r="M161" s="4663"/>
      <c r="N161" s="1364"/>
      <c r="T161" s="6141">
        <f>COUNTIF($U$127:U161,TRUE)</f>
        <v>11</v>
      </c>
      <c r="U161" s="3876" t="b">
        <v>1</v>
      </c>
    </row>
    <row r="162" spans="2:27" ht="30" hidden="1" x14ac:dyDescent="0.25">
      <c r="B162" s="1364"/>
      <c r="C162" s="4657" t="str">
        <f>'WW Plan'!F293</f>
        <v>Expand or lay new sewerage network for wastewater conveyance</v>
      </c>
      <c r="D162" s="4679"/>
      <c r="E162" s="4679"/>
      <c r="F162" s="4661"/>
      <c r="G162" s="4661"/>
      <c r="H162" s="4661"/>
      <c r="I162" s="4679"/>
      <c r="J162" s="4654"/>
      <c r="K162" s="4661"/>
      <c r="L162" s="4654"/>
      <c r="M162" s="4663"/>
      <c r="N162" s="1364"/>
      <c r="T162" s="6141">
        <f>COUNTIF($U$127:U162,TRUE)</f>
        <v>11</v>
      </c>
      <c r="U162" s="3876"/>
    </row>
    <row r="163" spans="2:27" hidden="1" x14ac:dyDescent="0.25">
      <c r="B163" s="1364"/>
      <c r="C163" s="4677" t="str">
        <f>'WW Plan'!F308</f>
        <v>Procure new suction emptier trucks</v>
      </c>
      <c r="D163" s="4660"/>
      <c r="E163" s="4660"/>
      <c r="F163" s="4654"/>
      <c r="G163" s="4661"/>
      <c r="H163" s="4661"/>
      <c r="I163" s="4660"/>
      <c r="J163" s="4660"/>
      <c r="K163" s="4661"/>
      <c r="L163" s="4660"/>
      <c r="M163" s="4663"/>
      <c r="N163" s="1364"/>
      <c r="T163" s="6141">
        <f>COUNTIF($U$127:U163,TRUE)</f>
        <v>12</v>
      </c>
      <c r="U163" s="3876" t="b">
        <v>1</v>
      </c>
    </row>
    <row r="164" spans="2:27" hidden="1" x14ac:dyDescent="0.25">
      <c r="B164" s="1364"/>
      <c r="C164" s="4657" t="str">
        <f>'WW Plan'!F323</f>
        <v>Construct/augment fecal sludge treatment plant</v>
      </c>
      <c r="D164" s="4656"/>
      <c r="E164" s="4656"/>
      <c r="F164" s="4656"/>
      <c r="G164" s="4660"/>
      <c r="H164" s="4661"/>
      <c r="I164" s="4661"/>
      <c r="J164" s="4661"/>
      <c r="K164" s="4660"/>
      <c r="L164" s="4660"/>
      <c r="M164" s="4663"/>
      <c r="N164" s="1364"/>
      <c r="T164" s="6141">
        <f>COUNTIF($U$127:U164,TRUE)</f>
        <v>13</v>
      </c>
      <c r="U164" s="3876" t="b">
        <v>1</v>
      </c>
    </row>
    <row r="165" spans="2:27" hidden="1" x14ac:dyDescent="0.25">
      <c r="B165" s="1364"/>
      <c r="C165" s="4657" t="str">
        <f>'WW Plan'!F332</f>
        <v xml:space="preserve">Construct/augment treatment plant for effluent and sullage </v>
      </c>
      <c r="D165" s="4654"/>
      <c r="E165" s="4656"/>
      <c r="F165" s="4656"/>
      <c r="G165" s="4656"/>
      <c r="H165" s="4661"/>
      <c r="I165" s="4661"/>
      <c r="J165" s="4661"/>
      <c r="K165" s="4656"/>
      <c r="L165" s="4656"/>
      <c r="M165" s="4663"/>
      <c r="N165" s="1364"/>
      <c r="T165" s="6141">
        <f>COUNTIF($U$127:U165,TRUE)</f>
        <v>14</v>
      </c>
      <c r="U165" s="3876" t="b">
        <v>1</v>
      </c>
    </row>
    <row r="166" spans="2:27" hidden="1" x14ac:dyDescent="0.25">
      <c r="B166" s="1364"/>
      <c r="C166" s="4657" t="str">
        <f>'WW Plan'!F341</f>
        <v xml:space="preserve">Construct/augment sewage treatment plant </v>
      </c>
      <c r="D166" s="4656"/>
      <c r="E166" s="4656"/>
      <c r="F166" s="4656"/>
      <c r="G166" s="4656"/>
      <c r="H166" s="4661"/>
      <c r="I166" s="4661"/>
      <c r="J166" s="4661"/>
      <c r="K166" s="4656"/>
      <c r="L166" s="4656"/>
      <c r="M166" s="4663"/>
      <c r="N166" s="1364"/>
      <c r="T166" s="6141">
        <f>COUNTIF($U$127:U166,TRUE)</f>
        <v>14</v>
      </c>
      <c r="U166" s="3876"/>
    </row>
    <row r="167" spans="2:27" hidden="1" x14ac:dyDescent="0.25">
      <c r="B167" s="1364"/>
      <c r="C167" s="4658" t="str">
        <f>'WW Plan'!F353</f>
        <v>Construct closed surface drains for storm water drainage</v>
      </c>
      <c r="D167" s="4713"/>
      <c r="E167" s="4713"/>
      <c r="F167" s="4713"/>
      <c r="G167" s="4713"/>
      <c r="H167" s="4713"/>
      <c r="I167" s="4713"/>
      <c r="J167" s="4713"/>
      <c r="K167" s="4664"/>
      <c r="L167" s="4713"/>
      <c r="M167" s="4714"/>
      <c r="N167" s="1364"/>
      <c r="T167" s="6141">
        <f>COUNTIF($U$127:U167,TRUE)</f>
        <v>15</v>
      </c>
      <c r="U167" s="3876" t="b">
        <v>1</v>
      </c>
    </row>
    <row r="168" spans="2:27" ht="32.25" hidden="1" customHeight="1" x14ac:dyDescent="0.25">
      <c r="B168" s="1364"/>
      <c r="C168" s="6340" t="s">
        <v>678</v>
      </c>
      <c r="D168" s="6341"/>
      <c r="E168" s="6341"/>
      <c r="F168" s="6341"/>
      <c r="G168" s="6341"/>
      <c r="H168" s="6341"/>
      <c r="I168" s="1777" t="s">
        <v>676</v>
      </c>
      <c r="J168" s="6338" t="s">
        <v>3101</v>
      </c>
      <c r="K168" s="6338"/>
      <c r="L168" s="6338"/>
      <c r="M168" s="6339"/>
      <c r="N168" s="1364"/>
      <c r="T168" s="6141">
        <f>COUNTIF($U$127:U168,TRUE)</f>
        <v>15</v>
      </c>
      <c r="U168" s="3876"/>
    </row>
    <row r="169" spans="2:27" ht="198" hidden="1" customHeight="1" x14ac:dyDescent="0.25">
      <c r="B169" s="1364"/>
      <c r="C169" s="1778"/>
      <c r="D169" s="1779"/>
      <c r="E169" s="1779"/>
      <c r="F169" s="1779"/>
      <c r="G169" s="1779"/>
      <c r="H169" s="1779"/>
      <c r="I169" s="1779"/>
      <c r="J169" s="1779"/>
      <c r="K169" s="1779"/>
      <c r="L169" s="1779"/>
      <c r="M169" s="1780"/>
      <c r="N169" s="1364"/>
      <c r="T169" s="6141">
        <f>COUNTIF($U$127:U169,TRUE)</f>
        <v>15</v>
      </c>
      <c r="U169" s="3876"/>
    </row>
    <row r="170" spans="2:27" ht="18.75" hidden="1" customHeight="1" x14ac:dyDescent="0.25">
      <c r="B170" s="1364"/>
      <c r="C170" s="6342" t="s">
        <v>209</v>
      </c>
      <c r="D170" s="6345" t="s">
        <v>684</v>
      </c>
      <c r="E170" s="6345"/>
      <c r="F170" s="6345"/>
      <c r="G170" s="6345"/>
      <c r="H170" s="6345"/>
      <c r="I170" s="6345"/>
      <c r="J170" s="6345"/>
      <c r="K170" s="6345"/>
      <c r="L170" s="6345"/>
      <c r="M170" s="6346"/>
      <c r="N170" s="1364"/>
      <c r="T170" s="6141">
        <f>COUNTIF($U$127:U170,TRUE)</f>
        <v>15</v>
      </c>
      <c r="U170" s="3876"/>
    </row>
    <row r="171" spans="2:27" ht="75" hidden="1" customHeight="1" x14ac:dyDescent="0.25">
      <c r="B171" s="1364"/>
      <c r="C171" s="6343"/>
      <c r="D171" s="4678" t="s">
        <v>1718</v>
      </c>
      <c r="E171" s="4678" t="s">
        <v>2987</v>
      </c>
      <c r="F171" s="4678" t="s">
        <v>1719</v>
      </c>
      <c r="G171" s="4678" t="s">
        <v>1723</v>
      </c>
      <c r="H171" s="4678" t="s">
        <v>1724</v>
      </c>
      <c r="I171" s="4678" t="s">
        <v>1725</v>
      </c>
      <c r="J171" s="4678" t="s">
        <v>1726</v>
      </c>
      <c r="K171" s="4678" t="s">
        <v>1022</v>
      </c>
      <c r="L171" s="4678" t="s">
        <v>1727</v>
      </c>
      <c r="M171" s="4683" t="s">
        <v>1728</v>
      </c>
      <c r="N171" s="1364"/>
      <c r="T171" s="6141">
        <f>COUNTIF($U$127:U171,TRUE)</f>
        <v>15</v>
      </c>
      <c r="U171" s="3876"/>
    </row>
    <row r="172" spans="2:27" s="1781" customFormat="1" hidden="1" x14ac:dyDescent="0.25">
      <c r="B172" s="1782"/>
      <c r="C172" s="4694" t="s">
        <v>1691</v>
      </c>
      <c r="D172" s="4695"/>
      <c r="E172" s="4695"/>
      <c r="F172" s="4695"/>
      <c r="G172" s="4695"/>
      <c r="H172" s="4695"/>
      <c r="I172" s="4695"/>
      <c r="J172" s="4695"/>
      <c r="K172" s="4695"/>
      <c r="L172" s="4695"/>
      <c r="M172" s="4696"/>
      <c r="N172" s="1782"/>
      <c r="T172" s="6141">
        <f>COUNTIF($U$127:U172,TRUE)</f>
        <v>15</v>
      </c>
      <c r="U172" s="3878"/>
      <c r="V172" s="3879"/>
      <c r="W172" s="3879"/>
      <c r="X172" s="3879"/>
      <c r="Y172" s="3879"/>
      <c r="Z172" s="3879"/>
      <c r="AA172" s="3879"/>
    </row>
    <row r="173" spans="2:27" hidden="1" x14ac:dyDescent="0.25">
      <c r="B173" s="1364"/>
      <c r="C173" s="4657" t="str">
        <f>'WW Plan'!F366</f>
        <v>Improve wastewater and septage quality surveillance</v>
      </c>
      <c r="D173" s="4660"/>
      <c r="E173" s="4660"/>
      <c r="F173" s="4660"/>
      <c r="G173" s="4660"/>
      <c r="H173" s="4661"/>
      <c r="I173" s="4661"/>
      <c r="J173" s="4660"/>
      <c r="K173" s="4661"/>
      <c r="L173" s="4660"/>
      <c r="M173" s="4662"/>
      <c r="N173" s="1364"/>
      <c r="T173" s="6141">
        <f>COUNTIF($U$127:U173,TRUE)</f>
        <v>15</v>
      </c>
      <c r="U173" s="3876"/>
    </row>
    <row r="174" spans="2:27" hidden="1" x14ac:dyDescent="0.25">
      <c r="B174" s="1364"/>
      <c r="C174" s="4657" t="str">
        <f>'WW Plan'!F367</f>
        <v>Improve processes for management of consumer complaints</v>
      </c>
      <c r="D174" s="4659"/>
      <c r="E174" s="4659"/>
      <c r="F174" s="4659"/>
      <c r="G174" s="4659"/>
      <c r="H174" s="4659"/>
      <c r="I174" s="4659"/>
      <c r="J174" s="4659"/>
      <c r="K174" s="4661"/>
      <c r="L174" s="4659"/>
      <c r="M174" s="4715"/>
      <c r="N174" s="1364"/>
      <c r="T174" s="6141">
        <f>COUNTIF($U$127:U174,TRUE)</f>
        <v>15</v>
      </c>
      <c r="U174" s="3876"/>
    </row>
    <row r="175" spans="2:27" s="1781" customFormat="1" hidden="1" x14ac:dyDescent="0.25">
      <c r="B175" s="1782"/>
      <c r="C175" s="4694" t="s">
        <v>1982</v>
      </c>
      <c r="D175" s="4695"/>
      <c r="E175" s="4695"/>
      <c r="F175" s="4695"/>
      <c r="G175" s="4695"/>
      <c r="H175" s="4695"/>
      <c r="I175" s="4695"/>
      <c r="J175" s="4695"/>
      <c r="K175" s="4695"/>
      <c r="L175" s="4695"/>
      <c r="M175" s="4696"/>
      <c r="N175" s="1782"/>
      <c r="T175" s="6141">
        <f>COUNTIF($U$127:U175,TRUE)</f>
        <v>15</v>
      </c>
      <c r="U175" s="3878"/>
      <c r="V175" s="3879"/>
      <c r="W175" s="3879"/>
      <c r="X175" s="3879"/>
      <c r="Y175" s="3879"/>
      <c r="Z175" s="3879"/>
      <c r="AA175" s="3879"/>
    </row>
    <row r="176" spans="2:27" ht="30.75" hidden="1" customHeight="1" x14ac:dyDescent="0.25">
      <c r="B176" s="1364"/>
      <c r="C176" s="5280" t="str">
        <f>'WW Plan'!F371</f>
        <v>Increase in reuse/recycling of treated wastewater and septage</v>
      </c>
      <c r="D176" s="4660"/>
      <c r="E176" s="4660"/>
      <c r="F176" s="4660"/>
      <c r="G176" s="4660"/>
      <c r="H176" s="4661"/>
      <c r="I176" s="4661"/>
      <c r="J176" s="4661"/>
      <c r="K176" s="4660"/>
      <c r="L176" s="4660"/>
      <c r="M176" s="4663"/>
      <c r="N176" s="1364"/>
      <c r="T176" s="6141">
        <f>COUNTIF($U$127:U176,TRUE)</f>
        <v>15</v>
      </c>
      <c r="U176" s="3876"/>
    </row>
    <row r="177" spans="2:27" ht="30" hidden="1" x14ac:dyDescent="0.25">
      <c r="B177" s="1364"/>
      <c r="C177" s="4657" t="str">
        <f>'WW Plan'!F393</f>
        <v>Conduct regular wastewater and septage quality tests at laboratory, if not done</v>
      </c>
      <c r="D177" s="4660"/>
      <c r="E177" s="4660"/>
      <c r="F177" s="4660"/>
      <c r="G177" s="4660"/>
      <c r="H177" s="4661"/>
      <c r="I177" s="4661"/>
      <c r="J177" s="4660"/>
      <c r="K177" s="4660"/>
      <c r="L177" s="4660"/>
      <c r="M177" s="4662"/>
      <c r="N177" s="1364"/>
      <c r="T177" s="6141">
        <f>COUNTIF($U$127:U177,TRUE)</f>
        <v>15</v>
      </c>
      <c r="U177" s="3876"/>
    </row>
    <row r="178" spans="2:27" ht="15.75" hidden="1" customHeight="1" x14ac:dyDescent="0.25">
      <c r="B178" s="1364"/>
      <c r="C178" s="4658" t="str">
        <f>'WW Plan'!F397</f>
        <v>Improve consumer grievance redressal system</v>
      </c>
      <c r="D178" s="4687"/>
      <c r="E178" s="4687"/>
      <c r="F178" s="4687"/>
      <c r="G178" s="4687"/>
      <c r="H178" s="4687"/>
      <c r="I178" s="4687"/>
      <c r="J178" s="4687"/>
      <c r="K178" s="4664"/>
      <c r="L178" s="4687"/>
      <c r="M178" s="4716"/>
      <c r="N178" s="1364"/>
      <c r="T178" s="6141">
        <f>COUNTIF($U$127:U178,TRUE)</f>
        <v>15</v>
      </c>
      <c r="U178" s="3876"/>
    </row>
    <row r="179" spans="2:27" ht="32.25" hidden="1" customHeight="1" x14ac:dyDescent="0.25">
      <c r="B179" s="1364"/>
      <c r="C179" s="6340" t="s">
        <v>677</v>
      </c>
      <c r="D179" s="6341"/>
      <c r="E179" s="6341"/>
      <c r="F179" s="6341"/>
      <c r="G179" s="6341"/>
      <c r="H179" s="6341"/>
      <c r="I179" s="1777" t="s">
        <v>676</v>
      </c>
      <c r="J179" s="6338" t="s">
        <v>3101</v>
      </c>
      <c r="K179" s="6338"/>
      <c r="L179" s="6338"/>
      <c r="M179" s="6339"/>
      <c r="N179" s="1364"/>
      <c r="T179" s="6141">
        <f>COUNTIF($U$127:U179,TRUE)</f>
        <v>15</v>
      </c>
      <c r="U179" s="3876"/>
    </row>
    <row r="180" spans="2:27" ht="198" hidden="1" customHeight="1" x14ac:dyDescent="0.25">
      <c r="B180" s="1364"/>
      <c r="C180" s="1778"/>
      <c r="D180" s="1779"/>
      <c r="E180" s="1779"/>
      <c r="F180" s="1779"/>
      <c r="G180" s="1779"/>
      <c r="H180" s="1779"/>
      <c r="I180" s="1779"/>
      <c r="J180" s="1779"/>
      <c r="K180" s="1779"/>
      <c r="L180" s="1779"/>
      <c r="M180" s="1780"/>
      <c r="N180" s="1364"/>
      <c r="T180" s="6141">
        <f>COUNTIF($U$127:U180,TRUE)</f>
        <v>15</v>
      </c>
      <c r="U180" s="3876"/>
    </row>
    <row r="181" spans="2:27" ht="18.75" hidden="1" customHeight="1" x14ac:dyDescent="0.25">
      <c r="B181" s="1364"/>
      <c r="C181" s="6342" t="s">
        <v>209</v>
      </c>
      <c r="D181" s="6345" t="s">
        <v>684</v>
      </c>
      <c r="E181" s="6345"/>
      <c r="F181" s="6345"/>
      <c r="G181" s="6345"/>
      <c r="H181" s="6345"/>
      <c r="I181" s="6345"/>
      <c r="J181" s="6345"/>
      <c r="K181" s="6345"/>
      <c r="L181" s="6345"/>
      <c r="M181" s="6346"/>
      <c r="N181" s="1364"/>
      <c r="T181" s="6141">
        <f>COUNTIF($U$127:U181,TRUE)</f>
        <v>15</v>
      </c>
      <c r="U181" s="3876"/>
    </row>
    <row r="182" spans="2:27" ht="75" hidden="1" customHeight="1" x14ac:dyDescent="0.25">
      <c r="B182" s="1364"/>
      <c r="C182" s="6343"/>
      <c r="D182" s="4678" t="s">
        <v>1718</v>
      </c>
      <c r="E182" s="4678" t="s">
        <v>2987</v>
      </c>
      <c r="F182" s="4678" t="s">
        <v>1719</v>
      </c>
      <c r="G182" s="4678" t="s">
        <v>1723</v>
      </c>
      <c r="H182" s="4678" t="s">
        <v>1724</v>
      </c>
      <c r="I182" s="4678" t="s">
        <v>1725</v>
      </c>
      <c r="J182" s="4678" t="s">
        <v>1726</v>
      </c>
      <c r="K182" s="4678" t="s">
        <v>1022</v>
      </c>
      <c r="L182" s="4678" t="s">
        <v>1727</v>
      </c>
      <c r="M182" s="4683" t="s">
        <v>1728</v>
      </c>
      <c r="N182" s="1364"/>
      <c r="T182" s="6141">
        <f>COUNTIF($U$127:U182,TRUE)</f>
        <v>15</v>
      </c>
      <c r="U182" s="3876"/>
    </row>
    <row r="183" spans="2:27" s="1781" customFormat="1" hidden="1" x14ac:dyDescent="0.25">
      <c r="B183" s="1782"/>
      <c r="C183" s="4694" t="s">
        <v>1689</v>
      </c>
      <c r="D183" s="4695"/>
      <c r="E183" s="4695"/>
      <c r="F183" s="4695"/>
      <c r="G183" s="4695"/>
      <c r="H183" s="4695"/>
      <c r="I183" s="4695"/>
      <c r="J183" s="4695"/>
      <c r="K183" s="4695"/>
      <c r="L183" s="4695"/>
      <c r="M183" s="4696"/>
      <c r="N183" s="1782"/>
      <c r="T183" s="6141">
        <f>COUNTIF($U$127:U183,TRUE)</f>
        <v>15</v>
      </c>
      <c r="U183" s="3878"/>
      <c r="V183" s="3879"/>
      <c r="W183" s="3879"/>
      <c r="X183" s="3879"/>
      <c r="Y183" s="3879"/>
      <c r="Z183" s="3879"/>
      <c r="AA183" s="3879"/>
    </row>
    <row r="184" spans="2:27" hidden="1" x14ac:dyDescent="0.25">
      <c r="B184" s="1364"/>
      <c r="C184" s="4657" t="str">
        <f>'WW Plan'!F407</f>
        <v>Improve billing and collection of wastewater bills</v>
      </c>
      <c r="D184" s="4660"/>
      <c r="E184" s="4660"/>
      <c r="F184" s="4660"/>
      <c r="G184" s="4660"/>
      <c r="H184" s="4660"/>
      <c r="I184" s="4660"/>
      <c r="J184" s="4660"/>
      <c r="K184" s="4661"/>
      <c r="L184" s="4661"/>
      <c r="M184" s="4663"/>
      <c r="N184" s="1364"/>
      <c r="T184" s="6141">
        <f>COUNTIF($U$127:U184,TRUE)</f>
        <v>15</v>
      </c>
      <c r="U184" s="3876"/>
    </row>
    <row r="185" spans="2:27" s="1781" customFormat="1" hidden="1" x14ac:dyDescent="0.25">
      <c r="B185" s="1782"/>
      <c r="C185" s="4694" t="s">
        <v>1982</v>
      </c>
      <c r="D185" s="4695"/>
      <c r="E185" s="4695"/>
      <c r="F185" s="4695"/>
      <c r="G185" s="4695"/>
      <c r="H185" s="4695"/>
      <c r="I185" s="4695"/>
      <c r="J185" s="4695"/>
      <c r="K185" s="4695"/>
      <c r="L185" s="4695"/>
      <c r="M185" s="4696"/>
      <c r="N185" s="1782"/>
      <c r="T185" s="6141">
        <f>COUNTIF($U$127:U185,TRUE)</f>
        <v>15</v>
      </c>
      <c r="U185" s="3878"/>
      <c r="V185" s="3879"/>
      <c r="W185" s="3879"/>
      <c r="X185" s="3879"/>
      <c r="Y185" s="3879"/>
      <c r="Z185" s="3879"/>
      <c r="AA185" s="3879"/>
    </row>
    <row r="186" spans="2:27" ht="30" hidden="1" customHeight="1" x14ac:dyDescent="0.25">
      <c r="B186" s="1364"/>
      <c r="C186" s="5281" t="str">
        <f>'WW Plan'!F411</f>
        <v>Improve collection efficiency of wastewater charges and taxes</v>
      </c>
      <c r="D186" s="4687"/>
      <c r="E186" s="4687"/>
      <c r="F186" s="4687"/>
      <c r="G186" s="4687"/>
      <c r="H186" s="4687"/>
      <c r="I186" s="4687"/>
      <c r="J186" s="4687"/>
      <c r="K186" s="4687"/>
      <c r="L186" s="4664"/>
      <c r="M186" s="4665"/>
      <c r="N186" s="1364"/>
      <c r="T186" s="6141">
        <f>COUNTIF($U$127:U186,TRUE)</f>
        <v>15</v>
      </c>
      <c r="U186" s="3876"/>
    </row>
    <row r="187" spans="2:27" hidden="1" x14ac:dyDescent="0.25">
      <c r="B187" s="1364"/>
      <c r="C187" s="1364"/>
      <c r="D187" s="1364"/>
      <c r="E187" s="1364"/>
      <c r="F187" s="1364"/>
      <c r="G187" s="1364"/>
      <c r="H187" s="1364"/>
      <c r="I187" s="1364"/>
      <c r="J187" s="1364"/>
      <c r="K187" s="1364"/>
      <c r="L187" s="1364"/>
      <c r="M187" s="1364"/>
      <c r="N187" s="1364"/>
      <c r="T187" s="6141"/>
      <c r="U187" s="3876"/>
    </row>
    <row r="188" spans="2:27" hidden="1" x14ac:dyDescent="0.25">
      <c r="B188" s="1364"/>
      <c r="C188" s="1364"/>
      <c r="D188" s="1364"/>
      <c r="E188" s="1364"/>
      <c r="F188" s="1364"/>
      <c r="G188" s="1364"/>
      <c r="H188" s="1364"/>
      <c r="I188" s="1364"/>
      <c r="J188" s="1364"/>
      <c r="K188" s="1364"/>
      <c r="L188" s="1364"/>
      <c r="M188" s="1364"/>
      <c r="N188" s="1364"/>
      <c r="T188" s="6141"/>
      <c r="U188" s="3876"/>
    </row>
    <row r="189" spans="2:27" s="1766" customFormat="1" ht="35.25" hidden="1" customHeight="1" x14ac:dyDescent="0.25">
      <c r="B189" s="1767" t="s">
        <v>36</v>
      </c>
      <c r="C189" s="6344" t="s">
        <v>792</v>
      </c>
      <c r="D189" s="6344"/>
      <c r="E189" s="6344"/>
      <c r="F189" s="6344"/>
      <c r="G189" s="6344"/>
      <c r="H189" s="6344"/>
      <c r="I189" s="6344"/>
      <c r="J189" s="6344"/>
      <c r="K189" s="6344"/>
      <c r="L189" s="6344"/>
      <c r="M189" s="6344"/>
      <c r="N189" s="1606"/>
      <c r="T189" s="6143"/>
      <c r="U189" s="3877"/>
      <c r="V189" s="3738"/>
      <c r="W189" s="3738"/>
      <c r="X189" s="3738"/>
      <c r="Y189" s="3738"/>
      <c r="Z189" s="3738"/>
      <c r="AA189" s="3738"/>
    </row>
    <row r="190" spans="2:27" hidden="1" x14ac:dyDescent="0.25">
      <c r="B190" s="1364"/>
      <c r="C190" s="1364"/>
      <c r="D190" s="1364"/>
      <c r="E190" s="1364"/>
      <c r="F190" s="1364"/>
      <c r="G190" s="1364"/>
      <c r="H190" s="5661" t="s">
        <v>3432</v>
      </c>
      <c r="I190" s="5661" t="s">
        <v>3432</v>
      </c>
      <c r="J190" s="1364"/>
      <c r="K190" s="1364"/>
      <c r="L190" s="1364"/>
      <c r="M190" s="1364"/>
      <c r="N190" s="1364"/>
      <c r="T190" s="6141"/>
      <c r="U190" s="3876"/>
    </row>
    <row r="191" spans="2:27" ht="15.75" hidden="1" customHeight="1" x14ac:dyDescent="0.25">
      <c r="B191" s="1364"/>
      <c r="C191" s="6354" t="s">
        <v>69</v>
      </c>
      <c r="D191" s="6354" t="s">
        <v>9</v>
      </c>
      <c r="E191" s="1364"/>
      <c r="F191" s="1364" t="s">
        <v>3424</v>
      </c>
      <c r="G191" s="5658" t="s">
        <v>3425</v>
      </c>
      <c r="H191" s="6043" t="s">
        <v>3705</v>
      </c>
      <c r="I191" s="6044" t="s">
        <v>3427</v>
      </c>
      <c r="J191" s="5661" t="s">
        <v>3433</v>
      </c>
      <c r="K191" s="1364"/>
      <c r="L191" s="1364"/>
      <c r="M191" s="1364"/>
      <c r="N191" s="1364"/>
      <c r="T191" s="6141"/>
      <c r="U191" s="3876"/>
    </row>
    <row r="192" spans="2:27" ht="17.25" hidden="1" customHeight="1" x14ac:dyDescent="0.25">
      <c r="B192" s="1364"/>
      <c r="C192" s="6354"/>
      <c r="D192" s="6354"/>
      <c r="E192" s="1364"/>
      <c r="F192" s="1364"/>
      <c r="G192" s="1364"/>
      <c r="H192" s="1364"/>
      <c r="I192" s="1364"/>
      <c r="J192" s="1364"/>
      <c r="K192" s="1364"/>
      <c r="L192" s="1364"/>
      <c r="M192" s="1364"/>
      <c r="N192" s="1364"/>
      <c r="T192" s="6141">
        <f>COUNTIF($U$192:U192,TRUE)</f>
        <v>0</v>
      </c>
      <c r="U192" s="3876"/>
    </row>
    <row r="193" spans="2:21" ht="34.5" hidden="1" customHeight="1" x14ac:dyDescent="0.25">
      <c r="B193" s="1364"/>
      <c r="C193" s="5282" t="s">
        <v>1364</v>
      </c>
      <c r="D193" s="1769">
        <f>'Summary of PIP'!D154</f>
        <v>0</v>
      </c>
      <c r="E193" s="1364"/>
      <c r="F193" s="1364"/>
      <c r="G193" s="1364"/>
      <c r="H193" s="1364"/>
      <c r="I193" s="1364"/>
      <c r="J193" s="1364"/>
      <c r="K193" s="1364"/>
      <c r="L193" s="1364"/>
      <c r="M193" s="1364"/>
      <c r="N193" s="1364"/>
      <c r="T193" s="6141">
        <f>COUNTIF($U$192:U193,TRUE)</f>
        <v>0</v>
      </c>
      <c r="U193" s="3876"/>
    </row>
    <row r="194" spans="2:21" ht="34.5" hidden="1" customHeight="1" x14ac:dyDescent="0.25">
      <c r="B194" s="1364"/>
      <c r="C194" s="1768" t="s">
        <v>1365</v>
      </c>
      <c r="D194" s="1769">
        <f>'Summary of PIP'!D156</f>
        <v>0</v>
      </c>
      <c r="E194" s="1364"/>
      <c r="F194" s="1364"/>
      <c r="G194" s="1364"/>
      <c r="H194" s="1364"/>
      <c r="I194" s="1364"/>
      <c r="J194" s="1364"/>
      <c r="K194" s="1364"/>
      <c r="L194" s="1364"/>
      <c r="M194" s="1364"/>
      <c r="N194" s="1364"/>
      <c r="T194" s="6141">
        <f>COUNTIF($U$192:U194,TRUE)</f>
        <v>0</v>
      </c>
      <c r="U194" s="3876"/>
    </row>
    <row r="195" spans="2:21" ht="34.5" hidden="1" customHeight="1" x14ac:dyDescent="0.25">
      <c r="B195" s="1364"/>
      <c r="C195" s="1768" t="s">
        <v>1500</v>
      </c>
      <c r="D195" s="1769">
        <f>'Summary of PIP'!D161</f>
        <v>0</v>
      </c>
      <c r="E195" s="1364"/>
      <c r="F195" s="1364"/>
      <c r="G195" s="1364"/>
      <c r="H195" s="1364"/>
      <c r="I195" s="1364"/>
      <c r="J195" s="1364"/>
      <c r="K195" s="1364"/>
      <c r="L195" s="1364"/>
      <c r="M195" s="1364"/>
      <c r="N195" s="1364"/>
      <c r="T195" s="6141">
        <f>COUNTIF($U$192:U195,TRUE)</f>
        <v>1</v>
      </c>
      <c r="U195" s="3876" t="b">
        <v>1</v>
      </c>
    </row>
    <row r="196" spans="2:21" ht="34.5" hidden="1" customHeight="1" x14ac:dyDescent="0.25">
      <c r="B196" s="1364"/>
      <c r="C196" s="1768" t="s">
        <v>1502</v>
      </c>
      <c r="D196" s="1769">
        <f>'Summary of PIP'!D163</f>
        <v>0</v>
      </c>
      <c r="E196" s="1364"/>
      <c r="F196" s="1364"/>
      <c r="G196" s="1364"/>
      <c r="H196" s="1364"/>
      <c r="I196" s="1364"/>
      <c r="J196" s="1364"/>
      <c r="K196" s="1364"/>
      <c r="L196" s="1364"/>
      <c r="M196" s="1364"/>
      <c r="N196" s="1364"/>
      <c r="T196" s="6141">
        <f>COUNTIF($U$192:U196,TRUE)</f>
        <v>2</v>
      </c>
      <c r="U196" s="3876" t="b">
        <v>1</v>
      </c>
    </row>
    <row r="197" spans="2:21" ht="34.5" hidden="1" customHeight="1" x14ac:dyDescent="0.25">
      <c r="B197" s="1364"/>
      <c r="C197" s="1768" t="s">
        <v>1432</v>
      </c>
      <c r="D197" s="1769">
        <f>'Summary of PIP'!D165</f>
        <v>0</v>
      </c>
      <c r="E197" s="1364"/>
      <c r="F197" s="1364"/>
      <c r="G197" s="1364"/>
      <c r="H197" s="1364"/>
      <c r="I197" s="1364"/>
      <c r="J197" s="1364"/>
      <c r="K197" s="1364"/>
      <c r="L197" s="1364"/>
      <c r="M197" s="1364"/>
      <c r="N197" s="1364"/>
      <c r="T197" s="6141">
        <f>COUNTIF($U$192:U197,TRUE)</f>
        <v>2</v>
      </c>
      <c r="U197" s="3876"/>
    </row>
    <row r="198" spans="2:21" ht="34.5" hidden="1" customHeight="1" x14ac:dyDescent="0.25">
      <c r="B198" s="1364"/>
      <c r="C198" s="1768" t="s">
        <v>1433</v>
      </c>
      <c r="D198" s="1769">
        <f>'Summary of PIP'!D174</f>
        <v>0</v>
      </c>
      <c r="E198" s="1364"/>
      <c r="F198" s="1364"/>
      <c r="G198" s="1364"/>
      <c r="H198" s="1364"/>
      <c r="I198" s="1364"/>
      <c r="J198" s="1364"/>
      <c r="K198" s="1364"/>
      <c r="L198" s="1364"/>
      <c r="M198" s="1364"/>
      <c r="N198" s="1364"/>
      <c r="T198" s="6141">
        <f>COUNTIF($U$192:U198,TRUE)</f>
        <v>2</v>
      </c>
      <c r="U198" s="3876"/>
    </row>
    <row r="199" spans="2:21" ht="34.5" hidden="1" customHeight="1" x14ac:dyDescent="0.25">
      <c r="B199" s="1364"/>
      <c r="C199" s="1768" t="s">
        <v>1117</v>
      </c>
      <c r="D199" s="1769">
        <f>'Summary of PIP'!D176</f>
        <v>0.96739130434782605</v>
      </c>
      <c r="E199" s="1364"/>
      <c r="F199" s="1364"/>
      <c r="G199" s="1364"/>
      <c r="H199" s="1364"/>
      <c r="I199" s="1364"/>
      <c r="J199" s="1364"/>
      <c r="K199" s="1364"/>
      <c r="L199" s="1364"/>
      <c r="M199" s="1364"/>
      <c r="N199" s="1364"/>
      <c r="T199" s="6141">
        <f>COUNTIF($U$192:U199,TRUE)</f>
        <v>2</v>
      </c>
      <c r="U199" s="3876"/>
    </row>
    <row r="200" spans="2:21" ht="34.5" hidden="1" customHeight="1" x14ac:dyDescent="0.25">
      <c r="B200" s="1364"/>
      <c r="C200" s="1768" t="s">
        <v>1434</v>
      </c>
      <c r="D200" s="1769">
        <f>'Summary of PIP'!D181</f>
        <v>0</v>
      </c>
      <c r="E200" s="1364"/>
      <c r="F200" s="1364"/>
      <c r="G200" s="1364"/>
      <c r="H200" s="1364"/>
      <c r="I200" s="1364"/>
      <c r="J200" s="1364"/>
      <c r="K200" s="1364"/>
      <c r="L200" s="1364"/>
      <c r="M200" s="1364"/>
      <c r="N200" s="1364"/>
      <c r="T200" s="6141">
        <f>COUNTIF($U$192:U200,TRUE)</f>
        <v>3</v>
      </c>
      <c r="U200" s="3876" t="b">
        <v>1</v>
      </c>
    </row>
    <row r="201" spans="2:21" ht="34.5" hidden="1" customHeight="1" x14ac:dyDescent="0.25">
      <c r="B201" s="1364"/>
      <c r="C201" s="1768" t="s">
        <v>1435</v>
      </c>
      <c r="D201" s="1769">
        <f>'Summary of PIP'!D183</f>
        <v>0</v>
      </c>
      <c r="E201" s="1364"/>
      <c r="F201" s="1364"/>
      <c r="G201" s="1364"/>
      <c r="H201" s="1364"/>
      <c r="I201" s="1364"/>
      <c r="J201" s="1364"/>
      <c r="K201" s="1364"/>
      <c r="L201" s="1364"/>
      <c r="M201" s="1364"/>
      <c r="N201" s="1364"/>
      <c r="T201" s="6141"/>
      <c r="U201" s="3876"/>
    </row>
    <row r="202" spans="2:21" hidden="1" x14ac:dyDescent="0.25">
      <c r="B202" s="1364"/>
      <c r="C202" s="1364"/>
      <c r="D202" s="1364"/>
      <c r="E202" s="1364"/>
      <c r="F202" s="1364"/>
      <c r="G202" s="1364"/>
      <c r="H202" s="1364"/>
      <c r="I202" s="1364"/>
      <c r="J202" s="1364"/>
      <c r="K202" s="1364"/>
      <c r="L202" s="1364"/>
      <c r="M202" s="1364"/>
      <c r="N202" s="1364"/>
      <c r="T202" s="6141"/>
      <c r="U202" s="3876"/>
    </row>
    <row r="203" spans="2:21" hidden="1" x14ac:dyDescent="0.25">
      <c r="B203" s="1364"/>
      <c r="C203" s="1364"/>
      <c r="D203" s="1364"/>
      <c r="E203" s="1364"/>
      <c r="F203" s="1364"/>
      <c r="G203" s="1364"/>
      <c r="H203" s="1364"/>
      <c r="I203" s="1364"/>
      <c r="J203" s="1364"/>
      <c r="K203" s="1364"/>
      <c r="L203" s="1364"/>
      <c r="M203" s="1364"/>
      <c r="N203" s="1364"/>
      <c r="T203" s="6141"/>
      <c r="U203" s="3876"/>
    </row>
    <row r="204" spans="2:21" ht="32.25" hidden="1" customHeight="1" x14ac:dyDescent="0.25">
      <c r="B204" s="1364"/>
      <c r="C204" s="6361" t="s">
        <v>570</v>
      </c>
      <c r="D204" s="6362"/>
      <c r="E204" s="6362"/>
      <c r="F204" s="6362"/>
      <c r="G204" s="6362"/>
      <c r="H204" s="6362"/>
      <c r="I204" s="1783" t="s">
        <v>676</v>
      </c>
      <c r="J204" s="6338" t="s">
        <v>3101</v>
      </c>
      <c r="K204" s="6338"/>
      <c r="L204" s="6338"/>
      <c r="M204" s="6339"/>
      <c r="N204" s="1364"/>
      <c r="T204" s="6141"/>
      <c r="U204" s="3876"/>
    </row>
    <row r="205" spans="2:21" ht="198" hidden="1" customHeight="1" x14ac:dyDescent="0.25">
      <c r="B205" s="1364"/>
      <c r="C205" s="1784"/>
      <c r="D205" s="1785"/>
      <c r="E205" s="1785"/>
      <c r="F205" s="1785"/>
      <c r="G205" s="1785"/>
      <c r="H205" s="1785"/>
      <c r="I205" s="1785"/>
      <c r="J205" s="6352"/>
      <c r="K205" s="6352"/>
      <c r="L205" s="6352"/>
      <c r="M205" s="6353"/>
      <c r="N205" s="1364"/>
      <c r="T205" s="6141"/>
      <c r="U205" s="3876"/>
    </row>
    <row r="206" spans="2:21" ht="15.75" hidden="1" x14ac:dyDescent="0.25">
      <c r="B206" s="1364"/>
      <c r="C206" s="6357" t="s">
        <v>209</v>
      </c>
      <c r="D206" s="6358"/>
      <c r="E206" s="6363" t="s">
        <v>684</v>
      </c>
      <c r="F206" s="6363"/>
      <c r="G206" s="6363"/>
      <c r="H206" s="6363"/>
      <c r="I206" s="6363"/>
      <c r="J206" s="6363"/>
      <c r="K206" s="6363"/>
      <c r="L206" s="6363"/>
      <c r="M206" s="6364"/>
      <c r="N206" s="1364"/>
      <c r="T206" s="6141"/>
      <c r="U206" s="3876"/>
    </row>
    <row r="207" spans="2:21" ht="60" hidden="1" x14ac:dyDescent="0.25">
      <c r="B207" s="1364"/>
      <c r="C207" s="6359"/>
      <c r="D207" s="6360"/>
      <c r="E207" s="4717" t="s">
        <v>3015</v>
      </c>
      <c r="F207" s="4717" t="s">
        <v>3016</v>
      </c>
      <c r="G207" s="4717" t="s">
        <v>1500</v>
      </c>
      <c r="H207" s="4717" t="s">
        <v>1502</v>
      </c>
      <c r="I207" s="4717" t="s">
        <v>1720</v>
      </c>
      <c r="J207" s="4717" t="s">
        <v>3018</v>
      </c>
      <c r="K207" s="4718" t="s">
        <v>1022</v>
      </c>
      <c r="L207" s="4718" t="s">
        <v>3017</v>
      </c>
      <c r="M207" s="4719" t="s">
        <v>1721</v>
      </c>
      <c r="N207" s="1364"/>
      <c r="T207" s="6141"/>
      <c r="U207" s="3876"/>
    </row>
    <row r="208" spans="2:21" hidden="1" x14ac:dyDescent="0.25">
      <c r="B208" s="1364"/>
      <c r="C208" s="4724" t="s">
        <v>737</v>
      </c>
      <c r="D208" s="4725"/>
      <c r="E208" s="4725"/>
      <c r="F208" s="4725"/>
      <c r="G208" s="4725"/>
      <c r="H208" s="4725"/>
      <c r="I208" s="4725"/>
      <c r="J208" s="4725"/>
      <c r="K208" s="4725"/>
      <c r="L208" s="4725"/>
      <c r="M208" s="4726"/>
      <c r="N208" s="1364"/>
      <c r="T208" s="6141"/>
      <c r="U208" s="3876"/>
    </row>
    <row r="209" spans="2:21" ht="15" hidden="1" customHeight="1" x14ac:dyDescent="0.25">
      <c r="B209" s="1364"/>
      <c r="C209" s="6355" t="str">
        <f>'SW Plan'!F22</f>
        <v>Household survey to assess solid waste services</v>
      </c>
      <c r="D209" s="6356"/>
      <c r="E209" s="4688"/>
      <c r="F209" s="4688"/>
      <c r="G209" s="4720"/>
      <c r="H209" s="4720"/>
      <c r="I209" s="4720"/>
      <c r="J209" s="4720"/>
      <c r="K209" s="4720"/>
      <c r="L209" s="4720"/>
      <c r="M209" s="4721"/>
      <c r="N209" s="1364"/>
      <c r="T209" s="6141">
        <f>COUNTIF($U$208:U209,TRUE)</f>
        <v>0</v>
      </c>
      <c r="U209" s="3876"/>
    </row>
    <row r="210" spans="2:21" hidden="1" x14ac:dyDescent="0.25">
      <c r="B210" s="1364"/>
      <c r="C210" s="6355" t="str">
        <f>'SW Plan'!F28</f>
        <v>Computerise solid waste records</v>
      </c>
      <c r="D210" s="6356"/>
      <c r="E210" s="4688"/>
      <c r="F210" s="4688"/>
      <c r="G210" s="4720"/>
      <c r="H210" s="4720"/>
      <c r="I210" s="4720"/>
      <c r="J210" s="4720"/>
      <c r="K210" s="4720"/>
      <c r="L210" s="4688"/>
      <c r="M210" s="4689"/>
      <c r="N210" s="1364"/>
      <c r="T210" s="6141">
        <f>COUNTIF($U$208:U210,TRUE)</f>
        <v>1</v>
      </c>
      <c r="U210" s="3876" t="b">
        <v>1</v>
      </c>
    </row>
    <row r="211" spans="2:21" hidden="1" x14ac:dyDescent="0.25">
      <c r="B211" s="1364"/>
      <c r="C211" s="4724" t="s">
        <v>1690</v>
      </c>
      <c r="D211" s="4725"/>
      <c r="E211" s="4725"/>
      <c r="F211" s="4725"/>
      <c r="G211" s="4725"/>
      <c r="H211" s="4725"/>
      <c r="I211" s="4725"/>
      <c r="J211" s="4725"/>
      <c r="K211" s="4725"/>
      <c r="L211" s="4725"/>
      <c r="M211" s="4726"/>
      <c r="N211" s="1364"/>
      <c r="T211" s="6141">
        <f>COUNTIF($U$208:U211,TRUE)</f>
        <v>1</v>
      </c>
      <c r="U211" s="3876"/>
    </row>
    <row r="212" spans="2:21" hidden="1" x14ac:dyDescent="0.25">
      <c r="B212" s="1364"/>
      <c r="C212" s="6377" t="str">
        <f>'SW Plan'!F34</f>
        <v>Prepare management plan to efficiently deploy manpower and resources</v>
      </c>
      <c r="D212" s="6378"/>
      <c r="E212" s="4688"/>
      <c r="F212" s="4688"/>
      <c r="G212" s="4688"/>
      <c r="H212" s="4720"/>
      <c r="I212" s="4720"/>
      <c r="J212" s="4720"/>
      <c r="K212" s="4688"/>
      <c r="L212" s="4720"/>
      <c r="M212" s="4721"/>
      <c r="N212" s="1364"/>
      <c r="T212" s="6141">
        <f>COUNTIF($U$208:U212,TRUE)</f>
        <v>2</v>
      </c>
      <c r="U212" s="3876" t="b">
        <v>1</v>
      </c>
    </row>
    <row r="213" spans="2:21" hidden="1" x14ac:dyDescent="0.25">
      <c r="B213" s="1364"/>
      <c r="C213" s="4724" t="s">
        <v>1981</v>
      </c>
      <c r="D213" s="4725"/>
      <c r="E213" s="4725"/>
      <c r="F213" s="4725"/>
      <c r="G213" s="4725"/>
      <c r="H213" s="4725"/>
      <c r="I213" s="4725"/>
      <c r="J213" s="4725"/>
      <c r="K213" s="4725"/>
      <c r="L213" s="4725"/>
      <c r="M213" s="4726"/>
      <c r="N213" s="1364"/>
      <c r="T213" s="6141">
        <f>COUNTIF($U$208:U213,TRUE)</f>
        <v>2</v>
      </c>
      <c r="U213" s="3876"/>
    </row>
    <row r="214" spans="2:21" ht="15" hidden="1" customHeight="1" x14ac:dyDescent="0.25">
      <c r="B214" s="1364"/>
      <c r="C214" s="6355" t="str">
        <f>'SW Plan'!F38</f>
        <v>Procure equipments for street sweeping and drain cleaning</v>
      </c>
      <c r="D214" s="6356"/>
      <c r="E214" s="4720"/>
      <c r="F214" s="4720"/>
      <c r="G214" s="4688"/>
      <c r="H214" s="4720"/>
      <c r="I214" s="4720"/>
      <c r="J214" s="4720"/>
      <c r="K214" s="4688"/>
      <c r="L214" s="4720"/>
      <c r="M214" s="4689"/>
      <c r="N214" s="1364"/>
      <c r="T214" s="6141">
        <f>COUNTIF($U$208:U214,TRUE)</f>
        <v>3</v>
      </c>
      <c r="U214" s="3876" t="b">
        <v>1</v>
      </c>
    </row>
    <row r="215" spans="2:21" ht="30" hidden="1" customHeight="1" x14ac:dyDescent="0.25">
      <c r="B215" s="1364"/>
      <c r="C215" s="6355" t="str">
        <f>'SW Plan'!F45</f>
        <v xml:space="preserve">Procure equipments for door to door solid waste collection (collection bins, ghantagaadis, containerised cycle rickshaw, handcarts etc.) </v>
      </c>
      <c r="D215" s="6356"/>
      <c r="E215" s="4688"/>
      <c r="F215" s="4688"/>
      <c r="G215" s="4688"/>
      <c r="H215" s="4720"/>
      <c r="I215" s="4720"/>
      <c r="J215" s="4720"/>
      <c r="K215" s="4688"/>
      <c r="L215" s="4670"/>
      <c r="M215" s="4689"/>
      <c r="N215" s="1364"/>
      <c r="T215" s="6141">
        <f>COUNTIF($U$208:U215,TRUE)</f>
        <v>4</v>
      </c>
      <c r="U215" s="3876" t="b">
        <v>1</v>
      </c>
    </row>
    <row r="216" spans="2:21" ht="30.75" hidden="1" customHeight="1" x14ac:dyDescent="0.25">
      <c r="B216" s="1364"/>
      <c r="C216" s="6355" t="str">
        <f>'SW Plan'!F54</f>
        <v>Information, education and communication (IEC) campaign for awareness of solid waste management</v>
      </c>
      <c r="D216" s="6356"/>
      <c r="E216" s="4688"/>
      <c r="F216" s="4688"/>
      <c r="G216" s="4688"/>
      <c r="H216" s="4688"/>
      <c r="I216" s="4720"/>
      <c r="J216" s="4720"/>
      <c r="K216" s="4720"/>
      <c r="L216" s="4720"/>
      <c r="M216" s="4721"/>
      <c r="N216" s="1364"/>
      <c r="T216" s="6141">
        <f>COUNTIF($U$208:U216,TRUE)</f>
        <v>5</v>
      </c>
      <c r="U216" s="3876" t="b">
        <v>1</v>
      </c>
    </row>
    <row r="217" spans="2:21" hidden="1" x14ac:dyDescent="0.25">
      <c r="B217" s="1364"/>
      <c r="C217" s="4724" t="s">
        <v>1686</v>
      </c>
      <c r="D217" s="4725"/>
      <c r="E217" s="4725"/>
      <c r="F217" s="4725"/>
      <c r="G217" s="4725"/>
      <c r="H217" s="4725"/>
      <c r="I217" s="4725"/>
      <c r="J217" s="4725"/>
      <c r="K217" s="4725"/>
      <c r="L217" s="4725"/>
      <c r="M217" s="4726"/>
      <c r="N217" s="1364"/>
      <c r="T217" s="6141">
        <f>COUNTIF($U$208:U217,TRUE)</f>
        <v>5</v>
      </c>
      <c r="U217" s="3876"/>
    </row>
    <row r="218" spans="2:21" ht="15" hidden="1" customHeight="1" x14ac:dyDescent="0.25">
      <c r="B218" s="1364"/>
      <c r="C218" s="6355" t="str">
        <f>'SW Plan'!F59</f>
        <v>Employ additional staff on contract for improving solid waste service delivery</v>
      </c>
      <c r="D218" s="6356"/>
      <c r="E218" s="4688"/>
      <c r="F218" s="4688"/>
      <c r="G218" s="4688"/>
      <c r="H218" s="4720"/>
      <c r="I218" s="4720"/>
      <c r="J218" s="4720"/>
      <c r="K218" s="4688"/>
      <c r="L218" s="4720"/>
      <c r="M218" s="4689"/>
      <c r="N218" s="1364"/>
      <c r="T218" s="6141">
        <f>COUNTIF($U$208:U218,TRUE)</f>
        <v>5</v>
      </c>
      <c r="U218" s="3876"/>
    </row>
    <row r="219" spans="2:21" hidden="1" x14ac:dyDescent="0.25">
      <c r="B219" s="1364"/>
      <c r="C219" s="6382" t="str">
        <f>'SW Plan'!F70</f>
        <v>Engage with private service providers to provide solid waste services</v>
      </c>
      <c r="D219" s="6383"/>
      <c r="E219" s="4692"/>
      <c r="F219" s="4692"/>
      <c r="G219" s="4692"/>
      <c r="H219" s="4722"/>
      <c r="I219" s="4722"/>
      <c r="J219" s="4722"/>
      <c r="K219" s="4692"/>
      <c r="L219" s="4722"/>
      <c r="M219" s="4693"/>
      <c r="N219" s="1364"/>
      <c r="T219" s="6141">
        <f>COUNTIF($U$208:U219,TRUE)</f>
        <v>6</v>
      </c>
      <c r="U219" s="3876" t="b">
        <v>1</v>
      </c>
    </row>
    <row r="220" spans="2:21" ht="32.25" hidden="1" customHeight="1" x14ac:dyDescent="0.25">
      <c r="B220" s="1364"/>
      <c r="C220" s="6361" t="s">
        <v>1437</v>
      </c>
      <c r="D220" s="6362"/>
      <c r="E220" s="6362"/>
      <c r="F220" s="6362"/>
      <c r="G220" s="6362"/>
      <c r="H220" s="6362"/>
      <c r="I220" s="1783" t="s">
        <v>676</v>
      </c>
      <c r="J220" s="6338" t="s">
        <v>3101</v>
      </c>
      <c r="K220" s="6338"/>
      <c r="L220" s="6338"/>
      <c r="M220" s="6339"/>
      <c r="N220" s="1364"/>
      <c r="T220" s="6141">
        <f>COUNTIF($U$208:U220,TRUE)</f>
        <v>6</v>
      </c>
      <c r="U220" s="3876"/>
    </row>
    <row r="221" spans="2:21" ht="190.5" hidden="1" customHeight="1" x14ac:dyDescent="0.25">
      <c r="B221" s="1364"/>
      <c r="C221" s="1784"/>
      <c r="D221" s="1785"/>
      <c r="E221" s="1785"/>
      <c r="F221" s="1785"/>
      <c r="G221" s="1785"/>
      <c r="H221" s="1785"/>
      <c r="I221" s="1785"/>
      <c r="J221" s="1786"/>
      <c r="K221" s="1786"/>
      <c r="L221" s="1786"/>
      <c r="M221" s="1787"/>
      <c r="N221" s="1364"/>
      <c r="T221" s="6141">
        <f>COUNTIF($U$208:U221,TRUE)</f>
        <v>6</v>
      </c>
      <c r="U221" s="3876"/>
    </row>
    <row r="222" spans="2:21" ht="15.75" hidden="1" x14ac:dyDescent="0.25">
      <c r="B222" s="1364"/>
      <c r="C222" s="6357" t="s">
        <v>209</v>
      </c>
      <c r="D222" s="6358"/>
      <c r="E222" s="6363" t="s">
        <v>684</v>
      </c>
      <c r="F222" s="6363"/>
      <c r="G222" s="6363"/>
      <c r="H222" s="6363"/>
      <c r="I222" s="6363"/>
      <c r="J222" s="6363"/>
      <c r="K222" s="6363"/>
      <c r="L222" s="6363"/>
      <c r="M222" s="6364"/>
      <c r="N222" s="1364"/>
      <c r="T222" s="6141">
        <f>COUNTIF($U$208:U222,TRUE)</f>
        <v>6</v>
      </c>
      <c r="U222" s="3876"/>
    </row>
    <row r="223" spans="2:21" ht="60" hidden="1" x14ac:dyDescent="0.25">
      <c r="B223" s="1364"/>
      <c r="C223" s="6359"/>
      <c r="D223" s="6360"/>
      <c r="E223" s="4717" t="s">
        <v>3015</v>
      </c>
      <c r="F223" s="4717" t="s">
        <v>3016</v>
      </c>
      <c r="G223" s="4717" t="s">
        <v>1500</v>
      </c>
      <c r="H223" s="4717" t="s">
        <v>1502</v>
      </c>
      <c r="I223" s="4717" t="s">
        <v>1720</v>
      </c>
      <c r="J223" s="4717" t="s">
        <v>3018</v>
      </c>
      <c r="K223" s="4718" t="s">
        <v>1022</v>
      </c>
      <c r="L223" s="4718" t="s">
        <v>3017</v>
      </c>
      <c r="M223" s="4719" t="s">
        <v>1721</v>
      </c>
      <c r="N223" s="1364"/>
      <c r="T223" s="6141">
        <f>COUNTIF($U$208:U223,TRUE)</f>
        <v>6</v>
      </c>
      <c r="U223" s="3876"/>
    </row>
    <row r="224" spans="2:21" hidden="1" x14ac:dyDescent="0.25">
      <c r="B224" s="1364"/>
      <c r="C224" s="4724" t="s">
        <v>737</v>
      </c>
      <c r="D224" s="4725"/>
      <c r="E224" s="4725"/>
      <c r="F224" s="4725"/>
      <c r="G224" s="4725"/>
      <c r="H224" s="4725"/>
      <c r="I224" s="4725"/>
      <c r="J224" s="4725"/>
      <c r="K224" s="4725"/>
      <c r="L224" s="4725"/>
      <c r="M224" s="4726"/>
      <c r="N224" s="1364"/>
      <c r="T224" s="6141">
        <f>COUNTIF($U$208:U224,TRUE)</f>
        <v>6</v>
      </c>
      <c r="U224" s="3876"/>
    </row>
    <row r="225" spans="2:21" ht="30" hidden="1" customHeight="1" x14ac:dyDescent="0.25">
      <c r="B225" s="1364"/>
      <c r="C225" s="6355" t="str">
        <f>'SW Plan'!F90</f>
        <v>Track movement of solid waste transportation vehicles to achieve optimum operational efficiency</v>
      </c>
      <c r="D225" s="6356"/>
      <c r="E225" s="4720"/>
      <c r="F225" s="4720"/>
      <c r="G225" s="4688"/>
      <c r="H225" s="4720"/>
      <c r="I225" s="4720"/>
      <c r="J225" s="4720"/>
      <c r="K225" s="4720"/>
      <c r="L225" s="4720"/>
      <c r="M225" s="4689"/>
      <c r="N225" s="1364"/>
      <c r="T225" s="6141">
        <f>COUNTIF($U$208:U225,TRUE)</f>
        <v>7</v>
      </c>
      <c r="U225" s="3876" t="b">
        <v>1</v>
      </c>
    </row>
    <row r="226" spans="2:21" hidden="1" x14ac:dyDescent="0.25">
      <c r="B226" s="1364"/>
      <c r="C226" s="4724" t="s">
        <v>1690</v>
      </c>
      <c r="D226" s="4725"/>
      <c r="E226" s="4725"/>
      <c r="F226" s="4725"/>
      <c r="G226" s="4725"/>
      <c r="H226" s="4725"/>
      <c r="I226" s="4725"/>
      <c r="J226" s="4725"/>
      <c r="K226" s="4725"/>
      <c r="L226" s="4725"/>
      <c r="M226" s="4726"/>
      <c r="N226" s="1364"/>
      <c r="T226" s="6141">
        <f>COUNTIF($U$208:U226,TRUE)</f>
        <v>7</v>
      </c>
      <c r="U226" s="3876"/>
    </row>
    <row r="227" spans="2:21" ht="30" hidden="1" customHeight="1" x14ac:dyDescent="0.25">
      <c r="B227" s="1364"/>
      <c r="C227" s="6355" t="str">
        <f>'SW Plan'!F96</f>
        <v>Improve processes for maintaining daily logs of solid waste across SWM value chain</v>
      </c>
      <c r="D227" s="6356"/>
      <c r="E227" s="4688"/>
      <c r="F227" s="4688"/>
      <c r="G227" s="4688"/>
      <c r="H227" s="4688"/>
      <c r="I227" s="4688"/>
      <c r="J227" s="4688"/>
      <c r="K227" s="4688"/>
      <c r="L227" s="4720"/>
      <c r="M227" s="4721"/>
      <c r="N227" s="1364"/>
      <c r="T227" s="6141">
        <f>COUNTIF($U$208:U227,TRUE)</f>
        <v>8</v>
      </c>
      <c r="U227" s="3876" t="b">
        <v>1</v>
      </c>
    </row>
    <row r="228" spans="2:21" hidden="1" x14ac:dyDescent="0.25">
      <c r="B228" s="1364"/>
      <c r="C228" s="6355" t="str">
        <f>'SW Plan'!F97</f>
        <v>Process for periodic estimation of recyclable material collected by recyclers</v>
      </c>
      <c r="D228" s="6356"/>
      <c r="E228" s="4720"/>
      <c r="F228" s="4720"/>
      <c r="G228" s="4720"/>
      <c r="H228" s="4688"/>
      <c r="I228" s="4688"/>
      <c r="J228" s="4720"/>
      <c r="K228" s="4720"/>
      <c r="L228" s="4720"/>
      <c r="M228" s="4721"/>
      <c r="N228" s="1364"/>
      <c r="T228" s="6141">
        <f>COUNTIF($U$208:U228,TRUE)</f>
        <v>8</v>
      </c>
      <c r="U228" s="3876"/>
    </row>
    <row r="229" spans="2:21" hidden="1" x14ac:dyDescent="0.25">
      <c r="B229" s="1364"/>
      <c r="C229" s="4724" t="s">
        <v>1981</v>
      </c>
      <c r="D229" s="4725"/>
      <c r="E229" s="4725"/>
      <c r="F229" s="4725"/>
      <c r="G229" s="4725"/>
      <c r="H229" s="4725"/>
      <c r="I229" s="4725"/>
      <c r="J229" s="4725"/>
      <c r="K229" s="4725"/>
      <c r="L229" s="4725"/>
      <c r="M229" s="4726"/>
      <c r="N229" s="1364"/>
      <c r="T229" s="6141">
        <f>COUNTIF($U$208:U229,TRUE)</f>
        <v>8</v>
      </c>
      <c r="U229" s="3876"/>
    </row>
    <row r="230" spans="2:21" ht="15" hidden="1" customHeight="1" x14ac:dyDescent="0.25">
      <c r="B230" s="1364"/>
      <c r="C230" s="6416" t="str">
        <f>'SW Plan'!F101</f>
        <v xml:space="preserve">Segregation of collection and transportation of solid waste </v>
      </c>
      <c r="D230" s="6417"/>
      <c r="E230" s="4688"/>
      <c r="F230" s="4688"/>
      <c r="G230" s="4688"/>
      <c r="H230" s="4688"/>
      <c r="I230" s="4720"/>
      <c r="J230" s="4720"/>
      <c r="K230" s="4720"/>
      <c r="L230" s="4720"/>
      <c r="M230" s="4721"/>
      <c r="N230" s="1364"/>
      <c r="T230" s="6141">
        <f>COUNTIF($U$208:U230,TRUE)</f>
        <v>9</v>
      </c>
      <c r="U230" s="3876" t="b">
        <v>1</v>
      </c>
    </row>
    <row r="231" spans="2:21" ht="15" hidden="1" customHeight="1" x14ac:dyDescent="0.25">
      <c r="B231" s="1364"/>
      <c r="C231" s="6355" t="str">
        <f>'SW Plan'!F106</f>
        <v>Improve solid waste collection through secondary storage bins</v>
      </c>
      <c r="D231" s="6356"/>
      <c r="E231" s="4720"/>
      <c r="F231" s="4720"/>
      <c r="G231" s="4688"/>
      <c r="H231" s="4720"/>
      <c r="I231" s="4720"/>
      <c r="J231" s="4720"/>
      <c r="K231" s="4688"/>
      <c r="L231" s="4720"/>
      <c r="M231" s="4721"/>
      <c r="N231" s="1364"/>
      <c r="T231" s="6141">
        <f>COUNTIF($U$208:U231,TRUE)</f>
        <v>9</v>
      </c>
      <c r="U231" s="3876"/>
    </row>
    <row r="232" spans="2:21" hidden="1" x14ac:dyDescent="0.25">
      <c r="B232" s="1364"/>
      <c r="C232" s="6355" t="str">
        <f>'SW Plan'!F119</f>
        <v>Install litter bins at public places</v>
      </c>
      <c r="D232" s="6356"/>
      <c r="E232" s="4720"/>
      <c r="F232" s="4720"/>
      <c r="G232" s="4688"/>
      <c r="H232" s="4720"/>
      <c r="I232" s="4720"/>
      <c r="J232" s="4720"/>
      <c r="K232" s="4688"/>
      <c r="L232" s="4720"/>
      <c r="M232" s="4721"/>
      <c r="N232" s="1364"/>
      <c r="T232" s="6141">
        <f>COUNTIF($U$208:U232,TRUE)</f>
        <v>10</v>
      </c>
      <c r="U232" s="3876" t="b">
        <v>1</v>
      </c>
    </row>
    <row r="233" spans="2:21" ht="15" hidden="1" customHeight="1" x14ac:dyDescent="0.25">
      <c r="B233" s="1364"/>
      <c r="C233" s="6355" t="str">
        <f>'SW Plan'!F123</f>
        <v>Improve collection efficiency of solid waste with existing vehicles</v>
      </c>
      <c r="D233" s="6356"/>
      <c r="E233" s="4720"/>
      <c r="F233" s="4720"/>
      <c r="G233" s="4688"/>
      <c r="H233" s="4720"/>
      <c r="I233" s="4720"/>
      <c r="J233" s="4720"/>
      <c r="K233" s="4720"/>
      <c r="L233" s="4720"/>
      <c r="M233" s="4721"/>
      <c r="N233" s="1364"/>
      <c r="T233" s="6141">
        <f>COUNTIF($U$208:U233,TRUE)</f>
        <v>10</v>
      </c>
      <c r="U233" s="3876"/>
    </row>
    <row r="234" spans="2:21" hidden="1" x14ac:dyDescent="0.25">
      <c r="B234" s="1364"/>
      <c r="C234" s="6416" t="str">
        <f>'SW Plan'!F135</f>
        <v>Repair existing solid waste processing plant</v>
      </c>
      <c r="D234" s="6417"/>
      <c r="E234" s="4720"/>
      <c r="F234" s="4720"/>
      <c r="G234" s="4720"/>
      <c r="H234" s="4720"/>
      <c r="I234" s="4688"/>
      <c r="J234" s="4720"/>
      <c r="K234" s="4720"/>
      <c r="L234" s="4720"/>
      <c r="M234" s="4689"/>
      <c r="N234" s="1364"/>
      <c r="T234" s="6141">
        <f>COUNTIF($U$208:U234,TRUE)</f>
        <v>11</v>
      </c>
      <c r="U234" s="3876" t="b">
        <v>1</v>
      </c>
    </row>
    <row r="235" spans="2:21" hidden="1" x14ac:dyDescent="0.25">
      <c r="B235" s="1364"/>
      <c r="C235" s="4724" t="s">
        <v>1686</v>
      </c>
      <c r="D235" s="4725"/>
      <c r="E235" s="4725"/>
      <c r="F235" s="4725"/>
      <c r="G235" s="4725"/>
      <c r="H235" s="4725"/>
      <c r="I235" s="4725"/>
      <c r="J235" s="4725"/>
      <c r="K235" s="4725"/>
      <c r="L235" s="4725"/>
      <c r="M235" s="4726"/>
      <c r="N235" s="1364"/>
      <c r="T235" s="6141">
        <f>COUNTIF($U$208:U235,TRUE)</f>
        <v>11</v>
      </c>
      <c r="U235" s="3876"/>
    </row>
    <row r="236" spans="2:21" ht="15" hidden="1" customHeight="1" x14ac:dyDescent="0.25">
      <c r="B236" s="1364"/>
      <c r="C236" s="6355" t="str">
        <f>'SW Plan'!F146</f>
        <v>Procure new vehicles for solid waste collection and transportation</v>
      </c>
      <c r="D236" s="6356"/>
      <c r="E236" s="4720"/>
      <c r="F236" s="4720"/>
      <c r="G236" s="4688"/>
      <c r="H236" s="4720"/>
      <c r="I236" s="4720"/>
      <c r="J236" s="4720"/>
      <c r="K236" s="4720"/>
      <c r="L236" s="4720"/>
      <c r="M236" s="4689"/>
      <c r="N236" s="1364"/>
      <c r="T236" s="6141">
        <f>COUNTIF($U$208:U236,TRUE)</f>
        <v>12</v>
      </c>
      <c r="U236" s="3876" t="b">
        <v>1</v>
      </c>
    </row>
    <row r="237" spans="2:21" hidden="1" x14ac:dyDescent="0.25">
      <c r="B237" s="1364"/>
      <c r="C237" s="6355" t="str">
        <f>'SW Plan'!F164</f>
        <v>Construct new solid waste transfer station</v>
      </c>
      <c r="D237" s="6356"/>
      <c r="E237" s="4720"/>
      <c r="F237" s="4720"/>
      <c r="G237" s="4688"/>
      <c r="H237" s="4720"/>
      <c r="I237" s="4720"/>
      <c r="J237" s="4720"/>
      <c r="K237" s="4720"/>
      <c r="L237" s="4720"/>
      <c r="M237" s="4689"/>
      <c r="N237" s="1364"/>
      <c r="T237" s="6141">
        <f>COUNTIF($U$208:U237,TRUE)</f>
        <v>13</v>
      </c>
      <c r="U237" s="3876" t="b">
        <v>1</v>
      </c>
    </row>
    <row r="238" spans="2:21" ht="15" hidden="1" customHeight="1" x14ac:dyDescent="0.25">
      <c r="B238" s="1364"/>
      <c r="C238" s="6355" t="str">
        <f>'SW Plan'!F171</f>
        <v>Install weigh bridges to quantify solid waste collected and transported</v>
      </c>
      <c r="D238" s="6356"/>
      <c r="E238" s="4720"/>
      <c r="F238" s="4720"/>
      <c r="G238" s="4688"/>
      <c r="H238" s="4720"/>
      <c r="I238" s="4720"/>
      <c r="J238" s="4720"/>
      <c r="K238" s="4720"/>
      <c r="L238" s="4720"/>
      <c r="M238" s="4689"/>
      <c r="N238" s="1364"/>
      <c r="T238" s="6141">
        <f>COUNTIF($U$208:U238,TRUE)</f>
        <v>14</v>
      </c>
      <c r="U238" s="3876" t="b">
        <v>1</v>
      </c>
    </row>
    <row r="239" spans="2:21" hidden="1" x14ac:dyDescent="0.25">
      <c r="B239" s="1364"/>
      <c r="C239" s="6419" t="str">
        <f>'SW Plan'!F175</f>
        <v>Construct new solid waste processing plant</v>
      </c>
      <c r="D239" s="6420"/>
      <c r="E239" s="4722"/>
      <c r="F239" s="4722"/>
      <c r="G239" s="4722"/>
      <c r="H239" s="4722"/>
      <c r="I239" s="4692"/>
      <c r="J239" s="4722"/>
      <c r="K239" s="4722"/>
      <c r="L239" s="4722"/>
      <c r="M239" s="4693"/>
      <c r="N239" s="1364"/>
      <c r="T239" s="6141">
        <f>COUNTIF($U$208:U239,TRUE)</f>
        <v>15</v>
      </c>
      <c r="U239" s="3876" t="b">
        <v>1</v>
      </c>
    </row>
    <row r="240" spans="2:21" ht="32.25" hidden="1" customHeight="1" x14ac:dyDescent="0.25">
      <c r="B240" s="1364"/>
      <c r="C240" s="6361" t="s">
        <v>702</v>
      </c>
      <c r="D240" s="6362"/>
      <c r="E240" s="6362"/>
      <c r="F240" s="6362"/>
      <c r="G240" s="6362"/>
      <c r="H240" s="6362"/>
      <c r="I240" s="1783" t="s">
        <v>676</v>
      </c>
      <c r="J240" s="6338" t="s">
        <v>3101</v>
      </c>
      <c r="K240" s="6338"/>
      <c r="L240" s="6338"/>
      <c r="M240" s="6339"/>
      <c r="N240" s="1364"/>
      <c r="T240" s="6141">
        <f>COUNTIF($U$208:U240,TRUE)</f>
        <v>15</v>
      </c>
      <c r="U240" s="3876"/>
    </row>
    <row r="241" spans="2:21" ht="198" hidden="1" customHeight="1" x14ac:dyDescent="0.25">
      <c r="B241" s="1364"/>
      <c r="C241" s="1784"/>
      <c r="D241" s="1785"/>
      <c r="E241" s="1785"/>
      <c r="F241" s="1785"/>
      <c r="G241" s="1785"/>
      <c r="H241" s="1785"/>
      <c r="I241" s="1785"/>
      <c r="J241" s="1786"/>
      <c r="K241" s="1786"/>
      <c r="L241" s="1786"/>
      <c r="M241" s="1787"/>
      <c r="N241" s="1364"/>
      <c r="T241" s="6141">
        <f>COUNTIF($U$208:U241,TRUE)</f>
        <v>15</v>
      </c>
      <c r="U241" s="3876"/>
    </row>
    <row r="242" spans="2:21" ht="15.75" hidden="1" x14ac:dyDescent="0.25">
      <c r="B242" s="1364"/>
      <c r="C242" s="6357" t="s">
        <v>209</v>
      </c>
      <c r="D242" s="6358"/>
      <c r="E242" s="6363" t="s">
        <v>684</v>
      </c>
      <c r="F242" s="6363"/>
      <c r="G242" s="6363"/>
      <c r="H242" s="6363"/>
      <c r="I242" s="6363"/>
      <c r="J242" s="6363"/>
      <c r="K242" s="6363"/>
      <c r="L242" s="6363"/>
      <c r="M242" s="6364"/>
      <c r="N242" s="1364"/>
      <c r="T242" s="6141">
        <f>COUNTIF($U$208:U242,TRUE)</f>
        <v>15</v>
      </c>
      <c r="U242" s="3876"/>
    </row>
    <row r="243" spans="2:21" ht="60" hidden="1" x14ac:dyDescent="0.25">
      <c r="B243" s="1364"/>
      <c r="C243" s="6359"/>
      <c r="D243" s="6360"/>
      <c r="E243" s="4717" t="s">
        <v>3015</v>
      </c>
      <c r="F243" s="4717" t="s">
        <v>3016</v>
      </c>
      <c r="G243" s="4717" t="s">
        <v>1500</v>
      </c>
      <c r="H243" s="4717" t="s">
        <v>1502</v>
      </c>
      <c r="I243" s="4717" t="s">
        <v>1720</v>
      </c>
      <c r="J243" s="4717" t="s">
        <v>3018</v>
      </c>
      <c r="K243" s="4718" t="s">
        <v>1022</v>
      </c>
      <c r="L243" s="4718" t="s">
        <v>3017</v>
      </c>
      <c r="M243" s="4719" t="s">
        <v>1721</v>
      </c>
      <c r="N243" s="1364"/>
      <c r="T243" s="6141">
        <f>COUNTIF($U$208:U243,TRUE)</f>
        <v>15</v>
      </c>
      <c r="U243" s="3876"/>
    </row>
    <row r="244" spans="2:21" hidden="1" x14ac:dyDescent="0.25">
      <c r="B244" s="1364"/>
      <c r="C244" s="4724" t="s">
        <v>1691</v>
      </c>
      <c r="D244" s="4725"/>
      <c r="E244" s="4725"/>
      <c r="F244" s="4725"/>
      <c r="G244" s="4725"/>
      <c r="H244" s="4725"/>
      <c r="I244" s="4725"/>
      <c r="J244" s="4725"/>
      <c r="K244" s="4725"/>
      <c r="L244" s="4725"/>
      <c r="M244" s="4726"/>
      <c r="N244" s="1364"/>
      <c r="T244" s="6141">
        <f>COUNTIF($U$208:U244,TRUE)</f>
        <v>15</v>
      </c>
      <c r="U244" s="3876"/>
    </row>
    <row r="245" spans="2:21" hidden="1" x14ac:dyDescent="0.25">
      <c r="B245" s="1364"/>
      <c r="C245" s="6416" t="str">
        <f>'SW Plan'!F195</f>
        <v>Improve processes for management of consumer complaints</v>
      </c>
      <c r="D245" s="6417"/>
      <c r="E245" s="4720"/>
      <c r="F245" s="4720"/>
      <c r="G245" s="4720"/>
      <c r="H245" s="4720"/>
      <c r="I245" s="4720"/>
      <c r="J245" s="4720"/>
      <c r="K245" s="4688"/>
      <c r="L245" s="4720"/>
      <c r="M245" s="4721"/>
      <c r="N245" s="1364"/>
      <c r="T245" s="6141">
        <f>COUNTIF($U$208:U245,TRUE)</f>
        <v>16</v>
      </c>
      <c r="U245" s="3876" t="b">
        <v>1</v>
      </c>
    </row>
    <row r="246" spans="2:21" ht="30" hidden="1" customHeight="1" x14ac:dyDescent="0.25">
      <c r="B246" s="1364"/>
      <c r="C246" s="6377" t="str">
        <f>'SW Plan'!F196</f>
        <v>Process for allotment of government land for processing and disposal of solid waste</v>
      </c>
      <c r="D246" s="6378"/>
      <c r="E246" s="4720"/>
      <c r="F246" s="4720"/>
      <c r="G246" s="4720"/>
      <c r="H246" s="4720"/>
      <c r="I246" s="4720"/>
      <c r="J246" s="4688"/>
      <c r="K246" s="4720"/>
      <c r="L246" s="4720"/>
      <c r="M246" s="4721"/>
      <c r="N246" s="1364"/>
      <c r="T246" s="6141">
        <f>COUNTIF($U$208:U246,TRUE)</f>
        <v>16</v>
      </c>
      <c r="U246" s="3876"/>
    </row>
    <row r="247" spans="2:21" ht="30" hidden="1" customHeight="1" x14ac:dyDescent="0.25">
      <c r="B247" s="1364"/>
      <c r="C247" s="6355" t="str">
        <f>'SW Plan'!F197</f>
        <v xml:space="preserve">Process to obtain authorisation from concerned authorities and furnish annual report of compliance </v>
      </c>
      <c r="D247" s="6356"/>
      <c r="E247" s="4720"/>
      <c r="F247" s="4720"/>
      <c r="G247" s="4720"/>
      <c r="H247" s="4688"/>
      <c r="I247" s="4688"/>
      <c r="J247" s="4688"/>
      <c r="K247" s="4720"/>
      <c r="L247" s="4720"/>
      <c r="M247" s="4721"/>
      <c r="N247" s="1364"/>
      <c r="T247" s="6141">
        <f>COUNTIF($U$208:U247,TRUE)</f>
        <v>17</v>
      </c>
      <c r="U247" s="3876" t="b">
        <v>1</v>
      </c>
    </row>
    <row r="248" spans="2:21" ht="29.25" hidden="1" customHeight="1" x14ac:dyDescent="0.25">
      <c r="B248" s="1364"/>
      <c r="C248" s="6355" t="str">
        <f>'SW Plan'!F198</f>
        <v>Review of operating practices at scientific landfill sites to ensure compliance with MSW Rules 2000</v>
      </c>
      <c r="D248" s="6356"/>
      <c r="E248" s="4720"/>
      <c r="F248" s="4720"/>
      <c r="G248" s="4720"/>
      <c r="H248" s="4720"/>
      <c r="I248" s="4720"/>
      <c r="J248" s="4688"/>
      <c r="K248" s="4720"/>
      <c r="L248" s="4720"/>
      <c r="M248" s="4721"/>
      <c r="N248" s="1364"/>
      <c r="T248" s="6141">
        <f>COUNTIF($U$208:U248,TRUE)</f>
        <v>17</v>
      </c>
      <c r="U248" s="3876"/>
    </row>
    <row r="249" spans="2:21" hidden="1" x14ac:dyDescent="0.25">
      <c r="B249" s="1364"/>
      <c r="C249" s="4724" t="s">
        <v>1982</v>
      </c>
      <c r="D249" s="4725"/>
      <c r="E249" s="4725"/>
      <c r="F249" s="4725"/>
      <c r="G249" s="4725"/>
      <c r="H249" s="4725"/>
      <c r="I249" s="4725"/>
      <c r="J249" s="4725"/>
      <c r="K249" s="4725"/>
      <c r="L249" s="4725"/>
      <c r="M249" s="4726"/>
      <c r="N249" s="1364"/>
      <c r="T249" s="6141">
        <f>COUNTIF($U$208:U249,TRUE)</f>
        <v>17</v>
      </c>
      <c r="U249" s="3876"/>
    </row>
    <row r="250" spans="2:21" ht="15" hidden="1" customHeight="1" x14ac:dyDescent="0.25">
      <c r="B250" s="1364"/>
      <c r="C250" s="6416" t="str">
        <f>'SW Plan'!F202</f>
        <v>Improve consumer grievance redressal system</v>
      </c>
      <c r="D250" s="6417"/>
      <c r="E250" s="4720"/>
      <c r="F250" s="4720"/>
      <c r="G250" s="4720"/>
      <c r="H250" s="4720"/>
      <c r="I250" s="4720"/>
      <c r="J250" s="4720"/>
      <c r="K250" s="4688"/>
      <c r="L250" s="4720"/>
      <c r="M250" s="4721"/>
      <c r="N250" s="1364"/>
      <c r="T250" s="6141">
        <f>COUNTIF($U$208:U250,TRUE)</f>
        <v>18</v>
      </c>
      <c r="U250" s="3876" t="b">
        <v>1</v>
      </c>
    </row>
    <row r="251" spans="2:21" hidden="1" x14ac:dyDescent="0.25">
      <c r="B251" s="1364"/>
      <c r="C251" s="4724" t="s">
        <v>1687</v>
      </c>
      <c r="D251" s="4725"/>
      <c r="E251" s="4725"/>
      <c r="F251" s="4725"/>
      <c r="G251" s="4725"/>
      <c r="H251" s="4725"/>
      <c r="I251" s="4725"/>
      <c r="J251" s="4725"/>
      <c r="K251" s="4725"/>
      <c r="L251" s="4725"/>
      <c r="M251" s="4726"/>
      <c r="N251" s="1364"/>
      <c r="T251" s="6141">
        <f>COUNTIF($U$208:U251,TRUE)</f>
        <v>18</v>
      </c>
      <c r="U251" s="3876"/>
    </row>
    <row r="252" spans="2:21" hidden="1" x14ac:dyDescent="0.25">
      <c r="B252" s="1364"/>
      <c r="C252" s="6355" t="str">
        <f>'SW Plan'!F209</f>
        <v>Construct sanitary landfill facility for solid waste disposal</v>
      </c>
      <c r="D252" s="6356"/>
      <c r="E252" s="4720"/>
      <c r="F252" s="4720"/>
      <c r="G252" s="4720"/>
      <c r="H252" s="4720"/>
      <c r="I252" s="4720"/>
      <c r="J252" s="4688"/>
      <c r="K252" s="4720"/>
      <c r="L252" s="4720"/>
      <c r="M252" s="4689"/>
      <c r="N252" s="1364"/>
      <c r="T252" s="6141">
        <f>COUNTIF($U$208:U252,TRUE)</f>
        <v>18</v>
      </c>
      <c r="U252" s="3876"/>
    </row>
    <row r="253" spans="2:21" ht="15" hidden="1" customHeight="1" x14ac:dyDescent="0.25">
      <c r="B253" s="1364"/>
      <c r="C253" s="6382" t="str">
        <f>'SW Plan'!F215</f>
        <v>Closure of existing dumping site in scientific manner as prescribed by MSW Rules 2000</v>
      </c>
      <c r="D253" s="6383"/>
      <c r="E253" s="4722"/>
      <c r="F253" s="4722"/>
      <c r="G253" s="4722"/>
      <c r="H253" s="4722"/>
      <c r="I253" s="4722"/>
      <c r="J253" s="4692"/>
      <c r="K253" s="4722"/>
      <c r="L253" s="4722"/>
      <c r="M253" s="4723"/>
      <c r="N253" s="1364"/>
      <c r="T253" s="6141">
        <f>COUNTIF($U$208:U253,TRUE)</f>
        <v>18</v>
      </c>
      <c r="U253" s="3876"/>
    </row>
    <row r="254" spans="2:21" ht="32.25" hidden="1" customHeight="1" x14ac:dyDescent="0.25">
      <c r="B254" s="1364"/>
      <c r="C254" s="6361" t="s">
        <v>677</v>
      </c>
      <c r="D254" s="6362"/>
      <c r="E254" s="6362"/>
      <c r="F254" s="6362"/>
      <c r="G254" s="6362"/>
      <c r="H254" s="6362"/>
      <c r="I254" s="1783" t="s">
        <v>676</v>
      </c>
      <c r="J254" s="6338" t="s">
        <v>3101</v>
      </c>
      <c r="K254" s="6338"/>
      <c r="L254" s="6338"/>
      <c r="M254" s="6339"/>
      <c r="N254" s="1364"/>
      <c r="T254" s="6141">
        <f>COUNTIF($U$208:U254,TRUE)</f>
        <v>18</v>
      </c>
      <c r="U254" s="3876"/>
    </row>
    <row r="255" spans="2:21" ht="198" hidden="1" customHeight="1" x14ac:dyDescent="0.25">
      <c r="B255" s="1364"/>
      <c r="C255" s="1784"/>
      <c r="D255" s="1785"/>
      <c r="E255" s="1785"/>
      <c r="F255" s="1785"/>
      <c r="G255" s="1785"/>
      <c r="H255" s="1785"/>
      <c r="I255" s="1785"/>
      <c r="J255" s="1786"/>
      <c r="K255" s="1786"/>
      <c r="L255" s="1786"/>
      <c r="M255" s="1787"/>
      <c r="N255" s="1364"/>
      <c r="T255" s="6141">
        <f>COUNTIF($U$208:U255,TRUE)</f>
        <v>18</v>
      </c>
      <c r="U255" s="3876"/>
    </row>
    <row r="256" spans="2:21" ht="15.75" hidden="1" x14ac:dyDescent="0.25">
      <c r="B256" s="1364"/>
      <c r="C256" s="6357" t="s">
        <v>209</v>
      </c>
      <c r="D256" s="6358"/>
      <c r="E256" s="6363" t="s">
        <v>684</v>
      </c>
      <c r="F256" s="6363"/>
      <c r="G256" s="6363"/>
      <c r="H256" s="6363"/>
      <c r="I256" s="6363"/>
      <c r="J256" s="6363"/>
      <c r="K256" s="6363"/>
      <c r="L256" s="6363"/>
      <c r="M256" s="6364"/>
      <c r="N256" s="1364"/>
      <c r="T256" s="6141">
        <f>COUNTIF($U$208:U256,TRUE)</f>
        <v>18</v>
      </c>
      <c r="U256" s="3876"/>
    </row>
    <row r="257" spans="2:27" ht="60" hidden="1" x14ac:dyDescent="0.25">
      <c r="B257" s="1364"/>
      <c r="C257" s="6359"/>
      <c r="D257" s="6360"/>
      <c r="E257" s="4717" t="s">
        <v>3015</v>
      </c>
      <c r="F257" s="4717" t="s">
        <v>3016</v>
      </c>
      <c r="G257" s="4717" t="s">
        <v>1500</v>
      </c>
      <c r="H257" s="4717" t="s">
        <v>1502</v>
      </c>
      <c r="I257" s="4717" t="s">
        <v>1720</v>
      </c>
      <c r="J257" s="4717" t="s">
        <v>3018</v>
      </c>
      <c r="K257" s="4718" t="s">
        <v>1022</v>
      </c>
      <c r="L257" s="4718" t="s">
        <v>3017</v>
      </c>
      <c r="M257" s="4719" t="s">
        <v>1721</v>
      </c>
      <c r="N257" s="1364"/>
      <c r="T257" s="6141">
        <f>COUNTIF($U$208:U257,TRUE)</f>
        <v>18</v>
      </c>
      <c r="U257" s="3876"/>
    </row>
    <row r="258" spans="2:27" hidden="1" x14ac:dyDescent="0.25">
      <c r="B258" s="1364"/>
      <c r="C258" s="4724" t="s">
        <v>1691</v>
      </c>
      <c r="D258" s="4725"/>
      <c r="E258" s="4725"/>
      <c r="F258" s="4725"/>
      <c r="G258" s="4725"/>
      <c r="H258" s="4725"/>
      <c r="I258" s="4725"/>
      <c r="J258" s="4725"/>
      <c r="K258" s="4725"/>
      <c r="L258" s="4725"/>
      <c r="M258" s="4726"/>
      <c r="N258" s="1364"/>
      <c r="T258" s="6141">
        <f>COUNTIF($U$208:U258,TRUE)</f>
        <v>18</v>
      </c>
      <c r="U258" s="3876"/>
    </row>
    <row r="259" spans="2:27" hidden="1" x14ac:dyDescent="0.25">
      <c r="B259" s="1364"/>
      <c r="C259" s="6355" t="str">
        <f>'SW Plan'!F223</f>
        <v>Improve billing and collection of solid waste bills</v>
      </c>
      <c r="D259" s="6356"/>
      <c r="E259" s="4720"/>
      <c r="F259" s="4720"/>
      <c r="G259" s="4720"/>
      <c r="H259" s="4720"/>
      <c r="I259" s="4720"/>
      <c r="J259" s="4720"/>
      <c r="K259" s="4688"/>
      <c r="L259" s="4688"/>
      <c r="M259" s="4689"/>
      <c r="N259" s="1364"/>
      <c r="T259" s="6141">
        <f>COUNTIF($U$208:U259,TRUE)</f>
        <v>18</v>
      </c>
      <c r="U259" s="3876"/>
    </row>
    <row r="260" spans="2:27" hidden="1" x14ac:dyDescent="0.25">
      <c r="B260" s="1364"/>
      <c r="C260" s="4724" t="s">
        <v>1982</v>
      </c>
      <c r="D260" s="4725"/>
      <c r="E260" s="4725"/>
      <c r="F260" s="4725"/>
      <c r="G260" s="4725"/>
      <c r="H260" s="4725"/>
      <c r="I260" s="4725"/>
      <c r="J260" s="4725"/>
      <c r="K260" s="4725"/>
      <c r="L260" s="4725"/>
      <c r="M260" s="4726"/>
      <c r="N260" s="1364"/>
      <c r="T260" s="6141">
        <f>COUNTIF($U$208:U260,TRUE)</f>
        <v>18</v>
      </c>
      <c r="U260" s="3876"/>
    </row>
    <row r="261" spans="2:27" hidden="1" x14ac:dyDescent="0.25">
      <c r="B261" s="1364"/>
      <c r="C261" s="6382" t="str">
        <f>'SW Plan'!F227</f>
        <v>Improve collection efficiency of solid waste charges and taxes</v>
      </c>
      <c r="D261" s="6383"/>
      <c r="E261" s="4722"/>
      <c r="F261" s="4722"/>
      <c r="G261" s="4722"/>
      <c r="H261" s="4722"/>
      <c r="I261" s="4722"/>
      <c r="J261" s="4722"/>
      <c r="K261" s="4742"/>
      <c r="L261" s="4692"/>
      <c r="M261" s="4693"/>
      <c r="N261" s="1364"/>
      <c r="T261" s="6141">
        <f>COUNTIF($U$208:U261,TRUE)</f>
        <v>18</v>
      </c>
      <c r="U261" s="3876"/>
    </row>
    <row r="262" spans="2:27" hidden="1" x14ac:dyDescent="0.25">
      <c r="B262" s="1364"/>
      <c r="C262" s="1364"/>
      <c r="D262" s="1364"/>
      <c r="E262" s="1364"/>
      <c r="F262" s="1364"/>
      <c r="G262" s="1364"/>
      <c r="H262" s="1364"/>
      <c r="I262" s="1364"/>
      <c r="J262" s="1364"/>
      <c r="K262" s="1364"/>
      <c r="L262" s="1364"/>
      <c r="M262" s="1364"/>
      <c r="N262" s="1364"/>
      <c r="T262" s="6141"/>
      <c r="U262" s="3876"/>
    </row>
    <row r="263" spans="2:27" ht="26.25" hidden="1" customHeight="1" x14ac:dyDescent="0.25">
      <c r="B263" s="1364"/>
      <c r="C263" s="1364"/>
      <c r="D263" s="1364"/>
      <c r="E263" s="1364"/>
      <c r="F263" s="1364"/>
      <c r="G263" s="1364"/>
      <c r="H263" s="1364"/>
      <c r="I263" s="1364"/>
      <c r="J263" s="1364"/>
      <c r="K263" s="1364"/>
      <c r="L263" s="1364"/>
      <c r="M263" s="1364"/>
      <c r="N263" s="1364"/>
    </row>
    <row r="264" spans="2:27" s="1766" customFormat="1" ht="35.25" hidden="1" customHeight="1" x14ac:dyDescent="0.25">
      <c r="B264" s="1767"/>
      <c r="C264" s="6415" t="s">
        <v>1700</v>
      </c>
      <c r="D264" s="6415"/>
      <c r="E264" s="6415"/>
      <c r="F264" s="6415"/>
      <c r="G264" s="6415"/>
      <c r="H264" s="6415"/>
      <c r="I264" s="6415"/>
      <c r="J264" s="6415"/>
      <c r="K264" s="6415"/>
      <c r="L264" s="6415"/>
      <c r="M264" s="6415"/>
      <c r="N264" s="1606"/>
      <c r="O264" s="1311"/>
      <c r="T264" s="3738"/>
      <c r="U264" s="3738"/>
      <c r="V264" s="3738"/>
      <c r="W264" s="3738"/>
      <c r="X264" s="3738"/>
      <c r="Y264" s="3738"/>
      <c r="Z264" s="3738"/>
      <c r="AA264" s="3738"/>
    </row>
    <row r="265" spans="2:27" ht="25.5" hidden="1" customHeight="1" thickBot="1" x14ac:dyDescent="0.3">
      <c r="B265" s="1788"/>
      <c r="C265" s="1788"/>
      <c r="D265" s="1788"/>
      <c r="E265" s="1788"/>
      <c r="F265" s="1788"/>
      <c r="G265" s="1788"/>
      <c r="H265" s="1788"/>
      <c r="I265" s="1788"/>
      <c r="J265" s="1788"/>
      <c r="K265" s="1788"/>
      <c r="L265" s="1788"/>
      <c r="M265" s="1788"/>
      <c r="N265" s="1789"/>
    </row>
    <row r="266" spans="2:27" s="1790" customFormat="1" ht="27" hidden="1" customHeight="1" x14ac:dyDescent="0.25">
      <c r="B266" s="1791"/>
      <c r="C266" s="6137" t="s">
        <v>84</v>
      </c>
      <c r="D266" s="6406" t="s">
        <v>1024</v>
      </c>
      <c r="E266" s="6407"/>
      <c r="F266" s="6407"/>
      <c r="G266" s="6407"/>
      <c r="H266" s="6408"/>
      <c r="I266" s="6412" t="s">
        <v>86</v>
      </c>
      <c r="J266" s="6413"/>
      <c r="K266" s="6413"/>
      <c r="L266" s="6413"/>
      <c r="M266" s="6414"/>
      <c r="N266" s="1792"/>
      <c r="O266" s="1311"/>
      <c r="T266" s="6418" t="s">
        <v>84</v>
      </c>
      <c r="U266" s="6418"/>
      <c r="V266" s="3880"/>
      <c r="W266" s="6418" t="s">
        <v>892</v>
      </c>
      <c r="X266" s="6418"/>
      <c r="Y266" s="3880"/>
      <c r="Z266" s="6418" t="s">
        <v>893</v>
      </c>
      <c r="AA266" s="6418"/>
    </row>
    <row r="267" spans="2:27" s="1793" customFormat="1" ht="28.5" hidden="1" customHeight="1" x14ac:dyDescent="0.25">
      <c r="B267" s="1794"/>
      <c r="C267" s="6379" t="s">
        <v>988</v>
      </c>
      <c r="D267" s="6380" t="str">
        <f>C267</f>
        <v>SECTOR GOALS</v>
      </c>
      <c r="E267" s="6380"/>
      <c r="F267" s="6380"/>
      <c r="G267" s="6380"/>
      <c r="H267" s="6380"/>
      <c r="I267" s="6380"/>
      <c r="J267" s="6380"/>
      <c r="K267" s="6380"/>
      <c r="L267" s="6380"/>
      <c r="M267" s="6381"/>
      <c r="N267" s="1795"/>
      <c r="T267" s="3881" t="s">
        <v>1080</v>
      </c>
      <c r="U267" s="3881" t="s">
        <v>1081</v>
      </c>
      <c r="V267" s="3882"/>
      <c r="W267" s="3881" t="s">
        <v>1080</v>
      </c>
      <c r="X267" s="3881" t="s">
        <v>1081</v>
      </c>
      <c r="Y267" s="3882"/>
      <c r="Z267" s="3881" t="s">
        <v>1080</v>
      </c>
      <c r="AA267" s="3881" t="s">
        <v>1081</v>
      </c>
    </row>
    <row r="268" spans="2:27" s="1793" customFormat="1" ht="18.75" hidden="1" customHeight="1" x14ac:dyDescent="0.25">
      <c r="B268" s="1794"/>
      <c r="C268" s="6134" t="str">
        <f t="shared" ref="C268:C275" si="0">IFERROR(INDEX($C$23:$C$32,T268,),"")</f>
        <v/>
      </c>
      <c r="D268" s="6409" t="str">
        <f t="shared" ref="D268:D282" si="1">IFERROR(INDEX($C$112:$C$121,W268,),"")</f>
        <v xml:space="preserve">Coverage of households with individual toilets in city </v>
      </c>
      <c r="E268" s="6410"/>
      <c r="F268" s="6410"/>
      <c r="G268" s="6410"/>
      <c r="H268" s="6411"/>
      <c r="I268" s="6384" t="str">
        <f>IFERROR(INDEX($C$193:$C$201,Z268,),"")</f>
        <v>Extent of segregation of solid waste</v>
      </c>
      <c r="J268" s="6385"/>
      <c r="K268" s="6385"/>
      <c r="L268" s="6385"/>
      <c r="M268" s="6386"/>
      <c r="N268" s="1795"/>
      <c r="T268" s="3881" t="str">
        <f t="shared" ref="T268:T299" si="2">IFERROR(MATCH(ROW(C268)-ROW($C$268)+1,$T$22:$T$31,0),"")</f>
        <v/>
      </c>
      <c r="U268" s="3881" t="str">
        <f t="shared" ref="U268:U299" si="3">IFERROR(MATCH(ROW(C284)-ROW($C$284)+1,$T$39:$T$104,0),"")</f>
        <v/>
      </c>
      <c r="V268" s="3882"/>
      <c r="W268" s="3881">
        <f t="shared" ref="W268:W299" si="4">IFERROR(MATCH(ROW(D268)-ROW($D$268)+1,$T$111:$T$120,0),"")</f>
        <v>1</v>
      </c>
      <c r="X268" s="3881">
        <f t="shared" ref="X268:X299" si="5">IFERROR(MATCH(ROW(D284)-ROW($D$284)+1,$T$128:$T$186,0),"")</f>
        <v>2</v>
      </c>
      <c r="Y268" s="3882"/>
      <c r="Z268" s="3881">
        <f t="shared" ref="Z268:Z282" si="6">IFERROR(MATCH(ROW(I268)-ROW($I$268)+1,$T$192:$T$200,0),"")</f>
        <v>4</v>
      </c>
      <c r="AA268" s="3881">
        <f t="shared" ref="AA268:AA311" si="7">IFERROR(MATCH(ROW(I284)-ROW($I$284)+1,$T$209:$T$261,0),"")</f>
        <v>2</v>
      </c>
    </row>
    <row r="269" spans="2:27" s="1793" customFormat="1" ht="18.75" hidden="1" customHeight="1" x14ac:dyDescent="0.25">
      <c r="B269" s="1794"/>
      <c r="C269" s="6135" t="str">
        <f t="shared" si="0"/>
        <v/>
      </c>
      <c r="D269" s="6368" t="str">
        <f t="shared" si="1"/>
        <v xml:space="preserve">Coverage of households with individual toilets in slums </v>
      </c>
      <c r="E269" s="6369"/>
      <c r="F269" s="6369"/>
      <c r="G269" s="6369"/>
      <c r="H269" s="6370"/>
      <c r="I269" s="6387" t="str">
        <f t="shared" ref="I269:I282" si="8">IFERROR(INDEX($C$193:$C$201,Z269,),"")</f>
        <v xml:space="preserve">Extent of solid waste recovered </v>
      </c>
      <c r="J269" s="6388"/>
      <c r="K269" s="6388"/>
      <c r="L269" s="6388"/>
      <c r="M269" s="6389"/>
      <c r="N269" s="1795"/>
      <c r="T269" s="3881" t="str">
        <f t="shared" si="2"/>
        <v/>
      </c>
      <c r="U269" s="3881" t="str">
        <f t="shared" si="3"/>
        <v/>
      </c>
      <c r="V269" s="3882"/>
      <c r="W269" s="3881">
        <f t="shared" si="4"/>
        <v>2</v>
      </c>
      <c r="X269" s="3881">
        <f t="shared" si="5"/>
        <v>5</v>
      </c>
      <c r="Y269" s="3882"/>
      <c r="Z269" s="3881">
        <f t="shared" si="6"/>
        <v>5</v>
      </c>
      <c r="AA269" s="3881">
        <f t="shared" si="7"/>
        <v>4</v>
      </c>
    </row>
    <row r="270" spans="2:27" s="1793" customFormat="1" ht="18.75" hidden="1" customHeight="1" x14ac:dyDescent="0.25">
      <c r="B270" s="1794"/>
      <c r="C270" s="6135" t="str">
        <f t="shared" si="0"/>
        <v/>
      </c>
      <c r="D270" s="6368" t="str">
        <f t="shared" si="1"/>
        <v>Coverage of households with adequate sanitation system</v>
      </c>
      <c r="E270" s="6369"/>
      <c r="F270" s="6369"/>
      <c r="G270" s="6369"/>
      <c r="H270" s="6370"/>
      <c r="I270" s="6387" t="str">
        <f t="shared" si="8"/>
        <v xml:space="preserve">Extent of cost recovery in solid waste services </v>
      </c>
      <c r="J270" s="6388"/>
      <c r="K270" s="6388"/>
      <c r="L270" s="6388"/>
      <c r="M270" s="6389"/>
      <c r="N270" s="1795"/>
      <c r="T270" s="3881" t="str">
        <f t="shared" si="2"/>
        <v/>
      </c>
      <c r="U270" s="3881" t="str">
        <f t="shared" si="3"/>
        <v/>
      </c>
      <c r="V270" s="3882"/>
      <c r="W270" s="3881">
        <f t="shared" si="4"/>
        <v>3</v>
      </c>
      <c r="X270" s="3881">
        <f t="shared" si="5"/>
        <v>7</v>
      </c>
      <c r="Y270" s="3882"/>
      <c r="Z270" s="3881">
        <f t="shared" si="6"/>
        <v>9</v>
      </c>
      <c r="AA270" s="3881">
        <f t="shared" si="7"/>
        <v>6</v>
      </c>
    </row>
    <row r="271" spans="2:27" s="1793" customFormat="1" ht="18.75" hidden="1" customHeight="1" x14ac:dyDescent="0.25">
      <c r="B271" s="1794"/>
      <c r="C271" s="6135" t="str">
        <f t="shared" si="0"/>
        <v/>
      </c>
      <c r="D271" s="6368" t="str">
        <f t="shared" si="1"/>
        <v>Efficiency of wastewater and septage collection system</v>
      </c>
      <c r="E271" s="6369"/>
      <c r="F271" s="6369"/>
      <c r="G271" s="6369"/>
      <c r="H271" s="6370"/>
      <c r="I271" s="6387" t="str">
        <f t="shared" si="8"/>
        <v/>
      </c>
      <c r="J271" s="6388"/>
      <c r="K271" s="6388"/>
      <c r="L271" s="6388"/>
      <c r="M271" s="6389"/>
      <c r="N271" s="1795"/>
      <c r="T271" s="3881" t="str">
        <f t="shared" si="2"/>
        <v/>
      </c>
      <c r="U271" s="3881" t="str">
        <f t="shared" si="3"/>
        <v/>
      </c>
      <c r="V271" s="3882"/>
      <c r="W271" s="3881">
        <f t="shared" si="4"/>
        <v>4</v>
      </c>
      <c r="X271" s="3881">
        <f t="shared" si="5"/>
        <v>9</v>
      </c>
      <c r="Y271" s="3882"/>
      <c r="Z271" s="3881" t="str">
        <f t="shared" si="6"/>
        <v/>
      </c>
      <c r="AA271" s="3881">
        <f t="shared" si="7"/>
        <v>7</v>
      </c>
    </row>
    <row r="272" spans="2:27" s="1793" customFormat="1" ht="18.75" hidden="1" customHeight="1" x14ac:dyDescent="0.25">
      <c r="B272" s="1794"/>
      <c r="C272" s="6135" t="str">
        <f t="shared" si="0"/>
        <v/>
      </c>
      <c r="D272" s="6368" t="str">
        <f t="shared" si="1"/>
        <v>Adequacy of wastewater and septage treatment capacity</v>
      </c>
      <c r="E272" s="6369"/>
      <c r="F272" s="6369"/>
      <c r="G272" s="6369"/>
      <c r="H272" s="6370"/>
      <c r="I272" s="6387" t="str">
        <f t="shared" si="8"/>
        <v/>
      </c>
      <c r="J272" s="6388"/>
      <c r="K272" s="6388"/>
      <c r="L272" s="6388"/>
      <c r="M272" s="6389"/>
      <c r="N272" s="1795"/>
      <c r="T272" s="3881" t="str">
        <f t="shared" si="2"/>
        <v/>
      </c>
      <c r="U272" s="3881" t="str">
        <f t="shared" si="3"/>
        <v/>
      </c>
      <c r="V272" s="3882"/>
      <c r="W272" s="3881">
        <f t="shared" si="4"/>
        <v>5</v>
      </c>
      <c r="X272" s="3881">
        <f t="shared" si="5"/>
        <v>11</v>
      </c>
      <c r="Y272" s="3882"/>
      <c r="Z272" s="3881" t="str">
        <f t="shared" si="6"/>
        <v/>
      </c>
      <c r="AA272" s="3881">
        <f t="shared" si="7"/>
        <v>8</v>
      </c>
    </row>
    <row r="273" spans="2:27" s="1793" customFormat="1" ht="18.75" hidden="1" customHeight="1" x14ac:dyDescent="0.25">
      <c r="B273" s="1794"/>
      <c r="C273" s="6135" t="str">
        <f t="shared" si="0"/>
        <v/>
      </c>
      <c r="D273" s="6368" t="str">
        <f t="shared" si="1"/>
        <v xml:space="preserve">Quality of wastewater and septage treatment </v>
      </c>
      <c r="E273" s="6369"/>
      <c r="F273" s="6369"/>
      <c r="G273" s="6369"/>
      <c r="H273" s="6370"/>
      <c r="I273" s="6387" t="str">
        <f t="shared" si="8"/>
        <v/>
      </c>
      <c r="J273" s="6388"/>
      <c r="K273" s="6388"/>
      <c r="L273" s="6388"/>
      <c r="M273" s="6389"/>
      <c r="N273" s="1795"/>
      <c r="T273" s="3881" t="str">
        <f t="shared" si="2"/>
        <v/>
      </c>
      <c r="U273" s="3881" t="str">
        <f t="shared" si="3"/>
        <v/>
      </c>
      <c r="V273" s="3882"/>
      <c r="W273" s="3881">
        <f t="shared" si="4"/>
        <v>6</v>
      </c>
      <c r="X273" s="3881">
        <f t="shared" si="5"/>
        <v>13</v>
      </c>
      <c r="Y273" s="3882"/>
      <c r="Z273" s="3881" t="str">
        <f t="shared" si="6"/>
        <v/>
      </c>
      <c r="AA273" s="3881">
        <f t="shared" si="7"/>
        <v>11</v>
      </c>
    </row>
    <row r="274" spans="2:27" s="1793" customFormat="1" ht="18.75" hidden="1" customHeight="1" x14ac:dyDescent="0.25">
      <c r="B274" s="1794"/>
      <c r="C274" s="6135" t="str">
        <f t="shared" si="0"/>
        <v/>
      </c>
      <c r="D274" s="6368" t="str">
        <f t="shared" si="1"/>
        <v xml:space="preserve">Extent of reuse/recycling of treated wastewater and septage </v>
      </c>
      <c r="E274" s="6369"/>
      <c r="F274" s="6369"/>
      <c r="G274" s="6369"/>
      <c r="H274" s="6370"/>
      <c r="I274" s="6387" t="str">
        <f t="shared" si="8"/>
        <v/>
      </c>
      <c r="J274" s="6388"/>
      <c r="K274" s="6388"/>
      <c r="L274" s="6388"/>
      <c r="M274" s="6389"/>
      <c r="N274" s="1795"/>
      <c r="T274" s="3881" t="str">
        <f t="shared" si="2"/>
        <v/>
      </c>
      <c r="U274" s="3881" t="str">
        <f t="shared" si="3"/>
        <v/>
      </c>
      <c r="V274" s="3882"/>
      <c r="W274" s="3881">
        <f t="shared" si="4"/>
        <v>7</v>
      </c>
      <c r="X274" s="3881">
        <f t="shared" si="5"/>
        <v>14</v>
      </c>
      <c r="Y274" s="3882"/>
      <c r="Z274" s="3881" t="str">
        <f t="shared" si="6"/>
        <v/>
      </c>
      <c r="AA274" s="3881">
        <f t="shared" si="7"/>
        <v>17</v>
      </c>
    </row>
    <row r="275" spans="2:27" s="1793" customFormat="1" ht="18.75" hidden="1" x14ac:dyDescent="0.25">
      <c r="B275" s="1794"/>
      <c r="C275" s="6135" t="str">
        <f t="shared" si="0"/>
        <v/>
      </c>
      <c r="D275" s="6368" t="str">
        <f t="shared" si="1"/>
        <v xml:space="preserve">Extent of cost recovery in wastewater services </v>
      </c>
      <c r="E275" s="6369"/>
      <c r="F275" s="6369"/>
      <c r="G275" s="6369"/>
      <c r="H275" s="6370"/>
      <c r="I275" s="6387" t="str">
        <f t="shared" si="8"/>
        <v/>
      </c>
      <c r="J275" s="6388"/>
      <c r="K275" s="6388"/>
      <c r="L275" s="6388"/>
      <c r="M275" s="6389"/>
      <c r="N275" s="1795"/>
      <c r="T275" s="3881" t="str">
        <f t="shared" si="2"/>
        <v/>
      </c>
      <c r="U275" s="3881" t="str">
        <f t="shared" si="3"/>
        <v/>
      </c>
      <c r="V275" s="3882"/>
      <c r="W275" s="3881">
        <f t="shared" si="4"/>
        <v>10</v>
      </c>
      <c r="X275" s="3881">
        <f t="shared" si="5"/>
        <v>22</v>
      </c>
      <c r="Y275" s="3882"/>
      <c r="Z275" s="3881" t="str">
        <f t="shared" si="6"/>
        <v/>
      </c>
      <c r="AA275" s="3881">
        <f t="shared" si="7"/>
        <v>19</v>
      </c>
    </row>
    <row r="276" spans="2:27" s="1793" customFormat="1" ht="18.75" hidden="1" x14ac:dyDescent="0.25">
      <c r="B276" s="1794"/>
      <c r="C276" s="6135"/>
      <c r="D276" s="6368" t="str">
        <f t="shared" si="1"/>
        <v/>
      </c>
      <c r="E276" s="6369"/>
      <c r="F276" s="6369"/>
      <c r="G276" s="6369"/>
      <c r="H276" s="6370"/>
      <c r="I276" s="6387" t="str">
        <f t="shared" si="8"/>
        <v/>
      </c>
      <c r="J276" s="6388"/>
      <c r="K276" s="6388"/>
      <c r="L276" s="6388"/>
      <c r="M276" s="6389"/>
      <c r="N276" s="1795"/>
      <c r="T276" s="3881" t="str">
        <f t="shared" si="2"/>
        <v/>
      </c>
      <c r="U276" s="3881" t="str">
        <f t="shared" si="3"/>
        <v/>
      </c>
      <c r="V276" s="3882"/>
      <c r="W276" s="3881" t="str">
        <f t="shared" si="4"/>
        <v/>
      </c>
      <c r="X276" s="3881">
        <f t="shared" si="5"/>
        <v>23</v>
      </c>
      <c r="Y276" s="3882"/>
      <c r="Z276" s="3881" t="str">
        <f t="shared" si="6"/>
        <v/>
      </c>
      <c r="AA276" s="3881">
        <f t="shared" si="7"/>
        <v>22</v>
      </c>
    </row>
    <row r="277" spans="2:27" s="1793" customFormat="1" ht="18.75" hidden="1" x14ac:dyDescent="0.25">
      <c r="B277" s="1794"/>
      <c r="C277" s="6135"/>
      <c r="D277" s="6368" t="str">
        <f t="shared" si="1"/>
        <v/>
      </c>
      <c r="E277" s="6369"/>
      <c r="F277" s="6369"/>
      <c r="G277" s="6369"/>
      <c r="H277" s="6370"/>
      <c r="I277" s="6387" t="str">
        <f t="shared" si="8"/>
        <v/>
      </c>
      <c r="J277" s="6388"/>
      <c r="K277" s="6388"/>
      <c r="L277" s="6388"/>
      <c r="M277" s="6389"/>
      <c r="N277" s="1795"/>
      <c r="T277" s="3881" t="str">
        <f t="shared" si="2"/>
        <v/>
      </c>
      <c r="U277" s="3881" t="str">
        <f t="shared" si="3"/>
        <v/>
      </c>
      <c r="V277" s="3882"/>
      <c r="W277" s="3881" t="str">
        <f t="shared" si="4"/>
        <v/>
      </c>
      <c r="X277" s="3881">
        <f t="shared" si="5"/>
        <v>30</v>
      </c>
      <c r="Y277" s="3882"/>
      <c r="Z277" s="3881" t="str">
        <f t="shared" si="6"/>
        <v/>
      </c>
      <c r="AA277" s="3881">
        <f t="shared" si="7"/>
        <v>24</v>
      </c>
    </row>
    <row r="278" spans="2:27" s="1793" customFormat="1" ht="18.75" hidden="1" x14ac:dyDescent="0.25">
      <c r="B278" s="1794"/>
      <c r="C278" s="6135"/>
      <c r="D278" s="6368" t="str">
        <f t="shared" si="1"/>
        <v/>
      </c>
      <c r="E278" s="6369"/>
      <c r="F278" s="6369"/>
      <c r="G278" s="6369"/>
      <c r="H278" s="6370"/>
      <c r="I278" s="6387" t="str">
        <f t="shared" si="8"/>
        <v/>
      </c>
      <c r="J278" s="6388"/>
      <c r="K278" s="6388"/>
      <c r="L278" s="6388"/>
      <c r="M278" s="6389"/>
      <c r="N278" s="1795"/>
      <c r="T278" s="3881" t="str">
        <f t="shared" si="2"/>
        <v/>
      </c>
      <c r="U278" s="3881" t="str">
        <f t="shared" si="3"/>
        <v/>
      </c>
      <c r="V278" s="3882"/>
      <c r="W278" s="3881" t="str">
        <f t="shared" si="4"/>
        <v/>
      </c>
      <c r="X278" s="3881">
        <f t="shared" si="5"/>
        <v>34</v>
      </c>
      <c r="Y278" s="3882"/>
      <c r="Z278" s="3881" t="str">
        <f t="shared" si="6"/>
        <v/>
      </c>
      <c r="AA278" s="3881">
        <f t="shared" si="7"/>
        <v>26</v>
      </c>
    </row>
    <row r="279" spans="2:27" s="1793" customFormat="1" ht="18.75" hidden="1" x14ac:dyDescent="0.25">
      <c r="B279" s="1794"/>
      <c r="C279" s="6135"/>
      <c r="D279" s="6368" t="str">
        <f t="shared" si="1"/>
        <v/>
      </c>
      <c r="E279" s="6369"/>
      <c r="F279" s="6369"/>
      <c r="G279" s="6369"/>
      <c r="H279" s="6370"/>
      <c r="I279" s="6387" t="str">
        <f t="shared" si="8"/>
        <v/>
      </c>
      <c r="J279" s="6388"/>
      <c r="K279" s="6388"/>
      <c r="L279" s="6388"/>
      <c r="M279" s="6389"/>
      <c r="N279" s="1795"/>
      <c r="T279" s="3881" t="str">
        <f t="shared" si="2"/>
        <v/>
      </c>
      <c r="U279" s="3881" t="str">
        <f t="shared" si="3"/>
        <v/>
      </c>
      <c r="V279" s="3882"/>
      <c r="W279" s="3881" t="str">
        <f t="shared" si="4"/>
        <v/>
      </c>
      <c r="X279" s="3881">
        <f t="shared" si="5"/>
        <v>36</v>
      </c>
      <c r="Y279" s="3882"/>
      <c r="Z279" s="3881" t="str">
        <f t="shared" si="6"/>
        <v/>
      </c>
      <c r="AA279" s="3881">
        <f t="shared" si="7"/>
        <v>28</v>
      </c>
    </row>
    <row r="280" spans="2:27" s="1793" customFormat="1" ht="18.75" hidden="1" x14ac:dyDescent="0.25">
      <c r="B280" s="1794"/>
      <c r="C280" s="6135"/>
      <c r="D280" s="6368" t="str">
        <f t="shared" si="1"/>
        <v/>
      </c>
      <c r="E280" s="6369"/>
      <c r="F280" s="6369"/>
      <c r="G280" s="6369"/>
      <c r="H280" s="6370"/>
      <c r="I280" s="6387" t="str">
        <f t="shared" si="8"/>
        <v/>
      </c>
      <c r="J280" s="6388"/>
      <c r="K280" s="6388"/>
      <c r="L280" s="6388"/>
      <c r="M280" s="6389"/>
      <c r="N280" s="1795"/>
      <c r="T280" s="3881" t="str">
        <f t="shared" si="2"/>
        <v/>
      </c>
      <c r="U280" s="3881" t="str">
        <f t="shared" si="3"/>
        <v/>
      </c>
      <c r="V280" s="3882"/>
      <c r="W280" s="3881" t="str">
        <f t="shared" si="4"/>
        <v/>
      </c>
      <c r="X280" s="3881">
        <f t="shared" si="5"/>
        <v>37</v>
      </c>
      <c r="Y280" s="3882"/>
      <c r="Z280" s="3881" t="str">
        <f t="shared" si="6"/>
        <v/>
      </c>
      <c r="AA280" s="3881">
        <f t="shared" si="7"/>
        <v>29</v>
      </c>
    </row>
    <row r="281" spans="2:27" s="1793" customFormat="1" ht="18.75" hidden="1" x14ac:dyDescent="0.25">
      <c r="B281" s="1794"/>
      <c r="C281" s="6135"/>
      <c r="D281" s="6368" t="str">
        <f t="shared" si="1"/>
        <v/>
      </c>
      <c r="E281" s="6369"/>
      <c r="F281" s="6369"/>
      <c r="G281" s="6369"/>
      <c r="H281" s="6370"/>
      <c r="I281" s="6387" t="str">
        <f t="shared" si="8"/>
        <v/>
      </c>
      <c r="J281" s="6388"/>
      <c r="K281" s="6388"/>
      <c r="L281" s="6388"/>
      <c r="M281" s="6389"/>
      <c r="N281" s="1795"/>
      <c r="T281" s="3881" t="str">
        <f t="shared" si="2"/>
        <v/>
      </c>
      <c r="U281" s="3881" t="str">
        <f t="shared" si="3"/>
        <v/>
      </c>
      <c r="V281" s="3882"/>
      <c r="W281" s="3881" t="str">
        <f t="shared" si="4"/>
        <v/>
      </c>
      <c r="X281" s="3881">
        <f t="shared" si="5"/>
        <v>38</v>
      </c>
      <c r="Y281" s="3882"/>
      <c r="Z281" s="3881" t="str">
        <f t="shared" si="6"/>
        <v/>
      </c>
      <c r="AA281" s="3881">
        <f t="shared" si="7"/>
        <v>30</v>
      </c>
    </row>
    <row r="282" spans="2:27" s="1793" customFormat="1" ht="18.75" hidden="1" x14ac:dyDescent="0.25">
      <c r="B282" s="1794"/>
      <c r="C282" s="6136"/>
      <c r="D282" s="6371" t="str">
        <f t="shared" si="1"/>
        <v/>
      </c>
      <c r="E282" s="6372"/>
      <c r="F282" s="6372"/>
      <c r="G282" s="6372"/>
      <c r="H282" s="6373"/>
      <c r="I282" s="6390" t="str">
        <f t="shared" si="8"/>
        <v/>
      </c>
      <c r="J282" s="6391"/>
      <c r="K282" s="6391"/>
      <c r="L282" s="6391"/>
      <c r="M282" s="6392"/>
      <c r="N282" s="1795"/>
      <c r="T282" s="3881" t="str">
        <f t="shared" si="2"/>
        <v/>
      </c>
      <c r="U282" s="3881" t="str">
        <f t="shared" si="3"/>
        <v/>
      </c>
      <c r="V282" s="3882"/>
      <c r="W282" s="3881" t="str">
        <f t="shared" si="4"/>
        <v/>
      </c>
      <c r="X282" s="3881">
        <f t="shared" si="5"/>
        <v>40</v>
      </c>
      <c r="Y282" s="3882"/>
      <c r="Z282" s="3881" t="str">
        <f t="shared" si="6"/>
        <v/>
      </c>
      <c r="AA282" s="3881">
        <f t="shared" si="7"/>
        <v>31</v>
      </c>
    </row>
    <row r="283" spans="2:27" s="1793" customFormat="1" ht="28.5" hidden="1" customHeight="1" x14ac:dyDescent="0.25">
      <c r="B283" s="1794"/>
      <c r="C283" s="6379" t="s">
        <v>987</v>
      </c>
      <c r="D283" s="6380" t="str">
        <f>C283</f>
        <v>PLANNING OBJECTIVES</v>
      </c>
      <c r="E283" s="6380"/>
      <c r="F283" s="6380"/>
      <c r="G283" s="6380"/>
      <c r="H283" s="6380"/>
      <c r="I283" s="6380"/>
      <c r="J283" s="6380"/>
      <c r="K283" s="6380"/>
      <c r="L283" s="6380"/>
      <c r="M283" s="6381"/>
      <c r="N283" s="1795"/>
      <c r="T283" s="3881" t="str">
        <f>IFERROR(MATCH(ROW(#REF!)-ROW($C$268)+1,$T$22:$T$31,0),"")</f>
        <v/>
      </c>
      <c r="U283" s="3881" t="str">
        <f t="shared" si="3"/>
        <v/>
      </c>
      <c r="V283" s="3882"/>
      <c r="W283" s="3881" t="str">
        <f>IFERROR(MATCH(ROW(C283)-ROW($D$268)+1,$T$111:$T$120,0),"")</f>
        <v/>
      </c>
      <c r="X283" s="3881" t="str">
        <f t="shared" si="5"/>
        <v/>
      </c>
      <c r="Y283" s="3882"/>
      <c r="Z283" s="3881" t="str">
        <f>IFERROR(MATCH(ROW(#REF!)-ROW($I$268)+1,$T$192:$T$200,0),"")</f>
        <v/>
      </c>
      <c r="AA283" s="3881">
        <f t="shared" si="7"/>
        <v>37</v>
      </c>
    </row>
    <row r="284" spans="2:27" s="1798" customFormat="1" ht="26.25" hidden="1" customHeight="1" x14ac:dyDescent="0.25">
      <c r="B284" s="1796"/>
      <c r="C284" s="6135" t="str">
        <f t="shared" ref="C284:C327" si="9">IFERROR(INDEX($C$39:$C$104,U268,),"")</f>
        <v/>
      </c>
      <c r="D284" s="6374" t="str">
        <f t="shared" ref="D284:D327" si="10">IFERROR(INDEX($C$128:$C$186,X268,),"")</f>
        <v>Surveys and monitoring of open defecation sites</v>
      </c>
      <c r="E284" s="6375"/>
      <c r="F284" s="6375"/>
      <c r="G284" s="6375"/>
      <c r="H284" s="6376"/>
      <c r="I284" s="6387" t="str">
        <f t="shared" ref="I284" si="11">IFERROR(INDEX($C$209:$C$261,AA268,),"")</f>
        <v>Computerise solid waste records</v>
      </c>
      <c r="J284" s="6388"/>
      <c r="K284" s="6388"/>
      <c r="L284" s="6388"/>
      <c r="M284" s="6389"/>
      <c r="N284" s="1797"/>
      <c r="T284" s="3881" t="str">
        <f t="shared" si="2"/>
        <v/>
      </c>
      <c r="U284" s="3881" t="str">
        <f t="shared" si="3"/>
        <v/>
      </c>
      <c r="V284" s="3883"/>
      <c r="W284" s="3881" t="str">
        <f t="shared" si="4"/>
        <v/>
      </c>
      <c r="X284" s="3884" t="str">
        <f t="shared" si="5"/>
        <v/>
      </c>
      <c r="Y284" s="3883"/>
      <c r="Z284" s="3884" t="str">
        <f>IFERROR(MATCH(ROW(#REF!)-ROW($I$268)+1,$T$192:$T$200,0),"")</f>
        <v/>
      </c>
      <c r="AA284" s="3884">
        <f t="shared" si="7"/>
        <v>39</v>
      </c>
    </row>
    <row r="285" spans="2:27" s="1798" customFormat="1" ht="26.25" hidden="1" customHeight="1" x14ac:dyDescent="0.25">
      <c r="B285" s="1796"/>
      <c r="C285" s="6135" t="str">
        <f t="shared" si="9"/>
        <v/>
      </c>
      <c r="D285" s="6365" t="str">
        <f t="shared" si="10"/>
        <v>Policy for providing sanitation services in slums</v>
      </c>
      <c r="E285" s="6366"/>
      <c r="F285" s="6366"/>
      <c r="G285" s="6366"/>
      <c r="H285" s="6367"/>
      <c r="I285" s="6387" t="str">
        <f t="shared" ref="I285:I327" si="12">IFERROR(INDEX($C$209:$C$261,AA269,),"")</f>
        <v>Prepare management plan to efficiently deploy manpower and resources</v>
      </c>
      <c r="J285" s="6388"/>
      <c r="K285" s="6388"/>
      <c r="L285" s="6388"/>
      <c r="M285" s="6389"/>
      <c r="N285" s="1797"/>
      <c r="T285" s="3881" t="str">
        <f t="shared" si="2"/>
        <v/>
      </c>
      <c r="U285" s="3881" t="str">
        <f t="shared" si="3"/>
        <v/>
      </c>
      <c r="V285" s="3883"/>
      <c r="W285" s="3881" t="str">
        <f t="shared" si="4"/>
        <v/>
      </c>
      <c r="X285" s="3884" t="str">
        <f t="shared" si="5"/>
        <v/>
      </c>
      <c r="Y285" s="3883"/>
      <c r="Z285" s="3884" t="str">
        <f>IFERROR(MATCH(ROW(#REF!)-ROW($I$268)+1,$T$192:$T$200,0),"")</f>
        <v/>
      </c>
      <c r="AA285" s="3884">
        <f t="shared" si="7"/>
        <v>42</v>
      </c>
    </row>
    <row r="286" spans="2:27" s="1798" customFormat="1" ht="28.5" hidden="1" customHeight="1" x14ac:dyDescent="0.25">
      <c r="B286" s="1796"/>
      <c r="C286" s="6135" t="str">
        <f t="shared" si="9"/>
        <v/>
      </c>
      <c r="D286" s="6365" t="str">
        <f t="shared" si="10"/>
        <v>Improve condition of existing individual toilets by providing safe sanitation disposal system</v>
      </c>
      <c r="E286" s="6366"/>
      <c r="F286" s="6366"/>
      <c r="G286" s="6366"/>
      <c r="H286" s="6367"/>
      <c r="I286" s="6387" t="str">
        <f t="shared" si="12"/>
        <v>Procure equipments for street sweeping and drain cleaning</v>
      </c>
      <c r="J286" s="6388"/>
      <c r="K286" s="6388"/>
      <c r="L286" s="6388"/>
      <c r="M286" s="6389"/>
      <c r="N286" s="1797"/>
      <c r="T286" s="3881" t="str">
        <f t="shared" si="2"/>
        <v/>
      </c>
      <c r="U286" s="3881" t="str">
        <f t="shared" si="3"/>
        <v/>
      </c>
      <c r="V286" s="3883"/>
      <c r="W286" s="3881" t="str">
        <f t="shared" si="4"/>
        <v/>
      </c>
      <c r="X286" s="3884" t="str">
        <f t="shared" si="5"/>
        <v/>
      </c>
      <c r="Y286" s="3883"/>
      <c r="Z286" s="3884" t="str">
        <f>IFERROR(MATCH(ROW(#REF!)-ROW($I$268)+1,$T$192:$T$200,0),"")</f>
        <v/>
      </c>
      <c r="AA286" s="3884" t="str">
        <f t="shared" si="7"/>
        <v/>
      </c>
    </row>
    <row r="287" spans="2:27" s="1798" customFormat="1" ht="26.25" hidden="1" customHeight="1" x14ac:dyDescent="0.25">
      <c r="B287" s="1796"/>
      <c r="C287" s="6135" t="str">
        <f t="shared" si="9"/>
        <v/>
      </c>
      <c r="D287" s="6365" t="str">
        <f t="shared" si="10"/>
        <v>Improve condition of existing Public toilets</v>
      </c>
      <c r="E287" s="6366"/>
      <c r="F287" s="6366"/>
      <c r="G287" s="6366"/>
      <c r="H287" s="6367"/>
      <c r="I287" s="6387" t="str">
        <f t="shared" si="12"/>
        <v xml:space="preserve">Procure equipments for door to door solid waste collection (collection bins, ghantagaadis, containerised cycle rickshaw, handcarts etc.) </v>
      </c>
      <c r="J287" s="6388"/>
      <c r="K287" s="6388"/>
      <c r="L287" s="6388"/>
      <c r="M287" s="6389"/>
      <c r="N287" s="1797"/>
      <c r="T287" s="3881" t="str">
        <f t="shared" si="2"/>
        <v/>
      </c>
      <c r="U287" s="3881" t="str">
        <f t="shared" si="3"/>
        <v/>
      </c>
      <c r="V287" s="3883"/>
      <c r="W287" s="3881" t="str">
        <f t="shared" si="4"/>
        <v/>
      </c>
      <c r="X287" s="3884" t="str">
        <f t="shared" si="5"/>
        <v/>
      </c>
      <c r="Y287" s="3883"/>
      <c r="Z287" s="3884" t="str">
        <f>IFERROR(MATCH(ROW(#REF!)-ROW($I$268)+1,$T$192:$T$200,0),"")</f>
        <v/>
      </c>
      <c r="AA287" s="3884" t="str">
        <f t="shared" si="7"/>
        <v/>
      </c>
    </row>
    <row r="288" spans="2:27" s="1798" customFormat="1" ht="26.25" hidden="1" customHeight="1" x14ac:dyDescent="0.25">
      <c r="B288" s="1796"/>
      <c r="C288" s="6135" t="str">
        <f t="shared" si="9"/>
        <v/>
      </c>
      <c r="D288" s="6365" t="str">
        <f t="shared" si="10"/>
        <v>Information, education and communication (IEC) campaigns for sanitation awareness</v>
      </c>
      <c r="E288" s="6366"/>
      <c r="F288" s="6366"/>
      <c r="G288" s="6366"/>
      <c r="H288" s="6367"/>
      <c r="I288" s="6387" t="str">
        <f t="shared" si="12"/>
        <v>Information, education and communication (IEC) campaign for awareness of solid waste management</v>
      </c>
      <c r="J288" s="6388"/>
      <c r="K288" s="6388"/>
      <c r="L288" s="6388"/>
      <c r="M288" s="6389"/>
      <c r="N288" s="1797"/>
      <c r="T288" s="3881" t="str">
        <f t="shared" si="2"/>
        <v/>
      </c>
      <c r="U288" s="3881" t="str">
        <f t="shared" si="3"/>
        <v/>
      </c>
      <c r="V288" s="3883"/>
      <c r="W288" s="3881" t="str">
        <f t="shared" si="4"/>
        <v/>
      </c>
      <c r="X288" s="3884" t="str">
        <f t="shared" si="5"/>
        <v/>
      </c>
      <c r="Y288" s="3883"/>
      <c r="Z288" s="3884" t="str">
        <f>IFERROR(MATCH(ROW(#REF!)-ROW($I$268)+1,$T$192:$T$200,0),"")</f>
        <v/>
      </c>
      <c r="AA288" s="3884" t="str">
        <f t="shared" si="7"/>
        <v/>
      </c>
    </row>
    <row r="289" spans="1:27" s="1798" customFormat="1" ht="26.25" hidden="1" customHeight="1" x14ac:dyDescent="0.25">
      <c r="B289" s="1796"/>
      <c r="C289" s="6135" t="str">
        <f t="shared" si="9"/>
        <v/>
      </c>
      <c r="D289" s="6365" t="str">
        <f t="shared" si="10"/>
        <v>Construct new individual toilets</v>
      </c>
      <c r="E289" s="6366"/>
      <c r="F289" s="6366"/>
      <c r="G289" s="6366"/>
      <c r="H289" s="6367"/>
      <c r="I289" s="6387" t="str">
        <f t="shared" si="12"/>
        <v>Engage with private service providers to provide solid waste services</v>
      </c>
      <c r="J289" s="6388"/>
      <c r="K289" s="6388"/>
      <c r="L289" s="6388"/>
      <c r="M289" s="6389"/>
      <c r="N289" s="1797"/>
      <c r="T289" s="3881" t="str">
        <f t="shared" si="2"/>
        <v/>
      </c>
      <c r="U289" s="3881" t="str">
        <f t="shared" si="3"/>
        <v/>
      </c>
      <c r="V289" s="3883"/>
      <c r="W289" s="3881" t="str">
        <f t="shared" si="4"/>
        <v/>
      </c>
      <c r="X289" s="3884" t="str">
        <f t="shared" si="5"/>
        <v/>
      </c>
      <c r="Y289" s="3883"/>
      <c r="Z289" s="3884" t="str">
        <f>IFERROR(MATCH(ROW(#REF!)-ROW($I$268)+1,$T$192:$T$200,0),"")</f>
        <v/>
      </c>
      <c r="AA289" s="3884" t="str">
        <f t="shared" si="7"/>
        <v/>
      </c>
    </row>
    <row r="290" spans="1:27" s="1798" customFormat="1" ht="26.25" hidden="1" customHeight="1" x14ac:dyDescent="0.25">
      <c r="B290" s="1796"/>
      <c r="C290" s="6135" t="str">
        <f t="shared" si="9"/>
        <v/>
      </c>
      <c r="D290" s="6365" t="str">
        <f t="shared" si="10"/>
        <v>Construct new group toilets</v>
      </c>
      <c r="E290" s="6366"/>
      <c r="F290" s="6366"/>
      <c r="G290" s="6366"/>
      <c r="H290" s="6367"/>
      <c r="I290" s="6387" t="str">
        <f t="shared" si="12"/>
        <v>Track movement of solid waste transportation vehicles to achieve optimum operational efficiency</v>
      </c>
      <c r="J290" s="6388"/>
      <c r="K290" s="6388"/>
      <c r="L290" s="6388"/>
      <c r="M290" s="6389"/>
      <c r="N290" s="1797"/>
      <c r="T290" s="3881" t="str">
        <f t="shared" si="2"/>
        <v/>
      </c>
      <c r="U290" s="3881" t="str">
        <f t="shared" si="3"/>
        <v/>
      </c>
      <c r="V290" s="3883"/>
      <c r="W290" s="3881" t="str">
        <f t="shared" si="4"/>
        <v/>
      </c>
      <c r="X290" s="3884" t="str">
        <f t="shared" si="5"/>
        <v/>
      </c>
      <c r="Y290" s="3883"/>
      <c r="Z290" s="3884" t="str">
        <f>IFERROR(MATCH(ROW(#REF!)-ROW($I$268)+1,$T$192:$T$200,0),"")</f>
        <v/>
      </c>
      <c r="AA290" s="3884" t="str">
        <f t="shared" si="7"/>
        <v/>
      </c>
    </row>
    <row r="291" spans="1:27" s="1798" customFormat="1" ht="26.25" hidden="1" customHeight="1" x14ac:dyDescent="0.25">
      <c r="B291" s="1796"/>
      <c r="C291" s="6135" t="str">
        <f t="shared" si="9"/>
        <v/>
      </c>
      <c r="D291" s="6365" t="str">
        <f t="shared" si="10"/>
        <v>Process improvement for new sewerage connection applications</v>
      </c>
      <c r="E291" s="6366"/>
      <c r="F291" s="6366"/>
      <c r="G291" s="6366"/>
      <c r="H291" s="6367"/>
      <c r="I291" s="6387" t="str">
        <f t="shared" si="12"/>
        <v>Improve processes for maintaining daily logs of solid waste across SWM value chain</v>
      </c>
      <c r="J291" s="6388"/>
      <c r="K291" s="6388"/>
      <c r="L291" s="6388"/>
      <c r="M291" s="6389"/>
      <c r="N291" s="1797"/>
      <c r="T291" s="3881" t="str">
        <f t="shared" si="2"/>
        <v/>
      </c>
      <c r="U291" s="3881" t="str">
        <f t="shared" si="3"/>
        <v/>
      </c>
      <c r="V291" s="3883"/>
      <c r="W291" s="3881" t="str">
        <f t="shared" si="4"/>
        <v/>
      </c>
      <c r="X291" s="3884" t="str">
        <f t="shared" si="5"/>
        <v/>
      </c>
      <c r="Y291" s="3883"/>
      <c r="Z291" s="3884" t="str">
        <f>IFERROR(MATCH(ROW(#REF!)-ROW($I$268)+1,$T$192:$T$200,0),"")</f>
        <v/>
      </c>
      <c r="AA291" s="3884" t="str">
        <f t="shared" si="7"/>
        <v/>
      </c>
    </row>
    <row r="292" spans="1:27" s="1798" customFormat="1" ht="24" hidden="1" customHeight="1" x14ac:dyDescent="0.25">
      <c r="B292" s="1796"/>
      <c r="C292" s="6135" t="str">
        <f t="shared" si="9"/>
        <v/>
      </c>
      <c r="D292" s="6365" t="str">
        <f t="shared" si="10"/>
        <v>Improve processes for regular cleaning of drains and sewers</v>
      </c>
      <c r="E292" s="6366"/>
      <c r="F292" s="6366"/>
      <c r="G292" s="6366"/>
      <c r="H292" s="6367"/>
      <c r="I292" s="6387" t="str">
        <f t="shared" si="12"/>
        <v xml:space="preserve">Segregation of collection and transportation of solid waste </v>
      </c>
      <c r="J292" s="6388"/>
      <c r="K292" s="6388"/>
      <c r="L292" s="6388"/>
      <c r="M292" s="6389"/>
      <c r="N292" s="1797"/>
      <c r="T292" s="3881" t="str">
        <f t="shared" si="2"/>
        <v/>
      </c>
      <c r="U292" s="3881" t="str">
        <f t="shared" si="3"/>
        <v/>
      </c>
      <c r="V292" s="3883"/>
      <c r="W292" s="3881" t="str">
        <f t="shared" si="4"/>
        <v/>
      </c>
      <c r="X292" s="3884" t="str">
        <f t="shared" si="5"/>
        <v/>
      </c>
      <c r="Y292" s="3883"/>
      <c r="Z292" s="3884" t="str">
        <f>IFERROR(MATCH(ROW(#REF!)-ROW($I$268)+1,$T$192:$T$200,0),"")</f>
        <v/>
      </c>
      <c r="AA292" s="3884" t="str">
        <f t="shared" si="7"/>
        <v/>
      </c>
    </row>
    <row r="293" spans="1:27" s="1793" customFormat="1" ht="24" hidden="1" customHeight="1" x14ac:dyDescent="0.25">
      <c r="A293" s="1798"/>
      <c r="B293" s="1794"/>
      <c r="C293" s="6138" t="str">
        <f t="shared" si="9"/>
        <v/>
      </c>
      <c r="D293" s="6365" t="str">
        <f t="shared" si="10"/>
        <v>Upgrade open surface drains to closed drains for storm water drainage</v>
      </c>
      <c r="E293" s="6366"/>
      <c r="F293" s="6366"/>
      <c r="G293" s="6366"/>
      <c r="H293" s="6367"/>
      <c r="I293" s="6387" t="str">
        <f t="shared" si="12"/>
        <v>Install litter bins at public places</v>
      </c>
      <c r="J293" s="6388"/>
      <c r="K293" s="6388"/>
      <c r="L293" s="6388"/>
      <c r="M293" s="6389"/>
      <c r="N293" s="1795"/>
      <c r="T293" s="3881" t="str">
        <f t="shared" si="2"/>
        <v/>
      </c>
      <c r="U293" s="3881" t="str">
        <f t="shared" si="3"/>
        <v/>
      </c>
      <c r="V293" s="3882"/>
      <c r="W293" s="3881" t="str">
        <f t="shared" si="4"/>
        <v/>
      </c>
      <c r="X293" s="3881" t="str">
        <f t="shared" si="5"/>
        <v/>
      </c>
      <c r="Y293" s="3882"/>
      <c r="Z293" s="3881" t="str">
        <f>IFERROR(MATCH(ROW(#REF!)-ROW($I$268)+1,$T$192:$T$200,0),"")</f>
        <v/>
      </c>
      <c r="AA293" s="3881" t="str">
        <f t="shared" si="7"/>
        <v/>
      </c>
    </row>
    <row r="294" spans="1:27" s="1793" customFormat="1" ht="24" hidden="1" customHeight="1" x14ac:dyDescent="0.25">
      <c r="A294" s="1798"/>
      <c r="B294" s="1794"/>
      <c r="C294" s="6138" t="str">
        <f t="shared" si="9"/>
        <v/>
      </c>
      <c r="D294" s="6365" t="str">
        <f t="shared" si="10"/>
        <v>Lay new settled sewer for wastewater conveyance</v>
      </c>
      <c r="E294" s="6366"/>
      <c r="F294" s="6366"/>
      <c r="G294" s="6366"/>
      <c r="H294" s="6367"/>
      <c r="I294" s="6387" t="str">
        <f t="shared" si="12"/>
        <v>Repair existing solid waste processing plant</v>
      </c>
      <c r="J294" s="6388"/>
      <c r="K294" s="6388"/>
      <c r="L294" s="6388"/>
      <c r="M294" s="6389"/>
      <c r="N294" s="1795"/>
      <c r="T294" s="3881" t="str">
        <f t="shared" si="2"/>
        <v/>
      </c>
      <c r="U294" s="3881" t="str">
        <f t="shared" si="3"/>
        <v/>
      </c>
      <c r="V294" s="3882"/>
      <c r="W294" s="3881" t="str">
        <f t="shared" si="4"/>
        <v/>
      </c>
      <c r="X294" s="3881" t="str">
        <f t="shared" si="5"/>
        <v/>
      </c>
      <c r="Y294" s="3882"/>
      <c r="Z294" s="3881" t="str">
        <f>IFERROR(MATCH(ROW(#REF!)-ROW($I$268)+1,$T$192:$T$200,0),"")</f>
        <v/>
      </c>
      <c r="AA294" s="3881" t="str">
        <f t="shared" si="7"/>
        <v/>
      </c>
    </row>
    <row r="295" spans="1:27" s="1793" customFormat="1" ht="24" hidden="1" customHeight="1" x14ac:dyDescent="0.25">
      <c r="A295" s="1798"/>
      <c r="B295" s="1794"/>
      <c r="C295" s="6138" t="str">
        <f t="shared" si="9"/>
        <v/>
      </c>
      <c r="D295" s="6365" t="str">
        <f t="shared" si="10"/>
        <v>Procure new suction emptier trucks</v>
      </c>
      <c r="E295" s="6366"/>
      <c r="F295" s="6366"/>
      <c r="G295" s="6366"/>
      <c r="H295" s="6367"/>
      <c r="I295" s="6387" t="str">
        <f t="shared" si="12"/>
        <v>Procure new vehicles for solid waste collection and transportation</v>
      </c>
      <c r="J295" s="6388"/>
      <c r="K295" s="6388"/>
      <c r="L295" s="6388"/>
      <c r="M295" s="6389"/>
      <c r="N295" s="1795"/>
      <c r="T295" s="3881" t="str">
        <f t="shared" si="2"/>
        <v/>
      </c>
      <c r="U295" s="3881" t="str">
        <f t="shared" si="3"/>
        <v/>
      </c>
      <c r="V295" s="3882"/>
      <c r="W295" s="3881" t="str">
        <f t="shared" si="4"/>
        <v/>
      </c>
      <c r="X295" s="3881" t="str">
        <f t="shared" si="5"/>
        <v/>
      </c>
      <c r="Y295" s="3882"/>
      <c r="Z295" s="3881" t="str">
        <f>IFERROR(MATCH(ROW(#REF!)-ROW($I$268)+1,$T$192:$T$200,0),"")</f>
        <v/>
      </c>
      <c r="AA295" s="3881" t="str">
        <f t="shared" si="7"/>
        <v/>
      </c>
    </row>
    <row r="296" spans="1:27" s="1793" customFormat="1" ht="24" hidden="1" customHeight="1" x14ac:dyDescent="0.25">
      <c r="A296" s="1798"/>
      <c r="B296" s="1794"/>
      <c r="C296" s="6138" t="str">
        <f t="shared" si="9"/>
        <v/>
      </c>
      <c r="D296" s="6365" t="str">
        <f t="shared" si="10"/>
        <v>Construct/augment fecal sludge treatment plant</v>
      </c>
      <c r="E296" s="6366"/>
      <c r="F296" s="6366"/>
      <c r="G296" s="6366"/>
      <c r="H296" s="6367"/>
      <c r="I296" s="6387" t="str">
        <f t="shared" si="12"/>
        <v>Construct new solid waste transfer station</v>
      </c>
      <c r="J296" s="6388"/>
      <c r="K296" s="6388"/>
      <c r="L296" s="6388"/>
      <c r="M296" s="6389"/>
      <c r="N296" s="1795"/>
      <c r="T296" s="3881" t="str">
        <f t="shared" si="2"/>
        <v/>
      </c>
      <c r="U296" s="3881" t="str">
        <f t="shared" si="3"/>
        <v/>
      </c>
      <c r="V296" s="3882"/>
      <c r="W296" s="3881" t="str">
        <f t="shared" si="4"/>
        <v/>
      </c>
      <c r="X296" s="3881" t="str">
        <f t="shared" si="5"/>
        <v/>
      </c>
      <c r="Y296" s="3882"/>
      <c r="Z296" s="3881" t="str">
        <f>IFERROR(MATCH(ROW(#REF!)-ROW($I$268)+1,$T$192:$T$200,0),"")</f>
        <v/>
      </c>
      <c r="AA296" s="3881" t="str">
        <f t="shared" si="7"/>
        <v/>
      </c>
    </row>
    <row r="297" spans="1:27" s="1793" customFormat="1" ht="24" hidden="1" customHeight="1" x14ac:dyDescent="0.25">
      <c r="A297" s="1798"/>
      <c r="B297" s="1794"/>
      <c r="C297" s="6138" t="str">
        <f t="shared" si="9"/>
        <v/>
      </c>
      <c r="D297" s="6365" t="str">
        <f t="shared" si="10"/>
        <v xml:space="preserve">Construct/augment treatment plant for effluent and sullage </v>
      </c>
      <c r="E297" s="6366"/>
      <c r="F297" s="6366"/>
      <c r="G297" s="6366"/>
      <c r="H297" s="6367"/>
      <c r="I297" s="6387" t="str">
        <f t="shared" si="12"/>
        <v>Install weigh bridges to quantify solid waste collected and transported</v>
      </c>
      <c r="J297" s="6388"/>
      <c r="K297" s="6388"/>
      <c r="L297" s="6388"/>
      <c r="M297" s="6389"/>
      <c r="N297" s="1795"/>
      <c r="T297" s="3881" t="str">
        <f t="shared" si="2"/>
        <v/>
      </c>
      <c r="U297" s="3881" t="str">
        <f t="shared" si="3"/>
        <v/>
      </c>
      <c r="V297" s="3882"/>
      <c r="W297" s="3881" t="str">
        <f t="shared" si="4"/>
        <v/>
      </c>
      <c r="X297" s="3881" t="str">
        <f t="shared" si="5"/>
        <v/>
      </c>
      <c r="Y297" s="3882"/>
      <c r="Z297" s="3881" t="str">
        <f>IFERROR(MATCH(ROW(#REF!)-ROW($I$268)+1,$T$192:$T$200,0),"")</f>
        <v/>
      </c>
      <c r="AA297" s="3881" t="str">
        <f t="shared" si="7"/>
        <v/>
      </c>
    </row>
    <row r="298" spans="1:27" s="1793" customFormat="1" ht="24" hidden="1" customHeight="1" x14ac:dyDescent="0.25">
      <c r="A298" s="1798"/>
      <c r="B298" s="1794"/>
      <c r="C298" s="6138" t="str">
        <f t="shared" si="9"/>
        <v/>
      </c>
      <c r="D298" s="6365" t="str">
        <f t="shared" si="10"/>
        <v>Construct closed surface drains for storm water drainage</v>
      </c>
      <c r="E298" s="6366"/>
      <c r="F298" s="6366"/>
      <c r="G298" s="6366"/>
      <c r="H298" s="6367"/>
      <c r="I298" s="6387" t="str">
        <f t="shared" si="12"/>
        <v>Construct new solid waste processing plant</v>
      </c>
      <c r="J298" s="6388"/>
      <c r="K298" s="6388"/>
      <c r="L298" s="6388"/>
      <c r="M298" s="6389"/>
      <c r="N298" s="1795"/>
      <c r="T298" s="3881" t="str">
        <f t="shared" si="2"/>
        <v/>
      </c>
      <c r="U298" s="3881" t="str">
        <f t="shared" si="3"/>
        <v/>
      </c>
      <c r="V298" s="3882"/>
      <c r="W298" s="3881" t="str">
        <f t="shared" si="4"/>
        <v/>
      </c>
      <c r="X298" s="3881" t="str">
        <f t="shared" si="5"/>
        <v/>
      </c>
      <c r="Y298" s="3882"/>
      <c r="Z298" s="3881" t="str">
        <f>IFERROR(MATCH(ROW(#REF!)-ROW($I$268)+1,$T$192:$T$200,0),"")</f>
        <v/>
      </c>
      <c r="AA298" s="3881" t="str">
        <f t="shared" si="7"/>
        <v/>
      </c>
    </row>
    <row r="299" spans="1:27" s="1793" customFormat="1" ht="24" hidden="1" customHeight="1" x14ac:dyDescent="0.25">
      <c r="A299" s="1798"/>
      <c r="B299" s="1794"/>
      <c r="C299" s="6138" t="str">
        <f t="shared" si="9"/>
        <v/>
      </c>
      <c r="D299" s="6365" t="str">
        <f t="shared" si="10"/>
        <v/>
      </c>
      <c r="E299" s="6366"/>
      <c r="F299" s="6366"/>
      <c r="G299" s="6366"/>
      <c r="H299" s="6367"/>
      <c r="I299" s="6387" t="str">
        <f t="shared" si="12"/>
        <v>Improve processes for management of consumer complaints</v>
      </c>
      <c r="J299" s="6388"/>
      <c r="K299" s="6388"/>
      <c r="L299" s="6388"/>
      <c r="M299" s="6389"/>
      <c r="N299" s="1795"/>
      <c r="T299" s="3881" t="str">
        <f t="shared" si="2"/>
        <v/>
      </c>
      <c r="U299" s="3881" t="str">
        <f t="shared" si="3"/>
        <v/>
      </c>
      <c r="V299" s="3882"/>
      <c r="W299" s="3881" t="str">
        <f t="shared" si="4"/>
        <v/>
      </c>
      <c r="X299" s="3881" t="str">
        <f t="shared" si="5"/>
        <v/>
      </c>
      <c r="Y299" s="3882"/>
      <c r="Z299" s="3881" t="str">
        <f>IFERROR(MATCH(ROW(#REF!)-ROW($I$268)+1,$T$192:$T$200,0),"")</f>
        <v/>
      </c>
      <c r="AA299" s="3881" t="str">
        <f t="shared" si="7"/>
        <v/>
      </c>
    </row>
    <row r="300" spans="1:27" s="1793" customFormat="1" ht="24" hidden="1" customHeight="1" x14ac:dyDescent="0.25">
      <c r="A300" s="1798"/>
      <c r="B300" s="1794"/>
      <c r="C300" s="6138" t="str">
        <f t="shared" si="9"/>
        <v/>
      </c>
      <c r="D300" s="6365" t="str">
        <f t="shared" si="10"/>
        <v/>
      </c>
      <c r="E300" s="6366"/>
      <c r="F300" s="6366"/>
      <c r="G300" s="6366"/>
      <c r="H300" s="6367"/>
      <c r="I300" s="6387" t="str">
        <f t="shared" si="12"/>
        <v xml:space="preserve">Process to obtain authorisation from concerned authorities and furnish annual report of compliance </v>
      </c>
      <c r="J300" s="6388"/>
      <c r="K300" s="6388"/>
      <c r="L300" s="6388"/>
      <c r="M300" s="6389"/>
      <c r="N300" s="1795"/>
      <c r="T300" s="3881" t="str">
        <f t="shared" ref="T300:T327" si="13">IFERROR(MATCH(ROW(C300)-ROW($C$268)+1,$T$22:$T$31,0),"")</f>
        <v/>
      </c>
      <c r="U300" s="3881" t="str">
        <f t="shared" ref="U300:U327" si="14">IFERROR(MATCH(ROW(C316)-ROW($C$284)+1,$T$39:$T$104,0),"")</f>
        <v/>
      </c>
      <c r="V300" s="3882"/>
      <c r="W300" s="3881" t="str">
        <f t="shared" ref="W300:W327" si="15">IFERROR(MATCH(ROW(D300)-ROW($D$268)+1,$T$111:$T$120,0),"")</f>
        <v/>
      </c>
      <c r="X300" s="3881" t="str">
        <f t="shared" ref="X300:X327" si="16">IFERROR(MATCH(ROW(D316)-ROW($D$284)+1,$T$128:$T$186,0),"")</f>
        <v/>
      </c>
      <c r="Y300" s="3882"/>
      <c r="Z300" s="3881" t="str">
        <f>IFERROR(MATCH(ROW(#REF!)-ROW($I$268)+1,$T$192:$T$200,0),"")</f>
        <v/>
      </c>
      <c r="AA300" s="3881" t="str">
        <f t="shared" si="7"/>
        <v/>
      </c>
    </row>
    <row r="301" spans="1:27" s="1793" customFormat="1" ht="24" hidden="1" customHeight="1" x14ac:dyDescent="0.25">
      <c r="A301" s="1798"/>
      <c r="B301" s="1794"/>
      <c r="C301" s="6138" t="str">
        <f t="shared" si="9"/>
        <v/>
      </c>
      <c r="D301" s="6365" t="str">
        <f t="shared" si="10"/>
        <v/>
      </c>
      <c r="E301" s="6366"/>
      <c r="F301" s="6366"/>
      <c r="G301" s="6366"/>
      <c r="H301" s="6367"/>
      <c r="I301" s="6387" t="str">
        <f t="shared" si="12"/>
        <v>Improve consumer grievance redressal system</v>
      </c>
      <c r="J301" s="6388"/>
      <c r="K301" s="6388"/>
      <c r="L301" s="6388"/>
      <c r="M301" s="6389"/>
      <c r="N301" s="1795"/>
      <c r="T301" s="3881" t="str">
        <f t="shared" si="13"/>
        <v/>
      </c>
      <c r="U301" s="3881" t="str">
        <f t="shared" si="14"/>
        <v/>
      </c>
      <c r="V301" s="3882"/>
      <c r="W301" s="3881" t="str">
        <f t="shared" si="15"/>
        <v/>
      </c>
      <c r="X301" s="3881" t="str">
        <f t="shared" si="16"/>
        <v/>
      </c>
      <c r="Y301" s="3882"/>
      <c r="Z301" s="3881" t="str">
        <f>IFERROR(MATCH(ROW(#REF!)-ROW($I$268)+1,$T$192:$T$200,0),"")</f>
        <v/>
      </c>
      <c r="AA301" s="3881" t="str">
        <f t="shared" si="7"/>
        <v/>
      </c>
    </row>
    <row r="302" spans="1:27" s="1793" customFormat="1" ht="24" hidden="1" customHeight="1" x14ac:dyDescent="0.25">
      <c r="A302" s="1798"/>
      <c r="B302" s="1794"/>
      <c r="C302" s="6138" t="str">
        <f t="shared" si="9"/>
        <v/>
      </c>
      <c r="D302" s="6365" t="str">
        <f t="shared" si="10"/>
        <v/>
      </c>
      <c r="E302" s="6366"/>
      <c r="F302" s="6366"/>
      <c r="G302" s="6366"/>
      <c r="H302" s="6367"/>
      <c r="I302" s="6387" t="str">
        <f t="shared" si="12"/>
        <v/>
      </c>
      <c r="J302" s="6388"/>
      <c r="K302" s="6388"/>
      <c r="L302" s="6388"/>
      <c r="M302" s="6389"/>
      <c r="N302" s="1795"/>
      <c r="T302" s="3881" t="str">
        <f t="shared" si="13"/>
        <v/>
      </c>
      <c r="U302" s="3881" t="str">
        <f t="shared" si="14"/>
        <v/>
      </c>
      <c r="V302" s="3882"/>
      <c r="W302" s="3881" t="str">
        <f t="shared" si="15"/>
        <v/>
      </c>
      <c r="X302" s="3881" t="str">
        <f t="shared" si="16"/>
        <v/>
      </c>
      <c r="Y302" s="3882"/>
      <c r="Z302" s="3881" t="str">
        <f>IFERROR(MATCH(ROW(#REF!)-ROW($I$268)+1,$T$192:$T$200,0),"")</f>
        <v/>
      </c>
      <c r="AA302" s="3881" t="str">
        <f t="shared" si="7"/>
        <v/>
      </c>
    </row>
    <row r="303" spans="1:27" s="1793" customFormat="1" ht="24" hidden="1" customHeight="1" x14ac:dyDescent="0.25">
      <c r="A303" s="1798"/>
      <c r="B303" s="1794"/>
      <c r="C303" s="6138" t="str">
        <f t="shared" si="9"/>
        <v/>
      </c>
      <c r="D303" s="6365" t="str">
        <f t="shared" si="10"/>
        <v/>
      </c>
      <c r="E303" s="6366"/>
      <c r="F303" s="6366"/>
      <c r="G303" s="6366"/>
      <c r="H303" s="6367"/>
      <c r="I303" s="6387" t="str">
        <f t="shared" si="12"/>
        <v/>
      </c>
      <c r="J303" s="6388"/>
      <c r="K303" s="6388"/>
      <c r="L303" s="6388"/>
      <c r="M303" s="6389"/>
      <c r="N303" s="1795"/>
      <c r="T303" s="3881" t="str">
        <f t="shared" si="13"/>
        <v/>
      </c>
      <c r="U303" s="3881" t="str">
        <f t="shared" si="14"/>
        <v/>
      </c>
      <c r="V303" s="3882"/>
      <c r="W303" s="3881" t="str">
        <f t="shared" si="15"/>
        <v/>
      </c>
      <c r="X303" s="3881" t="str">
        <f t="shared" si="16"/>
        <v/>
      </c>
      <c r="Y303" s="3882"/>
      <c r="Z303" s="3881" t="str">
        <f>IFERROR(MATCH(ROW(#REF!)-ROW($I$268)+1,$T$192:$T$200,0),"")</f>
        <v/>
      </c>
      <c r="AA303" s="3881" t="str">
        <f t="shared" si="7"/>
        <v/>
      </c>
    </row>
    <row r="304" spans="1:27" s="1793" customFormat="1" ht="24" hidden="1" customHeight="1" x14ac:dyDescent="0.25">
      <c r="A304" s="1798"/>
      <c r="B304" s="1794"/>
      <c r="C304" s="6138" t="str">
        <f t="shared" si="9"/>
        <v/>
      </c>
      <c r="D304" s="6365" t="str">
        <f t="shared" si="10"/>
        <v/>
      </c>
      <c r="E304" s="6366"/>
      <c r="F304" s="6366"/>
      <c r="G304" s="6366"/>
      <c r="H304" s="6367"/>
      <c r="I304" s="6387" t="str">
        <f t="shared" si="12"/>
        <v/>
      </c>
      <c r="J304" s="6388"/>
      <c r="K304" s="6388"/>
      <c r="L304" s="6388"/>
      <c r="M304" s="6389"/>
      <c r="N304" s="1795"/>
      <c r="T304" s="3881" t="str">
        <f t="shared" si="13"/>
        <v/>
      </c>
      <c r="U304" s="3881" t="str">
        <f t="shared" si="14"/>
        <v/>
      </c>
      <c r="V304" s="3882"/>
      <c r="W304" s="3881" t="str">
        <f t="shared" si="15"/>
        <v/>
      </c>
      <c r="X304" s="3881" t="str">
        <f t="shared" si="16"/>
        <v/>
      </c>
      <c r="Y304" s="3882"/>
      <c r="Z304" s="3881" t="str">
        <f>IFERROR(MATCH(ROW(#REF!)-ROW($I$268)+1,$T$192:$T$200,0),"")</f>
        <v/>
      </c>
      <c r="AA304" s="3881" t="str">
        <f t="shared" si="7"/>
        <v/>
      </c>
    </row>
    <row r="305" spans="1:27" s="1793" customFormat="1" ht="24" hidden="1" customHeight="1" x14ac:dyDescent="0.25">
      <c r="A305" s="1798"/>
      <c r="B305" s="1794"/>
      <c r="C305" s="6138" t="str">
        <f t="shared" si="9"/>
        <v/>
      </c>
      <c r="D305" s="6365" t="str">
        <f t="shared" si="10"/>
        <v/>
      </c>
      <c r="E305" s="6366"/>
      <c r="F305" s="6366"/>
      <c r="G305" s="6366"/>
      <c r="H305" s="6367"/>
      <c r="I305" s="6387" t="str">
        <f t="shared" si="12"/>
        <v/>
      </c>
      <c r="J305" s="6388"/>
      <c r="K305" s="6388"/>
      <c r="L305" s="6388"/>
      <c r="M305" s="6389"/>
      <c r="N305" s="1795"/>
      <c r="T305" s="3881" t="str">
        <f t="shared" si="13"/>
        <v/>
      </c>
      <c r="U305" s="3881" t="str">
        <f t="shared" si="14"/>
        <v/>
      </c>
      <c r="V305" s="3882"/>
      <c r="W305" s="3881" t="str">
        <f t="shared" si="15"/>
        <v/>
      </c>
      <c r="X305" s="3881" t="str">
        <f t="shared" si="16"/>
        <v/>
      </c>
      <c r="Y305" s="3882"/>
      <c r="Z305" s="3881" t="str">
        <f>IFERROR(MATCH(ROW(#REF!)-ROW($I$268)+1,$T$192:$T$200,0),"")</f>
        <v/>
      </c>
      <c r="AA305" s="3881" t="str">
        <f t="shared" si="7"/>
        <v/>
      </c>
    </row>
    <row r="306" spans="1:27" s="1793" customFormat="1" ht="24" hidden="1" customHeight="1" x14ac:dyDescent="0.25">
      <c r="A306" s="1798"/>
      <c r="B306" s="1794"/>
      <c r="C306" s="6138" t="str">
        <f t="shared" si="9"/>
        <v/>
      </c>
      <c r="D306" s="6365" t="str">
        <f t="shared" si="10"/>
        <v/>
      </c>
      <c r="E306" s="6366"/>
      <c r="F306" s="6366"/>
      <c r="G306" s="6366"/>
      <c r="H306" s="6367"/>
      <c r="I306" s="6387" t="str">
        <f t="shared" si="12"/>
        <v/>
      </c>
      <c r="J306" s="6388"/>
      <c r="K306" s="6388"/>
      <c r="L306" s="6388"/>
      <c r="M306" s="6389"/>
      <c r="N306" s="1795"/>
      <c r="T306" s="3881" t="str">
        <f t="shared" si="13"/>
        <v/>
      </c>
      <c r="U306" s="3881" t="str">
        <f t="shared" si="14"/>
        <v/>
      </c>
      <c r="V306" s="3882"/>
      <c r="W306" s="3881" t="str">
        <f t="shared" si="15"/>
        <v/>
      </c>
      <c r="X306" s="3881" t="str">
        <f t="shared" si="16"/>
        <v/>
      </c>
      <c r="Y306" s="3882"/>
      <c r="Z306" s="3881" t="str">
        <f>IFERROR(MATCH(ROW(#REF!)-ROW($I$268)+1,$T$192:$T$200,0),"")</f>
        <v/>
      </c>
      <c r="AA306" s="3881" t="str">
        <f t="shared" si="7"/>
        <v/>
      </c>
    </row>
    <row r="307" spans="1:27" s="1793" customFormat="1" ht="24" hidden="1" customHeight="1" x14ac:dyDescent="0.25">
      <c r="A307" s="1798"/>
      <c r="B307" s="1794"/>
      <c r="C307" s="6138" t="str">
        <f t="shared" si="9"/>
        <v/>
      </c>
      <c r="D307" s="6365" t="str">
        <f t="shared" si="10"/>
        <v/>
      </c>
      <c r="E307" s="6366"/>
      <c r="F307" s="6366"/>
      <c r="G307" s="6366"/>
      <c r="H307" s="6367"/>
      <c r="I307" s="6387" t="str">
        <f t="shared" si="12"/>
        <v/>
      </c>
      <c r="J307" s="6388"/>
      <c r="K307" s="6388"/>
      <c r="L307" s="6388"/>
      <c r="M307" s="6389"/>
      <c r="N307" s="1795"/>
      <c r="T307" s="3881" t="str">
        <f t="shared" si="13"/>
        <v/>
      </c>
      <c r="U307" s="3881" t="str">
        <f t="shared" si="14"/>
        <v/>
      </c>
      <c r="V307" s="3882"/>
      <c r="W307" s="3881" t="str">
        <f t="shared" si="15"/>
        <v/>
      </c>
      <c r="X307" s="3881" t="str">
        <f t="shared" si="16"/>
        <v/>
      </c>
      <c r="Y307" s="3882"/>
      <c r="Z307" s="3881" t="str">
        <f>IFERROR(MATCH(ROW(#REF!)-ROW($I$268)+1,$T$192:$T$200,0),"")</f>
        <v/>
      </c>
      <c r="AA307" s="3881" t="str">
        <f t="shared" si="7"/>
        <v/>
      </c>
    </row>
    <row r="308" spans="1:27" s="1793" customFormat="1" ht="24" hidden="1" customHeight="1" x14ac:dyDescent="0.25">
      <c r="A308" s="1798"/>
      <c r="B308" s="1794"/>
      <c r="C308" s="6138" t="str">
        <f t="shared" si="9"/>
        <v/>
      </c>
      <c r="D308" s="6365" t="str">
        <f t="shared" si="10"/>
        <v/>
      </c>
      <c r="E308" s="6366"/>
      <c r="F308" s="6366"/>
      <c r="G308" s="6366"/>
      <c r="H308" s="6367"/>
      <c r="I308" s="6387" t="str">
        <f t="shared" si="12"/>
        <v/>
      </c>
      <c r="J308" s="6388"/>
      <c r="K308" s="6388"/>
      <c r="L308" s="6388"/>
      <c r="M308" s="6389"/>
      <c r="N308" s="1795"/>
      <c r="T308" s="3881" t="str">
        <f t="shared" si="13"/>
        <v/>
      </c>
      <c r="U308" s="3881" t="str">
        <f t="shared" si="14"/>
        <v/>
      </c>
      <c r="V308" s="3882"/>
      <c r="W308" s="3881" t="str">
        <f t="shared" si="15"/>
        <v/>
      </c>
      <c r="X308" s="3881" t="str">
        <f t="shared" si="16"/>
        <v/>
      </c>
      <c r="Y308" s="3882"/>
      <c r="Z308" s="3881" t="str">
        <f>IFERROR(MATCH(ROW(#REF!)-ROW($I$268)+1,$T$192:$T$200,0),"")</f>
        <v/>
      </c>
      <c r="AA308" s="3881" t="str">
        <f t="shared" si="7"/>
        <v/>
      </c>
    </row>
    <row r="309" spans="1:27" s="1801" customFormat="1" ht="24" hidden="1" customHeight="1" x14ac:dyDescent="0.25">
      <c r="A309" s="1798"/>
      <c r="B309" s="1799"/>
      <c r="C309" s="6138" t="str">
        <f t="shared" si="9"/>
        <v/>
      </c>
      <c r="D309" s="6365" t="str">
        <f t="shared" si="10"/>
        <v/>
      </c>
      <c r="E309" s="6366"/>
      <c r="F309" s="6366"/>
      <c r="G309" s="6366"/>
      <c r="H309" s="6367"/>
      <c r="I309" s="6387" t="str">
        <f t="shared" si="12"/>
        <v/>
      </c>
      <c r="J309" s="6388"/>
      <c r="K309" s="6388"/>
      <c r="L309" s="6388"/>
      <c r="M309" s="6389"/>
      <c r="N309" s="1800"/>
      <c r="T309" s="3881" t="str">
        <f t="shared" si="13"/>
        <v/>
      </c>
      <c r="U309" s="3881" t="str">
        <f t="shared" si="14"/>
        <v/>
      </c>
      <c r="V309" s="3735"/>
      <c r="W309" s="3881" t="str">
        <f t="shared" si="15"/>
        <v/>
      </c>
      <c r="X309" s="3881" t="str">
        <f t="shared" si="16"/>
        <v/>
      </c>
      <c r="Y309" s="3735"/>
      <c r="Z309" s="3881" t="str">
        <f>IFERROR(MATCH(ROW(#REF!)-ROW($I$268)+1,$T$192:$T$200,0),"")</f>
        <v/>
      </c>
      <c r="AA309" s="3881" t="str">
        <f t="shared" si="7"/>
        <v/>
      </c>
    </row>
    <row r="310" spans="1:27" s="1801" customFormat="1" ht="24" hidden="1" customHeight="1" x14ac:dyDescent="0.25">
      <c r="A310" s="1798"/>
      <c r="B310" s="1799"/>
      <c r="C310" s="6138" t="str">
        <f t="shared" si="9"/>
        <v/>
      </c>
      <c r="D310" s="6365" t="str">
        <f t="shared" si="10"/>
        <v/>
      </c>
      <c r="E310" s="6366"/>
      <c r="F310" s="6366"/>
      <c r="G310" s="6366"/>
      <c r="H310" s="6367"/>
      <c r="I310" s="6387" t="str">
        <f t="shared" si="12"/>
        <v/>
      </c>
      <c r="J310" s="6388"/>
      <c r="K310" s="6388"/>
      <c r="L310" s="6388"/>
      <c r="M310" s="6389"/>
      <c r="N310" s="1800"/>
      <c r="T310" s="3881" t="str">
        <f t="shared" si="13"/>
        <v/>
      </c>
      <c r="U310" s="3881" t="str">
        <f t="shared" si="14"/>
        <v/>
      </c>
      <c r="V310" s="3735"/>
      <c r="W310" s="3881" t="str">
        <f t="shared" si="15"/>
        <v/>
      </c>
      <c r="X310" s="3881" t="str">
        <f t="shared" si="16"/>
        <v/>
      </c>
      <c r="Y310" s="3735"/>
      <c r="Z310" s="3881" t="str">
        <f>IFERROR(MATCH(ROW(#REF!)-ROW($I$268)+1,$T$192:$T$200,0),"")</f>
        <v/>
      </c>
      <c r="AA310" s="3881" t="str">
        <f t="shared" si="7"/>
        <v/>
      </c>
    </row>
    <row r="311" spans="1:27" s="1801" customFormat="1" ht="24" hidden="1" customHeight="1" x14ac:dyDescent="0.25">
      <c r="A311" s="1798"/>
      <c r="B311" s="1799"/>
      <c r="C311" s="6138" t="str">
        <f t="shared" si="9"/>
        <v/>
      </c>
      <c r="D311" s="6365" t="str">
        <f t="shared" si="10"/>
        <v/>
      </c>
      <c r="E311" s="6366"/>
      <c r="F311" s="6366"/>
      <c r="G311" s="6366"/>
      <c r="H311" s="6367"/>
      <c r="I311" s="6387" t="str">
        <f t="shared" si="12"/>
        <v/>
      </c>
      <c r="J311" s="6388"/>
      <c r="K311" s="6388"/>
      <c r="L311" s="6388"/>
      <c r="M311" s="6389"/>
      <c r="N311" s="1800"/>
      <c r="T311" s="3881" t="str">
        <f t="shared" si="13"/>
        <v/>
      </c>
      <c r="U311" s="3881" t="str">
        <f t="shared" si="14"/>
        <v/>
      </c>
      <c r="V311" s="3735"/>
      <c r="W311" s="3881" t="str">
        <f t="shared" si="15"/>
        <v/>
      </c>
      <c r="X311" s="3881" t="str">
        <f t="shared" si="16"/>
        <v/>
      </c>
      <c r="Y311" s="3735"/>
      <c r="Z311" s="3881" t="str">
        <f>IFERROR(MATCH(ROW(#REF!)-ROW($I$268)+1,$T$192:$T$200,0),"")</f>
        <v/>
      </c>
      <c r="AA311" s="3881" t="str">
        <f t="shared" si="7"/>
        <v/>
      </c>
    </row>
    <row r="312" spans="1:27" s="1801" customFormat="1" ht="24" hidden="1" customHeight="1" x14ac:dyDescent="0.25">
      <c r="A312" s="1798"/>
      <c r="B312" s="1799"/>
      <c r="C312" s="6138" t="str">
        <f t="shared" si="9"/>
        <v/>
      </c>
      <c r="D312" s="6365" t="str">
        <f t="shared" si="10"/>
        <v/>
      </c>
      <c r="E312" s="6366"/>
      <c r="F312" s="6366"/>
      <c r="G312" s="6366"/>
      <c r="H312" s="6367"/>
      <c r="I312" s="6387" t="str">
        <f t="shared" si="12"/>
        <v/>
      </c>
      <c r="J312" s="6388"/>
      <c r="K312" s="6388"/>
      <c r="L312" s="6388"/>
      <c r="M312" s="6389"/>
      <c r="N312" s="1800"/>
      <c r="T312" s="3881" t="str">
        <f t="shared" si="13"/>
        <v/>
      </c>
      <c r="U312" s="3881" t="str">
        <f t="shared" si="14"/>
        <v/>
      </c>
      <c r="V312" s="3735"/>
      <c r="W312" s="3881" t="str">
        <f t="shared" si="15"/>
        <v/>
      </c>
      <c r="X312" s="3881" t="str">
        <f t="shared" si="16"/>
        <v/>
      </c>
      <c r="Y312" s="3735"/>
      <c r="Z312" s="3881" t="str">
        <f>IFERROR(MATCH(ROW(#REF!)-ROW($I$268)+1,$T$192:$T$200,0),"")</f>
        <v/>
      </c>
      <c r="AA312" s="3881" t="str">
        <f t="shared" ref="AA312:AA327" si="17">IFERROR(MATCH(ROW(I328)-ROW($I$284)+1,$T$209:$T$261,0),"")</f>
        <v/>
      </c>
    </row>
    <row r="313" spans="1:27" s="1801" customFormat="1" ht="24" hidden="1" customHeight="1" x14ac:dyDescent="0.25">
      <c r="A313" s="1798"/>
      <c r="B313" s="1799"/>
      <c r="C313" s="6138" t="str">
        <f t="shared" si="9"/>
        <v/>
      </c>
      <c r="D313" s="6365" t="str">
        <f t="shared" si="10"/>
        <v/>
      </c>
      <c r="E313" s="6366"/>
      <c r="F313" s="6366"/>
      <c r="G313" s="6366"/>
      <c r="H313" s="6367"/>
      <c r="I313" s="6387" t="str">
        <f t="shared" si="12"/>
        <v/>
      </c>
      <c r="J313" s="6388"/>
      <c r="K313" s="6388"/>
      <c r="L313" s="6388"/>
      <c r="M313" s="6389"/>
      <c r="N313" s="1800"/>
      <c r="T313" s="3881" t="str">
        <f t="shared" si="13"/>
        <v/>
      </c>
      <c r="U313" s="3881" t="str">
        <f t="shared" si="14"/>
        <v/>
      </c>
      <c r="V313" s="3735"/>
      <c r="W313" s="3881" t="str">
        <f t="shared" si="15"/>
        <v/>
      </c>
      <c r="X313" s="3881" t="str">
        <f t="shared" si="16"/>
        <v/>
      </c>
      <c r="Y313" s="3735"/>
      <c r="Z313" s="3881" t="str">
        <f>IFERROR(MATCH(ROW(#REF!)-ROW($I$268)+1,$T$192:$T$200,0),"")</f>
        <v/>
      </c>
      <c r="AA313" s="3881" t="str">
        <f t="shared" si="17"/>
        <v/>
      </c>
    </row>
    <row r="314" spans="1:27" s="1801" customFormat="1" ht="24" hidden="1" customHeight="1" x14ac:dyDescent="0.25">
      <c r="A314" s="1798"/>
      <c r="B314" s="1799"/>
      <c r="C314" s="6138" t="str">
        <f t="shared" si="9"/>
        <v/>
      </c>
      <c r="D314" s="6365" t="str">
        <f t="shared" si="10"/>
        <v/>
      </c>
      <c r="E314" s="6366"/>
      <c r="F314" s="6366"/>
      <c r="G314" s="6366"/>
      <c r="H314" s="6367"/>
      <c r="I314" s="6387" t="str">
        <f t="shared" si="12"/>
        <v/>
      </c>
      <c r="J314" s="6388"/>
      <c r="K314" s="6388"/>
      <c r="L314" s="6388"/>
      <c r="M314" s="6389"/>
      <c r="N314" s="1800"/>
      <c r="T314" s="3881" t="str">
        <f t="shared" si="13"/>
        <v/>
      </c>
      <c r="U314" s="3881" t="str">
        <f t="shared" si="14"/>
        <v/>
      </c>
      <c r="V314" s="3735"/>
      <c r="W314" s="3881" t="str">
        <f t="shared" si="15"/>
        <v/>
      </c>
      <c r="X314" s="3881" t="str">
        <f t="shared" si="16"/>
        <v/>
      </c>
      <c r="Y314" s="3735"/>
      <c r="Z314" s="3881" t="str">
        <f>IFERROR(MATCH(ROW(#REF!)-ROW($I$268)+1,$T$192:$T$200,0),"")</f>
        <v/>
      </c>
      <c r="AA314" s="3881" t="str">
        <f t="shared" si="17"/>
        <v/>
      </c>
    </row>
    <row r="315" spans="1:27" s="1801" customFormat="1" ht="24" hidden="1" customHeight="1" x14ac:dyDescent="0.25">
      <c r="A315" s="1798"/>
      <c r="B315" s="1799"/>
      <c r="C315" s="6138" t="str">
        <f t="shared" si="9"/>
        <v/>
      </c>
      <c r="D315" s="6365" t="str">
        <f t="shared" si="10"/>
        <v/>
      </c>
      <c r="E315" s="6366"/>
      <c r="F315" s="6366"/>
      <c r="G315" s="6366"/>
      <c r="H315" s="6367"/>
      <c r="I315" s="6387" t="str">
        <f t="shared" si="12"/>
        <v/>
      </c>
      <c r="J315" s="6388"/>
      <c r="K315" s="6388"/>
      <c r="L315" s="6388"/>
      <c r="M315" s="6389"/>
      <c r="N315" s="1800"/>
      <c r="T315" s="3881" t="str">
        <f t="shared" si="13"/>
        <v/>
      </c>
      <c r="U315" s="3881" t="str">
        <f t="shared" si="14"/>
        <v/>
      </c>
      <c r="V315" s="3735"/>
      <c r="W315" s="3881" t="str">
        <f t="shared" si="15"/>
        <v/>
      </c>
      <c r="X315" s="3881" t="str">
        <f t="shared" si="16"/>
        <v/>
      </c>
      <c r="Y315" s="3735"/>
      <c r="Z315" s="3881" t="str">
        <f>IFERROR(MATCH(ROW(#REF!)-ROW($I$268)+1,$T$192:$T$200,0),"")</f>
        <v/>
      </c>
      <c r="AA315" s="3881" t="str">
        <f t="shared" si="17"/>
        <v/>
      </c>
    </row>
    <row r="316" spans="1:27" s="1801" customFormat="1" ht="24" hidden="1" customHeight="1" x14ac:dyDescent="0.25">
      <c r="A316" s="1798"/>
      <c r="B316" s="1799"/>
      <c r="C316" s="6138" t="str">
        <f t="shared" si="9"/>
        <v/>
      </c>
      <c r="D316" s="6365" t="str">
        <f t="shared" si="10"/>
        <v/>
      </c>
      <c r="E316" s="6366"/>
      <c r="F316" s="6366"/>
      <c r="G316" s="6366"/>
      <c r="H316" s="6367"/>
      <c r="I316" s="6387" t="str">
        <f t="shared" si="12"/>
        <v/>
      </c>
      <c r="J316" s="6388"/>
      <c r="K316" s="6388"/>
      <c r="L316" s="6388"/>
      <c r="M316" s="6389"/>
      <c r="N316" s="1800"/>
      <c r="T316" s="3881" t="str">
        <f t="shared" si="13"/>
        <v/>
      </c>
      <c r="U316" s="3881" t="str">
        <f t="shared" si="14"/>
        <v/>
      </c>
      <c r="V316" s="3735"/>
      <c r="W316" s="3881" t="str">
        <f t="shared" si="15"/>
        <v/>
      </c>
      <c r="X316" s="3881" t="str">
        <f t="shared" si="16"/>
        <v/>
      </c>
      <c r="Y316" s="3735"/>
      <c r="Z316" s="3881" t="str">
        <f>IFERROR(MATCH(ROW(#REF!)-ROW($I$268)+1,$T$192:$T$200,0),"")</f>
        <v/>
      </c>
      <c r="AA316" s="3881" t="str">
        <f t="shared" si="17"/>
        <v/>
      </c>
    </row>
    <row r="317" spans="1:27" s="1801" customFormat="1" ht="24" hidden="1" customHeight="1" x14ac:dyDescent="0.25">
      <c r="A317" s="1798"/>
      <c r="B317" s="1799"/>
      <c r="C317" s="6138" t="str">
        <f t="shared" si="9"/>
        <v/>
      </c>
      <c r="D317" s="6365" t="str">
        <f t="shared" si="10"/>
        <v/>
      </c>
      <c r="E317" s="6366"/>
      <c r="F317" s="6366"/>
      <c r="G317" s="6366"/>
      <c r="H317" s="6367"/>
      <c r="I317" s="6387" t="str">
        <f t="shared" si="12"/>
        <v/>
      </c>
      <c r="J317" s="6388"/>
      <c r="K317" s="6388"/>
      <c r="L317" s="6388"/>
      <c r="M317" s="6389"/>
      <c r="N317" s="1800"/>
      <c r="T317" s="3881" t="str">
        <f t="shared" si="13"/>
        <v/>
      </c>
      <c r="U317" s="3881" t="str">
        <f t="shared" si="14"/>
        <v/>
      </c>
      <c r="V317" s="3735"/>
      <c r="W317" s="3881" t="str">
        <f t="shared" si="15"/>
        <v/>
      </c>
      <c r="X317" s="3881" t="str">
        <f t="shared" si="16"/>
        <v/>
      </c>
      <c r="Y317" s="3735"/>
      <c r="Z317" s="3881" t="str">
        <f>IFERROR(MATCH(ROW(#REF!)-ROW($I$268)+1,$T$192:$T$200,0),"")</f>
        <v/>
      </c>
      <c r="AA317" s="3881" t="str">
        <f t="shared" si="17"/>
        <v/>
      </c>
    </row>
    <row r="318" spans="1:27" s="1801" customFormat="1" ht="24" hidden="1" customHeight="1" x14ac:dyDescent="0.25">
      <c r="A318" s="1798"/>
      <c r="B318" s="1799"/>
      <c r="C318" s="6138" t="str">
        <f t="shared" si="9"/>
        <v/>
      </c>
      <c r="D318" s="6365" t="str">
        <f t="shared" si="10"/>
        <v/>
      </c>
      <c r="E318" s="6366"/>
      <c r="F318" s="6366"/>
      <c r="G318" s="6366"/>
      <c r="H318" s="6367"/>
      <c r="I318" s="6387" t="str">
        <f t="shared" si="12"/>
        <v/>
      </c>
      <c r="J318" s="6388"/>
      <c r="K318" s="6388"/>
      <c r="L318" s="6388"/>
      <c r="M318" s="6389"/>
      <c r="N318" s="1800"/>
      <c r="T318" s="3881" t="str">
        <f t="shared" si="13"/>
        <v/>
      </c>
      <c r="U318" s="3881" t="str">
        <f t="shared" si="14"/>
        <v/>
      </c>
      <c r="V318" s="3735"/>
      <c r="W318" s="3881" t="str">
        <f t="shared" si="15"/>
        <v/>
      </c>
      <c r="X318" s="3881" t="str">
        <f t="shared" si="16"/>
        <v/>
      </c>
      <c r="Y318" s="3735"/>
      <c r="Z318" s="3881" t="str">
        <f>IFERROR(MATCH(ROW(#REF!)-ROW($I$268)+1,$T$192:$T$200,0),"")</f>
        <v/>
      </c>
      <c r="AA318" s="3881" t="str">
        <f t="shared" si="17"/>
        <v/>
      </c>
    </row>
    <row r="319" spans="1:27" s="1801" customFormat="1" ht="24" hidden="1" customHeight="1" x14ac:dyDescent="0.25">
      <c r="A319" s="1798"/>
      <c r="B319" s="1799"/>
      <c r="C319" s="6138" t="str">
        <f t="shared" si="9"/>
        <v/>
      </c>
      <c r="D319" s="6365" t="str">
        <f t="shared" si="10"/>
        <v/>
      </c>
      <c r="E319" s="6366"/>
      <c r="F319" s="6366"/>
      <c r="G319" s="6366"/>
      <c r="H319" s="6367"/>
      <c r="I319" s="6387" t="str">
        <f t="shared" si="12"/>
        <v/>
      </c>
      <c r="J319" s="6388"/>
      <c r="K319" s="6388"/>
      <c r="L319" s="6388"/>
      <c r="M319" s="6389"/>
      <c r="N319" s="1800"/>
      <c r="T319" s="3881" t="str">
        <f t="shared" si="13"/>
        <v/>
      </c>
      <c r="U319" s="3881" t="str">
        <f t="shared" si="14"/>
        <v/>
      </c>
      <c r="V319" s="3735"/>
      <c r="W319" s="3881" t="str">
        <f t="shared" si="15"/>
        <v/>
      </c>
      <c r="X319" s="3881" t="str">
        <f t="shared" si="16"/>
        <v/>
      </c>
      <c r="Y319" s="3735"/>
      <c r="Z319" s="3881" t="str">
        <f>IFERROR(MATCH(ROW(#REF!)-ROW($I$268)+1,$T$192:$T$200,0),"")</f>
        <v/>
      </c>
      <c r="AA319" s="3881" t="str">
        <f t="shared" si="17"/>
        <v/>
      </c>
    </row>
    <row r="320" spans="1:27" s="1801" customFormat="1" ht="24" hidden="1" customHeight="1" x14ac:dyDescent="0.25">
      <c r="A320" s="1798"/>
      <c r="B320" s="1799"/>
      <c r="C320" s="6138" t="str">
        <f t="shared" si="9"/>
        <v/>
      </c>
      <c r="D320" s="6365" t="str">
        <f t="shared" si="10"/>
        <v/>
      </c>
      <c r="E320" s="6366"/>
      <c r="F320" s="6366"/>
      <c r="G320" s="6366"/>
      <c r="H320" s="6367"/>
      <c r="I320" s="6387" t="str">
        <f t="shared" si="12"/>
        <v/>
      </c>
      <c r="J320" s="6388"/>
      <c r="K320" s="6388"/>
      <c r="L320" s="6388"/>
      <c r="M320" s="6389"/>
      <c r="N320" s="1800"/>
      <c r="T320" s="3881" t="str">
        <f t="shared" si="13"/>
        <v/>
      </c>
      <c r="U320" s="3881" t="str">
        <f t="shared" si="14"/>
        <v/>
      </c>
      <c r="V320" s="3735"/>
      <c r="W320" s="3881" t="str">
        <f t="shared" si="15"/>
        <v/>
      </c>
      <c r="X320" s="3881" t="str">
        <f t="shared" si="16"/>
        <v/>
      </c>
      <c r="Y320" s="3735"/>
      <c r="Z320" s="3881" t="str">
        <f>IFERROR(MATCH(ROW(#REF!)-ROW($I$268)+1,$T$192:$T$200,0),"")</f>
        <v/>
      </c>
      <c r="AA320" s="3881" t="str">
        <f t="shared" si="17"/>
        <v/>
      </c>
    </row>
    <row r="321" spans="1:27" s="1801" customFormat="1" ht="24" hidden="1" customHeight="1" x14ac:dyDescent="0.25">
      <c r="A321" s="1798"/>
      <c r="B321" s="1799"/>
      <c r="C321" s="6138" t="str">
        <f t="shared" si="9"/>
        <v/>
      </c>
      <c r="D321" s="6365" t="str">
        <f t="shared" si="10"/>
        <v/>
      </c>
      <c r="E321" s="6366"/>
      <c r="F321" s="6366"/>
      <c r="G321" s="6366"/>
      <c r="H321" s="6367"/>
      <c r="I321" s="6387" t="str">
        <f t="shared" si="12"/>
        <v/>
      </c>
      <c r="J321" s="6388"/>
      <c r="K321" s="6388"/>
      <c r="L321" s="6388"/>
      <c r="M321" s="6389"/>
      <c r="N321" s="1800"/>
      <c r="T321" s="3881" t="str">
        <f t="shared" si="13"/>
        <v/>
      </c>
      <c r="U321" s="3881" t="str">
        <f t="shared" si="14"/>
        <v/>
      </c>
      <c r="V321" s="3735"/>
      <c r="W321" s="3881" t="str">
        <f t="shared" si="15"/>
        <v/>
      </c>
      <c r="X321" s="3881" t="str">
        <f t="shared" si="16"/>
        <v/>
      </c>
      <c r="Y321" s="3735"/>
      <c r="Z321" s="3881" t="str">
        <f>IFERROR(MATCH(ROW(#REF!)-ROW($I$268)+1,$T$192:$T$200,0),"")</f>
        <v/>
      </c>
      <c r="AA321" s="3881" t="str">
        <f t="shared" si="17"/>
        <v/>
      </c>
    </row>
    <row r="322" spans="1:27" s="1801" customFormat="1" ht="24" hidden="1" customHeight="1" x14ac:dyDescent="0.25">
      <c r="A322" s="1798"/>
      <c r="B322" s="1799"/>
      <c r="C322" s="6138" t="str">
        <f t="shared" si="9"/>
        <v/>
      </c>
      <c r="D322" s="6365" t="str">
        <f t="shared" si="10"/>
        <v/>
      </c>
      <c r="E322" s="6366"/>
      <c r="F322" s="6366"/>
      <c r="G322" s="6366"/>
      <c r="H322" s="6367"/>
      <c r="I322" s="6387" t="str">
        <f t="shared" si="12"/>
        <v/>
      </c>
      <c r="J322" s="6388"/>
      <c r="K322" s="6388"/>
      <c r="L322" s="6388"/>
      <c r="M322" s="6389"/>
      <c r="N322" s="1800"/>
      <c r="T322" s="3881" t="str">
        <f t="shared" si="13"/>
        <v/>
      </c>
      <c r="U322" s="3881" t="str">
        <f t="shared" si="14"/>
        <v/>
      </c>
      <c r="V322" s="3735"/>
      <c r="W322" s="3881" t="str">
        <f t="shared" si="15"/>
        <v/>
      </c>
      <c r="X322" s="3881" t="str">
        <f t="shared" si="16"/>
        <v/>
      </c>
      <c r="Y322" s="3735"/>
      <c r="Z322" s="3881" t="str">
        <f>IFERROR(MATCH(ROW(#REF!)-ROW($I$268)+1,$T$192:$T$200,0),"")</f>
        <v/>
      </c>
      <c r="AA322" s="3881" t="str">
        <f t="shared" si="17"/>
        <v/>
      </c>
    </row>
    <row r="323" spans="1:27" s="1801" customFormat="1" ht="24" hidden="1" customHeight="1" x14ac:dyDescent="0.25">
      <c r="A323" s="1798"/>
      <c r="B323" s="1799"/>
      <c r="C323" s="6138" t="str">
        <f t="shared" si="9"/>
        <v/>
      </c>
      <c r="D323" s="6365" t="str">
        <f t="shared" si="10"/>
        <v/>
      </c>
      <c r="E323" s="6366"/>
      <c r="F323" s="6366"/>
      <c r="G323" s="6366"/>
      <c r="H323" s="6367"/>
      <c r="I323" s="6387" t="str">
        <f t="shared" si="12"/>
        <v/>
      </c>
      <c r="J323" s="6388"/>
      <c r="K323" s="6388"/>
      <c r="L323" s="6388"/>
      <c r="M323" s="6389"/>
      <c r="N323" s="1800"/>
      <c r="T323" s="3881" t="str">
        <f t="shared" si="13"/>
        <v/>
      </c>
      <c r="U323" s="3881" t="str">
        <f t="shared" si="14"/>
        <v/>
      </c>
      <c r="V323" s="3735"/>
      <c r="W323" s="3881" t="str">
        <f t="shared" si="15"/>
        <v/>
      </c>
      <c r="X323" s="3881" t="str">
        <f t="shared" si="16"/>
        <v/>
      </c>
      <c r="Y323" s="3735"/>
      <c r="Z323" s="3881" t="str">
        <f>IFERROR(MATCH(ROW(#REF!)-ROW($I$268)+1,$T$192:$T$200,0),"")</f>
        <v/>
      </c>
      <c r="AA323" s="3881" t="str">
        <f t="shared" si="17"/>
        <v/>
      </c>
    </row>
    <row r="324" spans="1:27" s="1801" customFormat="1" ht="24" hidden="1" customHeight="1" x14ac:dyDescent="0.25">
      <c r="A324" s="1798"/>
      <c r="B324" s="1799"/>
      <c r="C324" s="6138" t="str">
        <f t="shared" si="9"/>
        <v/>
      </c>
      <c r="D324" s="6365" t="str">
        <f t="shared" si="10"/>
        <v/>
      </c>
      <c r="E324" s="6366"/>
      <c r="F324" s="6366"/>
      <c r="G324" s="6366"/>
      <c r="H324" s="6367"/>
      <c r="I324" s="6387" t="str">
        <f t="shared" si="12"/>
        <v/>
      </c>
      <c r="J324" s="6388"/>
      <c r="K324" s="6388"/>
      <c r="L324" s="6388"/>
      <c r="M324" s="6389"/>
      <c r="N324" s="1800"/>
      <c r="T324" s="3881" t="str">
        <f t="shared" si="13"/>
        <v/>
      </c>
      <c r="U324" s="3881" t="str">
        <f t="shared" si="14"/>
        <v/>
      </c>
      <c r="V324" s="3735"/>
      <c r="W324" s="3881" t="str">
        <f t="shared" si="15"/>
        <v/>
      </c>
      <c r="X324" s="3881" t="str">
        <f t="shared" si="16"/>
        <v/>
      </c>
      <c r="Y324" s="3735"/>
      <c r="Z324" s="3881" t="str">
        <f>IFERROR(MATCH(ROW(#REF!)-ROW($I$268)+1,$T$192:$T$200,0),"")</f>
        <v/>
      </c>
      <c r="AA324" s="3881" t="str">
        <f t="shared" si="17"/>
        <v/>
      </c>
    </row>
    <row r="325" spans="1:27" s="1801" customFormat="1" ht="24" hidden="1" customHeight="1" x14ac:dyDescent="0.25">
      <c r="A325" s="1798"/>
      <c r="B325" s="1799"/>
      <c r="C325" s="6138" t="str">
        <f t="shared" si="9"/>
        <v/>
      </c>
      <c r="D325" s="6365" t="str">
        <f t="shared" si="10"/>
        <v/>
      </c>
      <c r="E325" s="6366"/>
      <c r="F325" s="6366"/>
      <c r="G325" s="6366"/>
      <c r="H325" s="6367"/>
      <c r="I325" s="6387" t="str">
        <f t="shared" si="12"/>
        <v/>
      </c>
      <c r="J325" s="6388"/>
      <c r="K325" s="6388"/>
      <c r="L325" s="6388"/>
      <c r="M325" s="6389"/>
      <c r="N325" s="1800"/>
      <c r="T325" s="3881" t="str">
        <f t="shared" si="13"/>
        <v/>
      </c>
      <c r="U325" s="3881" t="str">
        <f t="shared" si="14"/>
        <v/>
      </c>
      <c r="V325" s="3735"/>
      <c r="W325" s="3881" t="str">
        <f t="shared" si="15"/>
        <v/>
      </c>
      <c r="X325" s="3881" t="str">
        <f t="shared" si="16"/>
        <v/>
      </c>
      <c r="Y325" s="3735"/>
      <c r="Z325" s="3881" t="str">
        <f>IFERROR(MATCH(ROW(#REF!)-ROW($I$268)+1,$T$192:$T$200,0),"")</f>
        <v/>
      </c>
      <c r="AA325" s="3881" t="str">
        <f t="shared" si="17"/>
        <v/>
      </c>
    </row>
    <row r="326" spans="1:27" s="1801" customFormat="1" ht="24" hidden="1" customHeight="1" x14ac:dyDescent="0.25">
      <c r="A326" s="1798"/>
      <c r="B326" s="1799"/>
      <c r="C326" s="6138" t="str">
        <f t="shared" si="9"/>
        <v/>
      </c>
      <c r="D326" s="6365" t="str">
        <f t="shared" si="10"/>
        <v/>
      </c>
      <c r="E326" s="6366"/>
      <c r="F326" s="6366"/>
      <c r="G326" s="6366"/>
      <c r="H326" s="6367"/>
      <c r="I326" s="6387" t="str">
        <f t="shared" si="12"/>
        <v/>
      </c>
      <c r="J326" s="6388"/>
      <c r="K326" s="6388"/>
      <c r="L326" s="6388"/>
      <c r="M326" s="6389"/>
      <c r="N326" s="1800"/>
      <c r="T326" s="3881" t="str">
        <f t="shared" si="13"/>
        <v/>
      </c>
      <c r="U326" s="3881" t="str">
        <f t="shared" si="14"/>
        <v/>
      </c>
      <c r="V326" s="3735"/>
      <c r="W326" s="3881" t="str">
        <f t="shared" si="15"/>
        <v/>
      </c>
      <c r="X326" s="3881" t="str">
        <f t="shared" si="16"/>
        <v/>
      </c>
      <c r="Y326" s="3735"/>
      <c r="Z326" s="3881" t="str">
        <f>IFERROR(MATCH(ROW(#REF!)-ROW($I$268)+1,$T$192:$T$200,0),"")</f>
        <v/>
      </c>
      <c r="AA326" s="3881" t="str">
        <f t="shared" si="17"/>
        <v/>
      </c>
    </row>
    <row r="327" spans="1:27" s="1801" customFormat="1" ht="24" hidden="1" customHeight="1" thickBot="1" x14ac:dyDescent="0.3">
      <c r="A327" s="1798"/>
      <c r="B327" s="1799"/>
      <c r="C327" s="6139" t="str">
        <f t="shared" si="9"/>
        <v/>
      </c>
      <c r="D327" s="6396" t="str">
        <f t="shared" si="10"/>
        <v/>
      </c>
      <c r="E327" s="6397"/>
      <c r="F327" s="6397"/>
      <c r="G327" s="6397"/>
      <c r="H327" s="6398"/>
      <c r="I327" s="6393" t="str">
        <f t="shared" si="12"/>
        <v/>
      </c>
      <c r="J327" s="6394"/>
      <c r="K327" s="6394"/>
      <c r="L327" s="6394"/>
      <c r="M327" s="6395"/>
      <c r="N327" s="1800"/>
      <c r="T327" s="3881" t="str">
        <f t="shared" si="13"/>
        <v/>
      </c>
      <c r="U327" s="3881" t="str">
        <f t="shared" si="14"/>
        <v/>
      </c>
      <c r="V327" s="3735"/>
      <c r="W327" s="3881" t="str">
        <f t="shared" si="15"/>
        <v/>
      </c>
      <c r="X327" s="3881" t="str">
        <f t="shared" si="16"/>
        <v/>
      </c>
      <c r="Y327" s="3735"/>
      <c r="Z327" s="3881" t="str">
        <f>IFERROR(MATCH(ROW(#REF!)-ROW($I$268)+1,$T$192:$T$200,0),"")</f>
        <v/>
      </c>
      <c r="AA327" s="3881" t="str">
        <f t="shared" si="17"/>
        <v/>
      </c>
    </row>
    <row r="328" spans="1:27" ht="27" customHeight="1" x14ac:dyDescent="0.25">
      <c r="B328" s="1799"/>
      <c r="C328" s="1802"/>
      <c r="D328" s="1802"/>
      <c r="E328" s="1802"/>
      <c r="F328" s="1802"/>
      <c r="G328" s="1802"/>
      <c r="H328" s="1802"/>
      <c r="I328" s="1802"/>
      <c r="J328" s="1802"/>
      <c r="K328" s="1802"/>
      <c r="L328" s="1802"/>
      <c r="M328" s="1802"/>
      <c r="N328" s="1800"/>
    </row>
  </sheetData>
  <sheetProtection selectLockedCells="1"/>
  <mergeCells count="227">
    <mergeCell ref="W266:X266"/>
    <mergeCell ref="Z266:AA266"/>
    <mergeCell ref="C246:D246"/>
    <mergeCell ref="C220:H220"/>
    <mergeCell ref="C225:D225"/>
    <mergeCell ref="C240:H240"/>
    <mergeCell ref="C247:D247"/>
    <mergeCell ref="T266:U266"/>
    <mergeCell ref="C234:D234"/>
    <mergeCell ref="C250:D250"/>
    <mergeCell ref="C238:D238"/>
    <mergeCell ref="C248:D248"/>
    <mergeCell ref="C245:D245"/>
    <mergeCell ref="C239:D239"/>
    <mergeCell ref="C231:D231"/>
    <mergeCell ref="C232:D232"/>
    <mergeCell ref="C233:D233"/>
    <mergeCell ref="C237:D237"/>
    <mergeCell ref="J254:M254"/>
    <mergeCell ref="D313:H313"/>
    <mergeCell ref="D302:H302"/>
    <mergeCell ref="D293:H293"/>
    <mergeCell ref="D294:H294"/>
    <mergeCell ref="D295:H295"/>
    <mergeCell ref="D296:H296"/>
    <mergeCell ref="C215:D215"/>
    <mergeCell ref="C230:D230"/>
    <mergeCell ref="C218:D218"/>
    <mergeCell ref="C219:D219"/>
    <mergeCell ref="C216:D216"/>
    <mergeCell ref="D303:H303"/>
    <mergeCell ref="D304:H304"/>
    <mergeCell ref="D305:H305"/>
    <mergeCell ref="D306:H306"/>
    <mergeCell ref="D307:H307"/>
    <mergeCell ref="D297:H297"/>
    <mergeCell ref="D298:H298"/>
    <mergeCell ref="D299:H299"/>
    <mergeCell ref="D285:H285"/>
    <mergeCell ref="D286:H286"/>
    <mergeCell ref="D291:H291"/>
    <mergeCell ref="D292:H292"/>
    <mergeCell ref="D300:H300"/>
    <mergeCell ref="I278:M278"/>
    <mergeCell ref="I279:M279"/>
    <mergeCell ref="I277:M277"/>
    <mergeCell ref="D279:H279"/>
    <mergeCell ref="D266:H266"/>
    <mergeCell ref="D268:H268"/>
    <mergeCell ref="C259:D259"/>
    <mergeCell ref="C261:D261"/>
    <mergeCell ref="D272:H272"/>
    <mergeCell ref="D273:H273"/>
    <mergeCell ref="D274:H274"/>
    <mergeCell ref="D275:H275"/>
    <mergeCell ref="D276:H276"/>
    <mergeCell ref="D277:H277"/>
    <mergeCell ref="D278:H278"/>
    <mergeCell ref="I266:M266"/>
    <mergeCell ref="I272:M272"/>
    <mergeCell ref="I273:M273"/>
    <mergeCell ref="I274:M274"/>
    <mergeCell ref="I275:M275"/>
    <mergeCell ref="I276:M276"/>
    <mergeCell ref="C264:M264"/>
    <mergeCell ref="D269:H269"/>
    <mergeCell ref="D270:H270"/>
    <mergeCell ref="D271:H271"/>
    <mergeCell ref="T21:U21"/>
    <mergeCell ref="J95:M95"/>
    <mergeCell ref="D37:M37"/>
    <mergeCell ref="C37:C38"/>
    <mergeCell ref="C54:C55"/>
    <mergeCell ref="C69:C70"/>
    <mergeCell ref="C97:C98"/>
    <mergeCell ref="D97:M97"/>
    <mergeCell ref="D69:M69"/>
    <mergeCell ref="D54:M54"/>
    <mergeCell ref="J67:M67"/>
    <mergeCell ref="C35:H35"/>
    <mergeCell ref="C52:H52"/>
    <mergeCell ref="J52:M52"/>
    <mergeCell ref="C67:H67"/>
    <mergeCell ref="C95:H95"/>
    <mergeCell ref="J35:M35"/>
    <mergeCell ref="I313:M313"/>
    <mergeCell ref="I314:M314"/>
    <mergeCell ref="I299:M299"/>
    <mergeCell ref="I300:M300"/>
    <mergeCell ref="I301:M301"/>
    <mergeCell ref="I302:M302"/>
    <mergeCell ref="I303:M303"/>
    <mergeCell ref="I304:M304"/>
    <mergeCell ref="I307:M307"/>
    <mergeCell ref="I305:M305"/>
    <mergeCell ref="I306:M306"/>
    <mergeCell ref="I327:M327"/>
    <mergeCell ref="I315:M315"/>
    <mergeCell ref="I323:M323"/>
    <mergeCell ref="I325:M325"/>
    <mergeCell ref="D327:H327"/>
    <mergeCell ref="D322:H322"/>
    <mergeCell ref="D323:H323"/>
    <mergeCell ref="D324:H324"/>
    <mergeCell ref="D325:H325"/>
    <mergeCell ref="I320:M320"/>
    <mergeCell ref="I321:M321"/>
    <mergeCell ref="I322:M322"/>
    <mergeCell ref="D326:H326"/>
    <mergeCell ref="D321:H321"/>
    <mergeCell ref="I316:M316"/>
    <mergeCell ref="I317:M317"/>
    <mergeCell ref="I326:M326"/>
    <mergeCell ref="D319:H319"/>
    <mergeCell ref="D320:H320"/>
    <mergeCell ref="I318:M318"/>
    <mergeCell ref="D317:H317"/>
    <mergeCell ref="D318:H318"/>
    <mergeCell ref="I324:M324"/>
    <mergeCell ref="I319:M319"/>
    <mergeCell ref="D312:H312"/>
    <mergeCell ref="E222:M222"/>
    <mergeCell ref="D287:H287"/>
    <mergeCell ref="D288:H288"/>
    <mergeCell ref="D289:H289"/>
    <mergeCell ref="D290:H290"/>
    <mergeCell ref="D308:H308"/>
    <mergeCell ref="D309:H309"/>
    <mergeCell ref="D310:H310"/>
    <mergeCell ref="C242:D243"/>
    <mergeCell ref="I295:M295"/>
    <mergeCell ref="I296:M296"/>
    <mergeCell ref="I297:M297"/>
    <mergeCell ref="I298:M298"/>
    <mergeCell ref="I309:M309"/>
    <mergeCell ref="I310:M310"/>
    <mergeCell ref="I311:M311"/>
    <mergeCell ref="I292:M292"/>
    <mergeCell ref="I308:M308"/>
    <mergeCell ref="I293:M293"/>
    <mergeCell ref="I294:M294"/>
    <mergeCell ref="C236:D236"/>
    <mergeCell ref="I312:M312"/>
    <mergeCell ref="I281:M281"/>
    <mergeCell ref="I285:M285"/>
    <mergeCell ref="I286:M286"/>
    <mergeCell ref="I287:M287"/>
    <mergeCell ref="I288:M288"/>
    <mergeCell ref="I289:M289"/>
    <mergeCell ref="I290:M290"/>
    <mergeCell ref="D301:H301"/>
    <mergeCell ref="D311:H311"/>
    <mergeCell ref="I282:M282"/>
    <mergeCell ref="I284:M284"/>
    <mergeCell ref="I291:M291"/>
    <mergeCell ref="D314:H314"/>
    <mergeCell ref="D315:H315"/>
    <mergeCell ref="D316:H316"/>
    <mergeCell ref="D281:H281"/>
    <mergeCell ref="D282:H282"/>
    <mergeCell ref="D284:H284"/>
    <mergeCell ref="C209:D209"/>
    <mergeCell ref="C212:D212"/>
    <mergeCell ref="C214:D214"/>
    <mergeCell ref="C267:M267"/>
    <mergeCell ref="C283:M283"/>
    <mergeCell ref="C254:H254"/>
    <mergeCell ref="C252:D252"/>
    <mergeCell ref="C253:D253"/>
    <mergeCell ref="I268:M268"/>
    <mergeCell ref="I269:M269"/>
    <mergeCell ref="I270:M270"/>
    <mergeCell ref="I271:M271"/>
    <mergeCell ref="E242:M242"/>
    <mergeCell ref="C256:D257"/>
    <mergeCell ref="E256:M256"/>
    <mergeCell ref="C222:D223"/>
    <mergeCell ref="I280:M280"/>
    <mergeCell ref="D280:H280"/>
    <mergeCell ref="C18:M18"/>
    <mergeCell ref="J220:M220"/>
    <mergeCell ref="J240:M240"/>
    <mergeCell ref="J205:M205"/>
    <mergeCell ref="J123:M123"/>
    <mergeCell ref="C191:C192"/>
    <mergeCell ref="D191:D192"/>
    <mergeCell ref="C227:D227"/>
    <mergeCell ref="C228:D228"/>
    <mergeCell ref="D181:M181"/>
    <mergeCell ref="C189:M189"/>
    <mergeCell ref="C206:D207"/>
    <mergeCell ref="C210:D210"/>
    <mergeCell ref="C204:H204"/>
    <mergeCell ref="E206:M206"/>
    <mergeCell ref="C2:J2"/>
    <mergeCell ref="C4:M4"/>
    <mergeCell ref="C6:M6"/>
    <mergeCell ref="C8:M8"/>
    <mergeCell ref="C11:M11"/>
    <mergeCell ref="D12:M12"/>
    <mergeCell ref="D13:M13"/>
    <mergeCell ref="D14:M14"/>
    <mergeCell ref="D15:M15"/>
    <mergeCell ref="C16:M16"/>
    <mergeCell ref="D9:F9"/>
    <mergeCell ref="G9:J9"/>
    <mergeCell ref="K9:L9"/>
    <mergeCell ref="C110:C111"/>
    <mergeCell ref="D110:D111"/>
    <mergeCell ref="C21:C22"/>
    <mergeCell ref="D21:D22"/>
    <mergeCell ref="J204:M204"/>
    <mergeCell ref="C123:H123"/>
    <mergeCell ref="C168:H168"/>
    <mergeCell ref="C125:C126"/>
    <mergeCell ref="C170:C171"/>
    <mergeCell ref="C181:C182"/>
    <mergeCell ref="C146:C147"/>
    <mergeCell ref="C108:M108"/>
    <mergeCell ref="J168:M168"/>
    <mergeCell ref="C144:H144"/>
    <mergeCell ref="J144:M144"/>
    <mergeCell ref="C179:H179"/>
    <mergeCell ref="J179:M179"/>
    <mergeCell ref="D125:M125"/>
    <mergeCell ref="D170:M170"/>
    <mergeCell ref="D146:M146"/>
  </mergeCells>
  <conditionalFormatting sqref="D193:D201 D23:D32">
    <cfRule type="cellIs" dxfId="359" priority="235" operator="between">
      <formula>#REF!</formula>
      <formula>#REF!</formula>
    </cfRule>
  </conditionalFormatting>
  <conditionalFormatting sqref="D193:D201 D23:D32">
    <cfRule type="cellIs" dxfId="358" priority="237" operator="lessThan">
      <formula>#REF!</formula>
    </cfRule>
  </conditionalFormatting>
  <conditionalFormatting sqref="D193:D201 D23:D32">
    <cfRule type="cellIs" dxfId="357" priority="236" operator="greaterThanOrEqual">
      <formula>#REF!</formula>
    </cfRule>
  </conditionalFormatting>
  <conditionalFormatting sqref="H149:K149 I167:J167 M134 M160 G152:L152 L157:M158 L154:M154 H157:J158 H154:J154 M136 G138:J138 I162 G135:J135 L135:M135 G130:K130 L137:M138 J156 L156 L167:M167">
    <cfRule type="cellIs" dxfId="356" priority="221" operator="equal">
      <formula>1</formula>
    </cfRule>
    <cfRule type="cellIs" dxfId="355" priority="222" operator="equal">
      <formula>0</formula>
    </cfRule>
  </conditionalFormatting>
  <conditionalFormatting sqref="C72:C77 C173:C174 C184 C186 C214:D216 C46:C48 C152:C158 C43:C44 C50:C51 C40:C41 C79:C81 C94 C100 C102:C104 C245:C248 C128:C130 C134:C138 C227:C228 C230:D230 C231:C234 C259:D259 C261:D261 C218:D219 C212:D212 C63:C66 C57 C59:C61 C83:C92 C176:C178 C250 C252:C253 C236:C239 C209 C210:D210 C225 C140:C143 C160:C167 C132 C149:C150">
    <cfRule type="expression" dxfId="354" priority="292">
      <formula>$U40=TRUE</formula>
    </cfRule>
  </conditionalFormatting>
  <conditionalFormatting sqref="C23:D32">
    <cfRule type="expression" dxfId="353" priority="301">
      <formula>$U22=TRUE</formula>
    </cfRule>
  </conditionalFormatting>
  <conditionalFormatting sqref="C112">
    <cfRule type="expression" dxfId="352" priority="10">
      <formula>$U111=TRUE</formula>
    </cfRule>
  </conditionalFormatting>
  <conditionalFormatting sqref="C113:C121">
    <cfRule type="expression" dxfId="351" priority="3">
      <formula>$U112=TRUE</formula>
    </cfRule>
  </conditionalFormatting>
  <conditionalFormatting sqref="D112">
    <cfRule type="expression" dxfId="350" priority="2">
      <formula>$U111=TRUE</formula>
    </cfRule>
  </conditionalFormatting>
  <conditionalFormatting sqref="D113:D121">
    <cfRule type="expression" dxfId="349" priority="1">
      <formula>$U112=TRUE</formula>
    </cfRule>
  </conditionalFormatting>
  <conditionalFormatting sqref="C193:D201">
    <cfRule type="expression" dxfId="348" priority="335">
      <formula>$U192=TRUE</formula>
    </cfRule>
  </conditionalFormatting>
  <dataValidations count="1">
    <dataValidation type="list" allowBlank="1" showInputMessage="1" showErrorMessage="1" sqref="H191">
      <formula1>$G$13:$L$13</formula1>
    </dataValidation>
  </dataValidations>
  <hyperlinks>
    <hyperlink ref="J35:M35" location="'WS Plan'!A1" display="Simulate Performance Improvement Plan"/>
    <hyperlink ref="J52:M52" location="'WS Plan'!A1" display="Simulate Performance Improvement Plan"/>
    <hyperlink ref="J67:M67" location="'WS Plan'!A1" display="Simulate Performance Improvement Plan"/>
    <hyperlink ref="J95:M95" location="'WS Plan'!A1" display="Simulate Performance Improvement Plan"/>
    <hyperlink ref="J123:M123" location="'WW Plan'!A1" display="Simulate Performance Improvement Plan"/>
    <hyperlink ref="J144:M144" location="'WW Plan'!A1" display="Simulate Performance Improvement Plan"/>
    <hyperlink ref="J168:M168" location="'WW Plan'!A1" display="Simulate Performance Improvement Plan"/>
    <hyperlink ref="J179:M179" location="'WW Plan'!A1" display="Simulate Performance Improvement Plan"/>
    <hyperlink ref="J204:M204" location="'SW Plan'!A1" display="Simulate Performance Improvement Plan"/>
    <hyperlink ref="J220:M220" location="'SW Plan'!A1" display="Simulate Performance Improvement Plan"/>
    <hyperlink ref="J240:M240" location="'SW Plan'!A1" display="Simulate Performance Improvement Plan"/>
    <hyperlink ref="J254:M254" location="'SW Plan'!A1" display="Simulate Performance Improvement Plan"/>
    <hyperlink ref="C9" location="'Perf assessment'!C20" display="Water Supply        "/>
  </hyperlinks>
  <printOptions horizontalCentered="1"/>
  <pageMargins left="0.196850393700787" right="0.118110236220472" top="0.118110236220472" bottom="0.118110236220472" header="0.118110236220472" footer="0.118110236220472"/>
  <pageSetup paperSize="9" scale="62" fitToHeight="0" orientation="landscape" verticalDpi="300" r:id="rId1"/>
  <rowBreaks count="10" manualBreakCount="10">
    <brk id="33" min="1" max="13" man="1"/>
    <brk id="57" min="1" max="13" man="1"/>
    <brk id="94" min="1" max="13" man="1"/>
    <brk id="122" min="1" max="13" man="1"/>
    <brk id="145" min="1" max="13" man="1"/>
    <brk id="178" min="1" max="13" man="1"/>
    <brk id="203" min="1" max="13" man="1"/>
    <brk id="228" min="1" max="13" man="1"/>
    <brk id="255" min="1" max="13" man="1"/>
    <brk id="293" min="1"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64568" r:id="rId4" name="Check Box 56">
              <controlPr defaultSize="0" autoFill="0" autoLine="0" autoPict="0">
                <anchor moveWithCells="1">
                  <from>
                    <xdr:col>2</xdr:col>
                    <xdr:colOff>0</xdr:colOff>
                    <xdr:row>107</xdr:row>
                    <xdr:rowOff>0</xdr:rowOff>
                  </from>
                  <to>
                    <xdr:col>2</xdr:col>
                    <xdr:colOff>295275</xdr:colOff>
                    <xdr:row>327</xdr:row>
                    <xdr:rowOff>228600</xdr:rowOff>
                  </to>
                </anchor>
              </controlPr>
            </control>
          </mc:Choice>
        </mc:AlternateContent>
        <mc:AlternateContent xmlns:mc="http://schemas.openxmlformats.org/markup-compatibility/2006">
          <mc:Choice Requires="x14">
            <control shapeId="64569" r:id="rId5" name="Check Box 57">
              <controlPr defaultSize="0" autoFill="0" autoLine="0" autoPict="0">
                <anchor moveWithCells="1">
                  <from>
                    <xdr:col>2</xdr:col>
                    <xdr:colOff>0</xdr:colOff>
                    <xdr:row>107</xdr:row>
                    <xdr:rowOff>0</xdr:rowOff>
                  </from>
                  <to>
                    <xdr:col>2</xdr:col>
                    <xdr:colOff>314325</xdr:colOff>
                    <xdr:row>327</xdr:row>
                    <xdr:rowOff>266700</xdr:rowOff>
                  </to>
                </anchor>
              </controlPr>
            </control>
          </mc:Choice>
        </mc:AlternateContent>
        <mc:AlternateContent xmlns:mc="http://schemas.openxmlformats.org/markup-compatibility/2006">
          <mc:Choice Requires="x14">
            <control shapeId="64572" r:id="rId6" name="Check Box 60">
              <controlPr defaultSize="0" autoFill="0" autoLine="0" autoPict="0">
                <anchor moveWithCells="1">
                  <from>
                    <xdr:col>2</xdr:col>
                    <xdr:colOff>0</xdr:colOff>
                    <xdr:row>107</xdr:row>
                    <xdr:rowOff>0</xdr:rowOff>
                  </from>
                  <to>
                    <xdr:col>2</xdr:col>
                    <xdr:colOff>295275</xdr:colOff>
                    <xdr:row>327</xdr:row>
                    <xdr:rowOff>123825</xdr:rowOff>
                  </to>
                </anchor>
              </controlPr>
            </control>
          </mc:Choice>
        </mc:AlternateContent>
        <mc:AlternateContent xmlns:mc="http://schemas.openxmlformats.org/markup-compatibility/2006">
          <mc:Choice Requires="x14">
            <control shapeId="64573" r:id="rId7" name="Check Box 61">
              <controlPr defaultSize="0" autoFill="0" autoLine="0" autoPict="0">
                <anchor moveWithCells="1">
                  <from>
                    <xdr:col>2</xdr:col>
                    <xdr:colOff>0</xdr:colOff>
                    <xdr:row>107</xdr:row>
                    <xdr:rowOff>0</xdr:rowOff>
                  </from>
                  <to>
                    <xdr:col>2</xdr:col>
                    <xdr:colOff>342900</xdr:colOff>
                    <xdr:row>327</xdr:row>
                    <xdr:rowOff>142875</xdr:rowOff>
                  </to>
                </anchor>
              </controlPr>
            </control>
          </mc:Choice>
        </mc:AlternateContent>
        <mc:AlternateContent xmlns:mc="http://schemas.openxmlformats.org/markup-compatibility/2006">
          <mc:Choice Requires="x14">
            <control shapeId="64574" r:id="rId8" name="Check Box 62">
              <controlPr defaultSize="0" autoFill="0" autoLine="0" autoPict="0">
                <anchor moveWithCells="1">
                  <from>
                    <xdr:col>2</xdr:col>
                    <xdr:colOff>0</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575" r:id="rId9" name="Check Box 63">
              <controlPr defaultSize="0" autoFill="0" autoLine="0" autoPict="0">
                <anchor moveWithCells="1">
                  <from>
                    <xdr:col>2</xdr:col>
                    <xdr:colOff>0</xdr:colOff>
                    <xdr:row>107</xdr:row>
                    <xdr:rowOff>0</xdr:rowOff>
                  </from>
                  <to>
                    <xdr:col>2</xdr:col>
                    <xdr:colOff>295275</xdr:colOff>
                    <xdr:row>327</xdr:row>
                    <xdr:rowOff>219075</xdr:rowOff>
                  </to>
                </anchor>
              </controlPr>
            </control>
          </mc:Choice>
        </mc:AlternateContent>
        <mc:AlternateContent xmlns:mc="http://schemas.openxmlformats.org/markup-compatibility/2006">
          <mc:Choice Requires="x14">
            <control shapeId="64576" r:id="rId10" name="Check Box 64">
              <controlPr defaultSize="0" autoFill="0" autoLine="0" autoPict="0">
                <anchor moveWithCells="1">
                  <from>
                    <xdr:col>2</xdr:col>
                    <xdr:colOff>0</xdr:colOff>
                    <xdr:row>107</xdr:row>
                    <xdr:rowOff>0</xdr:rowOff>
                  </from>
                  <to>
                    <xdr:col>2</xdr:col>
                    <xdr:colOff>295275</xdr:colOff>
                    <xdr:row>327</xdr:row>
                    <xdr:rowOff>257175</xdr:rowOff>
                  </to>
                </anchor>
              </controlPr>
            </control>
          </mc:Choice>
        </mc:AlternateContent>
        <mc:AlternateContent xmlns:mc="http://schemas.openxmlformats.org/markup-compatibility/2006">
          <mc:Choice Requires="x14">
            <control shapeId="64579" r:id="rId11" name="Check Box 67">
              <controlPr defaultSize="0" autoFill="0" autoLine="0" autoPict="0">
                <anchor moveWithCells="1">
                  <from>
                    <xdr:col>2</xdr:col>
                    <xdr:colOff>0</xdr:colOff>
                    <xdr:row>107</xdr:row>
                    <xdr:rowOff>0</xdr:rowOff>
                  </from>
                  <to>
                    <xdr:col>2</xdr:col>
                    <xdr:colOff>295275</xdr:colOff>
                    <xdr:row>327</xdr:row>
                    <xdr:rowOff>142875</xdr:rowOff>
                  </to>
                </anchor>
              </controlPr>
            </control>
          </mc:Choice>
        </mc:AlternateContent>
        <mc:AlternateContent xmlns:mc="http://schemas.openxmlformats.org/markup-compatibility/2006">
          <mc:Choice Requires="x14">
            <control shapeId="64580" r:id="rId12" name="Check Box 68">
              <controlPr defaultSize="0" autoFill="0" autoLine="0" autoPict="0">
                <anchor moveWithCells="1">
                  <from>
                    <xdr:col>2</xdr:col>
                    <xdr:colOff>0</xdr:colOff>
                    <xdr:row>107</xdr:row>
                    <xdr:rowOff>0</xdr:rowOff>
                  </from>
                  <to>
                    <xdr:col>2</xdr:col>
                    <xdr:colOff>295275</xdr:colOff>
                    <xdr:row>327</xdr:row>
                    <xdr:rowOff>142875</xdr:rowOff>
                  </to>
                </anchor>
              </controlPr>
            </control>
          </mc:Choice>
        </mc:AlternateContent>
        <mc:AlternateContent xmlns:mc="http://schemas.openxmlformats.org/markup-compatibility/2006">
          <mc:Choice Requires="x14">
            <control shapeId="64583" r:id="rId13" name="Check Box 71">
              <controlPr defaultSize="0" autoFill="0" autoLine="0" autoPict="0">
                <anchor moveWithCells="1">
                  <from>
                    <xdr:col>2</xdr:col>
                    <xdr:colOff>28575</xdr:colOff>
                    <xdr:row>107</xdr:row>
                    <xdr:rowOff>0</xdr:rowOff>
                  </from>
                  <to>
                    <xdr:col>2</xdr:col>
                    <xdr:colOff>342900</xdr:colOff>
                    <xdr:row>327</xdr:row>
                    <xdr:rowOff>285750</xdr:rowOff>
                  </to>
                </anchor>
              </controlPr>
            </control>
          </mc:Choice>
        </mc:AlternateContent>
        <mc:AlternateContent xmlns:mc="http://schemas.openxmlformats.org/markup-compatibility/2006">
          <mc:Choice Requires="x14">
            <control shapeId="64584" r:id="rId14" name="Check Box 72">
              <controlPr defaultSize="0" autoFill="0" autoLine="0" autoPict="0">
                <anchor moveWithCells="1">
                  <from>
                    <xdr:col>2</xdr:col>
                    <xdr:colOff>28575</xdr:colOff>
                    <xdr:row>107</xdr:row>
                    <xdr:rowOff>0</xdr:rowOff>
                  </from>
                  <to>
                    <xdr:col>2</xdr:col>
                    <xdr:colOff>342900</xdr:colOff>
                    <xdr:row>327</xdr:row>
                    <xdr:rowOff>276225</xdr:rowOff>
                  </to>
                </anchor>
              </controlPr>
            </control>
          </mc:Choice>
        </mc:AlternateContent>
        <mc:AlternateContent xmlns:mc="http://schemas.openxmlformats.org/markup-compatibility/2006">
          <mc:Choice Requires="x14">
            <control shapeId="64585" r:id="rId15" name="Check Box 73">
              <controlPr defaultSize="0" autoFill="0" autoLine="0" autoPict="0">
                <anchor moveWithCells="1">
                  <from>
                    <xdr:col>2</xdr:col>
                    <xdr:colOff>28575</xdr:colOff>
                    <xdr:row>107</xdr:row>
                    <xdr:rowOff>0</xdr:rowOff>
                  </from>
                  <to>
                    <xdr:col>2</xdr:col>
                    <xdr:colOff>342900</xdr:colOff>
                    <xdr:row>327</xdr:row>
                    <xdr:rowOff>200025</xdr:rowOff>
                  </to>
                </anchor>
              </controlPr>
            </control>
          </mc:Choice>
        </mc:AlternateContent>
        <mc:AlternateContent xmlns:mc="http://schemas.openxmlformats.org/markup-compatibility/2006">
          <mc:Choice Requires="x14">
            <control shapeId="64586" r:id="rId16" name="Check Box 74">
              <controlPr defaultSize="0" autoFill="0" autoLine="0" autoPict="0">
                <anchor moveWithCells="1">
                  <from>
                    <xdr:col>2</xdr:col>
                    <xdr:colOff>28575</xdr:colOff>
                    <xdr:row>107</xdr:row>
                    <xdr:rowOff>0</xdr:rowOff>
                  </from>
                  <to>
                    <xdr:col>2</xdr:col>
                    <xdr:colOff>342900</xdr:colOff>
                    <xdr:row>327</xdr:row>
                    <xdr:rowOff>142875</xdr:rowOff>
                  </to>
                </anchor>
              </controlPr>
            </control>
          </mc:Choice>
        </mc:AlternateContent>
        <mc:AlternateContent xmlns:mc="http://schemas.openxmlformats.org/markup-compatibility/2006">
          <mc:Choice Requires="x14">
            <control shapeId="64587" r:id="rId17" name="Check Box 75">
              <controlPr defaultSize="0" autoFill="0" autoLine="0" autoPict="0">
                <anchor moveWithCells="1">
                  <from>
                    <xdr:col>2</xdr:col>
                    <xdr:colOff>28575</xdr:colOff>
                    <xdr:row>107</xdr:row>
                    <xdr:rowOff>0</xdr:rowOff>
                  </from>
                  <to>
                    <xdr:col>2</xdr:col>
                    <xdr:colOff>342900</xdr:colOff>
                    <xdr:row>327</xdr:row>
                    <xdr:rowOff>142875</xdr:rowOff>
                  </to>
                </anchor>
              </controlPr>
            </control>
          </mc:Choice>
        </mc:AlternateContent>
        <mc:AlternateContent xmlns:mc="http://schemas.openxmlformats.org/markup-compatibility/2006">
          <mc:Choice Requires="x14">
            <control shapeId="64588" r:id="rId18" name="Check Box 76">
              <controlPr defaultSize="0" autoFill="0" autoLine="0" autoPict="0">
                <anchor moveWithCells="1">
                  <from>
                    <xdr:col>2</xdr:col>
                    <xdr:colOff>28575</xdr:colOff>
                    <xdr:row>107</xdr:row>
                    <xdr:rowOff>0</xdr:rowOff>
                  </from>
                  <to>
                    <xdr:col>2</xdr:col>
                    <xdr:colOff>342900</xdr:colOff>
                    <xdr:row>327</xdr:row>
                    <xdr:rowOff>209550</xdr:rowOff>
                  </to>
                </anchor>
              </controlPr>
            </control>
          </mc:Choice>
        </mc:AlternateContent>
        <mc:AlternateContent xmlns:mc="http://schemas.openxmlformats.org/markup-compatibility/2006">
          <mc:Choice Requires="x14">
            <control shapeId="64589" r:id="rId19" name="Check Box 77">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590" r:id="rId20" name="Check Box 78">
              <controlPr defaultSize="0" autoFill="0" autoLine="0" autoPict="0">
                <anchor moveWithCells="1">
                  <from>
                    <xdr:col>2</xdr:col>
                    <xdr:colOff>28575</xdr:colOff>
                    <xdr:row>107</xdr:row>
                    <xdr:rowOff>0</xdr:rowOff>
                  </from>
                  <to>
                    <xdr:col>2</xdr:col>
                    <xdr:colOff>342900</xdr:colOff>
                    <xdr:row>327</xdr:row>
                    <xdr:rowOff>123825</xdr:rowOff>
                  </to>
                </anchor>
              </controlPr>
            </control>
          </mc:Choice>
        </mc:AlternateContent>
        <mc:AlternateContent xmlns:mc="http://schemas.openxmlformats.org/markup-compatibility/2006">
          <mc:Choice Requires="x14">
            <control shapeId="64591" r:id="rId21" name="Check Box 79">
              <controlPr defaultSize="0" autoFill="0" autoLine="0" autoPict="0">
                <anchor moveWithCells="1">
                  <from>
                    <xdr:col>2</xdr:col>
                    <xdr:colOff>28575</xdr:colOff>
                    <xdr:row>107</xdr:row>
                    <xdr:rowOff>0</xdr:rowOff>
                  </from>
                  <to>
                    <xdr:col>2</xdr:col>
                    <xdr:colOff>371475</xdr:colOff>
                    <xdr:row>327</xdr:row>
                    <xdr:rowOff>219075</xdr:rowOff>
                  </to>
                </anchor>
              </controlPr>
            </control>
          </mc:Choice>
        </mc:AlternateContent>
        <mc:AlternateContent xmlns:mc="http://schemas.openxmlformats.org/markup-compatibility/2006">
          <mc:Choice Requires="x14">
            <control shapeId="64592" r:id="rId22" name="Check Box 80">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593" r:id="rId23" name="Check Box 81">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594" r:id="rId24" name="Check Box 82">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595" r:id="rId25" name="Check Box 83">
              <controlPr defaultSize="0" autoFill="0" autoLine="0" autoPict="0">
                <anchor moveWithCells="1">
                  <from>
                    <xdr:col>2</xdr:col>
                    <xdr:colOff>28575</xdr:colOff>
                    <xdr:row>107</xdr:row>
                    <xdr:rowOff>0</xdr:rowOff>
                  </from>
                  <to>
                    <xdr:col>2</xdr:col>
                    <xdr:colOff>342900</xdr:colOff>
                    <xdr:row>327</xdr:row>
                    <xdr:rowOff>295275</xdr:rowOff>
                  </to>
                </anchor>
              </controlPr>
            </control>
          </mc:Choice>
        </mc:AlternateContent>
        <mc:AlternateContent xmlns:mc="http://schemas.openxmlformats.org/markup-compatibility/2006">
          <mc:Choice Requires="x14">
            <control shapeId="64596" r:id="rId26" name="Check Box 84">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597" r:id="rId27" name="Check Box 85">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598" r:id="rId28" name="Check Box 86">
              <controlPr defaultSize="0" autoFill="0" autoLine="0" autoPict="0">
                <anchor moveWithCells="1">
                  <from>
                    <xdr:col>2</xdr:col>
                    <xdr:colOff>28575</xdr:colOff>
                    <xdr:row>107</xdr:row>
                    <xdr:rowOff>0</xdr:rowOff>
                  </from>
                  <to>
                    <xdr:col>2</xdr:col>
                    <xdr:colOff>342900</xdr:colOff>
                    <xdr:row>327</xdr:row>
                    <xdr:rowOff>76200</xdr:rowOff>
                  </to>
                </anchor>
              </controlPr>
            </control>
          </mc:Choice>
        </mc:AlternateContent>
        <mc:AlternateContent xmlns:mc="http://schemas.openxmlformats.org/markup-compatibility/2006">
          <mc:Choice Requires="x14">
            <control shapeId="64599" r:id="rId29" name="Check Box 87">
              <controlPr defaultSize="0" autoFill="0" autoLine="0" autoPict="0">
                <anchor moveWithCells="1">
                  <from>
                    <xdr:col>2</xdr:col>
                    <xdr:colOff>28575</xdr:colOff>
                    <xdr:row>107</xdr:row>
                    <xdr:rowOff>0</xdr:rowOff>
                  </from>
                  <to>
                    <xdr:col>2</xdr:col>
                    <xdr:colOff>342900</xdr:colOff>
                    <xdr:row>327</xdr:row>
                    <xdr:rowOff>304800</xdr:rowOff>
                  </to>
                </anchor>
              </controlPr>
            </control>
          </mc:Choice>
        </mc:AlternateContent>
        <mc:AlternateContent xmlns:mc="http://schemas.openxmlformats.org/markup-compatibility/2006">
          <mc:Choice Requires="x14">
            <control shapeId="64600" r:id="rId30" name="Check Box 88">
              <controlPr defaultSize="0" autoFill="0" autoLine="0" autoPict="0">
                <anchor moveWithCells="1">
                  <from>
                    <xdr:col>2</xdr:col>
                    <xdr:colOff>28575</xdr:colOff>
                    <xdr:row>107</xdr:row>
                    <xdr:rowOff>0</xdr:rowOff>
                  </from>
                  <to>
                    <xdr:col>2</xdr:col>
                    <xdr:colOff>342900</xdr:colOff>
                    <xdr:row>327</xdr:row>
                    <xdr:rowOff>171450</xdr:rowOff>
                  </to>
                </anchor>
              </controlPr>
            </control>
          </mc:Choice>
        </mc:AlternateContent>
        <mc:AlternateContent xmlns:mc="http://schemas.openxmlformats.org/markup-compatibility/2006">
          <mc:Choice Requires="x14">
            <control shapeId="64601" r:id="rId31" name="Check Box 89">
              <controlPr defaultSize="0" autoFill="0" autoLine="0" autoPict="0">
                <anchor moveWithCells="1">
                  <from>
                    <xdr:col>2</xdr:col>
                    <xdr:colOff>28575</xdr:colOff>
                    <xdr:row>107</xdr:row>
                    <xdr:rowOff>0</xdr:rowOff>
                  </from>
                  <to>
                    <xdr:col>2</xdr:col>
                    <xdr:colOff>342900</xdr:colOff>
                    <xdr:row>327</xdr:row>
                    <xdr:rowOff>114300</xdr:rowOff>
                  </to>
                </anchor>
              </controlPr>
            </control>
          </mc:Choice>
        </mc:AlternateContent>
        <mc:AlternateContent xmlns:mc="http://schemas.openxmlformats.org/markup-compatibility/2006">
          <mc:Choice Requires="x14">
            <control shapeId="64602" r:id="rId32" name="Check Box 90">
              <controlPr defaultSize="0" autoFill="0" autoLine="0" autoPict="0">
                <anchor moveWithCells="1">
                  <from>
                    <xdr:col>2</xdr:col>
                    <xdr:colOff>28575</xdr:colOff>
                    <xdr:row>107</xdr:row>
                    <xdr:rowOff>0</xdr:rowOff>
                  </from>
                  <to>
                    <xdr:col>2</xdr:col>
                    <xdr:colOff>342900</xdr:colOff>
                    <xdr:row>327</xdr:row>
                    <xdr:rowOff>228600</xdr:rowOff>
                  </to>
                </anchor>
              </controlPr>
            </control>
          </mc:Choice>
        </mc:AlternateContent>
        <mc:AlternateContent xmlns:mc="http://schemas.openxmlformats.org/markup-compatibility/2006">
          <mc:Choice Requires="x14">
            <control shapeId="64603" r:id="rId33" name="Check Box 91">
              <controlPr defaultSize="0" autoFill="0" autoLine="0" autoPict="0">
                <anchor moveWithCells="1">
                  <from>
                    <xdr:col>2</xdr:col>
                    <xdr:colOff>28575</xdr:colOff>
                    <xdr:row>107</xdr:row>
                    <xdr:rowOff>0</xdr:rowOff>
                  </from>
                  <to>
                    <xdr:col>2</xdr:col>
                    <xdr:colOff>342900</xdr:colOff>
                    <xdr:row>327</xdr:row>
                    <xdr:rowOff>228600</xdr:rowOff>
                  </to>
                </anchor>
              </controlPr>
            </control>
          </mc:Choice>
        </mc:AlternateContent>
        <mc:AlternateContent xmlns:mc="http://schemas.openxmlformats.org/markup-compatibility/2006">
          <mc:Choice Requires="x14">
            <control shapeId="64604" r:id="rId34" name="Check Box 92">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605" r:id="rId35" name="Check Box 93">
              <controlPr defaultSize="0" autoFill="0" autoLine="0" autoPict="0">
                <anchor moveWithCells="1">
                  <from>
                    <xdr:col>2</xdr:col>
                    <xdr:colOff>28575</xdr:colOff>
                    <xdr:row>107</xdr:row>
                    <xdr:rowOff>0</xdr:rowOff>
                  </from>
                  <to>
                    <xdr:col>2</xdr:col>
                    <xdr:colOff>342900</xdr:colOff>
                    <xdr:row>327</xdr:row>
                    <xdr:rowOff>123825</xdr:rowOff>
                  </to>
                </anchor>
              </controlPr>
            </control>
          </mc:Choice>
        </mc:AlternateContent>
        <mc:AlternateContent xmlns:mc="http://schemas.openxmlformats.org/markup-compatibility/2006">
          <mc:Choice Requires="x14">
            <control shapeId="64607" r:id="rId36" name="Check Box 95">
              <controlPr defaultSize="0" autoFill="0" autoLine="0" autoPict="0">
                <anchor moveWithCells="1">
                  <from>
                    <xdr:col>2</xdr:col>
                    <xdr:colOff>28575</xdr:colOff>
                    <xdr:row>107</xdr:row>
                    <xdr:rowOff>0</xdr:rowOff>
                  </from>
                  <to>
                    <xdr:col>2</xdr:col>
                    <xdr:colOff>342900</xdr:colOff>
                    <xdr:row>327</xdr:row>
                    <xdr:rowOff>200025</xdr:rowOff>
                  </to>
                </anchor>
              </controlPr>
            </control>
          </mc:Choice>
        </mc:AlternateContent>
        <mc:AlternateContent xmlns:mc="http://schemas.openxmlformats.org/markup-compatibility/2006">
          <mc:Choice Requires="x14">
            <control shapeId="64608" r:id="rId37" name="Check Box 96">
              <controlPr defaultSize="0" autoFill="0" autoLine="0" autoPict="0">
                <anchor moveWithCells="1">
                  <from>
                    <xdr:col>2</xdr:col>
                    <xdr:colOff>28575</xdr:colOff>
                    <xdr:row>107</xdr:row>
                    <xdr:rowOff>0</xdr:rowOff>
                  </from>
                  <to>
                    <xdr:col>2</xdr:col>
                    <xdr:colOff>342900</xdr:colOff>
                    <xdr:row>327</xdr:row>
                    <xdr:rowOff>209550</xdr:rowOff>
                  </to>
                </anchor>
              </controlPr>
            </control>
          </mc:Choice>
        </mc:AlternateContent>
        <mc:AlternateContent xmlns:mc="http://schemas.openxmlformats.org/markup-compatibility/2006">
          <mc:Choice Requires="x14">
            <control shapeId="64609" r:id="rId38" name="Check Box 97">
              <controlPr defaultSize="0" autoFill="0" autoLine="0" autoPict="0">
                <anchor moveWithCells="1">
                  <from>
                    <xdr:col>2</xdr:col>
                    <xdr:colOff>28575</xdr:colOff>
                    <xdr:row>107</xdr:row>
                    <xdr:rowOff>0</xdr:rowOff>
                  </from>
                  <to>
                    <xdr:col>2</xdr:col>
                    <xdr:colOff>342900</xdr:colOff>
                    <xdr:row>327</xdr:row>
                    <xdr:rowOff>161925</xdr:rowOff>
                  </to>
                </anchor>
              </controlPr>
            </control>
          </mc:Choice>
        </mc:AlternateContent>
        <mc:AlternateContent xmlns:mc="http://schemas.openxmlformats.org/markup-compatibility/2006">
          <mc:Choice Requires="x14">
            <control shapeId="64610" r:id="rId39" name="Check Box 98">
              <controlPr defaultSize="0" autoFill="0" autoLine="0" autoPict="0">
                <anchor moveWithCells="1">
                  <from>
                    <xdr:col>2</xdr:col>
                    <xdr:colOff>28575</xdr:colOff>
                    <xdr:row>107</xdr:row>
                    <xdr:rowOff>0</xdr:rowOff>
                  </from>
                  <to>
                    <xdr:col>2</xdr:col>
                    <xdr:colOff>342900</xdr:colOff>
                    <xdr:row>327</xdr:row>
                    <xdr:rowOff>209550</xdr:rowOff>
                  </to>
                </anchor>
              </controlPr>
            </control>
          </mc:Choice>
        </mc:AlternateContent>
        <mc:AlternateContent xmlns:mc="http://schemas.openxmlformats.org/markup-compatibility/2006">
          <mc:Choice Requires="x14">
            <control shapeId="64611" r:id="rId40" name="Check Box 99">
              <controlPr defaultSize="0" autoFill="0" autoLine="0" autoPict="0">
                <anchor moveWithCells="1">
                  <from>
                    <xdr:col>2</xdr:col>
                    <xdr:colOff>28575</xdr:colOff>
                    <xdr:row>107</xdr:row>
                    <xdr:rowOff>0</xdr:rowOff>
                  </from>
                  <to>
                    <xdr:col>2</xdr:col>
                    <xdr:colOff>342900</xdr:colOff>
                    <xdr:row>327</xdr:row>
                    <xdr:rowOff>200025</xdr:rowOff>
                  </to>
                </anchor>
              </controlPr>
            </control>
          </mc:Choice>
        </mc:AlternateContent>
        <mc:AlternateContent xmlns:mc="http://schemas.openxmlformats.org/markup-compatibility/2006">
          <mc:Choice Requires="x14">
            <control shapeId="64612" r:id="rId41" name="Check Box 100">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613" r:id="rId42" name="Check Box 101">
              <controlPr defaultSize="0" autoFill="0" autoLine="0" autoPict="0">
                <anchor moveWithCells="1">
                  <from>
                    <xdr:col>2</xdr:col>
                    <xdr:colOff>28575</xdr:colOff>
                    <xdr:row>107</xdr:row>
                    <xdr:rowOff>0</xdr:rowOff>
                  </from>
                  <to>
                    <xdr:col>2</xdr:col>
                    <xdr:colOff>342900</xdr:colOff>
                    <xdr:row>327</xdr:row>
                    <xdr:rowOff>85725</xdr:rowOff>
                  </to>
                </anchor>
              </controlPr>
            </control>
          </mc:Choice>
        </mc:AlternateContent>
        <mc:AlternateContent xmlns:mc="http://schemas.openxmlformats.org/markup-compatibility/2006">
          <mc:Choice Requires="x14">
            <control shapeId="64654" r:id="rId43" name="Check Box 142">
              <controlPr defaultSize="0" autoFill="0" autoLine="0" autoPict="0">
                <anchor moveWithCells="1">
                  <from>
                    <xdr:col>2</xdr:col>
                    <xdr:colOff>28575</xdr:colOff>
                    <xdr:row>107</xdr:row>
                    <xdr:rowOff>0</xdr:rowOff>
                  </from>
                  <to>
                    <xdr:col>2</xdr:col>
                    <xdr:colOff>247650</xdr:colOff>
                    <xdr:row>327</xdr:row>
                    <xdr:rowOff>219075</xdr:rowOff>
                  </to>
                </anchor>
              </controlPr>
            </control>
          </mc:Choice>
        </mc:AlternateContent>
        <mc:AlternateContent xmlns:mc="http://schemas.openxmlformats.org/markup-compatibility/2006">
          <mc:Choice Requires="x14">
            <control shapeId="64655" r:id="rId44" name="Check Box 143">
              <controlPr defaultSize="0" autoFill="0" autoLine="0" autoPict="0">
                <anchor moveWithCells="1">
                  <from>
                    <xdr:col>2</xdr:col>
                    <xdr:colOff>28575</xdr:colOff>
                    <xdr:row>107</xdr:row>
                    <xdr:rowOff>0</xdr:rowOff>
                  </from>
                  <to>
                    <xdr:col>2</xdr:col>
                    <xdr:colOff>342900</xdr:colOff>
                    <xdr:row>327</xdr:row>
                    <xdr:rowOff>228600</xdr:rowOff>
                  </to>
                </anchor>
              </controlPr>
            </control>
          </mc:Choice>
        </mc:AlternateContent>
        <mc:AlternateContent xmlns:mc="http://schemas.openxmlformats.org/markup-compatibility/2006">
          <mc:Choice Requires="x14">
            <control shapeId="64660" r:id="rId45" name="Check Box 148">
              <controlPr defaultSize="0" autoFill="0" autoLine="0" autoPict="0">
                <anchor moveWithCells="1">
                  <from>
                    <xdr:col>2</xdr:col>
                    <xdr:colOff>28575</xdr:colOff>
                    <xdr:row>107</xdr:row>
                    <xdr:rowOff>0</xdr:rowOff>
                  </from>
                  <to>
                    <xdr:col>2</xdr:col>
                    <xdr:colOff>342900</xdr:colOff>
                    <xdr:row>327</xdr:row>
                    <xdr:rowOff>133350</xdr:rowOff>
                  </to>
                </anchor>
              </controlPr>
            </control>
          </mc:Choice>
        </mc:AlternateContent>
        <mc:AlternateContent xmlns:mc="http://schemas.openxmlformats.org/markup-compatibility/2006">
          <mc:Choice Requires="x14">
            <control shapeId="64661" r:id="rId46" name="Check Box 149">
              <controlPr defaultSize="0" autoFill="0" autoLine="0" autoPict="0">
                <anchor moveWithCells="1">
                  <from>
                    <xdr:col>2</xdr:col>
                    <xdr:colOff>28575</xdr:colOff>
                    <xdr:row>107</xdr:row>
                    <xdr:rowOff>0</xdr:rowOff>
                  </from>
                  <to>
                    <xdr:col>2</xdr:col>
                    <xdr:colOff>342900</xdr:colOff>
                    <xdr:row>327</xdr:row>
                    <xdr:rowOff>200025</xdr:rowOff>
                  </to>
                </anchor>
              </controlPr>
            </control>
          </mc:Choice>
        </mc:AlternateContent>
        <mc:AlternateContent xmlns:mc="http://schemas.openxmlformats.org/markup-compatibility/2006">
          <mc:Choice Requires="x14">
            <control shapeId="64662" r:id="rId47" name="Check Box 150">
              <controlPr defaultSize="0" autoFill="0" autoLine="0" autoPict="0">
                <anchor moveWithCells="1">
                  <from>
                    <xdr:col>2</xdr:col>
                    <xdr:colOff>28575</xdr:colOff>
                    <xdr:row>107</xdr:row>
                    <xdr:rowOff>0</xdr:rowOff>
                  </from>
                  <to>
                    <xdr:col>2</xdr:col>
                    <xdr:colOff>342900</xdr:colOff>
                    <xdr:row>327</xdr:row>
                    <xdr:rowOff>114300</xdr:rowOff>
                  </to>
                </anchor>
              </controlPr>
            </control>
          </mc:Choice>
        </mc:AlternateContent>
        <mc:AlternateContent xmlns:mc="http://schemas.openxmlformats.org/markup-compatibility/2006">
          <mc:Choice Requires="x14">
            <control shapeId="64677" r:id="rId48" name="Check Box 165">
              <controlPr defaultSize="0" autoFill="0" autoLine="0" autoPict="0">
                <anchor moveWithCells="1">
                  <from>
                    <xdr:col>2</xdr:col>
                    <xdr:colOff>0</xdr:colOff>
                    <xdr:row>107</xdr:row>
                    <xdr:rowOff>0</xdr:rowOff>
                  </from>
                  <to>
                    <xdr:col>2</xdr:col>
                    <xdr:colOff>295275</xdr:colOff>
                    <xdr:row>327</xdr:row>
                    <xdr:rowOff>142875</xdr:rowOff>
                  </to>
                </anchor>
              </controlPr>
            </control>
          </mc:Choice>
        </mc:AlternateContent>
        <mc:AlternateContent xmlns:mc="http://schemas.openxmlformats.org/markup-compatibility/2006">
          <mc:Choice Requires="x14">
            <control shapeId="64682" r:id="rId49" name="Check Box 170">
              <controlPr defaultSize="0" autoFill="0" autoLine="0" autoPict="0">
                <anchor moveWithCells="1">
                  <from>
                    <xdr:col>2</xdr:col>
                    <xdr:colOff>19050</xdr:colOff>
                    <xdr:row>107</xdr:row>
                    <xdr:rowOff>0</xdr:rowOff>
                  </from>
                  <to>
                    <xdr:col>2</xdr:col>
                    <xdr:colOff>342900</xdr:colOff>
                    <xdr:row>327</xdr:row>
                    <xdr:rowOff>142875</xdr:rowOff>
                  </to>
                </anchor>
              </controlPr>
            </control>
          </mc:Choice>
        </mc:AlternateContent>
        <mc:AlternateContent xmlns:mc="http://schemas.openxmlformats.org/markup-compatibility/2006">
          <mc:Choice Requires="x14">
            <control shapeId="64684" r:id="rId50" name="Button 172">
              <controlPr defaultSize="0" print="0" autoFill="0" autoPict="0" macro="[0]!Print_Sheet" altText="Print this page">
                <anchor moveWithCells="1" sizeWithCells="1">
                  <from>
                    <xdr:col>12</xdr:col>
                    <xdr:colOff>76200</xdr:colOff>
                    <xdr:row>4</xdr:row>
                    <xdr:rowOff>85725</xdr:rowOff>
                  </from>
                  <to>
                    <xdr:col>12</xdr:col>
                    <xdr:colOff>1009650</xdr:colOff>
                    <xdr:row>5</xdr:row>
                    <xdr:rowOff>238125</xdr:rowOff>
                  </to>
                </anchor>
              </controlPr>
            </control>
          </mc:Choice>
        </mc:AlternateContent>
        <mc:AlternateContent xmlns:mc="http://schemas.openxmlformats.org/markup-compatibility/2006">
          <mc:Choice Requires="x14">
            <control shapeId="64685" r:id="rId51" name="Button 173">
              <controlPr defaultSize="0" print="0" autoFill="0" autoPict="0" macro="[0]!ResetInputCells" altText="Print this page">
                <anchor moveWithCells="1" sizeWithCells="1">
                  <from>
                    <xdr:col>11</xdr:col>
                    <xdr:colOff>47625</xdr:colOff>
                    <xdr:row>4</xdr:row>
                    <xdr:rowOff>104775</xdr:rowOff>
                  </from>
                  <to>
                    <xdr:col>11</xdr:col>
                    <xdr:colOff>990600</xdr:colOff>
                    <xdr:row>6</xdr:row>
                    <xdr:rowOff>0</xdr:rowOff>
                  </to>
                </anchor>
              </controlPr>
            </control>
          </mc:Choice>
        </mc:AlternateContent>
        <mc:AlternateContent xmlns:mc="http://schemas.openxmlformats.org/markup-compatibility/2006">
          <mc:Choice Requires="x14">
            <control shapeId="64686" r:id="rId52" name="Check Box 174">
              <controlPr defaultSize="0" autoFill="0" autoLine="0" autoPict="0">
                <anchor moveWithCells="1">
                  <from>
                    <xdr:col>2</xdr:col>
                    <xdr:colOff>19050</xdr:colOff>
                    <xdr:row>107</xdr:row>
                    <xdr:rowOff>0</xdr:rowOff>
                  </from>
                  <to>
                    <xdr:col>2</xdr:col>
                    <xdr:colOff>228600</xdr:colOff>
                    <xdr:row>327</xdr:row>
                    <xdr:rowOff>228600</xdr:rowOff>
                  </to>
                </anchor>
              </controlPr>
            </control>
          </mc:Choice>
        </mc:AlternateContent>
        <mc:AlternateContent xmlns:mc="http://schemas.openxmlformats.org/markup-compatibility/2006">
          <mc:Choice Requires="x14">
            <control shapeId="64697" r:id="rId53" name="Check Box 185">
              <controlPr defaultSize="0" autoFill="0" autoLine="0" autoPict="0">
                <anchor moveWithCells="1">
                  <from>
                    <xdr:col>2</xdr:col>
                    <xdr:colOff>28575</xdr:colOff>
                    <xdr:row>22</xdr:row>
                    <xdr:rowOff>76200</xdr:rowOff>
                  </from>
                  <to>
                    <xdr:col>2</xdr:col>
                    <xdr:colOff>342900</xdr:colOff>
                    <xdr:row>22</xdr:row>
                    <xdr:rowOff>285750</xdr:rowOff>
                  </to>
                </anchor>
              </controlPr>
            </control>
          </mc:Choice>
        </mc:AlternateContent>
        <mc:AlternateContent xmlns:mc="http://schemas.openxmlformats.org/markup-compatibility/2006">
          <mc:Choice Requires="x14">
            <control shapeId="64698" r:id="rId54" name="Check Box 186">
              <controlPr defaultSize="0" autoFill="0" autoLine="0" autoPict="0">
                <anchor moveWithCells="1">
                  <from>
                    <xdr:col>2</xdr:col>
                    <xdr:colOff>28575</xdr:colOff>
                    <xdr:row>23</xdr:row>
                    <xdr:rowOff>66675</xdr:rowOff>
                  </from>
                  <to>
                    <xdr:col>2</xdr:col>
                    <xdr:colOff>342900</xdr:colOff>
                    <xdr:row>23</xdr:row>
                    <xdr:rowOff>285750</xdr:rowOff>
                  </to>
                </anchor>
              </controlPr>
            </control>
          </mc:Choice>
        </mc:AlternateContent>
        <mc:AlternateContent xmlns:mc="http://schemas.openxmlformats.org/markup-compatibility/2006">
          <mc:Choice Requires="x14">
            <control shapeId="64699" r:id="rId55" name="Check Box 187">
              <controlPr defaultSize="0" autoFill="0" autoLine="0" autoPict="0">
                <anchor moveWithCells="1">
                  <from>
                    <xdr:col>2</xdr:col>
                    <xdr:colOff>28575</xdr:colOff>
                    <xdr:row>24</xdr:row>
                    <xdr:rowOff>104775</xdr:rowOff>
                  </from>
                  <to>
                    <xdr:col>2</xdr:col>
                    <xdr:colOff>342900</xdr:colOff>
                    <xdr:row>24</xdr:row>
                    <xdr:rowOff>285750</xdr:rowOff>
                  </to>
                </anchor>
              </controlPr>
            </control>
          </mc:Choice>
        </mc:AlternateContent>
        <mc:AlternateContent xmlns:mc="http://schemas.openxmlformats.org/markup-compatibility/2006">
          <mc:Choice Requires="x14">
            <control shapeId="64700" r:id="rId56" name="Check Box 188">
              <controlPr defaultSize="0" autoFill="0" autoLine="0" autoPict="0">
                <anchor moveWithCells="1">
                  <from>
                    <xdr:col>2</xdr:col>
                    <xdr:colOff>28575</xdr:colOff>
                    <xdr:row>25</xdr:row>
                    <xdr:rowOff>85725</xdr:rowOff>
                  </from>
                  <to>
                    <xdr:col>2</xdr:col>
                    <xdr:colOff>342900</xdr:colOff>
                    <xdr:row>25</xdr:row>
                    <xdr:rowOff>266700</xdr:rowOff>
                  </to>
                </anchor>
              </controlPr>
            </control>
          </mc:Choice>
        </mc:AlternateContent>
        <mc:AlternateContent xmlns:mc="http://schemas.openxmlformats.org/markup-compatibility/2006">
          <mc:Choice Requires="x14">
            <control shapeId="64701" r:id="rId57" name="Check Box 189">
              <controlPr defaultSize="0" autoFill="0" autoLine="0" autoPict="0">
                <anchor moveWithCells="1">
                  <from>
                    <xdr:col>2</xdr:col>
                    <xdr:colOff>28575</xdr:colOff>
                    <xdr:row>26</xdr:row>
                    <xdr:rowOff>85725</xdr:rowOff>
                  </from>
                  <to>
                    <xdr:col>2</xdr:col>
                    <xdr:colOff>342900</xdr:colOff>
                    <xdr:row>26</xdr:row>
                    <xdr:rowOff>276225</xdr:rowOff>
                  </to>
                </anchor>
              </controlPr>
            </control>
          </mc:Choice>
        </mc:AlternateContent>
        <mc:AlternateContent xmlns:mc="http://schemas.openxmlformats.org/markup-compatibility/2006">
          <mc:Choice Requires="x14">
            <control shapeId="64702" r:id="rId58" name="Check Box 190">
              <controlPr defaultSize="0" autoFill="0" autoLine="0" autoPict="0">
                <anchor moveWithCells="1">
                  <from>
                    <xdr:col>2</xdr:col>
                    <xdr:colOff>28575</xdr:colOff>
                    <xdr:row>27</xdr:row>
                    <xdr:rowOff>95250</xdr:rowOff>
                  </from>
                  <to>
                    <xdr:col>2</xdr:col>
                    <xdr:colOff>342900</xdr:colOff>
                    <xdr:row>27</xdr:row>
                    <xdr:rowOff>257175</xdr:rowOff>
                  </to>
                </anchor>
              </controlPr>
            </control>
          </mc:Choice>
        </mc:AlternateContent>
        <mc:AlternateContent xmlns:mc="http://schemas.openxmlformats.org/markup-compatibility/2006">
          <mc:Choice Requires="x14">
            <control shapeId="64703" r:id="rId59" name="Check Box 191">
              <controlPr defaultSize="0" autoFill="0" autoLine="0" autoPict="0">
                <anchor moveWithCells="1">
                  <from>
                    <xdr:col>2</xdr:col>
                    <xdr:colOff>28575</xdr:colOff>
                    <xdr:row>28</xdr:row>
                    <xdr:rowOff>85725</xdr:rowOff>
                  </from>
                  <to>
                    <xdr:col>2</xdr:col>
                    <xdr:colOff>342900</xdr:colOff>
                    <xdr:row>28</xdr:row>
                    <xdr:rowOff>276225</xdr:rowOff>
                  </to>
                </anchor>
              </controlPr>
            </control>
          </mc:Choice>
        </mc:AlternateContent>
        <mc:AlternateContent xmlns:mc="http://schemas.openxmlformats.org/markup-compatibility/2006">
          <mc:Choice Requires="x14">
            <control shapeId="64704" r:id="rId60" name="Check Box 192">
              <controlPr defaultSize="0" autoFill="0" autoLine="0" autoPict="0">
                <anchor moveWithCells="1">
                  <from>
                    <xdr:col>2</xdr:col>
                    <xdr:colOff>28575</xdr:colOff>
                    <xdr:row>29</xdr:row>
                    <xdr:rowOff>123825</xdr:rowOff>
                  </from>
                  <to>
                    <xdr:col>2</xdr:col>
                    <xdr:colOff>342900</xdr:colOff>
                    <xdr:row>29</xdr:row>
                    <xdr:rowOff>228600</xdr:rowOff>
                  </to>
                </anchor>
              </controlPr>
            </control>
          </mc:Choice>
        </mc:AlternateContent>
        <mc:AlternateContent xmlns:mc="http://schemas.openxmlformats.org/markup-compatibility/2006">
          <mc:Choice Requires="x14">
            <control shapeId="64705" r:id="rId61" name="Check Box 193">
              <controlPr defaultSize="0" autoFill="0" autoLine="0" autoPict="0">
                <anchor moveWithCells="1">
                  <from>
                    <xdr:col>2</xdr:col>
                    <xdr:colOff>28575</xdr:colOff>
                    <xdr:row>30</xdr:row>
                    <xdr:rowOff>76200</xdr:rowOff>
                  </from>
                  <to>
                    <xdr:col>2</xdr:col>
                    <xdr:colOff>342900</xdr:colOff>
                    <xdr:row>30</xdr:row>
                    <xdr:rowOff>266700</xdr:rowOff>
                  </to>
                </anchor>
              </controlPr>
            </control>
          </mc:Choice>
        </mc:AlternateContent>
        <mc:AlternateContent xmlns:mc="http://schemas.openxmlformats.org/markup-compatibility/2006">
          <mc:Choice Requires="x14">
            <control shapeId="64706" r:id="rId62" name="Check Box 194">
              <controlPr defaultSize="0" autoFill="0" autoLine="0" autoPict="0">
                <anchor moveWithCells="1">
                  <from>
                    <xdr:col>2</xdr:col>
                    <xdr:colOff>28575</xdr:colOff>
                    <xdr:row>31</xdr:row>
                    <xdr:rowOff>76200</xdr:rowOff>
                  </from>
                  <to>
                    <xdr:col>2</xdr:col>
                    <xdr:colOff>342900</xdr:colOff>
                    <xdr:row>31</xdr:row>
                    <xdr:rowOff>266700</xdr:rowOff>
                  </to>
                </anchor>
              </controlPr>
            </control>
          </mc:Choice>
        </mc:AlternateContent>
        <mc:AlternateContent xmlns:mc="http://schemas.openxmlformats.org/markup-compatibility/2006">
          <mc:Choice Requires="x14">
            <control shapeId="64715" r:id="rId63" name="Check Box 203">
              <controlPr defaultSize="0" autoFill="0" autoLine="0" autoPict="0">
                <anchor moveWithCells="1">
                  <from>
                    <xdr:col>2</xdr:col>
                    <xdr:colOff>28575</xdr:colOff>
                    <xdr:row>55</xdr:row>
                    <xdr:rowOff>161925</xdr:rowOff>
                  </from>
                  <to>
                    <xdr:col>2</xdr:col>
                    <xdr:colOff>342900</xdr:colOff>
                    <xdr:row>57</xdr:row>
                    <xdr:rowOff>0</xdr:rowOff>
                  </to>
                </anchor>
              </controlPr>
            </control>
          </mc:Choice>
        </mc:AlternateContent>
        <mc:AlternateContent xmlns:mc="http://schemas.openxmlformats.org/markup-compatibility/2006">
          <mc:Choice Requires="x14">
            <control shapeId="64716" r:id="rId64" name="Check Box 204">
              <controlPr defaultSize="0" autoFill="0" autoLine="0" autoPict="0">
                <anchor moveWithCells="1">
                  <from>
                    <xdr:col>2</xdr:col>
                    <xdr:colOff>28575</xdr:colOff>
                    <xdr:row>57</xdr:row>
                    <xdr:rowOff>152400</xdr:rowOff>
                  </from>
                  <to>
                    <xdr:col>2</xdr:col>
                    <xdr:colOff>342900</xdr:colOff>
                    <xdr:row>59</xdr:row>
                    <xdr:rowOff>47625</xdr:rowOff>
                  </to>
                </anchor>
              </controlPr>
            </control>
          </mc:Choice>
        </mc:AlternateContent>
        <mc:AlternateContent xmlns:mc="http://schemas.openxmlformats.org/markup-compatibility/2006">
          <mc:Choice Requires="x14">
            <control shapeId="64717" r:id="rId65" name="Check Box 205">
              <controlPr defaultSize="0" autoFill="0" autoLine="0" autoPict="0">
                <anchor moveWithCells="1">
                  <from>
                    <xdr:col>2</xdr:col>
                    <xdr:colOff>28575</xdr:colOff>
                    <xdr:row>59</xdr:row>
                    <xdr:rowOff>28575</xdr:rowOff>
                  </from>
                  <to>
                    <xdr:col>2</xdr:col>
                    <xdr:colOff>342900</xdr:colOff>
                    <xdr:row>59</xdr:row>
                    <xdr:rowOff>304800</xdr:rowOff>
                  </to>
                </anchor>
              </controlPr>
            </control>
          </mc:Choice>
        </mc:AlternateContent>
        <mc:AlternateContent xmlns:mc="http://schemas.openxmlformats.org/markup-compatibility/2006">
          <mc:Choice Requires="x14">
            <control shapeId="64718" r:id="rId66" name="Check Box 206">
              <controlPr defaultSize="0" autoFill="0" autoLine="0" autoPict="0">
                <anchor moveWithCells="1">
                  <from>
                    <xdr:col>2</xdr:col>
                    <xdr:colOff>28575</xdr:colOff>
                    <xdr:row>59</xdr:row>
                    <xdr:rowOff>352425</xdr:rowOff>
                  </from>
                  <to>
                    <xdr:col>2</xdr:col>
                    <xdr:colOff>342900</xdr:colOff>
                    <xdr:row>61</xdr:row>
                    <xdr:rowOff>0</xdr:rowOff>
                  </to>
                </anchor>
              </controlPr>
            </control>
          </mc:Choice>
        </mc:AlternateContent>
        <mc:AlternateContent xmlns:mc="http://schemas.openxmlformats.org/markup-compatibility/2006">
          <mc:Choice Requires="x14">
            <control shapeId="64719" r:id="rId67" name="Check Box 207">
              <controlPr defaultSize="0" autoFill="0" autoLine="0" autoPict="0">
                <anchor moveWithCells="1">
                  <from>
                    <xdr:col>2</xdr:col>
                    <xdr:colOff>28575</xdr:colOff>
                    <xdr:row>61</xdr:row>
                    <xdr:rowOff>142875</xdr:rowOff>
                  </from>
                  <to>
                    <xdr:col>2</xdr:col>
                    <xdr:colOff>342900</xdr:colOff>
                    <xdr:row>63</xdr:row>
                    <xdr:rowOff>47625</xdr:rowOff>
                  </to>
                </anchor>
              </controlPr>
            </control>
          </mc:Choice>
        </mc:AlternateContent>
        <mc:AlternateContent xmlns:mc="http://schemas.openxmlformats.org/markup-compatibility/2006">
          <mc:Choice Requires="x14">
            <control shapeId="64720" r:id="rId68" name="Check Box 208">
              <controlPr defaultSize="0" autoFill="0" autoLine="0" autoPict="0">
                <anchor moveWithCells="1">
                  <from>
                    <xdr:col>2</xdr:col>
                    <xdr:colOff>28575</xdr:colOff>
                    <xdr:row>62</xdr:row>
                    <xdr:rowOff>142875</xdr:rowOff>
                  </from>
                  <to>
                    <xdr:col>2</xdr:col>
                    <xdr:colOff>342900</xdr:colOff>
                    <xdr:row>64</xdr:row>
                    <xdr:rowOff>47625</xdr:rowOff>
                  </to>
                </anchor>
              </controlPr>
            </control>
          </mc:Choice>
        </mc:AlternateContent>
        <mc:AlternateContent xmlns:mc="http://schemas.openxmlformats.org/markup-compatibility/2006">
          <mc:Choice Requires="x14">
            <control shapeId="64721" r:id="rId69" name="Check Box 209">
              <controlPr defaultSize="0" autoFill="0" autoLine="0" autoPict="0">
                <anchor moveWithCells="1">
                  <from>
                    <xdr:col>2</xdr:col>
                    <xdr:colOff>28575</xdr:colOff>
                    <xdr:row>63</xdr:row>
                    <xdr:rowOff>152400</xdr:rowOff>
                  </from>
                  <to>
                    <xdr:col>2</xdr:col>
                    <xdr:colOff>342900</xdr:colOff>
                    <xdr:row>65</xdr:row>
                    <xdr:rowOff>47625</xdr:rowOff>
                  </to>
                </anchor>
              </controlPr>
            </control>
          </mc:Choice>
        </mc:AlternateContent>
        <mc:AlternateContent xmlns:mc="http://schemas.openxmlformats.org/markup-compatibility/2006">
          <mc:Choice Requires="x14">
            <control shapeId="64722" r:id="rId70" name="Check Box 210">
              <controlPr defaultSize="0" autoFill="0" autoLine="0" autoPict="0">
                <anchor moveWithCells="1">
                  <from>
                    <xdr:col>2</xdr:col>
                    <xdr:colOff>28575</xdr:colOff>
                    <xdr:row>64</xdr:row>
                    <xdr:rowOff>152400</xdr:rowOff>
                  </from>
                  <to>
                    <xdr:col>2</xdr:col>
                    <xdr:colOff>381000</xdr:colOff>
                    <xdr:row>66</xdr:row>
                    <xdr:rowOff>19050</xdr:rowOff>
                  </to>
                </anchor>
              </controlPr>
            </control>
          </mc:Choice>
        </mc:AlternateContent>
        <mc:AlternateContent xmlns:mc="http://schemas.openxmlformats.org/markup-compatibility/2006">
          <mc:Choice Requires="x14">
            <control shapeId="64723" r:id="rId71" name="Check Box 211">
              <controlPr defaultSize="0" autoFill="0" autoLine="0" autoPict="0">
                <anchor moveWithCells="1">
                  <from>
                    <xdr:col>2</xdr:col>
                    <xdr:colOff>28575</xdr:colOff>
                    <xdr:row>79</xdr:row>
                    <xdr:rowOff>171450</xdr:rowOff>
                  </from>
                  <to>
                    <xdr:col>2</xdr:col>
                    <xdr:colOff>342900</xdr:colOff>
                    <xdr:row>81</xdr:row>
                    <xdr:rowOff>9525</xdr:rowOff>
                  </to>
                </anchor>
              </controlPr>
            </control>
          </mc:Choice>
        </mc:AlternateContent>
        <mc:AlternateContent xmlns:mc="http://schemas.openxmlformats.org/markup-compatibility/2006">
          <mc:Choice Requires="x14">
            <control shapeId="64724" r:id="rId72" name="Check Box 212">
              <controlPr defaultSize="0" autoFill="0" autoLine="0" autoPict="0">
                <anchor moveWithCells="1">
                  <from>
                    <xdr:col>2</xdr:col>
                    <xdr:colOff>28575</xdr:colOff>
                    <xdr:row>90</xdr:row>
                    <xdr:rowOff>180975</xdr:rowOff>
                  </from>
                  <to>
                    <xdr:col>2</xdr:col>
                    <xdr:colOff>342900</xdr:colOff>
                    <xdr:row>92</xdr:row>
                    <xdr:rowOff>19050</xdr:rowOff>
                  </to>
                </anchor>
              </controlPr>
            </control>
          </mc:Choice>
        </mc:AlternateContent>
        <mc:AlternateContent xmlns:mc="http://schemas.openxmlformats.org/markup-compatibility/2006">
          <mc:Choice Requires="x14">
            <control shapeId="64725" r:id="rId73" name="Check Box 213">
              <controlPr defaultSize="0" autoFill="0" autoLine="0" autoPict="0">
                <anchor moveWithCells="1">
                  <from>
                    <xdr:col>2</xdr:col>
                    <xdr:colOff>28575</xdr:colOff>
                    <xdr:row>70</xdr:row>
                    <xdr:rowOff>142875</xdr:rowOff>
                  </from>
                  <to>
                    <xdr:col>2</xdr:col>
                    <xdr:colOff>342900</xdr:colOff>
                    <xdr:row>72</xdr:row>
                    <xdr:rowOff>47625</xdr:rowOff>
                  </to>
                </anchor>
              </controlPr>
            </control>
          </mc:Choice>
        </mc:AlternateContent>
        <mc:AlternateContent xmlns:mc="http://schemas.openxmlformats.org/markup-compatibility/2006">
          <mc:Choice Requires="x14">
            <control shapeId="64726" r:id="rId74" name="Check Box 214">
              <controlPr defaultSize="0" autoFill="0" autoLine="0" autoPict="0">
                <anchor moveWithCells="1">
                  <from>
                    <xdr:col>2</xdr:col>
                    <xdr:colOff>28575</xdr:colOff>
                    <xdr:row>71</xdr:row>
                    <xdr:rowOff>142875</xdr:rowOff>
                  </from>
                  <to>
                    <xdr:col>2</xdr:col>
                    <xdr:colOff>342900</xdr:colOff>
                    <xdr:row>73</xdr:row>
                    <xdr:rowOff>47625</xdr:rowOff>
                  </to>
                </anchor>
              </controlPr>
            </control>
          </mc:Choice>
        </mc:AlternateContent>
        <mc:AlternateContent xmlns:mc="http://schemas.openxmlformats.org/markup-compatibility/2006">
          <mc:Choice Requires="x14">
            <control shapeId="64727" r:id="rId75" name="Check Box 215">
              <controlPr defaultSize="0" autoFill="0" autoLine="0" autoPict="0">
                <anchor moveWithCells="1">
                  <from>
                    <xdr:col>2</xdr:col>
                    <xdr:colOff>28575</xdr:colOff>
                    <xdr:row>72</xdr:row>
                    <xdr:rowOff>142875</xdr:rowOff>
                  </from>
                  <to>
                    <xdr:col>2</xdr:col>
                    <xdr:colOff>342900</xdr:colOff>
                    <xdr:row>74</xdr:row>
                    <xdr:rowOff>47625</xdr:rowOff>
                  </to>
                </anchor>
              </controlPr>
            </control>
          </mc:Choice>
        </mc:AlternateContent>
        <mc:AlternateContent xmlns:mc="http://schemas.openxmlformats.org/markup-compatibility/2006">
          <mc:Choice Requires="x14">
            <control shapeId="64728" r:id="rId76" name="Check Box 216">
              <controlPr defaultSize="0" autoFill="0" autoLine="0" autoPict="0">
                <anchor moveWithCells="1">
                  <from>
                    <xdr:col>2</xdr:col>
                    <xdr:colOff>28575</xdr:colOff>
                    <xdr:row>77</xdr:row>
                    <xdr:rowOff>161925</xdr:rowOff>
                  </from>
                  <to>
                    <xdr:col>2</xdr:col>
                    <xdr:colOff>342900</xdr:colOff>
                    <xdr:row>79</xdr:row>
                    <xdr:rowOff>0</xdr:rowOff>
                  </to>
                </anchor>
              </controlPr>
            </control>
          </mc:Choice>
        </mc:AlternateContent>
        <mc:AlternateContent xmlns:mc="http://schemas.openxmlformats.org/markup-compatibility/2006">
          <mc:Choice Requires="x14">
            <control shapeId="64729" r:id="rId77" name="Check Box 217">
              <controlPr defaultSize="0" autoFill="0" autoLine="0" autoPict="0">
                <anchor moveWithCells="1">
                  <from>
                    <xdr:col>2</xdr:col>
                    <xdr:colOff>28575</xdr:colOff>
                    <xdr:row>78</xdr:row>
                    <xdr:rowOff>180975</xdr:rowOff>
                  </from>
                  <to>
                    <xdr:col>2</xdr:col>
                    <xdr:colOff>342900</xdr:colOff>
                    <xdr:row>80</xdr:row>
                    <xdr:rowOff>19050</xdr:rowOff>
                  </to>
                </anchor>
              </controlPr>
            </control>
          </mc:Choice>
        </mc:AlternateContent>
        <mc:AlternateContent xmlns:mc="http://schemas.openxmlformats.org/markup-compatibility/2006">
          <mc:Choice Requires="x14">
            <control shapeId="64730" r:id="rId78" name="Check Box 218">
              <controlPr defaultSize="0" autoFill="0" autoLine="0" autoPict="0">
                <anchor moveWithCells="1">
                  <from>
                    <xdr:col>2</xdr:col>
                    <xdr:colOff>28575</xdr:colOff>
                    <xdr:row>81</xdr:row>
                    <xdr:rowOff>142875</xdr:rowOff>
                  </from>
                  <to>
                    <xdr:col>2</xdr:col>
                    <xdr:colOff>342900</xdr:colOff>
                    <xdr:row>83</xdr:row>
                    <xdr:rowOff>47625</xdr:rowOff>
                  </to>
                </anchor>
              </controlPr>
            </control>
          </mc:Choice>
        </mc:AlternateContent>
        <mc:AlternateContent xmlns:mc="http://schemas.openxmlformats.org/markup-compatibility/2006">
          <mc:Choice Requires="x14">
            <control shapeId="64731" r:id="rId79" name="Check Box 219">
              <controlPr defaultSize="0" autoFill="0" autoLine="0" autoPict="0">
                <anchor moveWithCells="1">
                  <from>
                    <xdr:col>2</xdr:col>
                    <xdr:colOff>28575</xdr:colOff>
                    <xdr:row>82</xdr:row>
                    <xdr:rowOff>133350</xdr:rowOff>
                  </from>
                  <to>
                    <xdr:col>2</xdr:col>
                    <xdr:colOff>342900</xdr:colOff>
                    <xdr:row>84</xdr:row>
                    <xdr:rowOff>47625</xdr:rowOff>
                  </to>
                </anchor>
              </controlPr>
            </control>
          </mc:Choice>
        </mc:AlternateContent>
        <mc:AlternateContent xmlns:mc="http://schemas.openxmlformats.org/markup-compatibility/2006">
          <mc:Choice Requires="x14">
            <control shapeId="64732" r:id="rId80" name="Check Box 220">
              <controlPr defaultSize="0" autoFill="0" autoLine="0" autoPict="0">
                <anchor moveWithCells="1">
                  <from>
                    <xdr:col>2</xdr:col>
                    <xdr:colOff>28575</xdr:colOff>
                    <xdr:row>83</xdr:row>
                    <xdr:rowOff>142875</xdr:rowOff>
                  </from>
                  <to>
                    <xdr:col>2</xdr:col>
                    <xdr:colOff>342900</xdr:colOff>
                    <xdr:row>85</xdr:row>
                    <xdr:rowOff>47625</xdr:rowOff>
                  </to>
                </anchor>
              </controlPr>
            </control>
          </mc:Choice>
        </mc:AlternateContent>
        <mc:AlternateContent xmlns:mc="http://schemas.openxmlformats.org/markup-compatibility/2006">
          <mc:Choice Requires="x14">
            <control shapeId="64733" r:id="rId81" name="Check Box 221">
              <controlPr defaultSize="0" autoFill="0" autoLine="0" autoPict="0">
                <anchor moveWithCells="1">
                  <from>
                    <xdr:col>2</xdr:col>
                    <xdr:colOff>28575</xdr:colOff>
                    <xdr:row>84</xdr:row>
                    <xdr:rowOff>142875</xdr:rowOff>
                  </from>
                  <to>
                    <xdr:col>2</xdr:col>
                    <xdr:colOff>342900</xdr:colOff>
                    <xdr:row>86</xdr:row>
                    <xdr:rowOff>47625</xdr:rowOff>
                  </to>
                </anchor>
              </controlPr>
            </control>
          </mc:Choice>
        </mc:AlternateContent>
        <mc:AlternateContent xmlns:mc="http://schemas.openxmlformats.org/markup-compatibility/2006">
          <mc:Choice Requires="x14">
            <control shapeId="64734" r:id="rId82" name="Check Box 222">
              <controlPr defaultSize="0" autoFill="0" autoLine="0" autoPict="0">
                <anchor moveWithCells="1">
                  <from>
                    <xdr:col>2</xdr:col>
                    <xdr:colOff>28575</xdr:colOff>
                    <xdr:row>85</xdr:row>
                    <xdr:rowOff>142875</xdr:rowOff>
                  </from>
                  <to>
                    <xdr:col>2</xdr:col>
                    <xdr:colOff>342900</xdr:colOff>
                    <xdr:row>87</xdr:row>
                    <xdr:rowOff>47625</xdr:rowOff>
                  </to>
                </anchor>
              </controlPr>
            </control>
          </mc:Choice>
        </mc:AlternateContent>
        <mc:AlternateContent xmlns:mc="http://schemas.openxmlformats.org/markup-compatibility/2006">
          <mc:Choice Requires="x14">
            <control shapeId="64735" r:id="rId83" name="Check Box 223">
              <controlPr defaultSize="0" autoFill="0" autoLine="0" autoPict="0">
                <anchor moveWithCells="1">
                  <from>
                    <xdr:col>2</xdr:col>
                    <xdr:colOff>28575</xdr:colOff>
                    <xdr:row>86</xdr:row>
                    <xdr:rowOff>142875</xdr:rowOff>
                  </from>
                  <to>
                    <xdr:col>2</xdr:col>
                    <xdr:colOff>342900</xdr:colOff>
                    <xdr:row>88</xdr:row>
                    <xdr:rowOff>47625</xdr:rowOff>
                  </to>
                </anchor>
              </controlPr>
            </control>
          </mc:Choice>
        </mc:AlternateContent>
        <mc:AlternateContent xmlns:mc="http://schemas.openxmlformats.org/markup-compatibility/2006">
          <mc:Choice Requires="x14">
            <control shapeId="64736" r:id="rId84" name="Check Box 224">
              <controlPr defaultSize="0" autoFill="0" autoLine="0" autoPict="0">
                <anchor moveWithCells="1">
                  <from>
                    <xdr:col>2</xdr:col>
                    <xdr:colOff>28575</xdr:colOff>
                    <xdr:row>87</xdr:row>
                    <xdr:rowOff>142875</xdr:rowOff>
                  </from>
                  <to>
                    <xdr:col>2</xdr:col>
                    <xdr:colOff>342900</xdr:colOff>
                    <xdr:row>89</xdr:row>
                    <xdr:rowOff>47625</xdr:rowOff>
                  </to>
                </anchor>
              </controlPr>
            </control>
          </mc:Choice>
        </mc:AlternateContent>
        <mc:AlternateContent xmlns:mc="http://schemas.openxmlformats.org/markup-compatibility/2006">
          <mc:Choice Requires="x14">
            <control shapeId="64737" r:id="rId85" name="Check Box 225">
              <controlPr defaultSize="0" autoFill="0" autoLine="0" autoPict="0">
                <anchor moveWithCells="1">
                  <from>
                    <xdr:col>2</xdr:col>
                    <xdr:colOff>28575</xdr:colOff>
                    <xdr:row>88</xdr:row>
                    <xdr:rowOff>142875</xdr:rowOff>
                  </from>
                  <to>
                    <xdr:col>2</xdr:col>
                    <xdr:colOff>342900</xdr:colOff>
                    <xdr:row>90</xdr:row>
                    <xdr:rowOff>47625</xdr:rowOff>
                  </to>
                </anchor>
              </controlPr>
            </control>
          </mc:Choice>
        </mc:AlternateContent>
        <mc:AlternateContent xmlns:mc="http://schemas.openxmlformats.org/markup-compatibility/2006">
          <mc:Choice Requires="x14">
            <control shapeId="64738" r:id="rId86" name="Check Box 226">
              <controlPr defaultSize="0" autoFill="0" autoLine="0" autoPict="0">
                <anchor moveWithCells="1">
                  <from>
                    <xdr:col>2</xdr:col>
                    <xdr:colOff>28575</xdr:colOff>
                    <xdr:row>73</xdr:row>
                    <xdr:rowOff>142875</xdr:rowOff>
                  </from>
                  <to>
                    <xdr:col>2</xdr:col>
                    <xdr:colOff>342900</xdr:colOff>
                    <xdr:row>75</xdr:row>
                    <xdr:rowOff>47625</xdr:rowOff>
                  </to>
                </anchor>
              </controlPr>
            </control>
          </mc:Choice>
        </mc:AlternateContent>
        <mc:AlternateContent xmlns:mc="http://schemas.openxmlformats.org/markup-compatibility/2006">
          <mc:Choice Requires="x14">
            <control shapeId="64739" r:id="rId87" name="Check Box 227">
              <controlPr defaultSize="0" autoFill="0" autoLine="0" autoPict="0">
                <anchor moveWithCells="1">
                  <from>
                    <xdr:col>2</xdr:col>
                    <xdr:colOff>28575</xdr:colOff>
                    <xdr:row>74</xdr:row>
                    <xdr:rowOff>142875</xdr:rowOff>
                  </from>
                  <to>
                    <xdr:col>2</xdr:col>
                    <xdr:colOff>342900</xdr:colOff>
                    <xdr:row>76</xdr:row>
                    <xdr:rowOff>47625</xdr:rowOff>
                  </to>
                </anchor>
              </controlPr>
            </control>
          </mc:Choice>
        </mc:AlternateContent>
        <mc:AlternateContent xmlns:mc="http://schemas.openxmlformats.org/markup-compatibility/2006">
          <mc:Choice Requires="x14">
            <control shapeId="64740" r:id="rId88" name="Check Box 228">
              <controlPr defaultSize="0" autoFill="0" autoLine="0" autoPict="0">
                <anchor moveWithCells="1">
                  <from>
                    <xdr:col>2</xdr:col>
                    <xdr:colOff>28575</xdr:colOff>
                    <xdr:row>75</xdr:row>
                    <xdr:rowOff>142875</xdr:rowOff>
                  </from>
                  <to>
                    <xdr:col>2</xdr:col>
                    <xdr:colOff>381000</xdr:colOff>
                    <xdr:row>77</xdr:row>
                    <xdr:rowOff>19050</xdr:rowOff>
                  </to>
                </anchor>
              </controlPr>
            </control>
          </mc:Choice>
        </mc:AlternateContent>
        <mc:AlternateContent xmlns:mc="http://schemas.openxmlformats.org/markup-compatibility/2006">
          <mc:Choice Requires="x14">
            <control shapeId="64741" r:id="rId89" name="Check Box 229">
              <controlPr defaultSize="0" autoFill="0" autoLine="0" autoPict="0">
                <anchor moveWithCells="1">
                  <from>
                    <xdr:col>2</xdr:col>
                    <xdr:colOff>28575</xdr:colOff>
                    <xdr:row>89</xdr:row>
                    <xdr:rowOff>142875</xdr:rowOff>
                  </from>
                  <to>
                    <xdr:col>2</xdr:col>
                    <xdr:colOff>342900</xdr:colOff>
                    <xdr:row>91</xdr:row>
                    <xdr:rowOff>47625</xdr:rowOff>
                  </to>
                </anchor>
              </controlPr>
            </control>
          </mc:Choice>
        </mc:AlternateContent>
        <mc:AlternateContent xmlns:mc="http://schemas.openxmlformats.org/markup-compatibility/2006">
          <mc:Choice Requires="x14">
            <control shapeId="64742" r:id="rId90" name="Check Box 230">
              <controlPr defaultSize="0" autoFill="0" autoLine="0" autoPict="0">
                <anchor moveWithCells="1">
                  <from>
                    <xdr:col>2</xdr:col>
                    <xdr:colOff>28575</xdr:colOff>
                    <xdr:row>92</xdr:row>
                    <xdr:rowOff>133350</xdr:rowOff>
                  </from>
                  <to>
                    <xdr:col>2</xdr:col>
                    <xdr:colOff>342900</xdr:colOff>
                    <xdr:row>94</xdr:row>
                    <xdr:rowOff>38100</xdr:rowOff>
                  </to>
                </anchor>
              </controlPr>
            </control>
          </mc:Choice>
        </mc:AlternateContent>
        <mc:AlternateContent xmlns:mc="http://schemas.openxmlformats.org/markup-compatibility/2006">
          <mc:Choice Requires="x14">
            <control shapeId="64743" r:id="rId91" name="Check Box 231">
              <controlPr defaultSize="0" autoFill="0" autoLine="0" autoPict="0">
                <anchor moveWithCells="1">
                  <from>
                    <xdr:col>2</xdr:col>
                    <xdr:colOff>28575</xdr:colOff>
                    <xdr:row>98</xdr:row>
                    <xdr:rowOff>161925</xdr:rowOff>
                  </from>
                  <to>
                    <xdr:col>2</xdr:col>
                    <xdr:colOff>342900</xdr:colOff>
                    <xdr:row>100</xdr:row>
                    <xdr:rowOff>0</xdr:rowOff>
                  </to>
                </anchor>
              </controlPr>
            </control>
          </mc:Choice>
        </mc:AlternateContent>
        <mc:AlternateContent xmlns:mc="http://schemas.openxmlformats.org/markup-compatibility/2006">
          <mc:Choice Requires="x14">
            <control shapeId="64744" r:id="rId92" name="Check Box 232">
              <controlPr defaultSize="0" autoFill="0" autoLine="0" autoPict="0">
                <anchor moveWithCells="1">
                  <from>
                    <xdr:col>2</xdr:col>
                    <xdr:colOff>28575</xdr:colOff>
                    <xdr:row>101</xdr:row>
                    <xdr:rowOff>47625</xdr:rowOff>
                  </from>
                  <to>
                    <xdr:col>2</xdr:col>
                    <xdr:colOff>342900</xdr:colOff>
                    <xdr:row>101</xdr:row>
                    <xdr:rowOff>333375</xdr:rowOff>
                  </to>
                </anchor>
              </controlPr>
            </control>
          </mc:Choice>
        </mc:AlternateContent>
        <mc:AlternateContent xmlns:mc="http://schemas.openxmlformats.org/markup-compatibility/2006">
          <mc:Choice Requires="x14">
            <control shapeId="64745" r:id="rId93" name="Check Box 233">
              <controlPr defaultSize="0" autoFill="0" autoLine="0" autoPict="0">
                <anchor moveWithCells="1">
                  <from>
                    <xdr:col>2</xdr:col>
                    <xdr:colOff>28575</xdr:colOff>
                    <xdr:row>102</xdr:row>
                    <xdr:rowOff>9525</xdr:rowOff>
                  </from>
                  <to>
                    <xdr:col>2</xdr:col>
                    <xdr:colOff>342900</xdr:colOff>
                    <xdr:row>102</xdr:row>
                    <xdr:rowOff>152400</xdr:rowOff>
                  </to>
                </anchor>
              </controlPr>
            </control>
          </mc:Choice>
        </mc:AlternateContent>
        <mc:AlternateContent xmlns:mc="http://schemas.openxmlformats.org/markup-compatibility/2006">
          <mc:Choice Requires="x14">
            <control shapeId="64746" r:id="rId94" name="Check Box 234">
              <controlPr defaultSize="0" autoFill="0" autoLine="0" autoPict="0">
                <anchor moveWithCells="1">
                  <from>
                    <xdr:col>2</xdr:col>
                    <xdr:colOff>28575</xdr:colOff>
                    <xdr:row>102</xdr:row>
                    <xdr:rowOff>142875</xdr:rowOff>
                  </from>
                  <to>
                    <xdr:col>2</xdr:col>
                    <xdr:colOff>342900</xdr:colOff>
                    <xdr:row>104</xdr:row>
                    <xdr:rowOff>47625</xdr:rowOff>
                  </to>
                </anchor>
              </controlPr>
            </control>
          </mc:Choice>
        </mc:AlternateContent>
        <mc:AlternateContent xmlns:mc="http://schemas.openxmlformats.org/markup-compatibility/2006">
          <mc:Choice Requires="x14">
            <control shapeId="64756" r:id="rId95" name="Check Box 244">
              <controlPr defaultSize="0" autoFill="0" autoLine="0" autoPict="0">
                <anchor moveWithCells="1">
                  <from>
                    <xdr:col>2</xdr:col>
                    <xdr:colOff>28575</xdr:colOff>
                    <xdr:row>107</xdr:row>
                    <xdr:rowOff>0</xdr:rowOff>
                  </from>
                  <to>
                    <xdr:col>2</xdr:col>
                    <xdr:colOff>342900</xdr:colOff>
                    <xdr:row>327</xdr:row>
                    <xdr:rowOff>228600</xdr:rowOff>
                  </to>
                </anchor>
              </controlPr>
            </control>
          </mc:Choice>
        </mc:AlternateContent>
        <mc:AlternateContent xmlns:mc="http://schemas.openxmlformats.org/markup-compatibility/2006">
          <mc:Choice Requires="x14">
            <control shapeId="64757" r:id="rId96" name="Check Box 245">
              <controlPr defaultSize="0" autoFill="0" autoLine="0" autoPict="0">
                <anchor moveWithCells="1">
                  <from>
                    <xdr:col>2</xdr:col>
                    <xdr:colOff>28575</xdr:colOff>
                    <xdr:row>107</xdr:row>
                    <xdr:rowOff>0</xdr:rowOff>
                  </from>
                  <to>
                    <xdr:col>2</xdr:col>
                    <xdr:colOff>342900</xdr:colOff>
                    <xdr:row>327</xdr:row>
                    <xdr:rowOff>152400</xdr:rowOff>
                  </to>
                </anchor>
              </controlPr>
            </control>
          </mc:Choice>
        </mc:AlternateContent>
        <mc:AlternateContent xmlns:mc="http://schemas.openxmlformats.org/markup-compatibility/2006">
          <mc:Choice Requires="x14">
            <control shapeId="64758" r:id="rId97" name="Check Box 246">
              <controlPr defaultSize="0" autoFill="0" autoLine="0" autoPict="0">
                <anchor moveWithCells="1">
                  <from>
                    <xdr:col>2</xdr:col>
                    <xdr:colOff>28575</xdr:colOff>
                    <xdr:row>107</xdr:row>
                    <xdr:rowOff>0</xdr:rowOff>
                  </from>
                  <to>
                    <xdr:col>2</xdr:col>
                    <xdr:colOff>342900</xdr:colOff>
                    <xdr:row>327</xdr:row>
                    <xdr:rowOff>209550</xdr:rowOff>
                  </to>
                </anchor>
              </controlPr>
            </control>
          </mc:Choice>
        </mc:AlternateContent>
        <mc:AlternateContent xmlns:mc="http://schemas.openxmlformats.org/markup-compatibility/2006">
          <mc:Choice Requires="x14">
            <control shapeId="64759" r:id="rId98" name="Check Box 247">
              <controlPr defaultSize="0" autoFill="0" autoLine="0" autoPict="0">
                <anchor moveWithCells="1">
                  <from>
                    <xdr:col>2</xdr:col>
                    <xdr:colOff>28575</xdr:colOff>
                    <xdr:row>107</xdr:row>
                    <xdr:rowOff>0</xdr:rowOff>
                  </from>
                  <to>
                    <xdr:col>2</xdr:col>
                    <xdr:colOff>342900</xdr:colOff>
                    <xdr:row>327</xdr:row>
                    <xdr:rowOff>247650</xdr:rowOff>
                  </to>
                </anchor>
              </controlPr>
            </control>
          </mc:Choice>
        </mc:AlternateContent>
        <mc:AlternateContent xmlns:mc="http://schemas.openxmlformats.org/markup-compatibility/2006">
          <mc:Choice Requires="x14">
            <control shapeId="64760" r:id="rId99" name="Check Box 248">
              <controlPr defaultSize="0" autoFill="0" autoLine="0" autoPict="0">
                <anchor moveWithCells="1">
                  <from>
                    <xdr:col>2</xdr:col>
                    <xdr:colOff>28575</xdr:colOff>
                    <xdr:row>107</xdr:row>
                    <xdr:rowOff>0</xdr:rowOff>
                  </from>
                  <to>
                    <xdr:col>2</xdr:col>
                    <xdr:colOff>342900</xdr:colOff>
                    <xdr:row>327</xdr:row>
                    <xdr:rowOff>266700</xdr:rowOff>
                  </to>
                </anchor>
              </controlPr>
            </control>
          </mc:Choice>
        </mc:AlternateContent>
        <mc:AlternateContent xmlns:mc="http://schemas.openxmlformats.org/markup-compatibility/2006">
          <mc:Choice Requires="x14">
            <control shapeId="64761" r:id="rId100" name="Check Box 249">
              <controlPr defaultSize="0" autoFill="0" autoLine="0" autoPict="0">
                <anchor moveWithCells="1">
                  <from>
                    <xdr:col>2</xdr:col>
                    <xdr:colOff>28575</xdr:colOff>
                    <xdr:row>107</xdr:row>
                    <xdr:rowOff>0</xdr:rowOff>
                  </from>
                  <to>
                    <xdr:col>2</xdr:col>
                    <xdr:colOff>342900</xdr:colOff>
                    <xdr:row>327</xdr:row>
                    <xdr:rowOff>228600</xdr:rowOff>
                  </to>
                </anchor>
              </controlPr>
            </control>
          </mc:Choice>
        </mc:AlternateContent>
        <mc:AlternateContent xmlns:mc="http://schemas.openxmlformats.org/markup-compatibility/2006">
          <mc:Choice Requires="x14">
            <control shapeId="64762" r:id="rId101" name="Check Box 250">
              <controlPr defaultSize="0" autoFill="0" autoLine="0" autoPict="0">
                <anchor moveWithCells="1">
                  <from>
                    <xdr:col>2</xdr:col>
                    <xdr:colOff>28575</xdr:colOff>
                    <xdr:row>107</xdr:row>
                    <xdr:rowOff>0</xdr:rowOff>
                  </from>
                  <to>
                    <xdr:col>2</xdr:col>
                    <xdr:colOff>342900</xdr:colOff>
                    <xdr:row>327</xdr:row>
                    <xdr:rowOff>142875</xdr:rowOff>
                  </to>
                </anchor>
              </controlPr>
            </control>
          </mc:Choice>
        </mc:AlternateContent>
        <mc:AlternateContent xmlns:mc="http://schemas.openxmlformats.org/markup-compatibility/2006">
          <mc:Choice Requires="x14">
            <control shapeId="64763" r:id="rId102" name="Check Box 251">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64" r:id="rId103" name="Check Box 252">
              <controlPr defaultSize="0" autoFill="0" autoLine="0" autoPict="0">
                <anchor moveWithCells="1">
                  <from>
                    <xdr:col>2</xdr:col>
                    <xdr:colOff>28575</xdr:colOff>
                    <xdr:row>107</xdr:row>
                    <xdr:rowOff>0</xdr:rowOff>
                  </from>
                  <to>
                    <xdr:col>2</xdr:col>
                    <xdr:colOff>342900</xdr:colOff>
                    <xdr:row>327</xdr:row>
                    <xdr:rowOff>123825</xdr:rowOff>
                  </to>
                </anchor>
              </controlPr>
            </control>
          </mc:Choice>
        </mc:AlternateContent>
        <mc:AlternateContent xmlns:mc="http://schemas.openxmlformats.org/markup-compatibility/2006">
          <mc:Choice Requires="x14">
            <control shapeId="64765" r:id="rId104" name="Check Box 253">
              <controlPr defaultSize="0" autoFill="0" autoLine="0" autoPict="0">
                <anchor moveWithCells="1">
                  <from>
                    <xdr:col>2</xdr:col>
                    <xdr:colOff>28575</xdr:colOff>
                    <xdr:row>107</xdr:row>
                    <xdr:rowOff>0</xdr:rowOff>
                  </from>
                  <to>
                    <xdr:col>2</xdr:col>
                    <xdr:colOff>342900</xdr:colOff>
                    <xdr:row>327</xdr:row>
                    <xdr:rowOff>285750</xdr:rowOff>
                  </to>
                </anchor>
              </controlPr>
            </control>
          </mc:Choice>
        </mc:AlternateContent>
        <mc:AlternateContent xmlns:mc="http://schemas.openxmlformats.org/markup-compatibility/2006">
          <mc:Choice Requires="x14">
            <control shapeId="64766" r:id="rId105" name="Check Box 254">
              <controlPr defaultSize="0" autoFill="0" autoLine="0" autoPict="0">
                <anchor moveWithCells="1">
                  <from>
                    <xdr:col>2</xdr:col>
                    <xdr:colOff>28575</xdr:colOff>
                    <xdr:row>107</xdr:row>
                    <xdr:rowOff>0</xdr:rowOff>
                  </from>
                  <to>
                    <xdr:col>2</xdr:col>
                    <xdr:colOff>342900</xdr:colOff>
                    <xdr:row>327</xdr:row>
                    <xdr:rowOff>133350</xdr:rowOff>
                  </to>
                </anchor>
              </controlPr>
            </control>
          </mc:Choice>
        </mc:AlternateContent>
        <mc:AlternateContent xmlns:mc="http://schemas.openxmlformats.org/markup-compatibility/2006">
          <mc:Choice Requires="x14">
            <control shapeId="64767" r:id="rId106" name="Check Box 255">
              <controlPr defaultSize="0" autoFill="0" autoLine="0" autoPict="0">
                <anchor moveWithCells="1">
                  <from>
                    <xdr:col>2</xdr:col>
                    <xdr:colOff>28575</xdr:colOff>
                    <xdr:row>107</xdr:row>
                    <xdr:rowOff>0</xdr:rowOff>
                  </from>
                  <to>
                    <xdr:col>2</xdr:col>
                    <xdr:colOff>342900</xdr:colOff>
                    <xdr:row>327</xdr:row>
                    <xdr:rowOff>200025</xdr:rowOff>
                  </to>
                </anchor>
              </controlPr>
            </control>
          </mc:Choice>
        </mc:AlternateContent>
        <mc:AlternateContent xmlns:mc="http://schemas.openxmlformats.org/markup-compatibility/2006">
          <mc:Choice Requires="x14">
            <control shapeId="64768" r:id="rId107" name="Check Box 256">
              <controlPr defaultSize="0" autoFill="0" autoLine="0" autoPict="0">
                <anchor moveWithCells="1">
                  <from>
                    <xdr:col>2</xdr:col>
                    <xdr:colOff>28575</xdr:colOff>
                    <xdr:row>107</xdr:row>
                    <xdr:rowOff>0</xdr:rowOff>
                  </from>
                  <to>
                    <xdr:col>2</xdr:col>
                    <xdr:colOff>342900</xdr:colOff>
                    <xdr:row>327</xdr:row>
                    <xdr:rowOff>295275</xdr:rowOff>
                  </to>
                </anchor>
              </controlPr>
            </control>
          </mc:Choice>
        </mc:AlternateContent>
        <mc:AlternateContent xmlns:mc="http://schemas.openxmlformats.org/markup-compatibility/2006">
          <mc:Choice Requires="x14">
            <control shapeId="64769" r:id="rId108" name="Check Box 257">
              <controlPr defaultSize="0" autoFill="0" autoLine="0" autoPict="0">
                <anchor moveWithCells="1">
                  <from>
                    <xdr:col>2</xdr:col>
                    <xdr:colOff>28575</xdr:colOff>
                    <xdr:row>107</xdr:row>
                    <xdr:rowOff>0</xdr:rowOff>
                  </from>
                  <to>
                    <xdr:col>2</xdr:col>
                    <xdr:colOff>342900</xdr:colOff>
                    <xdr:row>327</xdr:row>
                    <xdr:rowOff>285750</xdr:rowOff>
                  </to>
                </anchor>
              </controlPr>
            </control>
          </mc:Choice>
        </mc:AlternateContent>
        <mc:AlternateContent xmlns:mc="http://schemas.openxmlformats.org/markup-compatibility/2006">
          <mc:Choice Requires="x14">
            <control shapeId="64770" r:id="rId109" name="Check Box 258">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71" r:id="rId110" name="Check Box 259">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72" r:id="rId111" name="Check Box 260">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73" r:id="rId112" name="Check Box 261">
              <controlPr defaultSize="0" autoFill="0" autoLine="0" autoPict="0">
                <anchor moveWithCells="1">
                  <from>
                    <xdr:col>2</xdr:col>
                    <xdr:colOff>28575</xdr:colOff>
                    <xdr:row>107</xdr:row>
                    <xdr:rowOff>0</xdr:rowOff>
                  </from>
                  <to>
                    <xdr:col>2</xdr:col>
                    <xdr:colOff>342900</xdr:colOff>
                    <xdr:row>327</xdr:row>
                    <xdr:rowOff>200025</xdr:rowOff>
                  </to>
                </anchor>
              </controlPr>
            </control>
          </mc:Choice>
        </mc:AlternateContent>
        <mc:AlternateContent xmlns:mc="http://schemas.openxmlformats.org/markup-compatibility/2006">
          <mc:Choice Requires="x14">
            <control shapeId="64774" r:id="rId113" name="Check Box 262">
              <controlPr defaultSize="0" autoFill="0" autoLine="0" autoPict="0">
                <anchor moveWithCells="1">
                  <from>
                    <xdr:col>2</xdr:col>
                    <xdr:colOff>28575</xdr:colOff>
                    <xdr:row>107</xdr:row>
                    <xdr:rowOff>0</xdr:rowOff>
                  </from>
                  <to>
                    <xdr:col>2</xdr:col>
                    <xdr:colOff>342900</xdr:colOff>
                    <xdr:row>327</xdr:row>
                    <xdr:rowOff>285750</xdr:rowOff>
                  </to>
                </anchor>
              </controlPr>
            </control>
          </mc:Choice>
        </mc:AlternateContent>
        <mc:AlternateContent xmlns:mc="http://schemas.openxmlformats.org/markup-compatibility/2006">
          <mc:Choice Requires="x14">
            <control shapeId="64775" r:id="rId114" name="Check Box 263">
              <controlPr defaultSize="0" autoFill="0" autoLine="0" autoPict="0">
                <anchor moveWithCells="1">
                  <from>
                    <xdr:col>2</xdr:col>
                    <xdr:colOff>28575</xdr:colOff>
                    <xdr:row>107</xdr:row>
                    <xdr:rowOff>0</xdr:rowOff>
                  </from>
                  <to>
                    <xdr:col>2</xdr:col>
                    <xdr:colOff>342900</xdr:colOff>
                    <xdr:row>327</xdr:row>
                    <xdr:rowOff>285750</xdr:rowOff>
                  </to>
                </anchor>
              </controlPr>
            </control>
          </mc:Choice>
        </mc:AlternateContent>
        <mc:AlternateContent xmlns:mc="http://schemas.openxmlformats.org/markup-compatibility/2006">
          <mc:Choice Requires="x14">
            <control shapeId="64776" r:id="rId115" name="Check Box 264">
              <controlPr defaultSize="0" autoFill="0" autoLine="0" autoPict="0">
                <anchor moveWithCells="1">
                  <from>
                    <xdr:col>2</xdr:col>
                    <xdr:colOff>28575</xdr:colOff>
                    <xdr:row>107</xdr:row>
                    <xdr:rowOff>0</xdr:rowOff>
                  </from>
                  <to>
                    <xdr:col>2</xdr:col>
                    <xdr:colOff>342900</xdr:colOff>
                    <xdr:row>327</xdr:row>
                    <xdr:rowOff>304800</xdr:rowOff>
                  </to>
                </anchor>
              </controlPr>
            </control>
          </mc:Choice>
        </mc:AlternateContent>
        <mc:AlternateContent xmlns:mc="http://schemas.openxmlformats.org/markup-compatibility/2006">
          <mc:Choice Requires="x14">
            <control shapeId="64777" r:id="rId116" name="Check Box 265">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78" r:id="rId117" name="Check Box 266">
              <controlPr defaultSize="0" autoFill="0" autoLine="0" autoPict="0">
                <anchor moveWithCells="1">
                  <from>
                    <xdr:col>2</xdr:col>
                    <xdr:colOff>28575</xdr:colOff>
                    <xdr:row>107</xdr:row>
                    <xdr:rowOff>0</xdr:rowOff>
                  </from>
                  <to>
                    <xdr:col>2</xdr:col>
                    <xdr:colOff>342900</xdr:colOff>
                    <xdr:row>327</xdr:row>
                    <xdr:rowOff>209550</xdr:rowOff>
                  </to>
                </anchor>
              </controlPr>
            </control>
          </mc:Choice>
        </mc:AlternateContent>
        <mc:AlternateContent xmlns:mc="http://schemas.openxmlformats.org/markup-compatibility/2006">
          <mc:Choice Requires="x14">
            <control shapeId="64779" r:id="rId118" name="Check Box 267">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80" r:id="rId119" name="Check Box 268">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81" r:id="rId120" name="Check Box 269">
              <controlPr defaultSize="0" autoFill="0" autoLine="0" autoPict="0">
                <anchor moveWithCells="1">
                  <from>
                    <xdr:col>2</xdr:col>
                    <xdr:colOff>28575</xdr:colOff>
                    <xdr:row>107</xdr:row>
                    <xdr:rowOff>0</xdr:rowOff>
                  </from>
                  <to>
                    <xdr:col>2</xdr:col>
                    <xdr:colOff>342900</xdr:colOff>
                    <xdr:row>327</xdr:row>
                    <xdr:rowOff>285750</xdr:rowOff>
                  </to>
                </anchor>
              </controlPr>
            </control>
          </mc:Choice>
        </mc:AlternateContent>
        <mc:AlternateContent xmlns:mc="http://schemas.openxmlformats.org/markup-compatibility/2006">
          <mc:Choice Requires="x14">
            <control shapeId="64782" r:id="rId121" name="Check Box 270">
              <controlPr defaultSize="0" autoFill="0" autoLine="0" autoPict="0">
                <anchor moveWithCells="1">
                  <from>
                    <xdr:col>2</xdr:col>
                    <xdr:colOff>28575</xdr:colOff>
                    <xdr:row>107</xdr:row>
                    <xdr:rowOff>0</xdr:rowOff>
                  </from>
                  <to>
                    <xdr:col>2</xdr:col>
                    <xdr:colOff>342900</xdr:colOff>
                    <xdr:row>327</xdr:row>
                    <xdr:rowOff>285750</xdr:rowOff>
                  </to>
                </anchor>
              </controlPr>
            </control>
          </mc:Choice>
        </mc:AlternateContent>
        <mc:AlternateContent xmlns:mc="http://schemas.openxmlformats.org/markup-compatibility/2006">
          <mc:Choice Requires="x14">
            <control shapeId="64783" r:id="rId122" name="Check Box 271">
              <controlPr defaultSize="0" autoFill="0" autoLine="0" autoPict="0">
                <anchor moveWithCells="1">
                  <from>
                    <xdr:col>2</xdr:col>
                    <xdr:colOff>28575</xdr:colOff>
                    <xdr:row>107</xdr:row>
                    <xdr:rowOff>0</xdr:rowOff>
                  </from>
                  <to>
                    <xdr:col>2</xdr:col>
                    <xdr:colOff>266700</xdr:colOff>
                    <xdr:row>327</xdr:row>
                    <xdr:rowOff>209550</xdr:rowOff>
                  </to>
                </anchor>
              </controlPr>
            </control>
          </mc:Choice>
        </mc:AlternateContent>
        <mc:AlternateContent xmlns:mc="http://schemas.openxmlformats.org/markup-compatibility/2006">
          <mc:Choice Requires="x14">
            <control shapeId="64784" r:id="rId123" name="Check Box 272">
              <controlPr defaultSize="0" autoFill="0" autoLine="0" autoPict="0">
                <anchor moveWithCells="1">
                  <from>
                    <xdr:col>2</xdr:col>
                    <xdr:colOff>28575</xdr:colOff>
                    <xdr:row>107</xdr:row>
                    <xdr:rowOff>0</xdr:rowOff>
                  </from>
                  <to>
                    <xdr:col>2</xdr:col>
                    <xdr:colOff>342900</xdr:colOff>
                    <xdr:row>327</xdr:row>
                    <xdr:rowOff>285750</xdr:rowOff>
                  </to>
                </anchor>
              </controlPr>
            </control>
          </mc:Choice>
        </mc:AlternateContent>
        <mc:AlternateContent xmlns:mc="http://schemas.openxmlformats.org/markup-compatibility/2006">
          <mc:Choice Requires="x14">
            <control shapeId="64785" r:id="rId124" name="Check Box 273">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86" r:id="rId125" name="Check Box 274">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87" r:id="rId126" name="Check Box 275">
              <controlPr defaultSize="0" autoFill="0" autoLine="0" autoPict="0">
                <anchor moveWithCells="1">
                  <from>
                    <xdr:col>2</xdr:col>
                    <xdr:colOff>28575</xdr:colOff>
                    <xdr:row>107</xdr:row>
                    <xdr:rowOff>0</xdr:rowOff>
                  </from>
                  <to>
                    <xdr:col>2</xdr:col>
                    <xdr:colOff>342900</xdr:colOff>
                    <xdr:row>327</xdr:row>
                    <xdr:rowOff>142875</xdr:rowOff>
                  </to>
                </anchor>
              </controlPr>
            </control>
          </mc:Choice>
        </mc:AlternateContent>
        <mc:AlternateContent xmlns:mc="http://schemas.openxmlformats.org/markup-compatibility/2006">
          <mc:Choice Requires="x14">
            <control shapeId="64788" r:id="rId127" name="Check Box 276">
              <controlPr defaultSize="0" autoFill="0" autoLine="0" autoPict="0">
                <anchor moveWithCells="1">
                  <from>
                    <xdr:col>2</xdr:col>
                    <xdr:colOff>28575</xdr:colOff>
                    <xdr:row>107</xdr:row>
                    <xdr:rowOff>0</xdr:rowOff>
                  </from>
                  <to>
                    <xdr:col>2</xdr:col>
                    <xdr:colOff>342900</xdr:colOff>
                    <xdr:row>327</xdr:row>
                    <xdr:rowOff>228600</xdr:rowOff>
                  </to>
                </anchor>
              </controlPr>
            </control>
          </mc:Choice>
        </mc:AlternateContent>
        <mc:AlternateContent xmlns:mc="http://schemas.openxmlformats.org/markup-compatibility/2006">
          <mc:Choice Requires="x14">
            <control shapeId="64789" r:id="rId128" name="Check Box 277">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90" r:id="rId129" name="Check Box 278">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91" r:id="rId130" name="Check Box 279">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792" r:id="rId131" name="Check Box 280">
              <controlPr defaultSize="0" autoFill="0" autoLine="0" autoPict="0">
                <anchor moveWithCells="1">
                  <from>
                    <xdr:col>2</xdr:col>
                    <xdr:colOff>28575</xdr:colOff>
                    <xdr:row>107</xdr:row>
                    <xdr:rowOff>0</xdr:rowOff>
                  </from>
                  <to>
                    <xdr:col>2</xdr:col>
                    <xdr:colOff>342900</xdr:colOff>
                    <xdr:row>327</xdr:row>
                    <xdr:rowOff>76200</xdr:rowOff>
                  </to>
                </anchor>
              </controlPr>
            </control>
          </mc:Choice>
        </mc:AlternateContent>
        <mc:AlternateContent xmlns:mc="http://schemas.openxmlformats.org/markup-compatibility/2006">
          <mc:Choice Requires="x14">
            <control shapeId="64793" r:id="rId132" name="Check Box 281">
              <controlPr defaultSize="0" autoFill="0" autoLine="0" autoPict="0">
                <anchor moveWithCells="1">
                  <from>
                    <xdr:col>2</xdr:col>
                    <xdr:colOff>28575</xdr:colOff>
                    <xdr:row>107</xdr:row>
                    <xdr:rowOff>0</xdr:rowOff>
                  </from>
                  <to>
                    <xdr:col>2</xdr:col>
                    <xdr:colOff>342900</xdr:colOff>
                    <xdr:row>327</xdr:row>
                    <xdr:rowOff>219075</xdr:rowOff>
                  </to>
                </anchor>
              </controlPr>
            </control>
          </mc:Choice>
        </mc:AlternateContent>
        <mc:AlternateContent xmlns:mc="http://schemas.openxmlformats.org/markup-compatibility/2006">
          <mc:Choice Requires="x14">
            <control shapeId="64810" r:id="rId133" name="Check Box 298">
              <controlPr defaultSize="0" autoFill="0" autoLine="0" autoPict="0">
                <anchor moveWithCells="1">
                  <from>
                    <xdr:col>2</xdr:col>
                    <xdr:colOff>28575</xdr:colOff>
                    <xdr:row>41</xdr:row>
                    <xdr:rowOff>180975</xdr:rowOff>
                  </from>
                  <to>
                    <xdr:col>2</xdr:col>
                    <xdr:colOff>342900</xdr:colOff>
                    <xdr:row>43</xdr:row>
                    <xdr:rowOff>19050</xdr:rowOff>
                  </to>
                </anchor>
              </controlPr>
            </control>
          </mc:Choice>
        </mc:AlternateContent>
        <mc:AlternateContent xmlns:mc="http://schemas.openxmlformats.org/markup-compatibility/2006">
          <mc:Choice Requires="x14">
            <control shapeId="64811" r:id="rId134" name="Check Box 299">
              <controlPr defaultSize="0" autoFill="0" autoLine="0" autoPict="0">
                <anchor moveWithCells="1">
                  <from>
                    <xdr:col>2</xdr:col>
                    <xdr:colOff>28575</xdr:colOff>
                    <xdr:row>42</xdr:row>
                    <xdr:rowOff>352425</xdr:rowOff>
                  </from>
                  <to>
                    <xdr:col>2</xdr:col>
                    <xdr:colOff>400050</xdr:colOff>
                    <xdr:row>44</xdr:row>
                    <xdr:rowOff>0</xdr:rowOff>
                  </to>
                </anchor>
              </controlPr>
            </control>
          </mc:Choice>
        </mc:AlternateContent>
        <mc:AlternateContent xmlns:mc="http://schemas.openxmlformats.org/markup-compatibility/2006">
          <mc:Choice Requires="x14">
            <control shapeId="64812" r:id="rId135" name="Check Box 300">
              <controlPr defaultSize="0" autoFill="0" autoLine="0" autoPict="0">
                <anchor moveWithCells="1">
                  <from>
                    <xdr:col>2</xdr:col>
                    <xdr:colOff>28575</xdr:colOff>
                    <xdr:row>38</xdr:row>
                    <xdr:rowOff>171450</xdr:rowOff>
                  </from>
                  <to>
                    <xdr:col>2</xdr:col>
                    <xdr:colOff>342900</xdr:colOff>
                    <xdr:row>40</xdr:row>
                    <xdr:rowOff>0</xdr:rowOff>
                  </to>
                </anchor>
              </controlPr>
            </control>
          </mc:Choice>
        </mc:AlternateContent>
        <mc:AlternateContent xmlns:mc="http://schemas.openxmlformats.org/markup-compatibility/2006">
          <mc:Choice Requires="x14">
            <control shapeId="64813" r:id="rId136" name="Check Box 301">
              <controlPr defaultSize="0" autoFill="0" autoLine="0" autoPict="0">
                <anchor moveWithCells="1">
                  <from>
                    <xdr:col>2</xdr:col>
                    <xdr:colOff>28575</xdr:colOff>
                    <xdr:row>44</xdr:row>
                    <xdr:rowOff>161925</xdr:rowOff>
                  </from>
                  <to>
                    <xdr:col>2</xdr:col>
                    <xdr:colOff>342900</xdr:colOff>
                    <xdr:row>45</xdr:row>
                    <xdr:rowOff>180975</xdr:rowOff>
                  </to>
                </anchor>
              </controlPr>
            </control>
          </mc:Choice>
        </mc:AlternateContent>
        <mc:AlternateContent xmlns:mc="http://schemas.openxmlformats.org/markup-compatibility/2006">
          <mc:Choice Requires="x14">
            <control shapeId="64814" r:id="rId137" name="Check Box 302">
              <controlPr defaultSize="0" autoFill="0" autoLine="0" autoPict="0">
                <anchor moveWithCells="1">
                  <from>
                    <xdr:col>2</xdr:col>
                    <xdr:colOff>28575</xdr:colOff>
                    <xdr:row>46</xdr:row>
                    <xdr:rowOff>66675</xdr:rowOff>
                  </from>
                  <to>
                    <xdr:col>2</xdr:col>
                    <xdr:colOff>342900</xdr:colOff>
                    <xdr:row>46</xdr:row>
                    <xdr:rowOff>285750</xdr:rowOff>
                  </to>
                </anchor>
              </controlPr>
            </control>
          </mc:Choice>
        </mc:AlternateContent>
        <mc:AlternateContent xmlns:mc="http://schemas.openxmlformats.org/markup-compatibility/2006">
          <mc:Choice Requires="x14">
            <control shapeId="64815" r:id="rId138" name="Check Box 303">
              <controlPr defaultSize="0" autoFill="0" autoLine="0" autoPict="0">
                <anchor moveWithCells="1">
                  <from>
                    <xdr:col>2</xdr:col>
                    <xdr:colOff>28575</xdr:colOff>
                    <xdr:row>46</xdr:row>
                    <xdr:rowOff>361950</xdr:rowOff>
                  </from>
                  <to>
                    <xdr:col>2</xdr:col>
                    <xdr:colOff>342900</xdr:colOff>
                    <xdr:row>48</xdr:row>
                    <xdr:rowOff>0</xdr:rowOff>
                  </to>
                </anchor>
              </controlPr>
            </control>
          </mc:Choice>
        </mc:AlternateContent>
        <mc:AlternateContent xmlns:mc="http://schemas.openxmlformats.org/markup-compatibility/2006">
          <mc:Choice Requires="x14">
            <control shapeId="64816" r:id="rId139" name="Check Box 304">
              <controlPr defaultSize="0" autoFill="0" autoLine="0" autoPict="0">
                <anchor moveWithCells="1">
                  <from>
                    <xdr:col>2</xdr:col>
                    <xdr:colOff>28575</xdr:colOff>
                    <xdr:row>48</xdr:row>
                    <xdr:rowOff>171450</xdr:rowOff>
                  </from>
                  <to>
                    <xdr:col>2</xdr:col>
                    <xdr:colOff>342900</xdr:colOff>
                    <xdr:row>49</xdr:row>
                    <xdr:rowOff>200025</xdr:rowOff>
                  </to>
                </anchor>
              </controlPr>
            </control>
          </mc:Choice>
        </mc:AlternateContent>
        <mc:AlternateContent xmlns:mc="http://schemas.openxmlformats.org/markup-compatibility/2006">
          <mc:Choice Requires="x14">
            <control shapeId="64817" r:id="rId140" name="Check Box 305">
              <controlPr defaultSize="0" autoFill="0" autoLine="0" autoPict="0">
                <anchor moveWithCells="1">
                  <from>
                    <xdr:col>2</xdr:col>
                    <xdr:colOff>28575</xdr:colOff>
                    <xdr:row>49</xdr:row>
                    <xdr:rowOff>190500</xdr:rowOff>
                  </from>
                  <to>
                    <xdr:col>2</xdr:col>
                    <xdr:colOff>342900</xdr:colOff>
                    <xdr:row>50</xdr:row>
                    <xdr:rowOff>200025</xdr:rowOff>
                  </to>
                </anchor>
              </controlPr>
            </control>
          </mc:Choice>
        </mc:AlternateContent>
        <mc:AlternateContent xmlns:mc="http://schemas.openxmlformats.org/markup-compatibility/2006">
          <mc:Choice Requires="x14">
            <control shapeId="64818" r:id="rId141" name="Check Box 306">
              <controlPr defaultSize="0" autoFill="0" autoLine="0" autoPict="0">
                <anchor moveWithCells="1">
                  <from>
                    <xdr:col>2</xdr:col>
                    <xdr:colOff>28575</xdr:colOff>
                    <xdr:row>39</xdr:row>
                    <xdr:rowOff>180975</xdr:rowOff>
                  </from>
                  <to>
                    <xdr:col>2</xdr:col>
                    <xdr:colOff>342900</xdr:colOff>
                    <xdr:row>40</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'Indicator info'!$G$13:$L$13</xm:f>
          </x14:formula1>
          <xm:sqref>H110:I110</xm:sqref>
        </x14:dataValidation>
        <x14:dataValidation type="list" allowBlank="1" showInputMessage="1" showErrorMessage="1">
          <x14:formula1>
            <xm:f>'Indicator info'!$G$13:$L$13</xm:f>
          </x14:formula1>
          <xm:sqref>I191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6"/>
    <pageSetUpPr autoPageBreaks="0" fitToPage="1"/>
  </sheetPr>
  <dimension ref="A1:Z298"/>
  <sheetViews>
    <sheetView zoomScale="70" zoomScaleNormal="70" workbookViewId="0">
      <selection activeCell="F10" sqref="F10:W10"/>
    </sheetView>
  </sheetViews>
  <sheetFormatPr defaultColWidth="9.140625" defaultRowHeight="15" x14ac:dyDescent="0.25"/>
  <cols>
    <col min="1" max="1" width="13.42578125" style="466" customWidth="1"/>
    <col min="2" max="2" width="7.7109375" style="478" customWidth="1"/>
    <col min="3" max="3" width="2.85546875" style="5548" customWidth="1"/>
    <col min="4" max="4" width="4.5703125" style="1248" customWidth="1"/>
    <col min="5" max="5" width="12.140625" style="488" customWidth="1"/>
    <col min="6" max="6" width="63.42578125" style="487" customWidth="1"/>
    <col min="7" max="7" width="16.7109375" style="487" customWidth="1"/>
    <col min="8" max="8" width="14" style="487" customWidth="1"/>
    <col min="9" max="9" width="3.42578125" style="478" customWidth="1"/>
    <col min="10" max="10" width="7.140625" style="478" customWidth="1"/>
    <col min="11" max="11" width="10.140625" style="478" customWidth="1"/>
    <col min="12" max="12" width="11" style="478" customWidth="1"/>
    <col min="13" max="19" width="9.140625" style="478"/>
    <col min="20" max="20" width="10.28515625" style="478" customWidth="1"/>
    <col min="21" max="21" width="9.85546875" style="478" customWidth="1"/>
    <col min="22" max="22" width="8.7109375" style="478" customWidth="1"/>
    <col min="23" max="23" width="8.28515625" style="478" customWidth="1"/>
    <col min="24" max="24" width="5" style="478" customWidth="1"/>
    <col min="25" max="25" width="9.140625" style="466"/>
    <col min="26" max="26" width="9.140625" style="3739" hidden="1" customWidth="1"/>
    <col min="27" max="16384" width="9.140625" style="478"/>
  </cols>
  <sheetData>
    <row r="1" spans="1:26" s="466" customFormat="1" ht="6" customHeight="1" x14ac:dyDescent="0.25">
      <c r="C1" s="5547"/>
      <c r="D1" s="494"/>
      <c r="K1" s="465"/>
      <c r="Z1" s="3735"/>
    </row>
    <row r="2" spans="1:26" s="466" customFormat="1" ht="49.5" customHeight="1" x14ac:dyDescent="0.5">
      <c r="B2" s="516"/>
      <c r="C2" s="6467" t="s">
        <v>2088</v>
      </c>
      <c r="D2" s="6467"/>
      <c r="E2" s="6467"/>
      <c r="F2" s="6467"/>
      <c r="G2" s="6467"/>
      <c r="H2" s="6467"/>
      <c r="I2" s="6467"/>
      <c r="J2" s="6467"/>
      <c r="K2" s="6467"/>
      <c r="L2" s="6467"/>
      <c r="M2" s="6467"/>
      <c r="N2" s="6467"/>
      <c r="O2" s="6467"/>
      <c r="P2" s="6467"/>
      <c r="Q2" s="6467"/>
      <c r="R2" s="6467"/>
      <c r="S2" s="517"/>
      <c r="T2" s="517"/>
      <c r="U2" s="517"/>
      <c r="V2" s="517"/>
      <c r="W2" s="517"/>
      <c r="X2" s="518"/>
      <c r="Z2" s="3735"/>
    </row>
    <row r="3" spans="1:26" s="466" customFormat="1" ht="14.25" customHeight="1" x14ac:dyDescent="0.25">
      <c r="B3" s="519"/>
      <c r="C3" s="469"/>
      <c r="D3" s="922"/>
      <c r="E3" s="469"/>
      <c r="F3" s="469"/>
      <c r="G3" s="469"/>
      <c r="H3" s="469"/>
      <c r="I3" s="469"/>
      <c r="J3" s="468"/>
      <c r="K3" s="468"/>
      <c r="L3" s="468"/>
      <c r="M3" s="468"/>
      <c r="N3" s="468"/>
      <c r="O3" s="468"/>
      <c r="P3" s="468"/>
      <c r="Q3" s="468"/>
      <c r="R3" s="468"/>
      <c r="S3" s="468"/>
      <c r="T3" s="468"/>
      <c r="U3" s="468"/>
      <c r="V3" s="468"/>
      <c r="W3" s="468"/>
      <c r="X3" s="520"/>
      <c r="Z3" s="3735"/>
    </row>
    <row r="4" spans="1:26" s="466" customFormat="1" ht="28.5" x14ac:dyDescent="0.25">
      <c r="B4" s="519"/>
      <c r="C4" s="6176"/>
      <c r="D4" s="6176"/>
      <c r="E4" s="6176"/>
      <c r="F4" s="6176"/>
      <c r="G4" s="6176"/>
      <c r="H4" s="6176"/>
      <c r="I4" s="6176"/>
      <c r="J4" s="6176"/>
      <c r="K4" s="6176"/>
      <c r="L4" s="6176"/>
      <c r="M4" s="6176"/>
      <c r="N4" s="6176"/>
      <c r="O4" s="6176"/>
      <c r="P4" s="6176"/>
      <c r="Q4" s="6176"/>
      <c r="R4" s="6176"/>
      <c r="S4" s="6176"/>
      <c r="T4" s="486"/>
      <c r="U4" s="486"/>
      <c r="V4" s="486"/>
      <c r="W4" s="491"/>
      <c r="X4" s="520"/>
      <c r="Z4" s="3735"/>
    </row>
    <row r="5" spans="1:26" s="466" customFormat="1" ht="9" customHeight="1" x14ac:dyDescent="0.25">
      <c r="B5" s="519"/>
      <c r="C5" s="469"/>
      <c r="D5" s="922"/>
      <c r="E5" s="469"/>
      <c r="F5" s="469"/>
      <c r="G5" s="469"/>
      <c r="H5" s="469"/>
      <c r="I5" s="469"/>
      <c r="J5" s="468"/>
      <c r="K5" s="468"/>
      <c r="L5" s="468"/>
      <c r="M5" s="468"/>
      <c r="N5" s="468"/>
      <c r="O5" s="468"/>
      <c r="P5" s="468"/>
      <c r="Q5" s="468"/>
      <c r="R5" s="468"/>
      <c r="S5" s="468"/>
      <c r="T5" s="468"/>
      <c r="U5" s="468"/>
      <c r="V5" s="468"/>
      <c r="W5" s="468"/>
      <c r="X5" s="520"/>
      <c r="Z5" s="3735"/>
    </row>
    <row r="6" spans="1:26" s="472" customFormat="1" ht="19.5" customHeight="1" x14ac:dyDescent="0.25">
      <c r="B6" s="6468"/>
      <c r="C6" s="6469"/>
      <c r="D6" s="6469"/>
      <c r="E6" s="6469"/>
      <c r="F6" s="6349"/>
      <c r="G6" s="6349"/>
      <c r="H6" s="6349"/>
      <c r="I6" s="6349"/>
      <c r="J6" s="6349"/>
      <c r="K6" s="6349"/>
      <c r="L6" s="6349"/>
      <c r="M6" s="6349"/>
      <c r="N6" s="6349"/>
      <c r="O6" s="6349"/>
      <c r="P6" s="6349"/>
      <c r="Q6" s="6349"/>
      <c r="R6" s="481"/>
      <c r="S6" s="481"/>
      <c r="T6" s="473"/>
      <c r="U6" s="473"/>
      <c r="V6" s="473"/>
      <c r="W6" s="473"/>
      <c r="X6" s="521"/>
      <c r="Z6" s="1327"/>
    </row>
    <row r="7" spans="1:26" s="472" customFormat="1" ht="8.25" customHeight="1" x14ac:dyDescent="0.25">
      <c r="B7" s="522"/>
      <c r="C7" s="476"/>
      <c r="D7" s="1220"/>
      <c r="E7" s="477"/>
      <c r="F7" s="3376"/>
      <c r="G7" s="3376"/>
      <c r="H7" s="3376"/>
      <c r="I7" s="3376"/>
      <c r="J7" s="473"/>
      <c r="K7" s="473"/>
      <c r="L7" s="473"/>
      <c r="M7" s="473"/>
      <c r="N7" s="473"/>
      <c r="O7" s="473"/>
      <c r="P7" s="473"/>
      <c r="Q7" s="473"/>
      <c r="R7" s="473"/>
      <c r="S7" s="473"/>
      <c r="T7" s="473"/>
      <c r="U7" s="473"/>
      <c r="V7" s="473"/>
      <c r="W7" s="473"/>
      <c r="X7" s="521"/>
      <c r="Z7" s="1327"/>
    </row>
    <row r="8" spans="1:26" s="467" customFormat="1" ht="31.5" customHeight="1" x14ac:dyDescent="0.25">
      <c r="B8" s="1329"/>
      <c r="C8" s="6350" t="s">
        <v>1704</v>
      </c>
      <c r="D8" s="6350"/>
      <c r="E8" s="6350"/>
      <c r="F8" s="6350"/>
      <c r="G8" s="6350"/>
      <c r="H8" s="6350"/>
      <c r="I8" s="6350"/>
      <c r="J8" s="6350"/>
      <c r="K8" s="6350"/>
      <c r="L8" s="6350"/>
      <c r="M8" s="6350"/>
      <c r="N8" s="6350"/>
      <c r="O8" s="6350"/>
      <c r="P8" s="6350"/>
      <c r="Q8" s="6350"/>
      <c r="R8" s="6350"/>
      <c r="S8" s="6350"/>
      <c r="T8" s="6350"/>
      <c r="U8" s="3645"/>
      <c r="V8" s="3645"/>
      <c r="W8" s="479"/>
      <c r="X8" s="524"/>
      <c r="Z8" s="3736"/>
    </row>
    <row r="9" spans="1:26" s="467" customFormat="1" ht="26.25" customHeight="1" x14ac:dyDescent="0.25">
      <c r="A9" s="5470" t="s">
        <v>184</v>
      </c>
      <c r="B9" s="1764"/>
      <c r="C9" s="6470" t="s">
        <v>565</v>
      </c>
      <c r="D9" s="6470"/>
      <c r="E9" s="6470"/>
      <c r="F9" s="6470"/>
      <c r="G9" s="6470" t="s">
        <v>568</v>
      </c>
      <c r="H9" s="6470"/>
      <c r="I9" s="6470"/>
      <c r="J9" s="6470"/>
      <c r="K9" s="6470"/>
      <c r="L9" s="6470"/>
      <c r="M9" s="6470" t="s">
        <v>735</v>
      </c>
      <c r="N9" s="6470"/>
      <c r="O9" s="6470"/>
      <c r="P9" s="6470"/>
      <c r="Q9" s="6470"/>
      <c r="R9" s="1336"/>
      <c r="S9" s="6474" t="s">
        <v>1045</v>
      </c>
      <c r="T9" s="6474"/>
      <c r="U9" s="6474"/>
      <c r="V9" s="6474"/>
      <c r="W9" s="3653"/>
      <c r="X9" s="3654"/>
      <c r="Y9" s="1246"/>
      <c r="Z9" s="3736"/>
    </row>
    <row r="10" spans="1:26" s="467" customFormat="1" ht="180.75" customHeight="1" x14ac:dyDescent="0.25">
      <c r="B10" s="6465" t="s">
        <v>948</v>
      </c>
      <c r="C10" s="6465"/>
      <c r="D10" s="6465"/>
      <c r="E10" s="6465"/>
      <c r="F10" s="6471" t="s">
        <v>3088</v>
      </c>
      <c r="G10" s="6472"/>
      <c r="H10" s="6472"/>
      <c r="I10" s="6472"/>
      <c r="J10" s="6472"/>
      <c r="K10" s="6472"/>
      <c r="L10" s="6472"/>
      <c r="M10" s="6472"/>
      <c r="N10" s="6472"/>
      <c r="O10" s="6472"/>
      <c r="P10" s="6472"/>
      <c r="Q10" s="6472"/>
      <c r="R10" s="6472"/>
      <c r="S10" s="6472"/>
      <c r="T10" s="6472"/>
      <c r="U10" s="6472"/>
      <c r="V10" s="6472"/>
      <c r="W10" s="6472"/>
      <c r="X10" s="787"/>
      <c r="Z10" s="3736"/>
    </row>
    <row r="11" spans="1:26" s="467" customFormat="1" ht="35.25" customHeight="1" x14ac:dyDescent="0.25">
      <c r="B11" s="6466"/>
      <c r="C11" s="6466"/>
      <c r="D11" s="6466"/>
      <c r="E11" s="6466"/>
      <c r="F11" s="4734" t="s">
        <v>1711</v>
      </c>
      <c r="G11" s="6473" t="s">
        <v>1707</v>
      </c>
      <c r="H11" s="6473"/>
      <c r="I11" s="6473"/>
      <c r="J11" s="6473"/>
      <c r="K11" s="6473"/>
      <c r="L11" s="6473"/>
      <c r="M11" s="6473"/>
      <c r="N11" s="6473"/>
      <c r="O11" s="6473"/>
      <c r="P11" s="6473"/>
      <c r="Q11" s="6473"/>
      <c r="R11" s="6473"/>
      <c r="S11" s="6473"/>
      <c r="T11" s="6473"/>
      <c r="U11" s="6473"/>
      <c r="V11" s="6473"/>
      <c r="W11" s="6473"/>
      <c r="X11" s="787"/>
      <c r="Z11" s="3736"/>
    </row>
    <row r="12" spans="1:26" s="467" customFormat="1" ht="74.25" customHeight="1" x14ac:dyDescent="0.25">
      <c r="B12" s="6466"/>
      <c r="C12" s="6466"/>
      <c r="D12" s="6466"/>
      <c r="E12" s="6466"/>
      <c r="F12" s="4734" t="s">
        <v>2983</v>
      </c>
      <c r="G12" s="6473" t="s">
        <v>2909</v>
      </c>
      <c r="H12" s="6473"/>
      <c r="I12" s="6473"/>
      <c r="J12" s="6473"/>
      <c r="K12" s="6473"/>
      <c r="L12" s="6473"/>
      <c r="M12" s="6473"/>
      <c r="N12" s="6473"/>
      <c r="O12" s="6473"/>
      <c r="P12" s="6473"/>
      <c r="Q12" s="6473"/>
      <c r="R12" s="6473"/>
      <c r="S12" s="6473"/>
      <c r="T12" s="6473"/>
      <c r="U12" s="6473"/>
      <c r="V12" s="6473"/>
      <c r="W12" s="6473"/>
      <c r="X12" s="787"/>
      <c r="Z12" s="3736"/>
    </row>
    <row r="13" spans="1:26" s="467" customFormat="1" ht="33.75" customHeight="1" x14ac:dyDescent="0.25">
      <c r="B13" s="6466"/>
      <c r="C13" s="6466"/>
      <c r="D13" s="6466"/>
      <c r="E13" s="6466"/>
      <c r="F13" s="4734" t="s">
        <v>770</v>
      </c>
      <c r="G13" s="6473" t="s">
        <v>1710</v>
      </c>
      <c r="H13" s="6473"/>
      <c r="I13" s="6473"/>
      <c r="J13" s="6473"/>
      <c r="K13" s="6473"/>
      <c r="L13" s="6473"/>
      <c r="M13" s="6473"/>
      <c r="N13" s="6473"/>
      <c r="O13" s="6473"/>
      <c r="P13" s="6473"/>
      <c r="Q13" s="6473"/>
      <c r="R13" s="6473"/>
      <c r="S13" s="6473"/>
      <c r="T13" s="6473"/>
      <c r="U13" s="6473"/>
      <c r="V13" s="6473"/>
      <c r="W13" s="6473"/>
      <c r="X13" s="787"/>
      <c r="Z13" s="3736"/>
    </row>
    <row r="14" spans="1:26" s="467" customFormat="1" ht="18.75" x14ac:dyDescent="0.25">
      <c r="B14" s="6466"/>
      <c r="C14" s="6466"/>
      <c r="D14" s="6466"/>
      <c r="E14" s="6466"/>
      <c r="F14" s="4734" t="s">
        <v>1712</v>
      </c>
      <c r="G14" s="6473" t="s">
        <v>1706</v>
      </c>
      <c r="H14" s="6473"/>
      <c r="I14" s="6473"/>
      <c r="J14" s="6473"/>
      <c r="K14" s="6473"/>
      <c r="L14" s="6473"/>
      <c r="M14" s="6473"/>
      <c r="N14" s="6473"/>
      <c r="O14" s="6473"/>
      <c r="P14" s="6473"/>
      <c r="Q14" s="6473"/>
      <c r="R14" s="6473"/>
      <c r="S14" s="6473"/>
      <c r="T14" s="6473"/>
      <c r="U14" s="6473"/>
      <c r="V14" s="6473"/>
      <c r="W14" s="6473"/>
      <c r="X14" s="787"/>
      <c r="Z14" s="3736"/>
    </row>
    <row r="15" spans="1:26" s="467" customFormat="1" ht="32.25" customHeight="1" x14ac:dyDescent="0.25">
      <c r="B15" s="6466"/>
      <c r="C15" s="6466"/>
      <c r="D15" s="6466"/>
      <c r="E15" s="6466"/>
      <c r="F15" s="4734" t="s">
        <v>1713</v>
      </c>
      <c r="G15" s="6473" t="s">
        <v>1709</v>
      </c>
      <c r="H15" s="6473"/>
      <c r="I15" s="6473"/>
      <c r="J15" s="6473"/>
      <c r="K15" s="6473"/>
      <c r="L15" s="6473"/>
      <c r="M15" s="6473"/>
      <c r="N15" s="6473"/>
      <c r="O15" s="6473"/>
      <c r="P15" s="6473"/>
      <c r="Q15" s="6473"/>
      <c r="R15" s="6473"/>
      <c r="S15" s="6473"/>
      <c r="T15" s="6473"/>
      <c r="U15" s="6473"/>
      <c r="V15" s="6473"/>
      <c r="W15" s="6473"/>
      <c r="X15" s="787"/>
      <c r="Z15" s="3736"/>
    </row>
    <row r="16" spans="1:26" s="467" customFormat="1" ht="34.5" customHeight="1" x14ac:dyDescent="0.25">
      <c r="B16" s="6466"/>
      <c r="C16" s="6466"/>
      <c r="D16" s="6466"/>
      <c r="E16" s="6466"/>
      <c r="F16" s="4734" t="s">
        <v>1714</v>
      </c>
      <c r="G16" s="6473" t="s">
        <v>1708</v>
      </c>
      <c r="H16" s="6473"/>
      <c r="I16" s="6473"/>
      <c r="J16" s="6473"/>
      <c r="K16" s="6473"/>
      <c r="L16" s="6473"/>
      <c r="M16" s="6473"/>
      <c r="N16" s="6473"/>
      <c r="O16" s="6473"/>
      <c r="P16" s="6473"/>
      <c r="Q16" s="6473"/>
      <c r="R16" s="6473"/>
      <c r="S16" s="6473"/>
      <c r="T16" s="6473"/>
      <c r="U16" s="6473"/>
      <c r="V16" s="6473"/>
      <c r="W16" s="6473"/>
      <c r="X16" s="787"/>
      <c r="Z16" s="3736"/>
    </row>
    <row r="17" spans="1:26" s="467" customFormat="1" ht="12" customHeight="1" x14ac:dyDescent="0.25">
      <c r="B17" s="789"/>
      <c r="C17" s="789"/>
      <c r="D17" s="1247"/>
      <c r="E17" s="789"/>
      <c r="F17" s="791"/>
      <c r="G17" s="788"/>
      <c r="H17" s="788"/>
      <c r="I17" s="788"/>
      <c r="J17" s="788"/>
      <c r="K17" s="790"/>
      <c r="L17" s="788"/>
      <c r="M17" s="788"/>
      <c r="N17" s="790"/>
      <c r="O17" s="788"/>
      <c r="P17" s="788"/>
      <c r="Q17" s="788"/>
      <c r="R17" s="788"/>
      <c r="S17" s="788"/>
      <c r="T17" s="788"/>
      <c r="U17" s="788"/>
      <c r="V17" s="788"/>
      <c r="W17" s="788"/>
      <c r="X17" s="787"/>
      <c r="Z17" s="3736"/>
    </row>
    <row r="18" spans="1:26" s="465" customFormat="1" x14ac:dyDescent="0.25">
      <c r="B18" s="464"/>
      <c r="C18" s="47"/>
      <c r="D18" s="470"/>
      <c r="E18" s="470"/>
      <c r="F18" s="4"/>
      <c r="G18" s="4"/>
      <c r="H18" s="4"/>
      <c r="I18" s="4"/>
      <c r="J18" s="4"/>
      <c r="K18" s="4"/>
      <c r="L18" s="4"/>
      <c r="M18" s="4"/>
      <c r="N18" s="4"/>
      <c r="O18" s="4"/>
      <c r="P18" s="4"/>
      <c r="Q18" s="4"/>
      <c r="R18" s="4"/>
      <c r="S18" s="4"/>
      <c r="T18" s="4"/>
      <c r="U18" s="4"/>
      <c r="V18" s="4"/>
      <c r="W18" s="4"/>
      <c r="X18" s="4"/>
      <c r="Z18" s="3737"/>
    </row>
    <row r="19" spans="1:26" s="480" customFormat="1" ht="31.5" customHeight="1" x14ac:dyDescent="0.25">
      <c r="B19" s="1382"/>
      <c r="C19" s="1383"/>
      <c r="D19" s="1384" t="s">
        <v>1</v>
      </c>
      <c r="E19" s="1384" t="s">
        <v>565</v>
      </c>
      <c r="F19" s="1384"/>
      <c r="G19" s="1384"/>
      <c r="H19" s="1384"/>
      <c r="I19" s="1384"/>
      <c r="J19" s="1384"/>
      <c r="K19" s="1384"/>
      <c r="L19" s="1384"/>
      <c r="M19" s="1384"/>
      <c r="N19" s="1384"/>
      <c r="O19" s="1384"/>
      <c r="P19" s="1384"/>
      <c r="Q19" s="1384"/>
      <c r="R19" s="1384"/>
      <c r="S19" s="1384"/>
      <c r="T19" s="1384"/>
      <c r="U19" s="1385"/>
      <c r="V19" s="1385"/>
      <c r="W19" s="1385"/>
      <c r="X19" s="1386"/>
      <c r="Z19" s="3738"/>
    </row>
    <row r="20" spans="1:26" ht="11.1" customHeight="1" x14ac:dyDescent="0.3">
      <c r="B20" s="389"/>
      <c r="C20" s="389"/>
      <c r="D20" s="384"/>
      <c r="E20" s="384"/>
      <c r="F20" s="384"/>
      <c r="G20" s="384"/>
      <c r="H20" s="384"/>
      <c r="I20" s="384"/>
      <c r="J20" s="2"/>
      <c r="K20" s="2"/>
      <c r="L20" s="2"/>
      <c r="M20" s="2"/>
      <c r="N20" s="2"/>
      <c r="O20" s="2"/>
      <c r="P20" s="2"/>
      <c r="Q20" s="2"/>
      <c r="R20" s="2"/>
      <c r="S20" s="2"/>
      <c r="T20" s="2"/>
      <c r="U20" s="2"/>
      <c r="V20" s="2"/>
      <c r="W20" s="2"/>
      <c r="X20" s="2"/>
    </row>
    <row r="21" spans="1:26" ht="21.75" thickBot="1" x14ac:dyDescent="0.35">
      <c r="B21" s="389"/>
      <c r="C21" s="388"/>
      <c r="D21" s="399"/>
      <c r="E21" s="399">
        <v>1</v>
      </c>
      <c r="F21" s="6431" t="s">
        <v>566</v>
      </c>
      <c r="G21" s="6431"/>
      <c r="H21" s="6431"/>
      <c r="I21" s="390"/>
      <c r="J21" s="991"/>
      <c r="K21" s="991"/>
      <c r="L21" s="991"/>
      <c r="M21" s="991"/>
      <c r="N21" s="991"/>
      <c r="O21" s="991"/>
      <c r="P21" s="991"/>
      <c r="Q21" s="991"/>
      <c r="R21" s="991"/>
      <c r="S21" s="991"/>
      <c r="T21" s="991"/>
      <c r="U21" s="991"/>
      <c r="V21" s="991"/>
      <c r="W21" s="991"/>
      <c r="X21" s="991"/>
      <c r="Y21" s="921"/>
    </row>
    <row r="22" spans="1:26" ht="18.75" thickBot="1" x14ac:dyDescent="0.35">
      <c r="B22" s="389"/>
      <c r="C22" s="5538" t="s">
        <v>3159</v>
      </c>
      <c r="D22" s="3401" t="s">
        <v>786</v>
      </c>
      <c r="E22" s="3350" t="s">
        <v>78</v>
      </c>
      <c r="F22" s="3349" t="s">
        <v>1555</v>
      </c>
      <c r="G22" s="3922"/>
      <c r="H22" s="3923"/>
      <c r="I22" s="5904"/>
      <c r="J22" s="991"/>
      <c r="K22" s="991"/>
      <c r="L22" s="991"/>
      <c r="M22" s="991"/>
      <c r="N22" s="991"/>
      <c r="O22" s="991"/>
      <c r="P22" s="991"/>
      <c r="Q22" s="991"/>
      <c r="R22" s="991"/>
      <c r="S22" s="991"/>
      <c r="T22" s="991"/>
      <c r="U22" s="991"/>
      <c r="V22" s="991"/>
      <c r="W22" s="991"/>
      <c r="X22" s="991"/>
      <c r="Y22" s="921"/>
      <c r="Z22" s="3739" t="b">
        <f>'Perf assessment'!U40</f>
        <v>0</v>
      </c>
    </row>
    <row r="23" spans="1:26" s="918" customFormat="1" ht="15.75" customHeight="1" x14ac:dyDescent="0.25">
      <c r="A23" s="921"/>
      <c r="B23" s="991"/>
      <c r="C23" s="388"/>
      <c r="D23" s="6425" t="s">
        <v>82</v>
      </c>
      <c r="E23" s="6426"/>
      <c r="F23" s="3295" t="s">
        <v>2214</v>
      </c>
      <c r="G23" s="3130" t="s">
        <v>207</v>
      </c>
      <c r="H23" s="3399">
        <f>Population!$E$31</f>
        <v>0</v>
      </c>
      <c r="I23" s="5904"/>
      <c r="J23" s="991"/>
      <c r="K23" s="991"/>
      <c r="L23" s="991"/>
      <c r="M23" s="991"/>
      <c r="N23" s="991"/>
      <c r="O23" s="991"/>
      <c r="P23" s="991"/>
      <c r="Q23" s="991"/>
      <c r="R23" s="991"/>
      <c r="S23" s="991"/>
      <c r="T23" s="991"/>
      <c r="U23" s="991"/>
      <c r="V23" s="991"/>
      <c r="W23" s="991"/>
      <c r="X23" s="991"/>
      <c r="Y23" s="921"/>
      <c r="Z23" s="1316"/>
    </row>
    <row r="24" spans="1:26" ht="15.75" x14ac:dyDescent="0.25">
      <c r="B24" s="2"/>
      <c r="C24" s="388"/>
      <c r="D24" s="6429" t="s">
        <v>210</v>
      </c>
      <c r="E24" s="6430"/>
      <c r="F24" s="3296" t="s">
        <v>2215</v>
      </c>
      <c r="G24" s="3143" t="s">
        <v>18</v>
      </c>
      <c r="H24" s="3754"/>
      <c r="I24" s="5904"/>
      <c r="J24" s="991"/>
      <c r="K24" s="991"/>
      <c r="L24" s="991"/>
      <c r="M24" s="991"/>
      <c r="N24" s="991"/>
      <c r="O24" s="991"/>
      <c r="P24" s="991"/>
      <c r="Q24" s="991"/>
      <c r="R24" s="991"/>
      <c r="S24" s="991"/>
      <c r="T24" s="991"/>
      <c r="U24" s="991"/>
      <c r="V24" s="991"/>
      <c r="W24" s="991"/>
      <c r="X24" s="991"/>
      <c r="Y24" s="921"/>
    </row>
    <row r="25" spans="1:26" ht="15.75" x14ac:dyDescent="0.25">
      <c r="B25" s="2"/>
      <c r="C25" s="388"/>
      <c r="D25" s="6436"/>
      <c r="E25" s="6437"/>
      <c r="F25" s="3297" t="s">
        <v>2216</v>
      </c>
      <c r="G25" s="3151" t="s">
        <v>479</v>
      </c>
      <c r="H25" s="3755"/>
      <c r="I25" s="5904"/>
      <c r="J25" s="991"/>
      <c r="K25" s="991"/>
      <c r="L25" s="991"/>
      <c r="M25" s="991"/>
      <c r="N25" s="991"/>
      <c r="O25" s="991"/>
      <c r="P25" s="991"/>
      <c r="Q25" s="991"/>
      <c r="R25" s="991"/>
      <c r="S25" s="991"/>
      <c r="T25" s="991"/>
      <c r="U25" s="991"/>
      <c r="V25" s="991"/>
      <c r="W25" s="991"/>
      <c r="X25" s="991"/>
      <c r="Y25" s="921"/>
    </row>
    <row r="26" spans="1:26" ht="15.75" customHeight="1" x14ac:dyDescent="0.25">
      <c r="B26" s="2"/>
      <c r="C26" s="388"/>
      <c r="D26" s="6421" t="s">
        <v>211</v>
      </c>
      <c r="E26" s="6422" t="s">
        <v>211</v>
      </c>
      <c r="F26" s="3110" t="s">
        <v>2217</v>
      </c>
      <c r="G26" s="3141" t="s">
        <v>3529</v>
      </c>
      <c r="H26" s="3755"/>
      <c r="I26" s="5904"/>
      <c r="J26" s="991"/>
      <c r="K26" s="991"/>
      <c r="L26" s="991"/>
      <c r="M26" s="991"/>
      <c r="N26" s="991"/>
      <c r="O26" s="991"/>
      <c r="P26" s="991"/>
      <c r="Q26" s="991"/>
      <c r="R26" s="991"/>
      <c r="S26" s="991"/>
      <c r="T26" s="991"/>
      <c r="U26" s="991"/>
      <c r="V26" s="991"/>
      <c r="W26" s="991"/>
      <c r="X26" s="991"/>
      <c r="Y26" s="921"/>
    </row>
    <row r="27" spans="1:26" ht="16.5" thickBot="1" x14ac:dyDescent="0.3">
      <c r="B27" s="2"/>
      <c r="C27" s="388"/>
      <c r="D27" s="6432"/>
      <c r="E27" s="6433"/>
      <c r="F27" s="2975" t="s">
        <v>2218</v>
      </c>
      <c r="G27" s="3256" t="s">
        <v>3503</v>
      </c>
      <c r="H27" s="5730"/>
      <c r="I27" s="5904"/>
      <c r="J27" s="991"/>
      <c r="K27" s="991"/>
      <c r="L27" s="991"/>
      <c r="M27" s="991"/>
      <c r="N27" s="991"/>
      <c r="O27" s="991"/>
      <c r="P27" s="991"/>
      <c r="Q27" s="991"/>
      <c r="R27" s="991"/>
      <c r="S27" s="991"/>
      <c r="T27" s="991"/>
      <c r="U27" s="991"/>
      <c r="V27" s="991"/>
      <c r="W27" s="991"/>
      <c r="X27" s="991"/>
      <c r="Y27" s="921"/>
    </row>
    <row r="28" spans="1:26" ht="18.75" thickBot="1" x14ac:dyDescent="0.3">
      <c r="B28" s="991"/>
      <c r="C28" s="5538" t="s">
        <v>3160</v>
      </c>
      <c r="D28" s="3401" t="s">
        <v>786</v>
      </c>
      <c r="E28" s="2976" t="s">
        <v>78</v>
      </c>
      <c r="F28" s="3351" t="s">
        <v>1766</v>
      </c>
      <c r="G28" s="3922"/>
      <c r="H28" s="3923"/>
      <c r="I28" s="5904"/>
      <c r="J28" s="2"/>
      <c r="K28" s="2"/>
      <c r="L28" s="2"/>
      <c r="M28" s="2"/>
      <c r="N28" s="2"/>
      <c r="O28" s="2"/>
      <c r="P28" s="2"/>
      <c r="Q28" s="2"/>
      <c r="R28" s="2"/>
      <c r="S28" s="2"/>
      <c r="T28" s="2"/>
      <c r="U28" s="2"/>
      <c r="V28" s="2"/>
      <c r="W28" s="2"/>
      <c r="X28" s="2"/>
      <c r="Z28" s="3739" t="b">
        <f>'Perf assessment'!U41</f>
        <v>0</v>
      </c>
    </row>
    <row r="29" spans="1:26" ht="15.75" x14ac:dyDescent="0.25">
      <c r="B29" s="991"/>
      <c r="C29" s="388"/>
      <c r="D29" s="6421" t="s">
        <v>211</v>
      </c>
      <c r="E29" s="6422"/>
      <c r="F29" s="2974" t="s">
        <v>3500</v>
      </c>
      <c r="G29" s="3130" t="s">
        <v>3501</v>
      </c>
      <c r="H29" s="3797"/>
      <c r="I29" s="5904"/>
      <c r="J29" s="2"/>
      <c r="K29" s="2"/>
      <c r="L29" s="2"/>
      <c r="M29" s="2"/>
      <c r="N29" s="2"/>
      <c r="O29" s="2"/>
      <c r="P29" s="2"/>
      <c r="Q29" s="2"/>
      <c r="R29" s="2"/>
      <c r="S29" s="2"/>
      <c r="T29" s="2"/>
      <c r="U29" s="2"/>
      <c r="V29" s="2"/>
      <c r="W29" s="2"/>
      <c r="X29" s="2"/>
    </row>
    <row r="30" spans="1:26" ht="15.75" x14ac:dyDescent="0.25">
      <c r="B30" s="991"/>
      <c r="C30" s="388"/>
      <c r="D30" s="6432"/>
      <c r="E30" s="6433"/>
      <c r="F30" s="2975" t="s">
        <v>2220</v>
      </c>
      <c r="G30" s="3131" t="s">
        <v>3502</v>
      </c>
      <c r="H30" s="3773"/>
      <c r="I30" s="5904"/>
      <c r="J30" s="2"/>
      <c r="K30" s="2"/>
      <c r="L30" s="2"/>
      <c r="M30" s="2"/>
      <c r="N30" s="2"/>
      <c r="O30" s="2"/>
      <c r="P30" s="2"/>
      <c r="Q30" s="2"/>
      <c r="R30" s="2"/>
      <c r="S30" s="2"/>
      <c r="T30" s="2"/>
      <c r="U30" s="2"/>
      <c r="V30" s="2"/>
      <c r="W30" s="2"/>
      <c r="X30" s="2"/>
    </row>
    <row r="31" spans="1:26" ht="11.1" customHeight="1" x14ac:dyDescent="0.25">
      <c r="B31" s="2"/>
      <c r="C31" s="388"/>
      <c r="D31" s="1140"/>
      <c r="E31" s="392"/>
      <c r="F31" s="391"/>
      <c r="G31" s="393"/>
      <c r="H31" s="394"/>
      <c r="I31" s="388"/>
      <c r="J31" s="2"/>
      <c r="K31" s="2"/>
      <c r="L31" s="2"/>
      <c r="M31" s="2"/>
      <c r="N31" s="2"/>
      <c r="O31" s="2"/>
      <c r="P31" s="2"/>
      <c r="Q31" s="2"/>
      <c r="R31" s="2"/>
      <c r="S31" s="2"/>
      <c r="T31" s="2"/>
      <c r="U31" s="2"/>
      <c r="V31" s="2"/>
      <c r="W31" s="2"/>
      <c r="X31" s="2"/>
    </row>
    <row r="32" spans="1:26" ht="11.1" customHeight="1" x14ac:dyDescent="0.25">
      <c r="B32" s="2"/>
      <c r="C32" s="991"/>
      <c r="D32" s="413"/>
      <c r="E32" s="991"/>
      <c r="F32" s="991"/>
      <c r="G32" s="991"/>
      <c r="H32" s="991"/>
      <c r="I32" s="991"/>
      <c r="J32" s="2"/>
      <c r="K32" s="2"/>
      <c r="L32" s="2"/>
      <c r="M32" s="2"/>
      <c r="N32" s="2"/>
      <c r="O32" s="2"/>
      <c r="P32" s="2"/>
      <c r="Q32" s="2"/>
      <c r="R32" s="2"/>
      <c r="S32" s="2"/>
      <c r="T32" s="2"/>
      <c r="U32" s="2"/>
      <c r="V32" s="2"/>
      <c r="W32" s="2"/>
      <c r="X32" s="2"/>
    </row>
    <row r="33" spans="2:26" ht="21.75" thickBot="1" x14ac:dyDescent="0.3">
      <c r="B33" s="2"/>
      <c r="C33" s="388"/>
      <c r="D33" s="399"/>
      <c r="E33" s="399">
        <v>2</v>
      </c>
      <c r="F33" s="6431" t="s">
        <v>1984</v>
      </c>
      <c r="G33" s="6431"/>
      <c r="H33" s="6431"/>
      <c r="I33" s="390"/>
      <c r="J33" s="2"/>
      <c r="K33" s="2"/>
      <c r="L33" s="2"/>
      <c r="M33" s="2"/>
      <c r="N33" s="2"/>
      <c r="O33" s="2"/>
      <c r="P33" s="2"/>
      <c r="Q33" s="2"/>
      <c r="R33" s="2"/>
      <c r="S33" s="2"/>
      <c r="T33" s="2"/>
      <c r="U33" s="2"/>
      <c r="V33" s="2"/>
      <c r="W33" s="2"/>
      <c r="X33" s="2"/>
    </row>
    <row r="34" spans="2:26" ht="18.75" customHeight="1" thickBot="1" x14ac:dyDescent="0.3">
      <c r="B34" s="2"/>
      <c r="C34" s="5538" t="s">
        <v>3161</v>
      </c>
      <c r="D34" s="3401" t="s">
        <v>786</v>
      </c>
      <c r="E34" s="3350" t="s">
        <v>78</v>
      </c>
      <c r="F34" s="6444" t="s">
        <v>1539</v>
      </c>
      <c r="G34" s="6445"/>
      <c r="H34" s="6446"/>
      <c r="I34" s="5904"/>
      <c r="J34" s="991"/>
      <c r="K34" s="2"/>
      <c r="L34" s="2"/>
      <c r="M34" s="2"/>
      <c r="N34" s="2"/>
      <c r="O34" s="2"/>
      <c r="P34" s="2"/>
      <c r="Q34" s="2"/>
      <c r="R34" s="2"/>
      <c r="S34" s="2"/>
      <c r="T34" s="2"/>
      <c r="U34" s="2"/>
      <c r="V34" s="2"/>
      <c r="W34" s="2"/>
      <c r="X34" s="2"/>
      <c r="Z34" s="3739">
        <f>'Perf assessment'!U43</f>
        <v>0</v>
      </c>
    </row>
    <row r="35" spans="2:26" ht="18.75" thickBot="1" x14ac:dyDescent="0.3">
      <c r="B35" s="2"/>
      <c r="C35" s="5538" t="s">
        <v>3162</v>
      </c>
      <c r="D35" s="3401" t="s">
        <v>786</v>
      </c>
      <c r="E35" s="2976" t="s">
        <v>78</v>
      </c>
      <c r="F35" s="6444" t="s">
        <v>1549</v>
      </c>
      <c r="G35" s="6445"/>
      <c r="H35" s="6446"/>
      <c r="I35" s="5904"/>
      <c r="J35" s="2"/>
      <c r="K35" s="2"/>
      <c r="L35" s="2"/>
      <c r="M35" s="2"/>
      <c r="N35" s="2"/>
      <c r="O35" s="2"/>
      <c r="P35" s="2"/>
      <c r="Q35" s="2"/>
      <c r="R35" s="2"/>
      <c r="S35" s="2"/>
      <c r="T35" s="2"/>
      <c r="U35" s="2"/>
      <c r="V35" s="2"/>
      <c r="W35" s="2"/>
      <c r="X35" s="2"/>
      <c r="Z35" s="3739">
        <f>'Perf assessment'!U44</f>
        <v>0</v>
      </c>
    </row>
    <row r="36" spans="2:26" x14ac:dyDescent="0.25">
      <c r="B36" s="2"/>
      <c r="C36" s="388"/>
      <c r="D36" s="415"/>
      <c r="E36" s="388"/>
      <c r="F36" s="388"/>
      <c r="G36" s="388"/>
      <c r="H36" s="388"/>
      <c r="I36" s="388"/>
      <c r="J36" s="2"/>
      <c r="K36" s="2"/>
      <c r="L36" s="2"/>
      <c r="M36" s="2"/>
      <c r="N36" s="2"/>
      <c r="O36" s="2"/>
      <c r="P36" s="2"/>
      <c r="Q36" s="2"/>
      <c r="R36" s="2"/>
      <c r="S36" s="2"/>
      <c r="T36" s="2"/>
      <c r="U36" s="2"/>
      <c r="V36" s="2"/>
      <c r="W36" s="2"/>
      <c r="X36" s="2"/>
    </row>
    <row r="37" spans="2:26" ht="11.1" customHeight="1" x14ac:dyDescent="0.25">
      <c r="B37" s="2"/>
      <c r="C37" s="991"/>
      <c r="D37" s="413"/>
      <c r="E37" s="991"/>
      <c r="F37" s="991"/>
      <c r="G37" s="991"/>
      <c r="H37" s="991"/>
      <c r="I37" s="991"/>
      <c r="J37" s="2"/>
      <c r="K37" s="2"/>
      <c r="L37" s="2"/>
      <c r="M37" s="2"/>
      <c r="N37" s="2"/>
      <c r="O37" s="2"/>
      <c r="P37" s="2"/>
      <c r="Q37" s="2"/>
      <c r="R37" s="2"/>
      <c r="S37" s="2"/>
      <c r="T37" s="2"/>
      <c r="U37" s="2"/>
      <c r="V37" s="2"/>
      <c r="W37" s="2"/>
      <c r="X37" s="2"/>
    </row>
    <row r="38" spans="2:26" ht="21.75" thickBot="1" x14ac:dyDescent="0.3">
      <c r="B38" s="2"/>
      <c r="C38" s="388"/>
      <c r="D38" s="399"/>
      <c r="E38" s="399">
        <v>3</v>
      </c>
      <c r="F38" s="6431" t="s">
        <v>1044</v>
      </c>
      <c r="G38" s="6431"/>
      <c r="H38" s="6431"/>
      <c r="I38" s="390"/>
      <c r="J38" s="2"/>
      <c r="K38" s="2"/>
      <c r="L38" s="2"/>
      <c r="M38" s="2"/>
      <c r="N38" s="2"/>
      <c r="O38" s="2"/>
      <c r="P38" s="2"/>
      <c r="Q38" s="2"/>
      <c r="R38" s="2"/>
      <c r="S38" s="2"/>
      <c r="T38" s="2"/>
      <c r="U38" s="2"/>
      <c r="V38" s="2"/>
      <c r="W38" s="2"/>
      <c r="X38" s="2"/>
    </row>
    <row r="39" spans="2:26" ht="18.75" thickBot="1" x14ac:dyDescent="0.3">
      <c r="B39" s="991"/>
      <c r="C39" s="5538"/>
      <c r="D39" s="3401" t="s">
        <v>786</v>
      </c>
      <c r="E39" s="2976" t="s">
        <v>78</v>
      </c>
      <c r="F39" s="3352" t="s">
        <v>1765</v>
      </c>
      <c r="G39" s="3924"/>
      <c r="H39" s="3923"/>
      <c r="I39" s="5904"/>
      <c r="J39" s="991"/>
      <c r="K39" s="2"/>
      <c r="L39" s="2"/>
      <c r="M39" s="2"/>
      <c r="N39" s="2"/>
      <c r="O39" s="2"/>
      <c r="P39" s="2"/>
      <c r="Q39" s="2"/>
      <c r="R39" s="2"/>
      <c r="S39" s="2"/>
      <c r="T39" s="2"/>
      <c r="U39" s="2"/>
      <c r="V39" s="2"/>
      <c r="W39" s="2"/>
      <c r="X39" s="2"/>
      <c r="Z39" s="3739" t="b">
        <f>'Perf assessment'!U46</f>
        <v>0</v>
      </c>
    </row>
    <row r="40" spans="2:26" ht="33" customHeight="1" x14ac:dyDescent="0.25">
      <c r="B40" s="991"/>
      <c r="C40" s="388"/>
      <c r="D40" s="6457" t="s">
        <v>82</v>
      </c>
      <c r="E40" s="6475"/>
      <c r="F40" s="3118" t="s">
        <v>2221</v>
      </c>
      <c r="G40" s="3119" t="s">
        <v>18</v>
      </c>
      <c r="H40" s="532">
        <f>'WSS Profile'!$G$147</f>
        <v>0</v>
      </c>
      <c r="I40" s="5904"/>
      <c r="J40" s="991"/>
      <c r="K40" s="2"/>
      <c r="L40" s="2"/>
      <c r="M40" s="2"/>
      <c r="N40" s="2"/>
      <c r="O40" s="2"/>
      <c r="P40" s="2"/>
      <c r="Q40" s="2"/>
      <c r="R40" s="2"/>
      <c r="S40" s="2"/>
      <c r="T40" s="2"/>
      <c r="U40" s="2"/>
      <c r="V40" s="2"/>
      <c r="W40" s="2"/>
      <c r="X40" s="2"/>
    </row>
    <row r="41" spans="2:26" ht="29.25" customHeight="1" x14ac:dyDescent="0.25">
      <c r="B41" s="991"/>
      <c r="C41" s="388"/>
      <c r="D41" s="6436"/>
      <c r="E41" s="6476"/>
      <c r="F41" s="3255" t="s">
        <v>2222</v>
      </c>
      <c r="G41" s="3257" t="s">
        <v>18</v>
      </c>
      <c r="H41" s="395">
        <f>'WSS Profile'!$G$148</f>
        <v>0</v>
      </c>
      <c r="I41" s="5904"/>
      <c r="J41" s="991"/>
      <c r="K41" s="2"/>
      <c r="L41" s="2"/>
      <c r="M41" s="2"/>
      <c r="N41" s="2"/>
      <c r="O41" s="2"/>
      <c r="P41" s="2"/>
      <c r="Q41" s="2"/>
      <c r="R41" s="2"/>
      <c r="S41" s="2"/>
      <c r="T41" s="2"/>
      <c r="U41" s="2"/>
      <c r="V41" s="2"/>
      <c r="W41" s="2"/>
      <c r="X41" s="2"/>
    </row>
    <row r="42" spans="2:26" ht="30" x14ac:dyDescent="0.25">
      <c r="B42" s="991"/>
      <c r="C42" s="388"/>
      <c r="D42" s="6453" t="s">
        <v>210</v>
      </c>
      <c r="E42" s="6454"/>
      <c r="F42" s="3120" t="s">
        <v>2223</v>
      </c>
      <c r="G42" s="3121" t="s">
        <v>18</v>
      </c>
      <c r="H42" s="3117"/>
      <c r="I42" s="5904"/>
      <c r="J42" s="991"/>
      <c r="K42" s="385"/>
      <c r="L42" s="385"/>
      <c r="M42" s="2"/>
      <c r="N42" s="2"/>
      <c r="O42" s="2"/>
      <c r="P42" s="2"/>
      <c r="Q42" s="2"/>
      <c r="R42" s="2"/>
      <c r="S42" s="2"/>
      <c r="T42" s="2"/>
      <c r="U42" s="2"/>
      <c r="V42" s="2"/>
      <c r="W42" s="2"/>
      <c r="X42" s="2"/>
    </row>
    <row r="43" spans="2:26" ht="16.5" customHeight="1" thickBot="1" x14ac:dyDescent="0.3">
      <c r="B43" s="991"/>
      <c r="C43" s="388"/>
      <c r="D43" s="6425" t="s">
        <v>211</v>
      </c>
      <c r="E43" s="6426"/>
      <c r="F43" s="2975" t="s">
        <v>2224</v>
      </c>
      <c r="G43" s="3112" t="s">
        <v>3505</v>
      </c>
      <c r="H43" s="3003"/>
      <c r="I43" s="5904"/>
      <c r="J43" s="991"/>
      <c r="K43" s="379"/>
      <c r="L43" s="380"/>
      <c r="M43" s="380"/>
      <c r="N43" s="380"/>
      <c r="O43" s="2"/>
      <c r="P43" s="2"/>
      <c r="Q43" s="2"/>
      <c r="R43" s="2"/>
      <c r="S43" s="2"/>
      <c r="T43" s="2"/>
      <c r="U43" s="2"/>
      <c r="V43" s="2"/>
      <c r="W43" s="2"/>
      <c r="X43" s="2"/>
    </row>
    <row r="44" spans="2:26" ht="32.25" thickBot="1" x14ac:dyDescent="0.3">
      <c r="B44" s="991"/>
      <c r="C44" s="5538" t="s">
        <v>3164</v>
      </c>
      <c r="D44" s="3401" t="s">
        <v>786</v>
      </c>
      <c r="E44" s="2976" t="s">
        <v>78</v>
      </c>
      <c r="F44" s="2978" t="s">
        <v>1764</v>
      </c>
      <c r="G44" s="3925"/>
      <c r="H44" s="3923"/>
      <c r="I44" s="5904"/>
      <c r="J44" s="991"/>
      <c r="K44" s="2"/>
      <c r="L44" s="2"/>
      <c r="M44" s="2"/>
      <c r="N44" s="2"/>
      <c r="O44" s="2"/>
      <c r="P44" s="2"/>
      <c r="Q44" s="2"/>
      <c r="R44" s="2"/>
      <c r="S44" s="2"/>
      <c r="T44" s="2"/>
      <c r="U44" s="2"/>
      <c r="V44" s="2"/>
      <c r="W44" s="2"/>
      <c r="X44" s="2"/>
      <c r="Z44" s="3739" t="b">
        <f>'Perf assessment'!U47</f>
        <v>0</v>
      </c>
    </row>
    <row r="45" spans="2:26" ht="30" x14ac:dyDescent="0.25">
      <c r="B45" s="991"/>
      <c r="C45" s="388"/>
      <c r="D45" s="6421" t="s">
        <v>82</v>
      </c>
      <c r="E45" s="6422"/>
      <c r="F45" s="2974" t="s">
        <v>2139</v>
      </c>
      <c r="G45" s="3119" t="s">
        <v>2884</v>
      </c>
      <c r="H45" s="396" t="str">
        <f>CONCATENATE('WSS Profile'!$G$86," / ",'WSS Profile'!$G$37)</f>
        <v xml:space="preserve"> / </v>
      </c>
      <c r="I45" s="5904"/>
      <c r="J45" s="991"/>
      <c r="K45" s="2"/>
      <c r="L45" s="2"/>
      <c r="M45" s="2"/>
      <c r="N45" s="2"/>
      <c r="O45" s="2"/>
      <c r="P45" s="2"/>
      <c r="Q45" s="2"/>
      <c r="R45" s="2"/>
      <c r="S45" s="2"/>
      <c r="T45" s="2"/>
      <c r="U45" s="2"/>
      <c r="V45" s="2"/>
      <c r="W45" s="2"/>
      <c r="X45" s="2"/>
    </row>
    <row r="46" spans="2:26" ht="30" x14ac:dyDescent="0.25">
      <c r="B46" s="991"/>
      <c r="C46" s="388"/>
      <c r="D46" s="6421"/>
      <c r="E46" s="6422"/>
      <c r="F46" s="3110" t="s">
        <v>2140</v>
      </c>
      <c r="G46" s="3257" t="s">
        <v>28</v>
      </c>
      <c r="H46" s="3294" t="str">
        <f>CONCATENATE(SUM('WSS Profile'!$G$92:$G$100)," / ",Population!$E$31)</f>
        <v>0 / 0</v>
      </c>
      <c r="I46" s="5904"/>
      <c r="J46" s="991"/>
      <c r="K46" s="2"/>
      <c r="L46" s="2"/>
      <c r="M46" s="2"/>
      <c r="N46" s="2"/>
      <c r="O46" s="2"/>
      <c r="P46" s="2"/>
      <c r="Q46" s="2"/>
      <c r="R46" s="2"/>
      <c r="S46" s="2"/>
      <c r="T46" s="2"/>
      <c r="U46" s="2"/>
      <c r="V46" s="2"/>
      <c r="W46" s="2"/>
      <c r="X46" s="2"/>
    </row>
    <row r="47" spans="2:26" ht="15.75" x14ac:dyDescent="0.25">
      <c r="B47" s="991"/>
      <c r="C47" s="388"/>
      <c r="D47" s="6429" t="s">
        <v>210</v>
      </c>
      <c r="E47" s="6430"/>
      <c r="F47" s="3142" t="s">
        <v>2885</v>
      </c>
      <c r="G47" s="3150" t="s">
        <v>28</v>
      </c>
      <c r="H47" s="3757"/>
      <c r="I47" s="5904"/>
      <c r="J47" s="991"/>
      <c r="K47" s="2"/>
      <c r="L47" s="2"/>
      <c r="M47" s="2"/>
      <c r="N47" s="2"/>
      <c r="O47" s="2"/>
      <c r="P47" s="2"/>
      <c r="Q47" s="2"/>
      <c r="R47" s="2"/>
      <c r="S47" s="2"/>
      <c r="T47" s="2"/>
      <c r="U47" s="2"/>
      <c r="V47" s="2"/>
      <c r="W47" s="2"/>
      <c r="X47" s="2"/>
    </row>
    <row r="48" spans="2:26" ht="16.5" thickBot="1" x14ac:dyDescent="0.3">
      <c r="B48" s="991"/>
      <c r="C48" s="388"/>
      <c r="D48" s="6421"/>
      <c r="E48" s="6422"/>
      <c r="F48" s="2975" t="s">
        <v>2886</v>
      </c>
      <c r="G48" s="3112" t="s">
        <v>28</v>
      </c>
      <c r="H48" s="3758"/>
      <c r="I48" s="5904"/>
      <c r="J48" s="991"/>
      <c r="K48" s="2"/>
      <c r="L48" s="2"/>
      <c r="M48" s="2"/>
      <c r="N48" s="2"/>
      <c r="O48" s="2"/>
      <c r="P48" s="2"/>
      <c r="Q48" s="2"/>
      <c r="R48" s="2"/>
      <c r="S48" s="2"/>
      <c r="T48" s="2"/>
      <c r="U48" s="2"/>
      <c r="V48" s="2"/>
      <c r="W48" s="2"/>
      <c r="X48" s="2"/>
      <c r="Y48" s="466" t="s">
        <v>769</v>
      </c>
    </row>
    <row r="49" spans="1:26" ht="18.75" thickBot="1" x14ac:dyDescent="0.3">
      <c r="B49" s="991"/>
      <c r="C49" s="5538" t="s">
        <v>3165</v>
      </c>
      <c r="D49" s="3401" t="s">
        <v>786</v>
      </c>
      <c r="E49" s="2976" t="s">
        <v>78</v>
      </c>
      <c r="F49" s="3353" t="s">
        <v>1985</v>
      </c>
      <c r="G49" s="3922"/>
      <c r="H49" s="3929"/>
      <c r="I49" s="5904"/>
      <c r="J49" s="991"/>
      <c r="K49" s="2"/>
      <c r="L49" s="2"/>
      <c r="M49" s="2"/>
      <c r="N49" s="2"/>
      <c r="O49" s="2"/>
      <c r="P49" s="2"/>
      <c r="Q49" s="2"/>
      <c r="R49" s="2"/>
      <c r="S49" s="2"/>
      <c r="T49" s="2"/>
      <c r="U49" s="2"/>
      <c r="V49" s="2"/>
      <c r="W49" s="2"/>
      <c r="X49" s="2"/>
      <c r="Z49" s="3739">
        <f>'Perf assessment'!U48</f>
        <v>0</v>
      </c>
    </row>
    <row r="50" spans="1:26" ht="15.75" x14ac:dyDescent="0.25">
      <c r="B50" s="991"/>
      <c r="C50" s="388"/>
      <c r="D50" s="6450" t="s">
        <v>82</v>
      </c>
      <c r="E50" s="6422"/>
      <c r="F50" s="2974" t="s">
        <v>2225</v>
      </c>
      <c r="G50" s="3113" t="s">
        <v>28</v>
      </c>
      <c r="H50" s="3298">
        <f>'WSS Profile'!$F$114</f>
        <v>0</v>
      </c>
      <c r="I50" s="5904"/>
      <c r="J50" s="991"/>
      <c r="K50" s="2"/>
      <c r="L50" s="2"/>
      <c r="M50" s="2"/>
      <c r="N50" s="2"/>
      <c r="O50" s="2"/>
      <c r="P50" s="2"/>
      <c r="Q50" s="2"/>
      <c r="R50" s="2"/>
      <c r="S50" s="2"/>
      <c r="T50" s="2"/>
      <c r="U50" s="2"/>
      <c r="V50" s="2"/>
      <c r="W50" s="2"/>
      <c r="X50" s="2"/>
    </row>
    <row r="51" spans="1:26" ht="30" x14ac:dyDescent="0.25">
      <c r="B51" s="991"/>
      <c r="C51" s="388"/>
      <c r="D51" s="5740" t="s">
        <v>210</v>
      </c>
      <c r="E51" s="5355"/>
      <c r="F51" s="3281" t="s">
        <v>2226</v>
      </c>
      <c r="G51" s="3299" t="s">
        <v>28</v>
      </c>
      <c r="H51" s="3759"/>
      <c r="I51" s="5904"/>
      <c r="J51" s="2"/>
      <c r="K51" s="2"/>
      <c r="L51" s="2"/>
      <c r="M51" s="2"/>
      <c r="N51" s="2"/>
      <c r="O51" s="2"/>
      <c r="P51" s="2"/>
      <c r="Q51" s="2"/>
      <c r="R51" s="2"/>
      <c r="S51" s="2"/>
      <c r="T51" s="2"/>
      <c r="U51" s="2"/>
      <c r="V51" s="2"/>
      <c r="W51" s="2"/>
      <c r="X51" s="2"/>
    </row>
    <row r="52" spans="1:26" s="484" customFormat="1" x14ac:dyDescent="0.25">
      <c r="A52" s="482"/>
      <c r="B52" s="991"/>
      <c r="C52" s="388"/>
      <c r="D52" s="415"/>
      <c r="E52" s="388"/>
      <c r="F52" s="388"/>
      <c r="G52" s="388"/>
      <c r="H52" s="388"/>
      <c r="I52" s="388"/>
      <c r="J52" s="352"/>
      <c r="K52" s="352"/>
      <c r="L52" s="352"/>
      <c r="M52" s="352"/>
      <c r="N52" s="352"/>
      <c r="O52" s="352"/>
      <c r="P52" s="352"/>
      <c r="Q52" s="352"/>
      <c r="R52" s="352"/>
      <c r="S52" s="352"/>
      <c r="T52" s="352"/>
      <c r="U52" s="352"/>
      <c r="V52" s="352"/>
      <c r="W52" s="352"/>
      <c r="X52" s="352"/>
      <c r="Y52" s="482"/>
      <c r="Z52" s="2393"/>
    </row>
    <row r="53" spans="1:26" s="484" customFormat="1" ht="11.1" customHeight="1" x14ac:dyDescent="0.25">
      <c r="A53" s="482"/>
      <c r="B53" s="991"/>
      <c r="C53" s="352"/>
      <c r="D53" s="352"/>
      <c r="E53" s="352"/>
      <c r="F53" s="352"/>
      <c r="G53" s="352"/>
      <c r="H53" s="352"/>
      <c r="I53" s="352"/>
      <c r="J53" s="352"/>
      <c r="K53" s="352"/>
      <c r="L53" s="352"/>
      <c r="M53" s="352"/>
      <c r="N53" s="352"/>
      <c r="O53" s="352"/>
      <c r="P53" s="352"/>
      <c r="Q53" s="352"/>
      <c r="R53" s="352"/>
      <c r="S53" s="352"/>
      <c r="T53" s="352"/>
      <c r="U53" s="352"/>
      <c r="V53" s="352"/>
      <c r="W53" s="352"/>
      <c r="X53" s="352"/>
      <c r="Y53" s="482"/>
      <c r="Z53" s="3739"/>
    </row>
    <row r="54" spans="1:26" ht="21.75" thickBot="1" x14ac:dyDescent="0.3">
      <c r="B54" s="991"/>
      <c r="C54" s="388"/>
      <c r="D54" s="399"/>
      <c r="E54" s="399">
        <v>4</v>
      </c>
      <c r="F54" s="6431" t="s">
        <v>208</v>
      </c>
      <c r="G54" s="6431"/>
      <c r="H54" s="6431"/>
      <c r="I54" s="390"/>
      <c r="J54" s="2"/>
      <c r="K54" s="2"/>
      <c r="L54" s="2"/>
      <c r="M54" s="2"/>
      <c r="N54" s="2"/>
      <c r="O54" s="2"/>
      <c r="P54" s="2"/>
      <c r="Q54" s="2"/>
      <c r="R54" s="2"/>
      <c r="S54" s="2"/>
      <c r="T54" s="2"/>
      <c r="U54" s="2"/>
      <c r="V54" s="2"/>
      <c r="W54" s="2"/>
      <c r="X54" s="2"/>
    </row>
    <row r="55" spans="1:26" ht="18.75" thickBot="1" x14ac:dyDescent="0.3">
      <c r="B55" s="991"/>
      <c r="C55" s="5538" t="s">
        <v>3166</v>
      </c>
      <c r="D55" s="3401" t="s">
        <v>786</v>
      </c>
      <c r="E55" s="2976" t="s">
        <v>78</v>
      </c>
      <c r="F55" s="5359" t="s">
        <v>1763</v>
      </c>
      <c r="G55" s="3922"/>
      <c r="H55" s="3923"/>
      <c r="I55" s="5904"/>
      <c r="J55" s="2"/>
      <c r="K55" s="2"/>
      <c r="L55" s="2"/>
      <c r="M55" s="2"/>
      <c r="N55" s="2"/>
      <c r="O55" s="2"/>
      <c r="P55" s="2"/>
      <c r="Q55" s="2"/>
      <c r="R55" s="2"/>
      <c r="S55" s="2"/>
      <c r="T55" s="2"/>
      <c r="U55" s="2"/>
      <c r="V55" s="2"/>
      <c r="W55" s="2"/>
      <c r="X55" s="2"/>
      <c r="Z55" s="3739" t="b">
        <f>'Perf assessment'!U50</f>
        <v>0</v>
      </c>
    </row>
    <row r="56" spans="1:26" ht="30" customHeight="1" x14ac:dyDescent="0.25">
      <c r="B56" s="991"/>
      <c r="C56" s="388"/>
      <c r="D56" s="6451" t="s">
        <v>82</v>
      </c>
      <c r="E56" s="6452"/>
      <c r="F56" s="2974" t="s">
        <v>2139</v>
      </c>
      <c r="G56" s="3119" t="s">
        <v>3024</v>
      </c>
      <c r="H56" s="3258" t="str">
        <f>CONCATENATE('WSS Profile'!$G$86," / ",'WSS Profile'!$G$37)</f>
        <v xml:space="preserve"> / </v>
      </c>
      <c r="I56" s="5904"/>
      <c r="J56" s="2"/>
      <c r="K56" s="2"/>
      <c r="L56" s="2"/>
      <c r="M56" s="2"/>
      <c r="N56" s="2"/>
      <c r="O56" s="2"/>
      <c r="P56" s="2"/>
      <c r="Q56" s="2"/>
      <c r="R56" s="2"/>
      <c r="S56" s="2"/>
      <c r="T56" s="2"/>
      <c r="U56" s="2"/>
      <c r="V56" s="2"/>
      <c r="W56" s="2"/>
      <c r="X56" s="2"/>
    </row>
    <row r="57" spans="1:26" ht="15.75" customHeight="1" x14ac:dyDescent="0.25">
      <c r="B57" s="991"/>
      <c r="C57" s="388"/>
      <c r="D57" s="6425"/>
      <c r="E57" s="6426"/>
      <c r="F57" s="3110" t="s">
        <v>2134</v>
      </c>
      <c r="G57" s="3111" t="s">
        <v>169</v>
      </c>
      <c r="H57" s="397">
        <f>'WSS Profile'!$G$85</f>
        <v>0</v>
      </c>
      <c r="I57" s="5904"/>
      <c r="J57" s="2"/>
      <c r="K57" s="2"/>
      <c r="L57" s="2"/>
      <c r="M57" s="2"/>
      <c r="N57" s="2"/>
      <c r="O57" s="2"/>
      <c r="P57" s="2"/>
      <c r="Q57" s="2"/>
      <c r="R57" s="2"/>
      <c r="S57" s="2"/>
      <c r="T57" s="2"/>
      <c r="U57" s="2"/>
      <c r="V57" s="2"/>
      <c r="W57" s="2"/>
      <c r="X57" s="2"/>
    </row>
    <row r="58" spans="1:26" ht="30" x14ac:dyDescent="0.25">
      <c r="B58" s="991"/>
      <c r="C58" s="388"/>
      <c r="D58" s="6425"/>
      <c r="E58" s="6426"/>
      <c r="F58" s="3110" t="s">
        <v>2140</v>
      </c>
      <c r="G58" s="3257" t="s">
        <v>2138</v>
      </c>
      <c r="H58" s="3294" t="str">
        <f>CONCATENATE(SUM('WSS Profile'!$G$92:$G$100)," / ",Population!$E$31)</f>
        <v>0 / 0</v>
      </c>
      <c r="I58" s="5904"/>
      <c r="J58" s="2"/>
      <c r="K58" s="2"/>
      <c r="L58" s="2"/>
      <c r="M58" s="2"/>
      <c r="N58" s="2"/>
      <c r="O58" s="2"/>
      <c r="P58" s="2"/>
      <c r="Q58" s="2"/>
      <c r="R58" s="2"/>
      <c r="S58" s="2"/>
      <c r="T58" s="2"/>
      <c r="U58" s="2"/>
      <c r="V58" s="2"/>
      <c r="W58" s="2"/>
      <c r="X58" s="2"/>
    </row>
    <row r="59" spans="1:26" ht="15.75" customHeight="1" x14ac:dyDescent="0.25">
      <c r="B59" s="991"/>
      <c r="C59" s="388"/>
      <c r="D59" s="6423" t="s">
        <v>210</v>
      </c>
      <c r="E59" s="6424"/>
      <c r="F59" s="3142" t="s">
        <v>2135</v>
      </c>
      <c r="G59" s="3150" t="s">
        <v>80</v>
      </c>
      <c r="H59" s="3760"/>
      <c r="I59" s="5904"/>
      <c r="J59" s="2"/>
      <c r="K59" s="2"/>
      <c r="L59" s="2"/>
      <c r="M59" s="2"/>
      <c r="N59" s="2"/>
      <c r="O59" s="2"/>
      <c r="P59" s="2"/>
      <c r="Q59" s="2"/>
      <c r="R59" s="2"/>
      <c r="S59" s="2"/>
      <c r="T59" s="2"/>
      <c r="U59" s="2"/>
      <c r="V59" s="2"/>
      <c r="W59" s="2"/>
      <c r="X59" s="2"/>
    </row>
    <row r="60" spans="1:26" ht="15.75" x14ac:dyDescent="0.25">
      <c r="B60" s="991"/>
      <c r="C60" s="388"/>
      <c r="D60" s="6425"/>
      <c r="E60" s="6426"/>
      <c r="F60" s="3110" t="s">
        <v>2136</v>
      </c>
      <c r="G60" s="3111" t="s">
        <v>1953</v>
      </c>
      <c r="H60" s="3761"/>
      <c r="I60" s="5904"/>
      <c r="J60" s="2"/>
      <c r="K60" s="2"/>
      <c r="L60" s="2"/>
      <c r="M60" s="2"/>
      <c r="N60" s="2"/>
      <c r="O60" s="2"/>
      <c r="P60" s="2"/>
      <c r="Q60" s="2"/>
      <c r="R60" s="2"/>
      <c r="S60" s="2"/>
      <c r="T60" s="2"/>
      <c r="U60" s="2"/>
      <c r="V60" s="2"/>
      <c r="W60" s="2"/>
      <c r="X60" s="2"/>
    </row>
    <row r="61" spans="1:26" ht="30" x14ac:dyDescent="0.25">
      <c r="B61" s="991"/>
      <c r="C61" s="388"/>
      <c r="D61" s="6427"/>
      <c r="E61" s="6428"/>
      <c r="F61" s="3144" t="s">
        <v>2887</v>
      </c>
      <c r="G61" s="3145" t="s">
        <v>28</v>
      </c>
      <c r="H61" s="3757"/>
      <c r="I61" s="5904"/>
      <c r="J61" s="2"/>
      <c r="K61" s="2"/>
      <c r="L61" s="2"/>
      <c r="M61" s="2"/>
      <c r="N61" s="2"/>
      <c r="O61" s="2"/>
      <c r="P61" s="2"/>
      <c r="Q61" s="2"/>
      <c r="R61" s="2"/>
      <c r="S61" s="2"/>
      <c r="T61" s="2"/>
      <c r="U61" s="2"/>
      <c r="V61" s="2"/>
      <c r="W61" s="2"/>
      <c r="X61" s="2"/>
    </row>
    <row r="62" spans="1:26" ht="15.75" customHeight="1" x14ac:dyDescent="0.25">
      <c r="B62" s="991"/>
      <c r="C62" s="388"/>
      <c r="D62" s="6425" t="s">
        <v>211</v>
      </c>
      <c r="E62" s="6426"/>
      <c r="F62" s="3110" t="s">
        <v>2137</v>
      </c>
      <c r="G62" s="3111" t="s">
        <v>3507</v>
      </c>
      <c r="H62" s="3757"/>
      <c r="I62" s="5904"/>
      <c r="J62" s="2"/>
      <c r="K62" s="2"/>
      <c r="L62" s="2"/>
      <c r="M62" s="2"/>
      <c r="N62" s="2"/>
      <c r="O62" s="2"/>
      <c r="P62" s="2"/>
      <c r="Q62" s="2"/>
      <c r="R62" s="2"/>
      <c r="S62" s="2"/>
      <c r="T62" s="2"/>
      <c r="U62" s="2"/>
      <c r="V62" s="2"/>
      <c r="W62" s="2"/>
      <c r="X62" s="2"/>
    </row>
    <row r="63" spans="1:26" ht="16.5" thickBot="1" x14ac:dyDescent="0.3">
      <c r="B63" s="991"/>
      <c r="C63" s="388"/>
      <c r="D63" s="6425"/>
      <c r="E63" s="6426"/>
      <c r="F63" s="3198" t="s">
        <v>3509</v>
      </c>
      <c r="G63" s="3259" t="s">
        <v>3508</v>
      </c>
      <c r="H63" s="3762"/>
      <c r="I63" s="5904"/>
      <c r="J63" s="2"/>
      <c r="K63" s="2"/>
      <c r="L63" s="2"/>
      <c r="M63" s="2"/>
      <c r="N63" s="2"/>
      <c r="O63" s="2"/>
      <c r="P63" s="2"/>
      <c r="Q63" s="2"/>
      <c r="R63" s="2"/>
      <c r="S63" s="2"/>
      <c r="T63" s="2"/>
      <c r="U63" s="2"/>
      <c r="V63" s="2"/>
      <c r="W63" s="2"/>
      <c r="X63" s="2"/>
    </row>
    <row r="64" spans="1:26" ht="32.25" customHeight="1" thickBot="1" x14ac:dyDescent="0.3">
      <c r="B64" s="991"/>
      <c r="C64" s="5538" t="s">
        <v>3167</v>
      </c>
      <c r="D64" s="3401" t="s">
        <v>786</v>
      </c>
      <c r="E64" s="2976" t="s">
        <v>78</v>
      </c>
      <c r="F64" s="5354" t="s">
        <v>1762</v>
      </c>
      <c r="G64" s="3922"/>
      <c r="H64" s="3923"/>
      <c r="I64" s="5904"/>
      <c r="J64" s="2"/>
      <c r="K64" s="2"/>
      <c r="L64" s="2"/>
      <c r="M64" s="2"/>
      <c r="N64" s="2"/>
      <c r="O64" s="2"/>
      <c r="P64" s="2"/>
      <c r="Q64" s="2"/>
      <c r="R64" s="2"/>
      <c r="S64" s="2"/>
      <c r="T64" s="2"/>
      <c r="U64" s="2"/>
      <c r="V64" s="2"/>
      <c r="W64" s="2"/>
      <c r="X64" s="2"/>
      <c r="Z64" s="3739" t="b">
        <f>'Perf assessment'!U51</f>
        <v>0</v>
      </c>
    </row>
    <row r="65" spans="1:26" s="918" customFormat="1" ht="15.75" customHeight="1" x14ac:dyDescent="0.25">
      <c r="A65" s="921"/>
      <c r="B65" s="991"/>
      <c r="C65" s="388"/>
      <c r="D65" s="6451" t="s">
        <v>82</v>
      </c>
      <c r="E65" s="6452"/>
      <c r="F65" s="3218" t="s">
        <v>2227</v>
      </c>
      <c r="G65" s="3113" t="s">
        <v>28</v>
      </c>
      <c r="H65" s="3312">
        <f>'WSS Profile'!G87</f>
        <v>0</v>
      </c>
      <c r="I65" s="5904"/>
      <c r="J65" s="991"/>
      <c r="K65" s="991"/>
      <c r="L65" s="991"/>
      <c r="M65" s="991"/>
      <c r="N65" s="991"/>
      <c r="O65" s="991"/>
      <c r="P65" s="991"/>
      <c r="Q65" s="991"/>
      <c r="R65" s="991"/>
      <c r="S65" s="991"/>
      <c r="T65" s="991"/>
      <c r="U65" s="991"/>
      <c r="V65" s="991"/>
      <c r="W65" s="991"/>
      <c r="X65" s="991"/>
      <c r="Y65" s="921"/>
      <c r="Z65" s="3739"/>
    </row>
    <row r="66" spans="1:26" ht="30" x14ac:dyDescent="0.25">
      <c r="B66" s="991"/>
      <c r="C66" s="388"/>
      <c r="D66" s="6425"/>
      <c r="E66" s="6426"/>
      <c r="F66" s="3206" t="s">
        <v>2228</v>
      </c>
      <c r="G66" s="3257" t="s">
        <v>2138</v>
      </c>
      <c r="H66" s="3313" t="str">
        <f>CONCATENATE(SUM('WSS Profile'!$G$97:$G$100)," / ",Population!$E$30)</f>
        <v>0 / 0</v>
      </c>
      <c r="I66" s="5904"/>
      <c r="J66" s="2"/>
      <c r="K66" s="2"/>
      <c r="L66" s="2"/>
      <c r="M66" s="2"/>
      <c r="N66" s="2"/>
      <c r="O66" s="2"/>
      <c r="P66" s="2"/>
      <c r="Q66" s="2"/>
      <c r="R66" s="2"/>
      <c r="S66" s="2"/>
      <c r="T66" s="2"/>
      <c r="U66" s="2"/>
      <c r="V66" s="2"/>
      <c r="W66" s="2"/>
      <c r="X66" s="2"/>
    </row>
    <row r="67" spans="1:26" ht="33" customHeight="1" x14ac:dyDescent="0.25">
      <c r="B67" s="991"/>
      <c r="C67" s="388"/>
      <c r="D67" s="6423" t="s">
        <v>210</v>
      </c>
      <c r="E67" s="6424"/>
      <c r="F67" s="3142" t="s">
        <v>2229</v>
      </c>
      <c r="G67" s="3150" t="s">
        <v>28</v>
      </c>
      <c r="H67" s="3763"/>
      <c r="I67" s="5904"/>
      <c r="J67" s="2"/>
      <c r="K67" s="2"/>
      <c r="L67" s="2"/>
      <c r="M67" s="2"/>
      <c r="N67" s="2"/>
      <c r="O67" s="2"/>
      <c r="P67" s="2"/>
      <c r="Q67" s="2"/>
      <c r="R67" s="2"/>
      <c r="S67" s="2"/>
      <c r="T67" s="2"/>
      <c r="U67" s="2"/>
      <c r="V67" s="2"/>
      <c r="W67" s="2"/>
      <c r="X67" s="2"/>
    </row>
    <row r="68" spans="1:26" ht="30" x14ac:dyDescent="0.25">
      <c r="B68" s="991"/>
      <c r="C68" s="388"/>
      <c r="D68" s="6427"/>
      <c r="E68" s="6428"/>
      <c r="F68" s="3144" t="s">
        <v>2230</v>
      </c>
      <c r="G68" s="3145" t="s">
        <v>28</v>
      </c>
      <c r="H68" s="3757"/>
      <c r="I68" s="5904"/>
      <c r="J68" s="2"/>
      <c r="K68" s="2"/>
      <c r="L68" s="2"/>
      <c r="M68" s="2"/>
      <c r="N68" s="2"/>
      <c r="O68" s="2"/>
      <c r="P68" s="2"/>
      <c r="Q68" s="2"/>
      <c r="R68" s="2"/>
      <c r="S68" s="2"/>
      <c r="T68" s="2"/>
      <c r="U68" s="2"/>
      <c r="V68" s="2"/>
      <c r="W68" s="2"/>
      <c r="X68" s="2"/>
    </row>
    <row r="69" spans="1:26" ht="15.75" customHeight="1" x14ac:dyDescent="0.25">
      <c r="B69" s="991"/>
      <c r="C69" s="388"/>
      <c r="D69" s="6425" t="s">
        <v>211</v>
      </c>
      <c r="E69" s="6426"/>
      <c r="F69" s="3110" t="s">
        <v>2231</v>
      </c>
      <c r="G69" s="3111" t="s">
        <v>3499</v>
      </c>
      <c r="H69" s="3757"/>
      <c r="I69" s="5904"/>
      <c r="J69" s="2"/>
      <c r="K69" s="2"/>
      <c r="L69" s="2"/>
      <c r="M69" s="2"/>
      <c r="N69" s="2"/>
      <c r="O69" s="2"/>
      <c r="P69" s="2"/>
      <c r="Q69" s="2"/>
      <c r="R69" s="2"/>
      <c r="S69" s="2"/>
      <c r="T69" s="2"/>
      <c r="U69" s="2"/>
      <c r="V69" s="2"/>
      <c r="W69" s="2"/>
      <c r="X69" s="2"/>
    </row>
    <row r="70" spans="1:26" ht="15.75" x14ac:dyDescent="0.25">
      <c r="B70" s="991"/>
      <c r="C70" s="388"/>
      <c r="D70" s="6440"/>
      <c r="E70" s="6441"/>
      <c r="F70" s="3198" t="s">
        <v>3510</v>
      </c>
      <c r="G70" s="3259" t="s">
        <v>3508</v>
      </c>
      <c r="H70" s="3762"/>
      <c r="I70" s="5904"/>
      <c r="J70" s="2"/>
      <c r="K70" s="2"/>
      <c r="L70" s="2"/>
      <c r="M70" s="2"/>
      <c r="N70" s="2"/>
      <c r="O70" s="2"/>
      <c r="P70" s="2"/>
      <c r="Q70" s="2"/>
      <c r="R70" s="2"/>
      <c r="S70" s="2"/>
      <c r="T70" s="2"/>
      <c r="U70" s="2"/>
      <c r="V70" s="2"/>
      <c r="W70" s="2"/>
      <c r="X70" s="2"/>
    </row>
    <row r="71" spans="1:26" x14ac:dyDescent="0.25">
      <c r="B71" s="991"/>
      <c r="C71" s="388"/>
      <c r="D71" s="415"/>
      <c r="E71" s="388"/>
      <c r="F71" s="388"/>
      <c r="G71" s="388"/>
      <c r="H71" s="388"/>
      <c r="I71" s="388"/>
      <c r="J71" s="2"/>
      <c r="K71" s="2"/>
      <c r="L71" s="2"/>
      <c r="M71" s="2"/>
      <c r="N71" s="2"/>
      <c r="O71" s="2"/>
      <c r="P71" s="2"/>
      <c r="Q71" s="2"/>
      <c r="R71" s="2"/>
      <c r="S71" s="2"/>
      <c r="T71" s="2"/>
      <c r="U71" s="2"/>
      <c r="V71" s="2"/>
      <c r="W71" s="2"/>
      <c r="X71" s="2"/>
    </row>
    <row r="72" spans="1:26" ht="11.1" customHeight="1" x14ac:dyDescent="0.25">
      <c r="B72" s="2"/>
      <c r="C72" s="991"/>
      <c r="D72" s="1139"/>
      <c r="E72" s="402"/>
      <c r="F72" s="57"/>
      <c r="G72" s="57"/>
      <c r="H72" s="57"/>
      <c r="I72" s="991"/>
      <c r="J72" s="2"/>
      <c r="K72" s="2"/>
      <c r="L72" s="2"/>
      <c r="M72" s="2"/>
      <c r="N72" s="2"/>
      <c r="O72" s="2"/>
      <c r="P72" s="2"/>
      <c r="Q72" s="2"/>
      <c r="R72" s="2"/>
      <c r="S72" s="2"/>
      <c r="T72" s="2"/>
      <c r="U72" s="2"/>
      <c r="V72" s="2"/>
      <c r="W72" s="2"/>
      <c r="X72" s="2"/>
    </row>
    <row r="73" spans="1:26" s="480" customFormat="1" ht="31.5" customHeight="1" x14ac:dyDescent="0.25">
      <c r="B73" s="1382"/>
      <c r="C73" s="1383"/>
      <c r="D73" s="1384" t="s">
        <v>14</v>
      </c>
      <c r="E73" s="1384" t="s">
        <v>568</v>
      </c>
      <c r="F73" s="1384"/>
      <c r="G73" s="1384"/>
      <c r="H73" s="1384"/>
      <c r="I73" s="1384"/>
      <c r="J73" s="1384"/>
      <c r="K73" s="1384"/>
      <c r="L73" s="1384"/>
      <c r="M73" s="1384"/>
      <c r="N73" s="1384"/>
      <c r="O73" s="1384"/>
      <c r="P73" s="1384"/>
      <c r="Q73" s="1384"/>
      <c r="R73" s="1384"/>
      <c r="S73" s="1384"/>
      <c r="T73" s="1384"/>
      <c r="U73" s="1385"/>
      <c r="V73" s="1385"/>
      <c r="W73" s="1385"/>
      <c r="X73" s="1386"/>
      <c r="Z73" s="3738"/>
    </row>
    <row r="74" spans="1:26" x14ac:dyDescent="0.25">
      <c r="B74" s="2"/>
      <c r="C74" s="991"/>
      <c r="D74" s="1139"/>
      <c r="E74" s="402"/>
      <c r="F74" s="57"/>
      <c r="G74" s="57"/>
      <c r="H74" s="57"/>
      <c r="I74" s="991"/>
      <c r="J74" s="2"/>
      <c r="K74" s="2"/>
      <c r="L74" s="2"/>
      <c r="M74" s="2"/>
      <c r="N74" s="2"/>
      <c r="O74" s="2"/>
      <c r="P74" s="2"/>
      <c r="Q74" s="2"/>
      <c r="R74" s="2"/>
      <c r="S74" s="2"/>
      <c r="T74" s="2"/>
      <c r="U74" s="2"/>
      <c r="V74" s="2"/>
      <c r="W74" s="2"/>
      <c r="X74" s="2"/>
    </row>
    <row r="75" spans="1:26" ht="21.75" thickBot="1" x14ac:dyDescent="0.3">
      <c r="B75" s="2"/>
      <c r="C75" s="388"/>
      <c r="D75" s="1221"/>
      <c r="E75" s="1221">
        <v>1</v>
      </c>
      <c r="F75" s="6431" t="s">
        <v>1984</v>
      </c>
      <c r="G75" s="6431"/>
      <c r="H75" s="6431"/>
      <c r="I75" s="390"/>
      <c r="J75" s="2"/>
      <c r="K75" s="2"/>
      <c r="L75" s="2"/>
      <c r="M75" s="2"/>
      <c r="N75" s="2"/>
      <c r="O75" s="2"/>
      <c r="P75" s="2"/>
      <c r="Q75" s="2"/>
      <c r="R75" s="2"/>
      <c r="S75" s="2"/>
      <c r="T75" s="2"/>
      <c r="U75" s="2"/>
      <c r="V75" s="2"/>
      <c r="W75" s="2"/>
      <c r="X75" s="2"/>
    </row>
    <row r="76" spans="1:26" ht="18.75" thickBot="1" x14ac:dyDescent="0.35">
      <c r="B76" s="389"/>
      <c r="C76" s="5538" t="s">
        <v>3168</v>
      </c>
      <c r="D76" s="3401" t="s">
        <v>786</v>
      </c>
      <c r="E76" s="2976" t="s">
        <v>78</v>
      </c>
      <c r="F76" s="6447" t="s">
        <v>1736</v>
      </c>
      <c r="G76" s="6448"/>
      <c r="H76" s="6449"/>
      <c r="I76" s="5904"/>
      <c r="J76" s="2"/>
      <c r="K76" s="2"/>
      <c r="L76" s="2"/>
      <c r="M76" s="2"/>
      <c r="N76" s="2"/>
      <c r="O76" s="2"/>
      <c r="P76" s="2"/>
      <c r="Q76" s="2"/>
      <c r="R76" s="2"/>
      <c r="S76" s="2"/>
      <c r="T76" s="2"/>
      <c r="U76" s="2"/>
      <c r="V76" s="2"/>
      <c r="W76" s="2"/>
      <c r="X76" s="2"/>
      <c r="Z76" s="3739" t="b">
        <f>'Perf assessment'!U57</f>
        <v>0</v>
      </c>
    </row>
    <row r="77" spans="1:26" x14ac:dyDescent="0.25">
      <c r="B77" s="2"/>
      <c r="C77" s="388"/>
      <c r="D77" s="1140"/>
      <c r="E77" s="392"/>
      <c r="F77" s="401"/>
      <c r="G77" s="401"/>
      <c r="H77" s="401"/>
      <c r="I77" s="388"/>
      <c r="J77" s="2"/>
      <c r="K77" s="2"/>
      <c r="L77" s="2"/>
      <c r="M77" s="2"/>
      <c r="N77" s="2"/>
      <c r="O77" s="2"/>
      <c r="P77" s="2"/>
      <c r="Q77" s="2"/>
      <c r="R77" s="2"/>
      <c r="S77" s="2"/>
      <c r="T77" s="2"/>
      <c r="U77" s="2"/>
      <c r="V77" s="2"/>
      <c r="W77" s="2"/>
      <c r="X77" s="2"/>
    </row>
    <row r="78" spans="1:26" x14ac:dyDescent="0.25">
      <c r="B78" s="2"/>
      <c r="C78" s="991"/>
      <c r="D78" s="1139"/>
      <c r="E78" s="402"/>
      <c r="F78" s="57"/>
      <c r="G78" s="57"/>
      <c r="H78" s="57"/>
      <c r="I78" s="991"/>
      <c r="J78" s="2"/>
      <c r="K78" s="2"/>
      <c r="L78" s="2"/>
      <c r="M78" s="2"/>
      <c r="N78" s="2"/>
      <c r="O78" s="2"/>
      <c r="P78" s="2"/>
      <c r="Q78" s="2"/>
      <c r="R78" s="2"/>
      <c r="S78" s="2"/>
      <c r="T78" s="2"/>
      <c r="U78" s="2"/>
      <c r="V78" s="2"/>
      <c r="W78" s="2"/>
      <c r="X78" s="2"/>
    </row>
    <row r="79" spans="1:26" ht="21.75" thickBot="1" x14ac:dyDescent="0.3">
      <c r="B79" s="2"/>
      <c r="C79" s="388"/>
      <c r="D79" s="1221"/>
      <c r="E79" s="1221">
        <v>2</v>
      </c>
      <c r="F79" s="6431" t="s">
        <v>1044</v>
      </c>
      <c r="G79" s="6431"/>
      <c r="H79" s="6431"/>
      <c r="I79" s="390"/>
      <c r="J79" s="2"/>
      <c r="K79" s="2"/>
      <c r="L79" s="2"/>
      <c r="M79" s="2"/>
      <c r="N79" s="2"/>
      <c r="O79" s="2"/>
      <c r="P79" s="2"/>
      <c r="Q79" s="2"/>
      <c r="R79" s="2"/>
      <c r="S79" s="2"/>
      <c r="T79" s="2"/>
      <c r="U79" s="2"/>
      <c r="V79" s="2"/>
      <c r="W79" s="2"/>
      <c r="X79" s="2"/>
    </row>
    <row r="80" spans="1:26" ht="18.75" thickBot="1" x14ac:dyDescent="0.3">
      <c r="B80" s="2"/>
      <c r="C80" s="5538" t="s">
        <v>3169</v>
      </c>
      <c r="D80" s="3401" t="s">
        <v>786</v>
      </c>
      <c r="E80" s="2976" t="s">
        <v>78</v>
      </c>
      <c r="F80" s="3349" t="s">
        <v>1761</v>
      </c>
      <c r="G80" s="3925"/>
      <c r="H80" s="3930"/>
      <c r="I80" s="5904"/>
      <c r="J80" s="2"/>
      <c r="K80" s="2"/>
      <c r="L80" s="2"/>
      <c r="M80" s="2"/>
      <c r="N80" s="2"/>
      <c r="O80" s="2"/>
      <c r="P80" s="2"/>
      <c r="Q80" s="2"/>
      <c r="R80" s="2"/>
      <c r="S80" s="2"/>
      <c r="T80" s="2"/>
      <c r="U80" s="2"/>
      <c r="V80" s="2"/>
      <c r="W80" s="2"/>
      <c r="X80" s="2"/>
      <c r="Z80" s="3739">
        <f>'Perf assessment'!U59</f>
        <v>0</v>
      </c>
    </row>
    <row r="81" spans="1:26" ht="15.75" x14ac:dyDescent="0.25">
      <c r="B81" s="2"/>
      <c r="C81" s="388"/>
      <c r="D81" s="6421" t="s">
        <v>82</v>
      </c>
      <c r="E81" s="6422"/>
      <c r="F81" s="3218" t="s">
        <v>2232</v>
      </c>
      <c r="G81" s="3113" t="s">
        <v>761</v>
      </c>
      <c r="H81" s="3260">
        <f>'WSS Profile'!G152</f>
        <v>0</v>
      </c>
      <c r="I81" s="5904"/>
      <c r="J81" s="2"/>
      <c r="K81" s="2"/>
      <c r="L81" s="2"/>
      <c r="M81" s="2"/>
      <c r="N81" s="2"/>
      <c r="O81" s="2"/>
      <c r="P81" s="2"/>
      <c r="Q81" s="2"/>
      <c r="R81" s="2"/>
      <c r="S81" s="2"/>
      <c r="T81" s="2"/>
      <c r="U81" s="2"/>
      <c r="V81" s="2"/>
      <c r="W81" s="2"/>
      <c r="X81" s="2"/>
    </row>
    <row r="82" spans="1:26" ht="15.75" x14ac:dyDescent="0.25">
      <c r="B82" s="2"/>
      <c r="C82" s="388"/>
      <c r="D82" s="6421"/>
      <c r="E82" s="6422"/>
      <c r="F82" s="3206" t="s">
        <v>2233</v>
      </c>
      <c r="G82" s="3111" t="s">
        <v>762</v>
      </c>
      <c r="H82" s="951">
        <f>'WSS Profile'!G153</f>
        <v>0</v>
      </c>
      <c r="I82" s="5904"/>
      <c r="J82" s="2"/>
      <c r="K82" s="2"/>
      <c r="L82" s="2"/>
      <c r="M82" s="2"/>
      <c r="N82" s="2"/>
      <c r="O82" s="2"/>
      <c r="P82" s="2"/>
      <c r="Q82" s="2"/>
      <c r="R82" s="2"/>
      <c r="S82" s="2"/>
      <c r="T82" s="2"/>
      <c r="U82" s="2"/>
      <c r="V82" s="2"/>
      <c r="W82" s="2"/>
      <c r="X82" s="2"/>
    </row>
    <row r="83" spans="1:26" ht="15.75" x14ac:dyDescent="0.25">
      <c r="B83" s="2"/>
      <c r="C83" s="388"/>
      <c r="D83" s="6429" t="s">
        <v>210</v>
      </c>
      <c r="E83" s="6430"/>
      <c r="F83" s="3211" t="s">
        <v>2234</v>
      </c>
      <c r="G83" s="3150" t="s">
        <v>761</v>
      </c>
      <c r="H83" s="3764"/>
      <c r="I83" s="5904"/>
      <c r="J83" s="2"/>
      <c r="K83" s="2"/>
      <c r="L83" s="2"/>
      <c r="M83" s="2"/>
      <c r="N83" s="2"/>
      <c r="O83" s="2"/>
      <c r="P83" s="2"/>
      <c r="Q83" s="2"/>
      <c r="R83" s="2"/>
      <c r="S83" s="2"/>
      <c r="T83" s="2"/>
      <c r="U83" s="2"/>
      <c r="V83" s="2"/>
      <c r="W83" s="2"/>
      <c r="X83" s="2"/>
    </row>
    <row r="84" spans="1:26" ht="15.75" x14ac:dyDescent="0.25">
      <c r="B84" s="2"/>
      <c r="C84" s="388"/>
      <c r="D84" s="6436"/>
      <c r="E84" s="6437"/>
      <c r="F84" s="3293" t="s">
        <v>2235</v>
      </c>
      <c r="G84" s="3145" t="s">
        <v>762</v>
      </c>
      <c r="H84" s="3027"/>
      <c r="I84" s="5904"/>
      <c r="J84" s="2"/>
      <c r="K84" s="2"/>
      <c r="L84" s="2"/>
      <c r="M84" s="2"/>
      <c r="N84" s="2"/>
      <c r="O84" s="2"/>
      <c r="P84" s="2"/>
      <c r="Q84" s="2"/>
      <c r="R84" s="2"/>
      <c r="S84" s="2"/>
      <c r="T84" s="2"/>
      <c r="U84" s="2"/>
      <c r="V84" s="2"/>
      <c r="W84" s="2"/>
      <c r="X84" s="2"/>
    </row>
    <row r="85" spans="1:26" ht="30" x14ac:dyDescent="0.25">
      <c r="B85" s="2"/>
      <c r="C85" s="388"/>
      <c r="D85" s="6421" t="s">
        <v>211</v>
      </c>
      <c r="E85" s="6422"/>
      <c r="F85" s="3206" t="s">
        <v>3512</v>
      </c>
      <c r="G85" s="3111" t="s">
        <v>3501</v>
      </c>
      <c r="H85" s="5741"/>
      <c r="I85" s="5904"/>
      <c r="J85" s="2"/>
      <c r="K85" s="2"/>
      <c r="L85" s="2"/>
      <c r="M85" s="2"/>
      <c r="N85" s="2"/>
      <c r="O85" s="2"/>
      <c r="P85" s="2"/>
      <c r="Q85" s="2"/>
      <c r="R85" s="2"/>
      <c r="S85" s="2"/>
      <c r="T85" s="2"/>
      <c r="U85" s="2"/>
      <c r="V85" s="2"/>
      <c r="W85" s="2"/>
      <c r="X85" s="2"/>
    </row>
    <row r="86" spans="1:26" s="918" customFormat="1" ht="16.5" thickBot="1" x14ac:dyDescent="0.3">
      <c r="A86" s="921"/>
      <c r="B86" s="991"/>
      <c r="C86" s="388"/>
      <c r="D86" s="6455"/>
      <c r="E86" s="6456"/>
      <c r="F86" s="3207" t="s">
        <v>3511</v>
      </c>
      <c r="G86" s="3112" t="s">
        <v>3508</v>
      </c>
      <c r="H86" s="3096"/>
      <c r="I86" s="5904"/>
      <c r="J86" s="991"/>
      <c r="K86" s="991"/>
      <c r="L86" s="991"/>
      <c r="M86" s="991"/>
      <c r="N86" s="991"/>
      <c r="O86" s="991"/>
      <c r="P86" s="991"/>
      <c r="Q86" s="991"/>
      <c r="R86" s="991"/>
      <c r="S86" s="991"/>
      <c r="T86" s="991"/>
      <c r="U86" s="991"/>
      <c r="V86" s="991"/>
      <c r="W86" s="991"/>
      <c r="X86" s="991"/>
      <c r="Y86" s="921"/>
      <c r="Z86" s="1316"/>
    </row>
    <row r="87" spans="1:26" ht="32.25" thickBot="1" x14ac:dyDescent="0.3">
      <c r="B87" s="991"/>
      <c r="C87" s="5538" t="s">
        <v>3170</v>
      </c>
      <c r="D87" s="3401" t="s">
        <v>786</v>
      </c>
      <c r="E87" s="2976" t="s">
        <v>78</v>
      </c>
      <c r="F87" s="3349" t="s">
        <v>2577</v>
      </c>
      <c r="G87" s="3925"/>
      <c r="H87" s="3931"/>
      <c r="I87" s="5904"/>
      <c r="J87" s="2"/>
      <c r="K87" s="2"/>
      <c r="L87" s="2"/>
      <c r="M87" s="2"/>
      <c r="N87" s="2"/>
      <c r="O87" s="2"/>
      <c r="P87" s="2"/>
      <c r="Q87" s="2"/>
      <c r="R87" s="2"/>
      <c r="S87" s="2"/>
      <c r="T87" s="2"/>
      <c r="U87" s="2"/>
      <c r="V87" s="2"/>
      <c r="W87" s="2"/>
      <c r="X87" s="2"/>
      <c r="Z87" s="3739" t="b">
        <f>'Perf assessment'!U60</f>
        <v>0</v>
      </c>
    </row>
    <row r="88" spans="1:26" s="918" customFormat="1" ht="30" x14ac:dyDescent="0.25">
      <c r="A88" s="921"/>
      <c r="B88" s="991"/>
      <c r="C88" s="388"/>
      <c r="D88" s="6457" t="s">
        <v>82</v>
      </c>
      <c r="E88" s="6458"/>
      <c r="F88" s="3218" t="s">
        <v>2578</v>
      </c>
      <c r="G88" s="3113" t="s">
        <v>19</v>
      </c>
      <c r="H88" s="3261" t="str">
        <f>CONCATENATE('WSS Profile'!G62," / ",'WSS Profile'!G61)</f>
        <v xml:space="preserve"> / </v>
      </c>
      <c r="I88" s="5904"/>
      <c r="J88" s="991"/>
      <c r="K88" s="991"/>
      <c r="L88" s="991"/>
      <c r="M88" s="991"/>
      <c r="N88" s="991"/>
      <c r="O88" s="991"/>
      <c r="P88" s="991"/>
      <c r="Q88" s="991"/>
      <c r="R88" s="991"/>
      <c r="S88" s="991"/>
      <c r="T88" s="991"/>
      <c r="U88" s="991"/>
      <c r="V88" s="991"/>
      <c r="W88" s="991"/>
      <c r="X88" s="991"/>
      <c r="Y88" s="921"/>
      <c r="Z88" s="1316"/>
    </row>
    <row r="89" spans="1:26" ht="15.75" x14ac:dyDescent="0.25">
      <c r="B89" s="2"/>
      <c r="C89" s="388"/>
      <c r="D89" s="6421"/>
      <c r="E89" s="6422"/>
      <c r="F89" s="3206" t="s">
        <v>2237</v>
      </c>
      <c r="G89" s="3111" t="s">
        <v>18</v>
      </c>
      <c r="H89" s="3292">
        <f>IFERROR('WSS Profile'!G158/'WSS Profile'!G157,0)</f>
        <v>0</v>
      </c>
      <c r="I89" s="5904"/>
      <c r="J89" s="2"/>
      <c r="K89" s="2"/>
      <c r="L89" s="2"/>
      <c r="M89" s="2"/>
      <c r="N89" s="2"/>
      <c r="O89" s="2"/>
      <c r="P89" s="2"/>
      <c r="Q89" s="2"/>
      <c r="R89" s="2"/>
      <c r="S89" s="2"/>
      <c r="T89" s="2"/>
      <c r="U89" s="2"/>
      <c r="V89" s="2"/>
      <c r="W89" s="2"/>
      <c r="X89" s="2"/>
    </row>
    <row r="90" spans="1:26" s="918" customFormat="1" ht="30" x14ac:dyDescent="0.25">
      <c r="A90" s="921"/>
      <c r="B90" s="991"/>
      <c r="C90" s="388"/>
      <c r="D90" s="6459" t="s">
        <v>210</v>
      </c>
      <c r="E90" s="6460"/>
      <c r="F90" s="3211" t="s">
        <v>2781</v>
      </c>
      <c r="G90" s="3150" t="s">
        <v>19</v>
      </c>
      <c r="H90" s="3765"/>
      <c r="I90" s="5904"/>
      <c r="J90" s="991"/>
      <c r="K90" s="991"/>
      <c r="L90" s="991"/>
      <c r="M90" s="991"/>
      <c r="N90" s="991"/>
      <c r="O90" s="991"/>
      <c r="P90" s="991"/>
      <c r="Q90" s="991"/>
      <c r="R90" s="991"/>
      <c r="S90" s="991"/>
      <c r="T90" s="991"/>
      <c r="U90" s="991"/>
      <c r="V90" s="991"/>
      <c r="W90" s="991"/>
      <c r="X90" s="991"/>
      <c r="Y90" s="921"/>
      <c r="Z90" s="1316"/>
    </row>
    <row r="91" spans="1:26" ht="15.75" x14ac:dyDescent="0.25">
      <c r="B91" s="2"/>
      <c r="C91" s="388"/>
      <c r="D91" s="6461"/>
      <c r="E91" s="6462"/>
      <c r="F91" s="3293" t="s">
        <v>2238</v>
      </c>
      <c r="G91" s="3145" t="s">
        <v>18</v>
      </c>
      <c r="H91" s="3083"/>
      <c r="I91" s="5904"/>
      <c r="J91" s="2"/>
      <c r="K91" s="2"/>
      <c r="L91" s="2"/>
      <c r="M91" s="2"/>
      <c r="N91" s="2"/>
      <c r="O91" s="2"/>
      <c r="P91" s="2"/>
      <c r="Q91" s="2"/>
      <c r="R91" s="2"/>
      <c r="S91" s="2"/>
      <c r="T91" s="2"/>
      <c r="U91" s="2"/>
      <c r="V91" s="2"/>
      <c r="W91" s="2"/>
      <c r="X91" s="2"/>
    </row>
    <row r="92" spans="1:26" s="918" customFormat="1" ht="30" x14ac:dyDescent="0.25">
      <c r="A92" s="921"/>
      <c r="B92" s="991"/>
      <c r="C92" s="388"/>
      <c r="D92" s="6421" t="s">
        <v>211</v>
      </c>
      <c r="E92" s="6422"/>
      <c r="F92" s="3206" t="s">
        <v>2579</v>
      </c>
      <c r="G92" s="3111" t="s">
        <v>3501</v>
      </c>
      <c r="H92" s="3027"/>
      <c r="I92" s="5904"/>
      <c r="J92" s="991"/>
      <c r="K92" s="991"/>
      <c r="L92" s="991"/>
      <c r="M92" s="991"/>
      <c r="N92" s="991"/>
      <c r="O92" s="991"/>
      <c r="P92" s="991"/>
      <c r="Q92" s="991"/>
      <c r="R92" s="991"/>
      <c r="S92" s="991"/>
      <c r="T92" s="991"/>
      <c r="U92" s="991"/>
      <c r="V92" s="991"/>
      <c r="W92" s="991"/>
      <c r="X92" s="991"/>
      <c r="Y92" s="921"/>
      <c r="Z92" s="1316"/>
    </row>
    <row r="93" spans="1:26" ht="33" customHeight="1" thickBot="1" x14ac:dyDescent="0.3">
      <c r="B93" s="2"/>
      <c r="C93" s="388"/>
      <c r="D93" s="6421"/>
      <c r="E93" s="6422"/>
      <c r="F93" s="3207" t="s">
        <v>3514</v>
      </c>
      <c r="G93" s="3112" t="s">
        <v>3515</v>
      </c>
      <c r="H93" s="3106"/>
      <c r="I93" s="5904"/>
      <c r="J93" s="2"/>
      <c r="K93" s="2"/>
      <c r="L93" s="2"/>
      <c r="M93" s="2"/>
      <c r="N93" s="2"/>
      <c r="O93" s="2"/>
      <c r="P93" s="2"/>
      <c r="Q93" s="2"/>
      <c r="R93" s="2"/>
      <c r="S93" s="2"/>
      <c r="T93" s="2"/>
      <c r="U93" s="2"/>
      <c r="V93" s="2"/>
      <c r="W93" s="2"/>
      <c r="X93" s="2"/>
    </row>
    <row r="94" spans="1:26" ht="18.75" thickBot="1" x14ac:dyDescent="0.3">
      <c r="B94" s="2"/>
      <c r="C94" s="5538" t="s">
        <v>3171</v>
      </c>
      <c r="D94" s="3401" t="s">
        <v>786</v>
      </c>
      <c r="E94" s="2976" t="s">
        <v>78</v>
      </c>
      <c r="F94" s="3354" t="s">
        <v>1760</v>
      </c>
      <c r="G94" s="6434"/>
      <c r="H94" s="6435"/>
      <c r="I94" s="5904"/>
      <c r="J94" s="2"/>
      <c r="K94" s="2"/>
      <c r="L94" s="2"/>
      <c r="M94" s="2"/>
      <c r="N94" s="2"/>
      <c r="O94" s="2"/>
      <c r="P94" s="2"/>
      <c r="Q94" s="2"/>
      <c r="R94" s="2"/>
      <c r="S94" s="2"/>
      <c r="T94" s="2"/>
      <c r="U94" s="2"/>
      <c r="V94" s="2"/>
      <c r="W94" s="2"/>
      <c r="X94" s="2"/>
      <c r="Z94" s="3739">
        <f>'Perf assessment'!U61</f>
        <v>0</v>
      </c>
    </row>
    <row r="95" spans="1:26" ht="15.75" x14ac:dyDescent="0.25">
      <c r="B95" s="2"/>
      <c r="C95" s="388"/>
      <c r="D95" s="6421" t="s">
        <v>82</v>
      </c>
      <c r="E95" s="6422"/>
      <c r="F95" s="3218" t="s">
        <v>2239</v>
      </c>
      <c r="G95" s="3113" t="s">
        <v>19</v>
      </c>
      <c r="H95" s="3291">
        <f>'WSS Profile'!$G$67</f>
        <v>0</v>
      </c>
      <c r="I95" s="5904"/>
      <c r="J95" s="2"/>
      <c r="K95" s="2"/>
      <c r="L95" s="2"/>
      <c r="M95" s="2"/>
      <c r="N95" s="2"/>
      <c r="O95" s="2"/>
      <c r="P95" s="2"/>
      <c r="Q95" s="2"/>
      <c r="R95" s="2"/>
      <c r="S95" s="2"/>
      <c r="T95" s="2"/>
      <c r="U95" s="2"/>
      <c r="V95" s="2"/>
      <c r="W95" s="2"/>
      <c r="X95" s="2"/>
    </row>
    <row r="96" spans="1:26" ht="15.75" x14ac:dyDescent="0.25">
      <c r="B96" s="2"/>
      <c r="C96" s="388"/>
      <c r="D96" s="6438" t="s">
        <v>210</v>
      </c>
      <c r="E96" s="6439"/>
      <c r="F96" s="3220" t="s">
        <v>2240</v>
      </c>
      <c r="G96" s="3213" t="s">
        <v>19</v>
      </c>
      <c r="H96" s="3224"/>
      <c r="I96" s="5904"/>
      <c r="J96" s="2"/>
      <c r="K96" s="2"/>
      <c r="L96" s="2"/>
      <c r="M96" s="2"/>
      <c r="N96" s="2"/>
      <c r="O96" s="2"/>
      <c r="P96" s="2"/>
      <c r="Q96" s="2"/>
      <c r="R96" s="2"/>
      <c r="S96" s="2"/>
      <c r="T96" s="2"/>
      <c r="U96" s="2"/>
      <c r="V96" s="2"/>
      <c r="W96" s="2"/>
      <c r="X96" s="2"/>
    </row>
    <row r="97" spans="1:26" ht="15.75" x14ac:dyDescent="0.25">
      <c r="B97" s="2"/>
      <c r="C97" s="388"/>
      <c r="D97" s="6432" t="s">
        <v>211</v>
      </c>
      <c r="E97" s="6433"/>
      <c r="F97" s="3207" t="s">
        <v>3513</v>
      </c>
      <c r="G97" s="3112" t="s">
        <v>3516</v>
      </c>
      <c r="H97" s="3766"/>
      <c r="I97" s="5904"/>
      <c r="J97" s="2"/>
      <c r="K97" s="2"/>
      <c r="L97" s="2"/>
      <c r="M97" s="2"/>
      <c r="N97" s="2"/>
      <c r="O97" s="2"/>
      <c r="P97" s="2"/>
      <c r="Q97" s="2"/>
      <c r="R97" s="2"/>
      <c r="S97" s="2"/>
      <c r="T97" s="2"/>
      <c r="U97" s="2"/>
      <c r="V97" s="2"/>
      <c r="W97" s="2"/>
      <c r="X97" s="2"/>
    </row>
    <row r="98" spans="1:26" ht="13.15" customHeight="1" x14ac:dyDescent="0.25">
      <c r="B98" s="2"/>
      <c r="C98" s="388"/>
      <c r="D98" s="415"/>
      <c r="E98" s="388"/>
      <c r="F98" s="388"/>
      <c r="G98" s="388"/>
      <c r="H98" s="388"/>
      <c r="I98" s="390"/>
      <c r="J98" s="2"/>
      <c r="K98" s="2"/>
      <c r="L98" s="2"/>
      <c r="M98" s="2"/>
      <c r="N98" s="2"/>
      <c r="O98" s="2"/>
      <c r="P98" s="2"/>
      <c r="Q98" s="2"/>
      <c r="R98" s="2"/>
      <c r="S98" s="2"/>
      <c r="T98" s="2"/>
      <c r="U98" s="2"/>
      <c r="V98" s="2"/>
      <c r="W98" s="2"/>
      <c r="X98" s="2"/>
    </row>
    <row r="99" spans="1:26" x14ac:dyDescent="0.25">
      <c r="B99" s="2"/>
      <c r="C99" s="991"/>
      <c r="D99" s="413"/>
      <c r="E99" s="991"/>
      <c r="F99" s="57"/>
      <c r="G99" s="57"/>
      <c r="H99" s="57"/>
      <c r="I99" s="991"/>
      <c r="J99" s="2"/>
      <c r="K99" s="2"/>
      <c r="L99" s="2"/>
      <c r="M99" s="2"/>
      <c r="N99" s="2"/>
      <c r="O99" s="2"/>
      <c r="P99" s="2"/>
      <c r="Q99" s="2"/>
      <c r="R99" s="2"/>
      <c r="S99" s="2"/>
      <c r="T99" s="2"/>
      <c r="U99" s="2"/>
      <c r="V99" s="2"/>
      <c r="W99" s="2"/>
      <c r="X99" s="2"/>
    </row>
    <row r="100" spans="1:26" ht="21" x14ac:dyDescent="0.35">
      <c r="B100" s="407"/>
      <c r="C100" s="388"/>
      <c r="D100" s="1221"/>
      <c r="E100" s="1221">
        <v>3</v>
      </c>
      <c r="F100" s="6431" t="s">
        <v>208</v>
      </c>
      <c r="G100" s="6431"/>
      <c r="H100" s="6431"/>
      <c r="I100" s="390"/>
      <c r="J100" s="2"/>
      <c r="K100" s="2"/>
      <c r="L100" s="2"/>
      <c r="M100" s="2"/>
      <c r="N100" s="2"/>
      <c r="O100" s="2"/>
      <c r="P100" s="2"/>
      <c r="Q100" s="2"/>
      <c r="R100" s="2"/>
      <c r="S100" s="2"/>
      <c r="T100" s="2"/>
      <c r="U100" s="2"/>
      <c r="V100" s="2"/>
      <c r="W100" s="2"/>
      <c r="X100" s="2"/>
    </row>
    <row r="101" spans="1:26" ht="15.75" x14ac:dyDescent="0.3">
      <c r="B101" s="389"/>
      <c r="C101" s="388"/>
      <c r="D101" s="6463"/>
      <c r="E101" s="6464"/>
      <c r="F101" s="6448" t="s">
        <v>1755</v>
      </c>
      <c r="G101" s="6448"/>
      <c r="H101" s="6449"/>
      <c r="I101" s="5904"/>
      <c r="J101" s="2"/>
      <c r="K101" s="2"/>
      <c r="L101" s="2"/>
      <c r="M101" s="2"/>
      <c r="N101" s="2"/>
      <c r="O101" s="2"/>
      <c r="P101" s="2"/>
      <c r="Q101" s="2"/>
      <c r="R101" s="2"/>
      <c r="S101" s="2"/>
      <c r="T101" s="2"/>
      <c r="U101" s="2"/>
      <c r="V101" s="2"/>
      <c r="W101" s="2"/>
      <c r="X101" s="2"/>
      <c r="Z101" s="3739" t="b">
        <f>'Perf assessment'!U63</f>
        <v>0</v>
      </c>
    </row>
    <row r="102" spans="1:26" ht="16.5" thickBot="1" x14ac:dyDescent="0.3">
      <c r="B102" s="2"/>
      <c r="C102" s="388"/>
      <c r="D102" s="6421" t="s">
        <v>82</v>
      </c>
      <c r="E102" s="6422"/>
      <c r="F102" s="3263" t="s">
        <v>2241</v>
      </c>
      <c r="G102" s="3264" t="s">
        <v>19</v>
      </c>
      <c r="H102" s="3262">
        <f>'WSS Profile'!G50</f>
        <v>0</v>
      </c>
      <c r="I102" s="5904"/>
      <c r="J102" s="2"/>
      <c r="K102" s="2"/>
      <c r="L102" s="2"/>
      <c r="M102" s="2"/>
      <c r="N102" s="2"/>
      <c r="O102" s="2"/>
      <c r="P102" s="2"/>
      <c r="Q102" s="2"/>
      <c r="R102" s="2"/>
      <c r="S102" s="2"/>
      <c r="T102" s="2"/>
      <c r="U102" s="2"/>
      <c r="V102" s="2"/>
      <c r="W102" s="2"/>
      <c r="X102" s="2"/>
    </row>
    <row r="103" spans="1:26" ht="18.75" thickBot="1" x14ac:dyDescent="0.3">
      <c r="B103" s="2"/>
      <c r="C103" s="5538" t="s">
        <v>3172</v>
      </c>
      <c r="D103" s="3401" t="s">
        <v>786</v>
      </c>
      <c r="E103" s="3402" t="s">
        <v>78</v>
      </c>
      <c r="F103" s="3355" t="s">
        <v>1756</v>
      </c>
      <c r="G103" s="3926"/>
      <c r="H103" s="3923"/>
      <c r="I103" s="5904"/>
      <c r="J103" s="2"/>
      <c r="K103" s="2"/>
      <c r="L103" s="2"/>
      <c r="M103" s="2"/>
      <c r="N103" s="2"/>
      <c r="O103" s="2"/>
      <c r="P103" s="2"/>
      <c r="Q103" s="2"/>
      <c r="R103" s="2"/>
      <c r="S103" s="2"/>
      <c r="T103" s="2"/>
      <c r="U103" s="2"/>
      <c r="V103" s="2"/>
      <c r="W103" s="2"/>
      <c r="X103" s="2"/>
    </row>
    <row r="104" spans="1:26" ht="15.75" x14ac:dyDescent="0.25">
      <c r="B104" s="2"/>
      <c r="C104" s="388"/>
      <c r="D104" s="6421" t="s">
        <v>210</v>
      </c>
      <c r="E104" s="6422"/>
      <c r="F104" s="2974" t="s">
        <v>2242</v>
      </c>
      <c r="G104" s="3130" t="s">
        <v>19</v>
      </c>
      <c r="H104" s="3767"/>
      <c r="I104" s="5904"/>
      <c r="J104" s="2"/>
      <c r="K104" s="2"/>
      <c r="L104" s="2"/>
      <c r="M104" s="2"/>
      <c r="N104" s="2"/>
      <c r="O104" s="2"/>
      <c r="P104" s="2"/>
      <c r="Q104" s="2"/>
      <c r="R104" s="2"/>
      <c r="S104" s="2"/>
      <c r="T104" s="2"/>
      <c r="U104" s="2"/>
      <c r="V104" s="2"/>
      <c r="W104" s="2"/>
      <c r="X104" s="2"/>
    </row>
    <row r="105" spans="1:26" ht="43.5" customHeight="1" x14ac:dyDescent="0.25">
      <c r="B105" s="2"/>
      <c r="C105" s="388"/>
      <c r="D105" s="6421"/>
      <c r="E105" s="6422"/>
      <c r="F105" s="5312" t="s">
        <v>3025</v>
      </c>
      <c r="G105" s="3257" t="s">
        <v>462</v>
      </c>
      <c r="H105" s="3768"/>
      <c r="I105" s="5904"/>
      <c r="J105" s="2"/>
      <c r="K105" s="2"/>
      <c r="L105" s="2"/>
      <c r="M105" s="2"/>
      <c r="N105" s="2"/>
      <c r="O105" s="2"/>
      <c r="P105" s="2"/>
      <c r="Q105" s="2"/>
      <c r="R105" s="2"/>
      <c r="S105" s="2"/>
      <c r="T105" s="2"/>
      <c r="U105" s="2"/>
      <c r="V105" s="2"/>
      <c r="W105" s="2"/>
      <c r="X105" s="2"/>
    </row>
    <row r="106" spans="1:26" ht="15.75" x14ac:dyDescent="0.25">
      <c r="B106" s="2"/>
      <c r="C106" s="388"/>
      <c r="D106" s="6429" t="s">
        <v>211</v>
      </c>
      <c r="E106" s="6430"/>
      <c r="F106" s="3142" t="s">
        <v>2243</v>
      </c>
      <c r="G106" s="3143" t="s">
        <v>3516</v>
      </c>
      <c r="H106" s="3248"/>
      <c r="I106" s="5904"/>
      <c r="J106" s="2"/>
      <c r="K106" s="2"/>
      <c r="L106" s="2"/>
      <c r="M106" s="2"/>
      <c r="N106" s="2"/>
      <c r="O106" s="2"/>
      <c r="P106" s="2"/>
      <c r="Q106" s="2"/>
      <c r="R106" s="2"/>
      <c r="S106" s="2"/>
      <c r="T106" s="2"/>
      <c r="U106" s="2"/>
      <c r="V106" s="2"/>
      <c r="W106" s="2"/>
      <c r="X106" s="2"/>
    </row>
    <row r="107" spans="1:26" ht="16.5" thickBot="1" x14ac:dyDescent="0.3">
      <c r="A107" s="921"/>
      <c r="B107" s="2"/>
      <c r="C107" s="388"/>
      <c r="D107" s="6421"/>
      <c r="E107" s="6422"/>
      <c r="F107" s="3198" t="s">
        <v>3517</v>
      </c>
      <c r="G107" s="3266" t="s">
        <v>1998</v>
      </c>
      <c r="H107" s="3769"/>
      <c r="I107" s="5904"/>
      <c r="J107" s="2"/>
      <c r="K107" s="2"/>
      <c r="L107" s="2"/>
      <c r="M107" s="2"/>
      <c r="N107" s="2"/>
      <c r="O107" s="2"/>
      <c r="P107" s="2"/>
      <c r="Q107" s="2"/>
      <c r="R107" s="2"/>
      <c r="S107" s="2"/>
      <c r="T107" s="2"/>
      <c r="U107" s="2"/>
      <c r="V107" s="2"/>
      <c r="W107" s="2"/>
      <c r="X107" s="2"/>
    </row>
    <row r="108" spans="1:26" ht="18.75" thickBot="1" x14ac:dyDescent="0.3">
      <c r="B108" s="2"/>
      <c r="C108" s="5538" t="s">
        <v>3173</v>
      </c>
      <c r="D108" s="3401" t="s">
        <v>786</v>
      </c>
      <c r="E108" s="3356" t="s">
        <v>78</v>
      </c>
      <c r="F108" s="3355" t="s">
        <v>1757</v>
      </c>
      <c r="G108" s="3926"/>
      <c r="H108" s="3923"/>
      <c r="I108" s="5904"/>
      <c r="J108" s="2"/>
      <c r="K108" s="2"/>
      <c r="L108" s="2"/>
      <c r="M108" s="2"/>
      <c r="N108" s="2"/>
      <c r="O108" s="2"/>
      <c r="P108" s="2"/>
      <c r="Q108" s="2"/>
      <c r="R108" s="2"/>
      <c r="S108" s="2"/>
      <c r="T108" s="2"/>
      <c r="U108" s="2"/>
      <c r="V108" s="2"/>
      <c r="W108" s="2"/>
      <c r="X108" s="2"/>
    </row>
    <row r="109" spans="1:26" ht="15.75" x14ac:dyDescent="0.25">
      <c r="B109" s="2"/>
      <c r="C109" s="388"/>
      <c r="D109" s="6421" t="s">
        <v>210</v>
      </c>
      <c r="E109" s="6422"/>
      <c r="F109" s="2974" t="s">
        <v>2244</v>
      </c>
      <c r="G109" s="3130" t="s">
        <v>19</v>
      </c>
      <c r="H109" s="3767"/>
      <c r="I109" s="5904"/>
      <c r="J109" s="2"/>
      <c r="K109" s="2"/>
      <c r="L109" s="2"/>
      <c r="M109" s="2"/>
      <c r="N109" s="2"/>
      <c r="O109" s="2"/>
      <c r="P109" s="2"/>
      <c r="Q109" s="2"/>
      <c r="R109" s="2"/>
      <c r="S109" s="2"/>
      <c r="T109" s="2"/>
      <c r="U109" s="2"/>
      <c r="V109" s="2"/>
      <c r="W109" s="2"/>
      <c r="X109" s="2"/>
    </row>
    <row r="110" spans="1:26" ht="58.5" customHeight="1" x14ac:dyDescent="0.25">
      <c r="B110" s="2"/>
      <c r="C110" s="388"/>
      <c r="D110" s="6421"/>
      <c r="E110" s="6422"/>
      <c r="F110" s="3110" t="s">
        <v>3026</v>
      </c>
      <c r="G110" s="3257" t="s">
        <v>462</v>
      </c>
      <c r="H110" s="5743"/>
      <c r="I110" s="5904"/>
      <c r="J110" s="2"/>
      <c r="K110" s="2"/>
      <c r="L110" s="2"/>
      <c r="M110" s="2"/>
      <c r="N110" s="2"/>
      <c r="O110" s="2"/>
      <c r="P110" s="2"/>
      <c r="Q110" s="2"/>
      <c r="R110" s="2"/>
      <c r="S110" s="2"/>
      <c r="T110" s="2"/>
      <c r="U110" s="2"/>
      <c r="V110" s="2"/>
      <c r="W110" s="2"/>
      <c r="X110" s="2"/>
    </row>
    <row r="111" spans="1:26" ht="15.75" x14ac:dyDescent="0.25">
      <c r="B111" s="2"/>
      <c r="C111" s="388"/>
      <c r="D111" s="6429" t="s">
        <v>211</v>
      </c>
      <c r="E111" s="6430"/>
      <c r="F111" s="3142" t="s">
        <v>2243</v>
      </c>
      <c r="G111" s="3143" t="s">
        <v>3516</v>
      </c>
      <c r="H111" s="3248"/>
      <c r="I111" s="5904"/>
      <c r="J111" s="2"/>
      <c r="K111" s="2"/>
      <c r="L111" s="2"/>
      <c r="M111" s="2"/>
      <c r="N111" s="2"/>
      <c r="O111" s="2"/>
      <c r="P111" s="2"/>
      <c r="Q111" s="2"/>
      <c r="R111" s="2"/>
      <c r="S111" s="2"/>
      <c r="T111" s="2"/>
      <c r="U111" s="2"/>
      <c r="V111" s="2"/>
      <c r="W111" s="2"/>
      <c r="X111" s="2"/>
    </row>
    <row r="112" spans="1:26" ht="16.5" thickBot="1" x14ac:dyDescent="0.3">
      <c r="B112" s="2"/>
      <c r="C112" s="388"/>
      <c r="D112" s="6421"/>
      <c r="E112" s="6422"/>
      <c r="F112" s="3265" t="s">
        <v>3518</v>
      </c>
      <c r="G112" s="3266" t="s">
        <v>1998</v>
      </c>
      <c r="H112" s="3769"/>
      <c r="I112" s="5904"/>
      <c r="J112" s="2"/>
      <c r="K112" s="2"/>
      <c r="L112" s="2"/>
      <c r="M112" s="2"/>
      <c r="N112" s="2"/>
      <c r="O112" s="2"/>
      <c r="P112" s="2"/>
      <c r="Q112" s="2"/>
      <c r="R112" s="2"/>
      <c r="S112" s="2"/>
      <c r="T112" s="2"/>
      <c r="U112" s="2"/>
      <c r="V112" s="2"/>
      <c r="W112" s="2"/>
      <c r="X112" s="2"/>
    </row>
    <row r="113" spans="2:26" ht="18.75" thickBot="1" x14ac:dyDescent="0.3">
      <c r="B113" s="2"/>
      <c r="C113" s="5538" t="s">
        <v>3174</v>
      </c>
      <c r="D113" s="3401" t="s">
        <v>786</v>
      </c>
      <c r="E113" s="3356" t="s">
        <v>78</v>
      </c>
      <c r="F113" s="3355" t="s">
        <v>1758</v>
      </c>
      <c r="G113" s="3926"/>
      <c r="H113" s="3923"/>
      <c r="I113" s="5904"/>
      <c r="J113" s="2"/>
      <c r="K113" s="2"/>
      <c r="L113" s="2"/>
      <c r="M113" s="2"/>
      <c r="N113" s="2"/>
      <c r="O113" s="2"/>
      <c r="P113" s="2"/>
      <c r="Q113" s="2"/>
      <c r="R113" s="2"/>
      <c r="S113" s="2"/>
      <c r="T113" s="2"/>
      <c r="U113" s="2"/>
      <c r="V113" s="2"/>
      <c r="W113" s="2"/>
      <c r="X113" s="2"/>
    </row>
    <row r="114" spans="2:26" ht="15.75" x14ac:dyDescent="0.25">
      <c r="B114" s="2"/>
      <c r="C114" s="388"/>
      <c r="D114" s="6421" t="s">
        <v>210</v>
      </c>
      <c r="E114" s="6422"/>
      <c r="F114" s="2974" t="s">
        <v>2245</v>
      </c>
      <c r="G114" s="3130" t="s">
        <v>19</v>
      </c>
      <c r="H114" s="3771"/>
      <c r="I114" s="5904"/>
      <c r="J114" s="2"/>
      <c r="K114" s="2"/>
      <c r="L114" s="2"/>
      <c r="M114" s="2"/>
      <c r="N114" s="2"/>
      <c r="O114" s="2"/>
      <c r="P114" s="2"/>
      <c r="Q114" s="2"/>
      <c r="R114" s="2"/>
      <c r="S114" s="2"/>
      <c r="T114" s="2"/>
      <c r="U114" s="2"/>
      <c r="V114" s="2"/>
      <c r="W114" s="2"/>
      <c r="X114" s="2"/>
    </row>
    <row r="115" spans="2:26" ht="15.75" x14ac:dyDescent="0.25">
      <c r="B115" s="2"/>
      <c r="C115" s="388"/>
      <c r="D115" s="6421"/>
      <c r="E115" s="6422"/>
      <c r="F115" s="3110" t="s">
        <v>2246</v>
      </c>
      <c r="G115" s="3300" t="s">
        <v>462</v>
      </c>
      <c r="H115" s="3770"/>
      <c r="I115" s="5904"/>
      <c r="J115" s="2"/>
      <c r="K115" s="2"/>
      <c r="L115" s="2"/>
      <c r="M115" s="2"/>
      <c r="N115" s="2"/>
      <c r="O115" s="2"/>
      <c r="P115" s="2"/>
      <c r="Q115" s="2"/>
      <c r="R115" s="2"/>
      <c r="S115" s="2"/>
      <c r="T115" s="2"/>
      <c r="U115" s="2"/>
      <c r="V115" s="2"/>
      <c r="W115" s="2"/>
      <c r="X115" s="2"/>
    </row>
    <row r="116" spans="2:26" ht="15.75" x14ac:dyDescent="0.25">
      <c r="B116" s="2"/>
      <c r="C116" s="388"/>
      <c r="D116" s="6429" t="s">
        <v>211</v>
      </c>
      <c r="E116" s="6430"/>
      <c r="F116" s="3142" t="s">
        <v>3519</v>
      </c>
      <c r="G116" s="3143" t="s">
        <v>3520</v>
      </c>
      <c r="H116" s="3248"/>
      <c r="I116" s="5904"/>
      <c r="J116" s="2"/>
      <c r="K116" s="2"/>
      <c r="L116" s="2"/>
      <c r="M116" s="2"/>
      <c r="N116" s="2"/>
      <c r="O116" s="2"/>
      <c r="P116" s="2"/>
      <c r="Q116" s="2"/>
      <c r="R116" s="2"/>
      <c r="S116" s="2"/>
      <c r="T116" s="2"/>
      <c r="U116" s="2"/>
      <c r="V116" s="2"/>
      <c r="W116" s="2"/>
      <c r="X116" s="2"/>
    </row>
    <row r="117" spans="2:26" ht="15.75" x14ac:dyDescent="0.25">
      <c r="B117" s="2"/>
      <c r="C117" s="388"/>
      <c r="D117" s="6421"/>
      <c r="E117" s="6422"/>
      <c r="F117" s="3031" t="s">
        <v>2247</v>
      </c>
      <c r="G117" s="3155" t="s">
        <v>1418</v>
      </c>
      <c r="H117" s="3772"/>
      <c r="I117" s="5904"/>
      <c r="J117" s="2"/>
      <c r="K117" s="887"/>
      <c r="L117" s="2"/>
      <c r="M117" s="2"/>
      <c r="N117" s="2"/>
      <c r="O117" s="2"/>
      <c r="P117" s="2"/>
      <c r="Q117" s="2"/>
      <c r="R117" s="2"/>
      <c r="S117" s="2"/>
      <c r="T117" s="2"/>
      <c r="U117" s="2"/>
      <c r="V117" s="2"/>
      <c r="W117" s="2"/>
      <c r="X117" s="2"/>
    </row>
    <row r="118" spans="2:26" ht="16.5" thickBot="1" x14ac:dyDescent="0.3">
      <c r="B118" s="2"/>
      <c r="C118" s="388"/>
      <c r="D118" s="6421"/>
      <c r="E118" s="6422"/>
      <c r="F118" s="3198" t="s">
        <v>2248</v>
      </c>
      <c r="G118" s="3256" t="s">
        <v>3516</v>
      </c>
      <c r="H118" s="3773"/>
      <c r="I118" s="5904"/>
      <c r="J118" s="2"/>
      <c r="K118" s="2"/>
      <c r="L118" s="2"/>
      <c r="M118" s="2"/>
      <c r="N118" s="2"/>
      <c r="O118" s="2"/>
      <c r="P118" s="2"/>
      <c r="Q118" s="2"/>
      <c r="R118" s="2"/>
      <c r="S118" s="2"/>
      <c r="T118" s="2"/>
      <c r="U118" s="2"/>
      <c r="V118" s="2"/>
      <c r="W118" s="2"/>
      <c r="X118" s="2"/>
    </row>
    <row r="119" spans="2:26" ht="18.75" thickBot="1" x14ac:dyDescent="0.3">
      <c r="B119" s="2"/>
      <c r="C119" s="5538" t="s">
        <v>3175</v>
      </c>
      <c r="D119" s="3401" t="s">
        <v>786</v>
      </c>
      <c r="E119" s="3356" t="s">
        <v>78</v>
      </c>
      <c r="F119" s="3355" t="s">
        <v>1759</v>
      </c>
      <c r="G119" s="3926"/>
      <c r="H119" s="3923"/>
      <c r="I119" s="5904"/>
      <c r="J119" s="2"/>
      <c r="K119" s="2"/>
      <c r="L119" s="2"/>
      <c r="M119" s="2"/>
      <c r="N119" s="2"/>
      <c r="O119" s="2"/>
      <c r="P119" s="2"/>
      <c r="Q119" s="2"/>
      <c r="R119" s="2"/>
      <c r="S119" s="2"/>
      <c r="T119" s="2"/>
      <c r="U119" s="2"/>
      <c r="V119" s="2"/>
      <c r="W119" s="2"/>
      <c r="X119" s="2"/>
    </row>
    <row r="120" spans="2:26" ht="15.75" x14ac:dyDescent="0.25">
      <c r="B120" s="2"/>
      <c r="C120" s="388"/>
      <c r="D120" s="6421" t="s">
        <v>210</v>
      </c>
      <c r="E120" s="6422"/>
      <c r="F120" s="2974" t="s">
        <v>2249</v>
      </c>
      <c r="G120" s="3130" t="s">
        <v>19</v>
      </c>
      <c r="H120" s="3771"/>
      <c r="I120" s="5904"/>
      <c r="J120" s="2"/>
      <c r="K120" s="2"/>
      <c r="L120" s="432"/>
      <c r="M120" s="2"/>
      <c r="N120" s="2"/>
      <c r="O120" s="2"/>
      <c r="P120" s="2"/>
      <c r="Q120" s="2"/>
      <c r="R120" s="2"/>
      <c r="S120" s="2"/>
      <c r="T120" s="2"/>
      <c r="U120" s="2"/>
      <c r="V120" s="2"/>
      <c r="W120" s="2"/>
      <c r="X120" s="2"/>
    </row>
    <row r="121" spans="2:26" ht="15.75" x14ac:dyDescent="0.25">
      <c r="B121" s="2"/>
      <c r="C121" s="388"/>
      <c r="D121" s="6421"/>
      <c r="E121" s="6422"/>
      <c r="F121" s="3110" t="s">
        <v>2246</v>
      </c>
      <c r="G121" s="3300" t="s">
        <v>462</v>
      </c>
      <c r="H121" s="3770"/>
      <c r="I121" s="5904"/>
      <c r="J121" s="991"/>
      <c r="K121" s="2"/>
      <c r="L121" s="2"/>
      <c r="M121" s="2"/>
      <c r="N121" s="2"/>
      <c r="O121" s="2"/>
      <c r="P121" s="2"/>
      <c r="Q121" s="2"/>
      <c r="R121" s="2"/>
      <c r="S121" s="2"/>
      <c r="T121" s="2"/>
      <c r="U121" s="2"/>
      <c r="V121" s="2"/>
      <c r="W121" s="2"/>
      <c r="X121" s="2"/>
    </row>
    <row r="122" spans="2:26" ht="15.75" x14ac:dyDescent="0.25">
      <c r="B122" s="2"/>
      <c r="C122" s="388"/>
      <c r="D122" s="6429" t="s">
        <v>211</v>
      </c>
      <c r="E122" s="6430"/>
      <c r="F122" s="3142" t="s">
        <v>3519</v>
      </c>
      <c r="G122" s="3143" t="s">
        <v>3520</v>
      </c>
      <c r="H122" s="3248"/>
      <c r="I122" s="5904"/>
      <c r="J122" s="991"/>
      <c r="K122" s="2"/>
      <c r="L122" s="2"/>
      <c r="M122" s="2"/>
      <c r="N122" s="2"/>
      <c r="O122" s="2"/>
      <c r="P122" s="2"/>
      <c r="Q122" s="2"/>
      <c r="R122" s="2"/>
      <c r="S122" s="2"/>
      <c r="T122" s="2"/>
      <c r="U122" s="2"/>
      <c r="V122" s="2"/>
      <c r="W122" s="2"/>
      <c r="X122" s="2"/>
    </row>
    <row r="123" spans="2:26" ht="15.75" x14ac:dyDescent="0.25">
      <c r="B123" s="2"/>
      <c r="C123" s="388"/>
      <c r="D123" s="6421"/>
      <c r="E123" s="6422"/>
      <c r="F123" s="3031" t="s">
        <v>2236</v>
      </c>
      <c r="G123" s="3155" t="s">
        <v>1418</v>
      </c>
      <c r="H123" s="3772"/>
      <c r="I123" s="5904"/>
      <c r="J123" s="991"/>
      <c r="K123" s="2"/>
      <c r="L123" s="2"/>
      <c r="M123" s="2"/>
      <c r="N123" s="2"/>
      <c r="O123" s="2"/>
      <c r="P123" s="2"/>
      <c r="Q123" s="2"/>
      <c r="R123" s="2"/>
      <c r="S123" s="2"/>
      <c r="T123" s="2"/>
      <c r="U123" s="2"/>
      <c r="V123" s="2"/>
      <c r="W123" s="2"/>
      <c r="X123" s="2"/>
    </row>
    <row r="124" spans="2:26" ht="16.5" thickBot="1" x14ac:dyDescent="0.3">
      <c r="B124" s="2"/>
      <c r="C124" s="388"/>
      <c r="D124" s="6421"/>
      <c r="E124" s="6422"/>
      <c r="F124" s="3198" t="s">
        <v>2250</v>
      </c>
      <c r="G124" s="3256" t="s">
        <v>3516</v>
      </c>
      <c r="H124" s="3773"/>
      <c r="I124" s="5904"/>
      <c r="J124" s="991"/>
      <c r="K124" s="2"/>
      <c r="L124" s="2"/>
      <c r="M124" s="2"/>
      <c r="N124" s="2"/>
      <c r="O124" s="2"/>
      <c r="P124" s="2"/>
      <c r="Q124" s="2"/>
      <c r="R124" s="2"/>
      <c r="S124" s="2"/>
      <c r="T124" s="2"/>
      <c r="U124" s="2"/>
      <c r="V124" s="2"/>
      <c r="W124" s="2"/>
      <c r="X124" s="2"/>
    </row>
    <row r="125" spans="2:26" ht="35.25" customHeight="1" thickBot="1" x14ac:dyDescent="0.3">
      <c r="B125" s="2"/>
      <c r="C125" s="5538" t="s">
        <v>3177</v>
      </c>
      <c r="D125" s="3401" t="s">
        <v>786</v>
      </c>
      <c r="E125" s="2976" t="s">
        <v>78</v>
      </c>
      <c r="F125" s="3354" t="s">
        <v>2142</v>
      </c>
      <c r="G125" s="3927"/>
      <c r="H125" s="3932"/>
      <c r="I125" s="5904"/>
      <c r="J125" s="991"/>
      <c r="K125" s="2"/>
      <c r="L125" s="2"/>
      <c r="M125" s="2"/>
      <c r="N125" s="2"/>
      <c r="O125" s="2"/>
      <c r="P125" s="2"/>
      <c r="Q125" s="2"/>
      <c r="R125" s="2"/>
      <c r="S125" s="2"/>
      <c r="T125" s="2"/>
      <c r="U125" s="2"/>
      <c r="V125" s="2"/>
      <c r="W125" s="2"/>
      <c r="X125" s="2"/>
      <c r="Z125" s="3739">
        <f>'Perf assessment'!U64</f>
        <v>0</v>
      </c>
    </row>
    <row r="126" spans="2:26" ht="15.75" x14ac:dyDescent="0.25">
      <c r="B126" s="2"/>
      <c r="C126" s="388"/>
      <c r="D126" s="6421" t="s">
        <v>210</v>
      </c>
      <c r="E126" s="6422"/>
      <c r="F126" s="3301" t="s">
        <v>2251</v>
      </c>
      <c r="G126" s="3302" t="s">
        <v>169</v>
      </c>
      <c r="H126" s="3774"/>
      <c r="I126" s="5904"/>
      <c r="J126" s="991"/>
      <c r="K126" s="2"/>
      <c r="L126" s="2"/>
      <c r="M126" s="2"/>
      <c r="N126" s="2"/>
      <c r="O126" s="2"/>
      <c r="P126" s="2"/>
      <c r="Q126" s="2"/>
      <c r="R126" s="2"/>
      <c r="S126" s="2"/>
      <c r="T126" s="2"/>
      <c r="U126" s="2"/>
      <c r="V126" s="2"/>
      <c r="W126" s="2"/>
      <c r="X126" s="2"/>
    </row>
    <row r="127" spans="2:26" ht="15.75" customHeight="1" x14ac:dyDescent="0.25">
      <c r="B127" s="2"/>
      <c r="C127" s="388"/>
      <c r="D127" s="6423" t="s">
        <v>211</v>
      </c>
      <c r="E127" s="6424"/>
      <c r="F127" s="3142" t="s">
        <v>2252</v>
      </c>
      <c r="G127" s="3303" t="s">
        <v>3521</v>
      </c>
      <c r="H127" s="5744"/>
      <c r="I127" s="5904"/>
      <c r="J127" s="991"/>
      <c r="K127" s="2"/>
      <c r="L127" s="2"/>
      <c r="M127" s="2"/>
      <c r="N127" s="2"/>
      <c r="O127" s="2"/>
      <c r="P127" s="2"/>
      <c r="Q127" s="2"/>
      <c r="R127" s="2"/>
      <c r="S127" s="2"/>
      <c r="T127" s="2"/>
      <c r="U127" s="2"/>
      <c r="V127" s="2"/>
      <c r="W127" s="2"/>
      <c r="X127" s="2"/>
    </row>
    <row r="128" spans="2:26" ht="16.5" thickBot="1" x14ac:dyDescent="0.3">
      <c r="B128" s="2"/>
      <c r="C128" s="388"/>
      <c r="D128" s="6425"/>
      <c r="E128" s="6426"/>
      <c r="F128" s="3198" t="s">
        <v>3522</v>
      </c>
      <c r="G128" s="3202" t="s">
        <v>1418</v>
      </c>
      <c r="H128" s="3237"/>
      <c r="I128" s="5904"/>
      <c r="J128" s="991"/>
      <c r="K128" s="2"/>
      <c r="L128" s="2"/>
      <c r="M128" s="2"/>
      <c r="N128" s="2"/>
      <c r="O128" s="2"/>
      <c r="P128" s="2"/>
      <c r="Q128" s="2"/>
      <c r="R128" s="2"/>
      <c r="S128" s="2"/>
      <c r="T128" s="2"/>
      <c r="U128" s="2"/>
      <c r="V128" s="2"/>
      <c r="W128" s="2"/>
      <c r="X128" s="2"/>
    </row>
    <row r="129" spans="2:26" ht="18.75" thickBot="1" x14ac:dyDescent="0.3">
      <c r="B129" s="2"/>
      <c r="C129" s="5538" t="s">
        <v>3176</v>
      </c>
      <c r="D129" s="3401" t="s">
        <v>786</v>
      </c>
      <c r="E129" s="2976" t="s">
        <v>78</v>
      </c>
      <c r="F129" s="3352" t="s">
        <v>1986</v>
      </c>
      <c r="G129" s="3928"/>
      <c r="H129" s="3933"/>
      <c r="I129" s="5904"/>
      <c r="J129" s="991"/>
      <c r="K129" s="2"/>
      <c r="L129" s="2"/>
      <c r="M129" s="2"/>
      <c r="N129" s="2"/>
      <c r="O129" s="2"/>
      <c r="P129" s="2"/>
      <c r="Q129" s="2"/>
      <c r="R129" s="2"/>
      <c r="S129" s="2"/>
      <c r="T129" s="2"/>
      <c r="U129" s="2"/>
      <c r="V129" s="2"/>
      <c r="W129" s="2"/>
      <c r="X129" s="2"/>
      <c r="Z129" s="3739">
        <f>'Perf assessment'!U65</f>
        <v>0</v>
      </c>
    </row>
    <row r="130" spans="2:26" ht="30" x14ac:dyDescent="0.25">
      <c r="B130" s="2"/>
      <c r="C130" s="388"/>
      <c r="D130" s="6421" t="s">
        <v>82</v>
      </c>
      <c r="E130" s="6422"/>
      <c r="F130" s="2974" t="s">
        <v>2253</v>
      </c>
      <c r="G130" s="3130" t="s">
        <v>19</v>
      </c>
      <c r="H130" s="3267">
        <f>'WSS Profile'!$G$61</f>
        <v>0</v>
      </c>
      <c r="I130" s="5904"/>
      <c r="J130" s="991"/>
      <c r="K130" s="2"/>
      <c r="L130" s="2"/>
      <c r="M130" s="2"/>
      <c r="N130" s="2"/>
      <c r="O130" s="2"/>
      <c r="P130" s="2"/>
      <c r="Q130" s="2"/>
      <c r="R130" s="2"/>
      <c r="S130" s="2"/>
      <c r="T130" s="2"/>
      <c r="U130" s="2"/>
      <c r="V130" s="2"/>
      <c r="W130" s="2"/>
      <c r="X130" s="2"/>
    </row>
    <row r="131" spans="2:26" ht="15.75" customHeight="1" x14ac:dyDescent="0.25">
      <c r="B131" s="2"/>
      <c r="C131" s="388"/>
      <c r="D131" s="6421"/>
      <c r="E131" s="6422"/>
      <c r="F131" s="3110" t="s">
        <v>2254</v>
      </c>
      <c r="G131" s="3141" t="s">
        <v>19</v>
      </c>
      <c r="H131" s="3262">
        <f>'WSS Profile'!$G$68</f>
        <v>0</v>
      </c>
      <c r="I131" s="5904"/>
      <c r="J131" s="991"/>
      <c r="K131" s="2"/>
      <c r="L131" s="2"/>
      <c r="M131" s="2"/>
      <c r="N131" s="2"/>
      <c r="O131" s="2"/>
      <c r="P131" s="2"/>
      <c r="Q131" s="2"/>
      <c r="R131" s="2"/>
      <c r="S131" s="2"/>
      <c r="T131" s="2"/>
      <c r="U131" s="2"/>
      <c r="V131" s="2"/>
      <c r="W131" s="2"/>
      <c r="X131" s="2"/>
    </row>
    <row r="132" spans="2:26" ht="15.75" x14ac:dyDescent="0.25">
      <c r="B132" s="2"/>
      <c r="C132" s="388"/>
      <c r="D132" s="6453" t="s">
        <v>210</v>
      </c>
      <c r="E132" s="6454"/>
      <c r="F132" s="3279" t="s">
        <v>2255</v>
      </c>
      <c r="G132" s="3280" t="s">
        <v>19</v>
      </c>
      <c r="H132" s="3776"/>
      <c r="I132" s="5904"/>
      <c r="J132" s="991"/>
      <c r="K132" s="2"/>
      <c r="L132" s="2"/>
      <c r="M132" s="2"/>
      <c r="N132" s="2"/>
      <c r="O132" s="2"/>
      <c r="P132" s="2"/>
      <c r="Q132" s="2"/>
      <c r="R132" s="2"/>
      <c r="S132" s="2"/>
      <c r="T132" s="2"/>
      <c r="U132" s="2"/>
      <c r="V132" s="2"/>
      <c r="W132" s="2"/>
      <c r="X132" s="2"/>
    </row>
    <row r="133" spans="2:26" ht="15.75" customHeight="1" x14ac:dyDescent="0.25">
      <c r="B133" s="2"/>
      <c r="C133" s="388"/>
      <c r="D133" s="6425" t="s">
        <v>211</v>
      </c>
      <c r="E133" s="6426"/>
      <c r="F133" s="3110" t="s">
        <v>2256</v>
      </c>
      <c r="G133" s="3141" t="s">
        <v>3516</v>
      </c>
      <c r="H133" s="5744"/>
      <c r="I133" s="5904"/>
      <c r="J133" s="991"/>
      <c r="K133" s="2"/>
      <c r="L133" s="2"/>
      <c r="M133" s="2"/>
      <c r="N133" s="2"/>
      <c r="O133" s="2"/>
      <c r="P133" s="2"/>
      <c r="Q133" s="2"/>
      <c r="R133" s="2"/>
      <c r="S133" s="2"/>
      <c r="T133" s="2"/>
      <c r="U133" s="2"/>
      <c r="V133" s="2"/>
      <c r="W133" s="2"/>
      <c r="X133" s="2"/>
    </row>
    <row r="134" spans="2:26" ht="16.5" thickBot="1" x14ac:dyDescent="0.3">
      <c r="B134" s="2"/>
      <c r="C134" s="388"/>
      <c r="D134" s="6425"/>
      <c r="E134" s="6426"/>
      <c r="F134" s="3198" t="s">
        <v>3522</v>
      </c>
      <c r="G134" s="3256" t="s">
        <v>1998</v>
      </c>
      <c r="H134" s="3237"/>
      <c r="I134" s="5904"/>
      <c r="J134" s="991"/>
      <c r="K134" s="2"/>
      <c r="L134" s="2"/>
      <c r="M134" s="2"/>
      <c r="N134" s="2"/>
      <c r="O134" s="2"/>
      <c r="P134" s="2"/>
      <c r="Q134" s="2"/>
      <c r="R134" s="2"/>
      <c r="S134" s="2"/>
      <c r="T134" s="2"/>
      <c r="U134" s="2"/>
      <c r="V134" s="2"/>
      <c r="W134" s="2"/>
      <c r="X134" s="2"/>
    </row>
    <row r="135" spans="2:26" ht="18.75" thickBot="1" x14ac:dyDescent="0.3">
      <c r="B135" s="2"/>
      <c r="C135" s="5538" t="s">
        <v>3178</v>
      </c>
      <c r="D135" s="3401" t="s">
        <v>786</v>
      </c>
      <c r="E135" s="2976" t="s">
        <v>78</v>
      </c>
      <c r="F135" s="3352" t="s">
        <v>1987</v>
      </c>
      <c r="G135" s="3928"/>
      <c r="H135" s="3933"/>
      <c r="I135" s="5904"/>
      <c r="J135" s="991"/>
      <c r="K135" s="2"/>
      <c r="L135" s="2"/>
      <c r="M135" s="2"/>
      <c r="N135" s="2"/>
      <c r="O135" s="2"/>
      <c r="P135" s="2"/>
      <c r="Q135" s="2"/>
      <c r="R135" s="2"/>
      <c r="S135" s="2"/>
      <c r="T135" s="2"/>
      <c r="U135" s="2"/>
      <c r="V135" s="2"/>
      <c r="W135" s="2"/>
      <c r="X135" s="2"/>
      <c r="Z135" s="3739">
        <f>'Perf assessment'!U66</f>
        <v>0</v>
      </c>
    </row>
    <row r="136" spans="2:26" ht="15.75" x14ac:dyDescent="0.25">
      <c r="B136" s="2"/>
      <c r="C136" s="388"/>
      <c r="D136" s="6421" t="s">
        <v>82</v>
      </c>
      <c r="E136" s="6422"/>
      <c r="F136" s="2974" t="s">
        <v>2257</v>
      </c>
      <c r="G136" s="3130" t="s">
        <v>18</v>
      </c>
      <c r="H136" s="3268">
        <f>'WSS Profile'!$G$81</f>
        <v>0</v>
      </c>
      <c r="I136" s="5904"/>
      <c r="J136" s="991"/>
      <c r="K136" s="2"/>
      <c r="L136" s="2"/>
      <c r="M136" s="2"/>
      <c r="N136" s="2"/>
      <c r="O136" s="2"/>
      <c r="P136" s="2"/>
      <c r="Q136" s="2"/>
      <c r="R136" s="2"/>
      <c r="S136" s="2"/>
      <c r="T136" s="2"/>
      <c r="U136" s="2"/>
      <c r="V136" s="2"/>
      <c r="W136" s="2"/>
      <c r="X136" s="2"/>
    </row>
    <row r="137" spans="2:26" ht="15.75" x14ac:dyDescent="0.25">
      <c r="B137" s="2"/>
      <c r="C137" s="388"/>
      <c r="D137" s="6421"/>
      <c r="E137" s="6422"/>
      <c r="F137" s="3110" t="s">
        <v>2258</v>
      </c>
      <c r="G137" s="3141" t="s">
        <v>19</v>
      </c>
      <c r="H137" s="3262">
        <f>'WSS Profile'!G81-'WSS Profile'!F71*(1-'WSS Profile'!G76)*1/3</f>
        <v>0</v>
      </c>
      <c r="I137" s="5904"/>
      <c r="J137" s="991"/>
      <c r="K137" s="2"/>
      <c r="L137" s="2"/>
      <c r="M137" s="2"/>
      <c r="N137" s="2"/>
      <c r="O137" s="2"/>
      <c r="P137" s="2"/>
      <c r="Q137" s="2"/>
      <c r="R137" s="2"/>
      <c r="S137" s="2"/>
      <c r="T137" s="2"/>
      <c r="U137" s="2"/>
      <c r="V137" s="2"/>
      <c r="W137" s="2"/>
      <c r="X137" s="2"/>
    </row>
    <row r="138" spans="2:26" ht="15.75" x14ac:dyDescent="0.25">
      <c r="B138" s="2"/>
      <c r="C138" s="388"/>
      <c r="D138" s="6453" t="s">
        <v>210</v>
      </c>
      <c r="E138" s="6454"/>
      <c r="F138" s="3279" t="s">
        <v>2259</v>
      </c>
      <c r="G138" s="3280" t="s">
        <v>19</v>
      </c>
      <c r="H138" s="3146"/>
      <c r="I138" s="5904"/>
      <c r="J138" s="991"/>
      <c r="K138" s="2"/>
      <c r="L138" s="2"/>
      <c r="M138" s="2"/>
      <c r="N138" s="2"/>
      <c r="O138" s="2"/>
      <c r="P138" s="2"/>
      <c r="Q138" s="2"/>
      <c r="R138" s="2"/>
      <c r="S138" s="2"/>
      <c r="T138" s="2"/>
      <c r="U138" s="2"/>
      <c r="V138" s="2"/>
      <c r="W138" s="2"/>
      <c r="X138" s="2"/>
    </row>
    <row r="139" spans="2:26" ht="15.75" customHeight="1" x14ac:dyDescent="0.25">
      <c r="B139" s="2"/>
      <c r="C139" s="388"/>
      <c r="D139" s="6425" t="s">
        <v>211</v>
      </c>
      <c r="E139" s="6426"/>
      <c r="F139" s="3110" t="s">
        <v>2260</v>
      </c>
      <c r="G139" s="3141" t="s">
        <v>3523</v>
      </c>
      <c r="H139" s="3248"/>
      <c r="I139" s="5904"/>
      <c r="J139" s="991"/>
      <c r="K139" s="2"/>
      <c r="L139" s="2"/>
      <c r="M139" s="2"/>
      <c r="N139" s="2"/>
      <c r="O139" s="2"/>
      <c r="P139" s="2"/>
      <c r="Q139" s="2"/>
      <c r="R139" s="2"/>
      <c r="S139" s="2"/>
      <c r="T139" s="2"/>
      <c r="U139" s="2"/>
      <c r="V139" s="2"/>
      <c r="W139" s="2"/>
      <c r="X139" s="2"/>
    </row>
    <row r="140" spans="2:26" ht="15.75" x14ac:dyDescent="0.25">
      <c r="B140" s="2"/>
      <c r="C140" s="388"/>
      <c r="D140" s="6440"/>
      <c r="E140" s="6441"/>
      <c r="F140" s="3198" t="s">
        <v>3522</v>
      </c>
      <c r="G140" s="3256" t="s">
        <v>1998</v>
      </c>
      <c r="H140" s="3237"/>
      <c r="I140" s="5904"/>
      <c r="J140" s="991"/>
      <c r="K140" s="2"/>
      <c r="L140" s="2"/>
      <c r="M140" s="2"/>
      <c r="N140" s="2"/>
      <c r="O140" s="2"/>
      <c r="P140" s="2"/>
      <c r="Q140" s="2"/>
      <c r="R140" s="2"/>
      <c r="S140" s="2"/>
      <c r="T140" s="2"/>
      <c r="U140" s="2"/>
      <c r="V140" s="2"/>
      <c r="W140" s="2"/>
      <c r="X140" s="2"/>
    </row>
    <row r="141" spans="2:26" ht="15.75" x14ac:dyDescent="0.25">
      <c r="B141" s="2"/>
      <c r="C141" s="388"/>
      <c r="D141" s="415"/>
      <c r="E141" s="388"/>
      <c r="F141" s="388"/>
      <c r="G141" s="388"/>
      <c r="H141" s="388"/>
      <c r="I141" s="390"/>
      <c r="J141" s="991"/>
      <c r="K141" s="2"/>
      <c r="L141" s="2"/>
      <c r="M141" s="2"/>
      <c r="N141" s="2"/>
      <c r="O141" s="2"/>
      <c r="P141" s="2"/>
      <c r="Q141" s="2"/>
      <c r="R141" s="2"/>
      <c r="S141" s="2"/>
      <c r="T141" s="2"/>
      <c r="U141" s="2"/>
      <c r="V141" s="2"/>
      <c r="W141" s="2"/>
      <c r="X141" s="2"/>
    </row>
    <row r="142" spans="2:26" x14ac:dyDescent="0.25">
      <c r="B142" s="2"/>
      <c r="C142" s="991"/>
      <c r="D142" s="1139"/>
      <c r="E142" s="402"/>
      <c r="F142" s="57"/>
      <c r="G142" s="57"/>
      <c r="H142" s="57"/>
      <c r="I142" s="991"/>
      <c r="J142" s="2"/>
      <c r="K142" s="2"/>
      <c r="L142" s="2"/>
      <c r="M142" s="2"/>
      <c r="N142" s="2"/>
      <c r="O142" s="2"/>
      <c r="P142" s="2"/>
      <c r="Q142" s="2"/>
      <c r="R142" s="2"/>
      <c r="S142" s="2"/>
      <c r="T142" s="2"/>
      <c r="U142" s="2"/>
      <c r="V142" s="2"/>
      <c r="W142" s="2"/>
      <c r="X142" s="2"/>
    </row>
    <row r="143" spans="2:26" x14ac:dyDescent="0.25">
      <c r="B143" s="2"/>
      <c r="C143" s="991"/>
      <c r="D143" s="1139"/>
      <c r="E143" s="402"/>
      <c r="F143" s="57"/>
      <c r="G143" s="57"/>
      <c r="H143" s="57"/>
      <c r="I143" s="991"/>
      <c r="J143" s="2"/>
      <c r="K143" s="2"/>
      <c r="L143" s="2"/>
      <c r="M143" s="2"/>
      <c r="N143" s="2"/>
      <c r="O143" s="2"/>
      <c r="P143" s="2"/>
      <c r="Q143" s="2"/>
      <c r="R143" s="2"/>
      <c r="S143" s="2"/>
      <c r="T143" s="2"/>
      <c r="U143" s="2"/>
      <c r="V143" s="2"/>
      <c r="W143" s="2"/>
      <c r="X143" s="2"/>
    </row>
    <row r="144" spans="2:26" s="480" customFormat="1" ht="31.5" customHeight="1" x14ac:dyDescent="0.25">
      <c r="B144" s="1382"/>
      <c r="C144" s="1383"/>
      <c r="D144" s="1384" t="s">
        <v>36</v>
      </c>
      <c r="E144" s="1384" t="s">
        <v>735</v>
      </c>
      <c r="F144" s="1384"/>
      <c r="G144" s="1384"/>
      <c r="H144" s="1384"/>
      <c r="I144" s="1384"/>
      <c r="J144" s="1384"/>
      <c r="K144" s="1384"/>
      <c r="L144" s="1384"/>
      <c r="M144" s="1384"/>
      <c r="N144" s="1384"/>
      <c r="O144" s="1384"/>
      <c r="P144" s="1384"/>
      <c r="Q144" s="1384"/>
      <c r="R144" s="1384"/>
      <c r="S144" s="1384"/>
      <c r="T144" s="1384"/>
      <c r="U144" s="1385"/>
      <c r="V144" s="1385"/>
      <c r="W144" s="1385"/>
      <c r="X144" s="1386"/>
      <c r="Z144" s="3738"/>
    </row>
    <row r="145" spans="2:26" x14ac:dyDescent="0.25">
      <c r="B145" s="2"/>
      <c r="C145" s="991"/>
      <c r="D145" s="1139"/>
      <c r="E145" s="402"/>
      <c r="F145" s="57"/>
      <c r="G145" s="57"/>
      <c r="H145" s="57"/>
      <c r="I145" s="991"/>
      <c r="J145" s="2"/>
      <c r="K145" s="2"/>
      <c r="L145" s="2"/>
      <c r="M145" s="2"/>
      <c r="N145" s="2"/>
      <c r="O145" s="2"/>
      <c r="P145" s="2"/>
      <c r="Q145" s="2"/>
      <c r="R145" s="2"/>
      <c r="S145" s="2"/>
      <c r="T145" s="2"/>
      <c r="U145" s="2"/>
      <c r="V145" s="2"/>
      <c r="W145" s="2"/>
      <c r="X145" s="2"/>
    </row>
    <row r="146" spans="2:26" ht="21.75" thickBot="1" x14ac:dyDescent="0.3">
      <c r="B146" s="2"/>
      <c r="C146" s="388"/>
      <c r="D146" s="399"/>
      <c r="E146" s="399">
        <v>1</v>
      </c>
      <c r="F146" s="6431" t="s">
        <v>566</v>
      </c>
      <c r="G146" s="6431"/>
      <c r="H146" s="6431"/>
      <c r="I146" s="390"/>
      <c r="J146" s="2"/>
      <c r="K146" s="2"/>
      <c r="L146" s="2"/>
      <c r="M146" s="2"/>
      <c r="N146" s="2"/>
      <c r="O146" s="2"/>
      <c r="P146" s="2"/>
      <c r="Q146" s="2"/>
      <c r="R146" s="2"/>
      <c r="S146" s="2"/>
      <c r="T146" s="2"/>
      <c r="U146" s="2"/>
      <c r="V146" s="2"/>
      <c r="W146" s="2"/>
      <c r="X146" s="2"/>
    </row>
    <row r="147" spans="2:26" ht="18.75" thickBot="1" x14ac:dyDescent="0.3">
      <c r="B147" s="991"/>
      <c r="C147" s="5538" t="s">
        <v>3179</v>
      </c>
      <c r="D147" s="3401" t="s">
        <v>786</v>
      </c>
      <c r="E147" s="2976" t="s">
        <v>78</v>
      </c>
      <c r="F147" s="3357" t="s">
        <v>1541</v>
      </c>
      <c r="G147" s="3922"/>
      <c r="H147" s="3923"/>
      <c r="I147" s="3560"/>
      <c r="J147" s="2"/>
      <c r="K147" s="2"/>
      <c r="L147" s="2"/>
      <c r="M147" s="2"/>
      <c r="N147" s="2"/>
      <c r="O147" s="2"/>
      <c r="P147" s="2"/>
      <c r="Q147" s="2"/>
      <c r="R147" s="2"/>
      <c r="S147" s="2"/>
      <c r="T147" s="2"/>
      <c r="U147" s="2"/>
      <c r="V147" s="2"/>
      <c r="W147" s="2"/>
      <c r="X147" s="2"/>
      <c r="Z147" s="3739" t="b">
        <f>'Perf assessment'!U72</f>
        <v>0</v>
      </c>
    </row>
    <row r="148" spans="2:26" ht="15.75" thickBot="1" x14ac:dyDescent="0.3">
      <c r="B148" s="991"/>
      <c r="C148" s="388"/>
      <c r="D148" s="6421" t="s">
        <v>211</v>
      </c>
      <c r="E148" s="6422"/>
      <c r="F148" s="3263" t="s">
        <v>2261</v>
      </c>
      <c r="G148" s="3143" t="s">
        <v>3520</v>
      </c>
      <c r="H148" s="5745"/>
      <c r="I148" s="3560"/>
      <c r="J148" s="2"/>
      <c r="K148" s="2"/>
      <c r="L148" s="2"/>
      <c r="M148" s="2"/>
      <c r="N148" s="2"/>
      <c r="O148" s="2"/>
      <c r="P148" s="2"/>
      <c r="Q148" s="2"/>
      <c r="R148" s="2"/>
      <c r="S148" s="2"/>
      <c r="T148" s="2"/>
      <c r="U148" s="2"/>
      <c r="V148" s="2"/>
      <c r="W148" s="2"/>
      <c r="X148" s="2"/>
    </row>
    <row r="149" spans="2:26" ht="18.75" thickBot="1" x14ac:dyDescent="0.3">
      <c r="B149" s="991"/>
      <c r="C149" s="5538" t="s">
        <v>3180</v>
      </c>
      <c r="D149" s="3401" t="s">
        <v>786</v>
      </c>
      <c r="E149" s="2976" t="s">
        <v>78</v>
      </c>
      <c r="F149" s="3357" t="s">
        <v>1542</v>
      </c>
      <c r="G149" s="3922"/>
      <c r="H149" s="3923"/>
      <c r="I149" s="3560"/>
      <c r="J149" s="2"/>
      <c r="K149" s="2"/>
      <c r="L149" s="2"/>
      <c r="M149" s="2"/>
      <c r="N149" s="2"/>
      <c r="O149" s="2"/>
      <c r="P149" s="2"/>
      <c r="Q149" s="2"/>
      <c r="R149" s="2"/>
      <c r="S149" s="2"/>
      <c r="T149" s="2"/>
      <c r="U149" s="2"/>
      <c r="V149" s="2"/>
      <c r="W149" s="2"/>
      <c r="X149" s="2"/>
      <c r="Z149" s="3739" t="b">
        <f>'Perf assessment'!U73</f>
        <v>0</v>
      </c>
    </row>
    <row r="150" spans="2:26" ht="15.75" thickBot="1" x14ac:dyDescent="0.3">
      <c r="B150" s="991"/>
      <c r="C150" s="388"/>
      <c r="D150" s="6421" t="s">
        <v>211</v>
      </c>
      <c r="E150" s="6422"/>
      <c r="F150" s="3263" t="s">
        <v>2262</v>
      </c>
      <c r="G150" s="3143" t="s">
        <v>3520</v>
      </c>
      <c r="H150" s="5745"/>
      <c r="I150" s="3560"/>
      <c r="J150" s="2"/>
      <c r="K150" s="2"/>
      <c r="L150" s="2"/>
      <c r="M150" s="2"/>
      <c r="N150" s="2"/>
      <c r="O150" s="2"/>
      <c r="P150" s="2"/>
      <c r="Q150" s="2"/>
      <c r="R150" s="2"/>
      <c r="S150" s="2"/>
      <c r="T150" s="2"/>
      <c r="U150" s="2"/>
      <c r="V150" s="2"/>
      <c r="W150" s="2"/>
      <c r="X150" s="2"/>
    </row>
    <row r="151" spans="2:26" ht="18.75" thickBot="1" x14ac:dyDescent="0.3">
      <c r="B151" s="991"/>
      <c r="C151" s="5538" t="s">
        <v>3181</v>
      </c>
      <c r="D151" s="3401" t="s">
        <v>786</v>
      </c>
      <c r="E151" s="2976" t="s">
        <v>78</v>
      </c>
      <c r="F151" s="3357" t="s">
        <v>2895</v>
      </c>
      <c r="G151" s="3922"/>
      <c r="H151" s="3923"/>
      <c r="I151" s="3560"/>
      <c r="J151" s="2"/>
      <c r="K151" s="2"/>
      <c r="L151" s="2"/>
      <c r="M151" s="2"/>
      <c r="N151" s="2"/>
      <c r="O151" s="2"/>
      <c r="P151" s="2"/>
      <c r="Q151" s="2"/>
      <c r="R151" s="2"/>
      <c r="S151" s="2"/>
      <c r="T151" s="2"/>
      <c r="U151" s="2"/>
      <c r="V151" s="2"/>
      <c r="W151" s="2"/>
      <c r="X151" s="2"/>
      <c r="Z151" s="3739">
        <f>'Perf assessment'!U74</f>
        <v>0</v>
      </c>
    </row>
    <row r="152" spans="2:26" x14ac:dyDescent="0.25">
      <c r="B152" s="991"/>
      <c r="C152" s="388"/>
      <c r="D152" s="6421" t="s">
        <v>210</v>
      </c>
      <c r="E152" s="6422"/>
      <c r="F152" s="2974" t="s">
        <v>2263</v>
      </c>
      <c r="G152" s="3130" t="s">
        <v>207</v>
      </c>
      <c r="H152" s="3756"/>
      <c r="I152" s="3560"/>
      <c r="J152" s="2"/>
      <c r="K152" s="2"/>
      <c r="L152" s="2"/>
      <c r="M152" s="2"/>
      <c r="N152" s="2"/>
      <c r="O152" s="2"/>
      <c r="P152" s="2"/>
      <c r="Q152" s="2"/>
      <c r="R152" s="2"/>
      <c r="S152" s="2"/>
      <c r="T152" s="2"/>
      <c r="U152" s="2"/>
      <c r="V152" s="2"/>
      <c r="W152" s="2"/>
      <c r="X152" s="2"/>
    </row>
    <row r="153" spans="2:26" x14ac:dyDescent="0.25">
      <c r="B153" s="991"/>
      <c r="C153" s="388"/>
      <c r="D153" s="6429" t="s">
        <v>211</v>
      </c>
      <c r="E153" s="6430"/>
      <c r="F153" s="3304" t="s">
        <v>2264</v>
      </c>
      <c r="G153" s="3143" t="s">
        <v>3524</v>
      </c>
      <c r="H153" s="3248"/>
      <c r="I153" s="3560"/>
      <c r="J153" s="2"/>
      <c r="K153" s="2"/>
      <c r="L153" s="2"/>
      <c r="M153" s="2"/>
      <c r="N153" s="2"/>
      <c r="O153" s="2"/>
      <c r="P153" s="2"/>
      <c r="Q153" s="2"/>
      <c r="R153" s="2"/>
      <c r="S153" s="2"/>
      <c r="T153" s="2"/>
      <c r="U153" s="2"/>
      <c r="V153" s="2"/>
      <c r="W153" s="2"/>
      <c r="X153" s="2"/>
    </row>
    <row r="154" spans="2:26" ht="15.75" thickBot="1" x14ac:dyDescent="0.3">
      <c r="B154" s="991"/>
      <c r="C154" s="388"/>
      <c r="D154" s="6432"/>
      <c r="E154" s="6433"/>
      <c r="F154" s="2975" t="s">
        <v>2265</v>
      </c>
      <c r="G154" s="3131" t="s">
        <v>1418</v>
      </c>
      <c r="H154" s="3237"/>
      <c r="I154" s="3560"/>
      <c r="J154" s="2"/>
      <c r="K154" s="2"/>
      <c r="L154" s="2"/>
      <c r="M154" s="2"/>
      <c r="N154" s="2"/>
      <c r="O154" s="2"/>
      <c r="P154" s="2"/>
      <c r="Q154" s="2"/>
      <c r="R154" s="2"/>
      <c r="S154" s="2"/>
      <c r="T154" s="2"/>
      <c r="U154" s="2"/>
      <c r="V154" s="2"/>
      <c r="W154" s="2"/>
      <c r="X154" s="2"/>
    </row>
    <row r="155" spans="2:26" ht="18.75" thickBot="1" x14ac:dyDescent="0.3">
      <c r="B155" s="991"/>
      <c r="C155" s="5538" t="s">
        <v>3182</v>
      </c>
      <c r="D155" s="3401" t="s">
        <v>786</v>
      </c>
      <c r="E155" s="2976" t="s">
        <v>78</v>
      </c>
      <c r="F155" s="3358" t="s">
        <v>1754</v>
      </c>
      <c r="G155" s="3927"/>
      <c r="H155" s="3932"/>
      <c r="I155" s="3560"/>
      <c r="J155" s="2"/>
      <c r="K155" s="2"/>
      <c r="L155" s="2"/>
      <c r="M155" s="2"/>
      <c r="N155" s="2"/>
      <c r="O155" s="2"/>
      <c r="P155" s="2"/>
      <c r="Q155" s="2"/>
      <c r="R155" s="2"/>
      <c r="S155" s="2"/>
      <c r="T155" s="2"/>
      <c r="U155" s="2"/>
      <c r="V155" s="2"/>
      <c r="W155" s="2"/>
      <c r="X155" s="2"/>
      <c r="Z155" s="3739" t="b">
        <f>'Perf assessment'!U75</f>
        <v>0</v>
      </c>
    </row>
    <row r="156" spans="2:26" x14ac:dyDescent="0.25">
      <c r="B156" s="991"/>
      <c r="C156" s="388"/>
      <c r="D156" s="6421" t="s">
        <v>210</v>
      </c>
      <c r="E156" s="6422"/>
      <c r="F156" s="2974" t="s">
        <v>2266</v>
      </c>
      <c r="G156" s="3130" t="s">
        <v>479</v>
      </c>
      <c r="H156" s="3767"/>
      <c r="I156" s="3560"/>
      <c r="J156" s="2"/>
      <c r="K156" s="2"/>
      <c r="L156" s="2"/>
      <c r="M156" s="2"/>
      <c r="N156" s="2"/>
      <c r="O156" s="2"/>
      <c r="P156" s="2"/>
      <c r="Q156" s="2"/>
      <c r="R156" s="2"/>
      <c r="S156" s="2"/>
      <c r="T156" s="2"/>
      <c r="U156" s="2"/>
      <c r="V156" s="2"/>
      <c r="W156" s="2"/>
      <c r="X156" s="2"/>
    </row>
    <row r="157" spans="2:26" ht="15.75" customHeight="1" x14ac:dyDescent="0.25">
      <c r="B157" s="991"/>
      <c r="C157" s="388"/>
      <c r="D157" s="6423" t="s">
        <v>211</v>
      </c>
      <c r="E157" s="6424"/>
      <c r="F157" s="3142" t="s">
        <v>3532</v>
      </c>
      <c r="G157" s="3143" t="s">
        <v>3520</v>
      </c>
      <c r="H157" s="3248"/>
      <c r="I157" s="3560"/>
      <c r="J157" s="2"/>
      <c r="K157" s="2"/>
      <c r="L157" s="2"/>
      <c r="M157" s="2"/>
      <c r="N157" s="2"/>
      <c r="O157" s="2"/>
      <c r="P157" s="2"/>
      <c r="Q157" s="2"/>
      <c r="R157" s="2"/>
      <c r="S157" s="2"/>
      <c r="T157" s="2"/>
      <c r="U157" s="2"/>
      <c r="V157" s="2"/>
      <c r="W157" s="2"/>
      <c r="X157" s="2"/>
    </row>
    <row r="158" spans="2:26" ht="15.75" thickBot="1" x14ac:dyDescent="0.3">
      <c r="B158" s="991"/>
      <c r="C158" s="388"/>
      <c r="D158" s="6440"/>
      <c r="E158" s="6441"/>
      <c r="F158" s="2975" t="s">
        <v>2267</v>
      </c>
      <c r="G158" s="3253" t="s">
        <v>3520</v>
      </c>
      <c r="H158" s="3773"/>
      <c r="I158" s="3560"/>
      <c r="J158" s="2"/>
      <c r="K158" s="2"/>
      <c r="L158" s="2"/>
      <c r="M158" s="2"/>
      <c r="N158" s="2"/>
      <c r="O158" s="2"/>
      <c r="P158" s="2"/>
      <c r="Q158" s="2"/>
      <c r="R158" s="2"/>
      <c r="S158" s="2"/>
      <c r="T158" s="2"/>
      <c r="U158" s="2"/>
      <c r="V158" s="2"/>
      <c r="W158" s="2"/>
      <c r="X158" s="2"/>
    </row>
    <row r="159" spans="2:26" ht="18.75" thickBot="1" x14ac:dyDescent="0.3">
      <c r="B159" s="991"/>
      <c r="C159" s="5538" t="s">
        <v>3183</v>
      </c>
      <c r="D159" s="5759" t="s">
        <v>786</v>
      </c>
      <c r="E159" s="2976" t="s">
        <v>78</v>
      </c>
      <c r="F159" s="5758" t="s">
        <v>1988</v>
      </c>
      <c r="G159" s="3935"/>
      <c r="H159" s="3929"/>
      <c r="I159" s="3560"/>
      <c r="J159" s="2"/>
      <c r="K159" s="2"/>
      <c r="L159" s="2"/>
      <c r="M159" s="2"/>
      <c r="N159" s="2"/>
      <c r="O159" s="2"/>
      <c r="P159" s="2"/>
      <c r="Q159" s="2"/>
      <c r="R159" s="2"/>
      <c r="S159" s="2"/>
      <c r="T159" s="2"/>
      <c r="U159" s="2"/>
      <c r="V159" s="2"/>
      <c r="W159" s="2"/>
      <c r="X159" s="2"/>
      <c r="Z159" s="3739">
        <f>'Perf assessment'!U76</f>
        <v>0</v>
      </c>
    </row>
    <row r="160" spans="2:26" ht="15.75" thickBot="1" x14ac:dyDescent="0.3">
      <c r="B160" s="991"/>
      <c r="C160" s="388"/>
      <c r="D160" s="6421" t="s">
        <v>211</v>
      </c>
      <c r="E160" s="6422"/>
      <c r="F160" s="3263" t="s">
        <v>3530</v>
      </c>
      <c r="G160" s="3143" t="s">
        <v>3520</v>
      </c>
      <c r="H160" s="5746"/>
      <c r="I160" s="3560"/>
      <c r="J160" s="2"/>
      <c r="K160" s="2"/>
      <c r="L160" s="2"/>
      <c r="M160" s="2"/>
      <c r="N160" s="2"/>
      <c r="O160" s="2"/>
      <c r="P160" s="2"/>
      <c r="Q160" s="2"/>
      <c r="R160" s="2"/>
      <c r="S160" s="2"/>
      <c r="T160" s="2"/>
      <c r="U160" s="2"/>
      <c r="V160" s="2"/>
      <c r="W160" s="2"/>
      <c r="X160" s="2"/>
    </row>
    <row r="161" spans="2:26" ht="18.75" thickBot="1" x14ac:dyDescent="0.3">
      <c r="B161" s="991"/>
      <c r="C161" s="5538" t="s">
        <v>3184</v>
      </c>
      <c r="D161" s="3401" t="s">
        <v>786</v>
      </c>
      <c r="E161" s="2976" t="s">
        <v>78</v>
      </c>
      <c r="F161" s="3359" t="s">
        <v>1543</v>
      </c>
      <c r="G161" s="3922"/>
      <c r="H161" s="3923"/>
      <c r="I161" s="3560"/>
      <c r="J161" s="2"/>
      <c r="K161" s="406"/>
      <c r="L161" s="406"/>
      <c r="M161" s="2"/>
      <c r="N161" s="2"/>
      <c r="O161" s="2"/>
      <c r="P161" s="2"/>
      <c r="Q161" s="2"/>
      <c r="R161" s="2"/>
      <c r="S161" s="2"/>
      <c r="T161" s="2"/>
      <c r="U161" s="2"/>
      <c r="V161" s="2"/>
      <c r="W161" s="2"/>
      <c r="X161" s="2"/>
      <c r="Z161" s="3739">
        <f>'Perf assessment'!U77</f>
        <v>0</v>
      </c>
    </row>
    <row r="162" spans="2:26" x14ac:dyDescent="0.25">
      <c r="B162" s="991"/>
      <c r="C162" s="388"/>
      <c r="D162" s="6421" t="s">
        <v>210</v>
      </c>
      <c r="E162" s="6422"/>
      <c r="F162" s="2974" t="s">
        <v>2216</v>
      </c>
      <c r="G162" s="3130" t="s">
        <v>479</v>
      </c>
      <c r="H162" s="3767"/>
      <c r="I162" s="3560"/>
      <c r="J162" s="2"/>
      <c r="K162" s="406"/>
      <c r="L162" s="406"/>
      <c r="M162" s="2"/>
      <c r="N162" s="2"/>
      <c r="O162" s="2"/>
      <c r="P162" s="2"/>
      <c r="Q162" s="2"/>
      <c r="R162" s="2"/>
      <c r="S162" s="2"/>
      <c r="T162" s="2"/>
      <c r="U162" s="2"/>
      <c r="V162" s="2"/>
      <c r="W162" s="2"/>
      <c r="X162" s="2"/>
    </row>
    <row r="163" spans="2:26" ht="15.75" customHeight="1" x14ac:dyDescent="0.25">
      <c r="B163" s="991"/>
      <c r="C163" s="388"/>
      <c r="D163" s="6423" t="s">
        <v>211</v>
      </c>
      <c r="E163" s="6424"/>
      <c r="F163" s="3142" t="s">
        <v>2268</v>
      </c>
      <c r="G163" s="3143" t="s">
        <v>3520</v>
      </c>
      <c r="H163" s="3248"/>
      <c r="I163" s="3560"/>
      <c r="J163" s="2"/>
      <c r="K163" s="2"/>
      <c r="L163" s="2"/>
      <c r="M163" s="2"/>
      <c r="N163" s="2"/>
      <c r="O163" s="2"/>
      <c r="P163" s="2"/>
      <c r="Q163" s="2"/>
      <c r="R163" s="2"/>
      <c r="S163" s="2"/>
      <c r="T163" s="2"/>
      <c r="U163" s="2"/>
      <c r="V163" s="2"/>
      <c r="W163" s="2"/>
      <c r="X163" s="2"/>
    </row>
    <row r="164" spans="2:26" x14ac:dyDescent="0.25">
      <c r="B164" s="2"/>
      <c r="C164" s="388"/>
      <c r="D164" s="6440"/>
      <c r="E164" s="6441"/>
      <c r="F164" s="3281" t="s">
        <v>2269</v>
      </c>
      <c r="G164" s="3282" t="s">
        <v>3520</v>
      </c>
      <c r="H164" s="3773"/>
      <c r="I164" s="3560"/>
      <c r="J164" s="2"/>
      <c r="K164" s="2"/>
      <c r="L164" s="2"/>
      <c r="M164" s="2"/>
      <c r="N164" s="2"/>
      <c r="O164" s="2"/>
      <c r="P164" s="2"/>
      <c r="Q164" s="2"/>
      <c r="R164" s="2"/>
      <c r="S164" s="2"/>
      <c r="T164" s="2"/>
      <c r="U164" s="2"/>
      <c r="V164" s="2"/>
      <c r="W164" s="2"/>
      <c r="X164" s="2"/>
    </row>
    <row r="165" spans="2:26" x14ac:dyDescent="0.25">
      <c r="B165" s="991"/>
      <c r="C165" s="388"/>
      <c r="D165" s="1140"/>
      <c r="E165" s="392"/>
      <c r="F165" s="401"/>
      <c r="G165" s="401"/>
      <c r="H165" s="401"/>
      <c r="I165" s="388"/>
      <c r="J165" s="2"/>
      <c r="K165" s="406"/>
      <c r="L165" s="406"/>
      <c r="M165" s="2"/>
      <c r="N165" s="2"/>
      <c r="O165" s="2"/>
      <c r="P165" s="2"/>
      <c r="Q165" s="2"/>
      <c r="R165" s="2"/>
      <c r="S165" s="2"/>
      <c r="T165" s="2"/>
      <c r="U165" s="2"/>
      <c r="V165" s="2"/>
      <c r="W165" s="2"/>
      <c r="X165" s="2"/>
    </row>
    <row r="166" spans="2:26" x14ac:dyDescent="0.25">
      <c r="B166" s="991"/>
      <c r="C166" s="991"/>
      <c r="D166" s="1139"/>
      <c r="E166" s="402"/>
      <c r="F166" s="57"/>
      <c r="G166" s="57"/>
      <c r="H166" s="57"/>
      <c r="I166" s="991"/>
      <c r="J166" s="2"/>
      <c r="K166" s="406"/>
      <c r="L166" s="406"/>
      <c r="M166" s="2"/>
      <c r="N166" s="2"/>
      <c r="O166" s="2"/>
      <c r="P166" s="2"/>
      <c r="Q166" s="2"/>
      <c r="R166" s="2"/>
      <c r="S166" s="2"/>
      <c r="T166" s="2"/>
      <c r="U166" s="2"/>
      <c r="V166" s="2"/>
      <c r="W166" s="2"/>
      <c r="X166" s="2"/>
    </row>
    <row r="167" spans="2:26" ht="21.75" thickBot="1" x14ac:dyDescent="0.3">
      <c r="B167" s="991"/>
      <c r="C167" s="388"/>
      <c r="D167" s="399"/>
      <c r="E167" s="399">
        <v>2</v>
      </c>
      <c r="F167" s="6431" t="s">
        <v>1984</v>
      </c>
      <c r="G167" s="6431"/>
      <c r="H167" s="6431"/>
      <c r="I167" s="390"/>
      <c r="J167" s="2"/>
      <c r="K167" s="406"/>
      <c r="L167" s="406"/>
      <c r="M167" s="2"/>
      <c r="N167" s="2"/>
      <c r="O167" s="2"/>
      <c r="P167" s="2"/>
      <c r="Q167" s="2"/>
      <c r="R167" s="2"/>
      <c r="S167" s="2"/>
      <c r="T167" s="2"/>
      <c r="U167" s="2"/>
      <c r="V167" s="2"/>
      <c r="W167" s="2"/>
      <c r="X167" s="2"/>
    </row>
    <row r="168" spans="2:26" ht="18.75" thickBot="1" x14ac:dyDescent="0.3">
      <c r="B168" s="991"/>
      <c r="C168" s="5538" t="s">
        <v>3185</v>
      </c>
      <c r="D168" s="3401" t="s">
        <v>786</v>
      </c>
      <c r="E168" s="2976" t="s">
        <v>78</v>
      </c>
      <c r="F168" s="6488" t="s">
        <v>1738</v>
      </c>
      <c r="G168" s="6489"/>
      <c r="H168" s="6490"/>
      <c r="I168" s="5904"/>
      <c r="J168" s="991"/>
      <c r="K168" s="2"/>
      <c r="L168" s="2"/>
      <c r="M168" s="2"/>
      <c r="N168" s="2"/>
      <c r="O168" s="2"/>
      <c r="P168" s="2"/>
      <c r="Q168" s="2"/>
      <c r="R168" s="2"/>
      <c r="S168" s="2"/>
      <c r="T168" s="2"/>
      <c r="U168" s="2"/>
      <c r="V168" s="2"/>
      <c r="W168" s="2"/>
      <c r="X168" s="2"/>
      <c r="Z168" s="3739" t="b">
        <f>'Perf assessment'!U79</f>
        <v>0</v>
      </c>
    </row>
    <row r="169" spans="2:26" ht="18.75" thickBot="1" x14ac:dyDescent="0.3">
      <c r="B169" s="991"/>
      <c r="C169" s="5538" t="s">
        <v>3186</v>
      </c>
      <c r="D169" s="3401" t="s">
        <v>786</v>
      </c>
      <c r="E169" s="2976" t="s">
        <v>78</v>
      </c>
      <c r="F169" s="6447" t="s">
        <v>1554</v>
      </c>
      <c r="G169" s="6448"/>
      <c r="H169" s="6449"/>
      <c r="I169" s="5904"/>
      <c r="J169" s="2"/>
      <c r="K169" s="2"/>
      <c r="L169" s="2"/>
      <c r="M169" s="2"/>
      <c r="N169" s="2"/>
      <c r="O169" s="2"/>
      <c r="P169" s="2"/>
      <c r="Q169" s="2"/>
      <c r="R169" s="2"/>
      <c r="S169" s="2"/>
      <c r="T169" s="2"/>
      <c r="U169" s="2"/>
      <c r="V169" s="2"/>
      <c r="W169" s="2"/>
      <c r="X169" s="2"/>
      <c r="Z169" s="3739" t="b">
        <f>'Perf assessment'!U80</f>
        <v>0</v>
      </c>
    </row>
    <row r="170" spans="2:26" ht="18.75" thickBot="1" x14ac:dyDescent="0.3">
      <c r="B170" s="991"/>
      <c r="C170" s="5538" t="s">
        <v>3187</v>
      </c>
      <c r="D170" s="3401" t="s">
        <v>786</v>
      </c>
      <c r="E170" s="2976" t="s">
        <v>78</v>
      </c>
      <c r="F170" s="6488" t="s">
        <v>1737</v>
      </c>
      <c r="G170" s="6489"/>
      <c r="H170" s="6490"/>
      <c r="I170" s="3560"/>
      <c r="J170" s="2"/>
      <c r="K170" s="2"/>
      <c r="L170" s="2"/>
      <c r="M170" s="2"/>
      <c r="N170" s="2"/>
      <c r="O170" s="2"/>
      <c r="P170" s="2"/>
      <c r="Q170" s="2"/>
      <c r="R170" s="2"/>
      <c r="S170" s="2"/>
      <c r="T170" s="2"/>
      <c r="U170" s="2"/>
      <c r="V170" s="2"/>
      <c r="W170" s="2"/>
      <c r="X170" s="2"/>
      <c r="Z170" s="3739" t="b">
        <f>'Perf assessment'!U81</f>
        <v>0</v>
      </c>
    </row>
    <row r="171" spans="2:26" ht="15.75" x14ac:dyDescent="0.25">
      <c r="B171" s="991"/>
      <c r="C171" s="388"/>
      <c r="D171" s="415"/>
      <c r="E171" s="388"/>
      <c r="F171" s="388"/>
      <c r="G171" s="388"/>
      <c r="H171" s="388"/>
      <c r="I171" s="390"/>
      <c r="J171" s="2"/>
      <c r="K171" s="2"/>
      <c r="L171" s="2"/>
      <c r="M171" s="2"/>
      <c r="N171" s="2"/>
      <c r="O171" s="2"/>
      <c r="P171" s="2"/>
      <c r="Q171" s="2"/>
      <c r="R171" s="2"/>
      <c r="S171" s="2"/>
      <c r="T171" s="2"/>
      <c r="U171" s="2"/>
      <c r="V171" s="2"/>
      <c r="W171" s="2"/>
      <c r="X171" s="2"/>
    </row>
    <row r="172" spans="2:26" ht="15.75" x14ac:dyDescent="0.3">
      <c r="B172" s="991"/>
      <c r="C172" s="389"/>
      <c r="D172" s="389"/>
      <c r="E172" s="389"/>
      <c r="F172" s="389"/>
      <c r="G172" s="389"/>
      <c r="H172" s="389"/>
      <c r="I172" s="389"/>
      <c r="J172" s="2"/>
      <c r="K172" s="2"/>
      <c r="L172" s="2"/>
      <c r="M172" s="2"/>
      <c r="N172" s="2"/>
      <c r="O172" s="2"/>
      <c r="P172" s="2"/>
      <c r="Q172" s="2"/>
      <c r="R172" s="2"/>
      <c r="S172" s="2"/>
      <c r="T172" s="2"/>
      <c r="U172" s="2"/>
      <c r="V172" s="2"/>
      <c r="W172" s="2"/>
      <c r="X172" s="2"/>
    </row>
    <row r="173" spans="2:26" ht="21.75" thickBot="1" x14ac:dyDescent="0.3">
      <c r="B173" s="991"/>
      <c r="C173" s="388"/>
      <c r="D173" s="399"/>
      <c r="E173" s="399">
        <v>3</v>
      </c>
      <c r="F173" s="6431" t="s">
        <v>1044</v>
      </c>
      <c r="G173" s="6431"/>
      <c r="H173" s="6431"/>
      <c r="I173" s="388"/>
      <c r="J173" s="2"/>
      <c r="K173" s="2"/>
      <c r="L173" s="2"/>
      <c r="M173" s="2"/>
      <c r="N173" s="2"/>
      <c r="O173" s="2"/>
      <c r="P173" s="2"/>
      <c r="Q173" s="2"/>
      <c r="R173" s="2"/>
      <c r="S173" s="2"/>
      <c r="T173" s="2"/>
      <c r="U173" s="2"/>
      <c r="V173" s="2"/>
      <c r="W173" s="2"/>
      <c r="X173" s="2"/>
    </row>
    <row r="174" spans="2:26" ht="18.75" customHeight="1" thickBot="1" x14ac:dyDescent="0.3">
      <c r="B174" s="991"/>
      <c r="C174" s="5538" t="s">
        <v>3188</v>
      </c>
      <c r="D174" s="3401" t="s">
        <v>786</v>
      </c>
      <c r="E174" s="2976" t="s">
        <v>78</v>
      </c>
      <c r="F174" s="3349" t="s">
        <v>1753</v>
      </c>
      <c r="G174" s="3922"/>
      <c r="H174" s="3923"/>
      <c r="I174" s="3560"/>
      <c r="J174" s="2"/>
      <c r="K174" s="2"/>
      <c r="L174" s="2"/>
      <c r="M174" s="2"/>
      <c r="N174" s="2"/>
      <c r="O174" s="2"/>
      <c r="P174" s="2"/>
      <c r="Q174" s="2"/>
      <c r="R174" s="2"/>
      <c r="S174" s="2"/>
      <c r="T174" s="2"/>
      <c r="U174" s="2"/>
      <c r="V174" s="2"/>
      <c r="W174" s="2"/>
      <c r="X174" s="2"/>
      <c r="Z174" s="3739">
        <f>'Perf assessment'!U83</f>
        <v>0</v>
      </c>
    </row>
    <row r="175" spans="2:26" x14ac:dyDescent="0.25">
      <c r="B175" s="991"/>
      <c r="C175" s="388"/>
      <c r="D175" s="6421" t="s">
        <v>82</v>
      </c>
      <c r="E175" s="6422"/>
      <c r="F175" s="2974" t="s">
        <v>2270</v>
      </c>
      <c r="G175" s="3130" t="s">
        <v>18</v>
      </c>
      <c r="H175" s="3290">
        <f>'WSS Profile'!$G$56</f>
        <v>0</v>
      </c>
      <c r="I175" s="3560"/>
      <c r="J175" s="2"/>
      <c r="K175" s="2"/>
      <c r="L175" s="2"/>
      <c r="M175" s="2"/>
      <c r="N175" s="2"/>
      <c r="O175" s="2"/>
      <c r="P175" s="2"/>
      <c r="Q175" s="2"/>
      <c r="R175" s="2"/>
      <c r="S175" s="2"/>
      <c r="T175" s="2"/>
      <c r="U175" s="2"/>
      <c r="V175" s="2"/>
      <c r="W175" s="2"/>
      <c r="X175" s="2"/>
    </row>
    <row r="176" spans="2:26" x14ac:dyDescent="0.25">
      <c r="B176" s="991"/>
      <c r="C176" s="388"/>
      <c r="D176" s="6453" t="s">
        <v>210</v>
      </c>
      <c r="E176" s="6454"/>
      <c r="F176" s="3279" t="s">
        <v>2271</v>
      </c>
      <c r="G176" s="3280" t="s">
        <v>18</v>
      </c>
      <c r="H176" s="3217"/>
      <c r="I176" s="3560"/>
      <c r="J176" s="2"/>
      <c r="K176" s="2"/>
      <c r="L176" s="2"/>
      <c r="M176" s="2"/>
      <c r="N176" s="2"/>
      <c r="O176" s="2"/>
      <c r="P176" s="2"/>
      <c r="Q176" s="2"/>
      <c r="R176" s="2"/>
      <c r="S176" s="2"/>
      <c r="T176" s="2"/>
      <c r="U176" s="2"/>
      <c r="V176" s="2"/>
      <c r="W176" s="2"/>
      <c r="X176" s="2"/>
    </row>
    <row r="177" spans="2:26" ht="15.75" thickBot="1" x14ac:dyDescent="0.3">
      <c r="B177" s="991"/>
      <c r="C177" s="388"/>
      <c r="D177" s="6421" t="s">
        <v>211</v>
      </c>
      <c r="E177" s="6422"/>
      <c r="F177" s="2975" t="s">
        <v>3525</v>
      </c>
      <c r="G177" s="3131" t="s">
        <v>3520</v>
      </c>
      <c r="H177" s="5747"/>
      <c r="I177" s="3560"/>
      <c r="J177" s="2"/>
      <c r="K177" s="2"/>
      <c r="L177" s="2"/>
      <c r="M177" s="2"/>
      <c r="N177" s="2"/>
      <c r="O177" s="2"/>
      <c r="P177" s="2"/>
      <c r="Q177" s="2"/>
      <c r="R177" s="2"/>
      <c r="S177" s="2"/>
      <c r="T177" s="2"/>
      <c r="U177" s="2"/>
      <c r="V177" s="2"/>
      <c r="W177" s="2"/>
      <c r="X177" s="2"/>
    </row>
    <row r="178" spans="2:26" ht="18.75" thickBot="1" x14ac:dyDescent="0.3">
      <c r="B178" s="991"/>
      <c r="C178" s="5538" t="s">
        <v>3189</v>
      </c>
      <c r="D178" s="3401" t="s">
        <v>786</v>
      </c>
      <c r="E178" s="2976" t="s">
        <v>78</v>
      </c>
      <c r="F178" s="3359" t="s">
        <v>1752</v>
      </c>
      <c r="G178" s="3922"/>
      <c r="H178" s="3923"/>
      <c r="I178" s="3560"/>
      <c r="J178" s="2"/>
      <c r="K178" s="2"/>
      <c r="L178" s="2"/>
      <c r="M178" s="2"/>
      <c r="N178" s="2"/>
      <c r="O178" s="2"/>
      <c r="P178" s="2"/>
      <c r="Q178" s="2"/>
      <c r="R178" s="2"/>
      <c r="S178" s="2"/>
      <c r="T178" s="2"/>
      <c r="U178" s="2"/>
      <c r="V178" s="2"/>
      <c r="W178" s="2"/>
      <c r="X178" s="2"/>
      <c r="Z178" s="3739" t="b">
        <f>'Perf assessment'!U84</f>
        <v>0</v>
      </c>
    </row>
    <row r="179" spans="2:26" x14ac:dyDescent="0.25">
      <c r="B179" s="991"/>
      <c r="C179" s="388"/>
      <c r="D179" s="6421" t="s">
        <v>82</v>
      </c>
      <c r="E179" s="6422"/>
      <c r="F179" s="2974" t="s">
        <v>2273</v>
      </c>
      <c r="G179" s="3130" t="s">
        <v>18</v>
      </c>
      <c r="H179" s="3290">
        <f>'WSS Profile'!$G$63</f>
        <v>0</v>
      </c>
      <c r="I179" s="3560"/>
      <c r="J179" s="2"/>
      <c r="K179" s="2"/>
      <c r="L179" s="2"/>
      <c r="M179" s="2"/>
      <c r="N179" s="2"/>
      <c r="O179" s="2"/>
      <c r="P179" s="2"/>
      <c r="Q179" s="2"/>
      <c r="R179" s="2"/>
      <c r="S179" s="2"/>
      <c r="T179" s="2"/>
      <c r="U179" s="2"/>
      <c r="V179" s="2"/>
      <c r="W179" s="2"/>
      <c r="X179" s="2"/>
    </row>
    <row r="180" spans="2:26" x14ac:dyDescent="0.25">
      <c r="B180" s="991"/>
      <c r="C180" s="388"/>
      <c r="D180" s="6453" t="s">
        <v>210</v>
      </c>
      <c r="E180" s="6454"/>
      <c r="F180" s="3279" t="s">
        <v>2274</v>
      </c>
      <c r="G180" s="3280" t="s">
        <v>18</v>
      </c>
      <c r="H180" s="3217"/>
      <c r="I180" s="3560"/>
      <c r="J180" s="2"/>
      <c r="K180" s="2"/>
      <c r="L180" s="2"/>
      <c r="M180" s="2"/>
      <c r="N180" s="2"/>
      <c r="O180" s="2"/>
      <c r="P180" s="2"/>
      <c r="Q180" s="2"/>
      <c r="R180" s="2"/>
      <c r="S180" s="2"/>
      <c r="T180" s="2"/>
      <c r="U180" s="2"/>
      <c r="V180" s="2"/>
      <c r="W180" s="2"/>
      <c r="X180" s="2"/>
    </row>
    <row r="181" spans="2:26" ht="15.75" thickBot="1" x14ac:dyDescent="0.3">
      <c r="B181" s="991"/>
      <c r="C181" s="388"/>
      <c r="D181" s="6421" t="s">
        <v>211</v>
      </c>
      <c r="E181" s="6422"/>
      <c r="F181" s="2975" t="s">
        <v>3531</v>
      </c>
      <c r="G181" s="3131" t="s">
        <v>3520</v>
      </c>
      <c r="H181" s="5747"/>
      <c r="I181" s="3560"/>
      <c r="J181" s="2"/>
      <c r="K181" s="2"/>
      <c r="L181" s="2"/>
      <c r="M181" s="2"/>
      <c r="N181" s="2"/>
      <c r="O181" s="2"/>
      <c r="P181" s="2"/>
      <c r="Q181" s="2"/>
      <c r="R181" s="2"/>
      <c r="S181" s="2"/>
      <c r="T181" s="2"/>
      <c r="U181" s="2"/>
      <c r="V181" s="2"/>
      <c r="W181" s="2"/>
      <c r="X181" s="2"/>
    </row>
    <row r="182" spans="2:26" ht="18" customHeight="1" thickBot="1" x14ac:dyDescent="0.3">
      <c r="B182" s="991"/>
      <c r="C182" s="5538" t="s">
        <v>3190</v>
      </c>
      <c r="D182" s="3401" t="s">
        <v>786</v>
      </c>
      <c r="E182" s="2976" t="s">
        <v>78</v>
      </c>
      <c r="F182" s="3349" t="s">
        <v>1751</v>
      </c>
      <c r="G182" s="3922"/>
      <c r="H182" s="3923"/>
      <c r="I182" s="3560"/>
      <c r="J182" s="2"/>
      <c r="K182" s="2"/>
      <c r="L182" s="2"/>
      <c r="M182" s="2"/>
      <c r="N182" s="2"/>
      <c r="O182" s="2"/>
      <c r="P182" s="2"/>
      <c r="Q182" s="2"/>
      <c r="R182" s="2"/>
      <c r="S182" s="2"/>
      <c r="T182" s="2"/>
      <c r="U182" s="2"/>
      <c r="V182" s="2"/>
      <c r="W182" s="2"/>
      <c r="X182" s="2"/>
      <c r="Z182" s="3739" t="b">
        <f>'Perf assessment'!U85</f>
        <v>0</v>
      </c>
    </row>
    <row r="183" spans="2:26" x14ac:dyDescent="0.25">
      <c r="B183" s="991"/>
      <c r="C183" s="388"/>
      <c r="D183" s="6421" t="s">
        <v>82</v>
      </c>
      <c r="E183" s="6422"/>
      <c r="F183" s="2974" t="s">
        <v>2270</v>
      </c>
      <c r="G183" s="3130" t="s">
        <v>18</v>
      </c>
      <c r="H183" s="3290">
        <f>'WSS Profile'!$G$76</f>
        <v>0</v>
      </c>
      <c r="I183" s="3560"/>
      <c r="J183" s="2"/>
      <c r="K183" s="2"/>
      <c r="L183" s="2"/>
      <c r="M183" s="2"/>
      <c r="N183" s="2"/>
      <c r="O183" s="2"/>
      <c r="P183" s="2"/>
      <c r="Q183" s="2"/>
      <c r="R183" s="2"/>
      <c r="S183" s="2"/>
      <c r="T183" s="2"/>
      <c r="U183" s="2"/>
      <c r="V183" s="2"/>
      <c r="W183" s="2"/>
      <c r="X183" s="2"/>
    </row>
    <row r="184" spans="2:26" x14ac:dyDescent="0.25">
      <c r="B184" s="991"/>
      <c r="C184" s="388"/>
      <c r="D184" s="6453" t="s">
        <v>210</v>
      </c>
      <c r="E184" s="6454"/>
      <c r="F184" s="3279" t="s">
        <v>2271</v>
      </c>
      <c r="G184" s="3280" t="s">
        <v>18</v>
      </c>
      <c r="H184" s="3217"/>
      <c r="I184" s="3560"/>
      <c r="J184" s="2"/>
      <c r="K184" s="2"/>
      <c r="L184" s="60"/>
      <c r="M184" s="60"/>
      <c r="N184" s="60"/>
      <c r="O184" s="2"/>
      <c r="P184" s="2"/>
      <c r="Q184" s="2"/>
      <c r="R184" s="2"/>
      <c r="S184" s="2"/>
      <c r="T184" s="2"/>
      <c r="U184" s="2"/>
      <c r="V184" s="2"/>
      <c r="W184" s="2"/>
      <c r="X184" s="2"/>
    </row>
    <row r="185" spans="2:26" x14ac:dyDescent="0.25">
      <c r="B185" s="991"/>
      <c r="C185" s="388"/>
      <c r="D185" s="6432" t="s">
        <v>211</v>
      </c>
      <c r="E185" s="6433"/>
      <c r="F185" s="2975" t="s">
        <v>2272</v>
      </c>
      <c r="G185" s="3131" t="s">
        <v>3520</v>
      </c>
      <c r="H185" s="5747"/>
      <c r="I185" s="3560"/>
      <c r="J185" s="2"/>
      <c r="K185" s="2"/>
      <c r="L185" s="2"/>
      <c r="M185" s="2"/>
      <c r="N185" s="2"/>
      <c r="O185" s="2"/>
      <c r="P185" s="2"/>
      <c r="Q185" s="2"/>
      <c r="R185" s="2"/>
      <c r="S185" s="2"/>
      <c r="T185" s="2"/>
      <c r="U185" s="2"/>
      <c r="V185" s="2"/>
      <c r="W185" s="2"/>
      <c r="X185" s="2"/>
    </row>
    <row r="186" spans="2:26" ht="16.5" customHeight="1" x14ac:dyDescent="0.25">
      <c r="B186" s="991"/>
      <c r="C186" s="388"/>
      <c r="D186" s="6463"/>
      <c r="E186" s="6464"/>
      <c r="F186" s="6448" t="s">
        <v>1750</v>
      </c>
      <c r="G186" s="6448"/>
      <c r="H186" s="6449"/>
      <c r="I186" s="3560"/>
      <c r="J186" s="2"/>
      <c r="K186" s="2"/>
      <c r="L186" s="2"/>
      <c r="M186" s="2"/>
      <c r="N186" s="2"/>
      <c r="O186" s="2"/>
      <c r="P186" s="2"/>
      <c r="Q186" s="2"/>
      <c r="R186" s="2"/>
      <c r="S186" s="2"/>
      <c r="T186" s="2"/>
      <c r="U186" s="2"/>
      <c r="V186" s="2"/>
      <c r="W186" s="2"/>
      <c r="X186" s="2"/>
    </row>
    <row r="187" spans="2:26" x14ac:dyDescent="0.25">
      <c r="B187" s="991"/>
      <c r="C187" s="388"/>
      <c r="D187" s="6442" t="s">
        <v>82</v>
      </c>
      <c r="E187" s="6491"/>
      <c r="F187" s="2957" t="s">
        <v>2275</v>
      </c>
      <c r="G187" s="3130" t="s">
        <v>18</v>
      </c>
      <c r="H187" s="3310">
        <f>'WSS Profile'!$G$146</f>
        <v>0</v>
      </c>
      <c r="I187" s="3560"/>
      <c r="J187" s="2"/>
      <c r="K187" s="2"/>
      <c r="L187" s="2"/>
      <c r="M187" s="2"/>
      <c r="N187" s="2"/>
      <c r="O187" s="2"/>
      <c r="P187" s="2"/>
      <c r="Q187" s="2"/>
      <c r="R187" s="2"/>
      <c r="S187" s="2"/>
      <c r="T187" s="2"/>
      <c r="U187" s="2"/>
      <c r="V187" s="2"/>
      <c r="W187" s="2"/>
      <c r="X187" s="2"/>
    </row>
    <row r="188" spans="2:26" ht="31.5" customHeight="1" thickBot="1" x14ac:dyDescent="0.3">
      <c r="B188" s="991"/>
      <c r="C188" s="388"/>
      <c r="D188" s="6455"/>
      <c r="E188" s="6456"/>
      <c r="F188" s="2975" t="s">
        <v>2276</v>
      </c>
      <c r="G188" s="2962" t="s">
        <v>18</v>
      </c>
      <c r="H188" s="3311">
        <f>$H$187-((IF($E$195="Activate",$H$196,0))+(IF($E$198="Activate",$H$200,0))+(IF($E$189="Activate",$H$190,0))+(IF($E$192="Activate",$H$193,0)))</f>
        <v>0</v>
      </c>
      <c r="I188" s="3560"/>
      <c r="J188" s="2"/>
      <c r="K188" s="2"/>
      <c r="L188" s="60"/>
      <c r="M188" s="60"/>
      <c r="N188" s="60"/>
      <c r="O188" s="2"/>
      <c r="P188" s="2"/>
      <c r="Q188" s="2"/>
      <c r="R188" s="2"/>
      <c r="S188" s="2"/>
      <c r="T188" s="2"/>
      <c r="U188" s="2"/>
      <c r="V188" s="2"/>
      <c r="W188" s="2"/>
      <c r="X188" s="2"/>
    </row>
    <row r="189" spans="2:26" ht="18.75" thickBot="1" x14ac:dyDescent="0.3">
      <c r="B189" s="991"/>
      <c r="C189" s="5538" t="s">
        <v>3191</v>
      </c>
      <c r="D189" s="3401" t="s">
        <v>786</v>
      </c>
      <c r="E189" s="3356" t="s">
        <v>78</v>
      </c>
      <c r="F189" s="3355" t="s">
        <v>1716</v>
      </c>
      <c r="G189" s="3926"/>
      <c r="H189" s="3923"/>
      <c r="I189" s="3560"/>
      <c r="J189" s="2"/>
      <c r="K189" s="2"/>
      <c r="L189" s="2"/>
      <c r="M189" s="2"/>
      <c r="N189" s="2"/>
      <c r="O189" s="2"/>
      <c r="P189" s="2"/>
      <c r="Q189" s="2"/>
      <c r="R189" s="2"/>
      <c r="S189" s="2"/>
      <c r="T189" s="2"/>
      <c r="U189" s="2"/>
      <c r="V189" s="2"/>
      <c r="W189" s="2"/>
      <c r="X189" s="2"/>
      <c r="Z189" s="3739">
        <f>'Perf assessment'!U86</f>
        <v>0</v>
      </c>
    </row>
    <row r="190" spans="2:26" ht="30.75" customHeight="1" x14ac:dyDescent="0.25">
      <c r="B190" s="991"/>
      <c r="C190" s="388"/>
      <c r="D190" s="6421" t="s">
        <v>210</v>
      </c>
      <c r="E190" s="6422"/>
      <c r="F190" s="2974" t="s">
        <v>2277</v>
      </c>
      <c r="G190" s="3216" t="s">
        <v>18</v>
      </c>
      <c r="H190" s="3777"/>
      <c r="I190" s="3560"/>
      <c r="J190" s="2"/>
      <c r="K190" s="2"/>
      <c r="L190" s="2"/>
      <c r="M190" s="2"/>
      <c r="N190" s="2"/>
      <c r="O190" s="2"/>
      <c r="P190" s="2"/>
      <c r="Q190" s="2"/>
      <c r="R190" s="2"/>
      <c r="S190" s="2"/>
      <c r="T190" s="2"/>
      <c r="U190" s="2"/>
      <c r="V190" s="2"/>
      <c r="W190" s="2"/>
      <c r="X190" s="2"/>
    </row>
    <row r="191" spans="2:26" ht="15.75" thickBot="1" x14ac:dyDescent="0.3">
      <c r="B191" s="991"/>
      <c r="C191" s="388"/>
      <c r="D191" s="6429" t="s">
        <v>211</v>
      </c>
      <c r="E191" s="6430"/>
      <c r="F191" s="3281" t="s">
        <v>2278</v>
      </c>
      <c r="G191" s="3131" t="s">
        <v>3520</v>
      </c>
      <c r="H191" s="5748"/>
      <c r="I191" s="3560"/>
      <c r="J191" s="2"/>
      <c r="K191" s="2"/>
      <c r="L191" s="2"/>
      <c r="M191" s="2"/>
      <c r="N191" s="2"/>
      <c r="O191" s="2"/>
      <c r="P191" s="2"/>
      <c r="Q191" s="2"/>
      <c r="R191" s="2"/>
      <c r="S191" s="2"/>
      <c r="T191" s="2"/>
      <c r="U191" s="2"/>
      <c r="V191" s="2"/>
      <c r="W191" s="2"/>
      <c r="X191" s="2"/>
    </row>
    <row r="192" spans="2:26" ht="18.75" thickBot="1" x14ac:dyDescent="0.3">
      <c r="B192" s="991"/>
      <c r="C192" s="5538" t="s">
        <v>3192</v>
      </c>
      <c r="D192" s="3401" t="s">
        <v>786</v>
      </c>
      <c r="E192" s="3356" t="s">
        <v>78</v>
      </c>
      <c r="F192" s="3355" t="s">
        <v>1544</v>
      </c>
      <c r="G192" s="3926"/>
      <c r="H192" s="3923"/>
      <c r="I192" s="3560"/>
      <c r="J192" s="2"/>
      <c r="K192" s="2"/>
      <c r="L192" s="2"/>
      <c r="M192" s="2"/>
      <c r="N192" s="2"/>
      <c r="O192" s="2"/>
      <c r="P192" s="2"/>
      <c r="Q192" s="2"/>
      <c r="R192" s="2"/>
      <c r="S192" s="2"/>
      <c r="T192" s="2"/>
      <c r="U192" s="2"/>
      <c r="V192" s="2"/>
      <c r="W192" s="2"/>
      <c r="X192" s="2"/>
      <c r="Z192" s="3739" t="b">
        <f>'Perf assessment'!U87</f>
        <v>0</v>
      </c>
    </row>
    <row r="193" spans="1:26" ht="30" x14ac:dyDescent="0.25">
      <c r="B193" s="991"/>
      <c r="C193" s="388"/>
      <c r="D193" s="6421" t="s">
        <v>210</v>
      </c>
      <c r="E193" s="6422"/>
      <c r="F193" s="3029" t="s">
        <v>2279</v>
      </c>
      <c r="G193" s="3216" t="s">
        <v>18</v>
      </c>
      <c r="H193" s="3777"/>
      <c r="I193" s="3560"/>
      <c r="J193" s="2"/>
      <c r="K193" s="2"/>
      <c r="L193" s="60"/>
      <c r="M193" s="60"/>
      <c r="N193" s="60"/>
      <c r="O193" s="2"/>
      <c r="P193" s="2"/>
      <c r="Q193" s="2"/>
      <c r="R193" s="2"/>
      <c r="S193" s="2"/>
      <c r="T193" s="2"/>
      <c r="U193" s="2"/>
      <c r="V193" s="2"/>
      <c r="W193" s="2"/>
      <c r="X193" s="2"/>
    </row>
    <row r="194" spans="1:26" ht="15.75" thickBot="1" x14ac:dyDescent="0.3">
      <c r="B194" s="991"/>
      <c r="C194" s="388"/>
      <c r="D194" s="6429" t="s">
        <v>211</v>
      </c>
      <c r="E194" s="6430"/>
      <c r="F194" s="3281" t="s">
        <v>2278</v>
      </c>
      <c r="G194" s="3131" t="s">
        <v>3520</v>
      </c>
      <c r="H194" s="5749"/>
      <c r="I194" s="3560"/>
      <c r="J194" s="2"/>
      <c r="K194" s="2"/>
      <c r="L194" s="2"/>
      <c r="M194" s="2"/>
      <c r="N194" s="2"/>
      <c r="O194" s="2"/>
      <c r="P194" s="2"/>
      <c r="Q194" s="2"/>
      <c r="R194" s="2"/>
      <c r="S194" s="2"/>
      <c r="T194" s="2"/>
      <c r="U194" s="2"/>
      <c r="V194" s="2"/>
      <c r="W194" s="2"/>
      <c r="X194" s="2"/>
    </row>
    <row r="195" spans="1:26" ht="18.75" thickBot="1" x14ac:dyDescent="0.3">
      <c r="B195" s="991"/>
      <c r="C195" s="5538" t="s">
        <v>3193</v>
      </c>
      <c r="D195" s="3401" t="s">
        <v>786</v>
      </c>
      <c r="E195" s="3356" t="s">
        <v>78</v>
      </c>
      <c r="F195" s="3355" t="s">
        <v>1545</v>
      </c>
      <c r="G195" s="3926"/>
      <c r="H195" s="3923"/>
      <c r="I195" s="3560"/>
      <c r="J195" s="2"/>
      <c r="K195" s="2"/>
      <c r="L195" s="2"/>
      <c r="M195" s="2"/>
      <c r="N195" s="2"/>
      <c r="O195" s="2"/>
      <c r="P195" s="2"/>
      <c r="Q195" s="2"/>
      <c r="R195" s="2"/>
      <c r="S195" s="2"/>
      <c r="T195" s="2"/>
      <c r="U195" s="2"/>
      <c r="V195" s="2"/>
      <c r="W195" s="2"/>
      <c r="X195" s="2"/>
      <c r="Z195" s="3739" t="b">
        <f>'Perf assessment'!U88</f>
        <v>0</v>
      </c>
    </row>
    <row r="196" spans="1:26" ht="30" x14ac:dyDescent="0.25">
      <c r="B196" s="991"/>
      <c r="C196" s="388"/>
      <c r="D196" s="6421" t="s">
        <v>210</v>
      </c>
      <c r="E196" s="6422"/>
      <c r="F196" s="2974" t="s">
        <v>2280</v>
      </c>
      <c r="G196" s="3216" t="s">
        <v>18</v>
      </c>
      <c r="H196" s="3777"/>
      <c r="I196" s="3560"/>
      <c r="J196" s="2"/>
      <c r="K196" s="2"/>
      <c r="L196" s="2"/>
      <c r="M196" s="2"/>
      <c r="N196" s="2"/>
      <c r="O196" s="2"/>
      <c r="P196" s="2"/>
      <c r="Q196" s="2"/>
      <c r="R196" s="2"/>
      <c r="S196" s="2"/>
      <c r="T196" s="2"/>
      <c r="U196" s="2"/>
      <c r="V196" s="2"/>
      <c r="W196" s="2"/>
      <c r="X196" s="2"/>
    </row>
    <row r="197" spans="1:26" ht="15.75" thickBot="1" x14ac:dyDescent="0.3">
      <c r="B197" s="991"/>
      <c r="C197" s="388"/>
      <c r="D197" s="6429" t="s">
        <v>211</v>
      </c>
      <c r="E197" s="6430"/>
      <c r="F197" s="3281" t="s">
        <v>2281</v>
      </c>
      <c r="G197" s="3131" t="s">
        <v>3520</v>
      </c>
      <c r="H197" s="5749"/>
      <c r="I197" s="3560"/>
      <c r="J197" s="2"/>
      <c r="K197" s="2"/>
      <c r="L197" s="2"/>
      <c r="M197" s="2"/>
      <c r="N197" s="2"/>
      <c r="O197" s="2"/>
      <c r="P197" s="2"/>
      <c r="Q197" s="2"/>
      <c r="R197" s="2"/>
      <c r="S197" s="2"/>
      <c r="T197" s="2"/>
      <c r="U197" s="2"/>
      <c r="V197" s="2"/>
      <c r="W197" s="2"/>
      <c r="X197" s="2"/>
    </row>
    <row r="198" spans="1:26" ht="18.75" thickBot="1" x14ac:dyDescent="0.3">
      <c r="B198" s="991"/>
      <c r="C198" s="5538" t="s">
        <v>3194</v>
      </c>
      <c r="D198" s="3401" t="s">
        <v>786</v>
      </c>
      <c r="E198" s="3356" t="s">
        <v>78</v>
      </c>
      <c r="F198" s="3355" t="s">
        <v>63</v>
      </c>
      <c r="G198" s="3926"/>
      <c r="H198" s="3923"/>
      <c r="I198" s="3560"/>
      <c r="J198" s="2"/>
      <c r="K198" s="2"/>
      <c r="L198" s="2"/>
      <c r="M198" s="2"/>
      <c r="N198" s="2"/>
      <c r="O198" s="2"/>
      <c r="P198" s="2"/>
      <c r="Q198" s="2"/>
      <c r="R198" s="2"/>
      <c r="S198" s="2"/>
      <c r="T198" s="2"/>
      <c r="U198" s="2"/>
      <c r="V198" s="2"/>
      <c r="W198" s="2"/>
      <c r="X198" s="2"/>
      <c r="Z198" s="3739" t="b">
        <f>'Perf assessment'!U89</f>
        <v>0</v>
      </c>
    </row>
    <row r="199" spans="1:26" x14ac:dyDescent="0.25">
      <c r="B199" s="991"/>
      <c r="C199" s="388"/>
      <c r="D199" s="6421" t="s">
        <v>210</v>
      </c>
      <c r="E199" s="6422"/>
      <c r="F199" s="3029" t="s">
        <v>2282</v>
      </c>
      <c r="G199" s="3113" t="s">
        <v>207</v>
      </c>
      <c r="H199" s="3778"/>
      <c r="I199" s="3560"/>
      <c r="J199" s="2"/>
      <c r="K199" s="2"/>
      <c r="L199" s="2"/>
      <c r="M199" s="2"/>
      <c r="N199" s="2"/>
      <c r="O199" s="2"/>
      <c r="P199" s="2"/>
      <c r="Q199" s="2"/>
      <c r="R199" s="2"/>
      <c r="S199" s="2"/>
      <c r="T199" s="2"/>
      <c r="U199" s="2"/>
      <c r="V199" s="2"/>
      <c r="W199" s="2"/>
      <c r="X199" s="2"/>
    </row>
    <row r="200" spans="1:26" ht="30" x14ac:dyDescent="0.25">
      <c r="B200" s="991"/>
      <c r="C200" s="388"/>
      <c r="D200" s="6421"/>
      <c r="E200" s="6422"/>
      <c r="F200" s="3279" t="s">
        <v>2283</v>
      </c>
      <c r="G200" s="3216" t="s">
        <v>18</v>
      </c>
      <c r="H200" s="3779"/>
      <c r="I200" s="3560"/>
      <c r="J200" s="2"/>
      <c r="K200" s="2"/>
      <c r="L200" s="2"/>
      <c r="M200" s="2"/>
      <c r="N200" s="2"/>
      <c r="O200" s="2"/>
      <c r="P200" s="2"/>
      <c r="Q200" s="2"/>
      <c r="R200" s="2"/>
      <c r="S200" s="2"/>
      <c r="T200" s="2"/>
      <c r="U200" s="2"/>
      <c r="V200" s="2"/>
      <c r="W200" s="2"/>
      <c r="X200" s="2"/>
    </row>
    <row r="201" spans="1:26" ht="15.75" customHeight="1" thickBot="1" x14ac:dyDescent="0.3">
      <c r="B201" s="991"/>
      <c r="C201" s="388"/>
      <c r="D201" s="6423" t="s">
        <v>211</v>
      </c>
      <c r="E201" s="6424"/>
      <c r="F201" s="3309" t="s">
        <v>2284</v>
      </c>
      <c r="G201" s="3282" t="s">
        <v>3526</v>
      </c>
      <c r="H201" s="3773"/>
      <c r="I201" s="3560"/>
      <c r="J201" s="2"/>
      <c r="K201" s="2"/>
      <c r="L201" s="2"/>
      <c r="M201" s="2"/>
      <c r="N201" s="2"/>
      <c r="O201" s="2"/>
      <c r="P201" s="2"/>
      <c r="Q201" s="2"/>
      <c r="R201" s="2"/>
      <c r="S201" s="2"/>
      <c r="T201" s="2"/>
      <c r="U201" s="2"/>
      <c r="V201" s="2"/>
      <c r="W201" s="2"/>
      <c r="X201" s="2"/>
    </row>
    <row r="202" spans="1:26" ht="18.75" thickBot="1" x14ac:dyDescent="0.3">
      <c r="B202" s="991"/>
      <c r="C202" s="5538" t="s">
        <v>3195</v>
      </c>
      <c r="D202" s="3401" t="s">
        <v>786</v>
      </c>
      <c r="E202" s="2976" t="s">
        <v>78</v>
      </c>
      <c r="F202" s="3352" t="s">
        <v>1749</v>
      </c>
      <c r="G202" s="3922"/>
      <c r="H202" s="3923"/>
      <c r="I202" s="3560"/>
      <c r="J202" s="886"/>
      <c r="K202" s="2"/>
      <c r="L202" s="2"/>
      <c r="M202" s="2"/>
      <c r="N202" s="2"/>
      <c r="O202" s="2"/>
      <c r="P202" s="2"/>
      <c r="Q202" s="2"/>
      <c r="R202" s="2"/>
      <c r="S202" s="2"/>
      <c r="T202" s="2"/>
      <c r="U202" s="2"/>
      <c r="V202" s="2"/>
      <c r="W202" s="2"/>
      <c r="X202" s="2"/>
      <c r="Z202" s="3739">
        <f>'Perf assessment'!U90</f>
        <v>0</v>
      </c>
    </row>
    <row r="203" spans="1:26" s="484" customFormat="1" ht="14.25" customHeight="1" x14ac:dyDescent="0.25">
      <c r="A203" s="482"/>
      <c r="B203" s="991"/>
      <c r="C203" s="388"/>
      <c r="D203" s="6421" t="s">
        <v>82</v>
      </c>
      <c r="E203" s="6422"/>
      <c r="F203" s="2974" t="s">
        <v>2285</v>
      </c>
      <c r="G203" s="3130" t="s">
        <v>207</v>
      </c>
      <c r="H203" s="3269">
        <f>'WSS Profile'!$F$113</f>
        <v>0</v>
      </c>
      <c r="I203" s="3560"/>
      <c r="J203" s="352"/>
      <c r="K203" s="352"/>
      <c r="L203" s="352"/>
      <c r="M203" s="352"/>
      <c r="N203" s="352"/>
      <c r="O203" s="352"/>
      <c r="P203" s="352"/>
      <c r="Q203" s="352"/>
      <c r="R203" s="352"/>
      <c r="S203" s="352"/>
      <c r="T203" s="352"/>
      <c r="U203" s="352"/>
      <c r="V203" s="352"/>
      <c r="W203" s="352"/>
      <c r="X203" s="352"/>
      <c r="Y203" s="482"/>
      <c r="Z203" s="2393"/>
    </row>
    <row r="204" spans="1:26" ht="30" x14ac:dyDescent="0.25">
      <c r="B204" s="991"/>
      <c r="C204" s="388"/>
      <c r="D204" s="6421"/>
      <c r="E204" s="6422"/>
      <c r="F204" s="3110" t="s">
        <v>2286</v>
      </c>
      <c r="G204" s="3111" t="s">
        <v>18</v>
      </c>
      <c r="H204" s="3308">
        <f>IFERROR(H203/('WSS Profile'!$F$115-'WSS Profile'!$F$114),0)</f>
        <v>0</v>
      </c>
      <c r="I204" s="3560"/>
      <c r="J204" s="2"/>
      <c r="K204" s="2"/>
      <c r="L204" s="2"/>
      <c r="M204" s="2"/>
      <c r="N204" s="2"/>
      <c r="O204" s="2"/>
      <c r="P204" s="2"/>
      <c r="Q204" s="2"/>
      <c r="R204" s="2"/>
      <c r="S204" s="2"/>
      <c r="T204" s="2"/>
      <c r="U204" s="2"/>
      <c r="V204" s="2"/>
      <c r="W204" s="2"/>
      <c r="X204" s="2"/>
    </row>
    <row r="205" spans="1:26" ht="15.75" thickBot="1" x14ac:dyDescent="0.3">
      <c r="B205" s="991"/>
      <c r="C205" s="388"/>
      <c r="D205" s="6486" t="s">
        <v>210</v>
      </c>
      <c r="E205" s="6487"/>
      <c r="F205" s="3281" t="s">
        <v>2287</v>
      </c>
      <c r="G205" s="3299" t="s">
        <v>18</v>
      </c>
      <c r="H205" s="3780"/>
      <c r="I205" s="3560"/>
      <c r="J205" s="2"/>
      <c r="K205" s="2"/>
      <c r="L205" s="2"/>
      <c r="M205" s="2"/>
      <c r="N205" s="2"/>
      <c r="O205" s="2"/>
      <c r="P205" s="2"/>
      <c r="Q205" s="2"/>
      <c r="R205" s="2"/>
      <c r="S205" s="2"/>
      <c r="T205" s="2"/>
      <c r="U205" s="2"/>
      <c r="V205" s="2"/>
      <c r="W205" s="2"/>
      <c r="X205" s="2"/>
    </row>
    <row r="206" spans="1:26" ht="18.75" thickBot="1" x14ac:dyDescent="0.3">
      <c r="B206" s="991"/>
      <c r="C206" s="5538" t="s">
        <v>3196</v>
      </c>
      <c r="D206" s="3401" t="s">
        <v>786</v>
      </c>
      <c r="E206" s="2976" t="s">
        <v>78</v>
      </c>
      <c r="F206" s="3349" t="s">
        <v>1748</v>
      </c>
      <c r="G206" s="3922"/>
      <c r="H206" s="3923"/>
      <c r="I206" s="3560"/>
      <c r="J206" s="2"/>
      <c r="K206" s="2"/>
      <c r="L206" s="2"/>
      <c r="M206" s="2"/>
      <c r="N206" s="2"/>
      <c r="O206" s="2"/>
      <c r="P206" s="2"/>
      <c r="Q206" s="2"/>
      <c r="R206" s="2"/>
      <c r="S206" s="2"/>
      <c r="T206" s="2"/>
      <c r="U206" s="2"/>
      <c r="V206" s="2"/>
      <c r="W206" s="2"/>
      <c r="X206" s="2"/>
      <c r="Z206" s="3739">
        <f>'Perf assessment'!U91</f>
        <v>0</v>
      </c>
    </row>
    <row r="207" spans="1:26" ht="25.5" x14ac:dyDescent="0.25">
      <c r="B207" s="991"/>
      <c r="C207" s="388"/>
      <c r="D207" s="6511" t="s">
        <v>210</v>
      </c>
      <c r="E207" s="6512"/>
      <c r="F207" s="5315" t="s">
        <v>212</v>
      </c>
      <c r="G207" s="5313" t="s">
        <v>1025</v>
      </c>
      <c r="H207" s="5314" t="s">
        <v>590</v>
      </c>
      <c r="I207" s="3560"/>
      <c r="J207" s="2"/>
      <c r="K207" s="2"/>
      <c r="L207" s="2"/>
      <c r="M207" s="2"/>
      <c r="N207" s="2"/>
      <c r="O207" s="2"/>
      <c r="P207" s="2"/>
      <c r="Q207" s="2"/>
      <c r="R207" s="2"/>
      <c r="S207" s="2"/>
      <c r="T207" s="2"/>
      <c r="U207" s="2"/>
      <c r="V207" s="2"/>
      <c r="W207" s="2"/>
      <c r="X207" s="2"/>
    </row>
    <row r="208" spans="1:26" x14ac:dyDescent="0.25">
      <c r="B208" s="991"/>
      <c r="C208" s="388"/>
      <c r="D208" s="6511"/>
      <c r="E208" s="6512"/>
      <c r="F208" s="3270" t="s">
        <v>2288</v>
      </c>
      <c r="G208" s="3305">
        <f>SUM('WSS Profile'!F120:F123)-SUM('WSS Profile'!G120:G123)</f>
        <v>0</v>
      </c>
      <c r="H208" s="3781"/>
      <c r="I208" s="3560"/>
      <c r="J208" s="2"/>
      <c r="K208" s="2"/>
      <c r="L208" s="2"/>
      <c r="M208" s="2"/>
      <c r="N208" s="2"/>
      <c r="O208" s="2"/>
      <c r="P208" s="2"/>
      <c r="Q208" s="2"/>
      <c r="R208" s="2"/>
      <c r="S208" s="2"/>
      <c r="T208" s="2"/>
      <c r="U208" s="2"/>
      <c r="V208" s="2"/>
      <c r="W208" s="2"/>
      <c r="X208" s="2"/>
    </row>
    <row r="209" spans="1:26" x14ac:dyDescent="0.25">
      <c r="B209" s="991"/>
      <c r="C209" s="388"/>
      <c r="D209" s="6511"/>
      <c r="E209" s="6512"/>
      <c r="F209" s="3271" t="s">
        <v>2289</v>
      </c>
      <c r="G209" s="3305">
        <f>SUM('WSS Profile'!F125:F128)-SUM('WSS Profile'!G125:G128)</f>
        <v>0</v>
      </c>
      <c r="H209" s="3781"/>
      <c r="I209" s="3560"/>
      <c r="J209" s="2"/>
      <c r="K209" s="2"/>
      <c r="L209" s="2"/>
      <c r="M209" s="2"/>
      <c r="N209" s="2"/>
      <c r="O209" s="2"/>
      <c r="P209" s="2"/>
      <c r="Q209" s="2"/>
      <c r="R209" s="2"/>
      <c r="S209" s="2"/>
      <c r="T209" s="2"/>
      <c r="U209" s="2"/>
      <c r="V209" s="2"/>
      <c r="W209" s="2"/>
      <c r="X209" s="2"/>
    </row>
    <row r="210" spans="1:26" x14ac:dyDescent="0.25">
      <c r="B210" s="991"/>
      <c r="C210" s="388"/>
      <c r="D210" s="6511"/>
      <c r="E210" s="6512"/>
      <c r="F210" s="3271" t="s">
        <v>2290</v>
      </c>
      <c r="G210" s="3305">
        <f>SUM('WSS Profile'!F130:F133)-SUM('WSS Profile'!G130:G133)</f>
        <v>0</v>
      </c>
      <c r="H210" s="3781"/>
      <c r="I210" s="3560"/>
      <c r="J210" s="2"/>
      <c r="K210" s="2"/>
      <c r="L210" s="2"/>
      <c r="M210" s="2"/>
      <c r="N210" s="2"/>
      <c r="O210" s="2"/>
      <c r="P210" s="2"/>
      <c r="Q210" s="2"/>
      <c r="R210" s="2"/>
      <c r="S210" s="2"/>
      <c r="T210" s="2"/>
      <c r="U210" s="2"/>
      <c r="V210" s="2"/>
      <c r="W210" s="2"/>
      <c r="X210" s="2"/>
    </row>
    <row r="211" spans="1:26" x14ac:dyDescent="0.25">
      <c r="B211" s="991"/>
      <c r="C211" s="388"/>
      <c r="D211" s="6511"/>
      <c r="E211" s="6512"/>
      <c r="F211" s="3271" t="s">
        <v>2291</v>
      </c>
      <c r="G211" s="3305">
        <f>SUM('WSS Profile'!F135:F138)-SUM('WSS Profile'!G135:G138)</f>
        <v>0</v>
      </c>
      <c r="H211" s="3781"/>
      <c r="I211" s="3560"/>
      <c r="J211" s="2"/>
      <c r="K211" s="2"/>
      <c r="L211" s="2"/>
      <c r="M211" s="2"/>
      <c r="N211" s="2"/>
      <c r="O211" s="2"/>
      <c r="P211" s="2"/>
      <c r="Q211" s="2"/>
      <c r="R211" s="2"/>
      <c r="S211" s="2"/>
      <c r="T211" s="2"/>
      <c r="U211" s="2"/>
      <c r="V211" s="2"/>
      <c r="W211" s="2"/>
      <c r="X211" s="2"/>
    </row>
    <row r="212" spans="1:26" x14ac:dyDescent="0.25">
      <c r="B212" s="991"/>
      <c r="C212" s="388"/>
      <c r="D212" s="6511"/>
      <c r="E212" s="6512"/>
      <c r="F212" s="3271" t="s">
        <v>2292</v>
      </c>
      <c r="G212" s="3305">
        <f>'WSS Profile'!F140-'WSS Profile'!G140</f>
        <v>0</v>
      </c>
      <c r="H212" s="3781"/>
      <c r="I212" s="3560"/>
      <c r="J212" s="2"/>
      <c r="K212" s="2"/>
      <c r="L212" s="2"/>
      <c r="M212" s="2"/>
      <c r="N212" s="2"/>
      <c r="O212" s="2"/>
      <c r="P212" s="2"/>
      <c r="Q212" s="2"/>
      <c r="R212" s="2"/>
      <c r="S212" s="2"/>
      <c r="T212" s="2"/>
      <c r="U212" s="2"/>
      <c r="V212" s="2"/>
      <c r="W212" s="2"/>
      <c r="X212" s="2"/>
    </row>
    <row r="213" spans="1:26" ht="15" customHeight="1" x14ac:dyDescent="0.25">
      <c r="B213" s="991"/>
      <c r="C213" s="388"/>
      <c r="D213" s="6477" t="s">
        <v>211</v>
      </c>
      <c r="E213" s="6478"/>
      <c r="F213" s="3009" t="s">
        <v>2293</v>
      </c>
      <c r="G213" s="3306" t="s">
        <v>3524</v>
      </c>
      <c r="H213" s="3781"/>
      <c r="I213" s="3560"/>
      <c r="J213" s="2"/>
      <c r="K213" s="2"/>
      <c r="L213" s="2"/>
      <c r="M213" s="2"/>
      <c r="N213" s="2"/>
      <c r="O213" s="2"/>
      <c r="P213" s="2"/>
      <c r="Q213" s="2"/>
      <c r="R213" s="2"/>
      <c r="S213" s="2"/>
      <c r="T213" s="2"/>
      <c r="U213" s="2"/>
      <c r="V213" s="2"/>
      <c r="W213" s="2"/>
      <c r="X213" s="2"/>
    </row>
    <row r="214" spans="1:26" ht="15.75" thickBot="1" x14ac:dyDescent="0.3">
      <c r="B214" s="991"/>
      <c r="C214" s="388"/>
      <c r="D214" s="6479"/>
      <c r="E214" s="6480"/>
      <c r="F214" s="3008" t="s">
        <v>2776</v>
      </c>
      <c r="G214" s="3307" t="s">
        <v>18</v>
      </c>
      <c r="H214" s="3782"/>
      <c r="I214" s="3560"/>
      <c r="J214" s="2"/>
      <c r="K214" s="2"/>
      <c r="L214" s="2"/>
      <c r="M214" s="2"/>
      <c r="N214" s="2"/>
      <c r="O214" s="2"/>
      <c r="P214" s="2"/>
      <c r="Q214" s="2"/>
      <c r="R214" s="2"/>
      <c r="S214" s="2"/>
      <c r="T214" s="2"/>
      <c r="U214" s="2"/>
      <c r="V214" s="2"/>
      <c r="W214" s="2"/>
      <c r="X214" s="2"/>
    </row>
    <row r="215" spans="1:26" ht="18.75" customHeight="1" thickBot="1" x14ac:dyDescent="0.3">
      <c r="B215" s="991"/>
      <c r="C215" s="5538" t="s">
        <v>3197</v>
      </c>
      <c r="D215" s="3401" t="s">
        <v>786</v>
      </c>
      <c r="E215" s="2976" t="s">
        <v>78</v>
      </c>
      <c r="F215" s="3354" t="s">
        <v>1746</v>
      </c>
      <c r="G215" s="3925"/>
      <c r="H215" s="3930"/>
      <c r="I215" s="3560"/>
      <c r="J215" s="2"/>
      <c r="K215" s="2"/>
      <c r="L215" s="2"/>
      <c r="M215" s="2"/>
      <c r="N215" s="2"/>
      <c r="O215" s="2"/>
      <c r="P215" s="2"/>
      <c r="Q215" s="2"/>
      <c r="R215" s="2"/>
      <c r="S215" s="2"/>
      <c r="T215" s="2"/>
      <c r="U215" s="2"/>
      <c r="V215" s="2"/>
      <c r="W215" s="2"/>
      <c r="X215" s="2"/>
      <c r="Z215" s="3739" t="b">
        <f>'Perf assessment'!U92</f>
        <v>0</v>
      </c>
    </row>
    <row r="216" spans="1:26" ht="30" x14ac:dyDescent="0.25">
      <c r="B216" s="2"/>
      <c r="C216" s="388"/>
      <c r="D216" s="6421" t="s">
        <v>82</v>
      </c>
      <c r="E216" s="6422"/>
      <c r="F216" s="3286" t="s">
        <v>1717</v>
      </c>
      <c r="G216" s="3113" t="s">
        <v>18</v>
      </c>
      <c r="H216" s="3287">
        <f>IFERROR('WSS Profile'!$G$163/'WSS Profile'!$G$162,0)</f>
        <v>0</v>
      </c>
      <c r="I216" s="3560"/>
      <c r="J216" s="2"/>
      <c r="K216" s="2"/>
      <c r="L216" s="2"/>
      <c r="M216" s="2"/>
      <c r="N216" s="2"/>
      <c r="O216" s="2"/>
      <c r="P216" s="2"/>
      <c r="Q216" s="2"/>
      <c r="R216" s="2"/>
      <c r="S216" s="2"/>
      <c r="T216" s="2"/>
      <c r="U216" s="2"/>
      <c r="V216" s="2"/>
      <c r="W216" s="2"/>
      <c r="X216" s="2"/>
    </row>
    <row r="217" spans="1:26" s="485" customFormat="1" x14ac:dyDescent="0.25">
      <c r="A217" s="483"/>
      <c r="B217" s="404"/>
      <c r="C217" s="388"/>
      <c r="D217" s="6438" t="s">
        <v>210</v>
      </c>
      <c r="E217" s="6439"/>
      <c r="F217" s="3289" t="s">
        <v>1073</v>
      </c>
      <c r="G217" s="3213" t="s">
        <v>18</v>
      </c>
      <c r="H217" s="3221"/>
      <c r="I217" s="3560"/>
      <c r="J217" s="404"/>
      <c r="K217" s="404"/>
      <c r="L217" s="404"/>
      <c r="M217" s="404"/>
      <c r="N217" s="404"/>
      <c r="O217" s="404"/>
      <c r="P217" s="404"/>
      <c r="Q217" s="404"/>
      <c r="R217" s="404"/>
      <c r="S217" s="404"/>
      <c r="T217" s="404"/>
      <c r="U217" s="404"/>
      <c r="V217" s="404"/>
      <c r="W217" s="404"/>
      <c r="X217" s="404"/>
      <c r="Y217" s="483"/>
      <c r="Z217" s="3745"/>
    </row>
    <row r="218" spans="1:26" ht="30" x14ac:dyDescent="0.25">
      <c r="B218" s="2"/>
      <c r="C218" s="388"/>
      <c r="D218" s="6432" t="s">
        <v>211</v>
      </c>
      <c r="E218" s="6433"/>
      <c r="F218" s="3288" t="s">
        <v>3527</v>
      </c>
      <c r="G218" s="3112" t="s">
        <v>3520</v>
      </c>
      <c r="H218" s="3766"/>
      <c r="I218" s="3560"/>
      <c r="J218" s="2"/>
      <c r="K218" s="2"/>
      <c r="L218" s="2"/>
      <c r="M218" s="2"/>
      <c r="N218" s="2"/>
      <c r="O218" s="2"/>
      <c r="P218" s="2"/>
      <c r="Q218" s="2"/>
      <c r="R218" s="2"/>
      <c r="S218" s="2"/>
      <c r="T218" s="2"/>
      <c r="U218" s="2"/>
      <c r="V218" s="2"/>
      <c r="W218" s="2"/>
      <c r="X218" s="2"/>
    </row>
    <row r="219" spans="1:26" x14ac:dyDescent="0.25">
      <c r="B219" s="991"/>
      <c r="C219" s="388"/>
      <c r="D219" s="415"/>
      <c r="E219" s="388"/>
      <c r="F219" s="401"/>
      <c r="G219" s="401"/>
      <c r="H219" s="401"/>
      <c r="I219" s="388"/>
      <c r="J219" s="2"/>
      <c r="K219" s="2"/>
      <c r="L219" s="2"/>
      <c r="M219" s="2"/>
      <c r="N219" s="2"/>
      <c r="O219" s="2"/>
      <c r="P219" s="2"/>
      <c r="Q219" s="2"/>
      <c r="R219" s="2"/>
      <c r="S219" s="2"/>
      <c r="T219" s="2"/>
      <c r="U219" s="2"/>
      <c r="V219" s="2"/>
      <c r="W219" s="2"/>
      <c r="X219" s="2"/>
    </row>
    <row r="220" spans="1:26" x14ac:dyDescent="0.25">
      <c r="B220" s="991"/>
      <c r="C220" s="991"/>
      <c r="D220" s="413"/>
      <c r="E220" s="991"/>
      <c r="F220" s="57"/>
      <c r="G220" s="57"/>
      <c r="H220" s="57"/>
      <c r="I220" s="991"/>
      <c r="J220" s="2"/>
      <c r="K220" s="2"/>
      <c r="L220" s="2"/>
      <c r="M220" s="2"/>
      <c r="N220" s="2"/>
      <c r="O220" s="2"/>
      <c r="P220" s="2"/>
      <c r="Q220" s="2"/>
      <c r="R220" s="2"/>
      <c r="S220" s="2"/>
      <c r="T220" s="2"/>
      <c r="U220" s="2"/>
      <c r="V220" s="2"/>
      <c r="W220" s="2"/>
      <c r="X220" s="2"/>
    </row>
    <row r="221" spans="1:26" ht="21.75" thickBot="1" x14ac:dyDescent="0.3">
      <c r="B221" s="991"/>
      <c r="C221" s="388"/>
      <c r="D221" s="399"/>
      <c r="E221" s="399">
        <v>4</v>
      </c>
      <c r="F221" s="6483" t="s">
        <v>208</v>
      </c>
      <c r="G221" s="6483"/>
      <c r="H221" s="6483"/>
      <c r="I221" s="390"/>
      <c r="J221" s="2"/>
      <c r="K221" s="2"/>
      <c r="L221" s="2"/>
      <c r="M221" s="2"/>
      <c r="N221" s="2"/>
      <c r="O221" s="2"/>
      <c r="P221" s="2"/>
      <c r="Q221" s="2"/>
      <c r="R221" s="2"/>
      <c r="S221" s="2"/>
      <c r="T221" s="2"/>
      <c r="U221" s="2"/>
      <c r="V221" s="2"/>
      <c r="W221" s="2"/>
      <c r="X221" s="2"/>
    </row>
    <row r="222" spans="1:26" ht="18.75" thickBot="1" x14ac:dyDescent="0.3">
      <c r="B222" s="991"/>
      <c r="C222" s="5538" t="s">
        <v>3198</v>
      </c>
      <c r="D222" s="3401" t="s">
        <v>786</v>
      </c>
      <c r="E222" s="2976" t="s">
        <v>78</v>
      </c>
      <c r="F222" s="6447" t="s">
        <v>2102</v>
      </c>
      <c r="G222" s="6448"/>
      <c r="H222" s="6449"/>
      <c r="I222" s="5904"/>
      <c r="J222" s="2"/>
      <c r="K222" s="2"/>
      <c r="L222" s="2"/>
      <c r="M222" s="2"/>
      <c r="N222" s="2"/>
      <c r="O222" s="2"/>
      <c r="P222" s="2"/>
      <c r="Q222" s="2"/>
      <c r="R222" s="2"/>
      <c r="S222" s="2"/>
      <c r="T222" s="2"/>
      <c r="U222" s="2"/>
      <c r="V222" s="2"/>
      <c r="W222" s="2"/>
      <c r="X222" s="2"/>
      <c r="Z222" s="3739">
        <f>'Perf assessment'!U94</f>
        <v>0</v>
      </c>
    </row>
    <row r="223" spans="1:26" ht="15.75" x14ac:dyDescent="0.25">
      <c r="B223" s="991"/>
      <c r="C223" s="388"/>
      <c r="D223" s="6484"/>
      <c r="E223" s="6485"/>
      <c r="F223" s="3360" t="s">
        <v>1027</v>
      </c>
      <c r="G223" s="3927"/>
      <c r="H223" s="3932"/>
      <c r="I223" s="5904"/>
      <c r="J223" s="2"/>
      <c r="K223" s="2"/>
      <c r="L223" s="2"/>
      <c r="M223" s="2"/>
      <c r="N223" s="2"/>
      <c r="O223" s="2"/>
      <c r="P223" s="2"/>
      <c r="Q223" s="2"/>
      <c r="R223" s="2"/>
      <c r="S223" s="2"/>
      <c r="T223" s="2"/>
      <c r="U223" s="2"/>
      <c r="V223" s="2"/>
      <c r="W223" s="2"/>
      <c r="X223" s="2"/>
    </row>
    <row r="224" spans="1:26" s="918" customFormat="1" ht="15.75" x14ac:dyDescent="0.25">
      <c r="A224" s="921"/>
      <c r="B224" s="991"/>
      <c r="C224" s="388"/>
      <c r="D224" s="6442" t="s">
        <v>82</v>
      </c>
      <c r="E224" s="6443"/>
      <c r="F224" s="3218" t="s">
        <v>2295</v>
      </c>
      <c r="G224" s="3113" t="s">
        <v>207</v>
      </c>
      <c r="H224" s="3273">
        <f>SUM('WSS Profile'!F92:F95)</f>
        <v>0</v>
      </c>
      <c r="I224" s="5904"/>
      <c r="J224" s="991"/>
      <c r="K224" s="991"/>
      <c r="L224" s="991"/>
      <c r="M224" s="991"/>
      <c r="N224" s="991"/>
      <c r="O224" s="991"/>
      <c r="P224" s="991"/>
      <c r="Q224" s="991"/>
      <c r="R224" s="991"/>
      <c r="S224" s="991"/>
      <c r="T224" s="991"/>
      <c r="U224" s="991"/>
      <c r="V224" s="991"/>
      <c r="W224" s="991"/>
      <c r="X224" s="991"/>
      <c r="Y224" s="921"/>
      <c r="Z224" s="3739"/>
    </row>
    <row r="225" spans="1:26" ht="15.75" x14ac:dyDescent="0.25">
      <c r="B225" s="991"/>
      <c r="C225" s="388"/>
      <c r="D225" s="6421"/>
      <c r="E225" s="6422"/>
      <c r="F225" s="3206" t="s">
        <v>2296</v>
      </c>
      <c r="G225" s="3111" t="s">
        <v>18</v>
      </c>
      <c r="H225" s="1927">
        <f>IFERROR(SUM('WSS Profile'!$F$120:$F$123)/SUM('WSS Profile'!$F$92:$F$95),0)</f>
        <v>0</v>
      </c>
      <c r="I225" s="5904"/>
      <c r="J225" s="2"/>
      <c r="K225" s="2"/>
      <c r="L225" s="2"/>
      <c r="M225" s="2"/>
      <c r="N225" s="2"/>
      <c r="O225" s="2"/>
      <c r="P225" s="2"/>
      <c r="Q225" s="2"/>
      <c r="R225" s="2"/>
      <c r="S225" s="2"/>
      <c r="T225" s="2"/>
      <c r="U225" s="2"/>
      <c r="V225" s="2"/>
      <c r="W225" s="2"/>
      <c r="X225" s="2"/>
    </row>
    <row r="226" spans="1:26" ht="15.75" x14ac:dyDescent="0.25">
      <c r="B226" s="991"/>
      <c r="C226" s="388"/>
      <c r="D226" s="6453" t="s">
        <v>210</v>
      </c>
      <c r="E226" s="6454"/>
      <c r="F226" s="3284" t="s">
        <v>2297</v>
      </c>
      <c r="G226" s="3285" t="s">
        <v>18</v>
      </c>
      <c r="H226" s="3783"/>
      <c r="I226" s="5904"/>
      <c r="J226" s="2"/>
      <c r="K226" s="2"/>
      <c r="L226" s="2"/>
      <c r="M226" s="2"/>
      <c r="N226" s="2"/>
      <c r="O226" s="2"/>
      <c r="P226" s="2"/>
      <c r="Q226" s="2"/>
      <c r="R226" s="2"/>
      <c r="S226" s="2"/>
      <c r="T226" s="2"/>
      <c r="U226" s="2"/>
      <c r="V226" s="2"/>
      <c r="W226" s="2"/>
      <c r="X226" s="2"/>
    </row>
    <row r="227" spans="1:26" s="918" customFormat="1" ht="15.75" x14ac:dyDescent="0.25">
      <c r="A227" s="921"/>
      <c r="B227" s="991"/>
      <c r="C227" s="388"/>
      <c r="D227" s="6421" t="s">
        <v>211</v>
      </c>
      <c r="E227" s="6422"/>
      <c r="F227" s="3206" t="s">
        <v>2298</v>
      </c>
      <c r="G227" s="3274" t="s">
        <v>3524</v>
      </c>
      <c r="H227" s="3784"/>
      <c r="I227" s="5904"/>
      <c r="J227" s="991"/>
      <c r="K227" s="991"/>
      <c r="L227" s="991"/>
      <c r="M227" s="991"/>
      <c r="N227" s="991"/>
      <c r="O227" s="991"/>
      <c r="P227" s="991"/>
      <c r="Q227" s="991"/>
      <c r="R227" s="991"/>
      <c r="S227" s="991"/>
      <c r="T227" s="991"/>
      <c r="U227" s="991"/>
      <c r="V227" s="991"/>
      <c r="W227" s="991"/>
      <c r="X227" s="991"/>
      <c r="Y227" s="921"/>
      <c r="Z227" s="3739"/>
    </row>
    <row r="228" spans="1:26" ht="15.75" x14ac:dyDescent="0.25">
      <c r="B228" s="991"/>
      <c r="C228" s="388"/>
      <c r="D228" s="6432"/>
      <c r="E228" s="6433"/>
      <c r="F228" s="3207" t="s">
        <v>2778</v>
      </c>
      <c r="G228" s="3275" t="s">
        <v>18</v>
      </c>
      <c r="H228" s="3000"/>
      <c r="I228" s="5904"/>
      <c r="J228" s="2"/>
      <c r="K228" s="2"/>
      <c r="L228" s="2"/>
      <c r="M228" s="2"/>
      <c r="N228" s="2"/>
      <c r="O228" s="2"/>
      <c r="P228" s="2"/>
      <c r="Q228" s="2"/>
      <c r="R228" s="2"/>
      <c r="S228" s="2"/>
      <c r="T228" s="2"/>
      <c r="U228" s="2"/>
      <c r="V228" s="2"/>
      <c r="W228" s="2"/>
      <c r="X228" s="2"/>
    </row>
    <row r="229" spans="1:26" ht="15.75" x14ac:dyDescent="0.25">
      <c r="B229" s="991"/>
      <c r="C229" s="388"/>
      <c r="D229" s="6481"/>
      <c r="E229" s="6482"/>
      <c r="F229" s="3361" t="s">
        <v>1026</v>
      </c>
      <c r="G229" s="3935"/>
      <c r="H229" s="3929"/>
      <c r="I229" s="5904"/>
      <c r="J229" s="2"/>
      <c r="K229" s="2"/>
      <c r="L229" s="2"/>
      <c r="M229" s="2"/>
      <c r="N229" s="2"/>
      <c r="O229" s="2"/>
      <c r="P229" s="2"/>
      <c r="Q229" s="2"/>
      <c r="R229" s="2"/>
      <c r="S229" s="2"/>
      <c r="T229" s="2"/>
      <c r="U229" s="2"/>
      <c r="V229" s="2"/>
      <c r="W229" s="2"/>
      <c r="X229" s="2"/>
    </row>
    <row r="230" spans="1:26" s="918" customFormat="1" ht="15.75" x14ac:dyDescent="0.25">
      <c r="A230" s="921"/>
      <c r="B230" s="991"/>
      <c r="C230" s="388"/>
      <c r="D230" s="6442" t="s">
        <v>82</v>
      </c>
      <c r="E230" s="6443"/>
      <c r="F230" s="3218" t="s">
        <v>2299</v>
      </c>
      <c r="G230" s="3113" t="s">
        <v>207</v>
      </c>
      <c r="H230" s="3273">
        <f>SUM('WSS Profile'!F97:F100)</f>
        <v>0</v>
      </c>
      <c r="I230" s="5904"/>
      <c r="J230" s="991"/>
      <c r="K230" s="991"/>
      <c r="L230" s="991"/>
      <c r="M230" s="991"/>
      <c r="N230" s="991"/>
      <c r="O230" s="991"/>
      <c r="P230" s="991"/>
      <c r="Q230" s="991"/>
      <c r="R230" s="991"/>
      <c r="S230" s="991"/>
      <c r="T230" s="991"/>
      <c r="U230" s="991"/>
      <c r="V230" s="991"/>
      <c r="W230" s="991"/>
      <c r="X230" s="991"/>
      <c r="Y230" s="921"/>
      <c r="Z230" s="3739"/>
    </row>
    <row r="231" spans="1:26" ht="15.75" x14ac:dyDescent="0.25">
      <c r="B231" s="991"/>
      <c r="C231" s="388"/>
      <c r="D231" s="6421"/>
      <c r="E231" s="6422"/>
      <c r="F231" s="3206" t="s">
        <v>2296</v>
      </c>
      <c r="G231" s="3111" t="s">
        <v>18</v>
      </c>
      <c r="H231" s="1927">
        <f>IFERROR(SUM('WSS Profile'!$F$125:$F$128)/SUM('WSS Profile'!$F$97:$F$100),0)</f>
        <v>0</v>
      </c>
      <c r="I231" s="5904"/>
      <c r="J231" s="2"/>
      <c r="K231" s="2"/>
      <c r="L231" s="2"/>
      <c r="M231" s="2"/>
      <c r="N231" s="2"/>
      <c r="O231" s="2"/>
      <c r="P231" s="2"/>
      <c r="Q231" s="2"/>
      <c r="R231" s="2"/>
      <c r="S231" s="2"/>
      <c r="T231" s="2"/>
      <c r="U231" s="2"/>
      <c r="V231" s="2"/>
      <c r="W231" s="2"/>
      <c r="X231" s="2"/>
    </row>
    <row r="232" spans="1:26" ht="15.75" x14ac:dyDescent="0.25">
      <c r="B232" s="991"/>
      <c r="C232" s="388"/>
      <c r="D232" s="6453" t="s">
        <v>210</v>
      </c>
      <c r="E232" s="6454"/>
      <c r="F232" s="3284" t="s">
        <v>2297</v>
      </c>
      <c r="G232" s="3285" t="s">
        <v>18</v>
      </c>
      <c r="H232" s="3783"/>
      <c r="I232" s="5904"/>
      <c r="J232" s="2"/>
      <c r="K232" s="2"/>
      <c r="L232" s="2"/>
      <c r="M232" s="2"/>
      <c r="N232" s="2"/>
      <c r="O232" s="2"/>
      <c r="P232" s="2"/>
      <c r="Q232" s="2"/>
      <c r="R232" s="2"/>
      <c r="S232" s="2"/>
      <c r="T232" s="2"/>
      <c r="U232" s="2"/>
      <c r="V232" s="2"/>
      <c r="W232" s="2"/>
      <c r="X232" s="2"/>
    </row>
    <row r="233" spans="1:26" s="918" customFormat="1" ht="15.75" x14ac:dyDescent="0.25">
      <c r="A233" s="921"/>
      <c r="B233" s="991"/>
      <c r="C233" s="388"/>
      <c r="D233" s="6421" t="s">
        <v>211</v>
      </c>
      <c r="E233" s="6422"/>
      <c r="F233" s="3206" t="s">
        <v>2300</v>
      </c>
      <c r="G233" s="3274" t="s">
        <v>3524</v>
      </c>
      <c r="H233" s="3784"/>
      <c r="I233" s="5904"/>
      <c r="J233" s="991"/>
      <c r="K233" s="991"/>
      <c r="L233" s="991"/>
      <c r="M233" s="991"/>
      <c r="N233" s="991"/>
      <c r="O233" s="991"/>
      <c r="P233" s="991"/>
      <c r="Q233" s="991"/>
      <c r="R233" s="991"/>
      <c r="S233" s="991"/>
      <c r="T233" s="991"/>
      <c r="U233" s="991"/>
      <c r="V233" s="991"/>
      <c r="W233" s="991"/>
      <c r="X233" s="991"/>
      <c r="Y233" s="921"/>
      <c r="Z233" s="3739"/>
    </row>
    <row r="234" spans="1:26" ht="15.75" x14ac:dyDescent="0.25">
      <c r="B234" s="991"/>
      <c r="C234" s="388"/>
      <c r="D234" s="6432"/>
      <c r="E234" s="6433"/>
      <c r="F234" s="3207" t="s">
        <v>2778</v>
      </c>
      <c r="G234" s="3275" t="s">
        <v>18</v>
      </c>
      <c r="H234" s="3000"/>
      <c r="I234" s="5904"/>
      <c r="J234" s="2"/>
      <c r="K234" s="2"/>
      <c r="L234" s="2"/>
      <c r="M234" s="2"/>
      <c r="N234" s="2"/>
      <c r="O234" s="2"/>
      <c r="P234" s="2"/>
      <c r="Q234" s="2"/>
      <c r="R234" s="2"/>
      <c r="S234" s="2"/>
      <c r="T234" s="2"/>
      <c r="U234" s="2"/>
      <c r="V234" s="2"/>
      <c r="W234" s="2"/>
      <c r="X234" s="2"/>
    </row>
    <row r="235" spans="1:26" ht="15.75" x14ac:dyDescent="0.25">
      <c r="B235" s="991"/>
      <c r="C235" s="388"/>
      <c r="D235" s="6481"/>
      <c r="E235" s="6482"/>
      <c r="F235" s="3361" t="s">
        <v>1989</v>
      </c>
      <c r="G235" s="3935"/>
      <c r="H235" s="3929"/>
      <c r="I235" s="5904"/>
      <c r="J235" s="2"/>
      <c r="K235" s="2"/>
      <c r="L235" s="2"/>
      <c r="M235" s="2"/>
      <c r="N235" s="2"/>
      <c r="O235" s="2"/>
      <c r="P235" s="2"/>
      <c r="Q235" s="2"/>
      <c r="R235" s="2"/>
      <c r="S235" s="2"/>
      <c r="T235" s="2"/>
      <c r="U235" s="2"/>
      <c r="V235" s="2"/>
      <c r="W235" s="2"/>
      <c r="X235" s="2"/>
    </row>
    <row r="236" spans="1:26" s="918" customFormat="1" ht="15.75" x14ac:dyDescent="0.25">
      <c r="A236" s="921"/>
      <c r="B236" s="991"/>
      <c r="C236" s="388"/>
      <c r="D236" s="6442" t="s">
        <v>82</v>
      </c>
      <c r="E236" s="6443"/>
      <c r="F236" s="3218" t="s">
        <v>2301</v>
      </c>
      <c r="G236" s="3113" t="s">
        <v>207</v>
      </c>
      <c r="H236" s="3273">
        <f>SUM('WSS Profile'!F102:F105)</f>
        <v>0</v>
      </c>
      <c r="I236" s="5904"/>
      <c r="J236" s="991"/>
      <c r="K236" s="991"/>
      <c r="L236" s="991"/>
      <c r="M236" s="991"/>
      <c r="N236" s="991"/>
      <c r="O236" s="991"/>
      <c r="P236" s="991"/>
      <c r="Q236" s="991"/>
      <c r="R236" s="991"/>
      <c r="S236" s="991"/>
      <c r="T236" s="991"/>
      <c r="U236" s="991"/>
      <c r="V236" s="991"/>
      <c r="W236" s="991"/>
      <c r="X236" s="991"/>
      <c r="Y236" s="921"/>
      <c r="Z236" s="3739"/>
    </row>
    <row r="237" spans="1:26" ht="15.75" x14ac:dyDescent="0.25">
      <c r="B237" s="991"/>
      <c r="C237" s="388"/>
      <c r="D237" s="6421"/>
      <c r="E237" s="6422"/>
      <c r="F237" s="3206" t="s">
        <v>2296</v>
      </c>
      <c r="G237" s="3111" t="s">
        <v>18</v>
      </c>
      <c r="H237" s="1927">
        <f>IFERROR(SUM('WSS Profile'!$F$130:$F$133)/SUM('WSS Profile'!$F$102:$F$105),0)</f>
        <v>0</v>
      </c>
      <c r="I237" s="5904"/>
      <c r="J237" s="2"/>
      <c r="K237" s="2"/>
      <c r="L237" s="2"/>
      <c r="M237" s="2"/>
      <c r="N237" s="2"/>
      <c r="O237" s="2"/>
      <c r="P237" s="2"/>
      <c r="Q237" s="2"/>
      <c r="R237" s="2"/>
      <c r="S237" s="2"/>
      <c r="T237" s="2"/>
      <c r="U237" s="2"/>
      <c r="V237" s="2"/>
      <c r="W237" s="2"/>
      <c r="X237" s="2"/>
    </row>
    <row r="238" spans="1:26" ht="15.75" x14ac:dyDescent="0.25">
      <c r="B238" s="991"/>
      <c r="C238" s="388"/>
      <c r="D238" s="6453" t="s">
        <v>210</v>
      </c>
      <c r="E238" s="6454"/>
      <c r="F238" s="3284" t="s">
        <v>2297</v>
      </c>
      <c r="G238" s="3285" t="s">
        <v>18</v>
      </c>
      <c r="H238" s="3783"/>
      <c r="I238" s="5904"/>
      <c r="J238" s="2"/>
      <c r="K238" s="2"/>
      <c r="L238" s="2"/>
      <c r="M238" s="2"/>
      <c r="N238" s="2"/>
      <c r="O238" s="2"/>
      <c r="P238" s="2"/>
      <c r="Q238" s="2"/>
      <c r="R238" s="2"/>
      <c r="S238" s="2"/>
      <c r="T238" s="2"/>
      <c r="U238" s="2"/>
      <c r="V238" s="2"/>
      <c r="W238" s="2"/>
      <c r="X238" s="2"/>
    </row>
    <row r="239" spans="1:26" s="918" customFormat="1" ht="15.75" x14ac:dyDescent="0.25">
      <c r="A239" s="921"/>
      <c r="B239" s="991"/>
      <c r="C239" s="388"/>
      <c r="D239" s="6421" t="s">
        <v>211</v>
      </c>
      <c r="E239" s="6422"/>
      <c r="F239" s="3206" t="s">
        <v>2300</v>
      </c>
      <c r="G239" s="3274" t="s">
        <v>3524</v>
      </c>
      <c r="H239" s="3784"/>
      <c r="I239" s="5904"/>
      <c r="J239" s="991"/>
      <c r="K239" s="991"/>
      <c r="L239" s="991"/>
      <c r="M239" s="991"/>
      <c r="N239" s="991"/>
      <c r="O239" s="991"/>
      <c r="P239" s="991"/>
      <c r="Q239" s="991"/>
      <c r="R239" s="991"/>
      <c r="S239" s="991"/>
      <c r="T239" s="991"/>
      <c r="U239" s="991"/>
      <c r="V239" s="991"/>
      <c r="W239" s="991"/>
      <c r="X239" s="991"/>
      <c r="Y239" s="921"/>
      <c r="Z239" s="3739"/>
    </row>
    <row r="240" spans="1:26" ht="15.75" x14ac:dyDescent="0.25">
      <c r="B240" s="991"/>
      <c r="C240" s="388"/>
      <c r="D240" s="6432"/>
      <c r="E240" s="6433"/>
      <c r="F240" s="3207" t="s">
        <v>2778</v>
      </c>
      <c r="G240" s="3275" t="s">
        <v>18</v>
      </c>
      <c r="H240" s="3000"/>
      <c r="I240" s="5904"/>
      <c r="J240" s="2"/>
      <c r="K240" s="2"/>
      <c r="L240" s="2"/>
      <c r="M240" s="2"/>
      <c r="N240" s="2"/>
      <c r="O240" s="2"/>
      <c r="P240" s="2"/>
      <c r="Q240" s="2"/>
      <c r="R240" s="2"/>
      <c r="S240" s="2"/>
      <c r="T240" s="2"/>
      <c r="U240" s="2"/>
      <c r="V240" s="2"/>
      <c r="W240" s="2"/>
      <c r="X240" s="2"/>
    </row>
    <row r="241" spans="1:26" ht="15.75" x14ac:dyDescent="0.25">
      <c r="B241" s="991"/>
      <c r="C241" s="388"/>
      <c r="D241" s="6481"/>
      <c r="E241" s="6482"/>
      <c r="F241" s="3361" t="s">
        <v>1546</v>
      </c>
      <c r="G241" s="3935"/>
      <c r="H241" s="3929"/>
      <c r="I241" s="5904"/>
      <c r="J241" s="2"/>
      <c r="K241" s="2"/>
      <c r="L241" s="2"/>
      <c r="M241" s="2"/>
      <c r="N241" s="2"/>
      <c r="O241" s="2"/>
      <c r="P241" s="2"/>
      <c r="Q241" s="2"/>
      <c r="R241" s="2"/>
      <c r="S241" s="2"/>
      <c r="T241" s="2"/>
      <c r="U241" s="2"/>
      <c r="V241" s="2"/>
      <c r="W241" s="2"/>
      <c r="X241" s="2"/>
    </row>
    <row r="242" spans="1:26" s="918" customFormat="1" ht="15.75" x14ac:dyDescent="0.25">
      <c r="A242" s="921"/>
      <c r="B242" s="991"/>
      <c r="C242" s="388"/>
      <c r="D242" s="6442" t="s">
        <v>82</v>
      </c>
      <c r="E242" s="6443"/>
      <c r="F242" s="3218" t="s">
        <v>2302</v>
      </c>
      <c r="G242" s="3113" t="s">
        <v>207</v>
      </c>
      <c r="H242" s="3273">
        <f>SUM('WSS Profile'!F107:F110)</f>
        <v>0</v>
      </c>
      <c r="I242" s="5904"/>
      <c r="J242" s="991"/>
      <c r="K242" s="991"/>
      <c r="L242" s="991"/>
      <c r="M242" s="991"/>
      <c r="N242" s="991"/>
      <c r="O242" s="991"/>
      <c r="P242" s="991"/>
      <c r="Q242" s="991"/>
      <c r="R242" s="991"/>
      <c r="S242" s="991"/>
      <c r="T242" s="991"/>
      <c r="U242" s="991"/>
      <c r="V242" s="991"/>
      <c r="W242" s="991"/>
      <c r="X242" s="991"/>
      <c r="Y242" s="921"/>
      <c r="Z242" s="3739"/>
    </row>
    <row r="243" spans="1:26" ht="15.75" x14ac:dyDescent="0.25">
      <c r="B243" s="991"/>
      <c r="C243" s="388"/>
      <c r="D243" s="6421"/>
      <c r="E243" s="6422"/>
      <c r="F243" s="3206" t="s">
        <v>2296</v>
      </c>
      <c r="G243" s="3111" t="s">
        <v>18</v>
      </c>
      <c r="H243" s="1927">
        <f>IFERROR(SUM('WSS Profile'!$F$135:$F$138)/SUM('WSS Profile'!$F$107:$F$110),0)</f>
        <v>0</v>
      </c>
      <c r="I243" s="5904"/>
      <c r="J243" s="2"/>
      <c r="K243" s="2"/>
      <c r="L243" s="2"/>
      <c r="M243" s="2"/>
      <c r="N243" s="2"/>
      <c r="O243" s="2"/>
      <c r="P243" s="2"/>
      <c r="Q243" s="2"/>
      <c r="R243" s="2"/>
      <c r="S243" s="2"/>
      <c r="T243" s="2"/>
      <c r="U243" s="2"/>
      <c r="V243" s="2"/>
      <c r="W243" s="2"/>
      <c r="X243" s="2"/>
    </row>
    <row r="244" spans="1:26" ht="15.75" x14ac:dyDescent="0.25">
      <c r="B244" s="991"/>
      <c r="C244" s="388"/>
      <c r="D244" s="6453" t="s">
        <v>210</v>
      </c>
      <c r="E244" s="6454"/>
      <c r="F244" s="3284" t="s">
        <v>2297</v>
      </c>
      <c r="G244" s="3285" t="s">
        <v>18</v>
      </c>
      <c r="H244" s="3783"/>
      <c r="I244" s="5904"/>
      <c r="J244" s="2"/>
      <c r="K244" s="2"/>
      <c r="L244" s="2"/>
      <c r="M244" s="2"/>
      <c r="N244" s="2"/>
      <c r="O244" s="2"/>
      <c r="P244" s="2"/>
      <c r="Q244" s="2"/>
      <c r="R244" s="2"/>
      <c r="S244" s="2"/>
      <c r="T244" s="2"/>
      <c r="U244" s="2"/>
      <c r="V244" s="2"/>
      <c r="W244" s="2"/>
      <c r="X244" s="2"/>
    </row>
    <row r="245" spans="1:26" s="918" customFormat="1" ht="15.75" x14ac:dyDescent="0.25">
      <c r="A245" s="921"/>
      <c r="B245" s="991"/>
      <c r="C245" s="388"/>
      <c r="D245" s="6421" t="s">
        <v>211</v>
      </c>
      <c r="E245" s="6422"/>
      <c r="F245" s="3206" t="s">
        <v>2300</v>
      </c>
      <c r="G245" s="3274" t="s">
        <v>3524</v>
      </c>
      <c r="H245" s="3784"/>
      <c r="I245" s="5904"/>
      <c r="J245" s="991"/>
      <c r="K245" s="991"/>
      <c r="L245" s="991"/>
      <c r="M245" s="991"/>
      <c r="N245" s="991"/>
      <c r="O245" s="991"/>
      <c r="P245" s="991"/>
      <c r="Q245" s="991"/>
      <c r="R245" s="991"/>
      <c r="S245" s="991"/>
      <c r="T245" s="991"/>
      <c r="U245" s="991"/>
      <c r="V245" s="991"/>
      <c r="W245" s="991"/>
      <c r="X245" s="991"/>
      <c r="Y245" s="921"/>
      <c r="Z245" s="3739"/>
    </row>
    <row r="246" spans="1:26" ht="15.75" x14ac:dyDescent="0.25">
      <c r="B246" s="991"/>
      <c r="C246" s="388"/>
      <c r="D246" s="6432"/>
      <c r="E246" s="6433"/>
      <c r="F246" s="3207" t="s">
        <v>2778</v>
      </c>
      <c r="G246" s="3275" t="s">
        <v>18</v>
      </c>
      <c r="H246" s="3000"/>
      <c r="I246" s="5904"/>
      <c r="J246" s="2"/>
      <c r="K246" s="2"/>
      <c r="L246" s="2"/>
      <c r="M246" s="2"/>
      <c r="N246" s="2"/>
      <c r="O246" s="2"/>
      <c r="P246" s="2"/>
      <c r="Q246" s="2"/>
      <c r="R246" s="2"/>
      <c r="S246" s="2"/>
      <c r="T246" s="2"/>
      <c r="U246" s="2"/>
      <c r="V246" s="2"/>
      <c r="W246" s="2"/>
      <c r="X246" s="2"/>
    </row>
    <row r="247" spans="1:26" ht="15.75" x14ac:dyDescent="0.25">
      <c r="B247" s="991"/>
      <c r="C247" s="388"/>
      <c r="D247" s="6481"/>
      <c r="E247" s="6482"/>
      <c r="F247" s="3361" t="s">
        <v>1547</v>
      </c>
      <c r="G247" s="3935"/>
      <c r="H247" s="3929"/>
      <c r="I247" s="5904"/>
      <c r="J247" s="2"/>
      <c r="K247" s="2"/>
      <c r="L247" s="2"/>
      <c r="M247" s="2"/>
      <c r="N247" s="2"/>
      <c r="O247" s="2"/>
      <c r="P247" s="2"/>
      <c r="Q247" s="2"/>
      <c r="R247" s="2"/>
      <c r="S247" s="2"/>
      <c r="T247" s="2"/>
      <c r="U247" s="2"/>
      <c r="V247" s="2"/>
      <c r="W247" s="2"/>
      <c r="X247" s="2"/>
    </row>
    <row r="248" spans="1:26" s="918" customFormat="1" ht="15.75" x14ac:dyDescent="0.25">
      <c r="A248" s="921"/>
      <c r="B248" s="991"/>
      <c r="C248" s="388"/>
      <c r="D248" s="6442" t="s">
        <v>82</v>
      </c>
      <c r="E248" s="6443"/>
      <c r="F248" s="3218" t="s">
        <v>2303</v>
      </c>
      <c r="G248" s="3113" t="s">
        <v>207</v>
      </c>
      <c r="H248" s="3273">
        <f>'WSS Profile'!F112</f>
        <v>0</v>
      </c>
      <c r="I248" s="5904"/>
      <c r="J248" s="991"/>
      <c r="K248" s="991"/>
      <c r="L248" s="991"/>
      <c r="M248" s="991"/>
      <c r="N248" s="991"/>
      <c r="O248" s="991"/>
      <c r="P248" s="991"/>
      <c r="Q248" s="991"/>
      <c r="R248" s="991"/>
      <c r="S248" s="991"/>
      <c r="T248" s="991"/>
      <c r="U248" s="991"/>
      <c r="V248" s="991"/>
      <c r="W248" s="991"/>
      <c r="X248" s="991"/>
      <c r="Y248" s="921"/>
      <c r="Z248" s="3739"/>
    </row>
    <row r="249" spans="1:26" ht="15.75" x14ac:dyDescent="0.25">
      <c r="B249" s="991"/>
      <c r="C249" s="388"/>
      <c r="D249" s="6421"/>
      <c r="E249" s="6422"/>
      <c r="F249" s="3206" t="s">
        <v>2296</v>
      </c>
      <c r="G249" s="3111" t="s">
        <v>18</v>
      </c>
      <c r="H249" s="1927">
        <f>IFERROR(SUM('WSS Profile'!$F$140)/SUM('WSS Profile'!$F$112),0)</f>
        <v>0</v>
      </c>
      <c r="I249" s="5904"/>
      <c r="J249" s="2"/>
      <c r="K249" s="2"/>
      <c r="L249" s="2"/>
      <c r="M249" s="2"/>
      <c r="N249" s="2"/>
      <c r="O249" s="2"/>
      <c r="P249" s="2"/>
      <c r="Q249" s="2"/>
      <c r="R249" s="2"/>
      <c r="S249" s="2"/>
      <c r="T249" s="2"/>
      <c r="U249" s="2"/>
      <c r="V249" s="2"/>
      <c r="W249" s="2"/>
      <c r="X249" s="2"/>
    </row>
    <row r="250" spans="1:26" ht="15.75" x14ac:dyDescent="0.25">
      <c r="B250" s="991"/>
      <c r="C250" s="388"/>
      <c r="D250" s="6453" t="s">
        <v>210</v>
      </c>
      <c r="E250" s="6454"/>
      <c r="F250" s="3284" t="s">
        <v>2297</v>
      </c>
      <c r="G250" s="3285" t="s">
        <v>18</v>
      </c>
      <c r="H250" s="3783"/>
      <c r="I250" s="5904"/>
      <c r="J250" s="2"/>
      <c r="K250" s="2"/>
      <c r="L250" s="2"/>
      <c r="M250" s="2"/>
      <c r="N250" s="2"/>
      <c r="O250" s="2"/>
      <c r="P250" s="2"/>
      <c r="Q250" s="2"/>
      <c r="R250" s="2"/>
      <c r="S250" s="2"/>
      <c r="T250" s="2"/>
      <c r="U250" s="2"/>
      <c r="V250" s="2"/>
      <c r="W250" s="2"/>
      <c r="X250" s="2"/>
    </row>
    <row r="251" spans="1:26" s="918" customFormat="1" ht="15.75" x14ac:dyDescent="0.25">
      <c r="A251" s="921"/>
      <c r="B251" s="991"/>
      <c r="C251" s="388"/>
      <c r="D251" s="6421" t="s">
        <v>211</v>
      </c>
      <c r="E251" s="6422"/>
      <c r="F251" s="3206" t="s">
        <v>2300</v>
      </c>
      <c r="G251" s="3274" t="s">
        <v>3524</v>
      </c>
      <c r="H251" s="3784"/>
      <c r="I251" s="5904"/>
      <c r="J251" s="991"/>
      <c r="K251" s="991"/>
      <c r="L251" s="991"/>
      <c r="M251" s="991"/>
      <c r="N251" s="991"/>
      <c r="O251" s="991"/>
      <c r="P251" s="991"/>
      <c r="Q251" s="991"/>
      <c r="R251" s="991"/>
      <c r="S251" s="991"/>
      <c r="T251" s="991"/>
      <c r="U251" s="991"/>
      <c r="V251" s="991"/>
      <c r="W251" s="991"/>
      <c r="X251" s="991"/>
      <c r="Y251" s="921"/>
      <c r="Z251" s="3739"/>
    </row>
    <row r="252" spans="1:26" ht="15.75" x14ac:dyDescent="0.25">
      <c r="B252" s="991"/>
      <c r="C252" s="388"/>
      <c r="D252" s="6432"/>
      <c r="E252" s="6433"/>
      <c r="F252" s="3207" t="s">
        <v>2778</v>
      </c>
      <c r="G252" s="3275" t="s">
        <v>18</v>
      </c>
      <c r="H252" s="3000"/>
      <c r="I252" s="5904"/>
      <c r="J252" s="2"/>
      <c r="K252" s="2"/>
      <c r="L252" s="2"/>
      <c r="M252" s="2"/>
      <c r="N252" s="2"/>
      <c r="O252" s="2"/>
      <c r="P252" s="2"/>
      <c r="Q252" s="2"/>
      <c r="R252" s="2"/>
      <c r="S252" s="2"/>
      <c r="T252" s="2"/>
      <c r="U252" s="2"/>
      <c r="V252" s="2"/>
      <c r="W252" s="2"/>
      <c r="X252" s="2"/>
    </row>
    <row r="253" spans="1:26" ht="15.75" x14ac:dyDescent="0.25">
      <c r="B253" s="991"/>
      <c r="C253" s="388"/>
      <c r="D253" s="415"/>
      <c r="E253" s="388"/>
      <c r="F253" s="388"/>
      <c r="G253" s="388"/>
      <c r="H253" s="388"/>
      <c r="I253" s="390"/>
      <c r="J253" s="2"/>
      <c r="K253" s="2"/>
      <c r="L253" s="2"/>
      <c r="M253" s="2"/>
      <c r="N253" s="2"/>
      <c r="O253" s="2"/>
      <c r="P253" s="2"/>
      <c r="Q253" s="2"/>
      <c r="R253" s="2"/>
      <c r="S253" s="2"/>
      <c r="T253" s="2"/>
      <c r="U253" s="2"/>
      <c r="V253" s="2"/>
      <c r="W253" s="2"/>
      <c r="X253" s="2"/>
    </row>
    <row r="254" spans="1:26" ht="21" customHeight="1" x14ac:dyDescent="0.25">
      <c r="B254" s="2"/>
      <c r="C254" s="991"/>
      <c r="D254" s="1139"/>
      <c r="E254" s="402"/>
      <c r="F254" s="57"/>
      <c r="G254" s="57"/>
      <c r="H254" s="57"/>
      <c r="I254" s="991"/>
      <c r="J254" s="2"/>
      <c r="K254" s="2"/>
      <c r="L254" s="2"/>
      <c r="M254" s="2"/>
      <c r="N254" s="2"/>
      <c r="O254" s="2"/>
      <c r="P254" s="2"/>
      <c r="Q254" s="2"/>
      <c r="R254" s="2"/>
      <c r="S254" s="2"/>
      <c r="T254" s="2"/>
      <c r="U254" s="2"/>
      <c r="V254" s="2"/>
      <c r="W254" s="2"/>
      <c r="X254" s="2"/>
    </row>
    <row r="255" spans="1:26" s="480" customFormat="1" ht="31.5" customHeight="1" x14ac:dyDescent="0.25">
      <c r="B255" s="1382"/>
      <c r="C255" s="1383"/>
      <c r="D255" s="1384" t="s">
        <v>150</v>
      </c>
      <c r="E255" s="1384" t="s">
        <v>1045</v>
      </c>
      <c r="F255" s="1384"/>
      <c r="G255" s="1384"/>
      <c r="H255" s="1384"/>
      <c r="I255" s="1384"/>
      <c r="J255" s="1384"/>
      <c r="K255" s="1384"/>
      <c r="L255" s="1384"/>
      <c r="M255" s="1384"/>
      <c r="N255" s="1384"/>
      <c r="O255" s="1384"/>
      <c r="P255" s="1384"/>
      <c r="Q255" s="1384"/>
      <c r="R255" s="1384"/>
      <c r="S255" s="1384"/>
      <c r="T255" s="1384"/>
      <c r="U255" s="1385"/>
      <c r="V255" s="1385"/>
      <c r="W255" s="1385"/>
      <c r="X255" s="1386"/>
      <c r="Z255" s="3738"/>
    </row>
    <row r="256" spans="1:26" x14ac:dyDescent="0.25">
      <c r="B256" s="2"/>
      <c r="C256" s="991"/>
      <c r="D256" s="1139"/>
      <c r="E256" s="402"/>
      <c r="F256" s="57"/>
      <c r="G256" s="57"/>
      <c r="H256" s="57"/>
      <c r="I256" s="991"/>
      <c r="J256" s="2"/>
      <c r="K256" s="2"/>
      <c r="L256" s="2"/>
      <c r="M256" s="2"/>
      <c r="N256" s="2"/>
      <c r="O256" s="2"/>
      <c r="P256" s="2"/>
      <c r="Q256" s="2"/>
      <c r="R256" s="2"/>
      <c r="S256" s="2"/>
      <c r="T256" s="2"/>
      <c r="U256" s="2"/>
      <c r="V256" s="2"/>
      <c r="W256" s="2"/>
      <c r="X256" s="2"/>
    </row>
    <row r="257" spans="2:26" ht="21.75" thickBot="1" x14ac:dyDescent="0.3">
      <c r="B257" s="2"/>
      <c r="C257" s="388"/>
      <c r="D257" s="1221"/>
      <c r="E257" s="1221">
        <v>1</v>
      </c>
      <c r="F257" s="6431" t="s">
        <v>1984</v>
      </c>
      <c r="G257" s="6431"/>
      <c r="H257" s="6431"/>
      <c r="I257" s="390"/>
      <c r="J257" s="2"/>
      <c r="K257" s="2"/>
      <c r="L257" s="2"/>
      <c r="M257" s="2"/>
      <c r="N257" s="2"/>
      <c r="O257" s="2"/>
      <c r="P257" s="2"/>
      <c r="Q257" s="2"/>
      <c r="R257" s="2"/>
      <c r="S257" s="2"/>
      <c r="T257" s="2"/>
      <c r="U257" s="2"/>
      <c r="V257" s="2"/>
      <c r="W257" s="2"/>
      <c r="X257" s="2"/>
    </row>
    <row r="258" spans="2:26" ht="18.75" thickBot="1" x14ac:dyDescent="0.3">
      <c r="B258" s="991"/>
      <c r="C258" s="5538" t="s">
        <v>3199</v>
      </c>
      <c r="D258" s="3401" t="s">
        <v>786</v>
      </c>
      <c r="E258" s="2976" t="s">
        <v>78</v>
      </c>
      <c r="F258" s="6447" t="s">
        <v>1739</v>
      </c>
      <c r="G258" s="6448"/>
      <c r="H258" s="6449"/>
      <c r="I258" s="5904"/>
      <c r="J258" s="2"/>
      <c r="K258" s="2"/>
      <c r="L258" s="2"/>
      <c r="M258" s="2"/>
      <c r="N258" s="2"/>
      <c r="O258" s="2"/>
      <c r="P258" s="2"/>
      <c r="Q258" s="2"/>
      <c r="R258" s="2"/>
      <c r="S258" s="2"/>
      <c r="T258" s="2"/>
      <c r="U258" s="2"/>
      <c r="V258" s="2"/>
      <c r="W258" s="2"/>
      <c r="X258" s="2"/>
      <c r="Z258" s="3739">
        <f>'Perf assessment'!U100</f>
        <v>0</v>
      </c>
    </row>
    <row r="259" spans="2:26" x14ac:dyDescent="0.25">
      <c r="B259" s="991"/>
      <c r="C259" s="388"/>
      <c r="D259" s="1140"/>
      <c r="E259" s="392"/>
      <c r="F259" s="401"/>
      <c r="G259" s="401"/>
      <c r="H259" s="401"/>
      <c r="I259" s="388"/>
      <c r="J259" s="2"/>
      <c r="K259" s="2"/>
      <c r="L259" s="2"/>
      <c r="M259" s="2"/>
      <c r="N259" s="2"/>
      <c r="O259" s="2"/>
      <c r="P259" s="2"/>
      <c r="Q259" s="2"/>
      <c r="R259" s="2"/>
      <c r="S259" s="2"/>
      <c r="T259" s="2"/>
      <c r="U259" s="2"/>
      <c r="V259" s="2"/>
      <c r="W259" s="2"/>
      <c r="X259" s="2"/>
    </row>
    <row r="260" spans="2:26" x14ac:dyDescent="0.25">
      <c r="B260" s="991"/>
      <c r="C260" s="991"/>
      <c r="D260" s="1139"/>
      <c r="E260" s="402"/>
      <c r="F260" s="57"/>
      <c r="G260" s="57"/>
      <c r="H260" s="57"/>
      <c r="I260" s="991"/>
      <c r="J260" s="2"/>
      <c r="K260" s="2"/>
      <c r="L260" s="2"/>
      <c r="M260" s="2"/>
      <c r="N260" s="2"/>
      <c r="O260" s="2"/>
      <c r="P260" s="2"/>
      <c r="Q260" s="2"/>
      <c r="R260" s="2"/>
      <c r="S260" s="2"/>
      <c r="T260" s="2"/>
      <c r="U260" s="2"/>
      <c r="V260" s="2"/>
      <c r="W260" s="2"/>
      <c r="X260" s="2"/>
    </row>
    <row r="261" spans="2:26" ht="21.75" thickBot="1" x14ac:dyDescent="0.3">
      <c r="B261" s="991"/>
      <c r="C261" s="388"/>
      <c r="D261" s="1221"/>
      <c r="E261" s="1221">
        <v>2</v>
      </c>
      <c r="F261" s="6431" t="s">
        <v>1044</v>
      </c>
      <c r="G261" s="6431"/>
      <c r="H261" s="6431"/>
      <c r="I261" s="390"/>
      <c r="J261" s="2"/>
      <c r="K261" s="2"/>
      <c r="L261" s="2"/>
      <c r="M261" s="2"/>
      <c r="N261" s="2"/>
      <c r="O261" s="2"/>
      <c r="P261" s="2"/>
      <c r="Q261" s="2"/>
      <c r="R261" s="2"/>
      <c r="S261" s="2"/>
      <c r="T261" s="2"/>
      <c r="U261" s="2"/>
      <c r="V261" s="2"/>
      <c r="W261" s="2"/>
      <c r="X261" s="2"/>
    </row>
    <row r="262" spans="2:26" ht="33" customHeight="1" thickBot="1" x14ac:dyDescent="0.3">
      <c r="B262" s="991"/>
      <c r="C262" s="5538" t="s">
        <v>3200</v>
      </c>
      <c r="D262" s="3401" t="s">
        <v>786</v>
      </c>
      <c r="E262" s="2976" t="s">
        <v>78</v>
      </c>
      <c r="F262" s="3349" t="s">
        <v>1741</v>
      </c>
      <c r="G262" s="3922"/>
      <c r="H262" s="3923"/>
      <c r="I262" s="5904"/>
      <c r="J262" s="991"/>
      <c r="K262" s="2"/>
      <c r="L262" s="2"/>
      <c r="M262" s="2"/>
      <c r="N262" s="2"/>
      <c r="O262" s="2"/>
      <c r="P262" s="2"/>
      <c r="Q262" s="2"/>
      <c r="R262" s="2"/>
      <c r="S262" s="2"/>
      <c r="T262" s="2"/>
      <c r="U262" s="2"/>
      <c r="V262" s="2"/>
      <c r="W262" s="2"/>
      <c r="X262" s="2"/>
      <c r="Z262" s="3739">
        <f>'Perf assessment'!U102</f>
        <v>0</v>
      </c>
    </row>
    <row r="263" spans="2:26" ht="30" x14ac:dyDescent="0.25">
      <c r="B263" s="991"/>
      <c r="C263" s="388"/>
      <c r="D263" s="6421" t="s">
        <v>82</v>
      </c>
      <c r="E263" s="6422"/>
      <c r="F263" s="2974" t="s">
        <v>2304</v>
      </c>
      <c r="G263" s="3113" t="s">
        <v>18</v>
      </c>
      <c r="H263" s="890">
        <f>IFERROR('Finance info'!J79/'Finance info'!I79,0)</f>
        <v>0</v>
      </c>
      <c r="I263" s="5904"/>
      <c r="J263" s="2"/>
      <c r="K263" s="2"/>
      <c r="L263" s="2"/>
      <c r="M263" s="2"/>
      <c r="N263" s="2"/>
      <c r="O263" s="2"/>
      <c r="P263" s="2"/>
      <c r="Q263" s="2"/>
      <c r="R263" s="2"/>
      <c r="S263" s="2"/>
      <c r="T263" s="2"/>
      <c r="U263" s="2"/>
      <c r="V263" s="2"/>
      <c r="W263" s="2"/>
      <c r="X263" s="2"/>
    </row>
    <row r="264" spans="2:26" ht="15.75" x14ac:dyDescent="0.25">
      <c r="B264" s="991"/>
      <c r="C264" s="388"/>
      <c r="D264" s="6421"/>
      <c r="E264" s="6422"/>
      <c r="F264" s="3110" t="s">
        <v>2305</v>
      </c>
      <c r="G264" s="3111" t="s">
        <v>18</v>
      </c>
      <c r="H264" s="533">
        <f>IFERROR('Finance info'!J86/'Finance info'!I86,0)</f>
        <v>0</v>
      </c>
      <c r="I264" s="5904"/>
      <c r="J264" s="2"/>
      <c r="K264" s="2"/>
      <c r="L264" s="2"/>
      <c r="M264" s="2"/>
      <c r="N264" s="2"/>
      <c r="O264" s="2"/>
      <c r="P264" s="2"/>
      <c r="Q264" s="2"/>
      <c r="R264" s="2"/>
      <c r="S264" s="2"/>
      <c r="T264" s="2"/>
      <c r="U264" s="2"/>
      <c r="V264" s="2"/>
      <c r="W264" s="2"/>
      <c r="X264" s="2"/>
    </row>
    <row r="265" spans="2:26" ht="15.75" x14ac:dyDescent="0.25">
      <c r="B265" s="991"/>
      <c r="C265" s="388"/>
      <c r="D265" s="6429" t="s">
        <v>210</v>
      </c>
      <c r="E265" s="6430"/>
      <c r="F265" s="3142" t="s">
        <v>1064</v>
      </c>
      <c r="G265" s="3150" t="s">
        <v>18</v>
      </c>
      <c r="H265" s="3231"/>
      <c r="I265" s="5904"/>
      <c r="J265" s="2"/>
      <c r="K265" s="2"/>
      <c r="L265" s="2"/>
      <c r="M265" s="2"/>
      <c r="N265" s="2"/>
      <c r="O265" s="2"/>
      <c r="P265" s="2"/>
      <c r="Q265" s="2"/>
      <c r="R265" s="2"/>
      <c r="S265" s="2"/>
      <c r="T265" s="2"/>
      <c r="U265" s="2"/>
      <c r="V265" s="2"/>
      <c r="W265" s="2"/>
      <c r="X265" s="2"/>
    </row>
    <row r="266" spans="2:26" ht="15.75" x14ac:dyDescent="0.25">
      <c r="B266" s="2"/>
      <c r="C266" s="388"/>
      <c r="D266" s="6436"/>
      <c r="E266" s="6437"/>
      <c r="F266" s="3283" t="s">
        <v>1065</v>
      </c>
      <c r="G266" s="3145" t="s">
        <v>18</v>
      </c>
      <c r="H266" s="3232"/>
      <c r="I266" s="5904"/>
      <c r="J266" s="2"/>
      <c r="K266" s="2"/>
      <c r="L266" s="2"/>
      <c r="M266" s="2"/>
      <c r="N266" s="2"/>
      <c r="O266" s="2"/>
      <c r="P266" s="2"/>
      <c r="Q266" s="2"/>
      <c r="R266" s="2"/>
      <c r="S266" s="2"/>
      <c r="T266" s="2"/>
      <c r="U266" s="2"/>
      <c r="V266" s="2"/>
      <c r="W266" s="2"/>
      <c r="X266" s="2"/>
    </row>
    <row r="267" spans="2:26" ht="16.5" thickBot="1" x14ac:dyDescent="0.3">
      <c r="B267" s="2"/>
      <c r="C267" s="388"/>
      <c r="D267" s="6421" t="s">
        <v>211</v>
      </c>
      <c r="E267" s="6422"/>
      <c r="F267" s="2975" t="s">
        <v>3528</v>
      </c>
      <c r="G267" s="3112" t="s">
        <v>3520</v>
      </c>
      <c r="H267" s="3233"/>
      <c r="I267" s="5904"/>
      <c r="J267" s="2"/>
      <c r="K267" s="2"/>
      <c r="L267" s="2"/>
      <c r="M267" s="2"/>
      <c r="N267" s="2"/>
      <c r="O267" s="2"/>
      <c r="P267" s="2"/>
      <c r="Q267" s="2"/>
      <c r="R267" s="2"/>
      <c r="S267" s="2"/>
      <c r="T267" s="2"/>
      <c r="U267" s="2"/>
      <c r="V267" s="2"/>
      <c r="W267" s="2"/>
      <c r="X267" s="2"/>
    </row>
    <row r="268" spans="2:26" ht="18.75" thickBot="1" x14ac:dyDescent="0.35">
      <c r="B268" s="389"/>
      <c r="C268" s="5538" t="s">
        <v>3201</v>
      </c>
      <c r="D268" s="3401" t="s">
        <v>786</v>
      </c>
      <c r="E268" s="2976" t="s">
        <v>78</v>
      </c>
      <c r="F268" s="3352" t="s">
        <v>1745</v>
      </c>
      <c r="G268" s="3922"/>
      <c r="H268" s="3923"/>
      <c r="I268" s="5904"/>
      <c r="J268" s="2"/>
      <c r="K268" s="2"/>
      <c r="L268" s="2"/>
      <c r="M268" s="2"/>
      <c r="N268" s="2"/>
      <c r="O268" s="2"/>
      <c r="P268" s="2"/>
      <c r="Q268" s="2"/>
      <c r="R268" s="2"/>
      <c r="S268" s="2"/>
      <c r="T268" s="2"/>
      <c r="U268" s="2"/>
      <c r="V268" s="2"/>
      <c r="W268" s="2"/>
      <c r="X268" s="2"/>
      <c r="Z268" s="3739">
        <f>'Perf assessment'!U103</f>
        <v>0</v>
      </c>
    </row>
    <row r="269" spans="2:26" ht="30" x14ac:dyDescent="0.25">
      <c r="B269" s="2"/>
      <c r="C269" s="388"/>
      <c r="D269" s="6421" t="s">
        <v>82</v>
      </c>
      <c r="E269" s="6422"/>
      <c r="F269" s="2974" t="s">
        <v>2306</v>
      </c>
      <c r="G269" s="3113" t="s">
        <v>1990</v>
      </c>
      <c r="H269" s="3276">
        <f>IFERROR('Finance info'!$I$163/'WSS Profile'!$G$50,0)</f>
        <v>0</v>
      </c>
      <c r="I269" s="5904"/>
      <c r="J269" s="2"/>
      <c r="K269" s="2"/>
      <c r="L269" s="2"/>
      <c r="M269" s="2"/>
      <c r="N269" s="2"/>
      <c r="O269" s="2"/>
      <c r="P269" s="2"/>
      <c r="Q269" s="2"/>
      <c r="R269" s="2"/>
      <c r="S269" s="2"/>
      <c r="T269" s="2"/>
      <c r="U269" s="2"/>
      <c r="V269" s="2"/>
      <c r="W269" s="2"/>
      <c r="X269" s="2"/>
    </row>
    <row r="270" spans="2:26" ht="30" x14ac:dyDescent="0.25">
      <c r="B270" s="2"/>
      <c r="C270" s="388"/>
      <c r="D270" s="6421"/>
      <c r="E270" s="6422"/>
      <c r="F270" s="3110" t="s">
        <v>2307</v>
      </c>
      <c r="G270" s="3111" t="s">
        <v>18</v>
      </c>
      <c r="H270" s="3277">
        <f>IFERROR('Finance info'!$I$163/'Finance info'!$I$167,0)</f>
        <v>0</v>
      </c>
      <c r="I270" s="5904"/>
      <c r="J270" s="2"/>
      <c r="K270" s="2"/>
      <c r="L270" s="2"/>
      <c r="M270" s="2"/>
      <c r="N270" s="2"/>
      <c r="O270" s="2"/>
      <c r="P270" s="2"/>
      <c r="Q270" s="2"/>
      <c r="R270" s="2"/>
      <c r="S270" s="2"/>
      <c r="T270" s="2"/>
      <c r="U270" s="2"/>
      <c r="V270" s="2"/>
      <c r="W270" s="2"/>
      <c r="X270" s="2"/>
    </row>
    <row r="271" spans="2:26" ht="15.75" x14ac:dyDescent="0.25">
      <c r="B271" s="2"/>
      <c r="C271" s="388"/>
      <c r="D271" s="6429" t="s">
        <v>210</v>
      </c>
      <c r="E271" s="6430"/>
      <c r="F271" s="3142" t="s">
        <v>2308</v>
      </c>
      <c r="G271" s="3150" t="s">
        <v>207</v>
      </c>
      <c r="H271" s="3775"/>
      <c r="I271" s="5904"/>
      <c r="J271" s="2"/>
      <c r="K271" s="2"/>
      <c r="L271" s="2"/>
      <c r="M271" s="2"/>
      <c r="N271" s="2"/>
      <c r="O271" s="2"/>
      <c r="P271" s="2"/>
      <c r="Q271" s="2"/>
      <c r="R271" s="2"/>
      <c r="S271" s="2"/>
      <c r="T271" s="2"/>
      <c r="U271" s="2"/>
      <c r="V271" s="2"/>
      <c r="W271" s="2"/>
      <c r="X271" s="2"/>
    </row>
    <row r="272" spans="2:26" ht="30" x14ac:dyDescent="0.25">
      <c r="B272" s="2"/>
      <c r="C272" s="388"/>
      <c r="D272" s="6436"/>
      <c r="E272" s="6437"/>
      <c r="F272" s="3283" t="s">
        <v>2309</v>
      </c>
      <c r="G272" s="3145" t="s">
        <v>18</v>
      </c>
      <c r="H272" s="3232"/>
      <c r="I272" s="5904"/>
      <c r="J272" s="2"/>
      <c r="K272" s="2"/>
      <c r="L272" s="2"/>
      <c r="M272" s="2"/>
      <c r="N272" s="2"/>
      <c r="O272" s="2"/>
      <c r="P272" s="2"/>
      <c r="Q272" s="2"/>
      <c r="R272" s="2"/>
      <c r="S272" s="2"/>
      <c r="T272" s="2"/>
      <c r="U272" s="2"/>
      <c r="V272" s="2"/>
      <c r="W272" s="2"/>
      <c r="X272" s="2"/>
    </row>
    <row r="273" spans="1:26" ht="16.5" thickBot="1" x14ac:dyDescent="0.3">
      <c r="B273" s="2"/>
      <c r="C273" s="388"/>
      <c r="D273" s="6421" t="s">
        <v>211</v>
      </c>
      <c r="E273" s="6422"/>
      <c r="F273" s="2975" t="s">
        <v>2310</v>
      </c>
      <c r="G273" s="3112" t="s">
        <v>3520</v>
      </c>
      <c r="H273" s="3160"/>
      <c r="I273" s="5904"/>
      <c r="J273" s="2"/>
      <c r="K273" s="2"/>
      <c r="L273" s="2"/>
      <c r="M273" s="2"/>
      <c r="N273" s="2"/>
      <c r="O273" s="2"/>
      <c r="P273" s="2"/>
      <c r="Q273" s="2"/>
      <c r="R273" s="2"/>
      <c r="S273" s="2"/>
      <c r="T273" s="2"/>
      <c r="U273" s="2"/>
      <c r="V273" s="2"/>
      <c r="W273" s="2"/>
      <c r="X273" s="2"/>
    </row>
    <row r="274" spans="1:26" ht="35.25" customHeight="1" thickBot="1" x14ac:dyDescent="0.35">
      <c r="B274" s="389"/>
      <c r="C274" s="5538" t="s">
        <v>3202</v>
      </c>
      <c r="D274" s="3401" t="s">
        <v>786</v>
      </c>
      <c r="E274" s="2976" t="s">
        <v>78</v>
      </c>
      <c r="F274" s="3354" t="s">
        <v>1034</v>
      </c>
      <c r="G274" s="3922"/>
      <c r="H274" s="3923"/>
      <c r="I274" s="5904"/>
      <c r="J274" s="2"/>
      <c r="K274" s="2"/>
      <c r="L274" s="2"/>
      <c r="M274" s="2"/>
      <c r="N274" s="2"/>
      <c r="O274" s="2"/>
      <c r="P274" s="2"/>
      <c r="Q274" s="2"/>
      <c r="R274" s="2"/>
      <c r="S274" s="2"/>
      <c r="T274" s="2"/>
      <c r="U274" s="2"/>
      <c r="V274" s="2"/>
      <c r="W274" s="2"/>
      <c r="X274" s="2"/>
      <c r="Z274" s="3739">
        <f>'Perf assessment'!U104</f>
        <v>0</v>
      </c>
    </row>
    <row r="275" spans="1:26" ht="30" x14ac:dyDescent="0.25">
      <c r="B275" s="2"/>
      <c r="C275" s="388"/>
      <c r="D275" s="6421" t="s">
        <v>210</v>
      </c>
      <c r="E275" s="6422"/>
      <c r="F275" s="2974" t="s">
        <v>1063</v>
      </c>
      <c r="G275" s="3278" t="s">
        <v>18</v>
      </c>
      <c r="H275" s="3777"/>
      <c r="I275" s="5904"/>
      <c r="J275" s="2"/>
      <c r="K275" s="2"/>
      <c r="L275" s="2"/>
      <c r="M275" s="2"/>
      <c r="N275" s="2"/>
      <c r="O275" s="2"/>
      <c r="P275" s="2"/>
      <c r="Q275" s="2"/>
      <c r="R275" s="2"/>
      <c r="S275" s="2"/>
      <c r="T275" s="2"/>
      <c r="U275" s="2"/>
      <c r="V275" s="2"/>
      <c r="W275" s="2"/>
      <c r="X275" s="2"/>
    </row>
    <row r="276" spans="1:26" ht="15.75" x14ac:dyDescent="0.25">
      <c r="B276" s="2"/>
      <c r="C276" s="388"/>
      <c r="D276" s="6509" t="s">
        <v>211</v>
      </c>
      <c r="E276" s="6510"/>
      <c r="F276" s="3281" t="s">
        <v>1991</v>
      </c>
      <c r="G276" s="3112" t="s">
        <v>3520</v>
      </c>
      <c r="H276" s="5753"/>
      <c r="I276" s="5904"/>
      <c r="J276" s="2"/>
      <c r="K276" s="2"/>
      <c r="L276" s="2"/>
      <c r="M276" s="2"/>
      <c r="N276" s="2"/>
      <c r="O276" s="2"/>
      <c r="P276" s="2"/>
      <c r="Q276" s="2"/>
      <c r="R276" s="2"/>
      <c r="S276" s="2"/>
      <c r="T276" s="2"/>
      <c r="U276" s="2"/>
      <c r="V276" s="2"/>
      <c r="W276" s="2"/>
      <c r="X276" s="2"/>
    </row>
    <row r="277" spans="1:26" ht="15.75" x14ac:dyDescent="0.25">
      <c r="B277" s="2"/>
      <c r="C277" s="388"/>
      <c r="D277" s="415"/>
      <c r="E277" s="388"/>
      <c r="F277" s="388"/>
      <c r="G277" s="388"/>
      <c r="H277" s="388"/>
      <c r="I277" s="390"/>
      <c r="J277" s="2"/>
      <c r="K277" s="2"/>
      <c r="L277" s="2"/>
      <c r="M277" s="2"/>
      <c r="N277" s="2"/>
      <c r="O277" s="2"/>
      <c r="P277" s="2"/>
      <c r="Q277" s="2"/>
      <c r="R277" s="2"/>
      <c r="S277" s="2"/>
      <c r="T277" s="2"/>
      <c r="U277" s="2"/>
      <c r="V277" s="2"/>
      <c r="W277" s="2"/>
      <c r="X277" s="2"/>
    </row>
    <row r="278" spans="1:26" x14ac:dyDescent="0.25">
      <c r="B278" s="2"/>
      <c r="C278" s="991"/>
      <c r="D278" s="413"/>
      <c r="E278" s="991"/>
      <c r="F278" s="991"/>
      <c r="G278" s="991"/>
      <c r="H278" s="991"/>
      <c r="I278" s="991"/>
      <c r="J278" s="2"/>
      <c r="K278" s="2"/>
      <c r="L278" s="2"/>
      <c r="M278" s="2"/>
      <c r="N278" s="2"/>
      <c r="O278" s="2"/>
      <c r="P278" s="2"/>
      <c r="Q278" s="2"/>
      <c r="R278" s="2"/>
      <c r="S278" s="2"/>
      <c r="T278" s="2"/>
      <c r="U278" s="2"/>
      <c r="V278" s="2"/>
      <c r="W278" s="2"/>
      <c r="X278" s="2"/>
    </row>
    <row r="279" spans="1:26" x14ac:dyDescent="0.25">
      <c r="B279" s="2"/>
      <c r="C279" s="991"/>
      <c r="D279" s="1139"/>
      <c r="E279" s="402"/>
      <c r="F279" s="57"/>
      <c r="G279" s="57"/>
      <c r="H279" s="57"/>
      <c r="I279" s="991"/>
      <c r="J279" s="2"/>
      <c r="K279" s="2"/>
      <c r="L279" s="2"/>
      <c r="M279" s="2"/>
      <c r="N279" s="2"/>
      <c r="O279" s="2"/>
      <c r="P279" s="2"/>
      <c r="Q279" s="2"/>
      <c r="R279" s="2"/>
      <c r="S279" s="2"/>
      <c r="T279" s="2"/>
      <c r="U279" s="2"/>
      <c r="V279" s="2"/>
      <c r="W279" s="2"/>
      <c r="X279" s="2"/>
    </row>
    <row r="280" spans="1:26" s="480" customFormat="1" ht="31.5" customHeight="1" x14ac:dyDescent="0.25">
      <c r="B280" s="1382"/>
      <c r="C280" s="1383"/>
      <c r="D280" s="1384"/>
      <c r="E280" s="1384" t="s">
        <v>1046</v>
      </c>
      <c r="F280" s="1384"/>
      <c r="G280" s="1384"/>
      <c r="H280" s="1384"/>
      <c r="I280" s="1384"/>
      <c r="J280" s="1384"/>
      <c r="K280" s="1384"/>
      <c r="L280" s="1384"/>
      <c r="M280" s="1384"/>
      <c r="N280" s="1384"/>
      <c r="O280" s="1384"/>
      <c r="P280" s="1384"/>
      <c r="Q280" s="1384"/>
      <c r="R280" s="1384"/>
      <c r="S280" s="1384"/>
      <c r="T280" s="1384"/>
      <c r="U280" s="1385"/>
      <c r="V280" s="1385"/>
      <c r="W280" s="1385"/>
      <c r="X280" s="1386"/>
      <c r="Z280" s="3738"/>
    </row>
    <row r="281" spans="1:26" ht="21" x14ac:dyDescent="0.35">
      <c r="B281" s="407"/>
      <c r="C281" s="407"/>
      <c r="D281" s="1139"/>
      <c r="E281" s="402"/>
      <c r="F281" s="57"/>
      <c r="G281" s="57"/>
      <c r="H281" s="57"/>
      <c r="I281" s="991"/>
      <c r="J281" s="2"/>
      <c r="K281" s="2"/>
      <c r="L281" s="2"/>
      <c r="M281" s="2"/>
      <c r="N281" s="2"/>
      <c r="O281" s="2"/>
      <c r="P281" s="2"/>
      <c r="Q281" s="2"/>
      <c r="R281" s="2"/>
      <c r="S281" s="2"/>
      <c r="T281" s="2"/>
      <c r="U281" s="2"/>
      <c r="V281" s="2"/>
      <c r="W281" s="2"/>
      <c r="X281" s="2"/>
    </row>
    <row r="282" spans="1:26" s="490" customFormat="1" ht="13.5" thickBot="1" x14ac:dyDescent="0.25">
      <c r="A282" s="489"/>
      <c r="B282" s="417"/>
      <c r="C282" s="526"/>
      <c r="D282" s="527"/>
      <c r="E282" s="527"/>
      <c r="F282" s="528"/>
      <c r="G282" s="528"/>
      <c r="H282" s="528"/>
      <c r="I282" s="529"/>
      <c r="J282" s="420"/>
      <c r="K282" s="529"/>
      <c r="L282" s="529"/>
      <c r="M282" s="529"/>
      <c r="N282" s="529"/>
      <c r="O282" s="529"/>
      <c r="P282" s="529"/>
      <c r="Q282" s="529"/>
      <c r="R282" s="529"/>
      <c r="S282" s="529"/>
      <c r="T282" s="529"/>
      <c r="U282" s="529"/>
      <c r="V282" s="529"/>
      <c r="W282" s="529"/>
      <c r="X282" s="420"/>
      <c r="Y282" s="489"/>
      <c r="Z282" s="3746"/>
    </row>
    <row r="283" spans="1:26" ht="17.25" thickBot="1" x14ac:dyDescent="0.35">
      <c r="B283" s="389"/>
      <c r="C283" s="403"/>
      <c r="D283" s="3189"/>
      <c r="E283" s="2981" t="s">
        <v>78</v>
      </c>
      <c r="F283" s="3403" t="s">
        <v>1047</v>
      </c>
      <c r="G283" s="3927"/>
      <c r="H283" s="3932"/>
      <c r="I283" s="3560"/>
      <c r="J283" s="420"/>
      <c r="K283" s="529"/>
      <c r="L283" s="6492" t="s">
        <v>1807</v>
      </c>
      <c r="M283" s="6493"/>
      <c r="N283" s="6493"/>
      <c r="O283" s="6493"/>
      <c r="P283" s="6493"/>
      <c r="Q283" s="6493"/>
      <c r="R283" s="6493"/>
      <c r="S283" s="6493"/>
      <c r="T283" s="6493"/>
      <c r="U283" s="6493"/>
      <c r="V283" s="6494"/>
      <c r="W283" s="529"/>
      <c r="X283" s="420"/>
    </row>
    <row r="284" spans="1:26" ht="15" customHeight="1" x14ac:dyDescent="0.25">
      <c r="B284" s="2"/>
      <c r="C284" s="388"/>
      <c r="D284" s="6425" t="s">
        <v>82</v>
      </c>
      <c r="E284" s="6426"/>
      <c r="F284" s="3437"/>
      <c r="G284" s="3205"/>
      <c r="H284" s="3204"/>
      <c r="I284" s="3560"/>
      <c r="J284" s="420"/>
      <c r="K284" s="529"/>
      <c r="L284" s="6495"/>
      <c r="M284" s="6496"/>
      <c r="N284" s="6496"/>
      <c r="O284" s="6496"/>
      <c r="P284" s="6496"/>
      <c r="Q284" s="6496"/>
      <c r="R284" s="6496"/>
      <c r="S284" s="6496"/>
      <c r="T284" s="6496"/>
      <c r="U284" s="6496"/>
      <c r="V284" s="6497"/>
      <c r="W284" s="529"/>
      <c r="X284" s="420"/>
    </row>
    <row r="285" spans="1:26" ht="15" customHeight="1" x14ac:dyDescent="0.25">
      <c r="B285" s="2"/>
      <c r="C285" s="388"/>
      <c r="D285" s="6501" t="s">
        <v>210</v>
      </c>
      <c r="E285" s="6502"/>
      <c r="F285" s="3437"/>
      <c r="G285" s="3223"/>
      <c r="H285" s="3225"/>
      <c r="I285" s="3560"/>
      <c r="J285" s="420"/>
      <c r="K285" s="529"/>
      <c r="L285" s="6495"/>
      <c r="M285" s="6496"/>
      <c r="N285" s="6496"/>
      <c r="O285" s="6496"/>
      <c r="P285" s="6496"/>
      <c r="Q285" s="6496"/>
      <c r="R285" s="6496"/>
      <c r="S285" s="6496"/>
      <c r="T285" s="6496"/>
      <c r="U285" s="6496"/>
      <c r="V285" s="6497"/>
      <c r="W285" s="529"/>
      <c r="X285" s="420"/>
    </row>
    <row r="286" spans="1:26" ht="29.25" customHeight="1" x14ac:dyDescent="0.25">
      <c r="B286" s="2"/>
      <c r="C286" s="388"/>
      <c r="D286" s="6503" t="s">
        <v>211</v>
      </c>
      <c r="E286" s="6504"/>
      <c r="F286" s="3191" t="s">
        <v>1806</v>
      </c>
      <c r="G286" s="3226"/>
      <c r="H286" s="3227"/>
      <c r="I286" s="3560"/>
      <c r="J286" s="420"/>
      <c r="K286" s="529"/>
      <c r="L286" s="6495"/>
      <c r="M286" s="6496"/>
      <c r="N286" s="6496"/>
      <c r="O286" s="6496"/>
      <c r="P286" s="6496"/>
      <c r="Q286" s="6496"/>
      <c r="R286" s="6496"/>
      <c r="S286" s="6496"/>
      <c r="T286" s="6496"/>
      <c r="U286" s="6496"/>
      <c r="V286" s="6497"/>
      <c r="W286" s="529"/>
      <c r="X286" s="420"/>
    </row>
    <row r="287" spans="1:26" ht="15" customHeight="1" x14ac:dyDescent="0.25">
      <c r="B287" s="2"/>
      <c r="C287" s="388"/>
      <c r="D287" s="6505"/>
      <c r="E287" s="6506"/>
      <c r="F287" s="3208" t="s">
        <v>2278</v>
      </c>
      <c r="G287" s="3228" t="s">
        <v>3520</v>
      </c>
      <c r="H287" s="5751"/>
      <c r="I287" s="3560"/>
      <c r="J287" s="420"/>
      <c r="K287" s="529"/>
      <c r="L287" s="6495"/>
      <c r="M287" s="6496"/>
      <c r="N287" s="6496"/>
      <c r="O287" s="6496"/>
      <c r="P287" s="6496"/>
      <c r="Q287" s="6496"/>
      <c r="R287" s="6496"/>
      <c r="S287" s="6496"/>
      <c r="T287" s="6496"/>
      <c r="U287" s="6496"/>
      <c r="V287" s="6497"/>
      <c r="W287" s="529"/>
      <c r="X287" s="420"/>
    </row>
    <row r="288" spans="1:26" ht="15" customHeight="1" x14ac:dyDescent="0.25">
      <c r="B288" s="2"/>
      <c r="C288" s="388"/>
      <c r="D288" s="6507"/>
      <c r="E288" s="6508"/>
      <c r="F288" s="3209" t="s">
        <v>1062</v>
      </c>
      <c r="G288" s="3229" t="s">
        <v>1998</v>
      </c>
      <c r="H288" s="3230"/>
      <c r="I288" s="3560"/>
      <c r="J288" s="420"/>
      <c r="K288" s="529"/>
      <c r="L288" s="6495"/>
      <c r="M288" s="6496"/>
      <c r="N288" s="6496"/>
      <c r="O288" s="6496"/>
      <c r="P288" s="6496"/>
      <c r="Q288" s="6496"/>
      <c r="R288" s="6496"/>
      <c r="S288" s="6496"/>
      <c r="T288" s="6496"/>
      <c r="U288" s="6496"/>
      <c r="V288" s="6497"/>
      <c r="W288" s="529"/>
      <c r="X288" s="420"/>
    </row>
    <row r="289" spans="1:26" ht="15.75" thickBot="1" x14ac:dyDescent="0.3">
      <c r="B289" s="2"/>
      <c r="C289" s="388"/>
      <c r="D289" s="527"/>
      <c r="E289" s="388"/>
      <c r="F289" s="388"/>
      <c r="G289" s="529"/>
      <c r="H289" s="388"/>
      <c r="I289" s="3560"/>
      <c r="J289" s="420"/>
      <c r="K289" s="529"/>
      <c r="L289" s="6495"/>
      <c r="M289" s="6496"/>
      <c r="N289" s="6496"/>
      <c r="O289" s="6496"/>
      <c r="P289" s="6496"/>
      <c r="Q289" s="6496"/>
      <c r="R289" s="6496"/>
      <c r="S289" s="6496"/>
      <c r="T289" s="6496"/>
      <c r="U289" s="6496"/>
      <c r="V289" s="6497"/>
      <c r="W289" s="529"/>
      <c r="X289" s="420"/>
    </row>
    <row r="290" spans="1:26" ht="16.5" thickBot="1" x14ac:dyDescent="0.3">
      <c r="B290" s="2"/>
      <c r="C290" s="388"/>
      <c r="D290" s="3189"/>
      <c r="E290" s="2981" t="s">
        <v>78</v>
      </c>
      <c r="F290" s="3403" t="s">
        <v>1048</v>
      </c>
      <c r="G290" s="3927"/>
      <c r="H290" s="3932"/>
      <c r="I290" s="3560"/>
      <c r="J290" s="420"/>
      <c r="K290" s="529"/>
      <c r="L290" s="6495"/>
      <c r="M290" s="6496"/>
      <c r="N290" s="6496"/>
      <c r="O290" s="6496"/>
      <c r="P290" s="6496"/>
      <c r="Q290" s="6496"/>
      <c r="R290" s="6496"/>
      <c r="S290" s="6496"/>
      <c r="T290" s="6496"/>
      <c r="U290" s="6496"/>
      <c r="V290" s="6497"/>
      <c r="W290" s="529"/>
      <c r="X290" s="420"/>
    </row>
    <row r="291" spans="1:26" s="466" customFormat="1" ht="15" customHeight="1" x14ac:dyDescent="0.25">
      <c r="B291" s="2"/>
      <c r="C291" s="388"/>
      <c r="D291" s="6425" t="s">
        <v>82</v>
      </c>
      <c r="E291" s="6426"/>
      <c r="F291" s="3436"/>
      <c r="G291" s="3785"/>
      <c r="H291" s="3204"/>
      <c r="I291" s="3560"/>
      <c r="J291" s="420"/>
      <c r="K291" s="529"/>
      <c r="L291" s="6495"/>
      <c r="M291" s="6496"/>
      <c r="N291" s="6496"/>
      <c r="O291" s="6496"/>
      <c r="P291" s="6496"/>
      <c r="Q291" s="6496"/>
      <c r="R291" s="6496"/>
      <c r="S291" s="6496"/>
      <c r="T291" s="6496"/>
      <c r="U291" s="6496"/>
      <c r="V291" s="6497"/>
      <c r="W291" s="529"/>
      <c r="X291" s="420"/>
      <c r="Z291" s="3735"/>
    </row>
    <row r="292" spans="1:26" ht="16.5" customHeight="1" x14ac:dyDescent="0.25">
      <c r="B292" s="2"/>
      <c r="C292" s="388"/>
      <c r="D292" s="6501" t="s">
        <v>210</v>
      </c>
      <c r="E292" s="6502"/>
      <c r="F292" s="3437"/>
      <c r="G292" s="3786"/>
      <c r="H292" s="3225"/>
      <c r="I292" s="3560"/>
      <c r="J292" s="420"/>
      <c r="K292" s="529"/>
      <c r="L292" s="6495"/>
      <c r="M292" s="6496"/>
      <c r="N292" s="6496"/>
      <c r="O292" s="6496"/>
      <c r="P292" s="6496"/>
      <c r="Q292" s="6496"/>
      <c r="R292" s="6496"/>
      <c r="S292" s="6496"/>
      <c r="T292" s="6496"/>
      <c r="U292" s="6496"/>
      <c r="V292" s="6497"/>
      <c r="W292" s="529"/>
      <c r="X292" s="420"/>
    </row>
    <row r="293" spans="1:26" ht="27.75" customHeight="1" x14ac:dyDescent="0.25">
      <c r="B293" s="2"/>
      <c r="C293" s="388"/>
      <c r="D293" s="6503" t="s">
        <v>211</v>
      </c>
      <c r="E293" s="6504"/>
      <c r="F293" s="3191" t="s">
        <v>1806</v>
      </c>
      <c r="G293" s="3226"/>
      <c r="H293" s="3227"/>
      <c r="I293" s="3560"/>
      <c r="J293" s="420"/>
      <c r="K293" s="529"/>
      <c r="L293" s="6495"/>
      <c r="M293" s="6496"/>
      <c r="N293" s="6496"/>
      <c r="O293" s="6496"/>
      <c r="P293" s="6496"/>
      <c r="Q293" s="6496"/>
      <c r="R293" s="6496"/>
      <c r="S293" s="6496"/>
      <c r="T293" s="6496"/>
      <c r="U293" s="6496"/>
      <c r="V293" s="6497"/>
      <c r="W293" s="529"/>
      <c r="X293" s="420"/>
    </row>
    <row r="294" spans="1:26" x14ac:dyDescent="0.25">
      <c r="B294" s="2"/>
      <c r="C294" s="388"/>
      <c r="D294" s="6505"/>
      <c r="E294" s="6506"/>
      <c r="F294" s="3208" t="s">
        <v>2278</v>
      </c>
      <c r="G294" s="3228" t="s">
        <v>3520</v>
      </c>
      <c r="H294" s="5751"/>
      <c r="I294" s="3560"/>
      <c r="J294" s="420"/>
      <c r="K294" s="529"/>
      <c r="L294" s="6495"/>
      <c r="M294" s="6496"/>
      <c r="N294" s="6496"/>
      <c r="O294" s="6496"/>
      <c r="P294" s="6496"/>
      <c r="Q294" s="6496"/>
      <c r="R294" s="6496"/>
      <c r="S294" s="6496"/>
      <c r="T294" s="6496"/>
      <c r="U294" s="6496"/>
      <c r="V294" s="6497"/>
      <c r="W294" s="529"/>
      <c r="X294" s="420"/>
    </row>
    <row r="295" spans="1:26" x14ac:dyDescent="0.25">
      <c r="B295" s="2"/>
      <c r="C295" s="388"/>
      <c r="D295" s="6507"/>
      <c r="E295" s="6508"/>
      <c r="F295" s="3209" t="s">
        <v>1062</v>
      </c>
      <c r="G295" s="3229" t="s">
        <v>1998</v>
      </c>
      <c r="H295" s="3230"/>
      <c r="I295" s="3560"/>
      <c r="J295" s="420"/>
      <c r="K295" s="529"/>
      <c r="L295" s="6498"/>
      <c r="M295" s="6499"/>
      <c r="N295" s="6499"/>
      <c r="O295" s="6499"/>
      <c r="P295" s="6499"/>
      <c r="Q295" s="6499"/>
      <c r="R295" s="6499"/>
      <c r="S295" s="6499"/>
      <c r="T295" s="6499"/>
      <c r="U295" s="6499"/>
      <c r="V295" s="6500"/>
      <c r="W295" s="529"/>
      <c r="X295" s="420"/>
    </row>
    <row r="296" spans="1:26" s="490" customFormat="1" ht="12.75" x14ac:dyDescent="0.2">
      <c r="A296" s="489"/>
      <c r="B296" s="417"/>
      <c r="C296" s="526"/>
      <c r="D296" s="527"/>
      <c r="E296" s="527"/>
      <c r="F296" s="528"/>
      <c r="G296" s="528"/>
      <c r="H296" s="528"/>
      <c r="I296" s="529"/>
      <c r="J296" s="420"/>
      <c r="K296" s="529"/>
      <c r="L296" s="529"/>
      <c r="M296" s="529"/>
      <c r="N296" s="529"/>
      <c r="O296" s="529"/>
      <c r="P296" s="529"/>
      <c r="Q296" s="529"/>
      <c r="R296" s="529"/>
      <c r="S296" s="529"/>
      <c r="T296" s="529"/>
      <c r="U296" s="529"/>
      <c r="V296" s="529"/>
      <c r="W296" s="529"/>
      <c r="X296" s="420"/>
      <c r="Y296" s="489"/>
      <c r="Z296" s="3746"/>
    </row>
    <row r="297" spans="1:26" ht="21" x14ac:dyDescent="0.35">
      <c r="B297" s="407"/>
      <c r="C297" s="407"/>
      <c r="D297" s="1139"/>
      <c r="E297" s="402"/>
      <c r="F297" s="57"/>
      <c r="G297" s="57"/>
      <c r="H297" s="57"/>
      <c r="I297" s="991"/>
      <c r="J297" s="420"/>
      <c r="K297" s="420"/>
      <c r="L297" s="420"/>
      <c r="M297" s="420"/>
      <c r="N297" s="420"/>
      <c r="O297" s="420"/>
      <c r="P297" s="420"/>
      <c r="Q297" s="420"/>
      <c r="R297" s="2"/>
      <c r="S297" s="2"/>
      <c r="T297" s="2"/>
      <c r="U297" s="2"/>
      <c r="V297" s="2"/>
      <c r="W297" s="2"/>
      <c r="X297" s="2"/>
    </row>
    <row r="298" spans="1:26" ht="21" x14ac:dyDescent="0.35">
      <c r="B298" s="407"/>
      <c r="C298" s="407"/>
      <c r="D298" s="1139"/>
      <c r="E298" s="402"/>
      <c r="F298" s="57"/>
      <c r="G298" s="57"/>
      <c r="H298" s="57"/>
      <c r="I298" s="2"/>
      <c r="J298" s="2"/>
      <c r="K298" s="2"/>
      <c r="L298" s="2"/>
      <c r="M298" s="2"/>
      <c r="N298" s="2"/>
      <c r="O298" s="2"/>
      <c r="P298" s="2"/>
      <c r="Q298" s="2"/>
      <c r="R298" s="2"/>
      <c r="S298" s="2"/>
      <c r="T298" s="2"/>
      <c r="U298" s="2"/>
      <c r="V298" s="2"/>
      <c r="W298" s="2"/>
      <c r="X298" s="2"/>
    </row>
  </sheetData>
  <mergeCells count="156">
    <mergeCell ref="F101:H101"/>
    <mergeCell ref="D186:E186"/>
    <mergeCell ref="F186:H186"/>
    <mergeCell ref="D251:E252"/>
    <mergeCell ref="D263:E264"/>
    <mergeCell ref="D265:E266"/>
    <mergeCell ref="D267:E267"/>
    <mergeCell ref="D284:E284"/>
    <mergeCell ref="F261:H261"/>
    <mergeCell ref="F257:H257"/>
    <mergeCell ref="D238:E238"/>
    <mergeCell ref="D194:E194"/>
    <mergeCell ref="D242:E243"/>
    <mergeCell ref="D248:E249"/>
    <mergeCell ref="D241:E241"/>
    <mergeCell ref="D247:E247"/>
    <mergeCell ref="F222:H222"/>
    <mergeCell ref="F173:H173"/>
    <mergeCell ref="F169:H169"/>
    <mergeCell ref="F170:H170"/>
    <mergeCell ref="D207:E212"/>
    <mergeCell ref="D203:E204"/>
    <mergeCell ref="D152:E152"/>
    <mergeCell ref="D150:E150"/>
    <mergeCell ref="L283:V283"/>
    <mergeCell ref="L284:V295"/>
    <mergeCell ref="D291:E291"/>
    <mergeCell ref="D292:E292"/>
    <mergeCell ref="D293:E295"/>
    <mergeCell ref="D275:E275"/>
    <mergeCell ref="D276:E276"/>
    <mergeCell ref="D269:E270"/>
    <mergeCell ref="D271:E272"/>
    <mergeCell ref="D273:E273"/>
    <mergeCell ref="D285:E285"/>
    <mergeCell ref="D286:E288"/>
    <mergeCell ref="D148:E148"/>
    <mergeCell ref="D193:E193"/>
    <mergeCell ref="D191:E191"/>
    <mergeCell ref="D190:E190"/>
    <mergeCell ref="D187:E188"/>
    <mergeCell ref="D181:E181"/>
    <mergeCell ref="D199:E200"/>
    <mergeCell ref="D201:E201"/>
    <mergeCell ref="D184:E184"/>
    <mergeCell ref="D205:E205"/>
    <mergeCell ref="D176:E176"/>
    <mergeCell ref="D185:E185"/>
    <mergeCell ref="D163:E164"/>
    <mergeCell ref="D162:E162"/>
    <mergeCell ref="D180:E180"/>
    <mergeCell ref="D183:E183"/>
    <mergeCell ref="D160:E160"/>
    <mergeCell ref="F168:H168"/>
    <mergeCell ref="D179:E179"/>
    <mergeCell ref="D40:E41"/>
    <mergeCell ref="D197:E197"/>
    <mergeCell ref="D196:E196"/>
    <mergeCell ref="D213:E214"/>
    <mergeCell ref="D233:E234"/>
    <mergeCell ref="F258:H258"/>
    <mergeCell ref="D217:E217"/>
    <mergeCell ref="D216:E216"/>
    <mergeCell ref="D250:E250"/>
    <mergeCell ref="D235:E235"/>
    <mergeCell ref="D226:E226"/>
    <mergeCell ref="D239:E240"/>
    <mergeCell ref="D245:E246"/>
    <mergeCell ref="D227:E228"/>
    <mergeCell ref="D218:E218"/>
    <mergeCell ref="D244:E244"/>
    <mergeCell ref="D232:E232"/>
    <mergeCell ref="F221:H221"/>
    <mergeCell ref="D223:E223"/>
    <mergeCell ref="D229:E229"/>
    <mergeCell ref="D177:E177"/>
    <mergeCell ref="D175:E175"/>
    <mergeCell ref="D114:E115"/>
    <mergeCell ref="D130:E131"/>
    <mergeCell ref="B10:E16"/>
    <mergeCell ref="C2:R2"/>
    <mergeCell ref="C4:S4"/>
    <mergeCell ref="B6:E6"/>
    <mergeCell ref="F6:Q6"/>
    <mergeCell ref="C8:T8"/>
    <mergeCell ref="C9:F9"/>
    <mergeCell ref="F10:W10"/>
    <mergeCell ref="G12:W12"/>
    <mergeCell ref="G11:W11"/>
    <mergeCell ref="G14:W14"/>
    <mergeCell ref="G15:W15"/>
    <mergeCell ref="G16:W16"/>
    <mergeCell ref="G13:W13"/>
    <mergeCell ref="G9:J9"/>
    <mergeCell ref="K9:L9"/>
    <mergeCell ref="S9:V9"/>
    <mergeCell ref="M9:Q9"/>
    <mergeCell ref="D126:E126"/>
    <mergeCell ref="D85:E86"/>
    <mergeCell ref="D136:E137"/>
    <mergeCell ref="D138:E138"/>
    <mergeCell ref="D139:E140"/>
    <mergeCell ref="D109:E110"/>
    <mergeCell ref="D133:E134"/>
    <mergeCell ref="D132:E132"/>
    <mergeCell ref="D88:E89"/>
    <mergeCell ref="D90:E91"/>
    <mergeCell ref="D101:E101"/>
    <mergeCell ref="D224:E225"/>
    <mergeCell ref="D230:E231"/>
    <mergeCell ref="D236:E237"/>
    <mergeCell ref="F21:H21"/>
    <mergeCell ref="D29:E30"/>
    <mergeCell ref="D24:E25"/>
    <mergeCell ref="F34:H34"/>
    <mergeCell ref="F35:H35"/>
    <mergeCell ref="F33:H33"/>
    <mergeCell ref="F38:H38"/>
    <mergeCell ref="F75:H75"/>
    <mergeCell ref="F76:H76"/>
    <mergeCell ref="D69:E70"/>
    <mergeCell ref="D50:E50"/>
    <mergeCell ref="D62:E63"/>
    <mergeCell ref="D65:E66"/>
    <mergeCell ref="D67:E68"/>
    <mergeCell ref="F54:H54"/>
    <mergeCell ref="D42:E42"/>
    <mergeCell ref="D43:E43"/>
    <mergeCell ref="D26:E27"/>
    <mergeCell ref="D56:E58"/>
    <mergeCell ref="D111:E112"/>
    <mergeCell ref="D23:E23"/>
    <mergeCell ref="D45:E46"/>
    <mergeCell ref="D59:E61"/>
    <mergeCell ref="D47:E48"/>
    <mergeCell ref="F167:H167"/>
    <mergeCell ref="F79:H79"/>
    <mergeCell ref="D97:E97"/>
    <mergeCell ref="D102:E102"/>
    <mergeCell ref="D92:E93"/>
    <mergeCell ref="G94:H94"/>
    <mergeCell ref="F100:H100"/>
    <mergeCell ref="F146:H146"/>
    <mergeCell ref="D83:E84"/>
    <mergeCell ref="D81:E82"/>
    <mergeCell ref="D153:E154"/>
    <mergeCell ref="D106:E107"/>
    <mergeCell ref="D104:E105"/>
    <mergeCell ref="D96:E96"/>
    <mergeCell ref="D95:E95"/>
    <mergeCell ref="D122:E124"/>
    <mergeCell ref="D120:E121"/>
    <mergeCell ref="D116:E118"/>
    <mergeCell ref="D157:E158"/>
    <mergeCell ref="D156:E156"/>
    <mergeCell ref="D127:E128"/>
  </mergeCells>
  <conditionalFormatting sqref="E262 E268 E258 E274 E161 E155 E215 E222 E206 E202 E182 E178 E174 E151 E149 E147 E168:E170 E135 E129 E125 E94 E87 E80 E76 E64 E49 E55 E28 E44 E34:E35 E22 E39 E159">
    <cfRule type="cellIs" dxfId="347" priority="7" operator="equal">
      <formula>"Activate"</formula>
    </cfRule>
  </conditionalFormatting>
  <conditionalFormatting sqref="H64 H49 H55 H28 H44 H22 H39">
    <cfRule type="timePeriod" dxfId="346" priority="97" timePeriod="yesterday">
      <formula>FLOOR(H22,1)=TODAY()-1</formula>
    </cfRule>
  </conditionalFormatting>
  <conditionalFormatting sqref="F55">
    <cfRule type="expression" dxfId="345" priority="96">
      <formula>$E$55="Activate"</formula>
    </cfRule>
  </conditionalFormatting>
  <conditionalFormatting sqref="F64">
    <cfRule type="expression" dxfId="344" priority="95">
      <formula>$E$64="Activate"</formula>
    </cfRule>
  </conditionalFormatting>
  <conditionalFormatting sqref="H64:H70 G64">
    <cfRule type="expression" dxfId="343" priority="94">
      <formula>$E$64="Deactivate"</formula>
    </cfRule>
  </conditionalFormatting>
  <conditionalFormatting sqref="H55:H63 G55">
    <cfRule type="expression" dxfId="342" priority="93">
      <formula>$E$55="Deactivate"</formula>
    </cfRule>
  </conditionalFormatting>
  <conditionalFormatting sqref="H28:H30 G28">
    <cfRule type="expression" dxfId="341" priority="92">
      <formula>$E$28="Deactivate"</formula>
    </cfRule>
  </conditionalFormatting>
  <conditionalFormatting sqref="E28:F28">
    <cfRule type="expression" dxfId="340" priority="91">
      <formula>$E$28="Activate"</formula>
    </cfRule>
  </conditionalFormatting>
  <conditionalFormatting sqref="F22">
    <cfRule type="expression" dxfId="339" priority="90">
      <formula>$E$22="Activate"</formula>
    </cfRule>
  </conditionalFormatting>
  <conditionalFormatting sqref="H22:H27 G22">
    <cfRule type="expression" dxfId="338" priority="89">
      <formula>$E$22="Deactivate"</formula>
    </cfRule>
  </conditionalFormatting>
  <conditionalFormatting sqref="E34:H34">
    <cfRule type="expression" dxfId="337" priority="88">
      <formula>$E$34="Activate"</formula>
    </cfRule>
  </conditionalFormatting>
  <conditionalFormatting sqref="F35">
    <cfRule type="expression" dxfId="336" priority="87">
      <formula>$E$35="Activate"</formula>
    </cfRule>
  </conditionalFormatting>
  <conditionalFormatting sqref="F39">
    <cfRule type="expression" dxfId="335" priority="86">
      <formula>$E$39="Activate"</formula>
    </cfRule>
  </conditionalFormatting>
  <conditionalFormatting sqref="F44">
    <cfRule type="expression" dxfId="334" priority="85">
      <formula>$E$44="Activate"</formula>
    </cfRule>
  </conditionalFormatting>
  <conditionalFormatting sqref="F49">
    <cfRule type="expression" dxfId="333" priority="84">
      <formula>$E$49="Activate"</formula>
    </cfRule>
  </conditionalFormatting>
  <conditionalFormatting sqref="H39:H43 G39">
    <cfRule type="expression" dxfId="332" priority="83">
      <formula>$E$39="Deactivate"</formula>
    </cfRule>
  </conditionalFormatting>
  <conditionalFormatting sqref="G44 H44:H48">
    <cfRule type="expression" dxfId="331" priority="82">
      <formula>$E$44="Deactivate"</formula>
    </cfRule>
  </conditionalFormatting>
  <conditionalFormatting sqref="H49:H51 G49">
    <cfRule type="expression" dxfId="330" priority="81">
      <formula>$E$49="Deactivate"</formula>
    </cfRule>
  </conditionalFormatting>
  <conditionalFormatting sqref="F147">
    <cfRule type="expression" dxfId="329" priority="80">
      <formula>$E$147="Activate"</formula>
    </cfRule>
  </conditionalFormatting>
  <conditionalFormatting sqref="F149">
    <cfRule type="expression" dxfId="328" priority="79">
      <formula>$E$149="Activate"</formula>
    </cfRule>
  </conditionalFormatting>
  <conditionalFormatting sqref="F151">
    <cfRule type="expression" dxfId="327" priority="78">
      <formula>$E$151="Activate"</formula>
    </cfRule>
  </conditionalFormatting>
  <conditionalFormatting sqref="H174:H177 G174">
    <cfRule type="expression" dxfId="326" priority="77">
      <formula>$E$174="Deactivate"</formula>
    </cfRule>
  </conditionalFormatting>
  <conditionalFormatting sqref="H147:H148 G147">
    <cfRule type="expression" dxfId="325" priority="76">
      <formula>$E$147="Deactivate"</formula>
    </cfRule>
  </conditionalFormatting>
  <conditionalFormatting sqref="H151:H154 G151">
    <cfRule type="expression" dxfId="324" priority="75">
      <formula>$E$151="Deactivate"</formula>
    </cfRule>
  </conditionalFormatting>
  <conditionalFormatting sqref="F168">
    <cfRule type="expression" dxfId="323" priority="74">
      <formula>$E$168="Activate"</formula>
    </cfRule>
  </conditionalFormatting>
  <conditionalFormatting sqref="F169">
    <cfRule type="expression" dxfId="322" priority="73">
      <formula>$E$169="Activate"</formula>
    </cfRule>
  </conditionalFormatting>
  <conditionalFormatting sqref="F222">
    <cfRule type="expression" dxfId="321" priority="72">
      <formula>$E$222="Activate"</formula>
    </cfRule>
  </conditionalFormatting>
  <conditionalFormatting sqref="H223:H252 G247 G223 G229 G235 G241">
    <cfRule type="expression" dxfId="320" priority="71">
      <formula>$E$222="Deactivate"</formula>
    </cfRule>
  </conditionalFormatting>
  <conditionalFormatting sqref="F155">
    <cfRule type="expression" dxfId="319" priority="70">
      <formula>$E$155="Activate"</formula>
    </cfRule>
  </conditionalFormatting>
  <conditionalFormatting sqref="F159">
    <cfRule type="expression" dxfId="318" priority="69">
      <formula>$E$159="Activate"</formula>
    </cfRule>
  </conditionalFormatting>
  <conditionalFormatting sqref="F161">
    <cfRule type="expression" dxfId="317" priority="68">
      <formula>$E$161="Activate"</formula>
    </cfRule>
  </conditionalFormatting>
  <conditionalFormatting sqref="H161:H164 G161">
    <cfRule type="expression" dxfId="316" priority="67">
      <formula>$E$161="Deactivate"</formula>
    </cfRule>
  </conditionalFormatting>
  <conditionalFormatting sqref="H159:H160 G159">
    <cfRule type="expression" dxfId="315" priority="66">
      <formula>$E$159="Deactivate"</formula>
    </cfRule>
  </conditionalFormatting>
  <conditionalFormatting sqref="H155:H156 G155">
    <cfRule type="expression" dxfId="314" priority="65">
      <formula>$E$155="Deactivate"</formula>
    </cfRule>
  </conditionalFormatting>
  <conditionalFormatting sqref="F206">
    <cfRule type="expression" dxfId="313" priority="64">
      <formula>$E$206="Activate"</formula>
    </cfRule>
  </conditionalFormatting>
  <conditionalFormatting sqref="F202">
    <cfRule type="expression" dxfId="312" priority="63">
      <formula>$E$202="Activate"</formula>
    </cfRule>
  </conditionalFormatting>
  <conditionalFormatting sqref="F198">
    <cfRule type="expression" dxfId="311" priority="62">
      <formula>$E$198="Activate"</formula>
    </cfRule>
  </conditionalFormatting>
  <conditionalFormatting sqref="F195">
    <cfRule type="expression" dxfId="310" priority="61">
      <formula>$E$195="Activate"</formula>
    </cfRule>
  </conditionalFormatting>
  <conditionalFormatting sqref="F192">
    <cfRule type="expression" dxfId="309" priority="60">
      <formula>$E$192="Activate"</formula>
    </cfRule>
  </conditionalFormatting>
  <conditionalFormatting sqref="F189">
    <cfRule type="expression" dxfId="308" priority="59">
      <formula>$E$189="Activate"</formula>
    </cfRule>
  </conditionalFormatting>
  <conditionalFormatting sqref="F182">
    <cfRule type="expression" dxfId="307" priority="58">
      <formula>$E$182="Activate"</formula>
    </cfRule>
  </conditionalFormatting>
  <conditionalFormatting sqref="F178">
    <cfRule type="expression" dxfId="306" priority="57">
      <formula>$E$178="Activate"</formula>
    </cfRule>
  </conditionalFormatting>
  <conditionalFormatting sqref="F174">
    <cfRule type="expression" dxfId="305" priority="56">
      <formula>$E$174="Activate"</formula>
    </cfRule>
  </conditionalFormatting>
  <conditionalFormatting sqref="H178:H181 G178">
    <cfRule type="expression" dxfId="304" priority="55">
      <formula>$E$178="Deactivate"</formula>
    </cfRule>
  </conditionalFormatting>
  <conditionalFormatting sqref="H182:H185 G182">
    <cfRule type="expression" dxfId="303" priority="54">
      <formula>$E$182="Deactivate"</formula>
    </cfRule>
  </conditionalFormatting>
  <conditionalFormatting sqref="H189:H191 G189">
    <cfRule type="expression" dxfId="302" priority="53">
      <formula>$E$189="Deactivate"</formula>
    </cfRule>
  </conditionalFormatting>
  <conditionalFormatting sqref="H192:H194 G192">
    <cfRule type="expression" dxfId="301" priority="52">
      <formula>$E$192="Deactivate"</formula>
    </cfRule>
  </conditionalFormatting>
  <conditionalFormatting sqref="H195:H197 G195">
    <cfRule type="expression" dxfId="300" priority="51">
      <formula>$E$195="Deactivate"</formula>
    </cfRule>
  </conditionalFormatting>
  <conditionalFormatting sqref="H198:H201 G198">
    <cfRule type="expression" dxfId="299" priority="50">
      <formula>$E$198="Deactivate"</formula>
    </cfRule>
  </conditionalFormatting>
  <conditionalFormatting sqref="G206:H214">
    <cfRule type="expression" dxfId="298" priority="49">
      <formula>$E$206="Deactivate"</formula>
    </cfRule>
  </conditionalFormatting>
  <conditionalFormatting sqref="H202:H205 G202">
    <cfRule type="expression" dxfId="297" priority="48">
      <formula>$E$202="Deactivate"</formula>
    </cfRule>
  </conditionalFormatting>
  <conditionalFormatting sqref="F76">
    <cfRule type="expression" dxfId="296" priority="47">
      <formula>$E$76="Activate"</formula>
    </cfRule>
  </conditionalFormatting>
  <conditionalFormatting sqref="F170">
    <cfRule type="expression" dxfId="295" priority="46">
      <formula>$E$170="Activate"</formula>
    </cfRule>
  </conditionalFormatting>
  <conditionalFormatting sqref="F80">
    <cfRule type="expression" dxfId="294" priority="45">
      <formula>$E$80="Activate"</formula>
    </cfRule>
  </conditionalFormatting>
  <conditionalFormatting sqref="F94">
    <cfRule type="expression" dxfId="293" priority="44">
      <formula>$E$94="Activate"</formula>
    </cfRule>
  </conditionalFormatting>
  <conditionalFormatting sqref="F215">
    <cfRule type="expression" dxfId="292" priority="43">
      <formula>$E$215="Activate"</formula>
    </cfRule>
  </conditionalFormatting>
  <conditionalFormatting sqref="F125">
    <cfRule type="expression" dxfId="291" priority="42">
      <formula>$E$125="Activate"</formula>
    </cfRule>
  </conditionalFormatting>
  <conditionalFormatting sqref="F129">
    <cfRule type="expression" dxfId="290" priority="41">
      <formula>$E$129="Activate"</formula>
    </cfRule>
  </conditionalFormatting>
  <conditionalFormatting sqref="F135">
    <cfRule type="expression" dxfId="289" priority="40">
      <formula>$E$135="Activate"</formula>
    </cfRule>
  </conditionalFormatting>
  <conditionalFormatting sqref="F103">
    <cfRule type="expression" dxfId="288" priority="39">
      <formula>$E$103="Activate"</formula>
    </cfRule>
  </conditionalFormatting>
  <conditionalFormatting sqref="F108">
    <cfRule type="expression" dxfId="287" priority="38">
      <formula>$E$108="Activate"</formula>
    </cfRule>
  </conditionalFormatting>
  <conditionalFormatting sqref="F113">
    <cfRule type="expression" dxfId="286" priority="37">
      <formula>$E$113="Activate"</formula>
    </cfRule>
  </conditionalFormatting>
  <conditionalFormatting sqref="F119">
    <cfRule type="expression" dxfId="285" priority="36">
      <formula>$E$119="Activate"</formula>
    </cfRule>
  </conditionalFormatting>
  <conditionalFormatting sqref="F258">
    <cfRule type="expression" dxfId="284" priority="35">
      <formula>$E$258="Activate"</formula>
    </cfRule>
  </conditionalFormatting>
  <conditionalFormatting sqref="F262">
    <cfRule type="expression" dxfId="283" priority="34">
      <formula>$E$262="Activate"</formula>
    </cfRule>
  </conditionalFormatting>
  <conditionalFormatting sqref="F268">
    <cfRule type="expression" dxfId="282" priority="33">
      <formula>$E$268="Activate"</formula>
    </cfRule>
  </conditionalFormatting>
  <conditionalFormatting sqref="F274">
    <cfRule type="expression" dxfId="281" priority="32">
      <formula>$E$274="Activate"</formula>
    </cfRule>
  </conditionalFormatting>
  <conditionalFormatting sqref="H262:H267 G262">
    <cfRule type="expression" dxfId="280" priority="31">
      <formula>$E$262="Deactivate"</formula>
    </cfRule>
  </conditionalFormatting>
  <conditionalFormatting sqref="H268:H273 G268">
    <cfRule type="expression" dxfId="279" priority="30">
      <formula>$E$268="Deactivate"</formula>
    </cfRule>
  </conditionalFormatting>
  <conditionalFormatting sqref="H274:H276 G274">
    <cfRule type="expression" dxfId="278" priority="29">
      <formula>$E$274="Deactivate"</formula>
    </cfRule>
  </conditionalFormatting>
  <conditionalFormatting sqref="H87:H93 G87">
    <cfRule type="expression" dxfId="277" priority="28">
      <formula>$E$87="Deactivate"</formula>
    </cfRule>
  </conditionalFormatting>
  <conditionalFormatting sqref="H94:H97 G94">
    <cfRule type="expression" dxfId="276" priority="27">
      <formula>$E$94="Deactivate"</formula>
    </cfRule>
  </conditionalFormatting>
  <conditionalFormatting sqref="H103:H107 G103">
    <cfRule type="expression" dxfId="275" priority="26">
      <formula>$E$103="Deactivate"</formula>
    </cfRule>
  </conditionalFormatting>
  <conditionalFormatting sqref="H108:H112 G108">
    <cfRule type="expression" dxfId="274" priority="25">
      <formula>$E$108="Deactivate"</formula>
    </cfRule>
  </conditionalFormatting>
  <conditionalFormatting sqref="H113:H118 G113">
    <cfRule type="expression" dxfId="273" priority="24">
      <formula>$E$113="Deactivate"</formula>
    </cfRule>
  </conditionalFormatting>
  <conditionalFormatting sqref="H119:H124 G119">
    <cfRule type="expression" dxfId="272" priority="23">
      <formula>$E$119="Deactivate"</formula>
    </cfRule>
  </conditionalFormatting>
  <conditionalFormatting sqref="H125:H128 G125">
    <cfRule type="expression" dxfId="271" priority="22">
      <formula>$E$125="Deactivate"</formula>
    </cfRule>
  </conditionalFormatting>
  <conditionalFormatting sqref="H129:H134 G129">
    <cfRule type="expression" dxfId="270" priority="21">
      <formula>$E$129="Deactivate"</formula>
    </cfRule>
  </conditionalFormatting>
  <conditionalFormatting sqref="H135:H140 G135">
    <cfRule type="expression" dxfId="269" priority="20">
      <formula>$E$135="Deactivate"</formula>
    </cfRule>
  </conditionalFormatting>
  <conditionalFormatting sqref="D223 F223 D229:F229 D235:F235 D241:F241 D247:F247">
    <cfRule type="expression" dxfId="268" priority="19">
      <formula>$E$222="Activate"</formula>
    </cfRule>
  </conditionalFormatting>
  <conditionalFormatting sqref="F87">
    <cfRule type="expression" dxfId="267" priority="18">
      <formula>$E$87="Activate"</formula>
    </cfRule>
  </conditionalFormatting>
  <conditionalFormatting sqref="H80:H86 G80">
    <cfRule type="expression" dxfId="266" priority="17">
      <formula>$E$80="Deactivate"</formula>
    </cfRule>
  </conditionalFormatting>
  <conditionalFormatting sqref="G149">
    <cfRule type="expression" dxfId="265" priority="16">
      <formula>$E$149="Deactivate"</formula>
    </cfRule>
  </conditionalFormatting>
  <conditionalFormatting sqref="G215:H215 H217:H218">
    <cfRule type="expression" dxfId="264" priority="15">
      <formula>$E$215="Deactivate"</formula>
    </cfRule>
  </conditionalFormatting>
  <conditionalFormatting sqref="E189 E103 E108 E113 E119">
    <cfRule type="expression" dxfId="263" priority="14">
      <formula>$E103="Activate"</formula>
    </cfRule>
  </conditionalFormatting>
  <conditionalFormatting sqref="E192">
    <cfRule type="expression" dxfId="262" priority="13">
      <formula>$E192="Activate"</formula>
    </cfRule>
  </conditionalFormatting>
  <conditionalFormatting sqref="E195">
    <cfRule type="expression" dxfId="261" priority="12">
      <formula>$E195="Activate"</formula>
    </cfRule>
  </conditionalFormatting>
  <conditionalFormatting sqref="E198">
    <cfRule type="expression" dxfId="260" priority="11">
      <formula>$E198="Activate"</formula>
    </cfRule>
  </conditionalFormatting>
  <conditionalFormatting sqref="D186 F186">
    <cfRule type="expression" dxfId="259" priority="10">
      <formula>OR($E$189="Activate",$E$192="Activate",$E$195="Activate",$E$198="Activate")</formula>
    </cfRule>
  </conditionalFormatting>
  <conditionalFormatting sqref="D101 F101">
    <cfRule type="expression" dxfId="258" priority="9">
      <formula>OR($E$103="Activate",$E$108="Activate",$E$113="Activate",$E$119="Activate")</formula>
    </cfRule>
  </conditionalFormatting>
  <conditionalFormatting sqref="E290 E283">
    <cfRule type="expression" dxfId="257" priority="8">
      <formula>E283="Activate"</formula>
    </cfRule>
  </conditionalFormatting>
  <conditionalFormatting sqref="G283:H288">
    <cfRule type="expression" dxfId="256" priority="99">
      <formula>$E$283="Deactivate"</formula>
    </cfRule>
  </conditionalFormatting>
  <conditionalFormatting sqref="F283 D283">
    <cfRule type="expression" dxfId="255" priority="100">
      <formula>$E$283="Activate"</formula>
    </cfRule>
  </conditionalFormatting>
  <conditionalFormatting sqref="G290:H295">
    <cfRule type="expression" dxfId="254" priority="101">
      <formula>$E$290="Deactivate"</formula>
    </cfRule>
  </conditionalFormatting>
  <conditionalFormatting sqref="F290 D290">
    <cfRule type="expression" dxfId="253" priority="102">
      <formula>$E$290="Activate"</formula>
    </cfRule>
  </conditionalFormatting>
  <conditionalFormatting sqref="E22 E28 E34:E35 E39 E44 E49 E55 E64 E76 E80 E87 E94 E103 E108 E113 E119 E125 E129 E135 E147 E149 E151 E155 E161 E168:E170 E174 E178 E182 E189 E192 E195 E198 E202 E206 E215 E222 E258 E262 E268 E274 E283 E290 E159">
    <cfRule type="expression" dxfId="252" priority="98">
      <formula>$Z22</formula>
    </cfRule>
  </conditionalFormatting>
  <conditionalFormatting sqref="F284:F285">
    <cfRule type="expression" dxfId="251" priority="6">
      <formula>$E$283="Deactivate"</formula>
    </cfRule>
  </conditionalFormatting>
  <conditionalFormatting sqref="F291:F292">
    <cfRule type="expression" dxfId="250" priority="5">
      <formula>$E$290="Deactivate"</formula>
    </cfRule>
  </conditionalFormatting>
  <conditionalFormatting sqref="H150">
    <cfRule type="expression" dxfId="249" priority="4">
      <formula>$E$147="Deactivate"</formula>
    </cfRule>
  </conditionalFormatting>
  <conditionalFormatting sqref="H157">
    <cfRule type="expression" dxfId="248" priority="3">
      <formula>$E$151="Deactivate"</formula>
    </cfRule>
  </conditionalFormatting>
  <conditionalFormatting sqref="H149">
    <cfRule type="expression" dxfId="247" priority="2">
      <formula>$E$147="Deactivate"</formula>
    </cfRule>
  </conditionalFormatting>
  <conditionalFormatting sqref="H158">
    <cfRule type="expression" dxfId="246" priority="1">
      <formula>$E$161="Deactivate"</formula>
    </cfRule>
  </conditionalFormatting>
  <dataValidations disablePrompts="1" xWindow="169" yWindow="396" count="5">
    <dataValidation type="list" allowBlank="1" showInputMessage="1" showErrorMessage="1" sqref="E283 E28 E39 E34:E35 E55 E44 E94 E87 E80 E168:E170 E202 E198 E195 E192 E151 E174 E178 E182 E189 E147 E149 E206 E222 E129 E135 E125 E103 E108 E113 E119 E215 E76 E64 E161 E159 E155 E258 E262 E268 E274 E290 E49">
      <formula1>"Activate, Deactivate"</formula1>
    </dataValidation>
    <dataValidation type="list" allowBlank="1" showInputMessage="1" showErrorMessage="1" sqref="G293">
      <formula1>"None, Starts after project is completed, Only during implementation years"</formula1>
    </dataValidation>
    <dataValidation type="list" allowBlank="1" showInputMessage="1" showErrorMessage="1" sqref="G286">
      <formula1>" None, Starts after project is completed, Only during implementation years"</formula1>
    </dataValidation>
    <dataValidation type="list" allowBlank="1" showInputMessage="1" showErrorMessage="1" sqref="G22:H22 G28:H28 G39:H39 G44:H44 G49:H49 G55:H55 G64:H64 G80:H80 G87:H87 G94:H94 G103:H103 G108:H108 G113:H113 G119:H119 G129:H129 G125:H125 G135:H135 G147:H147 G247:H247 G151:H151 G155:H155 G159:H159 G161:H161 G174:H174 G178:H178 G182:H182 G189:H189 G192:H192 G195:H195 G198:H198 G202:H202 G206:H206 G215:H215 G262:H262 G268:H268 G274:H274 G283:H283 G290:H290 G223:H223 G229:H229 G235:H235 G241:H241 G149:H149">
      <formula1>PlanPeriod</formula1>
    </dataValidation>
    <dataValidation type="list" allowBlank="1" showErrorMessage="1" sqref="E22">
      <formula1>"Activate, Deactivate"</formula1>
    </dataValidation>
  </dataValidations>
  <hyperlinks>
    <hyperlink ref="C9:F9" location="'WS Plan'!E19" display="Access and coverage"/>
    <hyperlink ref="G9:J9" location="'WS Plan'!E73" display="Service levels and quality"/>
    <hyperlink ref="M9:Q9" location="'WS Plan'!E144" display="Efficiency in service operations"/>
    <hyperlink ref="S9:V9" location="'WS Plan'!E255" display="Financial sustainability"/>
    <hyperlink ref="D28" location="Annexure!E17" display="Learn more"/>
    <hyperlink ref="D34" location="Annexure!E18" display="Learn more"/>
    <hyperlink ref="D35" location="Annexure!E19" display="Learn more"/>
    <hyperlink ref="D39" location="Annexure!E20" display="Learn more"/>
    <hyperlink ref="D44" location="Annexure!E21" display="Learn more"/>
    <hyperlink ref="D49" location="Annexure!E22" display="Learn more"/>
    <hyperlink ref="D55" location="Annexure!E23" display="Learn more"/>
    <hyperlink ref="D64" location="Annexure!E24" display="Learn more"/>
    <hyperlink ref="D76" location="Annexure!E26" display="Learn more"/>
    <hyperlink ref="D80" location="Annexure!D27" display="Learn more"/>
    <hyperlink ref="D87" location="Annexure!D28" display="Learn more"/>
    <hyperlink ref="D94" location="Annexure!D29" display="Learn more"/>
    <hyperlink ref="D103" location="Annexure!D30" display="Learn more"/>
    <hyperlink ref="D108" location="Annexure!D31" display="Learn more"/>
    <hyperlink ref="D113" location="Annexure!D32" display="Learn more"/>
    <hyperlink ref="D119" location="Annexure!D33" display="Learn more"/>
    <hyperlink ref="D125" location="Annexure!D34" display="Learn more"/>
    <hyperlink ref="D129" location="Annexure!D35" display="Learn more"/>
    <hyperlink ref="D135" location="Annexure!D36" display="Learn more"/>
    <hyperlink ref="D147" location="Annexure!D38" display="Learn more"/>
    <hyperlink ref="D149" location="Annexure!D39" display="Learn more"/>
    <hyperlink ref="D151" location="Annexure!D40" display="Learn more"/>
    <hyperlink ref="D155" location="Annexure!D41" display="Learn more"/>
    <hyperlink ref="D159" location="Annexure!D42" display="Learn more"/>
    <hyperlink ref="D161" location="Annexure!D43" display="Learn more"/>
    <hyperlink ref="D168" location="Annexure!D44" display="Learn more"/>
    <hyperlink ref="D169" location="Annexure!D45" display="Learn more"/>
    <hyperlink ref="D170" location="Annexure!D46" display="Learn more"/>
    <hyperlink ref="D174" location="Annexure!D47" display="Learn more"/>
    <hyperlink ref="D178" location="Annexure!D48" display="Learn more"/>
    <hyperlink ref="D182" location="Annexure!D49" display="Learn more"/>
    <hyperlink ref="D189" location="Annexure!D50" display="Learn more"/>
    <hyperlink ref="D192" location="Annexure!D51" display="Learn more"/>
    <hyperlink ref="D195" location="Annexure!D52" display="Learn more"/>
    <hyperlink ref="D198" location="Annexure!D53" display="Learn more"/>
    <hyperlink ref="D202" location="Annexure!D54" display="Learn more"/>
    <hyperlink ref="D206" location="Annexure!D55" display="Learn more"/>
    <hyperlink ref="D215" location="Annexure!D56" display="Learn more"/>
    <hyperlink ref="D222" location="Annexure!D57" display="Learn more"/>
    <hyperlink ref="D258" location="Annexure!D59" display="Learn more"/>
    <hyperlink ref="D262" location="Annexure!D60" display="Learn more"/>
    <hyperlink ref="D268" location="Annexure!D61" display="Learn more"/>
    <hyperlink ref="D274" location="Annexure!D62" display="Learn more"/>
    <hyperlink ref="D22" location="Annexure!E16" display="Learn more"/>
  </hyperlinks>
  <printOptions horizontalCentered="1"/>
  <pageMargins left="0.19685039370078741" right="0.11811023622047245" top="0.11811023622047245" bottom="0.11811023622047245" header="0.11811023622047245" footer="0.11811023622047245"/>
  <pageSetup paperSize="9" scale="55" fitToHeight="0" orientation="landscape" verticalDpi="300" r:id="rId1"/>
  <rowBreaks count="6" manualBreakCount="6">
    <brk id="37" min="1" max="23" man="1"/>
    <brk id="72" min="1" max="23" man="1"/>
    <brk id="118" min="1" max="23" man="1"/>
    <brk id="171" min="1" max="23" man="1"/>
    <brk id="220" min="1" max="23" man="1"/>
    <brk id="276" min="1"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0]!Print_Sheet" altText="Print this page">
                <anchor moveWithCells="1" sizeWithCells="1">
                  <from>
                    <xdr:col>21</xdr:col>
                    <xdr:colOff>47625</xdr:colOff>
                    <xdr:row>4</xdr:row>
                    <xdr:rowOff>104775</xdr:rowOff>
                  </from>
                  <to>
                    <xdr:col>22</xdr:col>
                    <xdr:colOff>523875</xdr:colOff>
                    <xdr:row>6</xdr:row>
                    <xdr:rowOff>28575</xdr:rowOff>
                  </to>
                </anchor>
              </controlPr>
            </control>
          </mc:Choice>
        </mc:AlternateContent>
        <mc:AlternateContent xmlns:mc="http://schemas.openxmlformats.org/markup-compatibility/2006">
          <mc:Choice Requires="x14">
            <control shapeId="65538" r:id="rId5" name="Button 2">
              <controlPr defaultSize="0" print="0" autoFill="0" autoPict="0" macro="[0]!ResetInputCells" altText="Print this page">
                <anchor moveWithCells="1" sizeWithCells="1">
                  <from>
                    <xdr:col>19</xdr:col>
                    <xdr:colOff>171450</xdr:colOff>
                    <xdr:row>4</xdr:row>
                    <xdr:rowOff>95250</xdr:rowOff>
                  </from>
                  <to>
                    <xdr:col>20</xdr:col>
                    <xdr:colOff>561975</xdr:colOff>
                    <xdr:row>6</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6"/>
    <pageSetUpPr autoPageBreaks="0" fitToPage="1"/>
  </sheetPr>
  <dimension ref="A1:AS439"/>
  <sheetViews>
    <sheetView topLeftCell="A398" zoomScale="60" zoomScaleNormal="60" zoomScaleSheetLayoutView="30" workbookViewId="0">
      <selection activeCell="M212" sqref="M212"/>
    </sheetView>
  </sheetViews>
  <sheetFormatPr defaultColWidth="9.140625" defaultRowHeight="15" x14ac:dyDescent="0.25"/>
  <cols>
    <col min="1" max="1" width="12" style="466" customWidth="1"/>
    <col min="2" max="2" width="7.7109375" style="478" customWidth="1"/>
    <col min="3" max="3" width="3" style="3363" customWidth="1"/>
    <col min="4" max="4" width="5.28515625" style="492" customWidth="1"/>
    <col min="5" max="5" width="11.85546875" style="918" customWidth="1"/>
    <col min="6" max="6" width="67.5703125" style="478" customWidth="1"/>
    <col min="7" max="7" width="20.7109375" style="492" customWidth="1"/>
    <col min="8" max="8" width="18.85546875" style="478" customWidth="1"/>
    <col min="9" max="9" width="3.140625" style="495" customWidth="1"/>
    <col min="10" max="10" width="8.7109375" style="478" customWidth="1"/>
    <col min="11" max="11" width="9" style="478" customWidth="1"/>
    <col min="12" max="12" width="11" style="478" customWidth="1"/>
    <col min="13" max="16" width="9.140625" style="478"/>
    <col min="17" max="17" width="10" style="478" customWidth="1"/>
    <col min="18" max="19" width="9.140625" style="478"/>
    <col min="20" max="22" width="8.7109375" style="478" customWidth="1"/>
    <col min="23" max="23" width="8.28515625" style="478" customWidth="1"/>
    <col min="24" max="24" width="6.42578125" style="478" customWidth="1"/>
    <col min="25" max="25" width="9.140625" style="466"/>
    <col min="26" max="26" width="9.5703125" style="3735" hidden="1" customWidth="1"/>
    <col min="27" max="44" width="9.140625" style="478"/>
    <col min="45" max="45" width="9.140625" style="918"/>
    <col min="46" max="16384" width="9.140625" style="478"/>
  </cols>
  <sheetData>
    <row r="1" spans="1:26" s="921" customFormat="1" ht="6" customHeight="1" x14ac:dyDescent="0.25">
      <c r="C1" s="3362"/>
      <c r="K1" s="465"/>
      <c r="Z1" s="3735"/>
    </row>
    <row r="2" spans="1:26" s="921" customFormat="1" ht="49.5" customHeight="1" x14ac:dyDescent="0.5">
      <c r="B2" s="516"/>
      <c r="C2" s="6467" t="s">
        <v>2088</v>
      </c>
      <c r="D2" s="6467"/>
      <c r="E2" s="6467"/>
      <c r="F2" s="6467"/>
      <c r="G2" s="6467"/>
      <c r="H2" s="6467"/>
      <c r="I2" s="6467"/>
      <c r="J2" s="6467"/>
      <c r="K2" s="6467"/>
      <c r="L2" s="6467"/>
      <c r="M2" s="6467"/>
      <c r="N2" s="6467"/>
      <c r="O2" s="6467"/>
      <c r="P2" s="6467"/>
      <c r="Q2" s="6467"/>
      <c r="R2" s="6467"/>
      <c r="S2" s="517"/>
      <c r="T2" s="517"/>
      <c r="U2" s="517"/>
      <c r="V2" s="517"/>
      <c r="W2" s="517"/>
      <c r="X2" s="518"/>
      <c r="Z2" s="3735"/>
    </row>
    <row r="3" spans="1:26" s="921" customFormat="1" ht="14.25" customHeight="1" x14ac:dyDescent="0.25">
      <c r="B3" s="519"/>
      <c r="C3" s="922"/>
      <c r="D3" s="922"/>
      <c r="E3" s="922"/>
      <c r="F3" s="922"/>
      <c r="G3" s="922"/>
      <c r="H3" s="922"/>
      <c r="I3" s="922"/>
      <c r="J3" s="468"/>
      <c r="K3" s="468"/>
      <c r="L3" s="468"/>
      <c r="M3" s="468"/>
      <c r="N3" s="468"/>
      <c r="O3" s="468"/>
      <c r="P3" s="468"/>
      <c r="Q3" s="468"/>
      <c r="R3" s="468"/>
      <c r="S3" s="468"/>
      <c r="T3" s="468"/>
      <c r="U3" s="468"/>
      <c r="V3" s="468"/>
      <c r="W3" s="468"/>
      <c r="X3" s="520"/>
      <c r="Z3" s="3735"/>
    </row>
    <row r="4" spans="1:26" s="921" customFormat="1" ht="28.5" x14ac:dyDescent="0.25">
      <c r="B4" s="519"/>
      <c r="C4" s="6176" t="s">
        <v>3738</v>
      </c>
      <c r="D4" s="6176"/>
      <c r="E4" s="6176"/>
      <c r="F4" s="6176"/>
      <c r="G4" s="6176"/>
      <c r="H4" s="6176"/>
      <c r="I4" s="6176"/>
      <c r="J4" s="6176"/>
      <c r="K4" s="6176"/>
      <c r="L4" s="6176"/>
      <c r="M4" s="6176"/>
      <c r="N4" s="6176"/>
      <c r="O4" s="6176"/>
      <c r="P4" s="6176"/>
      <c r="Q4" s="6176"/>
      <c r="R4" s="6176"/>
      <c r="S4" s="6176"/>
      <c r="T4" s="486"/>
      <c r="U4" s="486"/>
      <c r="V4" s="486"/>
      <c r="W4" s="491"/>
      <c r="X4" s="520"/>
      <c r="Z4" s="3735"/>
    </row>
    <row r="5" spans="1:26" s="921" customFormat="1" ht="9" customHeight="1" x14ac:dyDescent="0.25">
      <c r="B5" s="519"/>
      <c r="C5" s="922"/>
      <c r="D5" s="922"/>
      <c r="E5" s="922"/>
      <c r="F5" s="922"/>
      <c r="G5" s="922"/>
      <c r="H5" s="922"/>
      <c r="I5" s="922"/>
      <c r="J5" s="468"/>
      <c r="K5" s="468"/>
      <c r="L5" s="468"/>
      <c r="M5" s="468"/>
      <c r="N5" s="468"/>
      <c r="O5" s="468"/>
      <c r="P5" s="468"/>
      <c r="Q5" s="468"/>
      <c r="R5" s="468"/>
      <c r="S5" s="468"/>
      <c r="T5" s="468"/>
      <c r="U5" s="468"/>
      <c r="V5" s="468"/>
      <c r="W5" s="468"/>
      <c r="X5" s="520"/>
      <c r="Z5" s="3735"/>
    </row>
    <row r="6" spans="1:26" s="472" customFormat="1" ht="19.5" customHeight="1" x14ac:dyDescent="0.25">
      <c r="B6" s="6468"/>
      <c r="C6" s="6469"/>
      <c r="D6" s="6469"/>
      <c r="E6" s="6469"/>
      <c r="F6" s="6349" t="s">
        <v>2911</v>
      </c>
      <c r="G6" s="6349"/>
      <c r="H6" s="6349"/>
      <c r="I6" s="6349"/>
      <c r="J6" s="6349"/>
      <c r="K6" s="6349"/>
      <c r="L6" s="6349"/>
      <c r="M6" s="6349"/>
      <c r="N6" s="6349"/>
      <c r="O6" s="6349"/>
      <c r="P6" s="6349"/>
      <c r="Q6" s="6349"/>
      <c r="R6" s="481"/>
      <c r="S6" s="481"/>
      <c r="T6" s="473"/>
      <c r="U6" s="473"/>
      <c r="V6" s="473"/>
      <c r="W6" s="473"/>
      <c r="X6" s="521"/>
      <c r="Z6" s="1327"/>
    </row>
    <row r="7" spans="1:26" s="472" customFormat="1" ht="8.25" customHeight="1" x14ac:dyDescent="0.25">
      <c r="B7" s="1222"/>
      <c r="C7" s="5551"/>
      <c r="D7" s="5552"/>
      <c r="E7" s="5552"/>
      <c r="F7" s="3376"/>
      <c r="G7" s="3376"/>
      <c r="H7" s="3376"/>
      <c r="I7" s="3376"/>
      <c r="J7" s="473"/>
      <c r="K7" s="473"/>
      <c r="L7" s="473"/>
      <c r="M7" s="473"/>
      <c r="N7" s="473"/>
      <c r="O7" s="473"/>
      <c r="P7" s="473"/>
      <c r="Q7" s="473"/>
      <c r="R7" s="473"/>
      <c r="S7" s="473"/>
      <c r="T7" s="473"/>
      <c r="U7" s="473"/>
      <c r="V7" s="473"/>
      <c r="W7" s="473"/>
      <c r="X7" s="521"/>
      <c r="Z7" s="1327"/>
    </row>
    <row r="8" spans="1:26" s="467" customFormat="1" ht="29.25" customHeight="1" x14ac:dyDescent="0.25">
      <c r="B8" s="1329"/>
      <c r="C8" s="6350" t="s">
        <v>3475</v>
      </c>
      <c r="D8" s="6350"/>
      <c r="E8" s="6350"/>
      <c r="F8" s="6350"/>
      <c r="G8" s="6350"/>
      <c r="H8" s="6350"/>
      <c r="I8" s="6350"/>
      <c r="J8" s="6350"/>
      <c r="K8" s="6350"/>
      <c r="L8" s="6350"/>
      <c r="M8" s="6350"/>
      <c r="N8" s="6350"/>
      <c r="O8" s="6350"/>
      <c r="P8" s="6350"/>
      <c r="Q8" s="6350"/>
      <c r="R8" s="6350"/>
      <c r="S8" s="6350"/>
      <c r="T8" s="6350"/>
      <c r="U8" s="3645"/>
      <c r="V8" s="3645"/>
      <c r="W8" s="479"/>
      <c r="X8" s="524"/>
      <c r="Z8" s="3736"/>
    </row>
    <row r="9" spans="1:26" s="467" customFormat="1" ht="26.25" customHeight="1" x14ac:dyDescent="0.25">
      <c r="A9" s="5471" t="s">
        <v>184</v>
      </c>
      <c r="B9" s="1764"/>
      <c r="C9" s="6470" t="s">
        <v>565</v>
      </c>
      <c r="D9" s="6470"/>
      <c r="E9" s="6470"/>
      <c r="F9" s="6470"/>
      <c r="G9" s="6470" t="s">
        <v>568</v>
      </c>
      <c r="H9" s="6470"/>
      <c r="I9" s="6470"/>
      <c r="J9" s="6470"/>
      <c r="K9" s="6470"/>
      <c r="L9" s="6470"/>
      <c r="M9" s="6470" t="s">
        <v>735</v>
      </c>
      <c r="N9" s="6470"/>
      <c r="O9" s="6470"/>
      <c r="P9" s="6470" t="s">
        <v>2916</v>
      </c>
      <c r="Q9" s="6470"/>
      <c r="R9" s="1336"/>
      <c r="S9" s="6474" t="s">
        <v>1045</v>
      </c>
      <c r="T9" s="6474"/>
      <c r="U9" s="6474"/>
      <c r="V9" s="6474"/>
      <c r="W9" s="3653"/>
      <c r="X9" s="3654"/>
      <c r="Y9" s="1246"/>
      <c r="Z9" s="1009"/>
    </row>
    <row r="10" spans="1:26" s="467" customFormat="1" ht="173.25" customHeight="1" x14ac:dyDescent="0.25">
      <c r="B10" s="6465" t="s">
        <v>948</v>
      </c>
      <c r="C10" s="6465"/>
      <c r="D10" s="6465"/>
      <c r="E10" s="6465"/>
      <c r="F10" s="6471" t="s">
        <v>3483</v>
      </c>
      <c r="G10" s="6472"/>
      <c r="H10" s="6472"/>
      <c r="I10" s="6472"/>
      <c r="J10" s="6472"/>
      <c r="K10" s="6472"/>
      <c r="L10" s="6472"/>
      <c r="M10" s="6472"/>
      <c r="N10" s="6472"/>
      <c r="O10" s="6472"/>
      <c r="P10" s="6472"/>
      <c r="Q10" s="6472"/>
      <c r="R10" s="6472"/>
      <c r="S10" s="6472"/>
      <c r="T10" s="6472"/>
      <c r="U10" s="6472"/>
      <c r="V10" s="6472"/>
      <c r="W10" s="6472"/>
      <c r="X10" s="787"/>
      <c r="Z10" s="3736"/>
    </row>
    <row r="11" spans="1:26" s="467" customFormat="1" ht="36.75" customHeight="1" x14ac:dyDescent="0.25">
      <c r="B11" s="6466"/>
      <c r="C11" s="6466"/>
      <c r="D11" s="6466"/>
      <c r="E11" s="6466"/>
      <c r="F11" s="4734" t="s">
        <v>1711</v>
      </c>
      <c r="G11" s="6473" t="s">
        <v>1707</v>
      </c>
      <c r="H11" s="6473"/>
      <c r="I11" s="6473"/>
      <c r="J11" s="6473"/>
      <c r="K11" s="6473"/>
      <c r="L11" s="6473"/>
      <c r="M11" s="6473"/>
      <c r="N11" s="6473"/>
      <c r="O11" s="6473"/>
      <c r="P11" s="6473"/>
      <c r="Q11" s="6473"/>
      <c r="R11" s="6473"/>
      <c r="S11" s="6473"/>
      <c r="T11" s="6473"/>
      <c r="U11" s="6473"/>
      <c r="V11" s="6473"/>
      <c r="W11" s="6473"/>
      <c r="X11" s="787"/>
      <c r="Z11" s="3736"/>
    </row>
    <row r="12" spans="1:26" s="467" customFormat="1" ht="90" customHeight="1" x14ac:dyDescent="0.25">
      <c r="B12" s="6466"/>
      <c r="C12" s="6466"/>
      <c r="D12" s="6466"/>
      <c r="E12" s="6466"/>
      <c r="F12" s="4734" t="s">
        <v>2983</v>
      </c>
      <c r="G12" s="6473" t="s">
        <v>3472</v>
      </c>
      <c r="H12" s="6473"/>
      <c r="I12" s="6473"/>
      <c r="J12" s="6473"/>
      <c r="K12" s="6473"/>
      <c r="L12" s="6473"/>
      <c r="M12" s="6473"/>
      <c r="N12" s="6473"/>
      <c r="O12" s="6473"/>
      <c r="P12" s="6473"/>
      <c r="Q12" s="6473"/>
      <c r="R12" s="6473"/>
      <c r="S12" s="6473"/>
      <c r="T12" s="6473"/>
      <c r="U12" s="6473"/>
      <c r="V12" s="6473"/>
      <c r="W12" s="6473"/>
      <c r="X12" s="787"/>
      <c r="Z12" s="3736"/>
    </row>
    <row r="13" spans="1:26" s="467" customFormat="1" ht="36" customHeight="1" x14ac:dyDescent="0.25">
      <c r="B13" s="6466"/>
      <c r="C13" s="6466"/>
      <c r="D13" s="6466"/>
      <c r="E13" s="6466"/>
      <c r="F13" s="4734" t="s">
        <v>770</v>
      </c>
      <c r="G13" s="6473" t="s">
        <v>3473</v>
      </c>
      <c r="H13" s="6473"/>
      <c r="I13" s="6473"/>
      <c r="J13" s="6473"/>
      <c r="K13" s="6473"/>
      <c r="L13" s="6473"/>
      <c r="M13" s="6473"/>
      <c r="N13" s="6473"/>
      <c r="O13" s="6473"/>
      <c r="P13" s="6473"/>
      <c r="Q13" s="6473"/>
      <c r="R13" s="6473"/>
      <c r="S13" s="6473"/>
      <c r="T13" s="6473"/>
      <c r="U13" s="6473"/>
      <c r="V13" s="6473"/>
      <c r="W13" s="6473"/>
      <c r="X13" s="787"/>
      <c r="Z13" s="3736"/>
    </row>
    <row r="14" spans="1:26" s="467" customFormat="1" ht="18.75" customHeight="1" x14ac:dyDescent="0.25">
      <c r="B14" s="6466"/>
      <c r="C14" s="6466"/>
      <c r="D14" s="6466"/>
      <c r="E14" s="6466"/>
      <c r="F14" s="4734" t="s">
        <v>1712</v>
      </c>
      <c r="G14" s="6473" t="s">
        <v>3474</v>
      </c>
      <c r="H14" s="6473"/>
      <c r="I14" s="6473"/>
      <c r="J14" s="6473"/>
      <c r="K14" s="6473"/>
      <c r="L14" s="6473"/>
      <c r="M14" s="6473"/>
      <c r="N14" s="6473"/>
      <c r="O14" s="6473"/>
      <c r="P14" s="6473"/>
      <c r="Q14" s="6473"/>
      <c r="R14" s="6473"/>
      <c r="S14" s="6473"/>
      <c r="T14" s="6473"/>
      <c r="U14" s="6473"/>
      <c r="V14" s="6473"/>
      <c r="W14" s="6473"/>
      <c r="X14" s="787"/>
      <c r="Z14" s="3736"/>
    </row>
    <row r="15" spans="1:26" s="467" customFormat="1" ht="36" customHeight="1" x14ac:dyDescent="0.25">
      <c r="B15" s="6466"/>
      <c r="C15" s="6466"/>
      <c r="D15" s="6466"/>
      <c r="E15" s="6466"/>
      <c r="F15" s="4734" t="s">
        <v>1713</v>
      </c>
      <c r="G15" s="6473" t="s">
        <v>1709</v>
      </c>
      <c r="H15" s="6473"/>
      <c r="I15" s="6473"/>
      <c r="J15" s="6473"/>
      <c r="K15" s="6473"/>
      <c r="L15" s="6473"/>
      <c r="M15" s="6473"/>
      <c r="N15" s="6473"/>
      <c r="O15" s="6473"/>
      <c r="P15" s="6473"/>
      <c r="Q15" s="6473"/>
      <c r="R15" s="6473"/>
      <c r="S15" s="6473"/>
      <c r="T15" s="6473"/>
      <c r="U15" s="6473"/>
      <c r="V15" s="6473"/>
      <c r="W15" s="6473"/>
      <c r="X15" s="787"/>
      <c r="Z15" s="3736"/>
    </row>
    <row r="16" spans="1:26" s="467" customFormat="1" ht="36" customHeight="1" x14ac:dyDescent="0.25">
      <c r="B16" s="6466"/>
      <c r="C16" s="6466"/>
      <c r="D16" s="6466"/>
      <c r="E16" s="6466"/>
      <c r="F16" s="4734" t="s">
        <v>1714</v>
      </c>
      <c r="G16" s="6473" t="s">
        <v>1992</v>
      </c>
      <c r="H16" s="6473"/>
      <c r="I16" s="6473"/>
      <c r="J16" s="6473"/>
      <c r="K16" s="6473"/>
      <c r="L16" s="6473"/>
      <c r="M16" s="6473"/>
      <c r="N16" s="6473"/>
      <c r="O16" s="6473"/>
      <c r="P16" s="6473"/>
      <c r="Q16" s="6473"/>
      <c r="R16" s="6473"/>
      <c r="S16" s="6473"/>
      <c r="T16" s="6473"/>
      <c r="U16" s="6473"/>
      <c r="V16" s="6473"/>
      <c r="W16" s="6473"/>
      <c r="X16" s="787"/>
      <c r="Z16" s="3736"/>
    </row>
    <row r="17" spans="1:26" s="467" customFormat="1" ht="18.75" x14ac:dyDescent="0.25">
      <c r="B17" s="796"/>
      <c r="C17" s="796"/>
      <c r="D17" s="1141"/>
      <c r="E17" s="796"/>
      <c r="F17" s="791"/>
      <c r="G17" s="797"/>
      <c r="H17" s="797"/>
      <c r="I17" s="797"/>
      <c r="J17" s="797"/>
      <c r="K17" s="790"/>
      <c r="L17" s="797"/>
      <c r="M17" s="797"/>
      <c r="N17" s="790"/>
      <c r="O17" s="797"/>
      <c r="P17" s="797"/>
      <c r="Q17" s="797"/>
      <c r="R17" s="797"/>
      <c r="S17" s="797"/>
      <c r="T17" s="797"/>
      <c r="U17" s="797"/>
      <c r="V17" s="797"/>
      <c r="W17" s="797"/>
      <c r="X17" s="787"/>
      <c r="Z17" s="3736"/>
    </row>
    <row r="18" spans="1:26" s="465" customFormat="1" x14ac:dyDescent="0.25">
      <c r="B18" s="993"/>
      <c r="C18" s="47"/>
      <c r="D18" s="47"/>
      <c r="E18" s="470"/>
      <c r="F18" s="992"/>
      <c r="G18" s="992"/>
      <c r="H18" s="992"/>
      <c r="I18" s="992"/>
      <c r="J18" s="992"/>
      <c r="K18" s="992"/>
      <c r="L18" s="992"/>
      <c r="M18" s="992"/>
      <c r="N18" s="992"/>
      <c r="O18" s="992"/>
      <c r="P18" s="992"/>
      <c r="Q18" s="992"/>
      <c r="R18" s="992"/>
      <c r="S18" s="992"/>
      <c r="T18" s="992"/>
      <c r="U18" s="992"/>
      <c r="V18" s="992"/>
      <c r="W18" s="992"/>
      <c r="X18" s="992"/>
      <c r="Z18" s="3737"/>
    </row>
    <row r="19" spans="1:26" s="480" customFormat="1" ht="31.5" customHeight="1" x14ac:dyDescent="0.25">
      <c r="B19" s="1382"/>
      <c r="C19" s="1383"/>
      <c r="D19" s="1384" t="s">
        <v>1</v>
      </c>
      <c r="E19" s="1384" t="s">
        <v>565</v>
      </c>
      <c r="F19" s="1384"/>
      <c r="G19" s="1384"/>
      <c r="H19" s="1384"/>
      <c r="I19" s="1384"/>
      <c r="J19" s="1384"/>
      <c r="K19" s="1384"/>
      <c r="L19" s="1384"/>
      <c r="M19" s="1384"/>
      <c r="N19" s="1384"/>
      <c r="O19" s="1384"/>
      <c r="P19" s="1384"/>
      <c r="Q19" s="1384"/>
      <c r="R19" s="1384"/>
      <c r="S19" s="1384"/>
      <c r="T19" s="1384"/>
      <c r="U19" s="1385"/>
      <c r="V19" s="1385"/>
      <c r="W19" s="1385"/>
      <c r="X19" s="1386"/>
      <c r="Z19" s="3738"/>
    </row>
    <row r="20" spans="1:26" ht="21" x14ac:dyDescent="0.3">
      <c r="B20" s="389"/>
      <c r="C20" s="5536"/>
      <c r="D20" s="408"/>
      <c r="E20" s="408"/>
      <c r="F20" s="409"/>
      <c r="G20" s="409"/>
      <c r="H20" s="409"/>
      <c r="I20" s="410"/>
      <c r="J20" s="2"/>
      <c r="K20" s="2"/>
      <c r="L20" s="2"/>
      <c r="M20" s="2"/>
      <c r="N20" s="2"/>
      <c r="O20" s="2"/>
      <c r="P20" s="2"/>
      <c r="Q20" s="2"/>
      <c r="R20" s="2"/>
      <c r="S20" s="2"/>
      <c r="T20" s="2"/>
      <c r="U20" s="2"/>
      <c r="V20" s="2"/>
      <c r="W20" s="2"/>
      <c r="X20" s="2"/>
    </row>
    <row r="21" spans="1:26" ht="21.75" thickBot="1" x14ac:dyDescent="0.35">
      <c r="B21" s="389"/>
      <c r="C21" s="5537"/>
      <c r="D21" s="399"/>
      <c r="E21" s="399">
        <v>1</v>
      </c>
      <c r="F21" s="6431" t="s">
        <v>566</v>
      </c>
      <c r="G21" s="6431"/>
      <c r="H21" s="6431"/>
      <c r="I21" s="390"/>
      <c r="J21" s="2"/>
      <c r="K21" s="2"/>
      <c r="L21" s="2"/>
      <c r="M21" s="2"/>
      <c r="N21" s="2"/>
      <c r="O21" s="2"/>
      <c r="P21" s="2"/>
      <c r="Q21" s="2"/>
      <c r="R21" s="2"/>
      <c r="S21" s="2"/>
      <c r="T21" s="2"/>
      <c r="U21" s="2"/>
      <c r="V21" s="2"/>
      <c r="W21" s="2"/>
      <c r="X21" s="2"/>
    </row>
    <row r="22" spans="1:26" ht="18.75" thickBot="1" x14ac:dyDescent="0.35">
      <c r="B22" s="389"/>
      <c r="C22" s="5538" t="s">
        <v>3120</v>
      </c>
      <c r="D22" s="3422" t="s">
        <v>786</v>
      </c>
      <c r="E22" s="2976" t="s">
        <v>79</v>
      </c>
      <c r="F22" s="2982" t="s">
        <v>1556</v>
      </c>
      <c r="G22" s="3922"/>
      <c r="H22" s="3923"/>
      <c r="I22" s="5904"/>
      <c r="J22" s="991"/>
      <c r="K22" s="2"/>
      <c r="L22" s="2"/>
      <c r="M22" s="2"/>
      <c r="N22" s="2"/>
      <c r="O22" s="2"/>
      <c r="P22" s="2"/>
      <c r="Q22" s="2"/>
      <c r="R22" s="2"/>
      <c r="S22" s="2"/>
      <c r="T22" s="2"/>
      <c r="U22" s="2"/>
      <c r="V22" s="2"/>
      <c r="W22" s="2"/>
      <c r="X22" s="2"/>
      <c r="Z22" s="3735">
        <f>'Perf assessment'!U128</f>
        <v>0</v>
      </c>
    </row>
    <row r="23" spans="1:26" s="918" customFormat="1" ht="15.75" x14ac:dyDescent="0.3">
      <c r="A23" s="921"/>
      <c r="B23" s="389"/>
      <c r="C23" s="5537"/>
      <c r="D23" s="6587" t="s">
        <v>82</v>
      </c>
      <c r="E23" s="6588"/>
      <c r="F23" s="2957" t="s">
        <v>2999</v>
      </c>
      <c r="G23" s="2968" t="s">
        <v>207</v>
      </c>
      <c r="H23" s="3404">
        <f>Population!$E$31</f>
        <v>0</v>
      </c>
      <c r="I23" s="5904"/>
      <c r="J23" s="991"/>
      <c r="K23" s="991"/>
      <c r="L23" s="991"/>
      <c r="M23" s="991"/>
      <c r="N23" s="991"/>
      <c r="O23" s="991"/>
      <c r="P23" s="991"/>
      <c r="Q23" s="991"/>
      <c r="R23" s="991"/>
      <c r="S23" s="991"/>
      <c r="T23" s="991"/>
      <c r="U23" s="991"/>
      <c r="V23" s="991"/>
      <c r="W23" s="991"/>
      <c r="X23" s="991"/>
      <c r="Y23" s="921"/>
      <c r="Z23" s="3739"/>
    </row>
    <row r="24" spans="1:26" ht="15.75" x14ac:dyDescent="0.25">
      <c r="A24" s="921"/>
      <c r="B24" s="2"/>
      <c r="C24" s="5537"/>
      <c r="D24" s="6453" t="s">
        <v>210</v>
      </c>
      <c r="E24" s="6586"/>
      <c r="F24" s="2966" t="s">
        <v>2215</v>
      </c>
      <c r="G24" s="2969" t="s">
        <v>18</v>
      </c>
      <c r="H24" s="3001"/>
      <c r="I24" s="5904"/>
      <c r="J24" s="991"/>
      <c r="K24" s="2"/>
      <c r="L24" s="2"/>
      <c r="M24" s="2"/>
      <c r="N24" s="2"/>
      <c r="O24" s="2"/>
      <c r="P24" s="2"/>
      <c r="Q24" s="2"/>
      <c r="R24" s="2"/>
      <c r="S24" s="2"/>
      <c r="T24" s="2"/>
      <c r="U24" s="2"/>
      <c r="V24" s="2"/>
      <c r="W24" s="2"/>
      <c r="X24" s="2"/>
    </row>
    <row r="25" spans="1:26" ht="15.75" x14ac:dyDescent="0.25">
      <c r="A25" s="921"/>
      <c r="B25" s="2"/>
      <c r="C25" s="5537"/>
      <c r="D25" s="6453"/>
      <c r="E25" s="6586"/>
      <c r="F25" s="2967" t="s">
        <v>2216</v>
      </c>
      <c r="G25" s="2970" t="s">
        <v>479</v>
      </c>
      <c r="H25" s="3002"/>
      <c r="I25" s="5904"/>
      <c r="J25" s="991"/>
      <c r="K25" s="2"/>
      <c r="L25" s="2"/>
      <c r="M25" s="2"/>
      <c r="N25" s="2"/>
      <c r="O25" s="2"/>
      <c r="P25" s="2"/>
      <c r="Q25" s="2"/>
      <c r="R25" s="2"/>
      <c r="S25" s="2"/>
      <c r="T25" s="2"/>
      <c r="U25" s="2"/>
      <c r="V25" s="2"/>
      <c r="W25" s="2"/>
      <c r="X25" s="2"/>
    </row>
    <row r="26" spans="1:26" ht="15.75" x14ac:dyDescent="0.25">
      <c r="B26" s="2"/>
      <c r="C26" s="5537"/>
      <c r="D26" s="6453" t="s">
        <v>211</v>
      </c>
      <c r="E26" s="6586"/>
      <c r="F26" s="2955" t="s">
        <v>2217</v>
      </c>
      <c r="G26" s="3141" t="s">
        <v>3529</v>
      </c>
      <c r="H26" s="3002"/>
      <c r="I26" s="5904"/>
      <c r="J26" s="2"/>
      <c r="K26" s="2"/>
      <c r="L26" s="2"/>
      <c r="M26" s="2"/>
      <c r="N26" s="2"/>
      <c r="O26" s="2"/>
      <c r="P26" s="2"/>
      <c r="Q26" s="2"/>
      <c r="R26" s="2"/>
      <c r="S26" s="2"/>
      <c r="T26" s="2"/>
      <c r="U26" s="2"/>
      <c r="V26" s="2"/>
      <c r="W26" s="2"/>
      <c r="X26" s="2"/>
    </row>
    <row r="27" spans="1:26" ht="16.5" thickBot="1" x14ac:dyDescent="0.3">
      <c r="A27" s="921"/>
      <c r="B27" s="2"/>
      <c r="C27" s="5537"/>
      <c r="D27" s="6486"/>
      <c r="E27" s="6595"/>
      <c r="F27" s="2956" t="s">
        <v>2218</v>
      </c>
      <c r="G27" s="3256" t="s">
        <v>3503</v>
      </c>
      <c r="H27" s="5760"/>
      <c r="I27" s="5904"/>
      <c r="J27" s="2"/>
      <c r="K27" s="2"/>
      <c r="L27" s="2"/>
      <c r="M27" s="2"/>
      <c r="N27" s="2"/>
      <c r="O27" s="2"/>
      <c r="P27" s="2"/>
      <c r="Q27" s="2"/>
      <c r="R27" s="2"/>
      <c r="S27" s="2"/>
      <c r="T27" s="2"/>
      <c r="U27" s="2"/>
      <c r="V27" s="2"/>
      <c r="W27" s="2"/>
      <c r="X27" s="2"/>
    </row>
    <row r="28" spans="1:26" ht="18.75" thickBot="1" x14ac:dyDescent="0.3">
      <c r="B28" s="2"/>
      <c r="C28" s="5538" t="s">
        <v>3121</v>
      </c>
      <c r="D28" s="3422" t="s">
        <v>786</v>
      </c>
      <c r="E28" s="2976" t="s">
        <v>78</v>
      </c>
      <c r="F28" s="2983" t="s">
        <v>1416</v>
      </c>
      <c r="G28" s="3927"/>
      <c r="H28" s="3923"/>
      <c r="I28" s="5904"/>
      <c r="J28" s="991"/>
      <c r="K28" s="2"/>
      <c r="L28" s="2"/>
      <c r="M28" s="2"/>
      <c r="N28" s="2"/>
      <c r="O28" s="2"/>
      <c r="P28" s="2"/>
      <c r="Q28" s="2"/>
      <c r="R28" s="2"/>
      <c r="S28" s="2"/>
      <c r="T28" s="2"/>
      <c r="U28" s="2"/>
      <c r="V28" s="2"/>
      <c r="W28" s="2"/>
      <c r="X28" s="2"/>
      <c r="Z28" s="3735" t="b">
        <f>'Perf assessment'!U129</f>
        <v>1</v>
      </c>
    </row>
    <row r="29" spans="1:26" ht="15.75" x14ac:dyDescent="0.25">
      <c r="B29" s="2"/>
      <c r="C29" s="5537"/>
      <c r="D29" s="6457" t="s">
        <v>210</v>
      </c>
      <c r="E29" s="6475"/>
      <c r="F29" s="2957" t="s">
        <v>2216</v>
      </c>
      <c r="G29" s="2972" t="s">
        <v>479</v>
      </c>
      <c r="H29" s="3002"/>
      <c r="I29" s="5904"/>
      <c r="J29" s="991"/>
      <c r="K29" s="2"/>
      <c r="L29" s="2"/>
      <c r="M29" s="2"/>
      <c r="N29" s="2"/>
      <c r="O29" s="2"/>
      <c r="P29" s="2"/>
      <c r="Q29" s="2"/>
      <c r="R29" s="2"/>
      <c r="S29" s="2"/>
      <c r="T29" s="2"/>
      <c r="U29" s="2"/>
      <c r="V29" s="2"/>
      <c r="W29" s="2"/>
      <c r="X29" s="2"/>
    </row>
    <row r="30" spans="1:26" ht="15.75" x14ac:dyDescent="0.25">
      <c r="B30" s="2"/>
      <c r="C30" s="5537"/>
      <c r="D30" s="6429" t="s">
        <v>211</v>
      </c>
      <c r="E30" s="6589"/>
      <c r="F30" s="2971" t="s">
        <v>3533</v>
      </c>
      <c r="G30" s="2973" t="s">
        <v>3520</v>
      </c>
      <c r="H30" s="5761"/>
      <c r="I30" s="5904"/>
      <c r="J30" s="2"/>
      <c r="K30" s="2"/>
      <c r="L30" s="2"/>
      <c r="M30" s="2"/>
      <c r="N30" s="2"/>
      <c r="O30" s="2"/>
      <c r="P30" s="2"/>
      <c r="Q30" s="2"/>
      <c r="R30" s="2"/>
      <c r="S30" s="2"/>
      <c r="T30" s="2"/>
      <c r="U30" s="2"/>
      <c r="V30" s="2"/>
      <c r="W30" s="2"/>
      <c r="X30" s="2"/>
    </row>
    <row r="31" spans="1:26" ht="16.5" thickBot="1" x14ac:dyDescent="0.3">
      <c r="B31" s="2"/>
      <c r="C31" s="5537"/>
      <c r="D31" s="6455"/>
      <c r="E31" s="6590"/>
      <c r="F31" s="2958" t="s">
        <v>2218</v>
      </c>
      <c r="G31" s="3256" t="s">
        <v>3503</v>
      </c>
      <c r="H31" s="5762"/>
      <c r="I31" s="5904"/>
      <c r="J31" s="2"/>
      <c r="K31" s="421"/>
      <c r="L31" s="2"/>
      <c r="M31" s="2"/>
      <c r="N31" s="2"/>
      <c r="O31" s="2"/>
      <c r="P31" s="2"/>
      <c r="Q31" s="2"/>
      <c r="R31" s="2"/>
      <c r="S31" s="2"/>
      <c r="T31" s="2"/>
      <c r="U31" s="2"/>
      <c r="V31" s="2"/>
      <c r="W31" s="2"/>
      <c r="X31" s="2"/>
    </row>
    <row r="32" spans="1:26" ht="18.75" thickBot="1" x14ac:dyDescent="0.35">
      <c r="B32" s="389"/>
      <c r="C32" s="5538" t="s">
        <v>3122</v>
      </c>
      <c r="D32" s="3422" t="s">
        <v>786</v>
      </c>
      <c r="E32" s="2976" t="s">
        <v>78</v>
      </c>
      <c r="F32" s="2977" t="s">
        <v>1768</v>
      </c>
      <c r="G32" s="3922"/>
      <c r="H32" s="3932"/>
      <c r="I32" s="5904"/>
      <c r="J32" s="2"/>
      <c r="K32" s="2"/>
      <c r="L32" s="2"/>
      <c r="M32" s="2"/>
      <c r="N32" s="2"/>
      <c r="O32" s="2"/>
      <c r="P32" s="2"/>
      <c r="Q32" s="2"/>
      <c r="R32" s="2"/>
      <c r="S32" s="2"/>
      <c r="T32" s="2"/>
      <c r="U32" s="2"/>
      <c r="V32" s="2"/>
      <c r="W32" s="2"/>
      <c r="X32" s="2"/>
      <c r="Z32" s="3735">
        <f>'Perf assessment'!U130</f>
        <v>0</v>
      </c>
    </row>
    <row r="33" spans="1:26" ht="15" customHeight="1" x14ac:dyDescent="0.25">
      <c r="A33" s="921"/>
      <c r="B33" s="2"/>
      <c r="C33" s="5537"/>
      <c r="D33" s="6425" t="s">
        <v>211</v>
      </c>
      <c r="E33" s="6426"/>
      <c r="F33" s="2974" t="s">
        <v>3500</v>
      </c>
      <c r="G33" s="2973" t="s">
        <v>3520</v>
      </c>
      <c r="H33" s="5761"/>
      <c r="I33" s="5904"/>
      <c r="J33" s="2"/>
      <c r="K33" s="2"/>
      <c r="L33" s="2"/>
      <c r="M33" s="2"/>
      <c r="N33" s="2"/>
      <c r="O33" s="2"/>
      <c r="P33" s="2"/>
      <c r="Q33" s="2"/>
      <c r="R33" s="2"/>
      <c r="S33" s="2"/>
      <c r="T33" s="2"/>
      <c r="U33" s="2"/>
      <c r="V33" s="2"/>
      <c r="W33" s="2"/>
      <c r="X33" s="2"/>
    </row>
    <row r="34" spans="1:26" ht="15.75" x14ac:dyDescent="0.25">
      <c r="B34" s="2"/>
      <c r="C34" s="5537"/>
      <c r="D34" s="6440"/>
      <c r="E34" s="6441"/>
      <c r="F34" s="2975" t="s">
        <v>2220</v>
      </c>
      <c r="G34" s="3256" t="s">
        <v>3503</v>
      </c>
      <c r="H34" s="5762"/>
      <c r="I34" s="5904"/>
      <c r="J34" s="2"/>
      <c r="K34" s="2"/>
      <c r="L34" s="2"/>
      <c r="M34" s="2"/>
      <c r="N34" s="2"/>
      <c r="O34" s="2"/>
      <c r="P34" s="2"/>
      <c r="Q34" s="2"/>
      <c r="R34" s="2"/>
      <c r="S34" s="2"/>
      <c r="T34" s="2"/>
      <c r="U34" s="2"/>
      <c r="V34" s="2"/>
      <c r="W34" s="2"/>
      <c r="X34" s="2"/>
    </row>
    <row r="35" spans="1:26" x14ac:dyDescent="0.25">
      <c r="B35" s="2"/>
      <c r="C35" s="5537"/>
      <c r="D35" s="415"/>
      <c r="E35" s="388"/>
      <c r="F35" s="388"/>
      <c r="G35" s="388"/>
      <c r="H35" s="388"/>
      <c r="I35" s="388"/>
      <c r="J35" s="2"/>
      <c r="K35" s="2"/>
      <c r="L35" s="2"/>
      <c r="M35" s="2"/>
      <c r="N35" s="2"/>
      <c r="O35" s="2"/>
      <c r="P35" s="2"/>
      <c r="Q35" s="2"/>
      <c r="R35" s="2"/>
      <c r="S35" s="2"/>
      <c r="T35" s="2"/>
      <c r="U35" s="2"/>
      <c r="V35" s="2"/>
      <c r="W35" s="2"/>
      <c r="X35" s="2"/>
    </row>
    <row r="36" spans="1:26" x14ac:dyDescent="0.25">
      <c r="B36" s="2"/>
      <c r="C36" s="5536"/>
      <c r="D36" s="413"/>
      <c r="E36" s="991"/>
      <c r="F36" s="991"/>
      <c r="G36" s="991"/>
      <c r="H36" s="991"/>
      <c r="I36" s="991"/>
      <c r="J36" s="2"/>
      <c r="K36" s="2"/>
      <c r="L36" s="2"/>
      <c r="M36" s="2"/>
      <c r="N36" s="2"/>
      <c r="O36" s="2"/>
      <c r="P36" s="2"/>
      <c r="Q36" s="2"/>
      <c r="R36" s="2"/>
      <c r="S36" s="2"/>
      <c r="T36" s="2"/>
      <c r="U36" s="2"/>
      <c r="V36" s="2"/>
      <c r="W36" s="2"/>
      <c r="X36" s="2"/>
    </row>
    <row r="37" spans="1:26" ht="21.75" thickBot="1" x14ac:dyDescent="0.3">
      <c r="A37" s="921"/>
      <c r="B37" s="2"/>
      <c r="C37" s="5537"/>
      <c r="D37" s="399"/>
      <c r="E37" s="399">
        <v>2</v>
      </c>
      <c r="F37" s="6431" t="s">
        <v>1984</v>
      </c>
      <c r="G37" s="6431"/>
      <c r="H37" s="6431"/>
      <c r="I37" s="390"/>
      <c r="J37" s="2"/>
      <c r="K37" s="2"/>
      <c r="L37" s="2"/>
      <c r="M37" s="2"/>
      <c r="N37" s="2"/>
      <c r="O37" s="2"/>
      <c r="P37" s="2"/>
      <c r="Q37" s="2"/>
      <c r="R37" s="2"/>
      <c r="S37" s="2"/>
      <c r="T37" s="2"/>
      <c r="U37" s="2"/>
      <c r="V37" s="2"/>
      <c r="W37" s="2"/>
      <c r="X37" s="2"/>
    </row>
    <row r="38" spans="1:26" ht="18.75" thickBot="1" x14ac:dyDescent="0.3">
      <c r="A38" s="921"/>
      <c r="B38" s="2"/>
      <c r="C38" s="5538" t="s">
        <v>3123</v>
      </c>
      <c r="D38" s="3422" t="s">
        <v>786</v>
      </c>
      <c r="E38" s="2976" t="s">
        <v>79</v>
      </c>
      <c r="F38" s="6598" t="s">
        <v>1548</v>
      </c>
      <c r="G38" s="6599"/>
      <c r="H38" s="6569"/>
      <c r="I38" s="3560"/>
      <c r="J38" s="2"/>
      <c r="K38" s="2"/>
      <c r="L38" s="2"/>
      <c r="M38" s="2"/>
      <c r="N38" s="2"/>
      <c r="O38" s="2"/>
      <c r="P38" s="2"/>
      <c r="Q38" s="2"/>
      <c r="R38" s="2"/>
      <c r="S38" s="2"/>
      <c r="T38" s="2"/>
      <c r="U38" s="2"/>
      <c r="V38" s="2"/>
      <c r="W38" s="2"/>
      <c r="X38" s="2"/>
      <c r="Z38" s="3735" t="b">
        <f>'Perf assessment'!U132</f>
        <v>1</v>
      </c>
    </row>
    <row r="39" spans="1:26" x14ac:dyDescent="0.25">
      <c r="B39" s="2"/>
      <c r="C39" s="5537"/>
      <c r="D39" s="415"/>
      <c r="E39" s="388"/>
      <c r="F39" s="388"/>
      <c r="G39" s="388"/>
      <c r="H39" s="388"/>
      <c r="I39" s="388"/>
      <c r="J39" s="2"/>
      <c r="K39" s="2"/>
      <c r="L39" s="2"/>
      <c r="M39" s="2"/>
      <c r="N39" s="2"/>
      <c r="O39" s="2"/>
      <c r="P39" s="2"/>
      <c r="Q39" s="2"/>
      <c r="R39" s="2"/>
      <c r="S39" s="2"/>
      <c r="T39" s="2"/>
      <c r="U39" s="2"/>
      <c r="V39" s="2"/>
      <c r="W39" s="2"/>
      <c r="X39" s="2"/>
    </row>
    <row r="40" spans="1:26" x14ac:dyDescent="0.25">
      <c r="B40" s="2"/>
      <c r="C40" s="5536"/>
      <c r="D40" s="413"/>
      <c r="E40" s="991"/>
      <c r="F40" s="991"/>
      <c r="G40" s="991"/>
      <c r="H40" s="991"/>
      <c r="I40" s="991"/>
      <c r="J40" s="2"/>
      <c r="K40" s="2"/>
      <c r="L40" s="2"/>
      <c r="M40" s="2"/>
      <c r="N40" s="2"/>
      <c r="O40" s="2"/>
      <c r="P40" s="2"/>
      <c r="Q40" s="2"/>
      <c r="R40" s="2"/>
      <c r="S40" s="2"/>
      <c r="T40" s="2"/>
      <c r="U40" s="2"/>
      <c r="V40" s="2"/>
      <c r="W40" s="2"/>
      <c r="X40" s="2"/>
    </row>
    <row r="41" spans="1:26" ht="21.75" thickBot="1" x14ac:dyDescent="0.3">
      <c r="B41" s="2"/>
      <c r="C41" s="5537"/>
      <c r="D41" s="399"/>
      <c r="E41" s="399">
        <v>3</v>
      </c>
      <c r="F41" s="6431" t="s">
        <v>1044</v>
      </c>
      <c r="G41" s="6431"/>
      <c r="H41" s="6431"/>
      <c r="I41" s="390"/>
      <c r="J41" s="2"/>
      <c r="K41" s="2"/>
      <c r="L41" s="2"/>
      <c r="M41" s="2"/>
      <c r="N41" s="2"/>
      <c r="O41" s="2"/>
      <c r="P41" s="2"/>
      <c r="Q41" s="2"/>
      <c r="R41" s="2"/>
      <c r="S41" s="2"/>
      <c r="T41" s="2"/>
      <c r="U41" s="2"/>
      <c r="V41" s="2"/>
      <c r="W41" s="2"/>
      <c r="X41" s="2"/>
    </row>
    <row r="42" spans="1:26" s="918" customFormat="1" ht="32.25" thickBot="1" x14ac:dyDescent="0.3">
      <c r="A42" s="921"/>
      <c r="B42" s="1924"/>
      <c r="C42" s="5538" t="s">
        <v>3124</v>
      </c>
      <c r="D42" s="3422" t="s">
        <v>786</v>
      </c>
      <c r="E42" s="2976" t="s">
        <v>79</v>
      </c>
      <c r="F42" s="2978" t="s">
        <v>2194</v>
      </c>
      <c r="G42" s="3934">
        <v>2015</v>
      </c>
      <c r="H42" s="3932">
        <v>2019</v>
      </c>
      <c r="I42" s="5904"/>
      <c r="J42" s="991"/>
      <c r="K42" s="991"/>
      <c r="L42" s="991"/>
      <c r="M42" s="991"/>
      <c r="N42" s="991"/>
      <c r="O42" s="991"/>
      <c r="P42" s="991"/>
      <c r="Q42" s="991"/>
      <c r="R42" s="991"/>
      <c r="S42" s="991"/>
      <c r="T42" s="991"/>
      <c r="U42" s="991"/>
      <c r="V42" s="991"/>
      <c r="W42" s="991"/>
      <c r="X42" s="991"/>
      <c r="Y42" s="921"/>
      <c r="Z42" s="3735" t="b">
        <f>'Perf assessment'!U134</f>
        <v>1</v>
      </c>
    </row>
    <row r="43" spans="1:26" s="918" customFormat="1" ht="15.75" customHeight="1" x14ac:dyDescent="0.25">
      <c r="A43" s="921"/>
      <c r="B43" s="991"/>
      <c r="C43" s="5537"/>
      <c r="D43" s="6521" t="s">
        <v>82</v>
      </c>
      <c r="E43" s="6522"/>
      <c r="F43" s="2992"/>
      <c r="G43" s="5316" t="s">
        <v>1732</v>
      </c>
      <c r="H43" s="5317" t="s">
        <v>1733</v>
      </c>
      <c r="I43" s="5904"/>
      <c r="J43" s="991"/>
      <c r="K43" s="1091"/>
      <c r="L43" s="991"/>
      <c r="M43" s="991"/>
      <c r="N43" s="991"/>
      <c r="O43" s="991"/>
      <c r="P43" s="991"/>
      <c r="Q43" s="991"/>
      <c r="R43" s="991"/>
      <c r="S43" s="991"/>
      <c r="T43" s="991"/>
      <c r="U43" s="991"/>
      <c r="V43" s="991"/>
      <c r="W43" s="991"/>
      <c r="X43" s="991"/>
      <c r="Y43" s="921"/>
      <c r="Z43" s="3735"/>
    </row>
    <row r="44" spans="1:26" s="918" customFormat="1" ht="30" x14ac:dyDescent="0.25">
      <c r="A44" s="921"/>
      <c r="B44" s="991"/>
      <c r="C44" s="5537"/>
      <c r="D44" s="6511"/>
      <c r="E44" s="6517"/>
      <c r="F44" s="2990" t="s">
        <v>3839</v>
      </c>
      <c r="G44" s="3405">
        <f>'WSS Profile'!F257</f>
        <v>3816</v>
      </c>
      <c r="H44" s="3406">
        <f>'WSS Profile'!G257</f>
        <v>189</v>
      </c>
      <c r="I44" s="5904"/>
      <c r="J44" s="991"/>
      <c r="K44" s="1091"/>
      <c r="L44" s="991"/>
      <c r="M44" s="991"/>
      <c r="N44" s="991"/>
      <c r="O44" s="991"/>
      <c r="P44" s="991"/>
      <c r="Q44" s="991"/>
      <c r="R44" s="991"/>
      <c r="S44" s="991"/>
      <c r="T44" s="991"/>
      <c r="U44" s="991"/>
      <c r="V44" s="991"/>
      <c r="W44" s="991"/>
      <c r="X44" s="991"/>
      <c r="Y44" s="921"/>
      <c r="Z44" s="3735"/>
    </row>
    <row r="45" spans="1:26" s="918" customFormat="1" ht="30" customHeight="1" x14ac:dyDescent="0.25">
      <c r="A45" s="921"/>
      <c r="B45" s="991"/>
      <c r="C45" s="5537"/>
      <c r="D45" s="6511"/>
      <c r="E45" s="6517"/>
      <c r="F45" s="2990" t="s">
        <v>3838</v>
      </c>
      <c r="G45" s="3405">
        <f>'WSS Profile'!F258</f>
        <v>211</v>
      </c>
      <c r="H45" s="3406">
        <f>'WSS Profile'!G258</f>
        <v>2</v>
      </c>
      <c r="I45" s="5904"/>
      <c r="J45" s="991"/>
      <c r="K45" s="1091"/>
      <c r="L45" s="991"/>
      <c r="M45" s="991"/>
      <c r="N45" s="991"/>
      <c r="O45" s="991"/>
      <c r="P45" s="991"/>
      <c r="Q45" s="991"/>
      <c r="R45" s="991"/>
      <c r="S45" s="991"/>
      <c r="T45" s="991"/>
      <c r="U45" s="991"/>
      <c r="V45" s="991"/>
      <c r="W45" s="991"/>
      <c r="X45" s="991"/>
      <c r="Y45" s="921"/>
      <c r="Z45" s="3735"/>
    </row>
    <row r="46" spans="1:26" s="918" customFormat="1" ht="32.25" customHeight="1" x14ac:dyDescent="0.25">
      <c r="A46" s="921"/>
      <c r="B46" s="991"/>
      <c r="C46" s="5537"/>
      <c r="D46" s="6461"/>
      <c r="E46" s="6518"/>
      <c r="F46" s="2990" t="s">
        <v>2458</v>
      </c>
      <c r="G46" s="3407">
        <f>G44+G45</f>
        <v>4027</v>
      </c>
      <c r="H46" s="3408">
        <f>H44+H45</f>
        <v>191</v>
      </c>
      <c r="I46" s="5904"/>
      <c r="J46" s="991"/>
      <c r="K46" s="1091"/>
      <c r="L46" s="991"/>
      <c r="M46" s="991"/>
      <c r="N46" s="991"/>
      <c r="O46" s="991"/>
      <c r="P46" s="991"/>
      <c r="Q46" s="991"/>
      <c r="R46" s="991"/>
      <c r="S46" s="991"/>
      <c r="T46" s="991"/>
      <c r="U46" s="991"/>
      <c r="V46" s="991"/>
      <c r="W46" s="991"/>
      <c r="X46" s="991"/>
      <c r="Y46" s="921"/>
      <c r="Z46" s="3735"/>
    </row>
    <row r="47" spans="1:26" s="918" customFormat="1" ht="30" x14ac:dyDescent="0.25">
      <c r="A47" s="921"/>
      <c r="B47" s="991"/>
      <c r="C47" s="5537"/>
      <c r="D47" s="6459" t="s">
        <v>210</v>
      </c>
      <c r="E47" s="6516"/>
      <c r="F47" s="2991" t="s">
        <v>2459</v>
      </c>
      <c r="G47" s="6027">
        <v>4027</v>
      </c>
      <c r="H47" s="6026">
        <v>191</v>
      </c>
      <c r="I47" s="5904"/>
      <c r="J47" s="991"/>
      <c r="K47" s="1091"/>
      <c r="L47" s="991"/>
      <c r="M47" s="991"/>
      <c r="N47" s="991"/>
      <c r="O47" s="991"/>
      <c r="P47" s="991"/>
      <c r="Q47" s="991"/>
      <c r="R47" s="991"/>
      <c r="S47" s="991"/>
      <c r="T47" s="991"/>
      <c r="U47" s="991"/>
      <c r="V47" s="991"/>
      <c r="W47" s="991"/>
      <c r="X47" s="991"/>
      <c r="Y47" s="921"/>
      <c r="Z47" s="3735"/>
    </row>
    <row r="48" spans="1:26" s="918" customFormat="1" ht="15.75" x14ac:dyDescent="0.25">
      <c r="A48" s="921"/>
      <c r="B48" s="991"/>
      <c r="C48" s="5537"/>
      <c r="D48" s="6511"/>
      <c r="E48" s="6517"/>
      <c r="F48" s="5337" t="s">
        <v>2462</v>
      </c>
      <c r="G48" s="3409"/>
      <c r="H48" s="3410"/>
      <c r="I48" s="5904"/>
      <c r="J48" s="991"/>
      <c r="K48" s="1091"/>
      <c r="L48" s="991"/>
      <c r="M48" s="991"/>
      <c r="N48" s="991"/>
      <c r="O48" s="991"/>
      <c r="P48" s="991"/>
      <c r="Q48" s="991"/>
      <c r="R48" s="991"/>
      <c r="S48" s="991"/>
      <c r="T48" s="991"/>
      <c r="U48" s="991"/>
      <c r="V48" s="991"/>
      <c r="W48" s="991"/>
      <c r="X48" s="991"/>
      <c r="Y48" s="921"/>
      <c r="Z48" s="3735"/>
    </row>
    <row r="49" spans="1:26" s="918" customFormat="1" ht="30" x14ac:dyDescent="0.25">
      <c r="A49" s="921"/>
      <c r="B49" s="991"/>
      <c r="C49" s="5537"/>
      <c r="D49" s="6511"/>
      <c r="E49" s="6517"/>
      <c r="F49" s="2965" t="s">
        <v>2183</v>
      </c>
      <c r="G49" s="2997">
        <v>1</v>
      </c>
      <c r="H49" s="2998">
        <v>1</v>
      </c>
      <c r="I49" s="5904"/>
      <c r="J49" s="1091"/>
      <c r="K49" s="1091"/>
      <c r="L49" s="991"/>
      <c r="M49" s="991"/>
      <c r="N49" s="991"/>
      <c r="O49" s="991"/>
      <c r="P49" s="991"/>
      <c r="Q49" s="991"/>
      <c r="R49" s="991"/>
      <c r="S49" s="991"/>
      <c r="T49" s="991"/>
      <c r="U49" s="991"/>
      <c r="V49" s="991"/>
      <c r="W49" s="991"/>
      <c r="X49" s="991"/>
      <c r="Y49" s="921"/>
      <c r="Z49" s="3735"/>
    </row>
    <row r="50" spans="1:26" s="918" customFormat="1" ht="30" x14ac:dyDescent="0.25">
      <c r="A50" s="921"/>
      <c r="B50" s="991"/>
      <c r="C50" s="5537"/>
      <c r="D50" s="6511"/>
      <c r="E50" s="6517"/>
      <c r="F50" s="2965" t="s">
        <v>2182</v>
      </c>
      <c r="G50" s="2997"/>
      <c r="H50" s="2998"/>
      <c r="I50" s="5904"/>
      <c r="J50" s="991"/>
      <c r="K50" s="991"/>
      <c r="L50" s="991"/>
      <c r="M50" s="991"/>
      <c r="N50" s="991"/>
      <c r="O50" s="991"/>
      <c r="P50" s="991"/>
      <c r="Q50" s="991"/>
      <c r="R50" s="991"/>
      <c r="S50" s="991"/>
      <c r="T50" s="991"/>
      <c r="U50" s="991"/>
      <c r="V50" s="991"/>
      <c r="W50" s="991"/>
      <c r="X50" s="991"/>
      <c r="Y50" s="921"/>
      <c r="Z50" s="3735"/>
    </row>
    <row r="51" spans="1:26" s="918" customFormat="1" ht="15.75" x14ac:dyDescent="0.25">
      <c r="A51" s="921"/>
      <c r="B51" s="991"/>
      <c r="C51" s="5537"/>
      <c r="D51" s="6511"/>
      <c r="E51" s="6517"/>
      <c r="F51" s="2993" t="s">
        <v>2751</v>
      </c>
      <c r="G51" s="2997"/>
      <c r="H51" s="2998"/>
      <c r="I51" s="5904"/>
      <c r="J51" s="991"/>
      <c r="K51" s="991"/>
      <c r="L51" s="991"/>
      <c r="M51" s="991"/>
      <c r="N51" s="991"/>
      <c r="O51" s="991"/>
      <c r="P51" s="991"/>
      <c r="Q51" s="991"/>
      <c r="R51" s="991"/>
      <c r="S51" s="991"/>
      <c r="T51" s="991"/>
      <c r="U51" s="991"/>
      <c r="V51" s="991"/>
      <c r="W51" s="991"/>
      <c r="X51" s="991"/>
      <c r="Y51" s="921"/>
      <c r="Z51" s="3735"/>
    </row>
    <row r="52" spans="1:26" s="918" customFormat="1" ht="30" x14ac:dyDescent="0.25">
      <c r="A52" s="921"/>
      <c r="B52" s="991"/>
      <c r="C52" s="5537"/>
      <c r="D52" s="6461"/>
      <c r="E52" s="6518"/>
      <c r="F52" s="2994" t="s">
        <v>2185</v>
      </c>
      <c r="G52" s="3411">
        <f>1-(G49+G50+G51)</f>
        <v>0</v>
      </c>
      <c r="H52" s="3412">
        <f>1-(H49+H50+H51)</f>
        <v>0</v>
      </c>
      <c r="I52" s="5904"/>
      <c r="J52" s="991"/>
      <c r="K52" s="991"/>
      <c r="L52" s="991"/>
      <c r="M52" s="991"/>
      <c r="N52" s="991"/>
      <c r="O52" s="991" t="s">
        <v>1087</v>
      </c>
      <c r="P52" s="991"/>
      <c r="Q52" s="991"/>
      <c r="R52" s="991"/>
      <c r="S52" s="991"/>
      <c r="T52" s="991"/>
      <c r="U52" s="991"/>
      <c r="V52" s="991"/>
      <c r="W52" s="991"/>
      <c r="X52" s="991"/>
      <c r="Y52" s="921"/>
      <c r="Z52" s="3735"/>
    </row>
    <row r="53" spans="1:26" s="918" customFormat="1" ht="32.25" customHeight="1" x14ac:dyDescent="0.25">
      <c r="A53" s="921"/>
      <c r="B53" s="991"/>
      <c r="C53" s="5537"/>
      <c r="D53" s="6459" t="s">
        <v>211</v>
      </c>
      <c r="E53" s="6516"/>
      <c r="F53" s="2959" t="s">
        <v>3534</v>
      </c>
      <c r="G53" s="6546">
        <v>30000</v>
      </c>
      <c r="H53" s="6547"/>
      <c r="I53" s="5904"/>
      <c r="J53" s="991"/>
      <c r="K53" s="991"/>
      <c r="L53" s="991"/>
      <c r="M53" s="991"/>
      <c r="N53" s="991"/>
      <c r="O53" s="991"/>
      <c r="P53" s="991"/>
      <c r="Q53" s="991"/>
      <c r="R53" s="991"/>
      <c r="S53" s="991"/>
      <c r="T53" s="991"/>
      <c r="U53" s="991"/>
      <c r="V53" s="991"/>
      <c r="W53" s="991"/>
      <c r="X53" s="991"/>
      <c r="Y53" s="921"/>
      <c r="Z53" s="3735"/>
    </row>
    <row r="54" spans="1:26" s="918" customFormat="1" ht="27.75" x14ac:dyDescent="0.25">
      <c r="A54" s="921"/>
      <c r="B54" s="991"/>
      <c r="C54" s="5537"/>
      <c r="D54" s="6511"/>
      <c r="E54" s="6517"/>
      <c r="F54" s="2959" t="s">
        <v>2859</v>
      </c>
      <c r="G54" s="6546"/>
      <c r="H54" s="6547"/>
      <c r="I54" s="5904"/>
      <c r="J54" s="991"/>
      <c r="K54" s="991"/>
      <c r="L54" s="991"/>
      <c r="M54" s="991"/>
      <c r="N54" s="991"/>
      <c r="O54" s="991"/>
      <c r="P54" s="991"/>
      <c r="Q54" s="991"/>
      <c r="R54" s="991"/>
      <c r="S54" s="991"/>
      <c r="T54" s="991"/>
      <c r="U54" s="991"/>
      <c r="V54" s="991"/>
      <c r="W54" s="991"/>
      <c r="X54" s="991"/>
      <c r="Y54" s="921"/>
      <c r="Z54" s="3735"/>
    </row>
    <row r="55" spans="1:26" s="918" customFormat="1" ht="61.5" customHeight="1" x14ac:dyDescent="0.25">
      <c r="A55" s="921"/>
      <c r="B55" s="991"/>
      <c r="C55" s="5537"/>
      <c r="D55" s="6511"/>
      <c r="E55" s="6517"/>
      <c r="F55" s="2959" t="s">
        <v>3535</v>
      </c>
      <c r="G55" s="6546"/>
      <c r="H55" s="6547"/>
      <c r="I55" s="5904"/>
      <c r="J55" s="991"/>
      <c r="K55" s="991"/>
      <c r="L55" s="991"/>
      <c r="M55" s="991"/>
      <c r="N55" s="991"/>
      <c r="O55" s="991"/>
      <c r="P55" s="991"/>
      <c r="Q55" s="991"/>
      <c r="R55" s="991"/>
      <c r="S55" s="991"/>
      <c r="T55" s="991"/>
      <c r="U55" s="991"/>
      <c r="V55" s="991"/>
      <c r="W55" s="991"/>
      <c r="X55" s="991"/>
      <c r="Y55" s="921"/>
      <c r="Z55" s="3735"/>
    </row>
    <row r="56" spans="1:26" s="918" customFormat="1" ht="16.5" thickBot="1" x14ac:dyDescent="0.3">
      <c r="A56" s="921"/>
      <c r="B56" s="991"/>
      <c r="C56" s="5537"/>
      <c r="D56" s="6519"/>
      <c r="E56" s="6520"/>
      <c r="F56" s="2959" t="s">
        <v>2763</v>
      </c>
      <c r="G56" s="2999">
        <v>0.6</v>
      </c>
      <c r="H56" s="3000">
        <v>0.6</v>
      </c>
      <c r="I56" s="5904"/>
      <c r="J56" s="991"/>
      <c r="K56" s="991"/>
      <c r="L56" s="991"/>
      <c r="M56" s="991"/>
      <c r="N56" s="991"/>
      <c r="O56" s="991"/>
      <c r="P56" s="991"/>
      <c r="Q56" s="991"/>
      <c r="R56" s="991"/>
      <c r="S56" s="991"/>
      <c r="T56" s="991"/>
      <c r="U56" s="991"/>
      <c r="V56" s="991"/>
      <c r="W56" s="991"/>
      <c r="X56" s="991"/>
      <c r="Y56" s="921"/>
      <c r="Z56" s="3735"/>
    </row>
    <row r="57" spans="1:26" s="918" customFormat="1" ht="18.75" thickBot="1" x14ac:dyDescent="0.3">
      <c r="A57" s="921"/>
      <c r="B57" s="991"/>
      <c r="C57" s="5538" t="s">
        <v>3125</v>
      </c>
      <c r="D57" s="3422" t="s">
        <v>786</v>
      </c>
      <c r="E57" s="2976" t="s">
        <v>79</v>
      </c>
      <c r="F57" s="6488" t="s">
        <v>2192</v>
      </c>
      <c r="G57" s="6489"/>
      <c r="H57" s="6490"/>
      <c r="I57" s="5904"/>
      <c r="J57" s="991"/>
      <c r="K57" s="991"/>
      <c r="L57" s="991"/>
      <c r="M57" s="991"/>
      <c r="N57" s="991"/>
      <c r="O57" s="991"/>
      <c r="P57" s="991"/>
      <c r="Q57" s="991"/>
      <c r="R57" s="991"/>
      <c r="S57" s="991"/>
      <c r="T57" s="991"/>
      <c r="U57" s="991"/>
      <c r="V57" s="991"/>
      <c r="W57" s="991"/>
      <c r="X57" s="991"/>
      <c r="Y57" s="921"/>
      <c r="Z57" s="3735">
        <f>'Perf assessment'!U135</f>
        <v>0</v>
      </c>
    </row>
    <row r="58" spans="1:26" s="918" customFormat="1" ht="15.75" x14ac:dyDescent="0.25">
      <c r="A58" s="921"/>
      <c r="B58" s="991"/>
      <c r="C58" s="5537"/>
      <c r="D58" s="6525"/>
      <c r="E58" s="6526"/>
      <c r="F58" s="904" t="s">
        <v>2195</v>
      </c>
      <c r="G58" s="3934">
        <v>2015</v>
      </c>
      <c r="H58" s="3923">
        <v>2017</v>
      </c>
      <c r="I58" s="5904"/>
      <c r="J58" s="991"/>
      <c r="K58" s="421"/>
      <c r="L58" s="991"/>
      <c r="M58" s="991"/>
      <c r="N58" s="991"/>
      <c r="O58" s="991"/>
      <c r="P58" s="991"/>
      <c r="Q58" s="991"/>
      <c r="R58" s="991"/>
      <c r="S58" s="991"/>
      <c r="T58" s="991"/>
      <c r="U58" s="991"/>
      <c r="V58" s="991"/>
      <c r="W58" s="991"/>
      <c r="X58" s="991"/>
      <c r="Y58" s="921"/>
      <c r="Z58" s="3735"/>
    </row>
    <row r="59" spans="1:26" s="918" customFormat="1" ht="15.75" x14ac:dyDescent="0.25">
      <c r="A59" s="921"/>
      <c r="B59" s="991"/>
      <c r="C59" s="5537"/>
      <c r="D59" s="6527" t="s">
        <v>82</v>
      </c>
      <c r="E59" s="6528"/>
      <c r="F59" s="3006"/>
      <c r="G59" s="5318" t="s">
        <v>1732</v>
      </c>
      <c r="H59" s="5319" t="s">
        <v>1733</v>
      </c>
      <c r="I59" s="5904"/>
      <c r="J59" s="991"/>
      <c r="K59" s="991"/>
      <c r="L59" s="991"/>
      <c r="M59" s="991"/>
      <c r="N59" s="991"/>
      <c r="O59" s="991"/>
      <c r="P59" s="991"/>
      <c r="Q59" s="991"/>
      <c r="R59" s="991"/>
      <c r="S59" s="991"/>
      <c r="T59" s="991"/>
      <c r="U59" s="991"/>
      <c r="V59" s="991"/>
      <c r="W59" s="991"/>
      <c r="X59" s="991"/>
      <c r="Y59" s="921"/>
      <c r="Z59" s="3735"/>
    </row>
    <row r="60" spans="1:26" s="918" customFormat="1" ht="30" x14ac:dyDescent="0.25">
      <c r="A60" s="921"/>
      <c r="B60" s="991"/>
      <c r="C60" s="5537"/>
      <c r="D60" s="6511"/>
      <c r="E60" s="6512"/>
      <c r="F60" s="3007" t="s">
        <v>2860</v>
      </c>
      <c r="G60" s="3017" t="str">
        <f>CONCATENATE(IF('WSS Profile'!$F$296="",0,'WSS Profile'!$F$296)," / ",'WSS Profile'!$F$295)</f>
        <v>45 / 253</v>
      </c>
      <c r="H60" s="397" t="str">
        <f>CONCATENATE(IF('WSS Profile'!$G$296="",0,'WSS Profile'!$G$296)," / ",'WSS Profile'!$G$295)</f>
        <v>0 / 12</v>
      </c>
      <c r="I60" s="5904"/>
      <c r="J60" s="991"/>
      <c r="K60" s="991"/>
      <c r="L60" s="991"/>
      <c r="M60" s="991"/>
      <c r="N60" s="991"/>
      <c r="O60" s="991"/>
      <c r="P60" s="991"/>
      <c r="Q60" s="991"/>
      <c r="R60" s="991"/>
      <c r="S60" s="991"/>
      <c r="T60" s="991"/>
      <c r="U60" s="991"/>
      <c r="V60" s="991"/>
      <c r="W60" s="991"/>
      <c r="X60" s="991"/>
      <c r="Y60" s="921"/>
      <c r="Z60" s="3735"/>
    </row>
    <row r="61" spans="1:26" s="918" customFormat="1" ht="15.75" x14ac:dyDescent="0.25">
      <c r="A61" s="921"/>
      <c r="B61" s="991"/>
      <c r="C61" s="5537"/>
      <c r="D61" s="6511"/>
      <c r="E61" s="6512"/>
      <c r="F61" s="3007" t="s">
        <v>2367</v>
      </c>
      <c r="G61" s="3018">
        <f>'WW calcu'!E114</f>
        <v>10</v>
      </c>
      <c r="H61" s="950">
        <f>'WW calcu'!E131</f>
        <v>13</v>
      </c>
      <c r="I61" s="5904"/>
      <c r="J61" s="991"/>
      <c r="K61" s="991"/>
      <c r="L61" s="991"/>
      <c r="M61" s="991"/>
      <c r="N61" s="991"/>
      <c r="O61" s="991"/>
      <c r="P61" s="991"/>
      <c r="Q61" s="991"/>
      <c r="R61" s="991"/>
      <c r="S61" s="991"/>
      <c r="T61" s="991"/>
      <c r="U61" s="991"/>
      <c r="V61" s="991"/>
      <c r="W61" s="991"/>
      <c r="X61" s="991"/>
      <c r="Y61" s="921"/>
      <c r="Z61" s="3735"/>
    </row>
    <row r="62" spans="1:26" s="918" customFormat="1" ht="15.75" x14ac:dyDescent="0.25">
      <c r="A62" s="921"/>
      <c r="B62" s="991"/>
      <c r="C62" s="5537"/>
      <c r="D62" s="6576" t="s">
        <v>210</v>
      </c>
      <c r="E62" s="6577"/>
      <c r="F62" s="3009" t="s">
        <v>2368</v>
      </c>
      <c r="G62" s="3011">
        <v>45</v>
      </c>
      <c r="H62" s="3012"/>
      <c r="I62" s="5904"/>
      <c r="J62" s="991"/>
      <c r="K62" s="991"/>
      <c r="L62" s="991"/>
      <c r="M62" s="991"/>
      <c r="N62" s="991"/>
      <c r="O62" s="991"/>
      <c r="P62" s="991"/>
      <c r="Q62" s="991"/>
      <c r="R62" s="991"/>
      <c r="S62" s="991"/>
      <c r="T62" s="991"/>
      <c r="U62" s="991"/>
      <c r="V62" s="991"/>
      <c r="W62" s="991"/>
      <c r="X62" s="991"/>
      <c r="Y62" s="921"/>
      <c r="Z62" s="3735"/>
    </row>
    <row r="63" spans="1:26" s="918" customFormat="1" ht="59.25" customHeight="1" x14ac:dyDescent="0.25">
      <c r="A63" s="921"/>
      <c r="B63" s="991"/>
      <c r="C63" s="5537"/>
      <c r="D63" s="6578"/>
      <c r="E63" s="6579"/>
      <c r="F63" s="3010" t="s">
        <v>3031</v>
      </c>
      <c r="G63" s="6543">
        <v>10</v>
      </c>
      <c r="H63" s="6544"/>
      <c r="I63" s="5904"/>
      <c r="J63" s="991"/>
      <c r="K63" s="991"/>
      <c r="L63" s="991"/>
      <c r="M63" s="991"/>
      <c r="N63" s="991"/>
      <c r="O63" s="991"/>
      <c r="P63" s="991"/>
      <c r="Q63" s="991"/>
      <c r="R63" s="991"/>
      <c r="S63" s="991"/>
      <c r="T63" s="991"/>
      <c r="U63" s="991"/>
      <c r="V63" s="991"/>
      <c r="W63" s="991"/>
      <c r="X63" s="991"/>
      <c r="Y63" s="921"/>
      <c r="Z63" s="3735"/>
    </row>
    <row r="64" spans="1:26" s="918" customFormat="1" ht="15.75" x14ac:dyDescent="0.25">
      <c r="A64" s="921"/>
      <c r="B64" s="991"/>
      <c r="C64" s="5537"/>
      <c r="D64" s="6572" t="s">
        <v>211</v>
      </c>
      <c r="E64" s="6573"/>
      <c r="F64" s="3007" t="s">
        <v>2369</v>
      </c>
      <c r="G64" s="3013" t="s">
        <v>3536</v>
      </c>
      <c r="H64" s="5763">
        <v>100000</v>
      </c>
      <c r="I64" s="5904"/>
      <c r="J64" s="991"/>
      <c r="K64" s="991"/>
      <c r="L64" s="991"/>
      <c r="M64" s="991"/>
      <c r="N64" s="991"/>
      <c r="O64" s="991"/>
      <c r="P64" s="991"/>
      <c r="Q64" s="991"/>
      <c r="R64" s="991"/>
      <c r="S64" s="991"/>
      <c r="T64" s="991"/>
      <c r="U64" s="991"/>
      <c r="V64" s="991"/>
      <c r="W64" s="991"/>
      <c r="X64" s="991"/>
      <c r="Y64" s="921"/>
      <c r="Z64" s="3735"/>
    </row>
    <row r="65" spans="1:26" s="918" customFormat="1" ht="15.75" x14ac:dyDescent="0.25">
      <c r="A65" s="921"/>
      <c r="B65" s="991"/>
      <c r="C65" s="5537"/>
      <c r="D65" s="6574"/>
      <c r="E65" s="6575"/>
      <c r="F65" s="3007" t="s">
        <v>2370</v>
      </c>
      <c r="G65" s="3013" t="s">
        <v>3537</v>
      </c>
      <c r="H65" s="3014">
        <v>625</v>
      </c>
      <c r="I65" s="5904"/>
      <c r="J65" s="991"/>
      <c r="K65" s="991"/>
      <c r="L65" s="991"/>
      <c r="M65" s="991"/>
      <c r="N65" s="991"/>
      <c r="O65" s="991"/>
      <c r="P65" s="991"/>
      <c r="Q65" s="991"/>
      <c r="R65" s="991"/>
      <c r="S65" s="991"/>
      <c r="T65" s="991"/>
      <c r="U65" s="991"/>
      <c r="V65" s="991"/>
      <c r="W65" s="991"/>
      <c r="X65" s="991"/>
      <c r="Y65" s="921"/>
      <c r="Z65" s="3735"/>
    </row>
    <row r="66" spans="1:26" s="918" customFormat="1" ht="30" x14ac:dyDescent="0.25">
      <c r="A66" s="921"/>
      <c r="B66" s="991"/>
      <c r="C66" s="5537"/>
      <c r="D66" s="6535"/>
      <c r="E66" s="6536"/>
      <c r="F66" s="3008" t="s">
        <v>3793</v>
      </c>
      <c r="G66" s="3015" t="s">
        <v>3537</v>
      </c>
      <c r="H66" s="3016">
        <v>0</v>
      </c>
      <c r="I66" s="5904"/>
      <c r="J66" s="991"/>
      <c r="K66" s="991"/>
      <c r="L66" s="991"/>
      <c r="M66" s="991"/>
      <c r="N66" s="991"/>
      <c r="O66" s="991"/>
      <c r="P66" s="991"/>
      <c r="Q66" s="991"/>
      <c r="R66" s="991"/>
      <c r="S66" s="991"/>
      <c r="T66" s="991"/>
      <c r="U66" s="991"/>
      <c r="V66" s="991"/>
      <c r="W66" s="991"/>
      <c r="X66" s="991"/>
      <c r="Y66" s="921"/>
      <c r="Z66" s="3735"/>
    </row>
    <row r="67" spans="1:26" s="918" customFormat="1" ht="15.75" x14ac:dyDescent="0.25">
      <c r="A67" s="921"/>
      <c r="B67" s="991"/>
      <c r="C67" s="5537"/>
      <c r="D67" s="6523"/>
      <c r="E67" s="6524"/>
      <c r="F67" s="904" t="s">
        <v>2196</v>
      </c>
      <c r="G67" s="3934">
        <v>2015</v>
      </c>
      <c r="H67" s="3932">
        <v>2017</v>
      </c>
      <c r="I67" s="5904"/>
      <c r="J67" s="991"/>
      <c r="K67" s="991"/>
      <c r="L67" s="991"/>
      <c r="M67" s="991"/>
      <c r="N67" s="991"/>
      <c r="O67" s="991"/>
      <c r="P67" s="991"/>
      <c r="Q67" s="991"/>
      <c r="R67" s="991"/>
      <c r="S67" s="991"/>
      <c r="T67" s="991"/>
      <c r="U67" s="991"/>
      <c r="V67" s="991"/>
      <c r="W67" s="991"/>
      <c r="X67" s="991"/>
      <c r="Y67" s="921"/>
      <c r="Z67" s="3735"/>
    </row>
    <row r="68" spans="1:26" s="918" customFormat="1" ht="15.75" customHeight="1" x14ac:dyDescent="0.25">
      <c r="A68" s="921"/>
      <c r="B68" s="991"/>
      <c r="C68" s="5537"/>
      <c r="D68" s="6527" t="s">
        <v>82</v>
      </c>
      <c r="E68" s="6528"/>
      <c r="F68" s="6596" t="s">
        <v>3042</v>
      </c>
      <c r="G68" s="5316" t="s">
        <v>1732</v>
      </c>
      <c r="H68" s="5320" t="s">
        <v>1733</v>
      </c>
      <c r="I68" s="5904"/>
      <c r="J68" s="991"/>
      <c r="K68" s="991"/>
      <c r="L68" s="991"/>
      <c r="M68" s="991"/>
      <c r="N68" s="991"/>
      <c r="O68" s="991"/>
      <c r="P68" s="991"/>
      <c r="Q68" s="991"/>
      <c r="R68" s="991"/>
      <c r="S68" s="991"/>
      <c r="T68" s="991"/>
      <c r="U68" s="991"/>
      <c r="V68" s="991"/>
      <c r="W68" s="991"/>
      <c r="X68" s="991"/>
      <c r="Y68" s="921"/>
      <c r="Z68" s="3735"/>
    </row>
    <row r="69" spans="1:26" s="918" customFormat="1" ht="15.75" x14ac:dyDescent="0.25">
      <c r="A69" s="921"/>
      <c r="B69" s="991"/>
      <c r="C69" s="5537"/>
      <c r="D69" s="6511"/>
      <c r="E69" s="6512"/>
      <c r="F69" s="6597"/>
      <c r="G69" s="3413" t="str">
        <f>CONCATENATE(IF('WSS Profile'!$F$301="",0,'WSS Profile'!$F$301)," / ",'WSS Profile'!$F$294)</f>
        <v>0 / 46</v>
      </c>
      <c r="H69" s="3414" t="str">
        <f>CONCATENATE(IF('WSS Profile'!$G$301="",0,'WSS Profile'!$G$301)," / ",'WSS Profile'!$G$294)</f>
        <v>0 / 2</v>
      </c>
      <c r="I69" s="5904"/>
      <c r="J69" s="991"/>
      <c r="K69" s="991"/>
      <c r="L69" s="991"/>
      <c r="M69" s="991"/>
      <c r="N69" s="991"/>
      <c r="O69" s="991"/>
      <c r="P69" s="991"/>
      <c r="Q69" s="991"/>
      <c r="R69" s="991"/>
      <c r="S69" s="991"/>
      <c r="T69" s="991"/>
      <c r="U69" s="991"/>
      <c r="V69" s="991"/>
      <c r="W69" s="991"/>
      <c r="X69" s="991"/>
      <c r="Y69" s="921"/>
      <c r="Z69" s="3735"/>
    </row>
    <row r="70" spans="1:26" s="918" customFormat="1" ht="30" x14ac:dyDescent="0.25">
      <c r="A70" s="921"/>
      <c r="B70" s="991"/>
      <c r="C70" s="5537"/>
      <c r="D70" s="6459" t="s">
        <v>210</v>
      </c>
      <c r="E70" s="6460"/>
      <c r="F70" s="3009" t="s">
        <v>2371</v>
      </c>
      <c r="G70" s="3023">
        <v>46</v>
      </c>
      <c r="H70" s="3024">
        <v>2</v>
      </c>
      <c r="I70" s="5904"/>
      <c r="J70" s="991"/>
      <c r="K70" s="991"/>
      <c r="L70" s="991"/>
      <c r="M70" s="991"/>
      <c r="N70" s="992"/>
      <c r="O70" s="991"/>
      <c r="P70" s="991"/>
      <c r="Q70" s="991"/>
      <c r="R70" s="991"/>
      <c r="S70" s="991"/>
      <c r="T70" s="991"/>
      <c r="U70" s="991"/>
      <c r="V70" s="991"/>
      <c r="W70" s="991"/>
      <c r="X70" s="991"/>
      <c r="Y70" s="921"/>
      <c r="Z70" s="3735"/>
    </row>
    <row r="71" spans="1:26" s="918" customFormat="1" ht="15.75" x14ac:dyDescent="0.25">
      <c r="A71" s="921"/>
      <c r="B71" s="991"/>
      <c r="C71" s="5537"/>
      <c r="D71" s="6511"/>
      <c r="E71" s="6512"/>
      <c r="F71" s="5336" t="s">
        <v>2520</v>
      </c>
      <c r="G71" s="3415"/>
      <c r="H71" s="3416"/>
      <c r="I71" s="5904"/>
      <c r="J71" s="991"/>
      <c r="K71" s="991"/>
      <c r="L71" s="991"/>
      <c r="M71" s="991"/>
      <c r="N71" s="992"/>
      <c r="O71" s="991"/>
      <c r="P71" s="991"/>
      <c r="Q71" s="991"/>
      <c r="R71" s="991"/>
      <c r="S71" s="991"/>
      <c r="T71" s="991"/>
      <c r="U71" s="991"/>
      <c r="V71" s="991"/>
      <c r="W71" s="991"/>
      <c r="X71" s="991"/>
      <c r="Y71" s="921"/>
      <c r="Z71" s="3735"/>
    </row>
    <row r="72" spans="1:26" s="918" customFormat="1" ht="30" x14ac:dyDescent="0.25">
      <c r="A72" s="921"/>
      <c r="B72" s="991"/>
      <c r="C72" s="5537"/>
      <c r="D72" s="6511"/>
      <c r="E72" s="6512"/>
      <c r="F72" s="3019" t="s">
        <v>2183</v>
      </c>
      <c r="G72" s="2997">
        <v>1</v>
      </c>
      <c r="H72" s="3025">
        <v>1</v>
      </c>
      <c r="I72" s="5904"/>
      <c r="J72" s="991"/>
      <c r="K72" s="991"/>
      <c r="L72" s="991"/>
      <c r="M72" s="991"/>
      <c r="N72" s="992"/>
      <c r="O72" s="991"/>
      <c r="P72" s="991"/>
      <c r="Q72" s="991"/>
      <c r="R72" s="991"/>
      <c r="S72" s="991"/>
      <c r="T72" s="991"/>
      <c r="U72" s="991"/>
      <c r="V72" s="991"/>
      <c r="W72" s="991"/>
      <c r="X72" s="991"/>
      <c r="Y72" s="921"/>
      <c r="Z72" s="3735"/>
    </row>
    <row r="73" spans="1:26" s="918" customFormat="1" ht="30" x14ac:dyDescent="0.25">
      <c r="A73" s="921"/>
      <c r="B73" s="991"/>
      <c r="C73" s="5537"/>
      <c r="D73" s="6511"/>
      <c r="E73" s="6512"/>
      <c r="F73" s="3019" t="s">
        <v>2182</v>
      </c>
      <c r="G73" s="2997"/>
      <c r="H73" s="3025"/>
      <c r="I73" s="5904"/>
      <c r="J73" s="991"/>
      <c r="K73" s="991"/>
      <c r="L73" s="991"/>
      <c r="M73" s="991"/>
      <c r="N73" s="992"/>
      <c r="O73" s="991"/>
      <c r="P73" s="991"/>
      <c r="Q73" s="991"/>
      <c r="R73" s="991"/>
      <c r="S73" s="991"/>
      <c r="T73" s="991"/>
      <c r="U73" s="991"/>
      <c r="V73" s="991"/>
      <c r="W73" s="991"/>
      <c r="X73" s="991"/>
      <c r="Y73" s="921"/>
      <c r="Z73" s="3735"/>
    </row>
    <row r="74" spans="1:26" s="918" customFormat="1" ht="15.75" x14ac:dyDescent="0.25">
      <c r="A74" s="921"/>
      <c r="B74" s="991"/>
      <c r="C74" s="5537"/>
      <c r="D74" s="6511"/>
      <c r="E74" s="6512"/>
      <c r="F74" s="3019" t="s">
        <v>2184</v>
      </c>
      <c r="G74" s="2997"/>
      <c r="H74" s="3025"/>
      <c r="I74" s="5904"/>
      <c r="J74" s="991"/>
      <c r="K74" s="991"/>
      <c r="L74" s="991"/>
      <c r="M74" s="991"/>
      <c r="N74" s="992"/>
      <c r="O74" s="991"/>
      <c r="P74" s="991"/>
      <c r="Q74" s="991"/>
      <c r="R74" s="991"/>
      <c r="S74" s="991"/>
      <c r="T74" s="991"/>
      <c r="U74" s="991"/>
      <c r="V74" s="991"/>
      <c r="W74" s="991"/>
      <c r="X74" s="991"/>
      <c r="Y74" s="921"/>
      <c r="Z74" s="3735"/>
    </row>
    <row r="75" spans="1:26" s="918" customFormat="1" ht="30" x14ac:dyDescent="0.25">
      <c r="A75" s="921"/>
      <c r="B75" s="991"/>
      <c r="C75" s="5537"/>
      <c r="D75" s="6461"/>
      <c r="E75" s="6462"/>
      <c r="F75" s="3022" t="s">
        <v>2185</v>
      </c>
      <c r="G75" s="3417">
        <f>1-(G72+G73+G74)</f>
        <v>0</v>
      </c>
      <c r="H75" s="3418">
        <f>1-(H72+H73+H74)</f>
        <v>0</v>
      </c>
      <c r="I75" s="5904"/>
      <c r="J75" s="991"/>
      <c r="K75" s="991"/>
      <c r="L75" s="991"/>
      <c r="M75" s="991"/>
      <c r="N75" s="992"/>
      <c r="O75" s="991"/>
      <c r="P75" s="991"/>
      <c r="Q75" s="991"/>
      <c r="R75" s="991"/>
      <c r="S75" s="991"/>
      <c r="T75" s="991"/>
      <c r="U75" s="991"/>
      <c r="V75" s="991"/>
      <c r="W75" s="991"/>
      <c r="X75" s="991"/>
      <c r="Y75" s="921"/>
      <c r="Z75" s="3735"/>
    </row>
    <row r="76" spans="1:26" s="918" customFormat="1" ht="30" x14ac:dyDescent="0.25">
      <c r="A76" s="921"/>
      <c r="B76" s="991"/>
      <c r="C76" s="5537"/>
      <c r="D76" s="6511" t="s">
        <v>211</v>
      </c>
      <c r="E76" s="6512"/>
      <c r="F76" s="3007" t="s">
        <v>2372</v>
      </c>
      <c r="G76" s="3020" t="s">
        <v>3538</v>
      </c>
      <c r="H76" s="3026">
        <v>50000</v>
      </c>
      <c r="I76" s="5904"/>
      <c r="J76" s="991"/>
      <c r="K76" s="991"/>
      <c r="L76" s="991"/>
      <c r="M76" s="991"/>
      <c r="N76" s="992"/>
      <c r="O76" s="991"/>
      <c r="P76" s="991"/>
      <c r="Q76" s="991"/>
      <c r="R76" s="991"/>
      <c r="S76" s="991"/>
      <c r="T76" s="991"/>
      <c r="U76" s="991"/>
      <c r="V76" s="991"/>
      <c r="W76" s="991"/>
      <c r="X76" s="991"/>
      <c r="Y76" s="921"/>
      <c r="Z76" s="3735"/>
    </row>
    <row r="77" spans="1:26" s="918" customFormat="1" ht="30" x14ac:dyDescent="0.25">
      <c r="A77" s="921"/>
      <c r="B77" s="991"/>
      <c r="C77" s="5537"/>
      <c r="D77" s="6511"/>
      <c r="E77" s="6512"/>
      <c r="F77" s="3007" t="s">
        <v>2373</v>
      </c>
      <c r="G77" s="3020" t="s">
        <v>3538</v>
      </c>
      <c r="H77" s="3027"/>
      <c r="I77" s="5904"/>
      <c r="J77" s="991"/>
      <c r="K77" s="991"/>
      <c r="L77" s="991"/>
      <c r="M77" s="991"/>
      <c r="N77" s="992"/>
      <c r="O77" s="991"/>
      <c r="P77" s="991"/>
      <c r="Q77" s="991"/>
      <c r="R77" s="991"/>
      <c r="S77" s="991"/>
      <c r="T77" s="991"/>
      <c r="U77" s="991"/>
      <c r="V77" s="991"/>
      <c r="W77" s="991"/>
      <c r="X77" s="991"/>
      <c r="Y77" s="921"/>
      <c r="Z77" s="3735"/>
    </row>
    <row r="78" spans="1:26" s="918" customFormat="1" ht="30.75" thickBot="1" x14ac:dyDescent="0.3">
      <c r="A78" s="921"/>
      <c r="B78" s="991"/>
      <c r="C78" s="5537"/>
      <c r="D78" s="6519"/>
      <c r="E78" s="6545"/>
      <c r="F78" s="3008" t="s">
        <v>2374</v>
      </c>
      <c r="G78" s="3021" t="s">
        <v>3538</v>
      </c>
      <c r="H78" s="3050"/>
      <c r="I78" s="5904"/>
      <c r="J78" s="991"/>
      <c r="K78" s="991"/>
      <c r="L78" s="991"/>
      <c r="M78" s="991"/>
      <c r="N78" s="992"/>
      <c r="O78" s="991"/>
      <c r="P78" s="991"/>
      <c r="Q78" s="991"/>
      <c r="R78" s="991"/>
      <c r="S78" s="991"/>
      <c r="T78" s="991"/>
      <c r="U78" s="991"/>
      <c r="V78" s="991"/>
      <c r="W78" s="991"/>
      <c r="X78" s="991"/>
      <c r="Y78" s="921"/>
      <c r="Z78" s="3735"/>
    </row>
    <row r="79" spans="1:26" s="918" customFormat="1" ht="18.75" thickBot="1" x14ac:dyDescent="0.3">
      <c r="A79" s="921"/>
      <c r="B79" s="991"/>
      <c r="C79" s="5538" t="s">
        <v>3126</v>
      </c>
      <c r="D79" s="3422" t="s">
        <v>786</v>
      </c>
      <c r="E79" s="2976" t="s">
        <v>78</v>
      </c>
      <c r="F79" s="6569" t="s">
        <v>2193</v>
      </c>
      <c r="G79" s="6570"/>
      <c r="H79" s="6571"/>
      <c r="I79" s="5904"/>
      <c r="J79" s="991"/>
      <c r="K79" s="421"/>
      <c r="L79" s="991"/>
      <c r="M79" s="991"/>
      <c r="N79" s="991"/>
      <c r="O79" s="991"/>
      <c r="P79" s="991"/>
      <c r="Q79" s="991"/>
      <c r="R79" s="991"/>
      <c r="S79" s="991"/>
      <c r="T79" s="991"/>
      <c r="U79" s="991"/>
      <c r="V79" s="991"/>
      <c r="W79" s="991"/>
      <c r="X79" s="991"/>
      <c r="Y79" s="921"/>
      <c r="Z79" s="3735" t="b">
        <f>'Perf assessment'!U136</f>
        <v>1</v>
      </c>
    </row>
    <row r="80" spans="1:26" s="918" customFormat="1" ht="15.75" x14ac:dyDescent="0.25">
      <c r="A80" s="921"/>
      <c r="B80" s="991"/>
      <c r="C80" s="5537"/>
      <c r="D80" s="6593"/>
      <c r="E80" s="6594"/>
      <c r="F80" s="3052" t="s">
        <v>2195</v>
      </c>
      <c r="G80" s="3934"/>
      <c r="H80" s="3932"/>
      <c r="I80" s="5904"/>
      <c r="J80" s="991"/>
      <c r="K80" s="991"/>
      <c r="L80" s="991"/>
      <c r="M80" s="991"/>
      <c r="N80" s="991"/>
      <c r="O80" s="991"/>
      <c r="P80" s="991"/>
      <c r="Q80" s="991"/>
      <c r="R80" s="991"/>
      <c r="S80" s="991"/>
      <c r="T80" s="991"/>
      <c r="U80" s="991"/>
      <c r="V80" s="991"/>
      <c r="W80" s="991"/>
      <c r="X80" s="991"/>
      <c r="Y80" s="921"/>
      <c r="Z80" s="3735"/>
    </row>
    <row r="81" spans="1:26" s="918" customFormat="1" ht="30" x14ac:dyDescent="0.25">
      <c r="A81" s="921"/>
      <c r="B81" s="991"/>
      <c r="C81" s="5537"/>
      <c r="D81" s="6527" t="s">
        <v>82</v>
      </c>
      <c r="E81" s="6528"/>
      <c r="F81" s="3029" t="s">
        <v>2861</v>
      </c>
      <c r="G81" s="3030" t="s">
        <v>207</v>
      </c>
      <c r="H81" s="3419" t="str">
        <f>CONCATENATE(IF('WSS Profile'!$F$307="",0,'WSS Profile'!$F$307)," / ",'WSS Profile'!$F$306)</f>
        <v>0 / 22</v>
      </c>
      <c r="I81" s="5904"/>
      <c r="J81" s="991"/>
      <c r="K81" s="421"/>
      <c r="L81" s="991"/>
      <c r="M81" s="991"/>
      <c r="N81" s="991"/>
      <c r="O81" s="991"/>
      <c r="P81" s="991"/>
      <c r="Q81" s="991"/>
      <c r="R81" s="991"/>
      <c r="S81" s="991"/>
      <c r="T81" s="991"/>
      <c r="U81" s="991"/>
      <c r="V81" s="991"/>
      <c r="W81" s="991"/>
      <c r="X81" s="991"/>
      <c r="Y81" s="921"/>
      <c r="Z81" s="3735"/>
    </row>
    <row r="82" spans="1:26" s="918" customFormat="1" ht="15.75" x14ac:dyDescent="0.25">
      <c r="A82" s="921"/>
      <c r="B82" s="991"/>
      <c r="C82" s="5537"/>
      <c r="D82" s="6438" t="s">
        <v>210</v>
      </c>
      <c r="E82" s="6439"/>
      <c r="F82" s="3040" t="s">
        <v>2368</v>
      </c>
      <c r="G82" s="3041" t="s">
        <v>207</v>
      </c>
      <c r="H82" s="3047"/>
      <c r="I82" s="5904"/>
      <c r="J82" s="991"/>
      <c r="K82" s="991"/>
      <c r="L82" s="991"/>
      <c r="M82" s="991"/>
      <c r="N82" s="991"/>
      <c r="O82" s="991"/>
      <c r="P82" s="991"/>
      <c r="Q82" s="991"/>
      <c r="R82" s="991"/>
      <c r="S82" s="991"/>
      <c r="T82" s="991"/>
      <c r="U82" s="991"/>
      <c r="V82" s="991"/>
      <c r="W82" s="991"/>
      <c r="X82" s="991"/>
      <c r="Y82" s="921"/>
      <c r="Z82" s="3735"/>
    </row>
    <row r="83" spans="1:26" s="918" customFormat="1" ht="15.75" x14ac:dyDescent="0.25">
      <c r="A83" s="921"/>
      <c r="B83" s="991"/>
      <c r="C83" s="5537"/>
      <c r="D83" s="6572" t="s">
        <v>211</v>
      </c>
      <c r="E83" s="6573"/>
      <c r="F83" s="3031" t="s">
        <v>2369</v>
      </c>
      <c r="G83" s="3039" t="s">
        <v>3536</v>
      </c>
      <c r="H83" s="3048"/>
      <c r="I83" s="5904"/>
      <c r="J83" s="991"/>
      <c r="K83" s="991"/>
      <c r="L83" s="991"/>
      <c r="M83" s="991"/>
      <c r="N83" s="991"/>
      <c r="O83" s="991"/>
      <c r="P83" s="991"/>
      <c r="Q83" s="991"/>
      <c r="R83" s="991"/>
      <c r="S83" s="991"/>
      <c r="T83" s="991"/>
      <c r="U83" s="991"/>
      <c r="V83" s="991"/>
      <c r="W83" s="991"/>
      <c r="X83" s="991"/>
      <c r="Y83" s="921"/>
      <c r="Z83" s="3735"/>
    </row>
    <row r="84" spans="1:26" s="918" customFormat="1" ht="15.75" x14ac:dyDescent="0.25">
      <c r="A84" s="921"/>
      <c r="B84" s="991"/>
      <c r="C84" s="5537"/>
      <c r="D84" s="6574"/>
      <c r="E84" s="6575"/>
      <c r="F84" s="3031" t="s">
        <v>2370</v>
      </c>
      <c r="G84" s="3032" t="s">
        <v>3537</v>
      </c>
      <c r="H84" s="3049"/>
      <c r="I84" s="5904"/>
      <c r="J84" s="991"/>
      <c r="K84" s="991"/>
      <c r="L84" s="991"/>
      <c r="M84" s="991"/>
      <c r="N84" s="991"/>
      <c r="O84" s="991"/>
      <c r="P84" s="991"/>
      <c r="Q84" s="991"/>
      <c r="R84" s="991"/>
      <c r="S84" s="991"/>
      <c r="T84" s="991"/>
      <c r="U84" s="991"/>
      <c r="V84" s="991"/>
      <c r="W84" s="991"/>
      <c r="X84" s="991"/>
      <c r="Y84" s="921"/>
      <c r="Z84" s="3735"/>
    </row>
    <row r="85" spans="1:26" s="918" customFormat="1" ht="30" x14ac:dyDescent="0.25">
      <c r="A85" s="921"/>
      <c r="B85" s="991"/>
      <c r="C85" s="5537"/>
      <c r="D85" s="6600"/>
      <c r="E85" s="6601"/>
      <c r="F85" s="3033" t="s">
        <v>3793</v>
      </c>
      <c r="G85" s="3034" t="s">
        <v>3537</v>
      </c>
      <c r="H85" s="3050"/>
      <c r="I85" s="5904"/>
      <c r="J85" s="991"/>
      <c r="K85" s="421"/>
      <c r="L85" s="991"/>
      <c r="M85" s="991"/>
      <c r="N85" s="991"/>
      <c r="O85" s="991"/>
      <c r="P85" s="991"/>
      <c r="Q85" s="991"/>
      <c r="R85" s="991"/>
      <c r="S85" s="991"/>
      <c r="T85" s="991"/>
      <c r="U85" s="991"/>
      <c r="V85" s="991"/>
      <c r="W85" s="991"/>
      <c r="X85" s="991"/>
      <c r="Y85" s="921"/>
      <c r="Z85" s="3735"/>
    </row>
    <row r="86" spans="1:26" s="918" customFormat="1" ht="15.75" x14ac:dyDescent="0.25">
      <c r="A86" s="921"/>
      <c r="B86" s="991"/>
      <c r="C86" s="5537"/>
      <c r="D86" s="6481"/>
      <c r="E86" s="6482"/>
      <c r="F86" s="3028" t="s">
        <v>2196</v>
      </c>
      <c r="G86" s="3934"/>
      <c r="H86" s="3923"/>
      <c r="I86" s="5904"/>
      <c r="J86" s="991"/>
      <c r="K86" s="991"/>
      <c r="L86" s="991"/>
      <c r="M86" s="991"/>
      <c r="N86" s="991"/>
      <c r="O86" s="991"/>
      <c r="P86" s="991"/>
      <c r="Q86" s="991"/>
      <c r="R86" s="991"/>
      <c r="S86" s="991"/>
      <c r="T86" s="991"/>
      <c r="U86" s="991"/>
      <c r="V86" s="991"/>
      <c r="W86" s="991"/>
      <c r="X86" s="991"/>
      <c r="Y86" s="921"/>
      <c r="Z86" s="3735"/>
    </row>
    <row r="87" spans="1:26" s="918" customFormat="1" ht="33" customHeight="1" x14ac:dyDescent="0.25">
      <c r="A87" s="921"/>
      <c r="B87" s="991"/>
      <c r="C87" s="5537"/>
      <c r="D87" s="6535" t="s">
        <v>82</v>
      </c>
      <c r="E87" s="6536"/>
      <c r="F87" s="3035" t="s">
        <v>2521</v>
      </c>
      <c r="G87" s="3030" t="s">
        <v>207</v>
      </c>
      <c r="H87" s="3420" t="str">
        <f>CONCATENATE(IF('WSS Profile'!$F$312="",0,'WSS Profile'!$F$312)," / ",'WSS Profile'!$F$305)</f>
        <v>0 / 4</v>
      </c>
      <c r="I87" s="5904"/>
      <c r="J87" s="991"/>
      <c r="K87" s="991"/>
      <c r="L87" s="991"/>
      <c r="M87" s="991"/>
      <c r="N87" s="991"/>
      <c r="O87" s="991"/>
      <c r="P87" s="991"/>
      <c r="Q87" s="991"/>
      <c r="R87" s="991"/>
      <c r="S87" s="991"/>
      <c r="T87" s="991"/>
      <c r="U87" s="991"/>
      <c r="V87" s="991"/>
      <c r="W87" s="991"/>
      <c r="X87" s="991"/>
      <c r="Y87" s="921"/>
      <c r="Z87" s="3735"/>
    </row>
    <row r="88" spans="1:26" s="918" customFormat="1" ht="30" x14ac:dyDescent="0.25">
      <c r="A88" s="921"/>
      <c r="B88" s="991"/>
      <c r="C88" s="5537"/>
      <c r="D88" s="6459" t="s">
        <v>210</v>
      </c>
      <c r="E88" s="6516"/>
      <c r="F88" s="3042" t="s">
        <v>2375</v>
      </c>
      <c r="G88" s="3043" t="s">
        <v>207</v>
      </c>
      <c r="H88" s="3051"/>
      <c r="I88" s="5904"/>
      <c r="J88" s="991"/>
      <c r="K88" s="991"/>
      <c r="L88" s="991"/>
      <c r="M88" s="991"/>
      <c r="N88" s="991"/>
      <c r="O88" s="991"/>
      <c r="P88" s="991"/>
      <c r="Q88" s="991"/>
      <c r="R88" s="991"/>
      <c r="S88" s="991"/>
      <c r="T88" s="991"/>
      <c r="U88" s="991"/>
      <c r="V88" s="991"/>
      <c r="W88" s="991"/>
      <c r="X88" s="991"/>
      <c r="Y88" s="921"/>
      <c r="Z88" s="3735"/>
    </row>
    <row r="89" spans="1:26" s="918" customFormat="1" ht="15.75" x14ac:dyDescent="0.25">
      <c r="A89" s="921"/>
      <c r="B89" s="991"/>
      <c r="C89" s="5537"/>
      <c r="D89" s="6511"/>
      <c r="E89" s="6517"/>
      <c r="F89" s="5335" t="s">
        <v>2520</v>
      </c>
      <c r="G89" s="3036"/>
      <c r="H89" s="3421"/>
      <c r="I89" s="5904"/>
      <c r="J89" s="991"/>
      <c r="K89" s="991"/>
      <c r="L89" s="991"/>
      <c r="M89" s="991"/>
      <c r="N89" s="991"/>
      <c r="O89" s="991"/>
      <c r="P89" s="991"/>
      <c r="Q89" s="991"/>
      <c r="R89" s="991"/>
      <c r="S89" s="991"/>
      <c r="T89" s="991"/>
      <c r="U89" s="991"/>
      <c r="V89" s="991"/>
      <c r="W89" s="991"/>
      <c r="X89" s="991"/>
      <c r="Y89" s="921"/>
      <c r="Z89" s="3735"/>
    </row>
    <row r="90" spans="1:26" s="918" customFormat="1" ht="30" x14ac:dyDescent="0.25">
      <c r="A90" s="921"/>
      <c r="B90" s="991"/>
      <c r="C90" s="5537"/>
      <c r="D90" s="6511"/>
      <c r="E90" s="6517"/>
      <c r="F90" s="3037" t="s">
        <v>2186</v>
      </c>
      <c r="G90" s="3038"/>
      <c r="H90" s="2998"/>
      <c r="I90" s="5904"/>
      <c r="J90" s="991"/>
      <c r="K90" s="991"/>
      <c r="L90" s="991"/>
      <c r="M90" s="991"/>
      <c r="N90" s="991"/>
      <c r="O90" s="991"/>
      <c r="P90" s="991"/>
      <c r="Q90" s="991"/>
      <c r="R90" s="991"/>
      <c r="S90" s="991"/>
      <c r="T90" s="991"/>
      <c r="U90" s="991"/>
      <c r="V90" s="991"/>
      <c r="W90" s="991"/>
      <c r="X90" s="991"/>
      <c r="Y90" s="921"/>
      <c r="Z90" s="3735"/>
    </row>
    <row r="91" spans="1:26" s="918" customFormat="1" ht="30" x14ac:dyDescent="0.25">
      <c r="A91" s="921"/>
      <c r="B91" s="991"/>
      <c r="C91" s="5537"/>
      <c r="D91" s="6511"/>
      <c r="E91" s="6517"/>
      <c r="F91" s="3037" t="s">
        <v>2187</v>
      </c>
      <c r="G91" s="3038"/>
      <c r="H91" s="2998"/>
      <c r="I91" s="5904"/>
      <c r="J91" s="991"/>
      <c r="K91" s="991"/>
      <c r="L91" s="991"/>
      <c r="M91" s="991"/>
      <c r="N91" s="991"/>
      <c r="O91" s="991"/>
      <c r="P91" s="991"/>
      <c r="Q91" s="991"/>
      <c r="R91" s="991"/>
      <c r="S91" s="991"/>
      <c r="T91" s="991"/>
      <c r="U91" s="991"/>
      <c r="V91" s="991"/>
      <c r="W91" s="991"/>
      <c r="X91" s="991"/>
      <c r="Y91" s="921"/>
      <c r="Z91" s="3735"/>
    </row>
    <row r="92" spans="1:26" s="918" customFormat="1" ht="15.75" x14ac:dyDescent="0.25">
      <c r="A92" s="921"/>
      <c r="B92" s="991"/>
      <c r="C92" s="5537"/>
      <c r="D92" s="6511"/>
      <c r="E92" s="6517"/>
      <c r="F92" s="3037" t="s">
        <v>2188</v>
      </c>
      <c r="G92" s="3038"/>
      <c r="H92" s="2998"/>
      <c r="I92" s="5904"/>
      <c r="J92" s="991"/>
      <c r="K92" s="991"/>
      <c r="L92" s="991"/>
      <c r="M92" s="991"/>
      <c r="N92" s="991"/>
      <c r="O92" s="991"/>
      <c r="P92" s="991"/>
      <c r="Q92" s="991"/>
      <c r="R92" s="991"/>
      <c r="S92" s="991"/>
      <c r="T92" s="991"/>
      <c r="U92" s="991"/>
      <c r="V92" s="991"/>
      <c r="W92" s="991"/>
      <c r="X92" s="991"/>
      <c r="Y92" s="921"/>
      <c r="Z92" s="3735"/>
    </row>
    <row r="93" spans="1:26" s="918" customFormat="1" ht="30" x14ac:dyDescent="0.25">
      <c r="A93" s="921"/>
      <c r="B93" s="991"/>
      <c r="C93" s="5537"/>
      <c r="D93" s="6461"/>
      <c r="E93" s="6518"/>
      <c r="F93" s="3045" t="s">
        <v>2189</v>
      </c>
      <c r="G93" s="3046"/>
      <c r="H93" s="3412">
        <f>1-(H90+H91+H92)</f>
        <v>1</v>
      </c>
      <c r="I93" s="5904"/>
      <c r="J93" s="991"/>
      <c r="K93" s="991"/>
      <c r="L93" s="991"/>
      <c r="M93" s="991"/>
      <c r="N93" s="991"/>
      <c r="O93" s="991"/>
      <c r="P93" s="991"/>
      <c r="Q93" s="991"/>
      <c r="R93" s="991"/>
      <c r="S93" s="991"/>
      <c r="T93" s="991"/>
      <c r="U93" s="991"/>
      <c r="V93" s="991"/>
      <c r="W93" s="991"/>
      <c r="X93" s="991"/>
      <c r="Y93" s="921"/>
      <c r="Z93" s="3735"/>
    </row>
    <row r="94" spans="1:26" s="918" customFormat="1" ht="30" x14ac:dyDescent="0.25">
      <c r="A94" s="921"/>
      <c r="B94" s="991"/>
      <c r="C94" s="5537"/>
      <c r="D94" s="6459" t="s">
        <v>211</v>
      </c>
      <c r="E94" s="6516"/>
      <c r="F94" s="3031" t="s">
        <v>2372</v>
      </c>
      <c r="G94" s="3032" t="s">
        <v>3538</v>
      </c>
      <c r="H94" s="3027"/>
      <c r="I94" s="5904"/>
      <c r="J94" s="991"/>
      <c r="K94" s="991"/>
      <c r="L94" s="991"/>
      <c r="M94" s="991"/>
      <c r="N94" s="991"/>
      <c r="O94" s="991"/>
      <c r="P94" s="991"/>
      <c r="Q94" s="991"/>
      <c r="R94" s="991"/>
      <c r="S94" s="991"/>
      <c r="T94" s="991"/>
      <c r="U94" s="991"/>
      <c r="V94" s="991"/>
      <c r="W94" s="991"/>
      <c r="X94" s="991"/>
      <c r="Y94" s="921"/>
      <c r="Z94" s="3735"/>
    </row>
    <row r="95" spans="1:26" s="918" customFormat="1" ht="30" x14ac:dyDescent="0.25">
      <c r="A95" s="921"/>
      <c r="B95" s="991"/>
      <c r="C95" s="5537"/>
      <c r="D95" s="6511"/>
      <c r="E95" s="6517"/>
      <c r="F95" s="3031" t="s">
        <v>2373</v>
      </c>
      <c r="G95" s="3032" t="s">
        <v>3538</v>
      </c>
      <c r="H95" s="3027"/>
      <c r="I95" s="5904"/>
      <c r="J95" s="991"/>
      <c r="K95" s="991"/>
      <c r="L95" s="991"/>
      <c r="M95" s="991"/>
      <c r="N95" s="991"/>
      <c r="O95" s="991"/>
      <c r="P95" s="991"/>
      <c r="Q95" s="991"/>
      <c r="R95" s="991"/>
      <c r="S95" s="991"/>
      <c r="T95" s="991"/>
      <c r="U95" s="991"/>
      <c r="V95" s="991"/>
      <c r="W95" s="991"/>
      <c r="X95" s="991"/>
      <c r="Y95" s="921"/>
      <c r="Z95" s="3735"/>
    </row>
    <row r="96" spans="1:26" s="918" customFormat="1" ht="30.75" thickBot="1" x14ac:dyDescent="0.3">
      <c r="A96" s="921"/>
      <c r="B96" s="991"/>
      <c r="C96" s="5537"/>
      <c r="D96" s="6519"/>
      <c r="E96" s="6520"/>
      <c r="F96" s="3033" t="s">
        <v>2376</v>
      </c>
      <c r="G96" s="3034" t="s">
        <v>3538</v>
      </c>
      <c r="H96" s="3050"/>
      <c r="I96" s="5904"/>
      <c r="J96" s="991"/>
      <c r="K96" s="421"/>
      <c r="L96" s="991"/>
      <c r="M96" s="991"/>
      <c r="N96" s="991"/>
      <c r="O96" s="991"/>
      <c r="P96" s="991"/>
      <c r="Q96" s="991"/>
      <c r="R96" s="991"/>
      <c r="S96" s="991"/>
      <c r="T96" s="991"/>
      <c r="U96" s="991"/>
      <c r="V96" s="991"/>
      <c r="W96" s="991"/>
      <c r="X96" s="991"/>
      <c r="Y96" s="921"/>
      <c r="Z96" s="3735"/>
    </row>
    <row r="97" spans="1:26" ht="18.75" thickBot="1" x14ac:dyDescent="0.3">
      <c r="B97" s="2"/>
      <c r="C97" s="5538" t="s">
        <v>3127</v>
      </c>
      <c r="D97" s="3422" t="s">
        <v>786</v>
      </c>
      <c r="E97" s="2976" t="s">
        <v>78</v>
      </c>
      <c r="F97" s="2984" t="s">
        <v>2899</v>
      </c>
      <c r="G97" s="3934"/>
      <c r="H97" s="3923"/>
      <c r="I97" s="5904"/>
      <c r="J97" s="2"/>
      <c r="K97" s="2"/>
      <c r="L97" s="2"/>
      <c r="M97" s="2"/>
      <c r="N97" s="2"/>
      <c r="O97" s="2"/>
      <c r="P97" s="2"/>
      <c r="Q97" s="2"/>
      <c r="R97" s="2"/>
      <c r="S97" s="2"/>
      <c r="T97" s="2"/>
      <c r="U97" s="2"/>
      <c r="V97" s="2"/>
      <c r="W97" s="2"/>
      <c r="X97" s="2"/>
      <c r="Z97" s="3735">
        <f>'Perf assessment'!U137</f>
        <v>0</v>
      </c>
    </row>
    <row r="98" spans="1:26" s="918" customFormat="1" ht="15.75" customHeight="1" x14ac:dyDescent="0.25">
      <c r="A98" s="921"/>
      <c r="B98" s="991"/>
      <c r="C98" s="5537"/>
      <c r="D98" s="6521" t="s">
        <v>82</v>
      </c>
      <c r="E98" s="6560"/>
      <c r="F98" s="3053"/>
      <c r="G98" s="5321" t="s">
        <v>1732</v>
      </c>
      <c r="H98" s="5322" t="s">
        <v>1733</v>
      </c>
      <c r="I98" s="5904"/>
      <c r="J98" s="991"/>
      <c r="K98" s="991"/>
      <c r="L98" s="991"/>
      <c r="M98" s="991"/>
      <c r="N98" s="991"/>
      <c r="O98" s="991"/>
      <c r="P98" s="991"/>
      <c r="Q98" s="991"/>
      <c r="R98" s="991"/>
      <c r="S98" s="991"/>
      <c r="T98" s="991"/>
      <c r="U98" s="991"/>
      <c r="V98" s="991"/>
      <c r="W98" s="991"/>
      <c r="X98" s="991"/>
      <c r="Y98" s="921"/>
      <c r="Z98" s="3735"/>
    </row>
    <row r="99" spans="1:26" s="918" customFormat="1" ht="30" x14ac:dyDescent="0.25">
      <c r="A99" s="921"/>
      <c r="B99" s="991"/>
      <c r="C99" s="5537"/>
      <c r="D99" s="6511"/>
      <c r="E99" s="6512"/>
      <c r="F99" s="3054" t="s">
        <v>2542</v>
      </c>
      <c r="G99" s="6582">
        <f>'WSS Profile'!F300+'WSS Profile'!G300+'WSS Profile'!F311:G311</f>
        <v>48</v>
      </c>
      <c r="H99" s="6583"/>
      <c r="I99" s="5904"/>
      <c r="J99" s="991"/>
      <c r="K99" s="991"/>
      <c r="L99" s="991"/>
      <c r="M99" s="991"/>
      <c r="N99" s="991"/>
      <c r="O99" s="991"/>
      <c r="P99" s="991"/>
      <c r="Q99" s="991"/>
      <c r="R99" s="991"/>
      <c r="S99" s="991"/>
      <c r="T99" s="991"/>
      <c r="U99" s="991"/>
      <c r="V99" s="991"/>
      <c r="W99" s="991"/>
      <c r="X99" s="991"/>
      <c r="Y99" s="921"/>
      <c r="Z99" s="3735"/>
    </row>
    <row r="100" spans="1:26" s="918" customFormat="1" ht="30" x14ac:dyDescent="0.25">
      <c r="A100" s="921"/>
      <c r="B100" s="991"/>
      <c r="C100" s="5537"/>
      <c r="D100" s="6511"/>
      <c r="E100" s="6512"/>
      <c r="F100" s="3055" t="s">
        <v>3000</v>
      </c>
      <c r="G100" s="5357">
        <f>'WSS Profile'!F256+'WSS Profile'!F257</f>
        <v>4240</v>
      </c>
      <c r="H100" s="5358">
        <f>'WSS Profile'!G256+'WSS Profile'!G257</f>
        <v>189</v>
      </c>
      <c r="I100" s="5904"/>
      <c r="J100" s="991"/>
      <c r="K100" s="991"/>
      <c r="L100" s="991"/>
      <c r="M100" s="991"/>
      <c r="N100" s="991"/>
      <c r="O100" s="991"/>
      <c r="P100" s="991"/>
      <c r="Q100" s="991"/>
      <c r="R100" s="991"/>
      <c r="S100" s="991"/>
      <c r="T100" s="991"/>
      <c r="U100" s="991"/>
      <c r="V100" s="991"/>
      <c r="W100" s="991"/>
      <c r="X100" s="991"/>
      <c r="Y100" s="921"/>
      <c r="Z100" s="3735"/>
    </row>
    <row r="101" spans="1:26" s="918" customFormat="1" ht="31.5" customHeight="1" x14ac:dyDescent="0.25">
      <c r="A101" s="921"/>
      <c r="B101" s="991"/>
      <c r="C101" s="5537"/>
      <c r="D101" s="6459" t="s">
        <v>210</v>
      </c>
      <c r="E101" s="6460"/>
      <c r="F101" s="3009" t="s">
        <v>2544</v>
      </c>
      <c r="G101" s="6567"/>
      <c r="H101" s="6568"/>
      <c r="I101" s="5904"/>
      <c r="J101" s="991"/>
      <c r="K101" s="991"/>
      <c r="L101" s="991"/>
      <c r="M101" s="991"/>
      <c r="N101" s="991"/>
      <c r="O101" s="991"/>
      <c r="P101" s="991"/>
      <c r="Q101" s="991"/>
      <c r="R101" s="991"/>
      <c r="S101" s="991"/>
      <c r="T101" s="991"/>
      <c r="U101" s="991"/>
      <c r="V101" s="991"/>
      <c r="W101" s="991"/>
      <c r="X101" s="991"/>
      <c r="Y101" s="921"/>
      <c r="Z101" s="3735"/>
    </row>
    <row r="102" spans="1:26" ht="15.75" x14ac:dyDescent="0.25">
      <c r="B102" s="2"/>
      <c r="C102" s="5537"/>
      <c r="D102" s="6461"/>
      <c r="E102" s="6462"/>
      <c r="F102" s="3010" t="s">
        <v>2543</v>
      </c>
      <c r="G102" s="5356"/>
      <c r="H102" s="5556"/>
      <c r="I102" s="5904"/>
      <c r="J102" s="2"/>
      <c r="K102" s="2"/>
      <c r="L102" s="2"/>
      <c r="M102" s="2"/>
      <c r="N102" s="2"/>
      <c r="O102" s="2"/>
      <c r="P102" s="2"/>
      <c r="Q102" s="2"/>
      <c r="R102" s="2"/>
      <c r="S102" s="2"/>
      <c r="T102" s="2"/>
      <c r="U102" s="2"/>
      <c r="V102" s="2"/>
      <c r="W102" s="2"/>
      <c r="X102" s="2"/>
    </row>
    <row r="103" spans="1:26" s="918" customFormat="1" ht="15.75" x14ac:dyDescent="0.25">
      <c r="A103" s="921"/>
      <c r="B103" s="991"/>
      <c r="C103" s="5537"/>
      <c r="D103" s="6511" t="s">
        <v>211</v>
      </c>
      <c r="E103" s="6512"/>
      <c r="F103" s="3007" t="s">
        <v>3539</v>
      </c>
      <c r="G103" s="6554"/>
      <c r="H103" s="6555"/>
      <c r="I103" s="5904"/>
      <c r="J103" s="991"/>
      <c r="K103" s="991"/>
      <c r="L103" s="991"/>
      <c r="M103" s="991"/>
      <c r="N103" s="991"/>
      <c r="O103" s="991"/>
      <c r="P103" s="991"/>
      <c r="Q103" s="991"/>
      <c r="R103" s="991"/>
      <c r="S103" s="991"/>
      <c r="T103" s="991"/>
      <c r="U103" s="991"/>
      <c r="V103" s="991"/>
      <c r="W103" s="991"/>
      <c r="X103" s="991"/>
      <c r="Y103" s="921"/>
      <c r="Z103" s="3735"/>
    </row>
    <row r="104" spans="1:26" s="918" customFormat="1" ht="15.75" x14ac:dyDescent="0.25">
      <c r="A104" s="921"/>
      <c r="B104" s="991"/>
      <c r="C104" s="5537"/>
      <c r="D104" s="6511"/>
      <c r="E104" s="6512"/>
      <c r="F104" s="3007" t="s">
        <v>3540</v>
      </c>
      <c r="G104" s="6591"/>
      <c r="H104" s="6592"/>
      <c r="I104" s="5904"/>
      <c r="J104" s="991"/>
      <c r="K104" s="991"/>
      <c r="L104" s="991"/>
      <c r="M104" s="991"/>
      <c r="N104" s="991"/>
      <c r="O104" s="991"/>
      <c r="P104" s="991"/>
      <c r="Q104" s="991"/>
      <c r="R104" s="991"/>
      <c r="S104" s="991"/>
      <c r="T104" s="991"/>
      <c r="U104" s="991"/>
      <c r="V104" s="991"/>
      <c r="W104" s="991"/>
      <c r="X104" s="991"/>
      <c r="Y104" s="921"/>
      <c r="Z104" s="3735"/>
    </row>
    <row r="105" spans="1:26" s="918" customFormat="1" ht="30.75" thickBot="1" x14ac:dyDescent="0.3">
      <c r="A105" s="921"/>
      <c r="B105" s="991"/>
      <c r="C105" s="5537"/>
      <c r="D105" s="6519"/>
      <c r="E105" s="6545"/>
      <c r="F105" s="3008" t="s">
        <v>2762</v>
      </c>
      <c r="G105" s="3056"/>
      <c r="H105" s="3057"/>
      <c r="I105" s="5904"/>
      <c r="J105" s="991"/>
      <c r="K105" s="991"/>
      <c r="L105" s="991"/>
      <c r="M105" s="991"/>
      <c r="N105" s="991"/>
      <c r="O105" s="991"/>
      <c r="P105" s="991"/>
      <c r="Q105" s="991"/>
      <c r="R105" s="991"/>
      <c r="S105" s="991"/>
      <c r="T105" s="991"/>
      <c r="U105" s="991"/>
      <c r="V105" s="991"/>
      <c r="W105" s="991"/>
      <c r="X105" s="991"/>
      <c r="Y105" s="921"/>
      <c r="Z105" s="3735"/>
    </row>
    <row r="106" spans="1:26" ht="32.25" thickBot="1" x14ac:dyDescent="0.35">
      <c r="B106" s="389"/>
      <c r="C106" s="5538" t="s">
        <v>3128</v>
      </c>
      <c r="D106" s="3422" t="s">
        <v>786</v>
      </c>
      <c r="E106" s="2976" t="s">
        <v>78</v>
      </c>
      <c r="F106" s="2984" t="s">
        <v>1258</v>
      </c>
      <c r="G106" s="3922"/>
      <c r="H106" s="3923"/>
      <c r="I106" s="5904"/>
      <c r="J106" s="2"/>
      <c r="K106" s="2"/>
      <c r="L106" s="2"/>
      <c r="M106" s="2"/>
      <c r="N106" s="2"/>
      <c r="O106" s="2"/>
      <c r="P106" s="2"/>
      <c r="Q106" s="2"/>
      <c r="R106" s="2"/>
      <c r="S106" s="2"/>
      <c r="T106" s="2"/>
      <c r="U106" s="2"/>
      <c r="V106" s="2"/>
      <c r="W106" s="2"/>
      <c r="X106" s="2"/>
      <c r="Z106" s="3735" t="b">
        <f>'Perf assessment'!U138</f>
        <v>1</v>
      </c>
    </row>
    <row r="107" spans="1:26" ht="15" customHeight="1" x14ac:dyDescent="0.25">
      <c r="B107" s="2"/>
      <c r="C107" s="5537"/>
      <c r="D107" s="6440" t="s">
        <v>211</v>
      </c>
      <c r="E107" s="6515"/>
      <c r="F107" s="2960" t="s">
        <v>3541</v>
      </c>
      <c r="G107" s="2961" t="s">
        <v>3520</v>
      </c>
      <c r="H107" s="5769"/>
      <c r="I107" s="5904"/>
      <c r="J107" s="2"/>
      <c r="K107" s="2"/>
      <c r="L107" s="2"/>
      <c r="M107" s="2"/>
      <c r="N107" s="2"/>
      <c r="O107" s="2"/>
      <c r="P107" s="2"/>
      <c r="Q107" s="2"/>
      <c r="R107" s="2"/>
      <c r="S107" s="2"/>
      <c r="T107" s="2"/>
      <c r="U107" s="2"/>
      <c r="V107" s="2"/>
      <c r="W107" s="2"/>
      <c r="X107" s="2"/>
    </row>
    <row r="108" spans="1:26" ht="15.75" x14ac:dyDescent="0.25">
      <c r="B108" s="2"/>
      <c r="C108" s="5537"/>
      <c r="D108" s="415"/>
      <c r="E108" s="388"/>
      <c r="F108" s="388"/>
      <c r="G108" s="388"/>
      <c r="H108" s="388"/>
      <c r="I108" s="5904"/>
      <c r="J108" s="2"/>
      <c r="K108" s="2"/>
      <c r="L108" s="2"/>
      <c r="M108" s="2"/>
      <c r="N108" s="2"/>
      <c r="O108" s="2"/>
      <c r="P108" s="2"/>
      <c r="Q108" s="2"/>
      <c r="R108" s="2"/>
      <c r="S108" s="2"/>
      <c r="T108" s="2"/>
      <c r="U108" s="2"/>
      <c r="V108" s="2"/>
      <c r="W108" s="2"/>
      <c r="X108" s="2"/>
    </row>
    <row r="109" spans="1:26" s="918" customFormat="1" x14ac:dyDescent="0.25">
      <c r="A109" s="921"/>
      <c r="B109" s="991"/>
      <c r="C109" s="5536"/>
      <c r="D109" s="413"/>
      <c r="E109" s="991"/>
      <c r="F109" s="991"/>
      <c r="G109" s="413"/>
      <c r="H109" s="991"/>
      <c r="I109" s="412"/>
      <c r="J109" s="991"/>
      <c r="K109" s="991"/>
      <c r="L109" s="991"/>
      <c r="M109" s="991"/>
      <c r="N109" s="991"/>
      <c r="O109" s="991"/>
      <c r="P109" s="991"/>
      <c r="Q109" s="991"/>
      <c r="R109" s="991"/>
      <c r="S109" s="991"/>
      <c r="T109" s="991"/>
      <c r="U109" s="991"/>
      <c r="V109" s="991"/>
      <c r="W109" s="991"/>
      <c r="X109" s="991"/>
      <c r="Y109" s="921"/>
      <c r="Z109" s="3735"/>
    </row>
    <row r="110" spans="1:26" ht="21.75" thickBot="1" x14ac:dyDescent="0.3">
      <c r="B110" s="2"/>
      <c r="C110" s="5539"/>
      <c r="D110" s="399"/>
      <c r="E110" s="399">
        <v>4</v>
      </c>
      <c r="F110" s="6431" t="s">
        <v>208</v>
      </c>
      <c r="G110" s="6431"/>
      <c r="H110" s="6431"/>
      <c r="I110" s="390"/>
      <c r="J110" s="2"/>
      <c r="K110" s="2"/>
      <c r="L110" s="2"/>
      <c r="M110" s="2"/>
      <c r="N110" s="2"/>
      <c r="O110" s="2"/>
      <c r="P110" s="2"/>
      <c r="Q110" s="2"/>
      <c r="R110" s="2"/>
      <c r="S110" s="2"/>
      <c r="T110" s="2"/>
      <c r="U110" s="2"/>
      <c r="V110" s="2"/>
      <c r="W110" s="2"/>
      <c r="X110" s="2"/>
    </row>
    <row r="111" spans="1:26" ht="18.75" thickBot="1" x14ac:dyDescent="0.3">
      <c r="B111" s="991"/>
      <c r="C111" s="5538" t="s">
        <v>3129</v>
      </c>
      <c r="D111" s="3422" t="s">
        <v>786</v>
      </c>
      <c r="E111" s="2979" t="s">
        <v>79</v>
      </c>
      <c r="F111" s="6444" t="s">
        <v>2940</v>
      </c>
      <c r="G111" s="6445"/>
      <c r="H111" s="6446"/>
      <c r="I111" s="5904"/>
      <c r="J111" s="421"/>
      <c r="K111" s="2"/>
      <c r="L111" s="1089"/>
      <c r="M111" s="991"/>
      <c r="N111" s="2"/>
      <c r="O111" s="2"/>
      <c r="P111" s="2"/>
      <c r="Q111" s="2"/>
      <c r="R111" s="2"/>
      <c r="S111" s="2"/>
      <c r="T111" s="2"/>
      <c r="U111" s="2"/>
      <c r="V111" s="2"/>
      <c r="W111" s="2"/>
      <c r="X111" s="2"/>
      <c r="Z111" s="3735" t="b">
        <f>'Perf assessment'!U140</f>
        <v>1</v>
      </c>
    </row>
    <row r="112" spans="1:26" s="918" customFormat="1" ht="15.75" customHeight="1" x14ac:dyDescent="0.25">
      <c r="A112" s="921"/>
      <c r="B112" s="991"/>
      <c r="C112" s="5539"/>
      <c r="D112" s="6550" t="s">
        <v>82</v>
      </c>
      <c r="E112" s="6551"/>
      <c r="F112" s="3059"/>
      <c r="G112" s="5323" t="s">
        <v>1732</v>
      </c>
      <c r="H112" s="5324" t="s">
        <v>1733</v>
      </c>
      <c r="I112" s="5904"/>
      <c r="J112" s="991"/>
      <c r="K112" s="991"/>
      <c r="L112" s="991"/>
      <c r="M112" s="991"/>
      <c r="N112" s="991"/>
      <c r="O112" s="991"/>
      <c r="P112" s="991"/>
      <c r="Q112" s="991"/>
      <c r="R112" s="991"/>
      <c r="S112" s="991"/>
      <c r="T112" s="991"/>
      <c r="U112" s="991"/>
      <c r="V112" s="991"/>
      <c r="W112" s="991"/>
      <c r="X112" s="991"/>
      <c r="Y112" s="921"/>
      <c r="Z112" s="3739"/>
    </row>
    <row r="113" spans="1:26" s="918" customFormat="1" ht="30" x14ac:dyDescent="0.25">
      <c r="A113" s="921"/>
      <c r="B113" s="991"/>
      <c r="C113" s="5539"/>
      <c r="D113" s="6529"/>
      <c r="E113" s="6530"/>
      <c r="F113" s="3060" t="s">
        <v>3043</v>
      </c>
      <c r="G113" s="3061" t="str">
        <f>CONCATENATE(IF('WSS Profile'!F290="",0,'WSS Profile'!F290)," / ",Population!$E$29)</f>
        <v>4451 / 0</v>
      </c>
      <c r="H113" s="952" t="str">
        <f>CONCATENATE(IF('WSS Profile'!G290="",0,'WSS Profile'!G290)," / ",Population!$E$30)</f>
        <v>191 / 0</v>
      </c>
      <c r="I113" s="5904"/>
      <c r="J113" s="991"/>
      <c r="K113" s="991"/>
      <c r="L113" s="991"/>
      <c r="M113" s="991"/>
      <c r="N113" s="991"/>
      <c r="O113" s="991"/>
      <c r="P113" s="991"/>
      <c r="Q113" s="991"/>
      <c r="R113" s="991"/>
      <c r="S113" s="991"/>
      <c r="T113" s="991"/>
      <c r="U113" s="991"/>
      <c r="V113" s="991"/>
      <c r="W113" s="991"/>
      <c r="X113" s="991"/>
      <c r="Y113" s="921"/>
      <c r="Z113" s="3739"/>
    </row>
    <row r="114" spans="1:26" s="918" customFormat="1" ht="30" x14ac:dyDescent="0.25">
      <c r="A114" s="921"/>
      <c r="B114" s="991"/>
      <c r="C114" s="5539"/>
      <c r="D114" s="6529"/>
      <c r="E114" s="6530"/>
      <c r="F114" s="3019" t="s">
        <v>2205</v>
      </c>
      <c r="G114" s="3061">
        <f>'WW calcu'!E125</f>
        <v>2080</v>
      </c>
      <c r="H114" s="951">
        <f>'WW calcu'!E142</f>
        <v>156</v>
      </c>
      <c r="I114" s="5904"/>
      <c r="J114" s="991"/>
      <c r="K114" s="991"/>
      <c r="L114" s="991"/>
      <c r="M114" s="991"/>
      <c r="N114" s="991"/>
      <c r="O114" s="991"/>
      <c r="P114" s="991"/>
      <c r="Q114" s="991"/>
      <c r="R114" s="991"/>
      <c r="S114" s="991"/>
      <c r="T114" s="991"/>
      <c r="U114" s="991"/>
      <c r="V114" s="991"/>
      <c r="W114" s="991"/>
      <c r="X114" s="991"/>
      <c r="Y114" s="921"/>
      <c r="Z114" s="3735"/>
    </row>
    <row r="115" spans="1:26" s="918" customFormat="1" ht="30" customHeight="1" x14ac:dyDescent="0.25">
      <c r="A115" s="921"/>
      <c r="B115" s="991"/>
      <c r="C115" s="5539"/>
      <c r="D115" s="6641" t="s">
        <v>210</v>
      </c>
      <c r="E115" s="6642"/>
      <c r="F115" s="3084" t="s">
        <v>2206</v>
      </c>
      <c r="G115" s="3085">
        <v>3132</v>
      </c>
      <c r="H115" s="3086">
        <v>167</v>
      </c>
      <c r="I115" s="5904"/>
      <c r="J115" s="991"/>
      <c r="K115" s="991"/>
      <c r="L115" s="991"/>
      <c r="M115" s="991"/>
      <c r="N115" s="991"/>
      <c r="O115" s="991"/>
      <c r="P115" s="991"/>
      <c r="Q115" s="991"/>
      <c r="R115" s="991"/>
      <c r="S115" s="991"/>
      <c r="T115" s="991"/>
      <c r="U115" s="991"/>
      <c r="V115" s="991"/>
      <c r="W115" s="991"/>
      <c r="X115" s="991"/>
      <c r="Y115" s="921"/>
      <c r="Z115" s="3735"/>
    </row>
    <row r="116" spans="1:26" s="918" customFormat="1" ht="30" x14ac:dyDescent="0.25">
      <c r="A116" s="921"/>
      <c r="B116" s="991"/>
      <c r="C116" s="5539"/>
      <c r="D116" s="6643"/>
      <c r="E116" s="6644"/>
      <c r="F116" s="3062" t="s">
        <v>3001</v>
      </c>
      <c r="G116" s="3087"/>
      <c r="H116" s="3088"/>
      <c r="I116" s="5904"/>
      <c r="J116" s="991"/>
      <c r="K116" s="991"/>
      <c r="L116" s="991"/>
      <c r="M116" s="991"/>
      <c r="N116" s="991"/>
      <c r="O116" s="991"/>
      <c r="P116" s="991"/>
      <c r="Q116" s="991"/>
      <c r="R116" s="991"/>
      <c r="S116" s="991"/>
      <c r="T116" s="991"/>
      <c r="U116" s="991"/>
      <c r="V116" s="991"/>
      <c r="W116" s="991"/>
      <c r="X116" s="991"/>
      <c r="Y116" s="921"/>
      <c r="Z116" s="3735"/>
    </row>
    <row r="117" spans="1:26" ht="31.5" x14ac:dyDescent="0.3">
      <c r="B117" s="389"/>
      <c r="C117" s="5537"/>
      <c r="D117" s="6525"/>
      <c r="E117" s="6526"/>
      <c r="F117" s="943" t="s">
        <v>2416</v>
      </c>
      <c r="G117" s="3927">
        <v>2015</v>
      </c>
      <c r="H117" s="3932">
        <v>2019</v>
      </c>
      <c r="I117" s="5904"/>
      <c r="J117" s="421"/>
      <c r="K117" s="2"/>
      <c r="L117" s="2"/>
      <c r="M117" s="2"/>
      <c r="N117" s="2"/>
      <c r="O117" s="2"/>
      <c r="P117" s="2"/>
      <c r="Q117" s="2"/>
      <c r="R117" s="2"/>
      <c r="S117" s="2"/>
      <c r="T117" s="2"/>
      <c r="U117" s="2"/>
      <c r="V117" s="2"/>
      <c r="W117" s="2"/>
      <c r="X117" s="2"/>
    </row>
    <row r="118" spans="1:26" ht="15.75" x14ac:dyDescent="0.25">
      <c r="A118" s="921"/>
      <c r="B118" s="2"/>
      <c r="C118" s="5539"/>
      <c r="D118" s="6527" t="s">
        <v>82</v>
      </c>
      <c r="E118" s="6528"/>
      <c r="F118" s="3063" t="s">
        <v>2208</v>
      </c>
      <c r="G118" s="3076">
        <f>'WSS Profile'!F256</f>
        <v>424</v>
      </c>
      <c r="H118" s="3076">
        <f>'WSS Profile'!G256</f>
        <v>0</v>
      </c>
      <c r="I118" s="5904"/>
      <c r="J118" s="421"/>
      <c r="K118" s="2"/>
      <c r="L118" s="2"/>
      <c r="M118" s="2"/>
      <c r="N118" s="2"/>
      <c r="O118" s="2"/>
      <c r="P118" s="2"/>
      <c r="Q118" s="2"/>
      <c r="R118" s="2"/>
      <c r="S118" s="2"/>
      <c r="T118" s="2"/>
      <c r="U118" s="2"/>
      <c r="V118" s="2"/>
      <c r="W118" s="2"/>
      <c r="X118" s="2"/>
    </row>
    <row r="119" spans="1:26" ht="30" x14ac:dyDescent="0.25">
      <c r="B119" s="2"/>
      <c r="C119" s="5539"/>
      <c r="D119" s="6459" t="s">
        <v>210</v>
      </c>
      <c r="E119" s="6460"/>
      <c r="F119" s="3009" t="s">
        <v>2209</v>
      </c>
      <c r="G119" s="3079">
        <v>1</v>
      </c>
      <c r="H119" s="3077">
        <v>1</v>
      </c>
      <c r="I119" s="5904"/>
      <c r="J119" s="2"/>
      <c r="K119" s="2"/>
      <c r="L119" s="2"/>
      <c r="M119" s="2"/>
      <c r="N119" s="2"/>
      <c r="O119" s="2"/>
      <c r="P119" s="2"/>
      <c r="Q119" s="2"/>
      <c r="R119" s="2"/>
      <c r="S119" s="2"/>
      <c r="T119" s="2"/>
      <c r="U119" s="2"/>
      <c r="V119" s="2"/>
      <c r="W119" s="2"/>
      <c r="X119" s="2"/>
    </row>
    <row r="120" spans="1:26" s="918" customFormat="1" ht="30" x14ac:dyDescent="0.25">
      <c r="A120" s="921"/>
      <c r="B120" s="991"/>
      <c r="C120" s="5539"/>
      <c r="D120" s="6461"/>
      <c r="E120" s="6462"/>
      <c r="F120" s="3010" t="s">
        <v>2206</v>
      </c>
      <c r="G120" s="3080">
        <f>ROUND(G119*$G$115,0)</f>
        <v>3132</v>
      </c>
      <c r="H120" s="3081">
        <f>ROUND(H119*$H$115,0)</f>
        <v>167</v>
      </c>
      <c r="I120" s="5904"/>
      <c r="J120" s="991"/>
      <c r="K120" s="991"/>
      <c r="L120" s="991"/>
      <c r="M120" s="991"/>
      <c r="N120" s="991"/>
      <c r="O120" s="991"/>
      <c r="P120" s="991"/>
      <c r="Q120" s="991"/>
      <c r="R120" s="991"/>
      <c r="S120" s="991"/>
      <c r="T120" s="991"/>
      <c r="U120" s="991"/>
      <c r="V120" s="991"/>
      <c r="W120" s="991"/>
      <c r="X120" s="991"/>
      <c r="Y120" s="921"/>
      <c r="Z120" s="3735"/>
    </row>
    <row r="121" spans="1:26" ht="30" customHeight="1" x14ac:dyDescent="0.25">
      <c r="B121" s="2"/>
      <c r="C121" s="5539"/>
      <c r="D121" s="6529" t="s">
        <v>211</v>
      </c>
      <c r="E121" s="6530"/>
      <c r="F121" s="3007" t="s">
        <v>2962</v>
      </c>
      <c r="G121" s="6548">
        <v>30000</v>
      </c>
      <c r="H121" s="6549"/>
      <c r="I121" s="5904"/>
      <c r="J121" s="2"/>
      <c r="K121" s="2"/>
      <c r="L121" s="2"/>
      <c r="M121" s="2"/>
      <c r="N121" s="2"/>
      <c r="O121" s="2"/>
      <c r="P121" s="2"/>
      <c r="Q121" s="2"/>
      <c r="R121" s="2"/>
      <c r="S121" s="2"/>
      <c r="T121" s="2"/>
      <c r="U121" s="2"/>
      <c r="V121" s="2"/>
      <c r="W121" s="2"/>
      <c r="X121" s="2"/>
    </row>
    <row r="122" spans="1:26" ht="15.75" x14ac:dyDescent="0.25">
      <c r="B122" s="2"/>
      <c r="C122" s="5539"/>
      <c r="D122" s="6529"/>
      <c r="E122" s="6530"/>
      <c r="F122" s="3008" t="s">
        <v>2764</v>
      </c>
      <c r="G122" s="3065">
        <v>0.6</v>
      </c>
      <c r="H122" s="3073">
        <v>0.6</v>
      </c>
      <c r="I122" s="5904"/>
      <c r="J122" s="2"/>
      <c r="K122" s="2"/>
      <c r="L122" s="2"/>
      <c r="M122" s="2"/>
      <c r="N122" s="2"/>
      <c r="O122" s="2"/>
      <c r="P122" s="2"/>
      <c r="Q122" s="2"/>
      <c r="R122" s="2"/>
      <c r="S122" s="2"/>
      <c r="T122" s="2"/>
      <c r="U122" s="2"/>
      <c r="V122" s="2"/>
      <c r="W122" s="2"/>
      <c r="X122" s="2"/>
    </row>
    <row r="123" spans="1:26" s="918" customFormat="1" ht="31.5" x14ac:dyDescent="0.25">
      <c r="A123" s="921"/>
      <c r="B123" s="991"/>
      <c r="C123" s="5539"/>
      <c r="D123" s="6525"/>
      <c r="E123" s="6526"/>
      <c r="F123" s="2050" t="s">
        <v>2417</v>
      </c>
      <c r="G123" s="3927"/>
      <c r="H123" s="3932"/>
      <c r="I123" s="5904"/>
      <c r="J123" s="991"/>
      <c r="K123" s="991"/>
      <c r="L123" s="991"/>
      <c r="M123" s="991"/>
      <c r="N123" s="991"/>
      <c r="O123" s="991"/>
      <c r="P123" s="991"/>
      <c r="Q123" s="991"/>
      <c r="R123" s="991"/>
      <c r="S123" s="991"/>
      <c r="T123" s="991"/>
      <c r="U123" s="991"/>
      <c r="V123" s="991"/>
      <c r="W123" s="991"/>
      <c r="X123" s="991"/>
      <c r="Y123" s="921"/>
      <c r="Z123" s="3735"/>
    </row>
    <row r="124" spans="1:26" s="918" customFormat="1" ht="30" x14ac:dyDescent="0.25">
      <c r="A124" s="921"/>
      <c r="B124" s="991"/>
      <c r="C124" s="5539"/>
      <c r="D124" s="6535" t="s">
        <v>210</v>
      </c>
      <c r="E124" s="6536"/>
      <c r="F124" s="3066" t="s">
        <v>2209</v>
      </c>
      <c r="G124" s="3067"/>
      <c r="H124" s="3074"/>
      <c r="I124" s="5904"/>
      <c r="J124" s="991"/>
      <c r="K124" s="991"/>
      <c r="L124" s="991"/>
      <c r="M124" s="991"/>
      <c r="N124" s="991"/>
      <c r="O124" s="991"/>
      <c r="P124" s="991"/>
      <c r="Q124" s="991"/>
      <c r="R124" s="991"/>
      <c r="S124" s="991"/>
      <c r="T124" s="991"/>
      <c r="U124" s="991"/>
      <c r="V124" s="991"/>
      <c r="W124" s="991"/>
      <c r="X124" s="991"/>
      <c r="Y124" s="921"/>
      <c r="Z124" s="3735"/>
    </row>
    <row r="125" spans="1:26" s="918" customFormat="1" ht="15.75" x14ac:dyDescent="0.25">
      <c r="A125" s="921"/>
      <c r="B125" s="991"/>
      <c r="C125" s="5539"/>
      <c r="D125" s="6511"/>
      <c r="E125" s="6512"/>
      <c r="F125" s="3007" t="s">
        <v>2211</v>
      </c>
      <c r="G125" s="3080">
        <f>ROUND(G124*$G$115,0)</f>
        <v>0</v>
      </c>
      <c r="H125" s="3081">
        <f>ROUND(H124*$H$115,0)</f>
        <v>0</v>
      </c>
      <c r="I125" s="5904"/>
      <c r="J125" s="991"/>
      <c r="K125" s="991"/>
      <c r="L125" s="991"/>
      <c r="M125" s="991"/>
      <c r="N125" s="991"/>
      <c r="O125" s="991"/>
      <c r="P125" s="991"/>
      <c r="Q125" s="991"/>
      <c r="R125" s="991"/>
      <c r="S125" s="991"/>
      <c r="T125" s="991"/>
      <c r="U125" s="991"/>
      <c r="V125" s="991"/>
      <c r="W125" s="991"/>
      <c r="X125" s="991"/>
      <c r="Y125" s="921"/>
      <c r="Z125" s="3735"/>
    </row>
    <row r="126" spans="1:26" s="918" customFormat="1" ht="57.75" customHeight="1" x14ac:dyDescent="0.25">
      <c r="A126" s="921"/>
      <c r="B126" s="991"/>
      <c r="C126" s="5539"/>
      <c r="D126" s="6477" t="s">
        <v>211</v>
      </c>
      <c r="E126" s="6478"/>
      <c r="F126" s="3009" t="s">
        <v>3027</v>
      </c>
      <c r="G126" s="6548"/>
      <c r="H126" s="6549"/>
      <c r="I126" s="5904"/>
      <c r="J126" s="991"/>
      <c r="K126" s="991"/>
      <c r="L126" s="991"/>
      <c r="M126" s="991"/>
      <c r="N126" s="991"/>
      <c r="O126" s="991"/>
      <c r="P126" s="991"/>
      <c r="Q126" s="991"/>
      <c r="R126" s="991"/>
      <c r="S126" s="991"/>
      <c r="T126" s="991"/>
      <c r="U126" s="991"/>
      <c r="V126" s="991"/>
      <c r="W126" s="991"/>
      <c r="X126" s="991"/>
      <c r="Y126" s="921"/>
      <c r="Z126" s="3735"/>
    </row>
    <row r="127" spans="1:26" s="918" customFormat="1" ht="15.75" x14ac:dyDescent="0.25">
      <c r="A127" s="921"/>
      <c r="B127" s="991"/>
      <c r="C127" s="5539"/>
      <c r="D127" s="6479"/>
      <c r="E127" s="6480"/>
      <c r="F127" s="3008" t="s">
        <v>2764</v>
      </c>
      <c r="G127" s="3097"/>
      <c r="H127" s="3098"/>
      <c r="I127" s="5904"/>
      <c r="J127" s="991"/>
      <c r="K127" s="991"/>
      <c r="L127" s="991"/>
      <c r="M127" s="991"/>
      <c r="N127" s="991"/>
      <c r="O127" s="991"/>
      <c r="P127" s="991"/>
      <c r="Q127" s="991"/>
      <c r="R127" s="991"/>
      <c r="S127" s="991"/>
      <c r="T127" s="991"/>
      <c r="U127" s="991"/>
      <c r="V127" s="991"/>
      <c r="W127" s="991"/>
      <c r="X127" s="991"/>
      <c r="Y127" s="921"/>
      <c r="Z127" s="3735"/>
    </row>
    <row r="128" spans="1:26" s="918" customFormat="1" ht="31.5" x14ac:dyDescent="0.25">
      <c r="A128" s="921"/>
      <c r="B128" s="991"/>
      <c r="C128" s="5539"/>
      <c r="D128" s="6552"/>
      <c r="E128" s="6553"/>
      <c r="F128" s="2050" t="s">
        <v>2210</v>
      </c>
      <c r="G128" s="3927"/>
      <c r="H128" s="3932"/>
      <c r="I128" s="5904"/>
      <c r="J128" s="991"/>
      <c r="K128" s="991"/>
      <c r="L128" s="991"/>
      <c r="M128" s="991"/>
      <c r="N128" s="991"/>
      <c r="O128" s="991"/>
      <c r="P128" s="991"/>
      <c r="Q128" s="991"/>
      <c r="R128" s="991"/>
      <c r="S128" s="991"/>
      <c r="T128" s="991"/>
      <c r="U128" s="991"/>
      <c r="V128" s="991"/>
      <c r="W128" s="991"/>
      <c r="X128" s="991"/>
      <c r="Y128" s="921"/>
      <c r="Z128" s="3735"/>
    </row>
    <row r="129" spans="1:26" s="918" customFormat="1" ht="15.75" customHeight="1" x14ac:dyDescent="0.25">
      <c r="A129" s="921"/>
      <c r="B129" s="991"/>
      <c r="C129" s="5539"/>
      <c r="D129" s="6533" t="s">
        <v>82</v>
      </c>
      <c r="E129" s="6534"/>
      <c r="F129" s="3063" t="s">
        <v>2208</v>
      </c>
      <c r="G129" s="3064">
        <f>'WSS Profile'!G234</f>
        <v>0</v>
      </c>
      <c r="H129" s="3076">
        <f>'WSS Profile'!G235</f>
        <v>0</v>
      </c>
      <c r="I129" s="5904"/>
      <c r="J129" s="991"/>
      <c r="K129" s="991"/>
      <c r="L129" s="991"/>
      <c r="M129" s="991"/>
      <c r="N129" s="991"/>
      <c r="O129" s="991"/>
      <c r="P129" s="991"/>
      <c r="Q129" s="991"/>
      <c r="R129" s="991"/>
      <c r="S129" s="991"/>
      <c r="T129" s="991"/>
      <c r="U129" s="991"/>
      <c r="V129" s="991"/>
      <c r="W129" s="991"/>
      <c r="X129" s="991"/>
      <c r="Y129" s="921"/>
      <c r="Z129" s="3735"/>
    </row>
    <row r="130" spans="1:26" s="918" customFormat="1" ht="30" x14ac:dyDescent="0.25">
      <c r="A130" s="921"/>
      <c r="B130" s="991"/>
      <c r="C130" s="5539"/>
      <c r="D130" s="6459" t="s">
        <v>210</v>
      </c>
      <c r="E130" s="6460"/>
      <c r="F130" s="3009" t="s">
        <v>2212</v>
      </c>
      <c r="G130" s="3089">
        <f>G115-G120-G125</f>
        <v>0</v>
      </c>
      <c r="H130" s="3090">
        <f>H115-H120-H125</f>
        <v>0</v>
      </c>
      <c r="I130" s="5904"/>
      <c r="J130" s="991"/>
      <c r="K130" s="991"/>
      <c r="L130" s="991"/>
      <c r="M130" s="991"/>
      <c r="N130" s="991"/>
      <c r="O130" s="991"/>
      <c r="P130" s="991"/>
      <c r="Q130" s="991"/>
      <c r="R130" s="991"/>
      <c r="S130" s="991"/>
      <c r="T130" s="991"/>
      <c r="U130" s="991"/>
      <c r="V130" s="991"/>
      <c r="W130" s="991"/>
      <c r="X130" s="991"/>
      <c r="Y130" s="921"/>
      <c r="Z130" s="3735"/>
    </row>
    <row r="131" spans="1:26" s="918" customFormat="1" ht="15.75" x14ac:dyDescent="0.25">
      <c r="A131" s="921"/>
      <c r="B131" s="991"/>
      <c r="C131" s="5539"/>
      <c r="D131" s="6511"/>
      <c r="E131" s="6512"/>
      <c r="F131" s="5325" t="s">
        <v>2213</v>
      </c>
      <c r="G131" s="3091"/>
      <c r="H131" s="3092"/>
      <c r="I131" s="5904"/>
      <c r="J131" s="991"/>
      <c r="K131" s="991"/>
      <c r="L131" s="991"/>
      <c r="M131" s="991"/>
      <c r="N131" s="991"/>
      <c r="O131" s="991"/>
      <c r="P131" s="991"/>
      <c r="Q131" s="991"/>
      <c r="R131" s="991"/>
      <c r="S131" s="991"/>
      <c r="T131" s="991"/>
      <c r="U131" s="991"/>
      <c r="V131" s="991"/>
      <c r="W131" s="991"/>
      <c r="X131" s="991"/>
      <c r="Y131" s="921"/>
      <c r="Z131" s="3735"/>
    </row>
    <row r="132" spans="1:26" s="918" customFormat="1" ht="15.75" x14ac:dyDescent="0.25">
      <c r="A132" s="921"/>
      <c r="B132" s="991"/>
      <c r="C132" s="5539"/>
      <c r="D132" s="6511"/>
      <c r="E132" s="6512"/>
      <c r="F132" s="3019" t="s">
        <v>2912</v>
      </c>
      <c r="G132" s="3082"/>
      <c r="H132" s="3083"/>
      <c r="I132" s="5904"/>
      <c r="J132" s="991"/>
      <c r="K132" s="991"/>
      <c r="L132" s="991"/>
      <c r="M132" s="991"/>
      <c r="N132" s="991"/>
      <c r="O132" s="991"/>
      <c r="P132" s="991"/>
      <c r="Q132" s="991"/>
      <c r="R132" s="991"/>
      <c r="S132" s="991"/>
      <c r="T132" s="991"/>
      <c r="U132" s="991"/>
      <c r="V132" s="991"/>
      <c r="W132" s="991"/>
      <c r="X132" s="991"/>
      <c r="Y132" s="921"/>
      <c r="Z132" s="3735"/>
    </row>
    <row r="133" spans="1:26" s="918" customFormat="1" ht="15.75" x14ac:dyDescent="0.25">
      <c r="A133" s="921"/>
      <c r="B133" s="991"/>
      <c r="C133" s="5539"/>
      <c r="D133" s="6511"/>
      <c r="E133" s="6512"/>
      <c r="F133" s="3019" t="s">
        <v>2913</v>
      </c>
      <c r="G133" s="3082"/>
      <c r="H133" s="3083"/>
      <c r="I133" s="5904"/>
      <c r="J133" s="991"/>
      <c r="K133" s="991"/>
      <c r="L133" s="991"/>
      <c r="M133" s="991"/>
      <c r="N133" s="991"/>
      <c r="O133" s="991"/>
      <c r="P133" s="991"/>
      <c r="Q133" s="991"/>
      <c r="R133" s="991"/>
      <c r="S133" s="991"/>
      <c r="T133" s="991"/>
      <c r="U133" s="991"/>
      <c r="V133" s="991"/>
      <c r="W133" s="991"/>
      <c r="X133" s="991"/>
      <c r="Y133" s="921"/>
      <c r="Z133" s="3735"/>
    </row>
    <row r="134" spans="1:26" s="918" customFormat="1" ht="15.75" x14ac:dyDescent="0.25">
      <c r="A134" s="921"/>
      <c r="B134" s="991"/>
      <c r="C134" s="5539"/>
      <c r="D134" s="6461"/>
      <c r="E134" s="6462"/>
      <c r="F134" s="3022" t="s">
        <v>2914</v>
      </c>
      <c r="G134" s="3093">
        <f>IF(G130&gt;0,1-(G133+G132),0)</f>
        <v>0</v>
      </c>
      <c r="H134" s="3094">
        <f>IF(H130&gt;0,1-(H133+H132),0)</f>
        <v>0</v>
      </c>
      <c r="I134" s="5904"/>
      <c r="J134" s="991"/>
      <c r="K134" s="991"/>
      <c r="L134" s="991"/>
      <c r="M134" s="991"/>
      <c r="N134" s="991"/>
      <c r="O134" s="991"/>
      <c r="P134" s="991"/>
      <c r="Q134" s="991"/>
      <c r="R134" s="991"/>
      <c r="S134" s="991"/>
      <c r="T134" s="991"/>
      <c r="U134" s="991"/>
      <c r="V134" s="991"/>
      <c r="W134" s="991"/>
      <c r="X134" s="991"/>
      <c r="Y134" s="921"/>
      <c r="Z134" s="3735"/>
    </row>
    <row r="135" spans="1:26" s="918" customFormat="1" ht="42.75" customHeight="1" x14ac:dyDescent="0.25">
      <c r="A135" s="921"/>
      <c r="B135" s="991"/>
      <c r="C135" s="5539"/>
      <c r="D135" s="6529" t="s">
        <v>211</v>
      </c>
      <c r="E135" s="6530"/>
      <c r="F135" s="3188" t="s">
        <v>3028</v>
      </c>
      <c r="G135" s="6548"/>
      <c r="H135" s="6549"/>
      <c r="I135" s="5904"/>
      <c r="J135" s="991"/>
      <c r="K135" s="991"/>
      <c r="L135" s="991"/>
      <c r="M135" s="991"/>
      <c r="N135" s="991"/>
      <c r="O135" s="991"/>
      <c r="P135" s="991"/>
      <c r="Q135" s="991"/>
      <c r="R135" s="991"/>
      <c r="S135" s="991"/>
      <c r="T135" s="991"/>
      <c r="U135" s="991"/>
      <c r="V135" s="991"/>
      <c r="W135" s="991"/>
      <c r="X135" s="991"/>
      <c r="Y135" s="921"/>
      <c r="Z135" s="3735"/>
    </row>
    <row r="136" spans="1:26" s="918" customFormat="1" ht="16.5" thickBot="1" x14ac:dyDescent="0.3">
      <c r="A136" s="921"/>
      <c r="B136" s="991"/>
      <c r="C136" s="5539"/>
      <c r="D136" s="6580"/>
      <c r="E136" s="6581"/>
      <c r="F136" s="3008" t="s">
        <v>2764</v>
      </c>
      <c r="G136" s="3095"/>
      <c r="H136" s="3096"/>
      <c r="I136" s="5904"/>
      <c r="J136" s="421"/>
      <c r="K136" s="991"/>
      <c r="L136" s="991"/>
      <c r="M136" s="991"/>
      <c r="N136" s="991"/>
      <c r="O136" s="991"/>
      <c r="P136" s="991"/>
      <c r="Q136" s="991"/>
      <c r="R136" s="991"/>
      <c r="S136" s="991"/>
      <c r="T136" s="991"/>
      <c r="U136" s="991"/>
      <c r="V136" s="991"/>
      <c r="W136" s="991"/>
      <c r="X136" s="991"/>
      <c r="Y136" s="921"/>
      <c r="Z136" s="3735"/>
    </row>
    <row r="137" spans="1:26" s="484" customFormat="1" ht="18.75" thickBot="1" x14ac:dyDescent="0.3">
      <c r="A137" s="482"/>
      <c r="B137" s="352"/>
      <c r="C137" s="6011" t="s">
        <v>3130</v>
      </c>
      <c r="D137" s="3422" t="s">
        <v>786</v>
      </c>
      <c r="E137" s="2979" t="s">
        <v>78</v>
      </c>
      <c r="F137" s="6444" t="s">
        <v>2941</v>
      </c>
      <c r="G137" s="6445"/>
      <c r="H137" s="6446"/>
      <c r="I137" s="5904"/>
      <c r="J137" s="421"/>
      <c r="K137" s="352"/>
      <c r="L137" s="1106"/>
      <c r="M137" s="352"/>
      <c r="N137" s="352"/>
      <c r="O137" s="352"/>
      <c r="P137" s="352"/>
      <c r="Q137" s="352"/>
      <c r="R137" s="352"/>
      <c r="S137" s="352"/>
      <c r="T137" s="352"/>
      <c r="U137" s="352"/>
      <c r="V137" s="352"/>
      <c r="W137" s="352"/>
      <c r="X137" s="352"/>
      <c r="Y137" s="482"/>
      <c r="Z137" s="3735" t="b">
        <f>'Perf assessment'!U167</f>
        <v>1</v>
      </c>
    </row>
    <row r="138" spans="1:26" s="484" customFormat="1" ht="15.75" x14ac:dyDescent="0.25">
      <c r="A138" s="482"/>
      <c r="B138" s="352"/>
      <c r="C138" s="5540"/>
      <c r="D138" s="6667" t="s">
        <v>210</v>
      </c>
      <c r="E138" s="6668"/>
      <c r="F138" s="4586"/>
      <c r="G138" s="5323" t="s">
        <v>1732</v>
      </c>
      <c r="H138" s="5324" t="s">
        <v>1733</v>
      </c>
      <c r="I138" s="5904"/>
      <c r="J138" s="352"/>
      <c r="K138" s="352"/>
      <c r="L138" s="352"/>
      <c r="M138" s="352"/>
      <c r="N138" s="352"/>
      <c r="O138" s="352"/>
      <c r="P138" s="352"/>
      <c r="Q138" s="352"/>
      <c r="R138" s="352"/>
      <c r="S138" s="352"/>
      <c r="T138" s="352"/>
      <c r="U138" s="352"/>
      <c r="V138" s="352"/>
      <c r="W138" s="352"/>
      <c r="X138" s="352"/>
      <c r="Y138" s="482"/>
      <c r="Z138" s="3735"/>
    </row>
    <row r="139" spans="1:26" s="484" customFormat="1" ht="15.75" x14ac:dyDescent="0.25">
      <c r="A139" s="482"/>
      <c r="B139" s="352"/>
      <c r="C139" s="5540"/>
      <c r="D139" s="6669"/>
      <c r="E139" s="6670"/>
      <c r="F139" s="4587" t="s">
        <v>2942</v>
      </c>
      <c r="G139" s="4588"/>
      <c r="H139" s="4589"/>
      <c r="I139" s="5904"/>
      <c r="J139" s="352"/>
      <c r="K139" s="352"/>
      <c r="L139" s="352"/>
      <c r="M139" s="352"/>
      <c r="N139" s="352"/>
      <c r="O139" s="352"/>
      <c r="P139" s="352"/>
      <c r="Q139" s="352"/>
      <c r="R139" s="352"/>
      <c r="S139" s="352"/>
      <c r="T139" s="352"/>
      <c r="U139" s="352"/>
      <c r="V139" s="352"/>
      <c r="W139" s="352"/>
      <c r="X139" s="352"/>
      <c r="Y139" s="482"/>
      <c r="Z139" s="3735"/>
    </row>
    <row r="140" spans="1:26" s="484" customFormat="1" ht="15.75" x14ac:dyDescent="0.25">
      <c r="A140" s="482"/>
      <c r="B140" s="352"/>
      <c r="C140" s="5540"/>
      <c r="D140" s="6669"/>
      <c r="E140" s="6670"/>
      <c r="F140" s="4587" t="s">
        <v>2976</v>
      </c>
      <c r="G140" s="4590"/>
      <c r="H140" s="4591"/>
      <c r="I140" s="5904"/>
      <c r="J140" s="352"/>
      <c r="K140" s="352"/>
      <c r="L140" s="352"/>
      <c r="M140" s="352"/>
      <c r="N140" s="352"/>
      <c r="O140" s="352"/>
      <c r="P140" s="352"/>
      <c r="Q140" s="352"/>
      <c r="R140" s="352"/>
      <c r="S140" s="352"/>
      <c r="T140" s="352"/>
      <c r="U140" s="352"/>
      <c r="V140" s="352"/>
      <c r="W140" s="352"/>
      <c r="X140" s="352"/>
      <c r="Y140" s="482"/>
      <c r="Z140" s="3735"/>
    </row>
    <row r="141" spans="1:26" s="484" customFormat="1" ht="15.75" x14ac:dyDescent="0.25">
      <c r="A141" s="482"/>
      <c r="B141" s="352"/>
      <c r="C141" s="5540"/>
      <c r="D141" s="6669"/>
      <c r="E141" s="6670"/>
      <c r="F141" s="4587" t="s">
        <v>2943</v>
      </c>
      <c r="G141" s="4592"/>
      <c r="H141" s="4593"/>
      <c r="I141" s="5904"/>
      <c r="J141" s="352"/>
      <c r="K141" s="352"/>
      <c r="L141" s="352"/>
      <c r="M141" s="352"/>
      <c r="N141" s="352"/>
      <c r="O141" s="352"/>
      <c r="P141" s="352"/>
      <c r="Q141" s="352"/>
      <c r="R141" s="352"/>
      <c r="S141" s="352"/>
      <c r="T141" s="352"/>
      <c r="U141" s="352"/>
      <c r="V141" s="352"/>
      <c r="W141" s="352"/>
      <c r="X141" s="352"/>
      <c r="Y141" s="482"/>
      <c r="Z141" s="3735"/>
    </row>
    <row r="142" spans="1:26" s="484" customFormat="1" ht="30" x14ac:dyDescent="0.25">
      <c r="A142" s="482"/>
      <c r="B142" s="352"/>
      <c r="C142" s="5540"/>
      <c r="D142" s="6671"/>
      <c r="E142" s="6672"/>
      <c r="F142" s="4594" t="s">
        <v>2207</v>
      </c>
      <c r="G142" s="4595"/>
      <c r="H142" s="4596"/>
      <c r="I142" s="5904"/>
      <c r="J142" s="352"/>
      <c r="K142" s="352"/>
      <c r="L142" s="352"/>
      <c r="M142" s="352"/>
      <c r="N142" s="352"/>
      <c r="O142" s="352"/>
      <c r="P142" s="352"/>
      <c r="Q142" s="352"/>
      <c r="R142" s="352"/>
      <c r="S142" s="352"/>
      <c r="T142" s="352"/>
      <c r="U142" s="352"/>
      <c r="V142" s="352"/>
      <c r="W142" s="352"/>
      <c r="X142" s="352"/>
      <c r="Y142" s="482"/>
      <c r="Z142" s="3735"/>
    </row>
    <row r="143" spans="1:26" s="484" customFormat="1" ht="31.5" x14ac:dyDescent="0.3">
      <c r="A143" s="482"/>
      <c r="B143" s="3982"/>
      <c r="C143" s="5541"/>
      <c r="D143" s="6663"/>
      <c r="E143" s="6664"/>
      <c r="F143" s="4597" t="s">
        <v>2936</v>
      </c>
      <c r="G143" s="3922"/>
      <c r="H143" s="3923"/>
      <c r="I143" s="5904"/>
      <c r="J143" s="421"/>
      <c r="K143" s="352"/>
      <c r="L143" s="352"/>
      <c r="M143" s="352"/>
      <c r="N143" s="352"/>
      <c r="O143" s="352"/>
      <c r="P143" s="352"/>
      <c r="Q143" s="352"/>
      <c r="R143" s="352"/>
      <c r="S143" s="352"/>
      <c r="T143" s="352"/>
      <c r="U143" s="352"/>
      <c r="V143" s="352"/>
      <c r="W143" s="352"/>
      <c r="X143" s="352"/>
      <c r="Y143" s="482"/>
      <c r="Z143" s="3735"/>
    </row>
    <row r="144" spans="1:26" s="484" customFormat="1" ht="30" x14ac:dyDescent="0.25">
      <c r="A144" s="482"/>
      <c r="B144" s="352"/>
      <c r="C144" s="5540"/>
      <c r="D144" s="6653" t="s">
        <v>210</v>
      </c>
      <c r="E144" s="6654"/>
      <c r="F144" s="4598" t="s">
        <v>2949</v>
      </c>
      <c r="G144" s="4599"/>
      <c r="H144" s="4600"/>
      <c r="I144" s="5904"/>
      <c r="J144" s="352"/>
      <c r="K144" s="352"/>
      <c r="L144" s="352"/>
      <c r="M144" s="352"/>
      <c r="N144" s="352"/>
      <c r="O144" s="352"/>
      <c r="P144" s="352"/>
      <c r="Q144" s="352"/>
      <c r="R144" s="352"/>
      <c r="S144" s="352"/>
      <c r="T144" s="352"/>
      <c r="U144" s="352"/>
      <c r="V144" s="352"/>
      <c r="W144" s="352"/>
      <c r="X144" s="352"/>
      <c r="Y144" s="482"/>
      <c r="Z144" s="3735"/>
    </row>
    <row r="145" spans="1:26" s="484" customFormat="1" ht="15.75" x14ac:dyDescent="0.25">
      <c r="A145" s="482"/>
      <c r="B145" s="352"/>
      <c r="C145" s="5540"/>
      <c r="D145" s="6657"/>
      <c r="E145" s="6658"/>
      <c r="F145" s="4601" t="s">
        <v>2950</v>
      </c>
      <c r="G145" s="4602">
        <f>(G144*$G$139)</f>
        <v>0</v>
      </c>
      <c r="H145" s="4603">
        <f>(H144*$H$139)</f>
        <v>0</v>
      </c>
      <c r="I145" s="5904"/>
      <c r="J145" s="352"/>
      <c r="K145" s="352"/>
      <c r="L145" s="352"/>
      <c r="M145" s="352"/>
      <c r="N145" s="352"/>
      <c r="O145" s="352"/>
      <c r="P145" s="352"/>
      <c r="Q145" s="352"/>
      <c r="R145" s="352"/>
      <c r="S145" s="352"/>
      <c r="T145" s="352"/>
      <c r="U145" s="352"/>
      <c r="V145" s="352"/>
      <c r="W145" s="352"/>
      <c r="X145" s="352"/>
      <c r="Y145" s="482"/>
      <c r="Z145" s="3735"/>
    </row>
    <row r="146" spans="1:26" s="484" customFormat="1" ht="30" customHeight="1" x14ac:dyDescent="0.25">
      <c r="A146" s="482"/>
      <c r="B146" s="352"/>
      <c r="C146" s="5540"/>
      <c r="D146" s="6659" t="s">
        <v>211</v>
      </c>
      <c r="E146" s="6660"/>
      <c r="F146" s="4604" t="s">
        <v>3542</v>
      </c>
      <c r="G146" s="6649"/>
      <c r="H146" s="6650"/>
      <c r="I146" s="5904"/>
      <c r="J146" s="352"/>
      <c r="K146" s="352"/>
      <c r="L146" s="352"/>
      <c r="M146" s="352"/>
      <c r="N146" s="352"/>
      <c r="O146" s="352"/>
      <c r="P146" s="352"/>
      <c r="Q146" s="352"/>
      <c r="R146" s="352"/>
      <c r="S146" s="352"/>
      <c r="T146" s="352"/>
      <c r="U146" s="352"/>
      <c r="V146" s="352"/>
      <c r="W146" s="352"/>
      <c r="X146" s="352"/>
      <c r="Y146" s="482"/>
      <c r="Z146" s="3735"/>
    </row>
    <row r="147" spans="1:26" s="484" customFormat="1" ht="30" x14ac:dyDescent="0.25">
      <c r="A147" s="482"/>
      <c r="B147" s="352"/>
      <c r="C147" s="5540"/>
      <c r="D147" s="6659"/>
      <c r="E147" s="6660"/>
      <c r="F147" s="4605" t="s">
        <v>2956</v>
      </c>
      <c r="G147" s="4606"/>
      <c r="H147" s="4607"/>
      <c r="I147" s="5904"/>
      <c r="J147" s="352"/>
      <c r="K147" s="352"/>
      <c r="L147" s="352"/>
      <c r="M147" s="352"/>
      <c r="N147" s="352"/>
      <c r="O147" s="352"/>
      <c r="P147" s="352"/>
      <c r="Q147" s="352"/>
      <c r="R147" s="352"/>
      <c r="S147" s="352"/>
      <c r="T147" s="352"/>
      <c r="U147" s="352"/>
      <c r="V147" s="352"/>
      <c r="W147" s="352"/>
      <c r="X147" s="352"/>
      <c r="Y147" s="482"/>
      <c r="Z147" s="3735"/>
    </row>
    <row r="148" spans="1:26" s="484" customFormat="1" ht="31.5" x14ac:dyDescent="0.25">
      <c r="A148" s="482"/>
      <c r="B148" s="352"/>
      <c r="C148" s="5540"/>
      <c r="D148" s="6663"/>
      <c r="E148" s="6664"/>
      <c r="F148" s="4608" t="s">
        <v>2937</v>
      </c>
      <c r="G148" s="3927"/>
      <c r="H148" s="3932"/>
      <c r="I148" s="5904"/>
      <c r="J148" s="352"/>
      <c r="K148" s="352"/>
      <c r="L148" s="352"/>
      <c r="M148" s="352"/>
      <c r="N148" s="352"/>
      <c r="O148" s="352"/>
      <c r="P148" s="352"/>
      <c r="Q148" s="352"/>
      <c r="R148" s="352"/>
      <c r="S148" s="352"/>
      <c r="T148" s="352"/>
      <c r="U148" s="352"/>
      <c r="V148" s="352"/>
      <c r="W148" s="352"/>
      <c r="X148" s="352"/>
      <c r="Y148" s="482"/>
      <c r="Z148" s="3735"/>
    </row>
    <row r="149" spans="1:26" s="484" customFormat="1" ht="30" x14ac:dyDescent="0.25">
      <c r="A149" s="482"/>
      <c r="B149" s="352"/>
      <c r="C149" s="5540"/>
      <c r="D149" s="6665" t="s">
        <v>210</v>
      </c>
      <c r="E149" s="6666"/>
      <c r="F149" s="4598" t="s">
        <v>2949</v>
      </c>
      <c r="G149" s="4609"/>
      <c r="H149" s="4610"/>
      <c r="I149" s="5904"/>
      <c r="J149" s="352"/>
      <c r="K149" s="352"/>
      <c r="L149" s="352"/>
      <c r="M149" s="352"/>
      <c r="N149" s="352"/>
      <c r="O149" s="352"/>
      <c r="P149" s="352"/>
      <c r="Q149" s="352"/>
      <c r="R149" s="352"/>
      <c r="S149" s="352"/>
      <c r="T149" s="352"/>
      <c r="U149" s="352"/>
      <c r="V149" s="352"/>
      <c r="W149" s="352"/>
      <c r="X149" s="352"/>
      <c r="Y149" s="482"/>
      <c r="Z149" s="3735"/>
    </row>
    <row r="150" spans="1:26" s="484" customFormat="1" ht="15.75" x14ac:dyDescent="0.25">
      <c r="A150" s="482"/>
      <c r="B150" s="352"/>
      <c r="C150" s="5540"/>
      <c r="D150" s="6655"/>
      <c r="E150" s="6656"/>
      <c r="F150" s="4601" t="s">
        <v>2950</v>
      </c>
      <c r="G150" s="4602">
        <f>(G149*$G$139)</f>
        <v>0</v>
      </c>
      <c r="H150" s="4603">
        <f>(H149*$H$139)</f>
        <v>0</v>
      </c>
      <c r="I150" s="5904"/>
      <c r="J150" s="352"/>
      <c r="K150" s="352"/>
      <c r="L150" s="352"/>
      <c r="M150" s="352"/>
      <c r="N150" s="352"/>
      <c r="O150" s="352"/>
      <c r="P150" s="352"/>
      <c r="Q150" s="352"/>
      <c r="R150" s="352"/>
      <c r="S150" s="352"/>
      <c r="T150" s="352"/>
      <c r="U150" s="352"/>
      <c r="V150" s="352"/>
      <c r="W150" s="352"/>
      <c r="X150" s="352"/>
      <c r="Y150" s="482"/>
      <c r="Z150" s="3735"/>
    </row>
    <row r="151" spans="1:26" s="484" customFormat="1" ht="49.5" customHeight="1" x14ac:dyDescent="0.25">
      <c r="A151" s="482"/>
      <c r="B151" s="352"/>
      <c r="C151" s="5540"/>
      <c r="D151" s="6645" t="s">
        <v>211</v>
      </c>
      <c r="E151" s="6646"/>
      <c r="F151" s="4598" t="s">
        <v>3543</v>
      </c>
      <c r="G151" s="6649"/>
      <c r="H151" s="6650"/>
      <c r="I151" s="5904"/>
      <c r="J151" s="352"/>
      <c r="K151" s="352"/>
      <c r="L151" s="352"/>
      <c r="M151" s="352"/>
      <c r="N151" s="352"/>
      <c r="O151" s="352"/>
      <c r="P151" s="352"/>
      <c r="Q151" s="352"/>
      <c r="R151" s="352"/>
      <c r="S151" s="352"/>
      <c r="T151" s="352"/>
      <c r="U151" s="352"/>
      <c r="V151" s="352"/>
      <c r="W151" s="352"/>
      <c r="X151" s="352"/>
      <c r="Y151" s="482"/>
      <c r="Z151" s="3735"/>
    </row>
    <row r="152" spans="1:26" s="484" customFormat="1" ht="30" x14ac:dyDescent="0.25">
      <c r="A152" s="482"/>
      <c r="B152" s="352"/>
      <c r="C152" s="5540"/>
      <c r="D152" s="6647"/>
      <c r="E152" s="6648"/>
      <c r="F152" s="4605" t="s">
        <v>2956</v>
      </c>
      <c r="G152" s="4611"/>
      <c r="H152" s="4612"/>
      <c r="I152" s="5904"/>
      <c r="J152" s="404"/>
      <c r="K152" s="404"/>
      <c r="L152" s="404"/>
      <c r="M152" s="404"/>
      <c r="N152" s="404"/>
      <c r="O152" s="404"/>
      <c r="P152" s="404"/>
      <c r="Q152" s="352"/>
      <c r="R152" s="352"/>
      <c r="S152" s="352"/>
      <c r="T152" s="352"/>
      <c r="U152" s="352"/>
      <c r="V152" s="352"/>
      <c r="W152" s="352"/>
      <c r="X152" s="352"/>
      <c r="Y152" s="482"/>
      <c r="Z152" s="3735"/>
    </row>
    <row r="153" spans="1:26" s="484" customFormat="1" ht="31.5" x14ac:dyDescent="0.25">
      <c r="A153" s="482"/>
      <c r="B153" s="352"/>
      <c r="C153" s="5540"/>
      <c r="D153" s="6651"/>
      <c r="E153" s="6652"/>
      <c r="F153" s="4608" t="s">
        <v>2938</v>
      </c>
      <c r="G153" s="3922"/>
      <c r="H153" s="3923"/>
      <c r="I153" s="5904"/>
      <c r="J153" s="404"/>
      <c r="K153" s="404"/>
      <c r="L153" s="404"/>
      <c r="M153" s="404"/>
      <c r="N153" s="404"/>
      <c r="O153" s="404"/>
      <c r="P153" s="404"/>
      <c r="Q153" s="352"/>
      <c r="R153" s="352"/>
      <c r="S153" s="352"/>
      <c r="T153" s="352"/>
      <c r="U153" s="352"/>
      <c r="V153" s="352"/>
      <c r="W153" s="352"/>
      <c r="X153" s="352"/>
      <c r="Y153" s="482"/>
      <c r="Z153" s="3735"/>
    </row>
    <row r="154" spans="1:26" s="484" customFormat="1" ht="15.75" x14ac:dyDescent="0.25">
      <c r="A154" s="482"/>
      <c r="B154" s="352"/>
      <c r="C154" s="5540"/>
      <c r="D154" s="6653" t="s">
        <v>210</v>
      </c>
      <c r="E154" s="6654"/>
      <c r="F154" s="4598" t="s">
        <v>2939</v>
      </c>
      <c r="G154" s="4613">
        <f>G139-G145-G150</f>
        <v>0</v>
      </c>
      <c r="H154" s="4614">
        <f>H139-H145-H150</f>
        <v>0</v>
      </c>
      <c r="I154" s="5904"/>
      <c r="J154" s="404"/>
      <c r="K154" s="404"/>
      <c r="L154" s="404"/>
      <c r="M154" s="404"/>
      <c r="N154" s="404"/>
      <c r="O154" s="404"/>
      <c r="P154" s="404"/>
      <c r="Q154" s="352"/>
      <c r="R154" s="352"/>
      <c r="S154" s="352"/>
      <c r="T154" s="352"/>
      <c r="U154" s="352"/>
      <c r="V154" s="352"/>
      <c r="W154" s="352"/>
      <c r="X154" s="352"/>
      <c r="Y154" s="482"/>
      <c r="Z154" s="3735"/>
    </row>
    <row r="155" spans="1:26" s="484" customFormat="1" ht="15.75" x14ac:dyDescent="0.25">
      <c r="A155" s="482"/>
      <c r="B155" s="352"/>
      <c r="C155" s="5540"/>
      <c r="D155" s="6655"/>
      <c r="E155" s="6656"/>
      <c r="F155" s="5325" t="s">
        <v>2213</v>
      </c>
      <c r="G155" s="4615"/>
      <c r="H155" s="4616"/>
      <c r="I155" s="5904"/>
      <c r="J155" s="404"/>
      <c r="K155" s="404"/>
      <c r="L155" s="404"/>
      <c r="M155" s="404"/>
      <c r="N155" s="404"/>
      <c r="O155" s="404"/>
      <c r="P155" s="404"/>
      <c r="Q155" s="352"/>
      <c r="R155" s="352"/>
      <c r="S155" s="352"/>
      <c r="T155" s="352"/>
      <c r="U155" s="352"/>
      <c r="V155" s="352"/>
      <c r="W155" s="352"/>
      <c r="X155" s="352"/>
      <c r="Y155" s="482"/>
      <c r="Z155" s="3735"/>
    </row>
    <row r="156" spans="1:26" s="484" customFormat="1" ht="15.75" x14ac:dyDescent="0.25">
      <c r="A156" s="482"/>
      <c r="B156" s="352"/>
      <c r="C156" s="5540"/>
      <c r="D156" s="6655"/>
      <c r="E156" s="6656"/>
      <c r="F156" s="4617" t="s">
        <v>2912</v>
      </c>
      <c r="G156" s="4618"/>
      <c r="H156" s="3813"/>
      <c r="I156" s="5904"/>
      <c r="J156" s="404"/>
      <c r="K156" s="404"/>
      <c r="L156" s="404"/>
      <c r="M156" s="404"/>
      <c r="N156" s="404"/>
      <c r="O156" s="404"/>
      <c r="P156" s="404"/>
      <c r="Q156" s="352"/>
      <c r="R156" s="352"/>
      <c r="S156" s="352"/>
      <c r="T156" s="352"/>
      <c r="U156" s="352"/>
      <c r="V156" s="352"/>
      <c r="W156" s="352"/>
      <c r="X156" s="352"/>
      <c r="Y156" s="482"/>
      <c r="Z156" s="3735"/>
    </row>
    <row r="157" spans="1:26" s="484" customFormat="1" ht="15.75" x14ac:dyDescent="0.25">
      <c r="A157" s="482"/>
      <c r="B157" s="352"/>
      <c r="C157" s="5540"/>
      <c r="D157" s="6655"/>
      <c r="E157" s="6656"/>
      <c r="F157" s="4617" t="s">
        <v>2913</v>
      </c>
      <c r="G157" s="4618"/>
      <c r="H157" s="3813"/>
      <c r="I157" s="5904"/>
      <c r="J157" s="404"/>
      <c r="K157" s="404"/>
      <c r="L157" s="404"/>
      <c r="M157" s="404"/>
      <c r="N157" s="404"/>
      <c r="O157" s="404"/>
      <c r="P157" s="404"/>
      <c r="Q157" s="352"/>
      <c r="R157" s="352"/>
      <c r="S157" s="352"/>
      <c r="T157" s="352"/>
      <c r="U157" s="352"/>
      <c r="V157" s="352"/>
      <c r="W157" s="352"/>
      <c r="X157" s="352"/>
      <c r="Y157" s="482"/>
      <c r="Z157" s="3735"/>
    </row>
    <row r="158" spans="1:26" s="484" customFormat="1" ht="15.75" x14ac:dyDescent="0.25">
      <c r="A158" s="482"/>
      <c r="B158" s="352"/>
      <c r="C158" s="5540"/>
      <c r="D158" s="6657"/>
      <c r="E158" s="6658"/>
      <c r="F158" s="4619" t="s">
        <v>2914</v>
      </c>
      <c r="G158" s="4620">
        <f>IF(G154&gt;0,1-(G157+G156),0)</f>
        <v>0</v>
      </c>
      <c r="H158" s="4621">
        <f>IF(H154&gt;0,1-(H157+H156),0)</f>
        <v>0</v>
      </c>
      <c r="I158" s="5904"/>
      <c r="J158" s="404"/>
      <c r="K158" s="404"/>
      <c r="L158" s="404"/>
      <c r="M158" s="404"/>
      <c r="N158" s="404"/>
      <c r="O158" s="404"/>
      <c r="P158" s="404"/>
      <c r="Q158" s="352"/>
      <c r="R158" s="352"/>
      <c r="S158" s="352"/>
      <c r="T158" s="352"/>
      <c r="U158" s="352"/>
      <c r="V158" s="352"/>
      <c r="W158" s="352"/>
      <c r="X158" s="352"/>
      <c r="Y158" s="482"/>
      <c r="Z158" s="3735"/>
    </row>
    <row r="159" spans="1:26" s="484" customFormat="1" ht="42.75" customHeight="1" x14ac:dyDescent="0.25">
      <c r="A159" s="482"/>
      <c r="B159" s="352"/>
      <c r="C159" s="5540"/>
      <c r="D159" s="6659" t="s">
        <v>211</v>
      </c>
      <c r="E159" s="6660"/>
      <c r="F159" s="4622" t="s">
        <v>3544</v>
      </c>
      <c r="G159" s="6649"/>
      <c r="H159" s="6650"/>
      <c r="I159" s="5904"/>
      <c r="J159" s="404"/>
      <c r="K159" s="404"/>
      <c r="L159" s="404"/>
      <c r="M159" s="404"/>
      <c r="N159" s="404"/>
      <c r="O159" s="404"/>
      <c r="P159" s="404"/>
      <c r="Q159" s="352"/>
      <c r="R159" s="352"/>
      <c r="S159" s="352"/>
      <c r="T159" s="352"/>
      <c r="U159" s="352"/>
      <c r="V159" s="352"/>
      <c r="W159" s="352"/>
      <c r="X159" s="352"/>
      <c r="Y159" s="482"/>
      <c r="Z159" s="3735"/>
    </row>
    <row r="160" spans="1:26" s="484" customFormat="1" ht="30.75" thickBot="1" x14ac:dyDescent="0.3">
      <c r="A160" s="482"/>
      <c r="B160" s="352"/>
      <c r="C160" s="5540"/>
      <c r="D160" s="6661"/>
      <c r="E160" s="6662"/>
      <c r="F160" s="4605" t="s">
        <v>2956</v>
      </c>
      <c r="G160" s="4623"/>
      <c r="H160" s="4624"/>
      <c r="I160" s="5904"/>
      <c r="J160" s="421"/>
      <c r="K160" s="352"/>
      <c r="L160" s="352"/>
      <c r="M160" s="352"/>
      <c r="N160" s="352"/>
      <c r="O160" s="352"/>
      <c r="P160" s="352"/>
      <c r="Q160" s="352"/>
      <c r="R160" s="352"/>
      <c r="S160" s="352"/>
      <c r="T160" s="352"/>
      <c r="U160" s="352"/>
      <c r="V160" s="352"/>
      <c r="W160" s="352"/>
      <c r="X160" s="352"/>
      <c r="Y160" s="482"/>
      <c r="Z160" s="3735"/>
    </row>
    <row r="161" spans="1:26" ht="18.75" thickBot="1" x14ac:dyDescent="0.35">
      <c r="B161" s="389"/>
      <c r="C161" s="5542" t="s">
        <v>3131</v>
      </c>
      <c r="D161" s="3422" t="s">
        <v>786</v>
      </c>
      <c r="E161" s="2976" t="s">
        <v>78</v>
      </c>
      <c r="F161" s="2985" t="s">
        <v>2197</v>
      </c>
      <c r="G161" s="2986"/>
      <c r="H161" s="2987"/>
      <c r="I161" s="5904"/>
      <c r="J161" s="2"/>
      <c r="K161" s="2"/>
      <c r="L161" s="2"/>
      <c r="M161" s="2"/>
      <c r="N161" s="2"/>
      <c r="O161" s="2"/>
      <c r="P161" s="2"/>
      <c r="Q161" s="2"/>
      <c r="R161" s="2"/>
      <c r="S161" s="2"/>
      <c r="T161" s="2"/>
      <c r="U161" s="2"/>
      <c r="V161" s="2"/>
      <c r="W161" s="2"/>
      <c r="X161" s="2"/>
      <c r="Z161" s="3735">
        <f>'Perf assessment'!U142</f>
        <v>0</v>
      </c>
    </row>
    <row r="162" spans="1:26" s="918" customFormat="1" ht="15.75" x14ac:dyDescent="0.25">
      <c r="A162" s="921"/>
      <c r="B162" s="991"/>
      <c r="C162" s="5539"/>
      <c r="D162" s="6457" t="s">
        <v>82</v>
      </c>
      <c r="E162" s="6458"/>
      <c r="F162" s="3068"/>
      <c r="G162" s="5326" t="s">
        <v>1732</v>
      </c>
      <c r="H162" s="5327" t="s">
        <v>1733</v>
      </c>
      <c r="I162" s="5904"/>
      <c r="J162" s="991"/>
      <c r="K162" s="991"/>
      <c r="L162" s="991"/>
      <c r="M162" s="991"/>
      <c r="N162" s="991"/>
      <c r="O162" s="991"/>
      <c r="P162" s="991"/>
      <c r="Q162" s="991"/>
      <c r="R162" s="991"/>
      <c r="S162" s="991"/>
      <c r="T162" s="991"/>
      <c r="U162" s="991"/>
      <c r="V162" s="991"/>
      <c r="W162" s="991"/>
      <c r="X162" s="991"/>
      <c r="Y162" s="921"/>
      <c r="Z162" s="3739"/>
    </row>
    <row r="163" spans="1:26" s="918" customFormat="1" ht="15.75" x14ac:dyDescent="0.25">
      <c r="A163" s="921"/>
      <c r="B163" s="991"/>
      <c r="C163" s="5539"/>
      <c r="D163" s="6421"/>
      <c r="E163" s="6422"/>
      <c r="F163" s="3069" t="s">
        <v>2377</v>
      </c>
      <c r="G163" s="2995">
        <f>'WSS Profile'!F294</f>
        <v>46</v>
      </c>
      <c r="H163" s="2996">
        <f>'WSS Profile'!G294</f>
        <v>2</v>
      </c>
      <c r="I163" s="5904"/>
      <c r="J163" s="991"/>
      <c r="K163" s="991"/>
      <c r="L163" s="991"/>
      <c r="M163" s="991"/>
      <c r="N163" s="991"/>
      <c r="O163" s="991"/>
      <c r="P163" s="991"/>
      <c r="Q163" s="991"/>
      <c r="R163" s="991"/>
      <c r="S163" s="991"/>
      <c r="T163" s="991"/>
      <c r="U163" s="991"/>
      <c r="V163" s="991"/>
      <c r="W163" s="991"/>
      <c r="X163" s="991"/>
      <c r="Y163" s="921"/>
      <c r="Z163" s="3735"/>
    </row>
    <row r="164" spans="1:26" ht="15.75" x14ac:dyDescent="0.25">
      <c r="B164" s="2"/>
      <c r="C164" s="5539"/>
      <c r="D164" s="6421"/>
      <c r="E164" s="6422"/>
      <c r="F164" s="3007" t="s">
        <v>2378</v>
      </c>
      <c r="G164" s="3070">
        <f>'WSS Profile'!F295</f>
        <v>253</v>
      </c>
      <c r="H164" s="3075">
        <f>'WSS Profile'!G295</f>
        <v>12</v>
      </c>
      <c r="I164" s="5904"/>
      <c r="J164" s="2"/>
      <c r="K164" s="2"/>
      <c r="L164" s="2"/>
      <c r="M164" s="2"/>
      <c r="N164" s="2"/>
      <c r="O164" s="2"/>
      <c r="P164" s="2"/>
      <c r="Q164" s="2"/>
      <c r="R164" s="2"/>
      <c r="S164" s="2"/>
      <c r="T164" s="2"/>
      <c r="U164" s="2"/>
      <c r="V164" s="2"/>
      <c r="W164" s="2"/>
      <c r="X164" s="2"/>
    </row>
    <row r="165" spans="1:26" s="918" customFormat="1" ht="15" customHeight="1" x14ac:dyDescent="0.25">
      <c r="A165" s="921"/>
      <c r="B165" s="991"/>
      <c r="C165" s="5539"/>
      <c r="D165" s="6429" t="s">
        <v>210</v>
      </c>
      <c r="E165" s="6430"/>
      <c r="F165" s="3009" t="s">
        <v>2379</v>
      </c>
      <c r="G165" s="3023"/>
      <c r="H165" s="3051"/>
      <c r="I165" s="5904"/>
      <c r="J165" s="991"/>
      <c r="K165" s="991"/>
      <c r="L165" s="991"/>
      <c r="M165" s="991"/>
      <c r="N165" s="46"/>
      <c r="O165" s="991"/>
      <c r="P165" s="991"/>
      <c r="Q165" s="991"/>
      <c r="R165" s="991"/>
      <c r="S165" s="991"/>
      <c r="T165" s="991"/>
      <c r="U165" s="991"/>
      <c r="V165" s="991"/>
      <c r="W165" s="991"/>
      <c r="X165" s="991"/>
      <c r="Y165" s="921"/>
      <c r="Z165" s="3735"/>
    </row>
    <row r="166" spans="1:26" ht="15.75" customHeight="1" x14ac:dyDescent="0.25">
      <c r="B166" s="2"/>
      <c r="C166" s="5539"/>
      <c r="D166" s="6421"/>
      <c r="E166" s="6422"/>
      <c r="F166" s="3007" t="s">
        <v>2380</v>
      </c>
      <c r="G166" s="3100"/>
      <c r="H166" s="3101"/>
      <c r="I166" s="5904"/>
      <c r="J166" s="2"/>
      <c r="K166" s="2"/>
      <c r="L166" s="2"/>
      <c r="M166" s="2"/>
      <c r="N166" s="2"/>
      <c r="O166" s="2"/>
      <c r="P166" s="2"/>
      <c r="Q166" s="2"/>
      <c r="R166" s="2"/>
      <c r="S166" s="2"/>
      <c r="T166" s="2"/>
      <c r="U166" s="2"/>
      <c r="V166" s="2"/>
      <c r="W166" s="2"/>
      <c r="X166" s="2"/>
    </row>
    <row r="167" spans="1:26" ht="30" x14ac:dyDescent="0.25">
      <c r="B167" s="2"/>
      <c r="C167" s="5539"/>
      <c r="D167" s="6436"/>
      <c r="E167" s="6437"/>
      <c r="F167" s="3099" t="s">
        <v>2862</v>
      </c>
      <c r="G167" s="6602"/>
      <c r="H167" s="6603"/>
      <c r="I167" s="5904"/>
      <c r="J167" s="2"/>
      <c r="K167" s="2"/>
      <c r="L167" s="2"/>
      <c r="M167" s="2"/>
      <c r="N167" s="2"/>
      <c r="O167" s="2"/>
      <c r="P167" s="2"/>
      <c r="Q167" s="2"/>
      <c r="R167" s="2"/>
      <c r="S167" s="2"/>
      <c r="T167" s="2"/>
      <c r="U167" s="2"/>
      <c r="V167" s="2"/>
      <c r="W167" s="2"/>
      <c r="X167" s="2"/>
    </row>
    <row r="168" spans="1:26" ht="15.75" x14ac:dyDescent="0.25">
      <c r="B168" s="2"/>
      <c r="C168" s="5539"/>
      <c r="D168" s="6421" t="s">
        <v>211</v>
      </c>
      <c r="E168" s="6422"/>
      <c r="F168" s="3007" t="s">
        <v>2381</v>
      </c>
      <c r="G168" s="3102" t="s">
        <v>3537</v>
      </c>
      <c r="H168" s="3101"/>
      <c r="I168" s="5904"/>
      <c r="J168" s="2"/>
      <c r="K168" s="2"/>
      <c r="L168" s="2"/>
      <c r="M168" s="2"/>
      <c r="N168" s="2"/>
      <c r="O168" s="2"/>
      <c r="P168" s="2"/>
      <c r="Q168" s="2"/>
      <c r="R168" s="2"/>
      <c r="S168" s="2"/>
      <c r="T168" s="2"/>
      <c r="U168" s="2"/>
      <c r="V168" s="2"/>
      <c r="W168" s="2"/>
      <c r="X168" s="2"/>
    </row>
    <row r="169" spans="1:26" ht="30" x14ac:dyDescent="0.25">
      <c r="B169" s="2"/>
      <c r="C169" s="5539"/>
      <c r="D169" s="6432"/>
      <c r="E169" s="6433"/>
      <c r="F169" s="3008" t="s">
        <v>3778</v>
      </c>
      <c r="G169" s="3103" t="s">
        <v>3537</v>
      </c>
      <c r="H169" s="3050"/>
      <c r="I169" s="5904"/>
      <c r="J169" s="2"/>
      <c r="K169" s="2"/>
      <c r="L169" s="2"/>
      <c r="M169" s="2"/>
      <c r="N169" s="2"/>
      <c r="O169" s="2"/>
      <c r="P169" s="2"/>
      <c r="Q169" s="2"/>
      <c r="R169" s="2"/>
      <c r="S169" s="2"/>
      <c r="T169" s="2"/>
      <c r="U169" s="2"/>
      <c r="V169" s="2"/>
      <c r="W169" s="2"/>
      <c r="X169" s="2"/>
    </row>
    <row r="170" spans="1:26" ht="31.5" x14ac:dyDescent="0.25">
      <c r="B170" s="2"/>
      <c r="C170" s="5539"/>
      <c r="D170" s="6525"/>
      <c r="E170" s="6526"/>
      <c r="F170" s="3071" t="s">
        <v>2418</v>
      </c>
      <c r="G170" s="3927"/>
      <c r="H170" s="3932"/>
      <c r="I170" s="5904"/>
      <c r="J170" s="2"/>
      <c r="K170" s="2"/>
      <c r="L170" s="2"/>
      <c r="M170" s="2"/>
      <c r="N170" s="2"/>
      <c r="O170" s="2"/>
      <c r="P170" s="2"/>
      <c r="Q170" s="2"/>
      <c r="R170" s="2"/>
      <c r="S170" s="2"/>
      <c r="T170" s="2"/>
      <c r="U170" s="2"/>
      <c r="V170" s="2"/>
      <c r="W170" s="2"/>
      <c r="X170" s="2"/>
    </row>
    <row r="171" spans="1:26" s="918" customFormat="1" ht="31.5" customHeight="1" x14ac:dyDescent="0.25">
      <c r="A171" s="921"/>
      <c r="B171" s="991"/>
      <c r="C171" s="5539"/>
      <c r="D171" s="6531" t="s">
        <v>211</v>
      </c>
      <c r="E171" s="6532"/>
      <c r="F171" s="3066" t="s">
        <v>2421</v>
      </c>
      <c r="G171" s="3104"/>
      <c r="H171" s="3105"/>
      <c r="I171" s="5904"/>
      <c r="J171" s="991"/>
      <c r="K171" s="991"/>
      <c r="L171" s="991"/>
      <c r="M171" s="991"/>
      <c r="N171" s="991"/>
      <c r="O171" s="991"/>
      <c r="P171" s="991"/>
      <c r="Q171" s="991"/>
      <c r="R171" s="991"/>
      <c r="S171" s="991"/>
      <c r="T171" s="991"/>
      <c r="U171" s="991"/>
      <c r="V171" s="991"/>
      <c r="W171" s="991"/>
      <c r="X171" s="991"/>
      <c r="Y171" s="921"/>
      <c r="Z171" s="3735"/>
    </row>
    <row r="172" spans="1:26" s="918" customFormat="1" ht="15.75" x14ac:dyDescent="0.25">
      <c r="A172" s="921"/>
      <c r="B172" s="991"/>
      <c r="C172" s="5539"/>
      <c r="D172" s="6421"/>
      <c r="E172" s="6422"/>
      <c r="F172" s="3007" t="s">
        <v>2765</v>
      </c>
      <c r="G172" s="3080">
        <f>G171*G166</f>
        <v>0</v>
      </c>
      <c r="H172" s="3081">
        <f>H171*H166</f>
        <v>0</v>
      </c>
      <c r="I172" s="5904"/>
      <c r="J172" s="991"/>
      <c r="K172" s="991"/>
      <c r="L172" s="991"/>
      <c r="M172" s="991"/>
      <c r="N172" s="991"/>
      <c r="O172" s="991"/>
      <c r="P172" s="991"/>
      <c r="Q172" s="991"/>
      <c r="R172" s="991"/>
      <c r="S172" s="991"/>
      <c r="T172" s="991"/>
      <c r="U172" s="991"/>
      <c r="V172" s="991"/>
      <c r="W172" s="991"/>
      <c r="X172" s="991"/>
      <c r="Y172" s="921"/>
      <c r="Z172" s="3735"/>
    </row>
    <row r="173" spans="1:26" ht="30" x14ac:dyDescent="0.25">
      <c r="B173" s="2"/>
      <c r="C173" s="5539"/>
      <c r="D173" s="6432"/>
      <c r="E173" s="6433"/>
      <c r="F173" s="3008" t="s">
        <v>2440</v>
      </c>
      <c r="G173" s="3423" t="s">
        <v>3536</v>
      </c>
      <c r="H173" s="3106"/>
      <c r="I173" s="5904"/>
      <c r="J173" s="2"/>
      <c r="K173" s="2"/>
      <c r="L173" s="2"/>
      <c r="M173" s="2"/>
      <c r="N173" s="2"/>
      <c r="O173" s="2"/>
      <c r="P173" s="2"/>
      <c r="Q173" s="2"/>
      <c r="R173" s="2"/>
      <c r="S173" s="2"/>
      <c r="T173" s="2"/>
      <c r="U173" s="2"/>
      <c r="V173" s="2"/>
      <c r="W173" s="2"/>
      <c r="X173" s="2"/>
    </row>
    <row r="174" spans="1:26" s="918" customFormat="1" ht="31.5" x14ac:dyDescent="0.25">
      <c r="A174" s="921"/>
      <c r="B174" s="991"/>
      <c r="C174" s="5539"/>
      <c r="D174" s="6552"/>
      <c r="E174" s="6553"/>
      <c r="F174" s="3071" t="s">
        <v>2419</v>
      </c>
      <c r="G174" s="3927"/>
      <c r="H174" s="3932"/>
      <c r="I174" s="5904"/>
      <c r="J174" s="991"/>
      <c r="K174" s="991"/>
      <c r="L174" s="991"/>
      <c r="M174" s="991"/>
      <c r="N174" s="991"/>
      <c r="O174" s="991"/>
      <c r="P174" s="991"/>
      <c r="Q174" s="991"/>
      <c r="R174" s="991"/>
      <c r="S174" s="991"/>
      <c r="T174" s="991"/>
      <c r="U174" s="991"/>
      <c r="V174" s="991"/>
      <c r="W174" s="991"/>
      <c r="X174" s="991"/>
      <c r="Y174" s="921"/>
      <c r="Z174" s="3735"/>
    </row>
    <row r="175" spans="1:26" s="918" customFormat="1" ht="15.75" x14ac:dyDescent="0.25">
      <c r="A175" s="921"/>
      <c r="B175" s="991"/>
      <c r="C175" s="5539"/>
      <c r="D175" s="6531" t="s">
        <v>211</v>
      </c>
      <c r="E175" s="6532"/>
      <c r="F175" s="3066" t="s">
        <v>2421</v>
      </c>
      <c r="G175" s="3067"/>
      <c r="H175" s="3074"/>
      <c r="I175" s="5904"/>
      <c r="J175" s="991"/>
      <c r="K175" s="991"/>
      <c r="L175" s="991"/>
      <c r="M175" s="991"/>
      <c r="N175" s="991"/>
      <c r="O175" s="991"/>
      <c r="P175" s="991"/>
      <c r="Q175" s="991"/>
      <c r="R175" s="991"/>
      <c r="S175" s="991"/>
      <c r="T175" s="991"/>
      <c r="U175" s="991"/>
      <c r="V175" s="991"/>
      <c r="W175" s="991"/>
      <c r="X175" s="991"/>
      <c r="Y175" s="921"/>
      <c r="Z175" s="3735"/>
    </row>
    <row r="176" spans="1:26" s="918" customFormat="1" ht="15.75" x14ac:dyDescent="0.25">
      <c r="A176" s="921"/>
      <c r="B176" s="991"/>
      <c r="C176" s="5539"/>
      <c r="D176" s="6421"/>
      <c r="E176" s="6422"/>
      <c r="F176" s="3007" t="s">
        <v>2765</v>
      </c>
      <c r="G176" s="3080">
        <f>G166*G175</f>
        <v>0</v>
      </c>
      <c r="H176" s="3081">
        <f>H175*H166</f>
        <v>0</v>
      </c>
      <c r="I176" s="5904"/>
      <c r="J176" s="991"/>
      <c r="K176" s="991"/>
      <c r="L176" s="991"/>
      <c r="M176" s="991"/>
      <c r="N176" s="991"/>
      <c r="O176" s="991"/>
      <c r="P176" s="991"/>
      <c r="Q176" s="991"/>
      <c r="R176" s="991"/>
      <c r="S176" s="991"/>
      <c r="T176" s="991"/>
      <c r="U176" s="991"/>
      <c r="V176" s="991"/>
      <c r="W176" s="991"/>
      <c r="X176" s="991"/>
      <c r="Y176" s="921"/>
      <c r="Z176" s="3735"/>
    </row>
    <row r="177" spans="1:26" s="918" customFormat="1" ht="30" x14ac:dyDescent="0.25">
      <c r="A177" s="921"/>
      <c r="B177" s="991"/>
      <c r="C177" s="5539"/>
      <c r="D177" s="6432"/>
      <c r="E177" s="6433"/>
      <c r="F177" s="3072" t="s">
        <v>2441</v>
      </c>
      <c r="G177" s="3423" t="s">
        <v>3536</v>
      </c>
      <c r="H177" s="3106"/>
      <c r="I177" s="5904"/>
      <c r="J177" s="991"/>
      <c r="K177" s="991"/>
      <c r="L177" s="991"/>
      <c r="M177" s="991"/>
      <c r="N177" s="991"/>
      <c r="O177" s="991"/>
      <c r="P177" s="991"/>
      <c r="Q177" s="991"/>
      <c r="R177" s="991"/>
      <c r="S177" s="991"/>
      <c r="T177" s="991"/>
      <c r="U177" s="991"/>
      <c r="V177" s="991"/>
      <c r="W177" s="991"/>
      <c r="X177" s="991"/>
      <c r="Y177" s="921"/>
      <c r="Z177" s="3735"/>
    </row>
    <row r="178" spans="1:26" s="918" customFormat="1" ht="31.5" x14ac:dyDescent="0.25">
      <c r="A178" s="921"/>
      <c r="B178" s="991"/>
      <c r="C178" s="5539"/>
      <c r="D178" s="6552"/>
      <c r="E178" s="6553"/>
      <c r="F178" s="3071" t="s">
        <v>2420</v>
      </c>
      <c r="G178" s="3927"/>
      <c r="H178" s="3932"/>
      <c r="I178" s="5904"/>
      <c r="J178" s="991"/>
      <c r="K178" s="991"/>
      <c r="L178" s="991"/>
      <c r="M178" s="991"/>
      <c r="N178" s="991"/>
      <c r="O178" s="991"/>
      <c r="P178" s="991"/>
      <c r="Q178" s="991"/>
      <c r="R178" s="991"/>
      <c r="S178" s="991"/>
      <c r="T178" s="991"/>
      <c r="U178" s="991"/>
      <c r="V178" s="991"/>
      <c r="W178" s="991"/>
      <c r="X178" s="991"/>
      <c r="Y178" s="921"/>
      <c r="Z178" s="3735"/>
    </row>
    <row r="179" spans="1:26" s="918" customFormat="1" ht="15.75" x14ac:dyDescent="0.25">
      <c r="A179" s="921"/>
      <c r="B179" s="991"/>
      <c r="C179" s="5539"/>
      <c r="D179" s="6531" t="s">
        <v>211</v>
      </c>
      <c r="E179" s="6532"/>
      <c r="F179" s="3066" t="s">
        <v>2421</v>
      </c>
      <c r="G179" s="3107">
        <f>1-(G175+G171)</f>
        <v>1</v>
      </c>
      <c r="H179" s="3108">
        <f>1-(H175+H171)</f>
        <v>1</v>
      </c>
      <c r="I179" s="5904"/>
      <c r="J179" s="991"/>
      <c r="K179" s="991"/>
      <c r="L179" s="991"/>
      <c r="M179" s="991"/>
      <c r="N179" s="991"/>
      <c r="O179" s="991"/>
      <c r="P179" s="991"/>
      <c r="Q179" s="991"/>
      <c r="R179" s="991"/>
      <c r="S179" s="991"/>
      <c r="T179" s="991"/>
      <c r="U179" s="991"/>
      <c r="V179" s="991"/>
      <c r="W179" s="991"/>
      <c r="X179" s="991"/>
      <c r="Y179" s="921"/>
      <c r="Z179" s="3735"/>
    </row>
    <row r="180" spans="1:26" s="918" customFormat="1" ht="15.75" x14ac:dyDescent="0.25">
      <c r="A180" s="921"/>
      <c r="B180" s="991"/>
      <c r="C180" s="5539"/>
      <c r="D180" s="6421"/>
      <c r="E180" s="6422"/>
      <c r="F180" s="3007" t="s">
        <v>2765</v>
      </c>
      <c r="G180" s="3080">
        <f>G179*G166</f>
        <v>0</v>
      </c>
      <c r="H180" s="3081">
        <f>H179*H166</f>
        <v>0</v>
      </c>
      <c r="I180" s="5904"/>
      <c r="J180" s="991"/>
      <c r="K180" s="991"/>
      <c r="L180" s="991"/>
      <c r="M180" s="991"/>
      <c r="N180" s="991"/>
      <c r="O180" s="991"/>
      <c r="P180" s="991"/>
      <c r="Q180" s="991"/>
      <c r="R180" s="991"/>
      <c r="S180" s="991"/>
      <c r="T180" s="991"/>
      <c r="U180" s="991"/>
      <c r="V180" s="991"/>
      <c r="W180" s="991"/>
      <c r="X180" s="991"/>
      <c r="Y180" s="921"/>
      <c r="Z180" s="3735"/>
    </row>
    <row r="181" spans="1:26" s="918" customFormat="1" ht="30.75" thickBot="1" x14ac:dyDescent="0.3">
      <c r="A181" s="921"/>
      <c r="B181" s="991"/>
      <c r="C181" s="5539"/>
      <c r="D181" s="6432"/>
      <c r="E181" s="6433"/>
      <c r="F181" s="3072" t="s">
        <v>2442</v>
      </c>
      <c r="G181" s="3423" t="s">
        <v>3536</v>
      </c>
      <c r="H181" s="3106"/>
      <c r="I181" s="5904"/>
      <c r="J181" s="991"/>
      <c r="K181" s="991"/>
      <c r="L181" s="991"/>
      <c r="M181" s="991"/>
      <c r="N181" s="991"/>
      <c r="O181" s="991"/>
      <c r="P181" s="991"/>
      <c r="Q181" s="991"/>
      <c r="R181" s="991"/>
      <c r="S181" s="991"/>
      <c r="T181" s="991"/>
      <c r="U181" s="991"/>
      <c r="V181" s="991"/>
      <c r="W181" s="991"/>
      <c r="X181" s="991"/>
      <c r="Y181" s="921"/>
      <c r="Z181" s="3735"/>
    </row>
    <row r="182" spans="1:26" ht="18.75" thickBot="1" x14ac:dyDescent="0.3">
      <c r="B182" s="2"/>
      <c r="C182" s="5542" t="s">
        <v>3132</v>
      </c>
      <c r="D182" s="3422" t="s">
        <v>786</v>
      </c>
      <c r="E182" s="2976" t="s">
        <v>79</v>
      </c>
      <c r="F182" s="6569" t="s">
        <v>2198</v>
      </c>
      <c r="G182" s="6570"/>
      <c r="H182" s="6570"/>
      <c r="I182" s="5904"/>
      <c r="J182" s="2"/>
      <c r="K182" s="2"/>
      <c r="L182" s="2"/>
      <c r="M182" s="2"/>
      <c r="N182" s="2"/>
      <c r="O182" s="2"/>
      <c r="P182" s="2"/>
      <c r="Q182" s="2"/>
      <c r="R182" s="2"/>
      <c r="S182" s="2"/>
      <c r="T182" s="2"/>
      <c r="U182" s="2"/>
      <c r="V182" s="2"/>
      <c r="W182" s="2"/>
      <c r="X182" s="2"/>
      <c r="Z182" s="3735">
        <f>'Perf assessment'!U143</f>
        <v>0</v>
      </c>
    </row>
    <row r="183" spans="1:26" s="918" customFormat="1" ht="15.75" x14ac:dyDescent="0.25">
      <c r="A183" s="921"/>
      <c r="B183" s="991"/>
      <c r="C183" s="5539"/>
      <c r="D183" s="6442" t="s">
        <v>82</v>
      </c>
      <c r="E183" s="6443"/>
      <c r="F183" s="3109" t="s">
        <v>2382</v>
      </c>
      <c r="G183" s="3030" t="s">
        <v>1290</v>
      </c>
      <c r="H183" s="3424">
        <f>'WSS Profile'!F305</f>
        <v>4</v>
      </c>
      <c r="I183" s="5904"/>
      <c r="J183" s="991"/>
      <c r="K183" s="991"/>
      <c r="L183" s="991"/>
      <c r="M183" s="991"/>
      <c r="N183" s="991"/>
      <c r="O183" s="991"/>
      <c r="P183" s="991"/>
      <c r="Q183" s="991"/>
      <c r="R183" s="991"/>
      <c r="S183" s="991"/>
      <c r="T183" s="991"/>
      <c r="U183" s="991"/>
      <c r="V183" s="991"/>
      <c r="W183" s="991"/>
      <c r="X183" s="991"/>
      <c r="Y183" s="921"/>
      <c r="Z183" s="3735"/>
    </row>
    <row r="184" spans="1:26" ht="15.75" x14ac:dyDescent="0.25">
      <c r="B184" s="2"/>
      <c r="C184" s="5539"/>
      <c r="D184" s="6421"/>
      <c r="E184" s="6422"/>
      <c r="F184" s="3031" t="s">
        <v>2378</v>
      </c>
      <c r="G184" s="3032" t="s">
        <v>1291</v>
      </c>
      <c r="H184" s="3424">
        <f>'WSS Profile'!$F$306</f>
        <v>22</v>
      </c>
      <c r="I184" s="5904"/>
      <c r="J184" s="2"/>
      <c r="K184" s="2"/>
      <c r="L184" s="2"/>
      <c r="M184" s="2"/>
      <c r="N184" s="2"/>
      <c r="O184" s="2"/>
      <c r="P184" s="2"/>
      <c r="Q184" s="2"/>
      <c r="R184" s="2"/>
      <c r="S184" s="2"/>
      <c r="T184" s="2"/>
      <c r="U184" s="2"/>
      <c r="V184" s="2"/>
      <c r="W184" s="2"/>
      <c r="X184" s="2"/>
    </row>
    <row r="185" spans="1:26" s="918" customFormat="1" ht="15.75" x14ac:dyDescent="0.25">
      <c r="A185" s="921"/>
      <c r="B185" s="991"/>
      <c r="C185" s="5539"/>
      <c r="D185" s="6429" t="s">
        <v>210</v>
      </c>
      <c r="E185" s="6430"/>
      <c r="F185" s="3042" t="s">
        <v>2383</v>
      </c>
      <c r="G185" s="3043" t="s">
        <v>1290</v>
      </c>
      <c r="H185" s="3044">
        <v>3</v>
      </c>
      <c r="I185" s="5904"/>
      <c r="J185" s="991"/>
      <c r="K185" s="991"/>
      <c r="L185" s="991"/>
      <c r="M185" s="991"/>
      <c r="N185" s="991"/>
      <c r="O185" s="991"/>
      <c r="P185" s="991"/>
      <c r="Q185" s="991"/>
      <c r="R185" s="991"/>
      <c r="S185" s="991"/>
      <c r="T185" s="991"/>
      <c r="U185" s="991"/>
      <c r="V185" s="991"/>
      <c r="W185" s="991"/>
      <c r="X185" s="991"/>
      <c r="Y185" s="921"/>
      <c r="Z185" s="3735"/>
    </row>
    <row r="186" spans="1:26" ht="15.75" customHeight="1" x14ac:dyDescent="0.25">
      <c r="B186" s="2"/>
      <c r="C186" s="5539"/>
      <c r="D186" s="6421"/>
      <c r="E186" s="6422"/>
      <c r="F186" s="3031" t="s">
        <v>2380</v>
      </c>
      <c r="G186" s="3032" t="s">
        <v>1291</v>
      </c>
      <c r="H186" s="3101">
        <v>11</v>
      </c>
      <c r="I186" s="5904"/>
      <c r="J186" s="2"/>
      <c r="K186" s="2"/>
      <c r="L186" s="2"/>
      <c r="M186" s="2"/>
      <c r="N186" s="2"/>
      <c r="O186" s="2"/>
      <c r="P186" s="2"/>
      <c r="Q186" s="2"/>
      <c r="R186" s="2"/>
      <c r="S186" s="2"/>
      <c r="T186" s="2"/>
      <c r="U186" s="2"/>
      <c r="V186" s="2"/>
      <c r="W186" s="2"/>
      <c r="X186" s="2"/>
    </row>
    <row r="187" spans="1:26" s="918" customFormat="1" ht="15.75" customHeight="1" x14ac:dyDescent="0.25">
      <c r="A187" s="921"/>
      <c r="B187" s="991"/>
      <c r="C187" s="5539"/>
      <c r="D187" s="6436"/>
      <c r="E187" s="6437"/>
      <c r="F187" s="3078" t="s">
        <v>2608</v>
      </c>
      <c r="G187" s="3114" t="s">
        <v>3545</v>
      </c>
      <c r="H187" s="3101">
        <v>40</v>
      </c>
      <c r="I187" s="5904"/>
      <c r="J187" s="991"/>
      <c r="K187" s="991"/>
      <c r="L187" s="991"/>
      <c r="M187" s="991"/>
      <c r="N187" s="991"/>
      <c r="O187" s="991"/>
      <c r="P187" s="991"/>
      <c r="Q187" s="991"/>
      <c r="R187" s="991"/>
      <c r="S187" s="991"/>
      <c r="T187" s="991"/>
      <c r="U187" s="991"/>
      <c r="V187" s="991"/>
      <c r="W187" s="991"/>
      <c r="X187" s="991"/>
      <c r="Y187" s="921"/>
      <c r="Z187" s="3735"/>
    </row>
    <row r="188" spans="1:26" s="918" customFormat="1" ht="15.75" x14ac:dyDescent="0.25">
      <c r="A188" s="921"/>
      <c r="B188" s="991"/>
      <c r="C188" s="5539"/>
      <c r="D188" s="6421" t="s">
        <v>211</v>
      </c>
      <c r="E188" s="6422"/>
      <c r="F188" s="3110" t="s">
        <v>2384</v>
      </c>
      <c r="G188" s="3111" t="s">
        <v>3537</v>
      </c>
      <c r="H188" s="3101">
        <v>1000</v>
      </c>
      <c r="I188" s="5904"/>
      <c r="J188" s="991"/>
      <c r="K188" s="991"/>
      <c r="L188" s="991"/>
      <c r="M188" s="991"/>
      <c r="N188" s="991"/>
      <c r="O188" s="991"/>
      <c r="P188" s="991"/>
      <c r="Q188" s="991"/>
      <c r="R188" s="991"/>
      <c r="S188" s="991"/>
      <c r="T188" s="991"/>
      <c r="U188" s="991"/>
      <c r="V188" s="991"/>
      <c r="W188" s="991"/>
      <c r="X188" s="991"/>
      <c r="Y188" s="921"/>
      <c r="Z188" s="3735"/>
    </row>
    <row r="189" spans="1:26" s="918" customFormat="1" ht="30" x14ac:dyDescent="0.25">
      <c r="A189" s="921"/>
      <c r="B189" s="991"/>
      <c r="C189" s="5539"/>
      <c r="D189" s="6432"/>
      <c r="E189" s="6433"/>
      <c r="F189" s="3033" t="s">
        <v>3778</v>
      </c>
      <c r="G189" s="3112" t="s">
        <v>3537</v>
      </c>
      <c r="H189" s="5483"/>
      <c r="I189" s="5904"/>
      <c r="J189" s="991"/>
      <c r="K189" s="991"/>
      <c r="L189" s="991"/>
      <c r="M189" s="991"/>
      <c r="N189" s="991"/>
      <c r="O189" s="991"/>
      <c r="P189" s="991"/>
      <c r="Q189" s="991"/>
      <c r="R189" s="991"/>
      <c r="S189" s="991"/>
      <c r="T189" s="991"/>
      <c r="U189" s="991"/>
      <c r="V189" s="991"/>
      <c r="W189" s="991"/>
      <c r="X189" s="991"/>
      <c r="Y189" s="921"/>
      <c r="Z189" s="3735"/>
    </row>
    <row r="190" spans="1:26" s="918" customFormat="1" ht="31.5" x14ac:dyDescent="0.25">
      <c r="A190" s="921"/>
      <c r="B190" s="991"/>
      <c r="C190" s="5539"/>
      <c r="D190" s="6525"/>
      <c r="E190" s="6526"/>
      <c r="F190" s="2050" t="s">
        <v>2437</v>
      </c>
      <c r="G190" s="3922">
        <v>2015</v>
      </c>
      <c r="H190" s="3923">
        <v>2017</v>
      </c>
      <c r="I190" s="5904"/>
      <c r="J190" s="991"/>
      <c r="K190" s="991"/>
      <c r="L190" s="991"/>
      <c r="M190" s="991"/>
      <c r="N190" s="991"/>
      <c r="O190" s="991"/>
      <c r="P190" s="991"/>
      <c r="Q190" s="991"/>
      <c r="R190" s="991"/>
      <c r="S190" s="991"/>
      <c r="T190" s="991"/>
      <c r="U190" s="991"/>
      <c r="V190" s="991"/>
      <c r="W190" s="991"/>
      <c r="X190" s="991"/>
      <c r="Y190" s="921"/>
      <c r="Z190" s="3735"/>
    </row>
    <row r="191" spans="1:26" s="918" customFormat="1" ht="15.75" x14ac:dyDescent="0.25">
      <c r="A191" s="921"/>
      <c r="B191" s="991"/>
      <c r="C191" s="5539"/>
      <c r="D191" s="6442" t="s">
        <v>211</v>
      </c>
      <c r="E191" s="6443"/>
      <c r="F191" s="3029" t="s">
        <v>2421</v>
      </c>
      <c r="G191" s="3113" t="s">
        <v>18</v>
      </c>
      <c r="H191" s="3058">
        <v>1</v>
      </c>
      <c r="I191" s="5904"/>
      <c r="J191" s="991"/>
      <c r="K191" s="991"/>
      <c r="L191" s="991"/>
      <c r="M191" s="991"/>
      <c r="N191" s="991"/>
      <c r="O191" s="991"/>
      <c r="P191" s="991"/>
      <c r="Q191" s="991"/>
      <c r="R191" s="991"/>
      <c r="S191" s="991"/>
      <c r="T191" s="991"/>
      <c r="U191" s="991"/>
      <c r="V191" s="991"/>
      <c r="W191" s="991"/>
      <c r="X191" s="991"/>
      <c r="Y191" s="921"/>
      <c r="Z191" s="3735"/>
    </row>
    <row r="192" spans="1:26" s="918" customFormat="1" ht="15.75" x14ac:dyDescent="0.25">
      <c r="A192" s="921"/>
      <c r="B192" s="991"/>
      <c r="C192" s="5539"/>
      <c r="D192" s="6421"/>
      <c r="E192" s="6422"/>
      <c r="F192" s="3031" t="s">
        <v>2766</v>
      </c>
      <c r="G192" s="3111" t="s">
        <v>1291</v>
      </c>
      <c r="H192" s="3081">
        <f>H191*$H$186</f>
        <v>11</v>
      </c>
      <c r="I192" s="5904"/>
      <c r="J192" s="991"/>
      <c r="K192" s="991"/>
      <c r="L192" s="991"/>
      <c r="M192" s="991"/>
      <c r="N192" s="991"/>
      <c r="O192" s="991"/>
      <c r="P192" s="991"/>
      <c r="Q192" s="991"/>
      <c r="R192" s="991"/>
      <c r="S192" s="991"/>
      <c r="T192" s="991"/>
      <c r="U192" s="991"/>
      <c r="V192" s="991"/>
      <c r="W192" s="991"/>
      <c r="X192" s="991"/>
      <c r="Y192" s="921"/>
      <c r="Z192" s="3735"/>
    </row>
    <row r="193" spans="1:26" s="918" customFormat="1" ht="34.5" customHeight="1" x14ac:dyDescent="0.25">
      <c r="A193" s="921"/>
      <c r="B193" s="991"/>
      <c r="C193" s="5539"/>
      <c r="D193" s="6421"/>
      <c r="E193" s="6422"/>
      <c r="F193" s="2975" t="s">
        <v>2443</v>
      </c>
      <c r="G193" s="3112" t="s">
        <v>3546</v>
      </c>
      <c r="H193" s="3003">
        <v>100000</v>
      </c>
      <c r="I193" s="5904"/>
      <c r="J193" s="991"/>
      <c r="K193" s="991"/>
      <c r="L193" s="991"/>
      <c r="M193" s="991"/>
      <c r="N193" s="991"/>
      <c r="O193" s="991"/>
      <c r="P193" s="991"/>
      <c r="Q193" s="991"/>
      <c r="R193" s="991"/>
      <c r="S193" s="991"/>
      <c r="T193" s="991"/>
      <c r="U193" s="991"/>
      <c r="V193" s="991"/>
      <c r="W193" s="991"/>
      <c r="X193" s="991"/>
      <c r="Y193" s="921"/>
      <c r="Z193" s="3735"/>
    </row>
    <row r="194" spans="1:26" s="918" customFormat="1" ht="31.5" x14ac:dyDescent="0.25">
      <c r="A194" s="921"/>
      <c r="B194" s="991"/>
      <c r="C194" s="5539"/>
      <c r="D194" s="6541"/>
      <c r="E194" s="6542"/>
      <c r="F194" s="2050" t="s">
        <v>2438</v>
      </c>
      <c r="G194" s="3922"/>
      <c r="H194" s="3923"/>
      <c r="I194" s="5904"/>
      <c r="J194" s="991"/>
      <c r="K194" s="991"/>
      <c r="L194" s="991"/>
      <c r="M194" s="991"/>
      <c r="N194" s="991"/>
      <c r="O194" s="991"/>
      <c r="P194" s="991"/>
      <c r="Q194" s="991"/>
      <c r="R194" s="991"/>
      <c r="S194" s="991"/>
      <c r="T194" s="991"/>
      <c r="U194" s="991"/>
      <c r="V194" s="991"/>
      <c r="W194" s="991"/>
      <c r="X194" s="991"/>
      <c r="Y194" s="921"/>
      <c r="Z194" s="3735"/>
    </row>
    <row r="195" spans="1:26" s="918" customFormat="1" ht="15.75" x14ac:dyDescent="0.25">
      <c r="A195" s="921"/>
      <c r="B195" s="991"/>
      <c r="C195" s="5539"/>
      <c r="D195" s="6442" t="s">
        <v>211</v>
      </c>
      <c r="E195" s="6443"/>
      <c r="F195" s="3029" t="s">
        <v>2421</v>
      </c>
      <c r="G195" s="3113" t="s">
        <v>18</v>
      </c>
      <c r="H195" s="3058"/>
      <c r="I195" s="5904"/>
      <c r="J195" s="991"/>
      <c r="K195" s="991"/>
      <c r="L195" s="991"/>
      <c r="M195" s="991"/>
      <c r="N195" s="991"/>
      <c r="O195" s="991"/>
      <c r="P195" s="991"/>
      <c r="Q195" s="991"/>
      <c r="R195" s="991"/>
      <c r="S195" s="991"/>
      <c r="T195" s="991"/>
      <c r="U195" s="991"/>
      <c r="V195" s="991"/>
      <c r="W195" s="991"/>
      <c r="X195" s="991"/>
      <c r="Y195" s="921"/>
      <c r="Z195" s="3735"/>
    </row>
    <row r="196" spans="1:26" s="918" customFormat="1" ht="15.75" x14ac:dyDescent="0.25">
      <c r="A196" s="921"/>
      <c r="B196" s="991"/>
      <c r="C196" s="5539"/>
      <c r="D196" s="6421"/>
      <c r="E196" s="6422"/>
      <c r="F196" s="3031" t="s">
        <v>2766</v>
      </c>
      <c r="G196" s="3111" t="s">
        <v>1291</v>
      </c>
      <c r="H196" s="3081">
        <f>H195*$H$186</f>
        <v>0</v>
      </c>
      <c r="I196" s="5904"/>
      <c r="J196" s="991"/>
      <c r="K196" s="991"/>
      <c r="L196" s="991"/>
      <c r="M196" s="991"/>
      <c r="N196" s="991"/>
      <c r="O196" s="991"/>
      <c r="P196" s="991"/>
      <c r="Q196" s="991"/>
      <c r="R196" s="991"/>
      <c r="S196" s="991"/>
      <c r="T196" s="991"/>
      <c r="U196" s="991"/>
      <c r="V196" s="991"/>
      <c r="W196" s="991"/>
      <c r="X196" s="991"/>
      <c r="Y196" s="921"/>
      <c r="Z196" s="3735"/>
    </row>
    <row r="197" spans="1:26" s="918" customFormat="1" ht="30" x14ac:dyDescent="0.25">
      <c r="A197" s="921"/>
      <c r="B197" s="991"/>
      <c r="C197" s="5539"/>
      <c r="D197" s="6421"/>
      <c r="E197" s="6422"/>
      <c r="F197" s="2975" t="s">
        <v>2444</v>
      </c>
      <c r="G197" s="3112" t="s">
        <v>3546</v>
      </c>
      <c r="H197" s="5481"/>
      <c r="I197" s="5904"/>
      <c r="J197" s="991"/>
      <c r="K197" s="991"/>
      <c r="L197" s="991"/>
      <c r="M197" s="991"/>
      <c r="N197" s="991"/>
      <c r="O197" s="991"/>
      <c r="P197" s="991"/>
      <c r="Q197" s="991"/>
      <c r="R197" s="991"/>
      <c r="S197" s="991"/>
      <c r="T197" s="991"/>
      <c r="U197" s="991"/>
      <c r="V197" s="991"/>
      <c r="W197" s="991"/>
      <c r="X197" s="991"/>
      <c r="Y197" s="921"/>
      <c r="Z197" s="3735"/>
    </row>
    <row r="198" spans="1:26" s="918" customFormat="1" ht="31.5" x14ac:dyDescent="0.25">
      <c r="A198" s="921"/>
      <c r="B198" s="991"/>
      <c r="C198" s="5539"/>
      <c r="D198" s="6525"/>
      <c r="E198" s="6526"/>
      <c r="F198" s="2050" t="s">
        <v>2439</v>
      </c>
      <c r="G198" s="3922"/>
      <c r="H198" s="3923"/>
      <c r="I198" s="5904"/>
      <c r="J198" s="991"/>
      <c r="K198" s="991"/>
      <c r="L198" s="991"/>
      <c r="M198" s="991"/>
      <c r="N198" s="991"/>
      <c r="O198" s="991"/>
      <c r="P198" s="991"/>
      <c r="Q198" s="991"/>
      <c r="R198" s="991"/>
      <c r="S198" s="991"/>
      <c r="T198" s="991"/>
      <c r="U198" s="991"/>
      <c r="V198" s="991"/>
      <c r="W198" s="991"/>
      <c r="X198" s="991"/>
      <c r="Y198" s="921"/>
      <c r="Z198" s="3735"/>
    </row>
    <row r="199" spans="1:26" s="918" customFormat="1" ht="15.75" x14ac:dyDescent="0.25">
      <c r="A199" s="921"/>
      <c r="B199" s="991"/>
      <c r="C199" s="5539"/>
      <c r="D199" s="6442" t="s">
        <v>211</v>
      </c>
      <c r="E199" s="6443"/>
      <c r="F199" s="3029" t="s">
        <v>2421</v>
      </c>
      <c r="G199" s="3113" t="s">
        <v>18</v>
      </c>
      <c r="H199" s="3115">
        <f>1-(H191+H195)</f>
        <v>0</v>
      </c>
      <c r="I199" s="5904"/>
      <c r="J199" s="991"/>
      <c r="K199" s="991"/>
      <c r="L199" s="991"/>
      <c r="M199" s="991"/>
      <c r="N199" s="991"/>
      <c r="O199" s="991"/>
      <c r="P199" s="991"/>
      <c r="Q199" s="991"/>
      <c r="R199" s="991"/>
      <c r="S199" s="991"/>
      <c r="T199" s="991"/>
      <c r="U199" s="991"/>
      <c r="V199" s="991"/>
      <c r="W199" s="991"/>
      <c r="X199" s="991"/>
      <c r="Y199" s="921"/>
      <c r="Z199" s="3735"/>
    </row>
    <row r="200" spans="1:26" s="918" customFormat="1" ht="15.75" x14ac:dyDescent="0.25">
      <c r="A200" s="921"/>
      <c r="B200" s="991"/>
      <c r="C200" s="5539"/>
      <c r="D200" s="6421"/>
      <c r="E200" s="6422"/>
      <c r="F200" s="3031" t="s">
        <v>2766</v>
      </c>
      <c r="G200" s="3111" t="s">
        <v>1291</v>
      </c>
      <c r="H200" s="3081">
        <f>H199*$H$186</f>
        <v>0</v>
      </c>
      <c r="I200" s="5904"/>
      <c r="J200" s="991"/>
      <c r="K200" s="991"/>
      <c r="L200" s="991"/>
      <c r="M200" s="991"/>
      <c r="N200" s="991"/>
      <c r="O200" s="991"/>
      <c r="P200" s="991"/>
      <c r="Q200" s="991"/>
      <c r="R200" s="991"/>
      <c r="S200" s="991"/>
      <c r="T200" s="991"/>
      <c r="U200" s="991"/>
      <c r="V200" s="991"/>
      <c r="W200" s="991"/>
      <c r="X200" s="991"/>
      <c r="Y200" s="921"/>
      <c r="Z200" s="3735"/>
    </row>
    <row r="201" spans="1:26" ht="34.5" customHeight="1" x14ac:dyDescent="0.25">
      <c r="B201" s="2"/>
      <c r="C201" s="5539"/>
      <c r="D201" s="6432"/>
      <c r="E201" s="6433"/>
      <c r="F201" s="2975" t="s">
        <v>2445</v>
      </c>
      <c r="G201" s="3112" t="s">
        <v>3546</v>
      </c>
      <c r="H201" s="3004"/>
      <c r="I201" s="5904"/>
      <c r="J201" s="1110"/>
      <c r="K201" s="2"/>
      <c r="L201" s="2"/>
      <c r="M201" s="2"/>
      <c r="N201" s="2"/>
      <c r="O201" s="2"/>
      <c r="P201" s="2"/>
      <c r="Q201" s="2"/>
      <c r="R201" s="2"/>
      <c r="S201" s="2"/>
      <c r="T201" s="2"/>
      <c r="U201" s="2"/>
      <c r="V201" s="2"/>
      <c r="W201" s="2"/>
      <c r="X201" s="2"/>
    </row>
    <row r="202" spans="1:26" ht="15.75" x14ac:dyDescent="0.25">
      <c r="B202" s="2"/>
      <c r="C202" s="5539"/>
      <c r="D202" s="415"/>
      <c r="E202" s="388"/>
      <c r="F202" s="388"/>
      <c r="G202" s="415"/>
      <c r="H202" s="388"/>
      <c r="I202" s="390"/>
      <c r="J202" s="2"/>
      <c r="K202" s="2"/>
      <c r="L202" s="2"/>
      <c r="M202" s="2"/>
      <c r="N202" s="2"/>
      <c r="O202" s="2"/>
      <c r="P202" s="2"/>
      <c r="Q202" s="2"/>
      <c r="R202" s="2"/>
      <c r="S202" s="2"/>
      <c r="T202" s="2"/>
      <c r="U202" s="2"/>
      <c r="V202" s="2"/>
      <c r="W202" s="2"/>
      <c r="X202" s="2"/>
    </row>
    <row r="203" spans="1:26" x14ac:dyDescent="0.25">
      <c r="B203" s="2"/>
      <c r="C203" s="5536"/>
      <c r="D203" s="413"/>
      <c r="E203" s="991"/>
      <c r="F203" s="991"/>
      <c r="G203" s="413"/>
      <c r="H203" s="991"/>
      <c r="I203" s="412"/>
      <c r="J203" s="2"/>
      <c r="K203" s="2"/>
      <c r="L203" s="2"/>
      <c r="M203" s="2"/>
      <c r="N203" s="2"/>
      <c r="O203" s="2"/>
      <c r="P203" s="2"/>
      <c r="Q203" s="2"/>
      <c r="R203" s="2"/>
      <c r="S203" s="2"/>
      <c r="T203" s="2"/>
      <c r="U203" s="2"/>
      <c r="V203" s="2"/>
      <c r="W203" s="2"/>
      <c r="X203" s="2"/>
    </row>
    <row r="204" spans="1:26" x14ac:dyDescent="0.25">
      <c r="B204" s="2"/>
      <c r="C204" s="5536"/>
      <c r="D204" s="413"/>
      <c r="E204" s="991"/>
      <c r="F204" s="991"/>
      <c r="G204" s="991"/>
      <c r="H204" s="991"/>
      <c r="I204" s="991"/>
      <c r="J204" s="2"/>
      <c r="K204" s="2"/>
      <c r="L204" s="2"/>
      <c r="M204" s="2"/>
      <c r="N204" s="2"/>
      <c r="O204" s="2"/>
      <c r="P204" s="2"/>
      <c r="Q204" s="2"/>
      <c r="R204" s="2"/>
      <c r="S204" s="2"/>
      <c r="T204" s="2"/>
      <c r="U204" s="2"/>
      <c r="V204" s="2"/>
      <c r="W204" s="2"/>
      <c r="X204" s="2"/>
    </row>
    <row r="205" spans="1:26" s="480" customFormat="1" ht="31.5" customHeight="1" x14ac:dyDescent="0.25">
      <c r="B205" s="1382"/>
      <c r="C205" s="1383"/>
      <c r="D205" s="1384" t="s">
        <v>14</v>
      </c>
      <c r="E205" s="1384" t="s">
        <v>568</v>
      </c>
      <c r="F205" s="1384"/>
      <c r="G205" s="1384"/>
      <c r="H205" s="1384"/>
      <c r="I205" s="1384"/>
      <c r="J205" s="1384"/>
      <c r="K205" s="1384"/>
      <c r="L205" s="1384"/>
      <c r="M205" s="1384"/>
      <c r="N205" s="1384"/>
      <c r="O205" s="1384"/>
      <c r="P205" s="1384"/>
      <c r="Q205" s="1384"/>
      <c r="R205" s="1384"/>
      <c r="S205" s="1384"/>
      <c r="T205" s="1384"/>
      <c r="U205" s="1385"/>
      <c r="V205" s="1385"/>
      <c r="W205" s="1385"/>
      <c r="X205" s="1386"/>
      <c r="Z205" s="3738"/>
    </row>
    <row r="206" spans="1:26" x14ac:dyDescent="0.25">
      <c r="B206" s="2"/>
      <c r="C206" s="5536"/>
      <c r="D206" s="413"/>
      <c r="E206" s="991"/>
      <c r="F206" s="991"/>
      <c r="G206" s="991"/>
      <c r="H206" s="991"/>
      <c r="I206" s="991"/>
      <c r="J206" s="2"/>
      <c r="K206" s="2"/>
      <c r="L206" s="2"/>
      <c r="M206" s="2"/>
      <c r="N206" s="2"/>
      <c r="O206" s="2"/>
      <c r="P206" s="2"/>
      <c r="Q206" s="2"/>
      <c r="R206" s="2"/>
      <c r="S206" s="2"/>
      <c r="T206" s="2"/>
      <c r="U206" s="2"/>
      <c r="V206" s="2"/>
      <c r="W206" s="2"/>
      <c r="X206" s="2"/>
    </row>
    <row r="207" spans="1:26" ht="21.75" thickBot="1" x14ac:dyDescent="0.3">
      <c r="B207" s="2"/>
      <c r="C207" s="5537"/>
      <c r="D207" s="399"/>
      <c r="E207" s="399">
        <v>1</v>
      </c>
      <c r="F207" s="6431" t="s">
        <v>1984</v>
      </c>
      <c r="G207" s="6431"/>
      <c r="H207" s="6431"/>
      <c r="I207" s="390"/>
      <c r="J207" s="2"/>
      <c r="K207" s="2"/>
      <c r="L207" s="2"/>
      <c r="M207" s="2"/>
      <c r="N207" s="2"/>
      <c r="O207" s="2"/>
      <c r="P207" s="2"/>
      <c r="Q207" s="2"/>
      <c r="R207" s="2"/>
      <c r="S207" s="2"/>
      <c r="T207" s="2"/>
      <c r="U207" s="2"/>
      <c r="V207" s="2"/>
      <c r="W207" s="2"/>
      <c r="X207" s="2"/>
    </row>
    <row r="208" spans="1:26" ht="18.75" thickBot="1" x14ac:dyDescent="0.3">
      <c r="B208" s="2"/>
      <c r="C208" s="5538" t="s">
        <v>3133</v>
      </c>
      <c r="D208" s="3422" t="s">
        <v>786</v>
      </c>
      <c r="E208" s="2976" t="s">
        <v>78</v>
      </c>
      <c r="F208" s="6444" t="s">
        <v>1540</v>
      </c>
      <c r="G208" s="6445"/>
      <c r="H208" s="6446"/>
      <c r="I208" s="390"/>
      <c r="J208" s="2"/>
      <c r="K208" s="2"/>
      <c r="L208" s="2"/>
      <c r="M208" s="2"/>
      <c r="N208" s="2"/>
      <c r="O208" s="2"/>
      <c r="P208" s="2"/>
      <c r="Q208" s="2"/>
      <c r="R208" s="2"/>
      <c r="S208" s="2"/>
      <c r="T208" s="2"/>
      <c r="U208" s="2"/>
      <c r="V208" s="2"/>
      <c r="W208" s="2"/>
      <c r="X208" s="2"/>
      <c r="Z208" s="3735" t="b">
        <f>'Perf assessment'!U149</f>
        <v>1</v>
      </c>
    </row>
    <row r="209" spans="1:26" ht="18.75" thickBot="1" x14ac:dyDescent="0.3">
      <c r="B209" s="2"/>
      <c r="C209" s="5538" t="s">
        <v>3134</v>
      </c>
      <c r="D209" s="3422" t="s">
        <v>786</v>
      </c>
      <c r="E209" s="2976" t="s">
        <v>78</v>
      </c>
      <c r="F209" s="6444" t="s">
        <v>1742</v>
      </c>
      <c r="G209" s="6445"/>
      <c r="H209" s="6446"/>
      <c r="I209" s="390"/>
      <c r="J209" s="2"/>
      <c r="K209" s="2"/>
      <c r="L209" s="2"/>
      <c r="M209" s="2"/>
      <c r="N209" s="2"/>
      <c r="O209" s="2"/>
      <c r="P209" s="2"/>
      <c r="Q209" s="2"/>
      <c r="R209" s="2"/>
      <c r="S209" s="2"/>
      <c r="T209" s="2"/>
      <c r="U209" s="2"/>
      <c r="V209" s="2"/>
      <c r="W209" s="2"/>
      <c r="X209" s="2"/>
      <c r="Z209" s="3735" t="b">
        <f>'Perf assessment'!U150</f>
        <v>1</v>
      </c>
    </row>
    <row r="210" spans="1:26" x14ac:dyDescent="0.25">
      <c r="B210" s="2"/>
      <c r="C210" s="5537"/>
      <c r="D210" s="415"/>
      <c r="E210" s="388"/>
      <c r="F210" s="388"/>
      <c r="G210" s="388"/>
      <c r="H210" s="388"/>
      <c r="I210" s="388"/>
      <c r="J210" s="2"/>
      <c r="K210" s="2"/>
      <c r="L210" s="2"/>
      <c r="M210" s="2"/>
      <c r="N210" s="2"/>
      <c r="O210" s="2"/>
      <c r="P210" s="2"/>
      <c r="Q210" s="2"/>
      <c r="R210" s="2"/>
      <c r="S210" s="2"/>
      <c r="T210" s="2"/>
      <c r="U210" s="2"/>
      <c r="V210" s="2"/>
      <c r="W210" s="2"/>
      <c r="X210" s="2"/>
    </row>
    <row r="211" spans="1:26" x14ac:dyDescent="0.25">
      <c r="B211" s="2"/>
      <c r="C211" s="5536"/>
      <c r="D211" s="413"/>
      <c r="E211" s="991"/>
      <c r="F211" s="991"/>
      <c r="G211" s="991"/>
      <c r="H211" s="991"/>
      <c r="I211" s="991"/>
      <c r="J211" s="2"/>
      <c r="K211" s="2"/>
      <c r="L211" s="2"/>
      <c r="M211" s="2"/>
      <c r="N211" s="2"/>
      <c r="O211" s="2"/>
      <c r="P211" s="2"/>
      <c r="Q211" s="2"/>
      <c r="R211" s="2"/>
      <c r="S211" s="2"/>
      <c r="T211" s="2"/>
      <c r="U211" s="2"/>
      <c r="V211" s="2"/>
      <c r="W211" s="2"/>
      <c r="X211" s="2"/>
    </row>
    <row r="212" spans="1:26" ht="21.75" thickBot="1" x14ac:dyDescent="0.3">
      <c r="B212" s="2"/>
      <c r="C212" s="5539"/>
      <c r="D212" s="399"/>
      <c r="E212" s="399">
        <v>2</v>
      </c>
      <c r="F212" s="6431" t="s">
        <v>1044</v>
      </c>
      <c r="G212" s="6431"/>
      <c r="H212" s="6431"/>
      <c r="I212" s="390"/>
      <c r="J212" s="2"/>
      <c r="K212" s="2"/>
      <c r="L212" s="2"/>
      <c r="M212" s="2"/>
      <c r="N212" s="2"/>
      <c r="O212" s="2"/>
      <c r="P212" s="2"/>
      <c r="Q212" s="2"/>
      <c r="R212" s="2"/>
      <c r="S212" s="2"/>
      <c r="T212" s="2"/>
      <c r="U212" s="2"/>
      <c r="V212" s="2"/>
      <c r="W212" s="2"/>
      <c r="X212" s="2"/>
    </row>
    <row r="213" spans="1:26" ht="18.75" thickBot="1" x14ac:dyDescent="0.3">
      <c r="B213" s="991"/>
      <c r="C213" s="5538" t="s">
        <v>3135</v>
      </c>
      <c r="D213" s="3422" t="s">
        <v>786</v>
      </c>
      <c r="E213" s="2980" t="s">
        <v>78</v>
      </c>
      <c r="F213" s="2988" t="s">
        <v>1744</v>
      </c>
      <c r="G213" s="3922"/>
      <c r="H213" s="3932"/>
      <c r="I213" s="390"/>
      <c r="J213" s="2"/>
      <c r="K213" s="2"/>
      <c r="L213" s="2"/>
      <c r="M213" s="2"/>
      <c r="N213" s="2"/>
      <c r="O213" s="2"/>
      <c r="P213" s="2"/>
      <c r="Q213" s="2"/>
      <c r="R213" s="2"/>
      <c r="S213" s="2"/>
      <c r="T213" s="2"/>
      <c r="U213" s="2"/>
      <c r="V213" s="2"/>
      <c r="W213" s="2"/>
      <c r="X213" s="2"/>
      <c r="Z213" s="3735" t="b">
        <f>'Perf assessment'!U152</f>
        <v>0</v>
      </c>
    </row>
    <row r="214" spans="1:26" ht="31.5" customHeight="1" x14ac:dyDescent="0.25">
      <c r="B214" s="991"/>
      <c r="C214" s="5537"/>
      <c r="D214" s="6421" t="s">
        <v>82</v>
      </c>
      <c r="E214" s="6422"/>
      <c r="F214" s="3118" t="s">
        <v>2499</v>
      </c>
      <c r="G214" s="3119" t="s">
        <v>18</v>
      </c>
      <c r="H214" s="532">
        <f>'WSS Profile'!$E$238</f>
        <v>0</v>
      </c>
      <c r="I214" s="390"/>
      <c r="J214" s="57"/>
      <c r="K214" s="2"/>
      <c r="L214" s="2"/>
      <c r="M214" s="2"/>
      <c r="N214" s="2"/>
      <c r="O214" s="2"/>
      <c r="P214" s="2"/>
      <c r="Q214" s="2"/>
      <c r="R214" s="2"/>
      <c r="S214" s="2"/>
      <c r="T214" s="2"/>
      <c r="U214" s="2"/>
      <c r="V214" s="2"/>
      <c r="W214" s="2"/>
      <c r="X214" s="2"/>
    </row>
    <row r="215" spans="1:26" ht="30" x14ac:dyDescent="0.25">
      <c r="B215" s="991"/>
      <c r="C215" s="5537"/>
      <c r="D215" s="6453" t="s">
        <v>210</v>
      </c>
      <c r="E215" s="6454"/>
      <c r="F215" s="3120" t="s">
        <v>2500</v>
      </c>
      <c r="G215" s="3121" t="s">
        <v>18</v>
      </c>
      <c r="H215" s="3117"/>
      <c r="I215" s="390"/>
      <c r="J215" s="57"/>
      <c r="K215" s="2"/>
      <c r="L215" s="2"/>
      <c r="M215" s="2"/>
      <c r="N215" s="2"/>
      <c r="O215" s="2"/>
      <c r="P215" s="2"/>
      <c r="Q215" s="2"/>
      <c r="R215" s="2"/>
      <c r="S215" s="2"/>
      <c r="T215" s="2"/>
      <c r="U215" s="2"/>
      <c r="V215" s="2"/>
      <c r="W215" s="2"/>
      <c r="X215" s="2"/>
    </row>
    <row r="216" spans="1:26" ht="16.5" customHeight="1" thickBot="1" x14ac:dyDescent="0.3">
      <c r="B216" s="991"/>
      <c r="C216" s="5537"/>
      <c r="D216" s="6440" t="s">
        <v>211</v>
      </c>
      <c r="E216" s="6441"/>
      <c r="F216" s="3033" t="s">
        <v>2224</v>
      </c>
      <c r="G216" s="3112" t="s">
        <v>1993</v>
      </c>
      <c r="H216" s="3116"/>
      <c r="I216" s="390"/>
      <c r="J216" s="2"/>
      <c r="K216" s="2"/>
      <c r="L216" s="2"/>
      <c r="M216" s="2"/>
      <c r="N216" s="2"/>
      <c r="O216" s="2"/>
      <c r="P216" s="2"/>
      <c r="Q216" s="2"/>
      <c r="R216" s="2"/>
      <c r="S216" s="2"/>
      <c r="T216" s="2"/>
      <c r="U216" s="2"/>
      <c r="V216" s="2"/>
      <c r="W216" s="2"/>
      <c r="X216" s="2"/>
    </row>
    <row r="217" spans="1:26" ht="18.75" thickBot="1" x14ac:dyDescent="0.3">
      <c r="B217" s="991"/>
      <c r="C217" s="5538" t="s">
        <v>3136</v>
      </c>
      <c r="D217" s="3422" t="s">
        <v>786</v>
      </c>
      <c r="E217" s="2980" t="s">
        <v>78</v>
      </c>
      <c r="F217" s="2989" t="s">
        <v>1743</v>
      </c>
      <c r="G217" s="3922"/>
      <c r="H217" s="3932"/>
      <c r="I217" s="390"/>
      <c r="J217" s="2"/>
      <c r="K217" s="2"/>
      <c r="L217" s="2"/>
      <c r="M217" s="2"/>
      <c r="N217" s="2"/>
      <c r="O217" s="2"/>
      <c r="P217" s="2"/>
      <c r="Q217" s="2"/>
      <c r="R217" s="2"/>
      <c r="S217" s="2"/>
      <c r="T217" s="2"/>
      <c r="U217" s="2"/>
      <c r="V217" s="2"/>
      <c r="W217" s="2"/>
      <c r="X217" s="2"/>
      <c r="Z217" s="3735">
        <f>'Perf assessment'!U153</f>
        <v>0</v>
      </c>
    </row>
    <row r="218" spans="1:26" ht="15.75" x14ac:dyDescent="0.25">
      <c r="B218" s="991"/>
      <c r="C218" s="5537"/>
      <c r="D218" s="6521" t="s">
        <v>82</v>
      </c>
      <c r="E218" s="6560"/>
      <c r="F218" s="3066" t="s">
        <v>2385</v>
      </c>
      <c r="G218" s="6556">
        <f>IFERROR('WSS Profile'!$G$228/'WSS Profile'!$G$37,0)</f>
        <v>0</v>
      </c>
      <c r="H218" s="6557"/>
      <c r="I218" s="390"/>
      <c r="J218" s="2"/>
      <c r="K218" s="398"/>
      <c r="L218" s="398"/>
      <c r="M218" s="2"/>
      <c r="N218" s="2"/>
      <c r="O218" s="2"/>
      <c r="P218" s="2"/>
      <c r="Q218" s="2"/>
      <c r="R218" s="2"/>
      <c r="S218" s="2"/>
      <c r="T218" s="2"/>
      <c r="U218" s="2"/>
      <c r="V218" s="2"/>
      <c r="W218" s="2"/>
      <c r="X218" s="2"/>
    </row>
    <row r="219" spans="1:26" s="918" customFormat="1" ht="15.75" customHeight="1" x14ac:dyDescent="0.25">
      <c r="A219" s="921"/>
      <c r="B219" s="991"/>
      <c r="C219" s="5537"/>
      <c r="D219" s="6511"/>
      <c r="E219" s="6512"/>
      <c r="F219" s="6604" t="s">
        <v>2386</v>
      </c>
      <c r="G219" s="5330" t="s">
        <v>1732</v>
      </c>
      <c r="H219" s="5331" t="s">
        <v>1733</v>
      </c>
      <c r="I219" s="390"/>
      <c r="J219" s="991"/>
      <c r="K219" s="398"/>
      <c r="L219" s="398"/>
      <c r="M219" s="991"/>
      <c r="N219" s="991"/>
      <c r="O219" s="991"/>
      <c r="P219" s="991"/>
      <c r="Q219" s="991"/>
      <c r="R219" s="991"/>
      <c r="S219" s="991"/>
      <c r="T219" s="991"/>
      <c r="U219" s="991"/>
      <c r="V219" s="991"/>
      <c r="W219" s="991"/>
      <c r="X219" s="991"/>
      <c r="Y219" s="921"/>
      <c r="Z219" s="3739"/>
    </row>
    <row r="220" spans="1:26" ht="15.75" x14ac:dyDescent="0.25">
      <c r="B220" s="2"/>
      <c r="C220" s="5537"/>
      <c r="D220" s="6461"/>
      <c r="E220" s="6462"/>
      <c r="F220" s="6605"/>
      <c r="G220" s="3122" t="str">
        <f>CONCATENATE(IF('WSS Profile'!$F$234="",0,'WSS Profile'!$F$234)," / ",Population!E29)</f>
        <v>0 / 0</v>
      </c>
      <c r="H220" s="3123" t="str">
        <f>CONCATENATE(IF('WSS Profile'!$F$235="",0,'WSS Profile'!$F$235)," / ",Population!E30)</f>
        <v>0 / 0</v>
      </c>
      <c r="I220" s="390"/>
      <c r="J220" s="2"/>
      <c r="K220" s="398"/>
      <c r="L220" s="380"/>
      <c r="M220" s="380"/>
      <c r="N220" s="380"/>
      <c r="O220" s="2"/>
      <c r="P220" s="2"/>
      <c r="Q220" s="2"/>
      <c r="R220" s="2"/>
      <c r="S220" s="2"/>
      <c r="T220" s="2"/>
      <c r="U220" s="2"/>
      <c r="V220" s="2"/>
      <c r="W220" s="2"/>
      <c r="X220" s="2"/>
    </row>
    <row r="221" spans="1:26" s="918" customFormat="1" ht="15.75" x14ac:dyDescent="0.25">
      <c r="A221" s="921"/>
      <c r="B221" s="991"/>
      <c r="C221" s="5537"/>
      <c r="D221" s="6558" t="s">
        <v>210</v>
      </c>
      <c r="E221" s="6559"/>
      <c r="F221" s="5336" t="s">
        <v>3032</v>
      </c>
      <c r="G221" s="3122"/>
      <c r="H221" s="3123"/>
      <c r="I221" s="390"/>
      <c r="J221" s="991"/>
      <c r="K221" s="398"/>
      <c r="L221" s="380"/>
      <c r="M221" s="380"/>
      <c r="N221" s="380"/>
      <c r="O221" s="991"/>
      <c r="P221" s="991"/>
      <c r="Q221" s="991"/>
      <c r="R221" s="991"/>
      <c r="S221" s="991"/>
      <c r="T221" s="991"/>
      <c r="U221" s="991"/>
      <c r="V221" s="991"/>
      <c r="W221" s="991"/>
      <c r="X221" s="991"/>
      <c r="Y221" s="921"/>
      <c r="Z221" s="3739"/>
    </row>
    <row r="222" spans="1:26" s="918" customFormat="1" ht="45" x14ac:dyDescent="0.25">
      <c r="A222" s="921"/>
      <c r="B222" s="991"/>
      <c r="C222" s="5537"/>
      <c r="D222" s="6558"/>
      <c r="E222" s="6559"/>
      <c r="F222" s="3007" t="s">
        <v>3002</v>
      </c>
      <c r="G222" s="3124">
        <f>ROUND((G51*G47)+(G133*G130)+(G154*G157),0)</f>
        <v>0</v>
      </c>
      <c r="H222" s="3125">
        <f>ROUND((H51*H47)+(H133*H130)+(H154*H157),0)</f>
        <v>0</v>
      </c>
      <c r="I222" s="390"/>
      <c r="J222" s="991"/>
      <c r="K222" s="398"/>
      <c r="L222" s="380"/>
      <c r="M222" s="380"/>
      <c r="N222" s="380"/>
      <c r="O222" s="991"/>
      <c r="P222" s="991"/>
      <c r="Q222" s="991"/>
      <c r="R222" s="991"/>
      <c r="S222" s="991"/>
      <c r="T222" s="991"/>
      <c r="U222" s="991"/>
      <c r="V222" s="991"/>
      <c r="W222" s="991"/>
      <c r="X222" s="991"/>
      <c r="Y222" s="921"/>
      <c r="Z222" s="3739"/>
    </row>
    <row r="223" spans="1:26" s="918" customFormat="1" ht="30" x14ac:dyDescent="0.25">
      <c r="A223" s="921"/>
      <c r="B223" s="991"/>
      <c r="C223" s="5539"/>
      <c r="D223" s="6558"/>
      <c r="E223" s="6559"/>
      <c r="F223" s="3007" t="s">
        <v>2493</v>
      </c>
      <c r="G223" s="3126"/>
      <c r="H223" s="3127"/>
      <c r="I223" s="390"/>
      <c r="J223" s="991"/>
      <c r="K223" s="991"/>
      <c r="L223" s="991"/>
      <c r="M223" s="991"/>
      <c r="N223" s="991"/>
      <c r="O223" s="991"/>
      <c r="P223" s="991"/>
      <c r="Q223" s="991"/>
      <c r="R223" s="991"/>
      <c r="S223" s="991"/>
      <c r="T223" s="991"/>
      <c r="U223" s="991"/>
      <c r="V223" s="991"/>
      <c r="W223" s="991"/>
      <c r="X223" s="991"/>
      <c r="Y223" s="921"/>
      <c r="Z223" s="3735"/>
    </row>
    <row r="224" spans="1:26" ht="16.5" thickBot="1" x14ac:dyDescent="0.3">
      <c r="B224" s="2"/>
      <c r="C224" s="5537"/>
      <c r="D224" s="6558"/>
      <c r="E224" s="6559"/>
      <c r="F224" s="3209" t="s">
        <v>2495</v>
      </c>
      <c r="G224" s="3128"/>
      <c r="H224" s="3129"/>
      <c r="I224" s="390"/>
      <c r="J224" s="2"/>
      <c r="K224" s="2"/>
      <c r="L224" s="2"/>
      <c r="M224" s="2"/>
      <c r="N224" s="2"/>
      <c r="O224" s="2"/>
      <c r="P224" s="2"/>
      <c r="Q224" s="2"/>
      <c r="R224" s="2"/>
      <c r="S224" s="2"/>
      <c r="T224" s="2"/>
      <c r="U224" s="2"/>
      <c r="V224" s="2"/>
      <c r="W224" s="2"/>
      <c r="X224" s="2"/>
    </row>
    <row r="225" spans="1:26" ht="18.75" thickBot="1" x14ac:dyDescent="0.3">
      <c r="B225" s="2"/>
      <c r="C225" s="5542" t="s">
        <v>3137</v>
      </c>
      <c r="D225" s="3422" t="s">
        <v>786</v>
      </c>
      <c r="E225" s="2976" t="s">
        <v>78</v>
      </c>
      <c r="F225" s="2984" t="s">
        <v>2768</v>
      </c>
      <c r="G225" s="3922"/>
      <c r="H225" s="3932"/>
      <c r="I225" s="390"/>
      <c r="J225" s="2"/>
      <c r="K225" s="2"/>
      <c r="L225" s="2"/>
      <c r="M225" s="2"/>
      <c r="N225" s="2"/>
      <c r="O225" s="2"/>
      <c r="P225" s="2"/>
      <c r="Q225" s="2"/>
      <c r="R225" s="2"/>
      <c r="S225" s="2"/>
      <c r="T225" s="2"/>
      <c r="U225" s="2"/>
      <c r="V225" s="2"/>
      <c r="W225" s="2"/>
      <c r="X225" s="2"/>
      <c r="Z225" s="3735">
        <f>'Perf assessment'!U154</f>
        <v>0</v>
      </c>
    </row>
    <row r="226" spans="1:26" ht="15.75" x14ac:dyDescent="0.25">
      <c r="B226" s="2"/>
      <c r="C226" s="5539"/>
      <c r="D226" s="6457" t="s">
        <v>82</v>
      </c>
      <c r="E226" s="6458"/>
      <c r="F226" s="3029" t="s">
        <v>2551</v>
      </c>
      <c r="G226" s="3130" t="s">
        <v>80</v>
      </c>
      <c r="H226" s="530">
        <f>'WSS Profile'!$G$227</f>
        <v>0</v>
      </c>
      <c r="I226" s="390"/>
      <c r="J226" s="2"/>
      <c r="K226" s="2"/>
      <c r="L226" s="2"/>
      <c r="M226" s="2"/>
      <c r="N226" s="2"/>
      <c r="O226" s="2"/>
      <c r="P226" s="2"/>
      <c r="Q226" s="2"/>
      <c r="R226" s="2"/>
      <c r="S226" s="2"/>
      <c r="T226" s="2"/>
      <c r="U226" s="2"/>
      <c r="V226" s="2"/>
      <c r="W226" s="2"/>
      <c r="X226" s="2"/>
    </row>
    <row r="227" spans="1:26" s="918" customFormat="1" ht="15.75" x14ac:dyDescent="0.25">
      <c r="A227" s="921"/>
      <c r="B227" s="991"/>
      <c r="C227" s="5539"/>
      <c r="D227" s="6421"/>
      <c r="E227" s="6422"/>
      <c r="F227" s="3031" t="s">
        <v>2552</v>
      </c>
      <c r="G227" s="3132" t="s">
        <v>18</v>
      </c>
      <c r="H227" s="3137">
        <f>'WSS Profile'!$G$230</f>
        <v>0</v>
      </c>
      <c r="I227" s="390"/>
      <c r="J227" s="991"/>
      <c r="K227" s="991"/>
      <c r="L227" s="991"/>
      <c r="M227" s="991"/>
      <c r="N227" s="991"/>
      <c r="O227" s="991"/>
      <c r="P227" s="991"/>
      <c r="Q227" s="991"/>
      <c r="R227" s="991"/>
      <c r="S227" s="991"/>
      <c r="T227" s="991"/>
      <c r="U227" s="991"/>
      <c r="V227" s="991"/>
      <c r="W227" s="991"/>
      <c r="X227" s="991"/>
      <c r="Y227" s="921"/>
      <c r="Z227" s="3739"/>
    </row>
    <row r="228" spans="1:26" ht="15.75" x14ac:dyDescent="0.25">
      <c r="B228" s="2"/>
      <c r="C228" s="5539"/>
      <c r="D228" s="6429" t="s">
        <v>210</v>
      </c>
      <c r="E228" s="6430"/>
      <c r="F228" s="3042" t="s">
        <v>2550</v>
      </c>
      <c r="G228" s="3133" t="s">
        <v>80</v>
      </c>
      <c r="H228" s="3134"/>
      <c r="I228" s="390"/>
      <c r="J228" s="2"/>
      <c r="K228" s="2"/>
      <c r="L228" s="2"/>
      <c r="M228" s="2"/>
      <c r="N228" s="2"/>
      <c r="O228" s="2"/>
      <c r="P228" s="2"/>
      <c r="Q228" s="2"/>
      <c r="R228" s="2"/>
      <c r="S228" s="2"/>
      <c r="T228" s="2"/>
      <c r="U228" s="2"/>
      <c r="V228" s="2"/>
      <c r="W228" s="2"/>
      <c r="X228" s="2"/>
    </row>
    <row r="229" spans="1:26" s="918" customFormat="1" ht="15.75" x14ac:dyDescent="0.25">
      <c r="A229" s="921"/>
      <c r="B229" s="991"/>
      <c r="C229" s="5539"/>
      <c r="D229" s="6436"/>
      <c r="E229" s="6437"/>
      <c r="F229" s="3078" t="s">
        <v>2553</v>
      </c>
      <c r="G229" s="3135" t="s">
        <v>18</v>
      </c>
      <c r="H229" s="3136"/>
      <c r="I229" s="390"/>
      <c r="J229" s="991"/>
      <c r="K229" s="991"/>
      <c r="L229" s="991"/>
      <c r="M229" s="991"/>
      <c r="N229" s="991"/>
      <c r="O229" s="991"/>
      <c r="P229" s="991"/>
      <c r="Q229" s="991"/>
      <c r="R229" s="991"/>
      <c r="S229" s="991"/>
      <c r="T229" s="991"/>
      <c r="U229" s="991"/>
      <c r="V229" s="991"/>
      <c r="W229" s="991"/>
      <c r="X229" s="991"/>
      <c r="Y229" s="921"/>
      <c r="Z229" s="3739"/>
    </row>
    <row r="230" spans="1:26" ht="16.5" thickBot="1" x14ac:dyDescent="0.3">
      <c r="B230" s="2"/>
      <c r="C230" s="5539"/>
      <c r="D230" s="6432" t="s">
        <v>211</v>
      </c>
      <c r="E230" s="6433"/>
      <c r="F230" s="2975" t="s">
        <v>2281</v>
      </c>
      <c r="G230" s="3131" t="s">
        <v>911</v>
      </c>
      <c r="H230" s="3005"/>
      <c r="I230" s="390"/>
      <c r="J230" s="2"/>
      <c r="K230" s="2"/>
      <c r="L230" s="2"/>
      <c r="M230" s="2"/>
      <c r="N230" s="2"/>
      <c r="O230" s="2"/>
      <c r="P230" s="2"/>
      <c r="Q230" s="2"/>
      <c r="R230" s="2"/>
      <c r="S230" s="2"/>
      <c r="T230" s="2"/>
      <c r="U230" s="2"/>
      <c r="V230" s="2"/>
      <c r="W230" s="2"/>
      <c r="X230" s="2"/>
    </row>
    <row r="231" spans="1:26" s="918" customFormat="1" ht="34.5" customHeight="1" thickBot="1" x14ac:dyDescent="0.3">
      <c r="A231" s="921"/>
      <c r="B231" s="991"/>
      <c r="C231" s="5538" t="s">
        <v>3138</v>
      </c>
      <c r="D231" s="3422" t="s">
        <v>786</v>
      </c>
      <c r="E231" s="2976" t="s">
        <v>79</v>
      </c>
      <c r="F231" s="2977" t="s">
        <v>2583</v>
      </c>
      <c r="G231" s="3922">
        <v>2015</v>
      </c>
      <c r="H231" s="3932">
        <v>2015</v>
      </c>
      <c r="I231" s="5905"/>
      <c r="J231" s="991"/>
      <c r="K231" s="991"/>
      <c r="L231" s="991"/>
      <c r="M231" s="991"/>
      <c r="N231" s="991"/>
      <c r="O231" s="991"/>
      <c r="P231" s="991"/>
      <c r="Q231" s="991"/>
      <c r="R231" s="991"/>
      <c r="S231" s="991"/>
      <c r="T231" s="991"/>
      <c r="U231" s="991"/>
      <c r="V231" s="991"/>
      <c r="W231" s="991"/>
      <c r="X231" s="991"/>
      <c r="Y231" s="921"/>
      <c r="Z231" s="3735">
        <f>'Perf assessment'!U155</f>
        <v>0</v>
      </c>
    </row>
    <row r="232" spans="1:26" s="918" customFormat="1" ht="15.75" x14ac:dyDescent="0.25">
      <c r="A232" s="921"/>
      <c r="B232" s="991"/>
      <c r="C232" s="5537"/>
      <c r="D232" s="6457" t="s">
        <v>82</v>
      </c>
      <c r="E232" s="6458"/>
      <c r="F232" s="2974" t="s">
        <v>3794</v>
      </c>
      <c r="G232" s="3130" t="s">
        <v>207</v>
      </c>
      <c r="H232" s="3138">
        <f>'WSS Profile'!F268</f>
        <v>1</v>
      </c>
      <c r="I232" s="5904"/>
      <c r="J232" s="944"/>
      <c r="K232" s="991"/>
      <c r="L232" s="991"/>
      <c r="M232" s="991"/>
      <c r="N232" s="991"/>
      <c r="O232" s="991"/>
      <c r="P232" s="991"/>
      <c r="Q232" s="991"/>
      <c r="R232" s="991"/>
      <c r="S232" s="991"/>
      <c r="T232" s="991"/>
      <c r="U232" s="991"/>
      <c r="V232" s="991"/>
      <c r="W232" s="991"/>
      <c r="X232" s="991"/>
      <c r="Y232" s="921"/>
      <c r="Z232" s="3739"/>
    </row>
    <row r="233" spans="1:26" s="918" customFormat="1" ht="15.75" x14ac:dyDescent="0.25">
      <c r="A233" s="921"/>
      <c r="B233" s="991"/>
      <c r="C233" s="5537"/>
      <c r="D233" s="6421"/>
      <c r="E233" s="6422"/>
      <c r="F233" s="3110" t="s">
        <v>3799</v>
      </c>
      <c r="G233" s="3141" t="s">
        <v>402</v>
      </c>
      <c r="H233" s="3139">
        <f>'WSS Profile'!F270</f>
        <v>1</v>
      </c>
      <c r="I233" s="5904"/>
      <c r="J233" s="944"/>
      <c r="K233" s="991"/>
      <c r="L233" s="991"/>
      <c r="M233" s="991"/>
      <c r="N233" s="991"/>
      <c r="O233" s="991"/>
      <c r="P233" s="991"/>
      <c r="Q233" s="991"/>
      <c r="R233" s="991"/>
      <c r="S233" s="991"/>
      <c r="T233" s="991"/>
      <c r="U233" s="991"/>
      <c r="V233" s="991"/>
      <c r="W233" s="991"/>
      <c r="X233" s="991"/>
      <c r="Y233" s="921"/>
      <c r="Z233" s="3739"/>
    </row>
    <row r="234" spans="1:26" s="918" customFormat="1" ht="15.75" x14ac:dyDescent="0.25">
      <c r="A234" s="921"/>
      <c r="B234" s="991"/>
      <c r="C234" s="5537"/>
      <c r="D234" s="6421"/>
      <c r="E234" s="6422"/>
      <c r="F234" s="3110" t="s">
        <v>2584</v>
      </c>
      <c r="G234" s="3141" t="s">
        <v>207</v>
      </c>
      <c r="H234" s="3139">
        <f>'WSS Profile'!G268</f>
        <v>0</v>
      </c>
      <c r="I234" s="5904"/>
      <c r="J234" s="944"/>
      <c r="K234" s="991"/>
      <c r="L234" s="991"/>
      <c r="M234" s="991"/>
      <c r="N234" s="991"/>
      <c r="O234" s="991"/>
      <c r="P234" s="991"/>
      <c r="Q234" s="991"/>
      <c r="R234" s="991"/>
      <c r="S234" s="991"/>
      <c r="T234" s="991"/>
      <c r="U234" s="991"/>
      <c r="V234" s="991"/>
      <c r="W234" s="991"/>
      <c r="X234" s="991"/>
      <c r="Y234" s="921"/>
      <c r="Z234" s="3739"/>
    </row>
    <row r="235" spans="1:26" s="918" customFormat="1" ht="15.75" x14ac:dyDescent="0.25">
      <c r="A235" s="921"/>
      <c r="B235" s="991"/>
      <c r="C235" s="5537"/>
      <c r="D235" s="6421"/>
      <c r="E235" s="6422"/>
      <c r="F235" s="3110" t="s">
        <v>2387</v>
      </c>
      <c r="G235" s="3111" t="s">
        <v>402</v>
      </c>
      <c r="H235" s="3140">
        <f>'WSS Profile'!G270</f>
        <v>0</v>
      </c>
      <c r="I235" s="5904"/>
      <c r="J235" s="991"/>
      <c r="K235" s="991"/>
      <c r="L235" s="991"/>
      <c r="M235" s="991"/>
      <c r="N235" s="991"/>
      <c r="O235" s="991"/>
      <c r="P235" s="991"/>
      <c r="Q235" s="991"/>
      <c r="R235" s="991"/>
      <c r="S235" s="991"/>
      <c r="T235" s="991"/>
      <c r="U235" s="991"/>
      <c r="V235" s="991"/>
      <c r="W235" s="991"/>
      <c r="X235" s="991"/>
      <c r="Y235" s="921"/>
      <c r="Z235" s="3735"/>
    </row>
    <row r="236" spans="1:26" s="918" customFormat="1" ht="15.75" x14ac:dyDescent="0.25">
      <c r="A236" s="921"/>
      <c r="B236" s="991"/>
      <c r="C236" s="5537"/>
      <c r="D236" s="6429" t="s">
        <v>210</v>
      </c>
      <c r="E236" s="6430"/>
      <c r="F236" s="3142" t="s">
        <v>3800</v>
      </c>
      <c r="G236" s="3143" t="s">
        <v>207</v>
      </c>
      <c r="H236" s="3146"/>
      <c r="I236" s="5904"/>
      <c r="J236" s="991"/>
      <c r="K236" s="991"/>
      <c r="L236" s="991"/>
      <c r="M236" s="991"/>
      <c r="N236" s="991"/>
      <c r="O236" s="991"/>
      <c r="P236" s="991"/>
      <c r="Q236" s="991"/>
      <c r="R236" s="991"/>
      <c r="S236" s="991"/>
      <c r="T236" s="991"/>
      <c r="U236" s="991"/>
      <c r="V236" s="991"/>
      <c r="W236" s="991"/>
      <c r="X236" s="991"/>
      <c r="Y236" s="921"/>
      <c r="Z236" s="3735"/>
    </row>
    <row r="237" spans="1:26" s="918" customFormat="1" ht="15.75" x14ac:dyDescent="0.25">
      <c r="A237" s="921"/>
      <c r="B237" s="991"/>
      <c r="C237" s="5537"/>
      <c r="D237" s="6421"/>
      <c r="E237" s="6422"/>
      <c r="F237" s="3110" t="s">
        <v>3808</v>
      </c>
      <c r="G237" s="3141" t="s">
        <v>2659</v>
      </c>
      <c r="H237" s="3147">
        <v>3</v>
      </c>
      <c r="I237" s="5904"/>
      <c r="J237" s="991"/>
      <c r="K237" s="991"/>
      <c r="L237" s="991"/>
      <c r="M237" s="991"/>
      <c r="N237" s="991"/>
      <c r="O237" s="991"/>
      <c r="P237" s="991"/>
      <c r="Q237" s="991"/>
      <c r="R237" s="991"/>
      <c r="S237" s="991"/>
      <c r="T237" s="991"/>
      <c r="U237" s="991"/>
      <c r="V237" s="991"/>
      <c r="W237" s="991"/>
      <c r="X237" s="991"/>
      <c r="Y237" s="921"/>
      <c r="Z237" s="3735"/>
    </row>
    <row r="238" spans="1:26" s="918" customFormat="1" ht="30" x14ac:dyDescent="0.25">
      <c r="A238" s="921"/>
      <c r="B238" s="991"/>
      <c r="C238" s="5537"/>
      <c r="D238" s="6436"/>
      <c r="E238" s="6437"/>
      <c r="F238" s="3144" t="s">
        <v>2388</v>
      </c>
      <c r="G238" s="3145" t="s">
        <v>2659</v>
      </c>
      <c r="H238" s="3148"/>
      <c r="I238" s="5904"/>
      <c r="J238" s="991"/>
      <c r="K238" s="991"/>
      <c r="L238" s="991"/>
      <c r="M238" s="991"/>
      <c r="N238" s="991"/>
      <c r="O238" s="991"/>
      <c r="P238" s="991"/>
      <c r="Q238" s="991"/>
      <c r="R238" s="991"/>
      <c r="S238" s="991"/>
      <c r="T238" s="991"/>
      <c r="U238" s="991"/>
      <c r="V238" s="991"/>
      <c r="W238" s="991"/>
      <c r="X238" s="991"/>
      <c r="Y238" s="921"/>
      <c r="Z238" s="3735"/>
    </row>
    <row r="239" spans="1:26" s="918" customFormat="1" ht="15.75" x14ac:dyDescent="0.25">
      <c r="A239" s="921"/>
      <c r="B239" s="991"/>
      <c r="C239" s="5537"/>
      <c r="D239" s="6421" t="s">
        <v>211</v>
      </c>
      <c r="E239" s="6422"/>
      <c r="F239" s="3110" t="s">
        <v>3801</v>
      </c>
      <c r="G239" s="3111" t="s">
        <v>3520</v>
      </c>
      <c r="H239" s="5774"/>
      <c r="I239" s="5904"/>
      <c r="J239" s="991"/>
      <c r="K239" s="991"/>
      <c r="L239" s="991"/>
      <c r="M239" s="991"/>
      <c r="N239" s="991"/>
      <c r="O239" s="991"/>
      <c r="P239" s="991"/>
      <c r="Q239" s="991"/>
      <c r="R239" s="991"/>
      <c r="S239" s="991"/>
      <c r="T239" s="991"/>
      <c r="U239" s="991"/>
      <c r="V239" s="991"/>
      <c r="W239" s="991"/>
      <c r="X239" s="991"/>
      <c r="Y239" s="921"/>
      <c r="Z239" s="3735"/>
    </row>
    <row r="240" spans="1:26" s="918" customFormat="1" ht="30.75" thickBot="1" x14ac:dyDescent="0.3">
      <c r="A240" s="921"/>
      <c r="B240" s="991"/>
      <c r="C240" s="5537"/>
      <c r="D240" s="6432"/>
      <c r="E240" s="6433"/>
      <c r="F240" s="3033" t="s">
        <v>3809</v>
      </c>
      <c r="G240" s="3034" t="s">
        <v>3547</v>
      </c>
      <c r="H240" s="3149">
        <v>150</v>
      </c>
      <c r="I240" s="5904"/>
      <c r="J240" s="991"/>
      <c r="K240" s="991"/>
      <c r="L240" s="991"/>
      <c r="M240" s="991"/>
      <c r="N240" s="991"/>
      <c r="O240" s="991"/>
      <c r="P240" s="991"/>
      <c r="Q240" s="991"/>
      <c r="R240" s="991"/>
      <c r="S240" s="991"/>
      <c r="T240" s="991"/>
      <c r="U240" s="991"/>
      <c r="V240" s="991"/>
      <c r="W240" s="991"/>
      <c r="X240" s="991"/>
      <c r="Y240" s="921"/>
      <c r="Z240" s="3735"/>
    </row>
    <row r="241" spans="1:26" ht="18.75" thickBot="1" x14ac:dyDescent="0.3">
      <c r="B241" s="2"/>
      <c r="C241" s="5542" t="s">
        <v>3139</v>
      </c>
      <c r="D241" s="3422" t="s">
        <v>786</v>
      </c>
      <c r="E241" s="2976" t="s">
        <v>78</v>
      </c>
      <c r="F241" s="2984" t="s">
        <v>2673</v>
      </c>
      <c r="G241" s="3922"/>
      <c r="H241" s="3932"/>
      <c r="I241" s="5904"/>
      <c r="J241" s="2"/>
      <c r="K241" s="2"/>
      <c r="L241" s="2"/>
      <c r="M241" s="2"/>
      <c r="N241" s="2"/>
      <c r="O241" s="2"/>
      <c r="P241" s="2"/>
      <c r="Q241" s="2"/>
      <c r="R241" s="2"/>
      <c r="S241" s="2"/>
      <c r="T241" s="2"/>
      <c r="U241" s="2"/>
      <c r="V241" s="2"/>
      <c r="W241" s="2"/>
      <c r="X241" s="2"/>
      <c r="Z241" s="3735">
        <f>'Perf assessment'!U156</f>
        <v>0</v>
      </c>
    </row>
    <row r="242" spans="1:26" s="918" customFormat="1" ht="15.75" x14ac:dyDescent="0.25">
      <c r="A242" s="921"/>
      <c r="B242" s="991"/>
      <c r="C242" s="5539"/>
      <c r="D242" s="6537" t="s">
        <v>82</v>
      </c>
      <c r="E242" s="6538"/>
      <c r="F242" s="5334" t="s">
        <v>2674</v>
      </c>
      <c r="G242" s="3030"/>
      <c r="H242" s="3152"/>
      <c r="I242" s="5904"/>
      <c r="J242" s="991"/>
      <c r="K242" s="991"/>
      <c r="L242" s="991"/>
      <c r="M242" s="991"/>
      <c r="N242" s="991"/>
      <c r="O242" s="991"/>
      <c r="P242" s="991"/>
      <c r="Q242" s="991"/>
      <c r="R242" s="991"/>
      <c r="S242" s="991"/>
      <c r="T242" s="991"/>
      <c r="U242" s="991"/>
      <c r="V242" s="991"/>
      <c r="W242" s="991"/>
      <c r="X242" s="991"/>
      <c r="Y242" s="921"/>
      <c r="Z242" s="3739"/>
    </row>
    <row r="243" spans="1:26" s="918" customFormat="1" ht="15.75" x14ac:dyDescent="0.25">
      <c r="A243" s="921"/>
      <c r="B243" s="991"/>
      <c r="C243" s="5539"/>
      <c r="D243" s="6539"/>
      <c r="E243" s="6540"/>
      <c r="F243" s="3031" t="s">
        <v>2676</v>
      </c>
      <c r="G243" s="3032" t="s">
        <v>1160</v>
      </c>
      <c r="H243" s="3153" t="str">
        <f>CONCATENATE(IF('WSS Profile'!$G$275="",0,'WSS Profile'!$G$274-'WSS Profile'!$G$275)," / ",'WSS Profile'!$G$274)</f>
        <v>0 / 0</v>
      </c>
      <c r="I243" s="5904"/>
      <c r="J243" s="991"/>
      <c r="K243" s="991"/>
      <c r="L243" s="991"/>
      <c r="M243" s="991"/>
      <c r="N243" s="991"/>
      <c r="O243" s="991"/>
      <c r="P243" s="991"/>
      <c r="Q243" s="991"/>
      <c r="R243" s="991"/>
      <c r="S243" s="991"/>
      <c r="T243" s="991"/>
      <c r="U243" s="991"/>
      <c r="V243" s="991"/>
      <c r="W243" s="991"/>
      <c r="X243" s="991"/>
      <c r="Y243" s="921"/>
      <c r="Z243" s="3739"/>
    </row>
    <row r="244" spans="1:26" s="918" customFormat="1" ht="15.75" x14ac:dyDescent="0.25">
      <c r="A244" s="921"/>
      <c r="B244" s="991"/>
      <c r="C244" s="5539"/>
      <c r="D244" s="6539"/>
      <c r="E244" s="6540"/>
      <c r="F244" s="3031" t="s">
        <v>2677</v>
      </c>
      <c r="G244" s="3032" t="s">
        <v>19</v>
      </c>
      <c r="H244" s="3153" t="str">
        <f>CONCATENATE(IF('WSS Profile'!$G$282="",0,'WSS Profile'!$G$281-'WSS Profile'!$G$282)," / ",'WSS Profile'!$G$281)</f>
        <v>0 / 0</v>
      </c>
      <c r="I244" s="5904"/>
      <c r="J244" s="991"/>
      <c r="K244" s="991"/>
      <c r="L244" s="991"/>
      <c r="M244" s="991"/>
      <c r="N244" s="991"/>
      <c r="O244" s="991"/>
      <c r="P244" s="991"/>
      <c r="Q244" s="991"/>
      <c r="R244" s="991"/>
      <c r="S244" s="991"/>
      <c r="T244" s="991"/>
      <c r="U244" s="991"/>
      <c r="V244" s="991"/>
      <c r="W244" s="991"/>
      <c r="X244" s="991"/>
      <c r="Y244" s="921"/>
      <c r="Z244" s="3735"/>
    </row>
    <row r="245" spans="1:26" ht="15.75" x14ac:dyDescent="0.25">
      <c r="B245" s="2"/>
      <c r="C245" s="5539"/>
      <c r="D245" s="6539"/>
      <c r="E245" s="6540"/>
      <c r="F245" s="3031" t="s">
        <v>2675</v>
      </c>
      <c r="G245" s="3032" t="s">
        <v>19</v>
      </c>
      <c r="H245" s="3153" t="str">
        <f>CONCATENATE(IF('WSS Profile'!$G$243="",0,'WSS Profile'!$G$242-'WSS Profile'!$G$243)," / ",'WSS Profile'!$G$242)</f>
        <v xml:space="preserve">0 / </v>
      </c>
      <c r="I245" s="5904"/>
      <c r="J245" s="2"/>
      <c r="K245" s="2"/>
      <c r="L245" s="2"/>
      <c r="M245" s="2"/>
      <c r="N245" s="2"/>
      <c r="O245" s="2"/>
      <c r="P245" s="2"/>
      <c r="Q245" s="2"/>
      <c r="R245" s="2"/>
      <c r="S245" s="2"/>
      <c r="T245" s="2"/>
      <c r="U245" s="2"/>
      <c r="V245" s="2"/>
      <c r="W245" s="2"/>
      <c r="X245" s="2"/>
    </row>
    <row r="246" spans="1:26" s="918" customFormat="1" ht="15.75" x14ac:dyDescent="0.25">
      <c r="A246" s="921"/>
      <c r="B246" s="991"/>
      <c r="C246" s="5539"/>
      <c r="D246" s="6632" t="s">
        <v>210</v>
      </c>
      <c r="E246" s="6633"/>
      <c r="F246" s="5333" t="s">
        <v>3033</v>
      </c>
      <c r="G246" s="3043"/>
      <c r="H246" s="3154"/>
      <c r="I246" s="5904"/>
      <c r="J246" s="991"/>
      <c r="K246" s="991"/>
      <c r="L246" s="991"/>
      <c r="M246" s="991"/>
      <c r="N246" s="991"/>
      <c r="O246" s="991"/>
      <c r="P246" s="991"/>
      <c r="Q246" s="991"/>
      <c r="R246" s="991"/>
      <c r="S246" s="991"/>
      <c r="T246" s="991"/>
      <c r="U246" s="991"/>
      <c r="V246" s="991"/>
      <c r="W246" s="991"/>
      <c r="X246" s="991"/>
      <c r="Y246" s="921"/>
      <c r="Z246" s="3735"/>
    </row>
    <row r="247" spans="1:26" s="918" customFormat="1" ht="15.75" x14ac:dyDescent="0.25">
      <c r="A247" s="921"/>
      <c r="B247" s="991"/>
      <c r="C247" s="5539"/>
      <c r="D247" s="6539"/>
      <c r="E247" s="6540"/>
      <c r="F247" s="3031" t="s">
        <v>2676</v>
      </c>
      <c r="G247" s="3032" t="s">
        <v>1160</v>
      </c>
      <c r="H247" s="3156"/>
      <c r="I247" s="5904"/>
      <c r="J247" s="991"/>
      <c r="K247" s="991"/>
      <c r="L247" s="991"/>
      <c r="M247" s="991"/>
      <c r="N247" s="991"/>
      <c r="O247" s="991"/>
      <c r="P247" s="991"/>
      <c r="Q247" s="991"/>
      <c r="R247" s="991"/>
      <c r="S247" s="991"/>
      <c r="T247" s="991"/>
      <c r="U247" s="991"/>
      <c r="V247" s="991"/>
      <c r="W247" s="991"/>
      <c r="X247" s="991"/>
      <c r="Y247" s="921"/>
      <c r="Z247" s="3735"/>
    </row>
    <row r="248" spans="1:26" s="918" customFormat="1" ht="15.75" x14ac:dyDescent="0.25">
      <c r="A248" s="921"/>
      <c r="B248" s="991"/>
      <c r="C248" s="5539"/>
      <c r="D248" s="6539"/>
      <c r="E248" s="6540"/>
      <c r="F248" s="3031" t="s">
        <v>2677</v>
      </c>
      <c r="G248" s="3032" t="s">
        <v>19</v>
      </c>
      <c r="H248" s="3156"/>
      <c r="I248" s="5904"/>
      <c r="J248" s="991"/>
      <c r="K248" s="991"/>
      <c r="L248" s="991"/>
      <c r="M248" s="991"/>
      <c r="N248" s="991"/>
      <c r="O248" s="991"/>
      <c r="P248" s="991"/>
      <c r="Q248" s="991"/>
      <c r="R248" s="991"/>
      <c r="S248" s="991"/>
      <c r="T248" s="991"/>
      <c r="U248" s="991"/>
      <c r="V248" s="991"/>
      <c r="W248" s="991"/>
      <c r="X248" s="991"/>
      <c r="Y248" s="921"/>
      <c r="Z248" s="3735"/>
    </row>
    <row r="249" spans="1:26" ht="15.75" x14ac:dyDescent="0.25">
      <c r="B249" s="2"/>
      <c r="C249" s="5539"/>
      <c r="D249" s="6539"/>
      <c r="E249" s="6540"/>
      <c r="F249" s="3031" t="s">
        <v>2675</v>
      </c>
      <c r="G249" s="3032" t="s">
        <v>19</v>
      </c>
      <c r="H249" s="3156"/>
      <c r="I249" s="5904"/>
      <c r="J249" s="2"/>
      <c r="K249" s="2"/>
      <c r="L249" s="2"/>
      <c r="M249" s="2"/>
      <c r="N249" s="2"/>
      <c r="O249" s="2"/>
      <c r="P249" s="2"/>
      <c r="Q249" s="2"/>
      <c r="R249" s="2"/>
      <c r="S249" s="2"/>
      <c r="T249" s="2"/>
      <c r="U249" s="2"/>
      <c r="V249" s="2"/>
      <c r="W249" s="2"/>
      <c r="X249" s="2"/>
    </row>
    <row r="250" spans="1:26" s="918" customFormat="1" ht="15.75" x14ac:dyDescent="0.25">
      <c r="A250" s="921"/>
      <c r="B250" s="991"/>
      <c r="C250" s="5539"/>
      <c r="D250" s="6539"/>
      <c r="E250" s="6540"/>
      <c r="F250" s="5332" t="s">
        <v>2683</v>
      </c>
      <c r="G250" s="3032"/>
      <c r="H250" s="3157"/>
      <c r="I250" s="5904"/>
      <c r="J250" s="991"/>
      <c r="K250" s="991"/>
      <c r="L250" s="991"/>
      <c r="M250" s="991"/>
      <c r="N250" s="991"/>
      <c r="O250" s="991"/>
      <c r="P250" s="991"/>
      <c r="Q250" s="991"/>
      <c r="R250" s="991"/>
      <c r="S250" s="991"/>
      <c r="T250" s="991"/>
      <c r="U250" s="991"/>
      <c r="V250" s="991"/>
      <c r="W250" s="991"/>
      <c r="X250" s="991"/>
      <c r="Y250" s="921"/>
      <c r="Z250" s="3735"/>
    </row>
    <row r="251" spans="1:26" s="918" customFormat="1" ht="15.75" x14ac:dyDescent="0.25">
      <c r="A251" s="921"/>
      <c r="B251" s="991"/>
      <c r="C251" s="5539"/>
      <c r="D251" s="6539"/>
      <c r="E251" s="6540"/>
      <c r="F251" s="3031" t="s">
        <v>2682</v>
      </c>
      <c r="G251" s="3032" t="s">
        <v>19</v>
      </c>
      <c r="H251" s="3156"/>
      <c r="I251" s="5904"/>
      <c r="J251" s="991"/>
      <c r="K251" s="991"/>
      <c r="L251" s="991"/>
      <c r="M251" s="991"/>
      <c r="N251" s="991"/>
      <c r="O251" s="991"/>
      <c r="P251" s="991"/>
      <c r="Q251" s="991"/>
      <c r="R251" s="991"/>
      <c r="S251" s="991"/>
      <c r="T251" s="991"/>
      <c r="U251" s="991"/>
      <c r="V251" s="991"/>
      <c r="W251" s="991"/>
      <c r="X251" s="991"/>
      <c r="Y251" s="921"/>
      <c r="Z251" s="3735"/>
    </row>
    <row r="252" spans="1:26" s="918" customFormat="1" ht="15.75" x14ac:dyDescent="0.25">
      <c r="A252" s="921"/>
      <c r="B252" s="991"/>
      <c r="C252" s="5539"/>
      <c r="D252" s="6634"/>
      <c r="E252" s="6635"/>
      <c r="F252" s="3078" t="s">
        <v>2684</v>
      </c>
      <c r="G252" s="3114" t="s">
        <v>1160</v>
      </c>
      <c r="H252" s="3156"/>
      <c r="I252" s="5904"/>
      <c r="J252" s="991"/>
      <c r="K252" s="991"/>
      <c r="L252" s="991"/>
      <c r="M252" s="991"/>
      <c r="N252" s="991"/>
      <c r="O252" s="991"/>
      <c r="P252" s="991"/>
      <c r="Q252" s="991"/>
      <c r="R252" s="991"/>
      <c r="S252" s="991"/>
      <c r="T252" s="991"/>
      <c r="U252" s="991"/>
      <c r="V252" s="991"/>
      <c r="W252" s="991"/>
      <c r="X252" s="991"/>
      <c r="Y252" s="921"/>
      <c r="Z252" s="3735"/>
    </row>
    <row r="253" spans="1:26" ht="15.75" x14ac:dyDescent="0.25">
      <c r="B253" s="2"/>
      <c r="C253" s="5539"/>
      <c r="D253" s="6539" t="s">
        <v>211</v>
      </c>
      <c r="E253" s="6540"/>
      <c r="F253" s="3031" t="s">
        <v>3548</v>
      </c>
      <c r="G253" s="3155" t="s">
        <v>3520</v>
      </c>
      <c r="H253" s="3158"/>
      <c r="I253" s="5904"/>
      <c r="J253" s="2"/>
      <c r="K253" s="2"/>
      <c r="L253" s="2"/>
      <c r="M253" s="2"/>
      <c r="N253" s="2"/>
      <c r="O253" s="2"/>
      <c r="P253" s="2"/>
      <c r="Q253" s="2"/>
      <c r="R253" s="2"/>
      <c r="S253" s="2"/>
      <c r="T253" s="2"/>
      <c r="U253" s="2"/>
      <c r="V253" s="2"/>
      <c r="W253" s="2"/>
      <c r="X253" s="2"/>
    </row>
    <row r="254" spans="1:26" s="918" customFormat="1" ht="15.75" x14ac:dyDescent="0.25">
      <c r="A254" s="921"/>
      <c r="B254" s="991"/>
      <c r="C254" s="5539"/>
      <c r="D254" s="6539"/>
      <c r="E254" s="6540"/>
      <c r="F254" s="3031" t="s">
        <v>2569</v>
      </c>
      <c r="G254" s="3155" t="s">
        <v>3549</v>
      </c>
      <c r="H254" s="3159"/>
      <c r="I254" s="5904"/>
      <c r="J254" s="991"/>
      <c r="K254" s="991"/>
      <c r="L254" s="991"/>
      <c r="M254" s="991"/>
      <c r="N254" s="991"/>
      <c r="O254" s="991"/>
      <c r="P254" s="991"/>
      <c r="Q254" s="991"/>
      <c r="R254" s="991"/>
      <c r="S254" s="991"/>
      <c r="T254" s="991"/>
      <c r="U254" s="991"/>
      <c r="V254" s="991"/>
      <c r="W254" s="991"/>
      <c r="X254" s="991"/>
      <c r="Y254" s="921"/>
      <c r="Z254" s="3735"/>
    </row>
    <row r="255" spans="1:26" s="918" customFormat="1" ht="30.75" thickBot="1" x14ac:dyDescent="0.3">
      <c r="A255" s="921"/>
      <c r="B255" s="991"/>
      <c r="C255" s="5539"/>
      <c r="D255" s="6636"/>
      <c r="E255" s="6637"/>
      <c r="F255" s="3033" t="s">
        <v>3802</v>
      </c>
      <c r="G255" s="3034" t="s">
        <v>3549</v>
      </c>
      <c r="H255" s="3160"/>
      <c r="I255" s="5904"/>
      <c r="J255" s="991"/>
      <c r="K255" s="991"/>
      <c r="L255" s="991"/>
      <c r="M255" s="991"/>
      <c r="N255" s="991"/>
      <c r="O255" s="991"/>
      <c r="P255" s="991"/>
      <c r="Q255" s="991"/>
      <c r="R255" s="991"/>
      <c r="S255" s="991"/>
      <c r="T255" s="991"/>
      <c r="U255" s="991"/>
      <c r="V255" s="991"/>
      <c r="W255" s="991"/>
      <c r="X255" s="991"/>
      <c r="Y255" s="921"/>
      <c r="Z255" s="3735"/>
    </row>
    <row r="256" spans="1:26" ht="32.25" thickBot="1" x14ac:dyDescent="0.35">
      <c r="B256" s="389"/>
      <c r="C256" s="5542" t="s">
        <v>3140</v>
      </c>
      <c r="D256" s="3422" t="s">
        <v>786</v>
      </c>
      <c r="E256" s="2976" t="s">
        <v>78</v>
      </c>
      <c r="F256" s="2984" t="s">
        <v>1747</v>
      </c>
      <c r="G256" s="3922"/>
      <c r="H256" s="3932"/>
      <c r="I256" s="390"/>
      <c r="J256" s="2"/>
      <c r="K256" s="2"/>
      <c r="L256" s="2"/>
      <c r="M256" s="2"/>
      <c r="N256" s="2"/>
      <c r="O256" s="2"/>
      <c r="P256" s="2"/>
      <c r="Q256" s="2"/>
      <c r="R256" s="2"/>
      <c r="S256" s="2"/>
      <c r="T256" s="2"/>
      <c r="U256" s="2"/>
      <c r="V256" s="2"/>
      <c r="W256" s="2"/>
      <c r="X256" s="2"/>
      <c r="Z256" s="3735" t="b">
        <f>'Perf assessment'!U157</f>
        <v>1</v>
      </c>
    </row>
    <row r="257" spans="1:26" ht="15.75" x14ac:dyDescent="0.25">
      <c r="B257" s="2"/>
      <c r="C257" s="5539"/>
      <c r="D257" s="6457" t="s">
        <v>82</v>
      </c>
      <c r="E257" s="6458"/>
      <c r="F257" s="2974" t="s">
        <v>2389</v>
      </c>
      <c r="G257" s="3130" t="s">
        <v>80</v>
      </c>
      <c r="H257" s="530">
        <f>'WSS Profile'!$G$336</f>
        <v>70</v>
      </c>
      <c r="I257" s="390"/>
      <c r="J257" s="1105"/>
      <c r="K257" s="2"/>
      <c r="L257" s="2"/>
      <c r="M257" s="2"/>
      <c r="N257" s="2"/>
      <c r="O257" s="2"/>
      <c r="P257" s="2"/>
      <c r="Q257" s="2"/>
      <c r="R257" s="2"/>
      <c r="S257" s="2"/>
      <c r="T257" s="2"/>
      <c r="U257" s="2"/>
      <c r="V257" s="2"/>
      <c r="W257" s="2"/>
      <c r="X257" s="2"/>
    </row>
    <row r="258" spans="1:26" s="918" customFormat="1" ht="15.75" x14ac:dyDescent="0.25">
      <c r="A258" s="921"/>
      <c r="B258" s="991"/>
      <c r="C258" s="5539"/>
      <c r="D258" s="6421"/>
      <c r="E258" s="6422"/>
      <c r="F258" s="3110" t="s">
        <v>2390</v>
      </c>
      <c r="G258" s="3141" t="s">
        <v>1953</v>
      </c>
      <c r="H258" s="1114">
        <f>'WSS Profile'!G335</f>
        <v>2.9</v>
      </c>
      <c r="I258" s="390"/>
      <c r="J258" s="1105"/>
      <c r="K258" s="991"/>
      <c r="L258" s="991"/>
      <c r="M258" s="991"/>
      <c r="N258" s="991"/>
      <c r="O258" s="991"/>
      <c r="P258" s="991"/>
      <c r="Q258" s="991"/>
      <c r="R258" s="991"/>
      <c r="S258" s="991"/>
      <c r="T258" s="991"/>
      <c r="U258" s="991"/>
      <c r="V258" s="991"/>
      <c r="W258" s="991"/>
      <c r="X258" s="991"/>
      <c r="Y258" s="921"/>
      <c r="Z258" s="3735"/>
    </row>
    <row r="259" spans="1:26" ht="15.75" x14ac:dyDescent="0.25">
      <c r="B259" s="2"/>
      <c r="C259" s="5539"/>
      <c r="D259" s="6421"/>
      <c r="E259" s="6422"/>
      <c r="F259" s="3110" t="s">
        <v>2391</v>
      </c>
      <c r="G259" s="3141" t="s">
        <v>80</v>
      </c>
      <c r="H259" s="1114">
        <f>'WSS Profile'!$G$338</f>
        <v>0</v>
      </c>
      <c r="I259" s="390"/>
      <c r="J259" s="2"/>
      <c r="K259" s="2"/>
      <c r="L259" s="2"/>
      <c r="M259" s="2"/>
      <c r="N259" s="2"/>
      <c r="O259" s="2"/>
      <c r="P259" s="2"/>
      <c r="Q259" s="2"/>
      <c r="R259" s="2"/>
      <c r="S259" s="2"/>
      <c r="T259" s="2"/>
      <c r="U259" s="2"/>
      <c r="V259" s="2"/>
      <c r="W259" s="2"/>
      <c r="X259" s="2"/>
    </row>
    <row r="260" spans="1:26" s="918" customFormat="1" ht="15.75" x14ac:dyDescent="0.25">
      <c r="A260" s="921"/>
      <c r="B260" s="991"/>
      <c r="C260" s="5539"/>
      <c r="D260" s="6421"/>
      <c r="E260" s="6422"/>
      <c r="F260" s="3110" t="s">
        <v>2392</v>
      </c>
      <c r="G260" s="3141" t="s">
        <v>1953</v>
      </c>
      <c r="H260" s="1114">
        <f>'WSS Profile'!G337</f>
        <v>0</v>
      </c>
      <c r="I260" s="390"/>
      <c r="J260" s="991"/>
      <c r="K260" s="991"/>
      <c r="L260" s="991"/>
      <c r="M260" s="991"/>
      <c r="N260" s="991"/>
      <c r="O260" s="991"/>
      <c r="P260" s="991"/>
      <c r="Q260" s="991"/>
      <c r="R260" s="991"/>
      <c r="S260" s="991"/>
      <c r="T260" s="991"/>
      <c r="U260" s="991"/>
      <c r="V260" s="991"/>
      <c r="W260" s="991"/>
      <c r="X260" s="991"/>
      <c r="Y260" s="921"/>
      <c r="Z260" s="3735"/>
    </row>
    <row r="261" spans="1:26" ht="15.75" x14ac:dyDescent="0.25">
      <c r="B261" s="2"/>
      <c r="C261" s="5539"/>
      <c r="D261" s="6429" t="s">
        <v>210</v>
      </c>
      <c r="E261" s="6430"/>
      <c r="F261" s="3142" t="s">
        <v>2393</v>
      </c>
      <c r="G261" s="3143" t="s">
        <v>80</v>
      </c>
      <c r="H261" s="3158"/>
      <c r="I261" s="390"/>
      <c r="J261" s="2"/>
      <c r="K261" s="2"/>
      <c r="L261" s="2"/>
      <c r="M261" s="2"/>
      <c r="N261" s="2"/>
      <c r="O261" s="2"/>
      <c r="P261" s="2"/>
      <c r="Q261" s="2"/>
      <c r="R261" s="2"/>
      <c r="S261" s="2"/>
      <c r="T261" s="2"/>
      <c r="U261" s="2"/>
      <c r="V261" s="2"/>
      <c r="W261" s="2"/>
      <c r="X261" s="2"/>
    </row>
    <row r="262" spans="1:26" s="918" customFormat="1" ht="15.75" x14ac:dyDescent="0.25">
      <c r="A262" s="921"/>
      <c r="B262" s="991"/>
      <c r="C262" s="5539"/>
      <c r="D262" s="6436"/>
      <c r="E262" s="6437"/>
      <c r="F262" s="3144" t="s">
        <v>2394</v>
      </c>
      <c r="G262" s="3151" t="s">
        <v>1953</v>
      </c>
      <c r="H262" s="3158"/>
      <c r="I262" s="390"/>
      <c r="J262" s="991"/>
      <c r="K262" s="991"/>
      <c r="L262" s="991"/>
      <c r="M262" s="991"/>
      <c r="N262" s="991"/>
      <c r="O262" s="991"/>
      <c r="P262" s="991"/>
      <c r="Q262" s="991"/>
      <c r="R262" s="991"/>
      <c r="S262" s="991"/>
      <c r="T262" s="991"/>
      <c r="U262" s="991"/>
      <c r="V262" s="991"/>
      <c r="W262" s="991"/>
      <c r="X262" s="991"/>
      <c r="Y262" s="921"/>
      <c r="Z262" s="3735"/>
    </row>
    <row r="263" spans="1:26" ht="16.5" thickBot="1" x14ac:dyDescent="0.3">
      <c r="B263" s="2"/>
      <c r="C263" s="5539"/>
      <c r="D263" s="6421" t="s">
        <v>211</v>
      </c>
      <c r="E263" s="6422"/>
      <c r="F263" s="2975" t="s">
        <v>2395</v>
      </c>
      <c r="G263" s="3131" t="s">
        <v>1994</v>
      </c>
      <c r="H263" s="3161"/>
      <c r="I263" s="390"/>
      <c r="J263" s="2"/>
      <c r="K263" s="2"/>
      <c r="L263" s="2"/>
      <c r="M263" s="2"/>
      <c r="N263" s="2"/>
      <c r="O263" s="2"/>
      <c r="P263" s="2"/>
      <c r="Q263" s="2"/>
      <c r="R263" s="2"/>
      <c r="S263" s="2"/>
      <c r="T263" s="2"/>
      <c r="U263" s="2"/>
      <c r="V263" s="2"/>
      <c r="W263" s="2"/>
      <c r="X263" s="2"/>
    </row>
    <row r="264" spans="1:26" s="918" customFormat="1" ht="18.75" thickBot="1" x14ac:dyDescent="0.3">
      <c r="A264" s="921"/>
      <c r="B264" s="991"/>
      <c r="C264" s="5542" t="s">
        <v>3141</v>
      </c>
      <c r="D264" s="3422" t="s">
        <v>786</v>
      </c>
      <c r="E264" s="2976" t="s">
        <v>78</v>
      </c>
      <c r="F264" s="2977" t="s">
        <v>1995</v>
      </c>
      <c r="G264" s="3922"/>
      <c r="H264" s="3932"/>
      <c r="I264" s="390"/>
      <c r="J264" s="991"/>
      <c r="K264" s="991"/>
      <c r="L264" s="991"/>
      <c r="M264" s="991"/>
      <c r="N264" s="991"/>
      <c r="O264" s="991"/>
      <c r="P264" s="991"/>
      <c r="Q264" s="991"/>
      <c r="R264" s="991"/>
      <c r="S264" s="991"/>
      <c r="T264" s="991"/>
      <c r="U264" s="991"/>
      <c r="V264" s="991"/>
      <c r="W264" s="991"/>
      <c r="X264" s="991"/>
      <c r="Y264" s="921"/>
      <c r="Z264" s="3735">
        <f>'Perf assessment'!U158</f>
        <v>0</v>
      </c>
    </row>
    <row r="265" spans="1:26" s="918" customFormat="1" ht="15.75" x14ac:dyDescent="0.25">
      <c r="A265" s="921"/>
      <c r="B265" s="991"/>
      <c r="C265" s="5539"/>
      <c r="D265" s="6421" t="s">
        <v>82</v>
      </c>
      <c r="E265" s="6422"/>
      <c r="F265" s="2974" t="s">
        <v>2396</v>
      </c>
      <c r="G265" s="3130" t="s">
        <v>207</v>
      </c>
      <c r="H265" s="3164">
        <f>'WSS Profile'!G342</f>
        <v>3</v>
      </c>
      <c r="I265" s="390"/>
      <c r="J265" s="991"/>
      <c r="K265" s="991"/>
      <c r="L265" s="991"/>
      <c r="M265" s="991"/>
      <c r="N265" s="991"/>
      <c r="O265" s="991"/>
      <c r="P265" s="991"/>
      <c r="Q265" s="991"/>
      <c r="R265" s="991"/>
      <c r="S265" s="991"/>
      <c r="T265" s="991"/>
      <c r="U265" s="991"/>
      <c r="V265" s="991"/>
      <c r="W265" s="991"/>
      <c r="X265" s="991"/>
      <c r="Y265" s="921"/>
      <c r="Z265" s="3735"/>
    </row>
    <row r="266" spans="1:26" s="918" customFormat="1" ht="16.5" customHeight="1" x14ac:dyDescent="0.25">
      <c r="A266" s="921"/>
      <c r="B266" s="991"/>
      <c r="C266" s="5539"/>
      <c r="D266" s="6421"/>
      <c r="E266" s="6422"/>
      <c r="F266" s="3110" t="s">
        <v>2397</v>
      </c>
      <c r="G266" s="3141" t="s">
        <v>1996</v>
      </c>
      <c r="H266" s="3165">
        <f>'WSS Profile'!G343</f>
        <v>1</v>
      </c>
      <c r="I266" s="390"/>
      <c r="J266" s="991"/>
      <c r="K266" s="991"/>
      <c r="L266" s="991"/>
      <c r="M266" s="991"/>
      <c r="N266" s="991"/>
      <c r="O266" s="991"/>
      <c r="P266" s="991"/>
      <c r="Q266" s="991"/>
      <c r="R266" s="991"/>
      <c r="S266" s="991"/>
      <c r="T266" s="991"/>
      <c r="U266" s="991"/>
      <c r="V266" s="991"/>
      <c r="W266" s="991"/>
      <c r="X266" s="991"/>
      <c r="Y266" s="921"/>
      <c r="Z266" s="3735"/>
    </row>
    <row r="267" spans="1:26" s="918" customFormat="1" ht="15.75" x14ac:dyDescent="0.25">
      <c r="A267" s="921"/>
      <c r="B267" s="991"/>
      <c r="C267" s="5539"/>
      <c r="D267" s="6429" t="s">
        <v>210</v>
      </c>
      <c r="E267" s="6430"/>
      <c r="F267" s="3142" t="s">
        <v>2398</v>
      </c>
      <c r="G267" s="3150" t="s">
        <v>207</v>
      </c>
      <c r="H267" s="3162"/>
      <c r="I267" s="390"/>
      <c r="J267" s="991"/>
      <c r="K267" s="991"/>
      <c r="L267" s="991"/>
      <c r="M267" s="991"/>
      <c r="N267" s="991"/>
      <c r="O267" s="991"/>
      <c r="P267" s="991"/>
      <c r="Q267" s="991"/>
      <c r="R267" s="991"/>
      <c r="S267" s="991"/>
      <c r="T267" s="991"/>
      <c r="U267" s="991"/>
      <c r="V267" s="991"/>
      <c r="W267" s="991"/>
      <c r="X267" s="991"/>
      <c r="Y267" s="921"/>
      <c r="Z267" s="3735"/>
    </row>
    <row r="268" spans="1:26" s="918" customFormat="1" ht="15.75" x14ac:dyDescent="0.25">
      <c r="A268" s="921"/>
      <c r="B268" s="991"/>
      <c r="C268" s="5539"/>
      <c r="D268" s="6436"/>
      <c r="E268" s="6437"/>
      <c r="F268" s="3144" t="s">
        <v>2399</v>
      </c>
      <c r="G268" s="3151" t="s">
        <v>1734</v>
      </c>
      <c r="H268" s="3162"/>
      <c r="I268" s="390"/>
      <c r="J268" s="991"/>
      <c r="K268" s="991"/>
      <c r="L268" s="991"/>
      <c r="M268" s="991"/>
      <c r="N268" s="991"/>
      <c r="O268" s="991"/>
      <c r="P268" s="991"/>
      <c r="Q268" s="991"/>
      <c r="R268" s="991"/>
      <c r="S268" s="991"/>
      <c r="T268" s="991"/>
      <c r="U268" s="991"/>
      <c r="V268" s="991"/>
      <c r="W268" s="991"/>
      <c r="X268" s="991"/>
      <c r="Y268" s="921"/>
      <c r="Z268" s="3735"/>
    </row>
    <row r="269" spans="1:26" s="918" customFormat="1" ht="15.75" x14ac:dyDescent="0.25">
      <c r="A269" s="921"/>
      <c r="B269" s="991"/>
      <c r="C269" s="5539"/>
      <c r="D269" s="6421" t="s">
        <v>211</v>
      </c>
      <c r="E269" s="6422"/>
      <c r="F269" s="3110" t="s">
        <v>2281</v>
      </c>
      <c r="G269" s="3141" t="s">
        <v>911</v>
      </c>
      <c r="H269" s="3162"/>
      <c r="I269" s="390"/>
      <c r="J269" s="991"/>
      <c r="K269" s="991"/>
      <c r="L269" s="991"/>
      <c r="M269" s="991"/>
      <c r="N269" s="991"/>
      <c r="O269" s="991"/>
      <c r="P269" s="991"/>
      <c r="Q269" s="991"/>
      <c r="R269" s="991"/>
      <c r="S269" s="991"/>
      <c r="T269" s="991"/>
      <c r="U269" s="991"/>
      <c r="V269" s="991"/>
      <c r="W269" s="991"/>
      <c r="X269" s="991"/>
      <c r="Y269" s="921"/>
      <c r="Z269" s="3735"/>
    </row>
    <row r="270" spans="1:26" s="918" customFormat="1" ht="15.75" x14ac:dyDescent="0.25">
      <c r="A270" s="921"/>
      <c r="B270" s="991"/>
      <c r="C270" s="5539"/>
      <c r="D270" s="6432"/>
      <c r="E270" s="6433"/>
      <c r="F270" s="2975" t="s">
        <v>1062</v>
      </c>
      <c r="G270" s="3131" t="s">
        <v>1997</v>
      </c>
      <c r="H270" s="3163"/>
      <c r="I270" s="390"/>
      <c r="J270" s="991"/>
      <c r="K270" s="991"/>
      <c r="L270" s="991"/>
      <c r="M270" s="991"/>
      <c r="N270" s="991"/>
      <c r="O270" s="991"/>
      <c r="P270" s="991"/>
      <c r="Q270" s="991"/>
      <c r="R270" s="991"/>
      <c r="S270" s="991"/>
      <c r="T270" s="991"/>
      <c r="U270" s="991"/>
      <c r="V270" s="991"/>
      <c r="W270" s="991"/>
      <c r="X270" s="991"/>
      <c r="Y270" s="921"/>
      <c r="Z270" s="3735"/>
    </row>
    <row r="271" spans="1:26" ht="15.75" x14ac:dyDescent="0.25">
      <c r="B271" s="2"/>
      <c r="C271" s="5539"/>
      <c r="D271" s="390"/>
      <c r="E271" s="390"/>
      <c r="F271" s="390"/>
      <c r="G271" s="390"/>
      <c r="H271" s="390"/>
      <c r="I271" s="390"/>
      <c r="J271" s="2"/>
      <c r="K271" s="2"/>
      <c r="L271" s="2"/>
      <c r="M271" s="2"/>
      <c r="N271" s="2"/>
      <c r="O271" s="2"/>
      <c r="P271" s="2"/>
      <c r="Q271" s="2"/>
      <c r="R271" s="2"/>
      <c r="S271" s="2"/>
      <c r="T271" s="2"/>
      <c r="U271" s="2"/>
      <c r="V271" s="2"/>
      <c r="W271" s="2"/>
      <c r="X271" s="2"/>
    </row>
    <row r="272" spans="1:26" x14ac:dyDescent="0.25">
      <c r="B272" s="2"/>
      <c r="C272" s="5536"/>
      <c r="D272" s="413"/>
      <c r="E272" s="991"/>
      <c r="F272" s="991"/>
      <c r="G272" s="991"/>
      <c r="H272" s="991"/>
      <c r="I272" s="414"/>
      <c r="J272" s="2"/>
      <c r="K272" s="2"/>
      <c r="L272" s="2"/>
      <c r="M272" s="2"/>
      <c r="N272" s="2"/>
      <c r="O272" s="2"/>
      <c r="P272" s="2"/>
      <c r="Q272" s="2"/>
      <c r="R272" s="2"/>
      <c r="S272" s="2"/>
      <c r="T272" s="2"/>
      <c r="U272" s="2"/>
      <c r="V272" s="2"/>
      <c r="W272" s="2"/>
      <c r="X272" s="2"/>
    </row>
    <row r="273" spans="1:26" ht="21" x14ac:dyDescent="0.25">
      <c r="B273" s="2"/>
      <c r="C273" s="5537"/>
      <c r="D273" s="399"/>
      <c r="E273" s="399">
        <v>3</v>
      </c>
      <c r="F273" s="6431" t="s">
        <v>208</v>
      </c>
      <c r="G273" s="6431"/>
      <c r="H273" s="6431"/>
      <c r="I273" s="390"/>
      <c r="J273" s="2"/>
      <c r="K273" s="2"/>
      <c r="L273" s="2"/>
      <c r="M273" s="2"/>
      <c r="N273" s="2"/>
      <c r="O273" s="2"/>
      <c r="P273" s="2"/>
      <c r="Q273" s="2"/>
      <c r="R273" s="2"/>
      <c r="S273" s="2"/>
      <c r="T273" s="2"/>
      <c r="U273" s="2"/>
      <c r="V273" s="2"/>
      <c r="W273" s="2"/>
      <c r="X273" s="2"/>
    </row>
    <row r="274" spans="1:26" s="484" customFormat="1" ht="16.5" customHeight="1" thickBot="1" x14ac:dyDescent="0.3">
      <c r="A274" s="482"/>
      <c r="B274" s="352"/>
      <c r="C274" s="5540"/>
      <c r="D274" s="6638"/>
      <c r="E274" s="6639"/>
      <c r="F274" s="6445" t="s">
        <v>2180</v>
      </c>
      <c r="G274" s="6445"/>
      <c r="H274" s="6446"/>
      <c r="I274" s="5904"/>
      <c r="J274" s="352"/>
      <c r="K274" s="352"/>
      <c r="L274" s="352"/>
      <c r="M274" s="352"/>
      <c r="N274" s="352"/>
      <c r="O274" s="352"/>
      <c r="P274" s="352"/>
      <c r="Q274" s="352"/>
      <c r="R274" s="352"/>
      <c r="S274" s="352"/>
      <c r="T274" s="352"/>
      <c r="U274" s="352"/>
      <c r="V274" s="352"/>
      <c r="W274" s="352"/>
      <c r="X274" s="352"/>
      <c r="Y274" s="482"/>
      <c r="Z274" s="3735"/>
    </row>
    <row r="275" spans="1:26" ht="18.75" thickBot="1" x14ac:dyDescent="0.3">
      <c r="B275" s="991"/>
      <c r="C275" s="5538" t="s">
        <v>3142</v>
      </c>
      <c r="D275" s="3422" t="s">
        <v>786</v>
      </c>
      <c r="E275" s="3166" t="s">
        <v>78</v>
      </c>
      <c r="F275" s="3052" t="s">
        <v>2849</v>
      </c>
      <c r="G275" s="3922"/>
      <c r="H275" s="3923"/>
      <c r="I275" s="5904"/>
      <c r="J275" s="2"/>
      <c r="K275" s="2"/>
      <c r="L275" s="2"/>
      <c r="M275" s="2"/>
      <c r="N275" s="2"/>
      <c r="O275" s="2"/>
      <c r="P275" s="2"/>
      <c r="Q275" s="2"/>
      <c r="R275" s="2"/>
      <c r="S275" s="2"/>
      <c r="T275" s="2"/>
      <c r="U275" s="2"/>
      <c r="V275" s="2"/>
      <c r="W275" s="2"/>
      <c r="X275" s="2"/>
      <c r="Z275" s="3735">
        <f>'Perf assessment'!U160</f>
        <v>0</v>
      </c>
    </row>
    <row r="276" spans="1:26" s="918" customFormat="1" ht="15.75" x14ac:dyDescent="0.25">
      <c r="A276" s="921"/>
      <c r="B276" s="991"/>
      <c r="C276" s="5539"/>
      <c r="D276" s="2963"/>
      <c r="E276" s="2964"/>
      <c r="F276" s="3190"/>
      <c r="G276" s="5338" t="s">
        <v>1732</v>
      </c>
      <c r="H276" s="5339" t="s">
        <v>1733</v>
      </c>
      <c r="I276" s="5904"/>
      <c r="J276" s="991"/>
      <c r="K276" s="991"/>
      <c r="L276" s="991"/>
      <c r="M276" s="991"/>
      <c r="N276" s="991"/>
      <c r="O276" s="991"/>
      <c r="P276" s="991"/>
      <c r="Q276" s="991"/>
      <c r="R276" s="991"/>
      <c r="S276" s="991"/>
      <c r="T276" s="991"/>
      <c r="U276" s="991"/>
      <c r="V276" s="991"/>
      <c r="W276" s="991"/>
      <c r="X276" s="991"/>
      <c r="Y276" s="921"/>
      <c r="Z276" s="3739"/>
    </row>
    <row r="277" spans="1:26" s="918" customFormat="1" ht="30" x14ac:dyDescent="0.25">
      <c r="A277" s="921"/>
      <c r="B277" s="991"/>
      <c r="C277" s="5537"/>
      <c r="D277" s="6421" t="s">
        <v>82</v>
      </c>
      <c r="E277" s="6422"/>
      <c r="F277" s="3007" t="s">
        <v>2480</v>
      </c>
      <c r="G277" s="3425" t="str">
        <f>CONCATENATE(IF('WSS Profile'!F256="",0,'WSS Profile'!F256)," / ",Population!$E$29)</f>
        <v>424 / 0</v>
      </c>
      <c r="H277" s="3426" t="str">
        <f>CONCATENATE(IF('WSS Profile'!G256="",0,'WSS Profile'!G256)," / ",Population!$E$30)</f>
        <v>0 / 0</v>
      </c>
      <c r="I277" s="5904"/>
      <c r="J277" s="991"/>
      <c r="K277" s="991"/>
      <c r="L277" s="991"/>
      <c r="M277" s="991"/>
      <c r="N277" s="991"/>
      <c r="O277" s="991"/>
      <c r="P277" s="991"/>
      <c r="Q277" s="991"/>
      <c r="R277" s="991"/>
      <c r="S277" s="991"/>
      <c r="T277" s="991"/>
      <c r="U277" s="991"/>
      <c r="V277" s="991"/>
      <c r="W277" s="991"/>
      <c r="X277" s="991"/>
      <c r="Y277" s="921"/>
      <c r="Z277" s="3739"/>
    </row>
    <row r="278" spans="1:26" ht="62.25" customHeight="1" x14ac:dyDescent="0.25">
      <c r="B278" s="2"/>
      <c r="C278" s="5537"/>
      <c r="D278" s="6429" t="s">
        <v>210</v>
      </c>
      <c r="E278" s="6430"/>
      <c r="F278" s="3210" t="s">
        <v>3029</v>
      </c>
      <c r="G278" s="3427"/>
      <c r="H278" s="3428"/>
      <c r="I278" s="5904"/>
      <c r="J278" s="2"/>
      <c r="K278" s="2"/>
      <c r="L278" s="2"/>
      <c r="M278" s="2"/>
      <c r="N278" s="2"/>
      <c r="O278" s="2"/>
      <c r="P278" s="2"/>
      <c r="Q278" s="2"/>
      <c r="R278" s="2"/>
      <c r="S278" s="2"/>
      <c r="T278" s="2"/>
      <c r="U278" s="2"/>
      <c r="V278" s="2"/>
      <c r="W278" s="2"/>
      <c r="X278" s="2"/>
    </row>
    <row r="279" spans="1:26" s="918" customFormat="1" ht="33" customHeight="1" x14ac:dyDescent="0.25">
      <c r="A279" s="921"/>
      <c r="B279" s="991"/>
      <c r="C279" s="5537"/>
      <c r="D279" s="6436"/>
      <c r="E279" s="6437"/>
      <c r="F279" s="3010" t="s">
        <v>2479</v>
      </c>
      <c r="G279" s="3249"/>
      <c r="H279" s="3250"/>
      <c r="I279" s="5904"/>
      <c r="J279" s="991"/>
      <c r="K279" s="991"/>
      <c r="L279" s="991"/>
      <c r="M279" s="991"/>
      <c r="N279" s="991"/>
      <c r="O279" s="991"/>
      <c r="P279" s="991"/>
      <c r="Q279" s="991"/>
      <c r="R279" s="991"/>
      <c r="S279" s="991"/>
      <c r="T279" s="991"/>
      <c r="U279" s="991"/>
      <c r="V279" s="991"/>
      <c r="W279" s="991"/>
      <c r="X279" s="991"/>
      <c r="Y279" s="921"/>
      <c r="Z279" s="3739"/>
    </row>
    <row r="280" spans="1:26" s="918" customFormat="1" ht="32.25" customHeight="1" x14ac:dyDescent="0.25">
      <c r="A280" s="921"/>
      <c r="B280" s="991"/>
      <c r="C280" s="5537"/>
      <c r="D280" s="6421" t="s">
        <v>211</v>
      </c>
      <c r="E280" s="6422"/>
      <c r="F280" s="3007" t="s">
        <v>3551</v>
      </c>
      <c r="G280" s="6606"/>
      <c r="H280" s="6607"/>
      <c r="I280" s="5904"/>
      <c r="J280" s="991"/>
      <c r="K280" s="991"/>
      <c r="L280" s="991"/>
      <c r="M280" s="991"/>
      <c r="N280" s="991"/>
      <c r="O280" s="991"/>
      <c r="P280" s="991"/>
      <c r="Q280" s="991"/>
      <c r="R280" s="991"/>
      <c r="S280" s="991"/>
      <c r="T280" s="991"/>
      <c r="U280" s="991"/>
      <c r="V280" s="991"/>
      <c r="W280" s="991"/>
      <c r="X280" s="991"/>
      <c r="Y280" s="921"/>
      <c r="Z280" s="3739"/>
    </row>
    <row r="281" spans="1:26" s="918" customFormat="1" ht="16.5" thickBot="1" x14ac:dyDescent="0.3">
      <c r="A281" s="921"/>
      <c r="B281" s="991"/>
      <c r="C281" s="5537"/>
      <c r="D281" s="6421"/>
      <c r="E281" s="6422"/>
      <c r="F281" s="3008" t="s">
        <v>2769</v>
      </c>
      <c r="G281" s="3251"/>
      <c r="H281" s="3252"/>
      <c r="I281" s="5904"/>
      <c r="J281" s="991"/>
      <c r="K281" s="991"/>
      <c r="L281" s="991"/>
      <c r="M281" s="991"/>
      <c r="N281" s="991"/>
      <c r="O281" s="991"/>
      <c r="P281" s="991"/>
      <c r="Q281" s="991"/>
      <c r="R281" s="991"/>
      <c r="S281" s="991"/>
      <c r="T281" s="991"/>
      <c r="U281" s="991"/>
      <c r="V281" s="991"/>
      <c r="W281" s="991"/>
      <c r="X281" s="991"/>
      <c r="Y281" s="921"/>
      <c r="Z281" s="3739"/>
    </row>
    <row r="282" spans="1:26" s="918" customFormat="1" ht="18.75" thickBot="1" x14ac:dyDescent="0.3">
      <c r="A282" s="921"/>
      <c r="B282" s="991"/>
      <c r="C282" s="5542" t="s">
        <v>3143</v>
      </c>
      <c r="D282" s="3422" t="s">
        <v>786</v>
      </c>
      <c r="E282" s="3166" t="s">
        <v>78</v>
      </c>
      <c r="F282" s="3052" t="s">
        <v>2489</v>
      </c>
      <c r="G282" s="3922"/>
      <c r="H282" s="3923"/>
      <c r="I282" s="5904"/>
      <c r="J282" s="991"/>
      <c r="K282" s="991"/>
      <c r="L282" s="991"/>
      <c r="M282" s="991"/>
      <c r="N282" s="991"/>
      <c r="O282" s="991"/>
      <c r="P282" s="991"/>
      <c r="Q282" s="991"/>
      <c r="R282" s="991"/>
      <c r="S282" s="991"/>
      <c r="T282" s="991"/>
      <c r="U282" s="991"/>
      <c r="V282" s="991"/>
      <c r="W282" s="991"/>
      <c r="X282" s="991"/>
      <c r="Y282" s="921"/>
      <c r="Z282" s="3735" t="b">
        <f>'Perf assessment'!U161</f>
        <v>1</v>
      </c>
    </row>
    <row r="283" spans="1:26" s="918" customFormat="1" ht="15.75" x14ac:dyDescent="0.25">
      <c r="A283" s="921"/>
      <c r="B283" s="991"/>
      <c r="C283" s="5539"/>
      <c r="D283" s="2963"/>
      <c r="E283" s="2964"/>
      <c r="F283" s="3190"/>
      <c r="G283" s="5338" t="s">
        <v>1732</v>
      </c>
      <c r="H283" s="5339" t="s">
        <v>1733</v>
      </c>
      <c r="I283" s="5904"/>
      <c r="J283" s="991"/>
      <c r="K283" s="991"/>
      <c r="L283" s="991"/>
      <c r="M283" s="991"/>
      <c r="N283" s="991"/>
      <c r="O283" s="991"/>
      <c r="P283" s="991"/>
      <c r="Q283" s="991"/>
      <c r="R283" s="991"/>
      <c r="S283" s="991"/>
      <c r="T283" s="991"/>
      <c r="U283" s="991"/>
      <c r="V283" s="991"/>
      <c r="W283" s="991"/>
      <c r="X283" s="991"/>
      <c r="Y283" s="921"/>
      <c r="Z283" s="3739"/>
    </row>
    <row r="284" spans="1:26" s="918" customFormat="1" ht="15.75" x14ac:dyDescent="0.25">
      <c r="A284" s="921"/>
      <c r="B284" s="991"/>
      <c r="C284" s="5539"/>
      <c r="D284" s="6572" t="s">
        <v>210</v>
      </c>
      <c r="E284" s="6573"/>
      <c r="F284" s="3007" t="s">
        <v>2863</v>
      </c>
      <c r="G284" s="6584"/>
      <c r="H284" s="6585"/>
      <c r="I284" s="5904"/>
      <c r="J284" s="991"/>
      <c r="K284" s="991"/>
      <c r="L284" s="991"/>
      <c r="M284" s="991"/>
      <c r="N284" s="991"/>
      <c r="O284" s="991"/>
      <c r="P284" s="991"/>
      <c r="Q284" s="991"/>
      <c r="R284" s="991"/>
      <c r="S284" s="991"/>
      <c r="T284" s="991"/>
      <c r="U284" s="991"/>
      <c r="V284" s="991"/>
      <c r="W284" s="991"/>
      <c r="X284" s="991"/>
      <c r="Y284" s="921"/>
      <c r="Z284" s="3739"/>
    </row>
    <row r="285" spans="1:26" s="918" customFormat="1" ht="15.75" x14ac:dyDescent="0.25">
      <c r="A285" s="921"/>
      <c r="B285" s="991"/>
      <c r="C285" s="5539"/>
      <c r="D285" s="6572"/>
      <c r="E285" s="6573"/>
      <c r="F285" s="3007" t="s">
        <v>2864</v>
      </c>
      <c r="G285" s="6584"/>
      <c r="H285" s="6585"/>
      <c r="I285" s="5904"/>
      <c r="J285" s="991"/>
      <c r="K285" s="991"/>
      <c r="L285" s="991"/>
      <c r="M285" s="991"/>
      <c r="N285" s="991"/>
      <c r="O285" s="991"/>
      <c r="P285" s="991"/>
      <c r="Q285" s="991"/>
      <c r="R285" s="991"/>
      <c r="S285" s="991"/>
      <c r="T285" s="991"/>
      <c r="U285" s="991"/>
      <c r="V285" s="991"/>
      <c r="W285" s="991"/>
      <c r="X285" s="991"/>
      <c r="Y285" s="921"/>
      <c r="Z285" s="3739"/>
    </row>
    <row r="286" spans="1:26" s="918" customFormat="1" ht="45" x14ac:dyDescent="0.25">
      <c r="A286" s="921"/>
      <c r="B286" s="991"/>
      <c r="C286" s="5539"/>
      <c r="D286" s="6572"/>
      <c r="E286" s="6573"/>
      <c r="F286" s="3191" t="s">
        <v>3002</v>
      </c>
      <c r="G286" s="3427">
        <f>ROUND((G50*G47)+G125+G150,0)</f>
        <v>0</v>
      </c>
      <c r="H286" s="3428">
        <f>ROUND((H50*H47)+H125+H150,0)</f>
        <v>0</v>
      </c>
      <c r="I286" s="5904"/>
      <c r="J286" s="991"/>
      <c r="K286" s="991"/>
      <c r="L286" s="991"/>
      <c r="M286" s="991"/>
      <c r="N286" s="991"/>
      <c r="O286" s="991"/>
      <c r="P286" s="991"/>
      <c r="Q286" s="991"/>
      <c r="R286" s="991"/>
      <c r="S286" s="991"/>
      <c r="T286" s="991"/>
      <c r="U286" s="991"/>
      <c r="V286" s="991"/>
      <c r="W286" s="991"/>
      <c r="X286" s="991"/>
      <c r="Y286" s="921"/>
      <c r="Z286" s="3739"/>
    </row>
    <row r="287" spans="1:26" s="918" customFormat="1" ht="16.5" customHeight="1" x14ac:dyDescent="0.25">
      <c r="A287" s="921"/>
      <c r="B287" s="991"/>
      <c r="C287" s="5539"/>
      <c r="D287" s="6511"/>
      <c r="E287" s="6512"/>
      <c r="F287" s="3191" t="s">
        <v>2492</v>
      </c>
      <c r="G287" s="3249"/>
      <c r="H287" s="3250"/>
      <c r="I287" s="5904"/>
      <c r="J287" s="991"/>
      <c r="K287" s="991"/>
      <c r="L287" s="991"/>
      <c r="M287" s="991"/>
      <c r="N287" s="991"/>
      <c r="O287" s="991"/>
      <c r="P287" s="991"/>
      <c r="Q287" s="991"/>
      <c r="R287" s="991"/>
      <c r="S287" s="991"/>
      <c r="T287" s="991"/>
      <c r="U287" s="991"/>
      <c r="V287" s="991"/>
      <c r="W287" s="991"/>
      <c r="X287" s="991"/>
      <c r="Y287" s="921"/>
      <c r="Z287" s="3739"/>
    </row>
    <row r="288" spans="1:26" s="918" customFormat="1" ht="16.5" customHeight="1" x14ac:dyDescent="0.25">
      <c r="A288" s="921"/>
      <c r="B288" s="991"/>
      <c r="C288" s="5539"/>
      <c r="D288" s="5553"/>
      <c r="E288" s="5554"/>
      <c r="F288" s="3191" t="s">
        <v>2494</v>
      </c>
      <c r="G288" s="6567"/>
      <c r="H288" s="6568"/>
      <c r="I288" s="5904"/>
      <c r="J288" s="991"/>
      <c r="K288" s="991"/>
      <c r="L288" s="991"/>
      <c r="M288" s="991"/>
      <c r="N288" s="991"/>
      <c r="O288" s="991"/>
      <c r="P288" s="991"/>
      <c r="Q288" s="991"/>
      <c r="R288" s="991"/>
      <c r="S288" s="991"/>
      <c r="T288" s="991"/>
      <c r="U288" s="991"/>
      <c r="V288" s="991"/>
      <c r="W288" s="991"/>
      <c r="X288" s="991"/>
      <c r="Y288" s="921"/>
      <c r="Z288" s="3739"/>
    </row>
    <row r="289" spans="1:28" s="918" customFormat="1" ht="15.75" x14ac:dyDescent="0.25">
      <c r="A289" s="921"/>
      <c r="B289" s="991"/>
      <c r="C289" s="5539"/>
      <c r="D289" s="6429" t="s">
        <v>211</v>
      </c>
      <c r="E289" s="6430"/>
      <c r="F289" s="3009" t="s">
        <v>3552</v>
      </c>
      <c r="G289" s="6561"/>
      <c r="H289" s="6562"/>
      <c r="I289" s="5904"/>
      <c r="J289" s="991"/>
      <c r="K289" s="991"/>
      <c r="L289" s="991"/>
      <c r="M289" s="991"/>
      <c r="N289" s="991"/>
      <c r="O289" s="991"/>
      <c r="P289" s="991"/>
      <c r="Q289" s="991"/>
      <c r="R289" s="991"/>
      <c r="S289" s="991"/>
      <c r="T289" s="991"/>
      <c r="U289" s="991"/>
      <c r="V289" s="991"/>
      <c r="W289" s="991"/>
      <c r="X289" s="991"/>
      <c r="Y289" s="921"/>
      <c r="Z289" s="3735"/>
    </row>
    <row r="290" spans="1:28" s="918" customFormat="1" ht="15.75" x14ac:dyDescent="0.25">
      <c r="A290" s="921"/>
      <c r="B290" s="991"/>
      <c r="C290" s="5539"/>
      <c r="D290" s="6421"/>
      <c r="E290" s="6422"/>
      <c r="F290" s="3019" t="s">
        <v>2491</v>
      </c>
      <c r="G290" s="6563"/>
      <c r="H290" s="6564"/>
      <c r="I290" s="5904"/>
      <c r="J290" s="991"/>
      <c r="K290" s="991"/>
      <c r="L290" s="991"/>
      <c r="M290" s="991"/>
      <c r="N290" s="991"/>
      <c r="O290" s="991"/>
      <c r="P290" s="991"/>
      <c r="Q290" s="991"/>
      <c r="R290" s="991"/>
      <c r="S290" s="991"/>
      <c r="T290" s="991"/>
      <c r="U290" s="991"/>
      <c r="V290" s="991"/>
      <c r="W290" s="991"/>
      <c r="X290" s="991"/>
      <c r="Y290" s="921"/>
      <c r="Z290" s="3735"/>
    </row>
    <row r="291" spans="1:28" s="918" customFormat="1" ht="34.5" customHeight="1" x14ac:dyDescent="0.25">
      <c r="A291" s="921"/>
      <c r="B291" s="991"/>
      <c r="C291" s="5539"/>
      <c r="D291" s="6421"/>
      <c r="E291" s="6422"/>
      <c r="F291" s="3019" t="s">
        <v>3554</v>
      </c>
      <c r="G291" s="3249"/>
      <c r="H291" s="3250"/>
      <c r="I291" s="5904"/>
      <c r="J291" s="991"/>
      <c r="K291" s="991"/>
      <c r="L291" s="991"/>
      <c r="M291" s="991"/>
      <c r="N291" s="991"/>
      <c r="O291" s="991"/>
      <c r="P291" s="991"/>
      <c r="Q291" s="991"/>
      <c r="R291" s="991"/>
      <c r="S291" s="991"/>
      <c r="T291" s="991"/>
      <c r="U291" s="991"/>
      <c r="V291" s="991"/>
      <c r="W291" s="991"/>
      <c r="X291" s="991"/>
      <c r="Y291" s="921"/>
      <c r="Z291" s="3735"/>
    </row>
    <row r="292" spans="1:28" s="918" customFormat="1" ht="33" customHeight="1" thickBot="1" x14ac:dyDescent="0.3">
      <c r="A292" s="921"/>
      <c r="B292" s="991"/>
      <c r="C292" s="5539"/>
      <c r="D292" s="6455"/>
      <c r="E292" s="6456"/>
      <c r="F292" s="3062" t="s">
        <v>3553</v>
      </c>
      <c r="G292" s="6565"/>
      <c r="H292" s="6566"/>
      <c r="I292" s="5904"/>
      <c r="J292" s="991"/>
      <c r="K292" s="991"/>
      <c r="L292" s="991"/>
      <c r="M292" s="991"/>
      <c r="N292" s="991"/>
      <c r="O292" s="991"/>
      <c r="P292" s="991"/>
      <c r="Q292" s="991"/>
      <c r="R292" s="991"/>
      <c r="S292" s="991"/>
      <c r="T292" s="991"/>
      <c r="U292" s="991"/>
      <c r="V292" s="991"/>
      <c r="W292" s="991"/>
      <c r="X292" s="991"/>
      <c r="Y292" s="921"/>
      <c r="Z292" s="3735"/>
    </row>
    <row r="293" spans="1:28" s="918" customFormat="1" ht="18.75" thickBot="1" x14ac:dyDescent="0.3">
      <c r="A293" s="921"/>
      <c r="B293" s="991"/>
      <c r="C293" s="5542" t="s">
        <v>3144</v>
      </c>
      <c r="D293" s="3422" t="s">
        <v>786</v>
      </c>
      <c r="E293" s="3166" t="s">
        <v>78</v>
      </c>
      <c r="F293" s="3052" t="s">
        <v>2850</v>
      </c>
      <c r="G293" s="3922"/>
      <c r="H293" s="3923"/>
      <c r="I293" s="5904"/>
      <c r="J293" s="991"/>
      <c r="K293" s="991"/>
      <c r="L293" s="991"/>
      <c r="M293" s="991"/>
      <c r="N293" s="991"/>
      <c r="O293" s="991"/>
      <c r="P293" s="991"/>
      <c r="Q293" s="991"/>
      <c r="R293" s="991"/>
      <c r="S293" s="991"/>
      <c r="T293" s="991"/>
      <c r="U293" s="991"/>
      <c r="V293" s="991"/>
      <c r="W293" s="991"/>
      <c r="X293" s="991"/>
      <c r="Y293" s="921"/>
      <c r="Z293" s="3735">
        <f>'Perf assessment'!U162</f>
        <v>0</v>
      </c>
    </row>
    <row r="294" spans="1:28" s="918" customFormat="1" ht="15.75" x14ac:dyDescent="0.25">
      <c r="A294" s="921"/>
      <c r="B294" s="991"/>
      <c r="C294" s="5539"/>
      <c r="D294" s="6457" t="s">
        <v>82</v>
      </c>
      <c r="E294" s="6458"/>
      <c r="F294" s="3190"/>
      <c r="G294" s="5338" t="s">
        <v>1732</v>
      </c>
      <c r="H294" s="5339" t="s">
        <v>1733</v>
      </c>
      <c r="I294" s="5904"/>
      <c r="J294" s="991"/>
      <c r="K294" s="991"/>
      <c r="L294" s="991"/>
      <c r="M294" s="991"/>
      <c r="N294" s="991"/>
      <c r="O294" s="991"/>
      <c r="P294" s="991"/>
      <c r="Q294" s="991"/>
      <c r="R294" s="991"/>
      <c r="S294" s="991"/>
      <c r="T294" s="991"/>
      <c r="U294" s="991"/>
      <c r="V294" s="991"/>
      <c r="W294" s="991"/>
      <c r="X294" s="991"/>
      <c r="Y294" s="921"/>
      <c r="Z294" s="3739"/>
    </row>
    <row r="295" spans="1:28" ht="15.75" x14ac:dyDescent="0.25">
      <c r="A295" s="921"/>
      <c r="B295" s="991"/>
      <c r="C295" s="5539"/>
      <c r="D295" s="6421"/>
      <c r="E295" s="6422"/>
      <c r="F295" s="3007" t="s">
        <v>2868</v>
      </c>
      <c r="G295" s="6612">
        <f>'WSS Profile'!$G$227</f>
        <v>0</v>
      </c>
      <c r="H295" s="6613"/>
      <c r="I295" s="5904"/>
      <c r="J295" s="2"/>
      <c r="K295" s="2"/>
      <c r="L295" s="1090"/>
      <c r="M295" s="1091"/>
      <c r="N295" s="2"/>
      <c r="O295" s="2"/>
      <c r="P295" s="2"/>
      <c r="Q295" s="2"/>
      <c r="R295" s="2"/>
      <c r="S295" s="2"/>
      <c r="T295" s="2"/>
      <c r="U295" s="2"/>
      <c r="V295" s="2"/>
      <c r="W295" s="2"/>
      <c r="X295" s="2"/>
      <c r="AB295" s="918"/>
    </row>
    <row r="296" spans="1:28" ht="30" x14ac:dyDescent="0.25">
      <c r="B296" s="2"/>
      <c r="C296" s="5539"/>
      <c r="D296" s="6421"/>
      <c r="E296" s="6422"/>
      <c r="F296" s="3007" t="s">
        <v>2865</v>
      </c>
      <c r="G296" s="6614" t="str">
        <f>CONCATENATE(IF('WSS Profile'!$G$228="",0,'WSS Profile'!$G$228)," / ",'WSS Profile'!$G$37)</f>
        <v xml:space="preserve">0 / </v>
      </c>
      <c r="H296" s="6615"/>
      <c r="I296" s="5904"/>
      <c r="J296" s="2"/>
      <c r="K296" s="60"/>
      <c r="L296" s="60"/>
      <c r="M296" s="60"/>
      <c r="N296" s="2"/>
      <c r="O296" s="2"/>
      <c r="P296" s="2"/>
      <c r="Q296" s="2"/>
      <c r="R296" s="2"/>
      <c r="S296" s="2"/>
      <c r="T296" s="2"/>
      <c r="U296" s="2"/>
      <c r="V296" s="2"/>
      <c r="W296" s="2"/>
      <c r="X296" s="2"/>
      <c r="AB296" s="918"/>
    </row>
    <row r="297" spans="1:28" ht="15.75" x14ac:dyDescent="0.25">
      <c r="B297" s="2"/>
      <c r="C297" s="5539"/>
      <c r="D297" s="6421"/>
      <c r="E297" s="6422"/>
      <c r="F297" s="3007" t="s">
        <v>2490</v>
      </c>
      <c r="G297" s="3429">
        <f>'WSS Profile'!$F$234</f>
        <v>0</v>
      </c>
      <c r="H297" s="3430">
        <f>'WSS Profile'!F235</f>
        <v>0</v>
      </c>
      <c r="I297" s="5904"/>
      <c r="J297" s="944"/>
      <c r="K297" s="2"/>
      <c r="L297" s="1089"/>
      <c r="M297" s="1089"/>
      <c r="N297" s="2"/>
      <c r="O297" s="2"/>
      <c r="P297" s="2"/>
      <c r="Q297" s="2"/>
      <c r="R297" s="2"/>
      <c r="S297" s="2"/>
      <c r="T297" s="2"/>
      <c r="U297" s="2"/>
      <c r="V297" s="2"/>
      <c r="W297" s="2"/>
      <c r="X297" s="2"/>
      <c r="AB297" s="918"/>
    </row>
    <row r="298" spans="1:28" ht="15.75" x14ac:dyDescent="0.25">
      <c r="B298" s="2"/>
      <c r="C298" s="5539"/>
      <c r="D298" s="6429" t="s">
        <v>210</v>
      </c>
      <c r="E298" s="6589"/>
      <c r="F298" s="3009" t="s">
        <v>2866</v>
      </c>
      <c r="G298" s="6616"/>
      <c r="H298" s="6617"/>
      <c r="I298" s="5904"/>
      <c r="J298" s="2"/>
      <c r="K298" s="2"/>
      <c r="L298" s="1090"/>
      <c r="M298" s="1091"/>
      <c r="N298" s="2"/>
      <c r="O298" s="2"/>
      <c r="P298" s="2"/>
      <c r="Q298" s="2"/>
      <c r="R298" s="2"/>
      <c r="S298" s="2"/>
      <c r="T298" s="2"/>
      <c r="U298" s="2"/>
      <c r="V298" s="2"/>
      <c r="W298" s="2"/>
      <c r="X298" s="2"/>
    </row>
    <row r="299" spans="1:28" ht="15.75" x14ac:dyDescent="0.25">
      <c r="B299" s="2"/>
      <c r="C299" s="5539"/>
      <c r="D299" s="6421"/>
      <c r="E299" s="6640"/>
      <c r="F299" s="3007" t="s">
        <v>2867</v>
      </c>
      <c r="G299" s="6616"/>
      <c r="H299" s="6617"/>
      <c r="I299" s="5904"/>
      <c r="J299" s="2"/>
      <c r="K299" s="2"/>
      <c r="L299" s="2"/>
      <c r="M299" s="2"/>
      <c r="N299" s="2"/>
      <c r="O299" s="2"/>
      <c r="P299" s="2"/>
      <c r="Q299" s="2"/>
      <c r="R299" s="2"/>
      <c r="S299" s="2"/>
      <c r="T299" s="2"/>
      <c r="U299" s="2"/>
      <c r="V299" s="2"/>
      <c r="W299" s="2"/>
      <c r="X299" s="2"/>
    </row>
    <row r="300" spans="1:28" ht="44.25" customHeight="1" x14ac:dyDescent="0.25">
      <c r="B300" s="2"/>
      <c r="C300" s="5537"/>
      <c r="D300" s="6421"/>
      <c r="E300" s="6640"/>
      <c r="F300" s="3191" t="s">
        <v>3002</v>
      </c>
      <c r="G300" s="3427">
        <f>ROUND((G52*G47)+(G134*G130)+(G154*G158),0)</f>
        <v>0</v>
      </c>
      <c r="H300" s="3428">
        <f>ROUND((H52*H47)+(H134*H130)+(H154*H158),0)</f>
        <v>0</v>
      </c>
      <c r="I300" s="5904"/>
      <c r="J300" s="2"/>
      <c r="K300" s="2"/>
      <c r="L300" s="2"/>
      <c r="M300" s="2"/>
      <c r="N300" s="2"/>
      <c r="O300" s="2"/>
      <c r="P300" s="2"/>
      <c r="Q300" s="2"/>
      <c r="R300" s="2"/>
      <c r="S300" s="2"/>
      <c r="T300" s="2"/>
      <c r="U300" s="2"/>
      <c r="V300" s="2"/>
      <c r="W300" s="2"/>
      <c r="X300" s="2"/>
    </row>
    <row r="301" spans="1:28" ht="30" x14ac:dyDescent="0.25">
      <c r="B301" s="2"/>
      <c r="C301" s="5539"/>
      <c r="D301" s="6421"/>
      <c r="E301" s="6640"/>
      <c r="F301" s="3007" t="s">
        <v>2493</v>
      </c>
      <c r="G301" s="3126"/>
      <c r="H301" s="3127"/>
      <c r="I301" s="5904"/>
      <c r="J301" s="2"/>
      <c r="K301" s="2"/>
      <c r="L301" s="2"/>
      <c r="M301" s="2"/>
      <c r="N301" s="2"/>
      <c r="O301" s="2"/>
      <c r="P301" s="2"/>
      <c r="Q301" s="2"/>
      <c r="R301" s="2"/>
      <c r="S301" s="2"/>
      <c r="T301" s="2"/>
      <c r="U301" s="2"/>
      <c r="V301" s="2"/>
      <c r="W301" s="2"/>
      <c r="X301" s="2"/>
    </row>
    <row r="302" spans="1:28" ht="15.75" x14ac:dyDescent="0.25">
      <c r="B302" s="2"/>
      <c r="C302" s="5539"/>
      <c r="D302" s="6421"/>
      <c r="E302" s="6640"/>
      <c r="F302" s="3208" t="s">
        <v>2495</v>
      </c>
      <c r="G302" s="3126"/>
      <c r="H302" s="3127"/>
      <c r="I302" s="5904"/>
      <c r="J302" s="2"/>
      <c r="K302" s="2"/>
      <c r="L302" s="2"/>
      <c r="M302" s="2"/>
      <c r="N302" s="2"/>
      <c r="O302" s="2"/>
      <c r="P302" s="2"/>
      <c r="Q302" s="2"/>
      <c r="R302" s="2"/>
      <c r="S302" s="2"/>
      <c r="T302" s="2"/>
      <c r="U302" s="2"/>
      <c r="V302" s="2"/>
      <c r="W302" s="2"/>
      <c r="X302" s="2"/>
    </row>
    <row r="303" spans="1:28" s="918" customFormat="1" ht="15.75" x14ac:dyDescent="0.25">
      <c r="A303" s="921"/>
      <c r="B303" s="991"/>
      <c r="C303" s="5539"/>
      <c r="D303" s="6436"/>
      <c r="E303" s="6476"/>
      <c r="F303" s="3099" t="s">
        <v>2494</v>
      </c>
      <c r="G303" s="6513"/>
      <c r="H303" s="6514"/>
      <c r="I303" s="5904"/>
      <c r="J303" s="991"/>
      <c r="K303" s="991"/>
      <c r="L303" s="991"/>
      <c r="M303" s="991"/>
      <c r="N303" s="991"/>
      <c r="O303" s="991"/>
      <c r="P303" s="991"/>
      <c r="Q303" s="991"/>
      <c r="R303" s="991"/>
      <c r="S303" s="991"/>
      <c r="T303" s="991"/>
      <c r="U303" s="991"/>
      <c r="V303" s="991"/>
      <c r="W303" s="991"/>
      <c r="X303" s="991"/>
      <c r="Y303" s="921"/>
      <c r="Z303" s="3735"/>
    </row>
    <row r="304" spans="1:28" ht="15.75" x14ac:dyDescent="0.25">
      <c r="B304" s="2"/>
      <c r="C304" s="5539"/>
      <c r="D304" s="6421" t="s">
        <v>211</v>
      </c>
      <c r="E304" s="6422"/>
      <c r="F304" s="3007" t="s">
        <v>3555</v>
      </c>
      <c r="G304" s="6608"/>
      <c r="H304" s="6609"/>
      <c r="I304" s="5904"/>
      <c r="J304" s="2"/>
      <c r="K304" s="2"/>
      <c r="L304" s="2"/>
      <c r="M304" s="2"/>
      <c r="N304" s="2"/>
      <c r="O304" s="2"/>
      <c r="P304" s="2"/>
      <c r="Q304" s="2"/>
      <c r="R304" s="2"/>
      <c r="S304" s="2"/>
      <c r="T304" s="2"/>
      <c r="U304" s="2"/>
      <c r="V304" s="2"/>
      <c r="W304" s="2"/>
      <c r="X304" s="2"/>
    </row>
    <row r="305" spans="1:26" ht="15.75" x14ac:dyDescent="0.25">
      <c r="B305" s="2"/>
      <c r="C305" s="5539"/>
      <c r="D305" s="6421"/>
      <c r="E305" s="6422"/>
      <c r="F305" s="3019" t="s">
        <v>2491</v>
      </c>
      <c r="G305" s="6563"/>
      <c r="H305" s="6564"/>
      <c r="I305" s="5904"/>
      <c r="J305" s="2"/>
      <c r="K305" s="2"/>
      <c r="L305" s="2"/>
      <c r="M305" s="2"/>
      <c r="N305" s="2"/>
      <c r="O305" s="2"/>
      <c r="P305" s="2"/>
      <c r="Q305" s="2"/>
      <c r="R305" s="2"/>
      <c r="S305" s="2"/>
      <c r="T305" s="2"/>
      <c r="U305" s="2"/>
      <c r="V305" s="2"/>
      <c r="W305" s="2"/>
      <c r="X305" s="2"/>
    </row>
    <row r="306" spans="1:26" s="918" customFormat="1" ht="15.75" x14ac:dyDescent="0.25">
      <c r="A306" s="921"/>
      <c r="B306" s="920"/>
      <c r="C306" s="5539"/>
      <c r="D306" s="6421"/>
      <c r="E306" s="6422"/>
      <c r="F306" s="4617" t="s">
        <v>3556</v>
      </c>
      <c r="G306" s="3249"/>
      <c r="H306" s="3250"/>
      <c r="I306" s="5904"/>
      <c r="J306" s="920"/>
      <c r="K306" s="920"/>
      <c r="L306" s="920"/>
      <c r="M306" s="920"/>
      <c r="N306" s="920"/>
      <c r="O306" s="920"/>
      <c r="P306" s="920"/>
      <c r="Q306" s="920"/>
      <c r="R306" s="920"/>
      <c r="S306" s="920"/>
      <c r="T306" s="920"/>
      <c r="U306" s="920"/>
      <c r="V306" s="920"/>
      <c r="W306" s="920"/>
      <c r="X306" s="920"/>
      <c r="Y306" s="921"/>
      <c r="Z306" s="3735"/>
    </row>
    <row r="307" spans="1:26" s="493" customFormat="1" ht="33.75" customHeight="1" thickBot="1" x14ac:dyDescent="0.3">
      <c r="A307" s="474"/>
      <c r="B307" s="303"/>
      <c r="C307" s="5543"/>
      <c r="D307" s="6432"/>
      <c r="E307" s="6433"/>
      <c r="F307" s="3192" t="s">
        <v>3557</v>
      </c>
      <c r="G307" s="6610"/>
      <c r="H307" s="6611"/>
      <c r="I307" s="5904"/>
      <c r="J307" s="303"/>
      <c r="K307" s="303"/>
      <c r="L307" s="303"/>
      <c r="M307" s="303"/>
      <c r="N307" s="303"/>
      <c r="O307" s="303"/>
      <c r="P307" s="303"/>
      <c r="Q307" s="303"/>
      <c r="R307" s="303"/>
      <c r="S307" s="303"/>
      <c r="T307" s="303"/>
      <c r="U307" s="303"/>
      <c r="V307" s="303"/>
      <c r="W307" s="303"/>
      <c r="X307" s="303"/>
      <c r="Y307" s="474"/>
      <c r="Z307" s="3740"/>
    </row>
    <row r="308" spans="1:26" ht="18.75" thickBot="1" x14ac:dyDescent="0.3">
      <c r="A308" s="921"/>
      <c r="B308" s="991"/>
      <c r="C308" s="5542" t="s">
        <v>3145</v>
      </c>
      <c r="D308" s="3422" t="s">
        <v>786</v>
      </c>
      <c r="E308" s="2976" t="s">
        <v>79</v>
      </c>
      <c r="F308" s="2977" t="s">
        <v>1550</v>
      </c>
      <c r="G308" s="3922">
        <v>2015</v>
      </c>
      <c r="H308" s="3932">
        <v>2016</v>
      </c>
      <c r="I308" s="5904"/>
      <c r="J308" s="991"/>
      <c r="K308" s="991"/>
      <c r="L308" s="1079"/>
      <c r="M308" s="2"/>
      <c r="N308" s="2"/>
      <c r="O308" s="2"/>
      <c r="P308" s="2"/>
      <c r="Q308" s="2"/>
      <c r="R308" s="2"/>
      <c r="S308" s="2"/>
      <c r="T308" s="2"/>
      <c r="U308" s="2"/>
      <c r="V308" s="2"/>
      <c r="W308" s="2"/>
      <c r="X308" s="2"/>
      <c r="Z308" s="3735" t="b">
        <f>'Perf assessment'!U163</f>
        <v>1</v>
      </c>
    </row>
    <row r="309" spans="1:26" ht="15.75" x14ac:dyDescent="0.25">
      <c r="A309" s="921"/>
      <c r="B309" s="991"/>
      <c r="C309" s="5539"/>
      <c r="D309" s="6457" t="s">
        <v>82</v>
      </c>
      <c r="E309" s="6458"/>
      <c r="F309" s="2974" t="s">
        <v>3805</v>
      </c>
      <c r="G309" s="3130" t="s">
        <v>207</v>
      </c>
      <c r="H309" s="3431">
        <f>'WSS Profile'!$F$268</f>
        <v>1</v>
      </c>
      <c r="I309" s="5904"/>
      <c r="J309" s="991"/>
      <c r="K309" s="991"/>
      <c r="L309" s="1079"/>
      <c r="M309" s="2"/>
      <c r="N309" s="2"/>
      <c r="O309" s="2"/>
      <c r="P309" s="2"/>
      <c r="Q309" s="2"/>
      <c r="R309" s="2"/>
      <c r="S309" s="2"/>
      <c r="T309" s="2"/>
      <c r="U309" s="2"/>
      <c r="V309" s="2"/>
      <c r="W309" s="2"/>
      <c r="X309" s="2"/>
    </row>
    <row r="310" spans="1:26" s="918" customFormat="1" ht="15.75" x14ac:dyDescent="0.25">
      <c r="A310" s="921"/>
      <c r="B310" s="991"/>
      <c r="C310" s="5539"/>
      <c r="D310" s="6421"/>
      <c r="E310" s="6422"/>
      <c r="F310" s="3110" t="s">
        <v>2400</v>
      </c>
      <c r="G310" s="3141" t="s">
        <v>207</v>
      </c>
      <c r="H310" s="3432">
        <f>'WSS Profile'!G268</f>
        <v>0</v>
      </c>
      <c r="I310" s="5904"/>
      <c r="J310" s="991"/>
      <c r="K310" s="991"/>
      <c r="L310" s="1079"/>
      <c r="M310" s="991"/>
      <c r="N310" s="991"/>
      <c r="O310" s="991"/>
      <c r="P310" s="991"/>
      <c r="Q310" s="991"/>
      <c r="R310" s="991"/>
      <c r="S310" s="991"/>
      <c r="T310" s="991"/>
      <c r="U310" s="991"/>
      <c r="V310" s="991"/>
      <c r="W310" s="991"/>
      <c r="X310" s="991"/>
      <c r="Y310" s="921"/>
      <c r="Z310" s="3739"/>
    </row>
    <row r="311" spans="1:26" ht="15.75" x14ac:dyDescent="0.25">
      <c r="B311" s="2"/>
      <c r="C311" s="5539"/>
      <c r="D311" s="6429" t="s">
        <v>210</v>
      </c>
      <c r="E311" s="6430"/>
      <c r="F311" s="5340" t="s">
        <v>3803</v>
      </c>
      <c r="G311" s="3143"/>
      <c r="H311" s="3433"/>
      <c r="I311" s="5904"/>
      <c r="J311" s="2"/>
      <c r="K311" s="2"/>
      <c r="L311" s="2"/>
      <c r="M311" s="2"/>
      <c r="N311" s="2"/>
      <c r="O311" s="2"/>
      <c r="P311" s="2"/>
      <c r="Q311" s="2"/>
      <c r="R311" s="2"/>
      <c r="S311" s="2"/>
      <c r="T311" s="2"/>
      <c r="U311" s="2"/>
      <c r="V311" s="2"/>
      <c r="W311" s="2"/>
      <c r="X311" s="2"/>
    </row>
    <row r="312" spans="1:26" s="918" customFormat="1" ht="15.75" x14ac:dyDescent="0.25">
      <c r="A312" s="921"/>
      <c r="B312" s="991"/>
      <c r="C312" s="5539"/>
      <c r="D312" s="6421"/>
      <c r="E312" s="6422"/>
      <c r="F312" s="3110" t="s">
        <v>3804</v>
      </c>
      <c r="G312" s="3141" t="s">
        <v>207</v>
      </c>
      <c r="H312" s="3159">
        <v>2</v>
      </c>
      <c r="I312" s="5904"/>
      <c r="J312" s="991"/>
      <c r="K312" s="991"/>
      <c r="L312" s="991"/>
      <c r="M312" s="991"/>
      <c r="N312" s="991"/>
      <c r="O312" s="991"/>
      <c r="P312" s="991"/>
      <c r="Q312" s="991"/>
      <c r="R312" s="991"/>
      <c r="S312" s="991"/>
      <c r="T312" s="991"/>
      <c r="U312" s="991"/>
      <c r="V312" s="991"/>
      <c r="W312" s="991"/>
      <c r="X312" s="991"/>
      <c r="Y312" s="921"/>
      <c r="Z312" s="3739"/>
    </row>
    <row r="313" spans="1:26" s="918" customFormat="1" ht="15.75" x14ac:dyDescent="0.25">
      <c r="A313" s="921"/>
      <c r="B313" s="991"/>
      <c r="C313" s="5539"/>
      <c r="D313" s="6421"/>
      <c r="E313" s="6422"/>
      <c r="F313" s="3110" t="s">
        <v>2603</v>
      </c>
      <c r="G313" s="3141" t="s">
        <v>2604</v>
      </c>
      <c r="H313" s="3246">
        <v>7</v>
      </c>
      <c r="I313" s="5904"/>
      <c r="J313" s="991"/>
      <c r="K313" s="991"/>
      <c r="L313" s="991"/>
      <c r="M313" s="991"/>
      <c r="N313" s="991"/>
      <c r="O313" s="991"/>
      <c r="P313" s="991"/>
      <c r="Q313" s="991"/>
      <c r="R313" s="991"/>
      <c r="S313" s="991"/>
      <c r="T313" s="991"/>
      <c r="U313" s="991"/>
      <c r="V313" s="991"/>
      <c r="W313" s="991"/>
      <c r="X313" s="991"/>
      <c r="Y313" s="921"/>
      <c r="Z313" s="3735"/>
    </row>
    <row r="314" spans="1:26" s="918" customFormat="1" ht="15.75" x14ac:dyDescent="0.25">
      <c r="A314" s="921"/>
      <c r="B314" s="991"/>
      <c r="C314" s="5539"/>
      <c r="D314" s="6421"/>
      <c r="E314" s="6422"/>
      <c r="F314" s="3110" t="s">
        <v>2661</v>
      </c>
      <c r="G314" s="3141" t="s">
        <v>2660</v>
      </c>
      <c r="H314" s="3246">
        <v>3</v>
      </c>
      <c r="I314" s="5904"/>
      <c r="J314" s="991"/>
      <c r="K314" s="991"/>
      <c r="L314" s="991"/>
      <c r="M314" s="991"/>
      <c r="N314" s="991"/>
      <c r="O314" s="991"/>
      <c r="P314" s="991"/>
      <c r="Q314" s="991"/>
      <c r="R314" s="991"/>
      <c r="S314" s="991"/>
      <c r="T314" s="991"/>
      <c r="U314" s="991"/>
      <c r="V314" s="991"/>
      <c r="W314" s="991"/>
      <c r="X314" s="991"/>
      <c r="Y314" s="921"/>
      <c r="Z314" s="3735"/>
    </row>
    <row r="315" spans="1:26" s="918" customFormat="1" ht="15.75" x14ac:dyDescent="0.25">
      <c r="A315" s="921"/>
      <c r="B315" s="991"/>
      <c r="C315" s="5539"/>
      <c r="D315" s="6421"/>
      <c r="E315" s="6422"/>
      <c r="F315" s="5340" t="s">
        <v>1162</v>
      </c>
      <c r="G315" s="3141"/>
      <c r="H315" s="3434"/>
      <c r="I315" s="5904"/>
      <c r="J315" s="991"/>
      <c r="K315" s="991"/>
      <c r="L315" s="991"/>
      <c r="M315" s="991"/>
      <c r="N315" s="991"/>
      <c r="O315" s="991"/>
      <c r="P315" s="991"/>
      <c r="Q315" s="991"/>
      <c r="R315" s="991"/>
      <c r="S315" s="991"/>
      <c r="T315" s="991"/>
      <c r="U315" s="991"/>
      <c r="V315" s="991"/>
      <c r="W315" s="991"/>
      <c r="X315" s="991"/>
      <c r="Y315" s="921"/>
      <c r="Z315" s="3735"/>
    </row>
    <row r="316" spans="1:26" s="918" customFormat="1" ht="30" x14ac:dyDescent="0.25">
      <c r="A316" s="921"/>
      <c r="B316" s="991"/>
      <c r="C316" s="5539"/>
      <c r="D316" s="6421"/>
      <c r="E316" s="6422"/>
      <c r="F316" s="3110" t="s">
        <v>2401</v>
      </c>
      <c r="G316" s="3111" t="s">
        <v>207</v>
      </c>
      <c r="H316" s="3243"/>
      <c r="I316" s="5904"/>
      <c r="J316" s="991"/>
      <c r="K316" s="991"/>
      <c r="L316" s="991"/>
      <c r="M316" s="991"/>
      <c r="N316" s="991"/>
      <c r="O316" s="991"/>
      <c r="P316" s="991"/>
      <c r="Q316" s="991"/>
      <c r="R316" s="991"/>
      <c r="S316" s="991"/>
      <c r="T316" s="991"/>
      <c r="U316" s="991"/>
      <c r="V316" s="991"/>
      <c r="W316" s="991"/>
      <c r="X316" s="991"/>
      <c r="Y316" s="921"/>
      <c r="Z316" s="3735"/>
    </row>
    <row r="317" spans="1:26" s="918" customFormat="1" ht="15.75" x14ac:dyDescent="0.25">
      <c r="A317" s="921"/>
      <c r="B317" s="991"/>
      <c r="C317" s="5539"/>
      <c r="D317" s="6421"/>
      <c r="E317" s="6422"/>
      <c r="F317" s="3110" t="s">
        <v>2603</v>
      </c>
      <c r="G317" s="3141" t="s">
        <v>2604</v>
      </c>
      <c r="H317" s="3247"/>
      <c r="I317" s="5904"/>
      <c r="J317" s="991"/>
      <c r="K317" s="991"/>
      <c r="L317" s="991"/>
      <c r="M317" s="991"/>
      <c r="N317" s="991"/>
      <c r="O317" s="991"/>
      <c r="P317" s="991"/>
      <c r="Q317" s="991"/>
      <c r="R317" s="991"/>
      <c r="S317" s="991"/>
      <c r="T317" s="991"/>
      <c r="U317" s="991"/>
      <c r="V317" s="991"/>
      <c r="W317" s="991"/>
      <c r="X317" s="991"/>
      <c r="Y317" s="921"/>
      <c r="Z317" s="3735"/>
    </row>
    <row r="318" spans="1:26" s="918" customFormat="1" ht="15.75" x14ac:dyDescent="0.25">
      <c r="A318" s="921"/>
      <c r="B318" s="991"/>
      <c r="C318" s="5539"/>
      <c r="D318" s="6436"/>
      <c r="E318" s="6437"/>
      <c r="F318" s="3144" t="s">
        <v>2601</v>
      </c>
      <c r="G318" s="3145" t="s">
        <v>2660</v>
      </c>
      <c r="H318" s="3243"/>
      <c r="I318" s="5904"/>
      <c r="J318" s="991"/>
      <c r="K318" s="991"/>
      <c r="L318" s="991"/>
      <c r="M318" s="991"/>
      <c r="N318" s="991"/>
      <c r="O318" s="991"/>
      <c r="P318" s="991"/>
      <c r="Q318" s="991"/>
      <c r="R318" s="991"/>
      <c r="S318" s="991"/>
      <c r="T318" s="991"/>
      <c r="U318" s="991"/>
      <c r="V318" s="991"/>
      <c r="W318" s="991"/>
      <c r="X318" s="991"/>
      <c r="Y318" s="921"/>
      <c r="Z318" s="3735"/>
    </row>
    <row r="319" spans="1:26" ht="15.75" x14ac:dyDescent="0.25">
      <c r="B319" s="2"/>
      <c r="C319" s="5539"/>
      <c r="D319" s="6421" t="s">
        <v>211</v>
      </c>
      <c r="E319" s="6422"/>
      <c r="F319" s="3031" t="s">
        <v>3807</v>
      </c>
      <c r="G319" s="3155" t="s">
        <v>3550</v>
      </c>
      <c r="H319" s="3248">
        <v>1200000</v>
      </c>
      <c r="I319" s="5904"/>
      <c r="J319" s="2"/>
      <c r="K319" s="2"/>
      <c r="L319" s="2"/>
      <c r="M319" s="2"/>
      <c r="N319" s="2"/>
      <c r="O319" s="2"/>
      <c r="P319" s="2"/>
      <c r="Q319" s="2"/>
      <c r="R319" s="2"/>
      <c r="S319" s="2"/>
      <c r="T319" s="2"/>
      <c r="U319" s="2"/>
      <c r="V319" s="2"/>
      <c r="W319" s="2"/>
      <c r="X319" s="2"/>
    </row>
    <row r="320" spans="1:26" ht="15.75" x14ac:dyDescent="0.25">
      <c r="B320" s="2"/>
      <c r="C320" s="5539"/>
      <c r="D320" s="6421"/>
      <c r="E320" s="6422"/>
      <c r="F320" s="3193" t="s">
        <v>3806</v>
      </c>
      <c r="G320" s="3141" t="s">
        <v>1998</v>
      </c>
      <c r="H320" s="3240">
        <v>0.5</v>
      </c>
      <c r="I320" s="5904"/>
      <c r="J320" s="2"/>
      <c r="K320" s="2"/>
      <c r="L320" s="2"/>
      <c r="M320" s="2"/>
      <c r="N320" s="2"/>
      <c r="O320" s="2"/>
      <c r="P320" s="2"/>
      <c r="Q320" s="2"/>
      <c r="R320" s="2"/>
      <c r="S320" s="2"/>
      <c r="T320" s="2"/>
      <c r="U320" s="2"/>
      <c r="V320" s="2"/>
      <c r="W320" s="2"/>
      <c r="X320" s="2"/>
    </row>
    <row r="321" spans="1:26" s="484" customFormat="1" ht="15.75" hidden="1" x14ac:dyDescent="0.25">
      <c r="A321" s="482"/>
      <c r="B321" s="352"/>
      <c r="C321" s="5540"/>
      <c r="D321" s="6421"/>
      <c r="E321" s="6422"/>
      <c r="F321" s="5617" t="s">
        <v>2402</v>
      </c>
      <c r="G321" s="5618" t="s">
        <v>1999</v>
      </c>
      <c r="H321" s="5619"/>
      <c r="I321" s="5904"/>
      <c r="J321" s="352" t="s">
        <v>3398</v>
      </c>
      <c r="K321" s="352"/>
      <c r="L321" s="352"/>
      <c r="M321" s="352"/>
      <c r="N321" s="352"/>
      <c r="O321" s="352"/>
      <c r="P321" s="352"/>
      <c r="Q321" s="352"/>
      <c r="R321" s="352"/>
      <c r="S321" s="352"/>
      <c r="T321" s="352"/>
      <c r="U321" s="352"/>
      <c r="V321" s="352"/>
      <c r="W321" s="352"/>
      <c r="X321" s="352"/>
      <c r="Y321" s="482"/>
      <c r="Z321" s="3735"/>
    </row>
    <row r="322" spans="1:26" s="918" customFormat="1" ht="16.5" thickBot="1" x14ac:dyDescent="0.3">
      <c r="A322" s="921"/>
      <c r="B322" s="991"/>
      <c r="C322" s="5537"/>
      <c r="D322" s="6630"/>
      <c r="E322" s="6631"/>
      <c r="F322" s="6489" t="s">
        <v>2181</v>
      </c>
      <c r="G322" s="6489"/>
      <c r="H322" s="6490"/>
      <c r="I322" s="5904"/>
      <c r="J322" s="991"/>
      <c r="K322" s="991"/>
      <c r="L322" s="991"/>
      <c r="M322" s="991"/>
      <c r="N322" s="991"/>
      <c r="O322" s="991"/>
      <c r="P322" s="991"/>
      <c r="Q322" s="991"/>
      <c r="R322" s="991"/>
      <c r="S322" s="991"/>
      <c r="T322" s="991"/>
      <c r="U322" s="991"/>
      <c r="V322" s="991"/>
      <c r="W322" s="991"/>
      <c r="X322" s="991"/>
      <c r="Y322" s="921"/>
      <c r="Z322" s="3735"/>
    </row>
    <row r="323" spans="1:26" ht="18" customHeight="1" thickBot="1" x14ac:dyDescent="0.3">
      <c r="B323" s="991"/>
      <c r="C323" s="5538" t="s">
        <v>3146</v>
      </c>
      <c r="D323" s="3422" t="s">
        <v>786</v>
      </c>
      <c r="E323" s="3166" t="s">
        <v>79</v>
      </c>
      <c r="F323" s="3167" t="s">
        <v>2558</v>
      </c>
      <c r="G323" s="3922">
        <v>2015</v>
      </c>
      <c r="H323" s="3923">
        <v>2016</v>
      </c>
      <c r="I323" s="5904"/>
      <c r="J323" s="2"/>
      <c r="K323" s="2"/>
      <c r="L323" s="2"/>
      <c r="M323" s="2"/>
      <c r="N323" s="2"/>
      <c r="O323" s="2"/>
      <c r="P323" s="2"/>
      <c r="Q323" s="2"/>
      <c r="R323" s="2"/>
      <c r="S323" s="2"/>
      <c r="T323" s="2"/>
      <c r="U323" s="2"/>
      <c r="V323" s="2"/>
      <c r="W323" s="2"/>
      <c r="X323" s="2"/>
      <c r="Z323" s="3735" t="b">
        <f>'Perf assessment'!U164</f>
        <v>1</v>
      </c>
    </row>
    <row r="324" spans="1:26" ht="15.75" x14ac:dyDescent="0.25">
      <c r="B324" s="991"/>
      <c r="C324" s="5539"/>
      <c r="D324" s="6457" t="s">
        <v>82</v>
      </c>
      <c r="E324" s="6458"/>
      <c r="F324" s="2974" t="s">
        <v>2559</v>
      </c>
      <c r="G324" s="3113" t="s">
        <v>2002</v>
      </c>
      <c r="H324" s="2183">
        <f>'WSS Profile'!$G$274</f>
        <v>0</v>
      </c>
      <c r="I324" s="5904"/>
      <c r="J324" s="2"/>
      <c r="K324" s="2"/>
      <c r="L324" s="2"/>
      <c r="M324" s="2"/>
      <c r="N324" s="2"/>
      <c r="O324" s="2"/>
      <c r="P324" s="2"/>
      <c r="Q324" s="2"/>
      <c r="R324" s="2"/>
      <c r="S324" s="2"/>
      <c r="T324" s="2"/>
      <c r="U324" s="2"/>
      <c r="V324" s="2"/>
      <c r="W324" s="2"/>
      <c r="X324" s="2"/>
    </row>
    <row r="325" spans="1:26" s="918" customFormat="1" ht="15.75" x14ac:dyDescent="0.25">
      <c r="A325" s="921"/>
      <c r="B325" s="991"/>
      <c r="C325" s="5539"/>
      <c r="D325" s="6421"/>
      <c r="E325" s="6422"/>
      <c r="F325" s="3110" t="s">
        <v>2561</v>
      </c>
      <c r="G325" s="3111" t="s">
        <v>2002</v>
      </c>
      <c r="H325" s="3385">
        <f>'WW calcu'!E647*'WW calcu'!M624</f>
        <v>0</v>
      </c>
      <c r="I325" s="5904"/>
      <c r="J325" s="991"/>
      <c r="K325" s="991"/>
      <c r="L325" s="991"/>
      <c r="M325" s="991"/>
      <c r="N325" s="991"/>
      <c r="O325" s="991"/>
      <c r="P325" s="991"/>
      <c r="Q325" s="991"/>
      <c r="R325" s="991"/>
      <c r="S325" s="991"/>
      <c r="T325" s="991"/>
      <c r="U325" s="991"/>
      <c r="V325" s="991"/>
      <c r="W325" s="991"/>
      <c r="X325" s="991"/>
      <c r="Y325" s="921"/>
      <c r="Z325" s="3739"/>
    </row>
    <row r="326" spans="1:26" ht="15.75" x14ac:dyDescent="0.25">
      <c r="B326" s="991"/>
      <c r="C326" s="5539"/>
      <c r="D326" s="6429" t="s">
        <v>210</v>
      </c>
      <c r="E326" s="6430"/>
      <c r="F326" s="3211" t="s">
        <v>2563</v>
      </c>
      <c r="G326" s="3150" t="s">
        <v>2002</v>
      </c>
      <c r="H326" s="3243">
        <v>800</v>
      </c>
      <c r="I326" s="5904"/>
      <c r="J326" s="2"/>
      <c r="K326" s="2"/>
      <c r="L326" s="2"/>
      <c r="M326" s="2"/>
      <c r="N326" s="2"/>
      <c r="O326" s="2"/>
      <c r="P326" s="2"/>
      <c r="Q326" s="2"/>
      <c r="R326" s="2"/>
      <c r="S326" s="2"/>
      <c r="T326" s="2"/>
      <c r="U326" s="2"/>
      <c r="V326" s="2"/>
      <c r="W326" s="2"/>
      <c r="X326" s="2"/>
    </row>
    <row r="327" spans="1:26" s="918" customFormat="1" ht="15.75" x14ac:dyDescent="0.25">
      <c r="A327" s="921"/>
      <c r="B327" s="991"/>
      <c r="C327" s="5539"/>
      <c r="D327" s="6421"/>
      <c r="E327" s="6422"/>
      <c r="F327" s="3031" t="s">
        <v>2560</v>
      </c>
      <c r="G327" s="3155" t="s">
        <v>18</v>
      </c>
      <c r="H327" s="3244">
        <v>0.2</v>
      </c>
      <c r="I327" s="5904"/>
      <c r="J327" s="991"/>
      <c r="K327" s="991"/>
      <c r="L327" s="991"/>
      <c r="M327" s="991"/>
      <c r="N327" s="991"/>
      <c r="O327" s="991"/>
      <c r="P327" s="991"/>
      <c r="Q327" s="991"/>
      <c r="R327" s="991"/>
      <c r="S327" s="991"/>
      <c r="T327" s="991"/>
      <c r="U327" s="991"/>
      <c r="V327" s="991"/>
      <c r="W327" s="991"/>
      <c r="X327" s="991"/>
      <c r="Y327" s="921"/>
      <c r="Z327" s="3735"/>
    </row>
    <row r="328" spans="1:26" s="918" customFormat="1" ht="15.75" x14ac:dyDescent="0.25">
      <c r="A328" s="921"/>
      <c r="B328" s="991"/>
      <c r="C328" s="5539"/>
      <c r="D328" s="6436"/>
      <c r="E328" s="6437"/>
      <c r="F328" s="3078" t="s">
        <v>2408</v>
      </c>
      <c r="G328" s="3212" t="s">
        <v>68</v>
      </c>
      <c r="H328" s="3245">
        <v>2018</v>
      </c>
      <c r="I328" s="5904"/>
      <c r="J328" s="991"/>
      <c r="K328" s="991"/>
      <c r="L328" s="991"/>
      <c r="M328" s="991"/>
      <c r="N328" s="991"/>
      <c r="O328" s="991"/>
      <c r="P328" s="991"/>
      <c r="Q328" s="991"/>
      <c r="R328" s="991"/>
      <c r="S328" s="991"/>
      <c r="T328" s="991"/>
      <c r="U328" s="991"/>
      <c r="V328" s="991"/>
      <c r="W328" s="991"/>
      <c r="X328" s="991"/>
      <c r="Y328" s="921"/>
      <c r="Z328" s="3735"/>
    </row>
    <row r="329" spans="1:26" ht="15.75" x14ac:dyDescent="0.25">
      <c r="B329" s="2"/>
      <c r="C329" s="5539"/>
      <c r="D329" s="6421" t="s">
        <v>211</v>
      </c>
      <c r="E329" s="6422"/>
      <c r="F329" s="3031" t="s">
        <v>3558</v>
      </c>
      <c r="G329" s="3155" t="s">
        <v>3520</v>
      </c>
      <c r="H329" s="3803">
        <v>9000000</v>
      </c>
      <c r="I329" s="5904"/>
      <c r="J329" s="2"/>
      <c r="K329" s="2"/>
      <c r="L329" s="2"/>
      <c r="M329" s="2"/>
      <c r="N329" s="2"/>
      <c r="O329" s="2"/>
      <c r="P329" s="2"/>
      <c r="Q329" s="2"/>
      <c r="R329" s="2"/>
      <c r="S329" s="2"/>
      <c r="T329" s="2"/>
      <c r="U329" s="2"/>
      <c r="V329" s="2"/>
      <c r="W329" s="2"/>
      <c r="X329" s="2"/>
    </row>
    <row r="330" spans="1:26" ht="15.75" x14ac:dyDescent="0.25">
      <c r="B330" s="2"/>
      <c r="C330" s="5539"/>
      <c r="D330" s="6421"/>
      <c r="E330" s="6422"/>
      <c r="F330" s="3037" t="s">
        <v>1066</v>
      </c>
      <c r="G330" s="3155" t="s">
        <v>1998</v>
      </c>
      <c r="H330" s="3242">
        <v>0.05</v>
      </c>
      <c r="I330" s="5904"/>
      <c r="J330" s="2"/>
      <c r="K330" s="2"/>
      <c r="L330" s="2"/>
      <c r="M330" s="2"/>
      <c r="N330" s="2"/>
      <c r="O330" s="2"/>
      <c r="P330" s="2"/>
      <c r="Q330" s="2"/>
      <c r="R330" s="2"/>
      <c r="S330" s="2"/>
      <c r="T330" s="2"/>
      <c r="U330" s="2"/>
      <c r="V330" s="2"/>
      <c r="W330" s="2"/>
      <c r="X330" s="2"/>
    </row>
    <row r="331" spans="1:26" s="484" customFormat="1" ht="17.25" customHeight="1" thickBot="1" x14ac:dyDescent="0.3">
      <c r="A331" s="482"/>
      <c r="B331" s="352"/>
      <c r="C331" s="5539"/>
      <c r="D331" s="6455"/>
      <c r="E331" s="6456"/>
      <c r="F331" s="3194" t="s">
        <v>3797</v>
      </c>
      <c r="G331" s="3195" t="s">
        <v>3559</v>
      </c>
      <c r="H331" s="3234">
        <v>1</v>
      </c>
      <c r="I331" s="5904"/>
      <c r="J331" s="352"/>
      <c r="K331" s="352"/>
      <c r="L331" s="352"/>
      <c r="M331" s="352"/>
      <c r="N331" s="352"/>
      <c r="O331" s="352"/>
      <c r="P331" s="352"/>
      <c r="Q331" s="352"/>
      <c r="R331" s="352"/>
      <c r="S331" s="352"/>
      <c r="T331" s="352"/>
      <c r="U331" s="352"/>
      <c r="V331" s="352"/>
      <c r="W331" s="352"/>
      <c r="X331" s="352"/>
      <c r="Y331" s="482"/>
      <c r="Z331" s="3735"/>
    </row>
    <row r="332" spans="1:26" ht="18.75" thickBot="1" x14ac:dyDescent="0.3">
      <c r="B332" s="991"/>
      <c r="C332" s="5538" t="s">
        <v>3147</v>
      </c>
      <c r="D332" s="3422" t="s">
        <v>786</v>
      </c>
      <c r="E332" s="3166" t="s">
        <v>78</v>
      </c>
      <c r="F332" s="3167" t="s">
        <v>2001</v>
      </c>
      <c r="G332" s="3922"/>
      <c r="H332" s="3923"/>
      <c r="I332" s="5904"/>
      <c r="J332" s="2"/>
      <c r="K332" s="2"/>
      <c r="L332" s="2"/>
      <c r="M332" s="2"/>
      <c r="N332" s="2"/>
      <c r="O332" s="2"/>
      <c r="P332" s="2"/>
      <c r="Q332" s="2"/>
      <c r="R332" s="2"/>
      <c r="S332" s="2"/>
      <c r="T332" s="2"/>
      <c r="U332" s="2"/>
      <c r="V332" s="2"/>
      <c r="W332" s="2"/>
      <c r="X332" s="2"/>
      <c r="Z332" s="3735" t="b">
        <f>'Perf assessment'!U165</f>
        <v>1</v>
      </c>
    </row>
    <row r="333" spans="1:26" ht="30" x14ac:dyDescent="0.25">
      <c r="B333" s="991"/>
      <c r="C333" s="5539"/>
      <c r="D333" s="6457" t="s">
        <v>82</v>
      </c>
      <c r="E333" s="6458"/>
      <c r="F333" s="2974" t="s">
        <v>2409</v>
      </c>
      <c r="G333" s="3113" t="s">
        <v>19</v>
      </c>
      <c r="H333" s="2183">
        <f>'WSS Profile'!$G$281</f>
        <v>0</v>
      </c>
      <c r="I333" s="5904"/>
      <c r="J333" s="2"/>
      <c r="K333" s="2"/>
      <c r="L333" s="2"/>
      <c r="M333" s="2"/>
      <c r="N333" s="2"/>
      <c r="O333" s="2"/>
      <c r="P333" s="2"/>
      <c r="Q333" s="2"/>
      <c r="R333" s="2"/>
      <c r="S333" s="2"/>
      <c r="T333" s="2"/>
      <c r="U333" s="2"/>
      <c r="V333" s="2"/>
      <c r="W333" s="2"/>
      <c r="X333" s="2"/>
    </row>
    <row r="334" spans="1:26" ht="30" x14ac:dyDescent="0.25">
      <c r="B334" s="991"/>
      <c r="C334" s="5539"/>
      <c r="D334" s="6421"/>
      <c r="E334" s="6422"/>
      <c r="F334" s="3110" t="s">
        <v>2564</v>
      </c>
      <c r="G334" s="3111" t="s">
        <v>19</v>
      </c>
      <c r="H334" s="2183">
        <f>'WW calcu'!E726</f>
        <v>0</v>
      </c>
      <c r="I334" s="5904"/>
      <c r="J334" s="421"/>
      <c r="K334" s="2"/>
      <c r="L334" s="2"/>
      <c r="M334" s="2"/>
      <c r="N334" s="2"/>
      <c r="O334" s="2"/>
      <c r="P334" s="2"/>
      <c r="Q334" s="2"/>
      <c r="R334" s="2"/>
      <c r="S334" s="2"/>
      <c r="T334" s="2"/>
      <c r="U334" s="2"/>
      <c r="V334" s="2"/>
      <c r="W334" s="2"/>
      <c r="X334" s="2"/>
    </row>
    <row r="335" spans="1:26" ht="15.75" x14ac:dyDescent="0.25">
      <c r="B335" s="991"/>
      <c r="C335" s="5539"/>
      <c r="D335" s="6429" t="s">
        <v>210</v>
      </c>
      <c r="E335" s="6430"/>
      <c r="F335" s="3142" t="s">
        <v>2562</v>
      </c>
      <c r="G335" s="3150" t="s">
        <v>19</v>
      </c>
      <c r="H335" s="3235"/>
      <c r="I335" s="5904"/>
      <c r="J335" s="2"/>
      <c r="K335" s="2"/>
      <c r="L335" s="2"/>
      <c r="M335" s="2"/>
      <c r="N335" s="2"/>
      <c r="O335" s="2"/>
      <c r="P335" s="2"/>
      <c r="Q335" s="2"/>
      <c r="R335" s="2"/>
      <c r="S335" s="2"/>
      <c r="T335" s="2"/>
      <c r="U335" s="2"/>
      <c r="V335" s="2"/>
      <c r="W335" s="2"/>
      <c r="X335" s="2"/>
    </row>
    <row r="336" spans="1:26" s="918" customFormat="1" ht="33.75" customHeight="1" x14ac:dyDescent="0.25">
      <c r="A336" s="921"/>
      <c r="B336" s="991"/>
      <c r="C336" s="5539"/>
      <c r="D336" s="6421"/>
      <c r="E336" s="6422"/>
      <c r="F336" s="3110" t="s">
        <v>3003</v>
      </c>
      <c r="G336" s="3111" t="s">
        <v>18</v>
      </c>
      <c r="H336" s="3241"/>
      <c r="I336" s="5904"/>
      <c r="J336" s="991"/>
      <c r="K336" s="991"/>
      <c r="L336" s="991"/>
      <c r="M336" s="991"/>
      <c r="N336" s="991"/>
      <c r="O336" s="991"/>
      <c r="P336" s="991"/>
      <c r="Q336" s="991"/>
      <c r="R336" s="991"/>
      <c r="S336" s="991"/>
      <c r="T336" s="991"/>
      <c r="U336" s="991"/>
      <c r="V336" s="991"/>
      <c r="W336" s="991"/>
      <c r="X336" s="991"/>
      <c r="Y336" s="921"/>
      <c r="Z336" s="3735"/>
    </row>
    <row r="337" spans="1:26" s="918" customFormat="1" ht="15.75" x14ac:dyDescent="0.25">
      <c r="A337" s="921"/>
      <c r="B337" s="991"/>
      <c r="C337" s="5539"/>
      <c r="D337" s="6436"/>
      <c r="E337" s="6437"/>
      <c r="F337" s="3078" t="s">
        <v>2410</v>
      </c>
      <c r="G337" s="3114" t="s">
        <v>68</v>
      </c>
      <c r="H337" s="3238"/>
      <c r="I337" s="5904"/>
      <c r="J337" s="991"/>
      <c r="K337" s="991"/>
      <c r="L337" s="991"/>
      <c r="M337" s="991"/>
      <c r="N337" s="991"/>
      <c r="O337" s="991"/>
      <c r="P337" s="991"/>
      <c r="Q337" s="991"/>
      <c r="R337" s="991"/>
      <c r="S337" s="991"/>
      <c r="T337" s="991"/>
      <c r="U337" s="991"/>
      <c r="V337" s="991"/>
      <c r="W337" s="991"/>
      <c r="X337" s="991"/>
      <c r="Y337" s="921"/>
      <c r="Z337" s="3735"/>
    </row>
    <row r="338" spans="1:26" ht="15.75" x14ac:dyDescent="0.25">
      <c r="B338" s="991"/>
      <c r="C338" s="5539"/>
      <c r="D338" s="6421" t="s">
        <v>211</v>
      </c>
      <c r="E338" s="6422"/>
      <c r="F338" s="3031" t="s">
        <v>2411</v>
      </c>
      <c r="G338" s="3155" t="s">
        <v>3560</v>
      </c>
      <c r="H338" s="3049"/>
      <c r="I338" s="5904"/>
      <c r="J338" s="944"/>
      <c r="K338" s="2"/>
      <c r="L338" s="2"/>
      <c r="M338" s="2"/>
      <c r="N338" s="2"/>
      <c r="O338" s="2"/>
      <c r="P338" s="2"/>
      <c r="Q338" s="2"/>
      <c r="R338" s="2"/>
      <c r="S338" s="2"/>
      <c r="T338" s="2"/>
      <c r="U338" s="2"/>
      <c r="V338" s="2"/>
      <c r="W338" s="2"/>
      <c r="X338" s="2"/>
    </row>
    <row r="339" spans="1:26" ht="15.75" x14ac:dyDescent="0.25">
      <c r="B339" s="991"/>
      <c r="C339" s="5539"/>
      <c r="D339" s="6421"/>
      <c r="E339" s="6422"/>
      <c r="F339" s="3037" t="s">
        <v>1066</v>
      </c>
      <c r="G339" s="3155" t="s">
        <v>1418</v>
      </c>
      <c r="H339" s="3242"/>
      <c r="I339" s="5904"/>
      <c r="J339" s="792"/>
      <c r="K339" s="2"/>
      <c r="L339" s="2"/>
      <c r="M339" s="2"/>
      <c r="N339" s="2"/>
      <c r="O339" s="2"/>
      <c r="P339" s="2"/>
      <c r="Q339" s="2"/>
      <c r="R339" s="2"/>
      <c r="S339" s="2"/>
      <c r="T339" s="2"/>
      <c r="U339" s="2"/>
      <c r="V339" s="2"/>
      <c r="W339" s="2"/>
      <c r="X339" s="2"/>
    </row>
    <row r="340" spans="1:26" s="918" customFormat="1" ht="16.5" thickBot="1" x14ac:dyDescent="0.3">
      <c r="A340" s="921"/>
      <c r="B340" s="991"/>
      <c r="C340" s="5539"/>
      <c r="D340" s="6455"/>
      <c r="E340" s="6456"/>
      <c r="F340" s="3196" t="s">
        <v>3798</v>
      </c>
      <c r="G340" s="3197" t="s">
        <v>3516</v>
      </c>
      <c r="H340" s="3234"/>
      <c r="I340" s="5904"/>
      <c r="J340" s="991"/>
      <c r="K340" s="991"/>
      <c r="L340" s="991"/>
      <c r="M340" s="991"/>
      <c r="N340" s="991"/>
      <c r="O340" s="991"/>
      <c r="P340" s="991"/>
      <c r="Q340" s="991"/>
      <c r="R340" s="991"/>
      <c r="S340" s="991"/>
      <c r="T340" s="991"/>
      <c r="U340" s="991"/>
      <c r="V340" s="991"/>
      <c r="W340" s="991"/>
      <c r="X340" s="991"/>
      <c r="Y340" s="921"/>
      <c r="Z340" s="3735"/>
    </row>
    <row r="341" spans="1:26" ht="18.75" thickBot="1" x14ac:dyDescent="0.3">
      <c r="B341" s="991"/>
      <c r="C341" s="5538" t="s">
        <v>3148</v>
      </c>
      <c r="D341" s="3422" t="s">
        <v>786</v>
      </c>
      <c r="E341" s="3166" t="s">
        <v>78</v>
      </c>
      <c r="F341" s="3167" t="s">
        <v>2000</v>
      </c>
      <c r="G341" s="3922"/>
      <c r="H341" s="3923"/>
      <c r="I341" s="5904"/>
      <c r="J341" s="2"/>
      <c r="K341" s="2"/>
      <c r="L341" s="2"/>
      <c r="M341" s="2"/>
      <c r="N341" s="2"/>
      <c r="O341" s="2"/>
      <c r="P341" s="2"/>
      <c r="Q341" s="2"/>
      <c r="R341" s="2"/>
      <c r="S341" s="2"/>
      <c r="T341" s="2"/>
      <c r="U341" s="2"/>
      <c r="V341" s="2"/>
      <c r="W341" s="2"/>
      <c r="X341" s="2"/>
      <c r="Z341" s="3735">
        <f>'Perf assessment'!U166</f>
        <v>0</v>
      </c>
    </row>
    <row r="342" spans="1:26" ht="15.75" x14ac:dyDescent="0.25">
      <c r="B342" s="991"/>
      <c r="C342" s="5539"/>
      <c r="D342" s="6457" t="s">
        <v>82</v>
      </c>
      <c r="E342" s="6458"/>
      <c r="F342" s="2974" t="s">
        <v>2571</v>
      </c>
      <c r="G342" s="3113" t="s">
        <v>19</v>
      </c>
      <c r="H342" s="3435">
        <f>'WSS Profile'!$G$242</f>
        <v>0</v>
      </c>
      <c r="I342" s="5904"/>
      <c r="J342" s="2"/>
      <c r="K342" s="2"/>
      <c r="L342" s="2"/>
      <c r="M342" s="2"/>
      <c r="N342" s="2"/>
      <c r="O342" s="2"/>
      <c r="P342" s="2"/>
      <c r="Q342" s="2"/>
      <c r="R342" s="2"/>
      <c r="S342" s="2"/>
      <c r="T342" s="2"/>
      <c r="U342" s="2"/>
      <c r="V342" s="2"/>
      <c r="W342" s="2"/>
      <c r="X342" s="2"/>
    </row>
    <row r="343" spans="1:26" ht="30" x14ac:dyDescent="0.25">
      <c r="B343" s="991"/>
      <c r="C343" s="5539"/>
      <c r="D343" s="6421"/>
      <c r="E343" s="6422"/>
      <c r="F343" s="3110" t="s">
        <v>2565</v>
      </c>
      <c r="G343" s="3111" t="s">
        <v>19</v>
      </c>
      <c r="H343" s="3435">
        <f>'WW calcu'!E587</f>
        <v>0</v>
      </c>
      <c r="I343" s="5904"/>
      <c r="J343" s="2"/>
      <c r="K343" s="2"/>
      <c r="L343" s="2"/>
      <c r="M343" s="2"/>
      <c r="N343" s="2"/>
      <c r="O343" s="2"/>
      <c r="P343" s="2"/>
      <c r="Q343" s="2"/>
      <c r="R343" s="2"/>
      <c r="S343" s="2"/>
      <c r="T343" s="2"/>
      <c r="U343" s="2"/>
      <c r="V343" s="2"/>
      <c r="W343" s="2"/>
      <c r="X343" s="2"/>
    </row>
    <row r="344" spans="1:26" ht="15.75" x14ac:dyDescent="0.25">
      <c r="B344" s="991"/>
      <c r="C344" s="5539"/>
      <c r="D344" s="6429" t="s">
        <v>210</v>
      </c>
      <c r="E344" s="6430"/>
      <c r="F344" s="3142" t="s">
        <v>2562</v>
      </c>
      <c r="G344" s="3143" t="s">
        <v>19</v>
      </c>
      <c r="H344" s="3235"/>
      <c r="I344" s="5904"/>
      <c r="J344" s="2"/>
      <c r="K344" s="2"/>
      <c r="L344" s="2"/>
      <c r="M344" s="2"/>
      <c r="N344" s="2"/>
      <c r="O344" s="2"/>
      <c r="P344" s="2"/>
      <c r="Q344" s="2"/>
      <c r="R344" s="2"/>
      <c r="S344" s="2"/>
      <c r="T344" s="2"/>
      <c r="U344" s="2"/>
      <c r="V344" s="2"/>
      <c r="W344" s="2"/>
      <c r="X344" s="2"/>
    </row>
    <row r="345" spans="1:26" s="918" customFormat="1" ht="30" x14ac:dyDescent="0.25">
      <c r="A345" s="921"/>
      <c r="B345" s="991"/>
      <c r="C345" s="5539"/>
      <c r="D345" s="6421"/>
      <c r="E345" s="6422"/>
      <c r="F345" s="3031" t="s">
        <v>3004</v>
      </c>
      <c r="G345" s="3032" t="s">
        <v>18</v>
      </c>
      <c r="H345" s="3083"/>
      <c r="I345" s="5904"/>
      <c r="J345" s="991"/>
      <c r="K345" s="991"/>
      <c r="L345" s="991"/>
      <c r="M345" s="991"/>
      <c r="N345" s="991"/>
      <c r="O345" s="991"/>
      <c r="P345" s="991"/>
      <c r="Q345" s="991"/>
      <c r="R345" s="991"/>
      <c r="S345" s="991"/>
      <c r="T345" s="991"/>
      <c r="U345" s="991"/>
      <c r="V345" s="991"/>
      <c r="W345" s="991"/>
      <c r="X345" s="991"/>
      <c r="Y345" s="921"/>
      <c r="Z345" s="3735"/>
    </row>
    <row r="346" spans="1:26" s="918" customFormat="1" ht="15.75" x14ac:dyDescent="0.25">
      <c r="A346" s="921"/>
      <c r="B346" s="991"/>
      <c r="C346" s="5539"/>
      <c r="D346" s="6421"/>
      <c r="E346" s="6422"/>
      <c r="F346" s="3031" t="s">
        <v>2410</v>
      </c>
      <c r="G346" s="3155" t="s">
        <v>68</v>
      </c>
      <c r="H346" s="3238"/>
      <c r="I346" s="5904"/>
      <c r="J346" s="991"/>
      <c r="K346" s="991"/>
      <c r="L346" s="991"/>
      <c r="M346" s="991"/>
      <c r="N346" s="991"/>
      <c r="O346" s="991"/>
      <c r="P346" s="991"/>
      <c r="Q346" s="991"/>
      <c r="R346" s="991"/>
      <c r="S346" s="991"/>
      <c r="T346" s="991"/>
      <c r="U346" s="991"/>
      <c r="V346" s="991"/>
      <c r="W346" s="991"/>
      <c r="X346" s="991"/>
      <c r="Y346" s="921"/>
      <c r="Z346" s="3735"/>
    </row>
    <row r="347" spans="1:26" s="918" customFormat="1" ht="15.75" x14ac:dyDescent="0.25">
      <c r="A347" s="921"/>
      <c r="B347" s="991"/>
      <c r="C347" s="5539"/>
      <c r="D347" s="6421"/>
      <c r="E347" s="6422"/>
      <c r="F347" s="5341" t="s">
        <v>3030</v>
      </c>
      <c r="G347" s="3141"/>
      <c r="H347" s="3434"/>
      <c r="I347" s="5904"/>
      <c r="J347" s="991"/>
      <c r="K347" s="991"/>
      <c r="L347" s="991"/>
      <c r="M347" s="991"/>
      <c r="N347" s="991"/>
      <c r="O347" s="991"/>
      <c r="P347" s="991"/>
      <c r="Q347" s="991"/>
      <c r="R347" s="991"/>
      <c r="S347" s="991"/>
      <c r="T347" s="991"/>
      <c r="U347" s="991"/>
      <c r="V347" s="991"/>
      <c r="W347" s="991"/>
      <c r="X347" s="991"/>
      <c r="Y347" s="921"/>
      <c r="Z347" s="3735"/>
    </row>
    <row r="348" spans="1:26" s="918" customFormat="1" ht="15.75" x14ac:dyDescent="0.25">
      <c r="A348" s="921"/>
      <c r="B348" s="991"/>
      <c r="C348" s="5539"/>
      <c r="D348" s="6421"/>
      <c r="E348" s="6422"/>
      <c r="F348" s="3110" t="s">
        <v>2572</v>
      </c>
      <c r="G348" s="3141" t="s">
        <v>2002</v>
      </c>
      <c r="H348" s="3158"/>
      <c r="I348" s="5904"/>
      <c r="J348" s="991"/>
      <c r="K348" s="991"/>
      <c r="L348" s="991"/>
      <c r="M348" s="991"/>
      <c r="N348" s="991"/>
      <c r="O348" s="991"/>
      <c r="P348" s="991"/>
      <c r="Q348" s="991"/>
      <c r="R348" s="991"/>
      <c r="S348" s="991"/>
      <c r="T348" s="991"/>
      <c r="U348" s="991"/>
      <c r="V348" s="991"/>
      <c r="W348" s="991"/>
      <c r="X348" s="991"/>
      <c r="Y348" s="921"/>
      <c r="Z348" s="3735"/>
    </row>
    <row r="349" spans="1:26" s="918" customFormat="1" ht="15.75" x14ac:dyDescent="0.25">
      <c r="A349" s="921"/>
      <c r="B349" s="991"/>
      <c r="C349" s="5539"/>
      <c r="D349" s="6436"/>
      <c r="E349" s="6437"/>
      <c r="F349" s="3144" t="s">
        <v>2573</v>
      </c>
      <c r="G349" s="3145" t="s">
        <v>19</v>
      </c>
      <c r="H349" s="3239"/>
      <c r="I349" s="5904"/>
      <c r="J349" s="991"/>
      <c r="K349" s="991"/>
      <c r="L349" s="991"/>
      <c r="M349" s="991"/>
      <c r="N349" s="991"/>
      <c r="O349" s="991"/>
      <c r="P349" s="991"/>
      <c r="Q349" s="991"/>
      <c r="R349" s="991"/>
      <c r="S349" s="991"/>
      <c r="T349" s="991"/>
      <c r="U349" s="991"/>
      <c r="V349" s="991"/>
      <c r="W349" s="991"/>
      <c r="X349" s="991"/>
      <c r="Y349" s="921"/>
      <c r="Z349" s="3735"/>
    </row>
    <row r="350" spans="1:26" ht="15.75" x14ac:dyDescent="0.25">
      <c r="B350" s="991"/>
      <c r="C350" s="5539"/>
      <c r="D350" s="6421" t="s">
        <v>211</v>
      </c>
      <c r="E350" s="6422"/>
      <c r="F350" s="3031" t="s">
        <v>2412</v>
      </c>
      <c r="G350" s="3155" t="s">
        <v>3560</v>
      </c>
      <c r="H350" s="3049"/>
      <c r="I350" s="5904"/>
      <c r="J350" s="2"/>
      <c r="K350" s="2"/>
      <c r="L350" s="2"/>
      <c r="M350" s="2"/>
      <c r="N350" s="2"/>
      <c r="O350" s="2"/>
      <c r="P350" s="2"/>
      <c r="Q350" s="2"/>
      <c r="R350" s="2"/>
      <c r="S350" s="2"/>
      <c r="T350" s="2"/>
      <c r="U350" s="2"/>
      <c r="V350" s="2"/>
      <c r="W350" s="2"/>
      <c r="X350" s="2"/>
    </row>
    <row r="351" spans="1:26" ht="15.75" x14ac:dyDescent="0.25">
      <c r="B351" s="991"/>
      <c r="C351" s="5539"/>
      <c r="D351" s="6421"/>
      <c r="E351" s="6422"/>
      <c r="F351" s="3193" t="s">
        <v>1066</v>
      </c>
      <c r="G351" s="3141" t="s">
        <v>1418</v>
      </c>
      <c r="H351" s="3240"/>
      <c r="I351" s="5904"/>
      <c r="J351" s="2"/>
      <c r="K351" s="2"/>
      <c r="L351" s="2"/>
      <c r="M351" s="2"/>
      <c r="N351" s="2"/>
      <c r="O351" s="2"/>
      <c r="P351" s="2"/>
      <c r="Q351" s="2"/>
      <c r="R351" s="2"/>
      <c r="S351" s="2"/>
      <c r="T351" s="2"/>
      <c r="U351" s="2"/>
      <c r="V351" s="2"/>
      <c r="W351" s="2"/>
      <c r="X351" s="2"/>
    </row>
    <row r="352" spans="1:26" ht="16.5" thickBot="1" x14ac:dyDescent="0.3">
      <c r="B352" s="991"/>
      <c r="C352" s="5539"/>
      <c r="D352" s="6432"/>
      <c r="E352" s="6433"/>
      <c r="F352" s="3194" t="s">
        <v>3798</v>
      </c>
      <c r="G352" s="3195" t="s">
        <v>3516</v>
      </c>
      <c r="H352" s="3160"/>
      <c r="I352" s="5904"/>
      <c r="J352" s="2"/>
      <c r="K352" s="2"/>
      <c r="L352" s="2"/>
      <c r="M352" s="2"/>
      <c r="N352" s="2"/>
      <c r="O352" s="2"/>
      <c r="P352" s="2"/>
      <c r="Q352" s="2"/>
      <c r="R352" s="2"/>
      <c r="S352" s="2"/>
      <c r="T352" s="2"/>
      <c r="U352" s="2"/>
      <c r="V352" s="2"/>
      <c r="W352" s="2"/>
      <c r="X352" s="2"/>
    </row>
    <row r="353" spans="2:26" ht="17.25" customHeight="1" thickBot="1" x14ac:dyDescent="0.35">
      <c r="B353" s="389"/>
      <c r="C353" s="5538" t="s">
        <v>3149</v>
      </c>
      <c r="D353" s="3422" t="s">
        <v>786</v>
      </c>
      <c r="E353" s="5625" t="s">
        <v>78</v>
      </c>
      <c r="F353" s="5626" t="s">
        <v>1767</v>
      </c>
      <c r="G353" s="3922"/>
      <c r="H353" s="3923"/>
      <c r="I353" s="5904"/>
      <c r="J353" s="2"/>
      <c r="K353" s="991"/>
      <c r="L353" s="2"/>
      <c r="M353" s="2"/>
      <c r="N353" s="2"/>
      <c r="O353" s="2"/>
      <c r="P353" s="2"/>
      <c r="Q353" s="2"/>
      <c r="R353" s="2"/>
      <c r="S353" s="2"/>
      <c r="T353" s="2"/>
      <c r="U353" s="2"/>
      <c r="V353" s="2"/>
      <c r="W353" s="2"/>
      <c r="X353" s="2"/>
      <c r="Z353" s="3735" t="b">
        <f>'Perf assessment'!U167</f>
        <v>1</v>
      </c>
    </row>
    <row r="354" spans="2:26" ht="15.75" x14ac:dyDescent="0.25">
      <c r="B354" s="2"/>
      <c r="C354" s="5539"/>
      <c r="D354" s="6421" t="s">
        <v>82</v>
      </c>
      <c r="E354" s="6422"/>
      <c r="F354" s="2974" t="s">
        <v>2403</v>
      </c>
      <c r="G354" s="3030" t="s">
        <v>81</v>
      </c>
      <c r="H354" s="531">
        <f>'WSS Profile'!$G$337</f>
        <v>0</v>
      </c>
      <c r="I354" s="5904"/>
      <c r="J354" s="2"/>
      <c r="K354" s="991"/>
      <c r="L354" s="2"/>
      <c r="M354" s="2"/>
      <c r="N354" s="2"/>
      <c r="O354" s="2"/>
      <c r="P354" s="2"/>
      <c r="Q354" s="2"/>
      <c r="R354" s="2"/>
      <c r="S354" s="2"/>
      <c r="T354" s="2"/>
      <c r="U354" s="2"/>
      <c r="V354" s="2"/>
      <c r="W354" s="2"/>
      <c r="X354" s="2"/>
    </row>
    <row r="355" spans="2:26" ht="15.75" x14ac:dyDescent="0.25">
      <c r="B355" s="2"/>
      <c r="C355" s="5539"/>
      <c r="D355" s="6421"/>
      <c r="E355" s="6422"/>
      <c r="F355" s="3110" t="s">
        <v>2404</v>
      </c>
      <c r="G355" s="3141" t="s">
        <v>80</v>
      </c>
      <c r="H355" s="531">
        <f>'WSS Profile'!$G$338</f>
        <v>0</v>
      </c>
      <c r="I355" s="5904"/>
      <c r="J355" s="2"/>
      <c r="K355" s="991"/>
      <c r="L355" s="2"/>
      <c r="M355" s="2"/>
      <c r="N355" s="2"/>
      <c r="O355" s="2"/>
      <c r="P355" s="2"/>
      <c r="Q355" s="2"/>
      <c r="R355" s="2"/>
      <c r="S355" s="2"/>
      <c r="T355" s="2"/>
      <c r="U355" s="2"/>
      <c r="V355" s="2"/>
      <c r="W355" s="2"/>
      <c r="X355" s="2"/>
    </row>
    <row r="356" spans="2:26" ht="15.75" x14ac:dyDescent="0.25">
      <c r="B356" s="2"/>
      <c r="C356" s="5539"/>
      <c r="D356" s="6429" t="s">
        <v>210</v>
      </c>
      <c r="E356" s="6430"/>
      <c r="F356" s="3142" t="s">
        <v>2405</v>
      </c>
      <c r="G356" s="3043" t="s">
        <v>81</v>
      </c>
      <c r="H356" s="3235"/>
      <c r="I356" s="5904"/>
      <c r="J356" s="2"/>
      <c r="K356" s="2"/>
      <c r="L356" s="2"/>
      <c r="M356" s="2"/>
      <c r="N356" s="2"/>
      <c r="O356" s="2"/>
      <c r="P356" s="2"/>
      <c r="Q356" s="2"/>
      <c r="R356" s="2"/>
      <c r="S356" s="2"/>
      <c r="T356" s="2"/>
      <c r="U356" s="2"/>
      <c r="V356" s="2"/>
      <c r="W356" s="2"/>
      <c r="X356" s="2"/>
    </row>
    <row r="357" spans="2:26" ht="16.5" customHeight="1" x14ac:dyDescent="0.25">
      <c r="B357" s="2"/>
      <c r="C357" s="5537"/>
      <c r="D357" s="6436"/>
      <c r="E357" s="6437"/>
      <c r="F357" s="3144" t="s">
        <v>2406</v>
      </c>
      <c r="G357" s="3151" t="s">
        <v>80</v>
      </c>
      <c r="H357" s="3158"/>
      <c r="I357" s="5904"/>
      <c r="J357" s="2"/>
      <c r="K357" s="2"/>
      <c r="L357" s="2"/>
      <c r="M357" s="2"/>
      <c r="N357" s="2"/>
      <c r="O357" s="2"/>
      <c r="P357" s="2"/>
      <c r="Q357" s="2"/>
      <c r="R357" s="2"/>
      <c r="S357" s="2"/>
      <c r="T357" s="2"/>
      <c r="U357" s="2"/>
      <c r="V357" s="2"/>
      <c r="W357" s="2"/>
      <c r="X357" s="2"/>
    </row>
    <row r="358" spans="2:26" ht="15.75" x14ac:dyDescent="0.25">
      <c r="B358" s="2"/>
      <c r="C358" s="5537"/>
      <c r="D358" s="6421" t="s">
        <v>211</v>
      </c>
      <c r="E358" s="6422"/>
      <c r="F358" s="3110" t="s">
        <v>2407</v>
      </c>
      <c r="G358" s="3155" t="s">
        <v>3562</v>
      </c>
      <c r="H358" s="3236"/>
      <c r="I358" s="5904"/>
      <c r="J358" s="2"/>
      <c r="K358" s="2"/>
      <c r="L358" s="2"/>
      <c r="M358" s="2"/>
      <c r="N358" s="2"/>
      <c r="O358" s="2"/>
      <c r="P358" s="2"/>
      <c r="Q358" s="2"/>
      <c r="R358" s="2"/>
      <c r="S358" s="2"/>
      <c r="T358" s="2"/>
      <c r="U358" s="2"/>
      <c r="V358" s="2"/>
      <c r="W358" s="2"/>
      <c r="X358" s="2"/>
    </row>
    <row r="359" spans="2:26" ht="15.75" x14ac:dyDescent="0.25">
      <c r="B359" s="2"/>
      <c r="C359" s="5537"/>
      <c r="D359" s="6432"/>
      <c r="E359" s="6433"/>
      <c r="F359" s="3198" t="s">
        <v>1066</v>
      </c>
      <c r="G359" s="3131" t="s">
        <v>1418</v>
      </c>
      <c r="H359" s="3237"/>
      <c r="I359" s="5904"/>
      <c r="J359" s="2"/>
      <c r="K359" s="2"/>
      <c r="L359" s="2"/>
      <c r="M359" s="2"/>
      <c r="N359" s="2"/>
      <c r="O359" s="2"/>
      <c r="P359" s="2"/>
      <c r="Q359" s="2"/>
      <c r="R359" s="2"/>
      <c r="S359" s="2"/>
      <c r="T359" s="2"/>
      <c r="U359" s="2"/>
      <c r="V359" s="2"/>
      <c r="W359" s="2"/>
      <c r="X359" s="2"/>
    </row>
    <row r="360" spans="2:26" x14ac:dyDescent="0.25">
      <c r="B360" s="2"/>
      <c r="C360" s="5537"/>
      <c r="D360" s="415"/>
      <c r="E360" s="388"/>
      <c r="F360" s="388"/>
      <c r="G360" s="415"/>
      <c r="H360" s="388"/>
      <c r="I360" s="411"/>
      <c r="J360" s="2"/>
      <c r="K360" s="2"/>
      <c r="L360" s="2"/>
      <c r="M360" s="2"/>
      <c r="N360" s="2"/>
      <c r="O360" s="2"/>
      <c r="P360" s="2"/>
      <c r="Q360" s="2"/>
      <c r="R360" s="2"/>
      <c r="S360" s="2"/>
      <c r="T360" s="2"/>
      <c r="U360" s="2"/>
      <c r="V360" s="2"/>
      <c r="W360" s="2"/>
      <c r="X360" s="2"/>
    </row>
    <row r="361" spans="2:26" x14ac:dyDescent="0.25">
      <c r="B361" s="2"/>
      <c r="C361" s="5536"/>
      <c r="D361" s="413"/>
      <c r="E361" s="991"/>
      <c r="F361" s="991"/>
      <c r="G361" s="991"/>
      <c r="H361" s="991"/>
      <c r="I361" s="991"/>
      <c r="J361" s="2"/>
      <c r="K361" s="2"/>
      <c r="L361" s="2"/>
      <c r="M361" s="2"/>
      <c r="N361" s="2"/>
      <c r="O361" s="2"/>
      <c r="P361" s="2"/>
      <c r="Q361" s="2"/>
      <c r="R361" s="2"/>
      <c r="S361" s="2"/>
      <c r="T361" s="2"/>
      <c r="U361" s="2"/>
      <c r="V361" s="2"/>
      <c r="W361" s="2"/>
      <c r="X361" s="2"/>
    </row>
    <row r="362" spans="2:26" x14ac:dyDescent="0.25">
      <c r="B362" s="2"/>
      <c r="C362" s="5536"/>
      <c r="D362" s="413"/>
      <c r="E362" s="991"/>
      <c r="F362" s="991"/>
      <c r="G362" s="991"/>
      <c r="H362" s="991"/>
      <c r="I362" s="991"/>
      <c r="J362" s="2"/>
      <c r="K362" s="2"/>
      <c r="L362" s="2"/>
      <c r="M362" s="2"/>
      <c r="N362" s="2"/>
      <c r="O362" s="2"/>
      <c r="P362" s="2"/>
      <c r="Q362" s="2"/>
      <c r="R362" s="2"/>
      <c r="S362" s="2"/>
      <c r="T362" s="2"/>
      <c r="U362" s="2"/>
      <c r="V362" s="2"/>
      <c r="W362" s="2"/>
      <c r="X362" s="2"/>
    </row>
    <row r="363" spans="2:26" s="480" customFormat="1" ht="31.5" customHeight="1" x14ac:dyDescent="0.25">
      <c r="B363" s="1382"/>
      <c r="C363" s="1383"/>
      <c r="D363" s="1384" t="s">
        <v>36</v>
      </c>
      <c r="E363" s="1384" t="s">
        <v>735</v>
      </c>
      <c r="F363" s="1384"/>
      <c r="G363" s="1384"/>
      <c r="H363" s="1384"/>
      <c r="I363" s="1384"/>
      <c r="J363" s="1384"/>
      <c r="K363" s="1384"/>
      <c r="L363" s="1384"/>
      <c r="M363" s="1384"/>
      <c r="N363" s="1384"/>
      <c r="O363" s="1384"/>
      <c r="P363" s="1384"/>
      <c r="Q363" s="1384"/>
      <c r="R363" s="1384"/>
      <c r="S363" s="1384"/>
      <c r="T363" s="1384"/>
      <c r="U363" s="1385"/>
      <c r="V363" s="1385"/>
      <c r="W363" s="1385"/>
      <c r="X363" s="1386"/>
      <c r="Z363" s="3738"/>
    </row>
    <row r="364" spans="2:26" x14ac:dyDescent="0.25">
      <c r="B364" s="2"/>
      <c r="C364" s="5536"/>
      <c r="D364" s="413"/>
      <c r="E364" s="991"/>
      <c r="F364" s="991"/>
      <c r="G364" s="991"/>
      <c r="H364" s="991"/>
      <c r="I364" s="991"/>
      <c r="J364" s="2"/>
      <c r="K364" s="2"/>
      <c r="L364" s="2"/>
      <c r="M364" s="2"/>
      <c r="N364" s="2"/>
      <c r="O364" s="2"/>
      <c r="P364" s="2"/>
      <c r="Q364" s="2"/>
      <c r="R364" s="2"/>
      <c r="S364" s="2"/>
      <c r="T364" s="2"/>
      <c r="U364" s="2"/>
      <c r="V364" s="2"/>
      <c r="W364" s="2"/>
      <c r="X364" s="2"/>
    </row>
    <row r="365" spans="2:26" ht="21.75" thickBot="1" x14ac:dyDescent="0.3">
      <c r="B365" s="2"/>
      <c r="C365" s="5537"/>
      <c r="D365" s="399"/>
      <c r="E365" s="399">
        <v>1</v>
      </c>
      <c r="F365" s="6431" t="s">
        <v>567</v>
      </c>
      <c r="G365" s="6431"/>
      <c r="H365" s="6431"/>
      <c r="I365" s="390"/>
      <c r="J365" s="2"/>
      <c r="K365" s="2"/>
      <c r="L365" s="2"/>
      <c r="M365" s="2"/>
      <c r="N365" s="2"/>
      <c r="O365" s="2"/>
      <c r="P365" s="2"/>
      <c r="Q365" s="2"/>
      <c r="R365" s="2"/>
      <c r="S365" s="2"/>
      <c r="T365" s="2"/>
      <c r="U365" s="2"/>
      <c r="V365" s="2"/>
      <c r="W365" s="2"/>
      <c r="X365" s="2"/>
    </row>
    <row r="366" spans="2:26" ht="18.75" thickBot="1" x14ac:dyDescent="0.3">
      <c r="B366" s="2"/>
      <c r="C366" s="5538" t="s">
        <v>3150</v>
      </c>
      <c r="D366" s="3422" t="s">
        <v>786</v>
      </c>
      <c r="E366" s="2976" t="s">
        <v>78</v>
      </c>
      <c r="F366" s="6444" t="s">
        <v>1735</v>
      </c>
      <c r="G366" s="6445"/>
      <c r="H366" s="6446"/>
      <c r="I366" s="5904"/>
      <c r="J366" s="2"/>
      <c r="K366" s="2"/>
      <c r="L366" s="2"/>
      <c r="M366" s="2"/>
      <c r="N366" s="2"/>
      <c r="O366" s="2"/>
      <c r="P366" s="2"/>
      <c r="Q366" s="2"/>
      <c r="R366" s="2"/>
      <c r="S366" s="2"/>
      <c r="T366" s="2"/>
      <c r="U366" s="2"/>
      <c r="V366" s="2"/>
      <c r="W366" s="2"/>
      <c r="X366" s="2"/>
      <c r="Z366" s="3735">
        <f>'Perf assessment'!U173</f>
        <v>0</v>
      </c>
    </row>
    <row r="367" spans="2:26" ht="18.75" thickBot="1" x14ac:dyDescent="0.3">
      <c r="B367" s="2"/>
      <c r="C367" s="5538" t="s">
        <v>3151</v>
      </c>
      <c r="D367" s="3422" t="s">
        <v>786</v>
      </c>
      <c r="E367" s="2976" t="s">
        <v>78</v>
      </c>
      <c r="F367" s="6444" t="s">
        <v>1737</v>
      </c>
      <c r="G367" s="6445"/>
      <c r="H367" s="6446"/>
      <c r="I367" s="5904"/>
      <c r="J367" s="2"/>
      <c r="K367" s="2"/>
      <c r="L367" s="2"/>
      <c r="M367" s="2"/>
      <c r="N367" s="2"/>
      <c r="O367" s="2"/>
      <c r="P367" s="2"/>
      <c r="Q367" s="2"/>
      <c r="R367" s="2"/>
      <c r="S367" s="2"/>
      <c r="T367" s="2"/>
      <c r="U367" s="2"/>
      <c r="V367" s="2"/>
      <c r="W367" s="2"/>
      <c r="X367" s="2"/>
      <c r="Z367" s="3735">
        <f>'Perf assessment'!U174</f>
        <v>0</v>
      </c>
    </row>
    <row r="368" spans="2:26" x14ac:dyDescent="0.25">
      <c r="B368" s="2"/>
      <c r="C368" s="5537"/>
      <c r="D368" s="415"/>
      <c r="E368" s="388"/>
      <c r="F368" s="388"/>
      <c r="G368" s="388"/>
      <c r="H368" s="388"/>
      <c r="I368" s="388"/>
      <c r="J368" s="2"/>
      <c r="K368" s="2"/>
      <c r="L368" s="2"/>
      <c r="M368" s="2"/>
      <c r="N368" s="2"/>
      <c r="O368" s="2"/>
      <c r="P368" s="2"/>
      <c r="Q368" s="2"/>
      <c r="R368" s="2"/>
      <c r="S368" s="2"/>
      <c r="T368" s="2"/>
      <c r="U368" s="2"/>
      <c r="V368" s="2"/>
      <c r="W368" s="2"/>
      <c r="X368" s="2"/>
    </row>
    <row r="369" spans="1:26" x14ac:dyDescent="0.25">
      <c r="B369" s="2"/>
      <c r="C369" s="5536"/>
      <c r="D369" s="413"/>
      <c r="E369" s="991"/>
      <c r="F369" s="991"/>
      <c r="G369" s="991"/>
      <c r="H369" s="991"/>
      <c r="I369" s="991"/>
      <c r="J369" s="2"/>
      <c r="K369" s="2"/>
      <c r="L369" s="2"/>
      <c r="M369" s="2"/>
      <c r="N369" s="2"/>
      <c r="O369" s="2"/>
      <c r="P369" s="2"/>
      <c r="Q369" s="2"/>
      <c r="R369" s="2"/>
      <c r="S369" s="2"/>
      <c r="T369" s="2"/>
      <c r="U369" s="2"/>
      <c r="V369" s="2"/>
      <c r="W369" s="2"/>
      <c r="X369" s="2"/>
    </row>
    <row r="370" spans="1:26" ht="21.75" thickBot="1" x14ac:dyDescent="0.3">
      <c r="B370" s="2"/>
      <c r="C370" s="5537"/>
      <c r="D370" s="399"/>
      <c r="E370" s="399">
        <v>2</v>
      </c>
      <c r="F370" s="6431" t="s">
        <v>1044</v>
      </c>
      <c r="G370" s="6431"/>
      <c r="H370" s="6431"/>
      <c r="I370" s="390"/>
      <c r="J370" s="2"/>
      <c r="K370" s="2"/>
      <c r="L370" s="2"/>
      <c r="M370" s="2"/>
      <c r="N370" s="2"/>
      <c r="O370" s="2"/>
      <c r="P370" s="2"/>
      <c r="Q370" s="2"/>
      <c r="R370" s="2"/>
      <c r="S370" s="2"/>
      <c r="T370" s="2"/>
      <c r="U370" s="2"/>
      <c r="V370" s="2"/>
      <c r="W370" s="2"/>
      <c r="X370" s="2"/>
    </row>
    <row r="371" spans="1:26" s="493" customFormat="1" ht="18.75" thickBot="1" x14ac:dyDescent="0.3">
      <c r="A371" s="474"/>
      <c r="B371" s="303"/>
      <c r="C371" s="5538" t="s">
        <v>3152</v>
      </c>
      <c r="D371" s="3422" t="s">
        <v>786</v>
      </c>
      <c r="E371" s="2976" t="s">
        <v>78</v>
      </c>
      <c r="F371" s="6444" t="s">
        <v>2098</v>
      </c>
      <c r="G371" s="6445"/>
      <c r="H371" s="6446"/>
      <c r="I371" s="5904"/>
      <c r="J371" s="303"/>
      <c r="K371" s="303"/>
      <c r="L371" s="303"/>
      <c r="M371" s="303"/>
      <c r="N371" s="303"/>
      <c r="O371" s="303"/>
      <c r="P371" s="303"/>
      <c r="Q371" s="303"/>
      <c r="R371" s="303"/>
      <c r="S371" s="303"/>
      <c r="T371" s="303"/>
      <c r="U371" s="303"/>
      <c r="V371" s="303"/>
      <c r="W371" s="303"/>
      <c r="X371" s="303"/>
      <c r="Y371" s="474"/>
      <c r="Z371" s="3735">
        <f>'Perf assessment'!U176</f>
        <v>0</v>
      </c>
    </row>
    <row r="372" spans="1:26" s="918" customFormat="1" ht="15.75" x14ac:dyDescent="0.25">
      <c r="A372" s="921"/>
      <c r="B372" s="991"/>
      <c r="C372" s="5537"/>
      <c r="D372" s="6626"/>
      <c r="E372" s="6627"/>
      <c r="F372" s="1760" t="s">
        <v>2713</v>
      </c>
      <c r="G372" s="3954"/>
      <c r="H372" s="3932"/>
      <c r="I372" s="5904"/>
      <c r="J372" s="991"/>
      <c r="K372" s="991"/>
      <c r="L372" s="991"/>
      <c r="M372" s="991"/>
      <c r="N372" s="991"/>
      <c r="O372" s="991"/>
      <c r="P372" s="991"/>
      <c r="Q372" s="991"/>
      <c r="R372" s="991"/>
      <c r="S372" s="991"/>
      <c r="T372" s="991"/>
      <c r="U372" s="991"/>
      <c r="V372" s="991"/>
      <c r="W372" s="991"/>
      <c r="X372" s="991"/>
      <c r="Y372" s="921"/>
      <c r="Z372" s="3739"/>
    </row>
    <row r="373" spans="1:26" s="918" customFormat="1" ht="30" x14ac:dyDescent="0.25">
      <c r="A373" s="921"/>
      <c r="B373" s="991"/>
      <c r="C373" s="5537"/>
      <c r="D373" s="6511" t="s">
        <v>82</v>
      </c>
      <c r="E373" s="6512"/>
      <c r="F373" s="3029" t="s">
        <v>2722</v>
      </c>
      <c r="G373" s="3201" t="s">
        <v>2669</v>
      </c>
      <c r="H373" s="3199">
        <f>'WW calcu'!E761*'WW calcu'!$M$624</f>
        <v>0</v>
      </c>
      <c r="I373" s="5904"/>
      <c r="J373" s="991"/>
      <c r="K373" s="991"/>
      <c r="L373" s="991"/>
      <c r="M373" s="991"/>
      <c r="N373" s="991"/>
      <c r="O373" s="991"/>
      <c r="P373" s="991"/>
      <c r="Q373" s="991"/>
      <c r="R373" s="991"/>
      <c r="S373" s="991"/>
      <c r="T373" s="991"/>
      <c r="U373" s="991"/>
      <c r="V373" s="991"/>
      <c r="W373" s="991"/>
      <c r="X373" s="991"/>
      <c r="Y373" s="921"/>
      <c r="Z373" s="3735"/>
    </row>
    <row r="374" spans="1:26" s="918" customFormat="1" ht="15.75" x14ac:dyDescent="0.25">
      <c r="A374" s="921"/>
      <c r="B374" s="991"/>
      <c r="C374" s="5537"/>
      <c r="D374" s="5553"/>
      <c r="E374" s="5554"/>
      <c r="F374" s="3031" t="s">
        <v>2697</v>
      </c>
      <c r="G374" s="3155" t="s">
        <v>2669</v>
      </c>
      <c r="H374" s="3200">
        <f>'WW calcu'!E762*'WW calcu'!M624</f>
        <v>0</v>
      </c>
      <c r="I374" s="5904"/>
      <c r="J374" s="991"/>
      <c r="K374" s="991"/>
      <c r="L374" s="991"/>
      <c r="M374" s="991"/>
      <c r="N374" s="991"/>
      <c r="O374" s="991"/>
      <c r="P374" s="991"/>
      <c r="Q374" s="991"/>
      <c r="R374" s="991"/>
      <c r="S374" s="991"/>
      <c r="T374" s="991"/>
      <c r="U374" s="991"/>
      <c r="V374" s="991"/>
      <c r="W374" s="991"/>
      <c r="X374" s="991"/>
      <c r="Y374" s="921"/>
      <c r="Z374" s="3735"/>
    </row>
    <row r="375" spans="1:26" s="918" customFormat="1" ht="30" x14ac:dyDescent="0.25">
      <c r="A375" s="921"/>
      <c r="B375" s="991"/>
      <c r="C375" s="5537"/>
      <c r="D375" s="6438" t="s">
        <v>210</v>
      </c>
      <c r="E375" s="6439"/>
      <c r="F375" s="3040" t="s">
        <v>2672</v>
      </c>
      <c r="G375" s="3213" t="s">
        <v>2669</v>
      </c>
      <c r="H375" s="3214"/>
      <c r="I375" s="5904"/>
      <c r="J375" s="991"/>
      <c r="K375" s="991"/>
      <c r="L375" s="991"/>
      <c r="M375" s="991"/>
      <c r="N375" s="991"/>
      <c r="O375" s="991"/>
      <c r="P375" s="991"/>
      <c r="Q375" s="991"/>
      <c r="R375" s="991"/>
      <c r="S375" s="991"/>
      <c r="T375" s="991"/>
      <c r="U375" s="991"/>
      <c r="V375" s="991"/>
      <c r="W375" s="991"/>
      <c r="X375" s="991"/>
      <c r="Y375" s="921"/>
      <c r="Z375" s="3735"/>
    </row>
    <row r="376" spans="1:26" s="918" customFormat="1" ht="15.75" x14ac:dyDescent="0.25">
      <c r="A376" s="921"/>
      <c r="B376" s="991"/>
      <c r="C376" s="5537"/>
      <c r="D376" s="6511" t="s">
        <v>211</v>
      </c>
      <c r="E376" s="6512"/>
      <c r="F376" s="3031" t="s">
        <v>3565</v>
      </c>
      <c r="G376" s="3155" t="s">
        <v>3520</v>
      </c>
      <c r="H376" s="5783"/>
      <c r="I376" s="5904"/>
      <c r="J376" s="991"/>
      <c r="K376" s="991"/>
      <c r="L376" s="991"/>
      <c r="M376" s="991"/>
      <c r="N376" s="991"/>
      <c r="O376" s="991"/>
      <c r="P376" s="991"/>
      <c r="Q376" s="991"/>
      <c r="R376" s="991"/>
      <c r="S376" s="991"/>
      <c r="T376" s="991"/>
      <c r="U376" s="991"/>
      <c r="V376" s="991"/>
      <c r="W376" s="991"/>
      <c r="X376" s="991"/>
      <c r="Y376" s="921"/>
      <c r="Z376" s="3735"/>
    </row>
    <row r="377" spans="1:26" s="918" customFormat="1" ht="15.75" x14ac:dyDescent="0.25">
      <c r="A377" s="921"/>
      <c r="B377" s="991"/>
      <c r="C377" s="5537"/>
      <c r="D377" s="6511"/>
      <c r="E377" s="6512"/>
      <c r="F377" s="3031" t="s">
        <v>1803</v>
      </c>
      <c r="G377" s="3155" t="s">
        <v>3563</v>
      </c>
      <c r="H377" s="3049"/>
      <c r="I377" s="5904"/>
      <c r="J377" s="991"/>
      <c r="K377" s="991"/>
      <c r="L377" s="991"/>
      <c r="M377" s="991"/>
      <c r="N377" s="991"/>
      <c r="O377" s="991"/>
      <c r="P377" s="991"/>
      <c r="Q377" s="991"/>
      <c r="R377" s="991"/>
      <c r="S377" s="991"/>
      <c r="T377" s="991"/>
      <c r="U377" s="991"/>
      <c r="V377" s="991"/>
      <c r="W377" s="991"/>
      <c r="X377" s="991"/>
      <c r="Y377" s="921"/>
      <c r="Z377" s="3735"/>
    </row>
    <row r="378" spans="1:26" s="918" customFormat="1" ht="15.75" x14ac:dyDescent="0.25">
      <c r="A378" s="921"/>
      <c r="B378" s="991"/>
      <c r="C378" s="5537"/>
      <c r="D378" s="6624"/>
      <c r="E378" s="6625"/>
      <c r="F378" s="3033" t="s">
        <v>3797</v>
      </c>
      <c r="G378" s="3202" t="s">
        <v>3564</v>
      </c>
      <c r="H378" s="3234"/>
      <c r="I378" s="5904"/>
      <c r="J378" s="991"/>
      <c r="K378" s="991"/>
      <c r="L378" s="991"/>
      <c r="M378" s="991"/>
      <c r="N378" s="991"/>
      <c r="O378" s="991"/>
      <c r="P378" s="991"/>
      <c r="Q378" s="991"/>
      <c r="R378" s="991"/>
      <c r="S378" s="991"/>
      <c r="T378" s="991"/>
      <c r="U378" s="991"/>
      <c r="V378" s="991"/>
      <c r="W378" s="991"/>
      <c r="X378" s="991"/>
      <c r="Y378" s="921"/>
      <c r="Z378" s="3735"/>
    </row>
    <row r="379" spans="1:26" s="918" customFormat="1" ht="15.75" x14ac:dyDescent="0.25">
      <c r="A379" s="921"/>
      <c r="B379" s="991"/>
      <c r="C379" s="5537"/>
      <c r="D379" s="6628"/>
      <c r="E379" s="6629"/>
      <c r="F379" s="1761" t="s">
        <v>2712</v>
      </c>
      <c r="G379" s="3925"/>
      <c r="H379" s="3932"/>
      <c r="I379" s="5904"/>
      <c r="J379" s="991"/>
      <c r="K379" s="991"/>
      <c r="L379" s="991"/>
      <c r="M379" s="991"/>
      <c r="N379" s="991"/>
      <c r="O379" s="991"/>
      <c r="P379" s="991"/>
      <c r="Q379" s="991"/>
      <c r="R379" s="991"/>
      <c r="S379" s="991"/>
      <c r="T379" s="991"/>
      <c r="U379" s="991"/>
      <c r="V379" s="991"/>
      <c r="W379" s="991"/>
      <c r="X379" s="991"/>
      <c r="Y379" s="921"/>
      <c r="Z379" s="3735"/>
    </row>
    <row r="380" spans="1:26" s="918" customFormat="1" ht="15.75" x14ac:dyDescent="0.25">
      <c r="A380" s="921"/>
      <c r="B380" s="991"/>
      <c r="C380" s="5537"/>
      <c r="D380" s="6511" t="s">
        <v>82</v>
      </c>
      <c r="E380" s="6512"/>
      <c r="F380" s="3029" t="s">
        <v>2721</v>
      </c>
      <c r="G380" s="3201" t="s">
        <v>19</v>
      </c>
      <c r="H380" s="3199">
        <f>'WW calcu'!E737</f>
        <v>0</v>
      </c>
      <c r="I380" s="5904"/>
      <c r="J380" s="991"/>
      <c r="K380" s="991"/>
      <c r="L380" s="991"/>
      <c r="M380" s="991"/>
      <c r="N380" s="991"/>
      <c r="O380" s="991"/>
      <c r="P380" s="991"/>
      <c r="Q380" s="991"/>
      <c r="R380" s="991"/>
      <c r="S380" s="991"/>
      <c r="T380" s="991"/>
      <c r="U380" s="991"/>
      <c r="V380" s="991"/>
      <c r="W380" s="991"/>
      <c r="X380" s="991"/>
      <c r="Y380" s="921"/>
      <c r="Z380" s="3735"/>
    </row>
    <row r="381" spans="1:26" s="918" customFormat="1" ht="15" customHeight="1" x14ac:dyDescent="0.25">
      <c r="A381" s="921"/>
      <c r="B381" s="991"/>
      <c r="C381" s="5537"/>
      <c r="D381" s="5553"/>
      <c r="E381" s="5554"/>
      <c r="F381" s="3031" t="s">
        <v>2696</v>
      </c>
      <c r="G381" s="3155" t="s">
        <v>19</v>
      </c>
      <c r="H381" s="3200">
        <f>'WW calcu'!E738</f>
        <v>0</v>
      </c>
      <c r="I381" s="5904"/>
      <c r="J381" s="991"/>
      <c r="K381" s="991"/>
      <c r="L381" s="991"/>
      <c r="M381" s="991"/>
      <c r="N381" s="991"/>
      <c r="O381" s="991"/>
      <c r="P381" s="991"/>
      <c r="Q381" s="991"/>
      <c r="R381" s="991"/>
      <c r="S381" s="991"/>
      <c r="T381" s="991"/>
      <c r="U381" s="991"/>
      <c r="V381" s="991"/>
      <c r="W381" s="991"/>
      <c r="X381" s="991"/>
      <c r="Y381" s="921"/>
      <c r="Z381" s="3735"/>
    </row>
    <row r="382" spans="1:26" s="918" customFormat="1" ht="30" x14ac:dyDescent="0.25">
      <c r="A382" s="921"/>
      <c r="B382" s="991"/>
      <c r="C382" s="5537"/>
      <c r="D382" s="6438" t="s">
        <v>210</v>
      </c>
      <c r="E382" s="6439"/>
      <c r="F382" s="3040" t="s">
        <v>2671</v>
      </c>
      <c r="G382" s="3213" t="s">
        <v>19</v>
      </c>
      <c r="H382" s="3214"/>
      <c r="I382" s="5904"/>
      <c r="J382" s="991"/>
      <c r="K382" s="991"/>
      <c r="L382" s="991"/>
      <c r="M382" s="991"/>
      <c r="N382" s="991"/>
      <c r="O382" s="991"/>
      <c r="P382" s="991"/>
      <c r="Q382" s="991"/>
      <c r="R382" s="991"/>
      <c r="S382" s="991"/>
      <c r="T382" s="991"/>
      <c r="U382" s="991"/>
      <c r="V382" s="991"/>
      <c r="W382" s="991"/>
      <c r="X382" s="991"/>
      <c r="Y382" s="921"/>
      <c r="Z382" s="3735"/>
    </row>
    <row r="383" spans="1:26" s="918" customFormat="1" ht="15.75" x14ac:dyDescent="0.25">
      <c r="A383" s="921"/>
      <c r="B383" s="991"/>
      <c r="C383" s="5537"/>
      <c r="D383" s="6511" t="s">
        <v>211</v>
      </c>
      <c r="E383" s="6512"/>
      <c r="F383" s="3031" t="s">
        <v>3565</v>
      </c>
      <c r="G383" s="3155" t="s">
        <v>3520</v>
      </c>
      <c r="H383" s="5783"/>
      <c r="I383" s="5904"/>
      <c r="J383" s="991"/>
      <c r="K383" s="991"/>
      <c r="L383" s="991"/>
      <c r="M383" s="991"/>
      <c r="N383" s="991"/>
      <c r="O383" s="991"/>
      <c r="P383" s="991"/>
      <c r="Q383" s="991"/>
      <c r="R383" s="991"/>
      <c r="S383" s="991"/>
      <c r="T383" s="991"/>
      <c r="U383" s="991"/>
      <c r="V383" s="991"/>
      <c r="W383" s="991"/>
      <c r="X383" s="991"/>
      <c r="Y383" s="921"/>
      <c r="Z383" s="3735"/>
    </row>
    <row r="384" spans="1:26" s="918" customFormat="1" ht="15.75" x14ac:dyDescent="0.25">
      <c r="A384" s="921"/>
      <c r="B384" s="991"/>
      <c r="C384" s="5537"/>
      <c r="D384" s="6511"/>
      <c r="E384" s="6512"/>
      <c r="F384" s="3031" t="s">
        <v>1803</v>
      </c>
      <c r="G384" s="3155" t="s">
        <v>3563</v>
      </c>
      <c r="H384" s="3049"/>
      <c r="I384" s="5904"/>
      <c r="J384" s="991"/>
      <c r="K384" s="991"/>
      <c r="L384" s="991"/>
      <c r="M384" s="991"/>
      <c r="N384" s="991"/>
      <c r="O384" s="991"/>
      <c r="P384" s="991"/>
      <c r="Q384" s="991"/>
      <c r="R384" s="991"/>
      <c r="S384" s="991"/>
      <c r="T384" s="991"/>
      <c r="U384" s="991"/>
      <c r="V384" s="991"/>
      <c r="W384" s="991"/>
      <c r="X384" s="991"/>
      <c r="Y384" s="921"/>
      <c r="Z384" s="3735"/>
    </row>
    <row r="385" spans="1:26" s="918" customFormat="1" ht="15.75" x14ac:dyDescent="0.25">
      <c r="A385" s="921"/>
      <c r="B385" s="991"/>
      <c r="C385" s="5537"/>
      <c r="D385" s="6624"/>
      <c r="E385" s="6625"/>
      <c r="F385" s="3033" t="s">
        <v>3795</v>
      </c>
      <c r="G385" s="3202" t="s">
        <v>3566</v>
      </c>
      <c r="H385" s="3234"/>
      <c r="I385" s="5904"/>
      <c r="J385" s="991"/>
      <c r="K385" s="991"/>
      <c r="L385" s="991"/>
      <c r="M385" s="991"/>
      <c r="N385" s="991"/>
      <c r="O385" s="991"/>
      <c r="P385" s="991"/>
      <c r="Q385" s="991"/>
      <c r="R385" s="991"/>
      <c r="S385" s="991"/>
      <c r="T385" s="991"/>
      <c r="U385" s="991"/>
      <c r="V385" s="991"/>
      <c r="W385" s="991"/>
      <c r="X385" s="991"/>
      <c r="Y385" s="921"/>
      <c r="Z385" s="3735"/>
    </row>
    <row r="386" spans="1:26" s="918" customFormat="1" ht="15.75" x14ac:dyDescent="0.25">
      <c r="A386" s="921"/>
      <c r="B386" s="991"/>
      <c r="C386" s="5537"/>
      <c r="D386" s="6626"/>
      <c r="E386" s="6627"/>
      <c r="F386" s="1760" t="s">
        <v>2711</v>
      </c>
      <c r="G386" s="3954"/>
      <c r="H386" s="3932"/>
      <c r="I386" s="5904"/>
      <c r="J386" s="991"/>
      <c r="K386" s="991"/>
      <c r="L386" s="991"/>
      <c r="M386" s="991"/>
      <c r="N386" s="991"/>
      <c r="O386" s="991"/>
      <c r="P386" s="991"/>
      <c r="Q386" s="991"/>
      <c r="R386" s="991"/>
      <c r="S386" s="991"/>
      <c r="T386" s="991"/>
      <c r="U386" s="991"/>
      <c r="V386" s="991"/>
      <c r="W386" s="991"/>
      <c r="X386" s="991"/>
      <c r="Y386" s="921"/>
      <c r="Z386" s="3735"/>
    </row>
    <row r="387" spans="1:26" s="918" customFormat="1" ht="30" x14ac:dyDescent="0.25">
      <c r="A387" s="921"/>
      <c r="B387" s="991"/>
      <c r="C387" s="5537"/>
      <c r="D387" s="6511" t="s">
        <v>82</v>
      </c>
      <c r="E387" s="6512"/>
      <c r="F387" s="3029" t="s">
        <v>2720</v>
      </c>
      <c r="G387" s="3030" t="s">
        <v>19</v>
      </c>
      <c r="H387" s="3203">
        <f>'WW calcu'!E695</f>
        <v>0</v>
      </c>
      <c r="I387" s="5904"/>
      <c r="J387" s="991"/>
      <c r="K387" s="991"/>
      <c r="L387" s="991"/>
      <c r="M387" s="991"/>
      <c r="N387" s="991"/>
      <c r="O387" s="991"/>
      <c r="P387" s="991"/>
      <c r="Q387" s="991"/>
      <c r="R387" s="991"/>
      <c r="S387" s="991"/>
      <c r="T387" s="991"/>
      <c r="U387" s="991"/>
      <c r="V387" s="991"/>
      <c r="W387" s="991"/>
      <c r="X387" s="991"/>
      <c r="Y387" s="921"/>
      <c r="Z387" s="3735"/>
    </row>
    <row r="388" spans="1:26" s="918" customFormat="1" ht="15.75" x14ac:dyDescent="0.25">
      <c r="A388" s="921"/>
      <c r="B388" s="991"/>
      <c r="C388" s="5537"/>
      <c r="D388" s="5553"/>
      <c r="E388" s="5554"/>
      <c r="F388" s="3031" t="s">
        <v>2698</v>
      </c>
      <c r="G388" s="3155" t="s">
        <v>19</v>
      </c>
      <c r="H388" s="3200">
        <f>'WW calcu'!E696</f>
        <v>0</v>
      </c>
      <c r="I388" s="5904"/>
      <c r="J388" s="991"/>
      <c r="K388" s="991"/>
      <c r="L388" s="991"/>
      <c r="M388" s="991"/>
      <c r="N388" s="991"/>
      <c r="O388" s="991"/>
      <c r="P388" s="991"/>
      <c r="Q388" s="991"/>
      <c r="R388" s="991"/>
      <c r="S388" s="991"/>
      <c r="T388" s="991"/>
      <c r="U388" s="991"/>
      <c r="V388" s="991"/>
      <c r="W388" s="991"/>
      <c r="X388" s="991"/>
      <c r="Y388" s="921"/>
      <c r="Z388" s="3735"/>
    </row>
    <row r="389" spans="1:26" s="918" customFormat="1" ht="30" x14ac:dyDescent="0.25">
      <c r="A389" s="921"/>
      <c r="B389" s="991"/>
      <c r="C389" s="5537"/>
      <c r="D389" s="6438" t="s">
        <v>210</v>
      </c>
      <c r="E389" s="6439"/>
      <c r="F389" s="3040" t="s">
        <v>2670</v>
      </c>
      <c r="G389" s="3041" t="s">
        <v>19</v>
      </c>
      <c r="H389" s="3214"/>
      <c r="I389" s="5904"/>
      <c r="J389" s="991"/>
      <c r="K389" s="991"/>
      <c r="L389" s="991"/>
      <c r="M389" s="991"/>
      <c r="N389" s="991"/>
      <c r="O389" s="991"/>
      <c r="P389" s="991"/>
      <c r="Q389" s="991"/>
      <c r="R389" s="991"/>
      <c r="S389" s="991"/>
      <c r="T389" s="991"/>
      <c r="U389" s="991"/>
      <c r="V389" s="991"/>
      <c r="W389" s="991"/>
      <c r="X389" s="991"/>
      <c r="Y389" s="921"/>
      <c r="Z389" s="3735"/>
    </row>
    <row r="390" spans="1:26" s="918" customFormat="1" ht="15.75" x14ac:dyDescent="0.25">
      <c r="A390" s="921"/>
      <c r="B390" s="991"/>
      <c r="C390" s="5537"/>
      <c r="D390" s="6511" t="s">
        <v>211</v>
      </c>
      <c r="E390" s="6512"/>
      <c r="F390" s="3031" t="s">
        <v>1303</v>
      </c>
      <c r="G390" s="3155" t="s">
        <v>3520</v>
      </c>
      <c r="H390" s="5783"/>
      <c r="I390" s="5904"/>
      <c r="J390" s="991"/>
      <c r="K390" s="991"/>
      <c r="L390" s="991"/>
      <c r="M390" s="991"/>
      <c r="N390" s="991"/>
      <c r="O390" s="991"/>
      <c r="P390" s="991"/>
      <c r="Q390" s="991"/>
      <c r="R390" s="991"/>
      <c r="S390" s="991"/>
      <c r="T390" s="991"/>
      <c r="U390" s="991"/>
      <c r="V390" s="991"/>
      <c r="W390" s="991"/>
      <c r="X390" s="991"/>
      <c r="Y390" s="921"/>
      <c r="Z390" s="3735"/>
    </row>
    <row r="391" spans="1:26" s="918" customFormat="1" ht="15.75" x14ac:dyDescent="0.25">
      <c r="A391" s="921"/>
      <c r="B391" s="991"/>
      <c r="C391" s="5537"/>
      <c r="D391" s="6511"/>
      <c r="E391" s="6512"/>
      <c r="F391" s="3031" t="s">
        <v>1803</v>
      </c>
      <c r="G391" s="3155" t="s">
        <v>3563</v>
      </c>
      <c r="H391" s="3049"/>
      <c r="I391" s="5904"/>
      <c r="J391" s="991"/>
      <c r="K391" s="991"/>
      <c r="L391" s="991"/>
      <c r="M391" s="991"/>
      <c r="N391" s="991"/>
      <c r="O391" s="991"/>
      <c r="P391" s="991"/>
      <c r="Q391" s="991"/>
      <c r="R391" s="991"/>
      <c r="S391" s="991"/>
      <c r="T391" s="991"/>
      <c r="U391" s="991"/>
      <c r="V391" s="991"/>
      <c r="W391" s="991"/>
      <c r="X391" s="991"/>
      <c r="Y391" s="921"/>
      <c r="Z391" s="3735"/>
    </row>
    <row r="392" spans="1:26" s="918" customFormat="1" ht="16.5" thickBot="1" x14ac:dyDescent="0.3">
      <c r="A392" s="921"/>
      <c r="B392" s="991"/>
      <c r="C392" s="5537"/>
      <c r="D392" s="6624"/>
      <c r="E392" s="6625"/>
      <c r="F392" s="3033" t="s">
        <v>3796</v>
      </c>
      <c r="G392" s="3202" t="s">
        <v>3566</v>
      </c>
      <c r="H392" s="3234"/>
      <c r="I392" s="5904"/>
      <c r="J392" s="991"/>
      <c r="K392" s="991"/>
      <c r="L392" s="991"/>
      <c r="M392" s="991"/>
      <c r="N392" s="991"/>
      <c r="O392" s="991"/>
      <c r="P392" s="991"/>
      <c r="Q392" s="991"/>
      <c r="R392" s="991"/>
      <c r="S392" s="991"/>
      <c r="T392" s="991"/>
      <c r="U392" s="991"/>
      <c r="V392" s="991"/>
      <c r="W392" s="991"/>
      <c r="X392" s="991"/>
      <c r="Y392" s="921"/>
      <c r="Z392" s="3735"/>
    </row>
    <row r="393" spans="1:26" ht="32.25" customHeight="1" thickBot="1" x14ac:dyDescent="0.35">
      <c r="B393" s="389"/>
      <c r="C393" s="5538" t="s">
        <v>3153</v>
      </c>
      <c r="D393" s="3422" t="s">
        <v>786</v>
      </c>
      <c r="E393" s="2976" t="s">
        <v>78</v>
      </c>
      <c r="F393" s="2977" t="s">
        <v>1140</v>
      </c>
      <c r="G393" s="3922"/>
      <c r="H393" s="3932"/>
      <c r="I393" s="5904"/>
      <c r="J393" s="2"/>
      <c r="K393" s="2"/>
      <c r="L393" s="2"/>
      <c r="M393" s="2"/>
      <c r="N393" s="2"/>
      <c r="O393" s="2"/>
      <c r="P393" s="2"/>
      <c r="Q393" s="2"/>
      <c r="R393" s="2"/>
      <c r="S393" s="2"/>
      <c r="T393" s="2"/>
      <c r="U393" s="2"/>
      <c r="V393" s="2"/>
      <c r="W393" s="2"/>
      <c r="X393" s="2"/>
      <c r="Z393" s="3735">
        <f>'Perf assessment'!U177</f>
        <v>0</v>
      </c>
    </row>
    <row r="394" spans="1:26" ht="15.75" customHeight="1" x14ac:dyDescent="0.25">
      <c r="B394" s="2"/>
      <c r="C394" s="5537"/>
      <c r="D394" s="6421" t="s">
        <v>82</v>
      </c>
      <c r="E394" s="6422"/>
      <c r="F394" s="3029" t="s">
        <v>1141</v>
      </c>
      <c r="G394" s="3113" t="s">
        <v>18</v>
      </c>
      <c r="H394" s="534">
        <f>IFERROR('WW calcu'!E839,0)</f>
        <v>0</v>
      </c>
      <c r="I394" s="5904"/>
      <c r="J394" s="2"/>
      <c r="K394" s="2"/>
      <c r="L394" s="2"/>
      <c r="M394" s="2"/>
      <c r="N394" s="2"/>
      <c r="O394" s="2"/>
      <c r="P394" s="2"/>
      <c r="Q394" s="2"/>
      <c r="R394" s="2"/>
      <c r="S394" s="2"/>
      <c r="T394" s="2"/>
      <c r="U394" s="2"/>
      <c r="V394" s="2"/>
      <c r="W394" s="2"/>
      <c r="X394" s="2"/>
    </row>
    <row r="395" spans="1:26" ht="30" x14ac:dyDescent="0.25">
      <c r="B395" s="2"/>
      <c r="C395" s="5537"/>
      <c r="D395" s="6453" t="s">
        <v>210</v>
      </c>
      <c r="E395" s="6454"/>
      <c r="F395" s="3040" t="s">
        <v>1802</v>
      </c>
      <c r="G395" s="3216" t="s">
        <v>18</v>
      </c>
      <c r="H395" s="3217"/>
      <c r="I395" s="5904"/>
      <c r="J395" s="2"/>
      <c r="K395" s="2"/>
      <c r="L395" s="2"/>
      <c r="M395" s="2"/>
      <c r="N395" s="2"/>
      <c r="O395" s="2"/>
      <c r="P395" s="2"/>
      <c r="Q395" s="2"/>
      <c r="R395" s="2"/>
      <c r="S395" s="2"/>
      <c r="T395" s="2"/>
      <c r="U395" s="2"/>
      <c r="V395" s="2"/>
      <c r="W395" s="2"/>
      <c r="X395" s="2"/>
    </row>
    <row r="396" spans="1:26" ht="16.5" thickBot="1" x14ac:dyDescent="0.3">
      <c r="B396" s="2"/>
      <c r="C396" s="5537"/>
      <c r="D396" s="6421" t="s">
        <v>211</v>
      </c>
      <c r="E396" s="6422"/>
      <c r="F396" s="2975" t="s">
        <v>3569</v>
      </c>
      <c r="G396" s="3112" t="s">
        <v>3563</v>
      </c>
      <c r="H396" s="3215"/>
      <c r="I396" s="5904"/>
      <c r="J396" s="2"/>
      <c r="K396" s="2"/>
      <c r="L396" s="2"/>
      <c r="M396" s="2"/>
      <c r="N396" s="2"/>
      <c r="O396" s="2"/>
      <c r="P396" s="2"/>
      <c r="Q396" s="2"/>
      <c r="R396" s="2"/>
      <c r="S396" s="2"/>
      <c r="T396" s="2"/>
      <c r="U396" s="2"/>
      <c r="V396" s="2"/>
      <c r="W396" s="2"/>
      <c r="X396" s="2"/>
    </row>
    <row r="397" spans="1:26" ht="18.75" thickBot="1" x14ac:dyDescent="0.35">
      <c r="B397" s="389"/>
      <c r="C397" s="5538" t="s">
        <v>3154</v>
      </c>
      <c r="D397" s="3422" t="s">
        <v>786</v>
      </c>
      <c r="E397" s="2976" t="s">
        <v>78</v>
      </c>
      <c r="F397" s="2984" t="s">
        <v>1746</v>
      </c>
      <c r="G397" s="3922"/>
      <c r="H397" s="3932"/>
      <c r="I397" s="5904"/>
      <c r="J397" s="2"/>
      <c r="K397" s="2"/>
      <c r="L397" s="2"/>
      <c r="M397" s="2"/>
      <c r="N397" s="2"/>
      <c r="O397" s="2"/>
      <c r="P397" s="2"/>
      <c r="Q397" s="2"/>
      <c r="R397" s="2"/>
      <c r="S397" s="2"/>
      <c r="T397" s="2"/>
      <c r="U397" s="2"/>
      <c r="V397" s="2"/>
      <c r="W397" s="2"/>
      <c r="X397" s="2"/>
      <c r="Z397" s="3735">
        <f>'Perf assessment'!U178</f>
        <v>0</v>
      </c>
    </row>
    <row r="398" spans="1:26" ht="30" x14ac:dyDescent="0.25">
      <c r="B398" s="2"/>
      <c r="C398" s="5537"/>
      <c r="D398" s="6421" t="s">
        <v>82</v>
      </c>
      <c r="E398" s="6422"/>
      <c r="F398" s="3218" t="s">
        <v>1717</v>
      </c>
      <c r="G398" s="3113" t="s">
        <v>18</v>
      </c>
      <c r="H398" s="3219">
        <f>IFERROR('WSS Profile'!G329/'WSS Profile'!G328,0)</f>
        <v>1</v>
      </c>
      <c r="I398" s="5904"/>
      <c r="J398" s="2"/>
      <c r="K398" s="2"/>
      <c r="L398" s="2"/>
      <c r="M398" s="2"/>
      <c r="N398" s="2"/>
      <c r="O398" s="2"/>
      <c r="P398" s="2"/>
      <c r="Q398" s="2"/>
      <c r="R398" s="2"/>
      <c r="S398" s="2"/>
      <c r="T398" s="2"/>
      <c r="U398" s="2"/>
      <c r="V398" s="2"/>
      <c r="W398" s="2"/>
      <c r="X398" s="2"/>
    </row>
    <row r="399" spans="1:26" s="485" customFormat="1" ht="15.75" x14ac:dyDescent="0.25">
      <c r="A399" s="483"/>
      <c r="B399" s="404"/>
      <c r="C399" s="5537"/>
      <c r="D399" s="6438" t="s">
        <v>210</v>
      </c>
      <c r="E399" s="6439"/>
      <c r="F399" s="3220" t="s">
        <v>1073</v>
      </c>
      <c r="G399" s="3213" t="s">
        <v>18</v>
      </c>
      <c r="H399" s="3221"/>
      <c r="I399" s="5904"/>
      <c r="J399" s="404"/>
      <c r="K399" s="404"/>
      <c r="L399" s="404"/>
      <c r="M399" s="404"/>
      <c r="N399" s="404"/>
      <c r="O399" s="404"/>
      <c r="P399" s="404"/>
      <c r="Q399" s="404"/>
      <c r="R399" s="404"/>
      <c r="S399" s="404"/>
      <c r="T399" s="404"/>
      <c r="U399" s="404"/>
      <c r="V399" s="404"/>
      <c r="W399" s="404"/>
      <c r="X399" s="404"/>
      <c r="Y399" s="483"/>
      <c r="Z399" s="3735"/>
    </row>
    <row r="400" spans="1:26" ht="30" x14ac:dyDescent="0.25">
      <c r="B400" s="404"/>
      <c r="C400" s="5537"/>
      <c r="D400" s="6432" t="s">
        <v>211</v>
      </c>
      <c r="E400" s="6433"/>
      <c r="F400" s="3207" t="s">
        <v>3570</v>
      </c>
      <c r="G400" s="3112" t="s">
        <v>3520</v>
      </c>
      <c r="H400" s="3766"/>
      <c r="I400" s="5904"/>
      <c r="J400" s="2"/>
      <c r="K400" s="2"/>
      <c r="L400" s="2"/>
      <c r="M400" s="2"/>
      <c r="N400" s="2"/>
      <c r="O400" s="2"/>
      <c r="P400" s="2"/>
      <c r="Q400" s="2"/>
      <c r="R400" s="2"/>
      <c r="S400" s="2"/>
      <c r="T400" s="2"/>
      <c r="U400" s="2"/>
      <c r="V400" s="2"/>
      <c r="W400" s="2"/>
      <c r="X400" s="2"/>
    </row>
    <row r="401" spans="2:26" x14ac:dyDescent="0.25">
      <c r="B401" s="404"/>
      <c r="C401" s="5537"/>
      <c r="D401" s="415"/>
      <c r="E401" s="388"/>
      <c r="F401" s="388"/>
      <c r="G401" s="388"/>
      <c r="H401" s="388"/>
      <c r="I401" s="388"/>
      <c r="J401" s="2"/>
      <c r="K401" s="2"/>
      <c r="L401" s="2"/>
      <c r="M401" s="2"/>
      <c r="N401" s="2"/>
      <c r="O401" s="2"/>
      <c r="P401" s="2"/>
      <c r="Q401" s="2"/>
      <c r="R401" s="2"/>
      <c r="S401" s="2"/>
      <c r="T401" s="2"/>
      <c r="U401" s="2"/>
      <c r="V401" s="2"/>
      <c r="W401" s="2"/>
      <c r="X401" s="2"/>
    </row>
    <row r="402" spans="2:26" x14ac:dyDescent="0.25">
      <c r="B402" s="2"/>
      <c r="C402" s="5536"/>
      <c r="D402" s="413"/>
      <c r="E402" s="991"/>
      <c r="F402" s="991"/>
      <c r="G402" s="413"/>
      <c r="H402" s="991"/>
      <c r="I402" s="412"/>
      <c r="J402" s="2"/>
      <c r="K402" s="2"/>
      <c r="L402" s="2"/>
      <c r="M402" s="2"/>
      <c r="N402" s="2"/>
      <c r="O402" s="2"/>
      <c r="P402" s="2"/>
      <c r="Q402" s="2"/>
      <c r="R402" s="2"/>
      <c r="S402" s="2"/>
      <c r="T402" s="2"/>
      <c r="U402" s="2"/>
      <c r="V402" s="2"/>
      <c r="W402" s="2"/>
      <c r="X402" s="2"/>
    </row>
    <row r="403" spans="2:26" x14ac:dyDescent="0.25">
      <c r="B403" s="2"/>
      <c r="C403" s="5544"/>
      <c r="D403" s="1139"/>
      <c r="E403" s="402"/>
      <c r="F403" s="57"/>
      <c r="G403" s="57"/>
      <c r="H403" s="57"/>
      <c r="I403" s="378"/>
      <c r="J403" s="2"/>
      <c r="K403" s="2"/>
      <c r="L403" s="2"/>
      <c r="M403" s="2"/>
      <c r="N403" s="2"/>
      <c r="O403" s="2"/>
      <c r="P403" s="2"/>
      <c r="Q403" s="2"/>
      <c r="R403" s="2"/>
      <c r="S403" s="2"/>
      <c r="T403" s="2"/>
      <c r="U403" s="2"/>
      <c r="V403" s="2"/>
      <c r="W403" s="2"/>
      <c r="X403" s="2"/>
    </row>
    <row r="404" spans="2:26" s="480" customFormat="1" ht="31.5" customHeight="1" x14ac:dyDescent="0.25">
      <c r="B404" s="1382"/>
      <c r="C404" s="1383"/>
      <c r="D404" s="1384" t="s">
        <v>150</v>
      </c>
      <c r="E404" s="1384" t="s">
        <v>1045</v>
      </c>
      <c r="F404" s="1384"/>
      <c r="G404" s="1384"/>
      <c r="H404" s="1384"/>
      <c r="I404" s="1384"/>
      <c r="J404" s="1384"/>
      <c r="K404" s="1384"/>
      <c r="L404" s="1384"/>
      <c r="M404" s="1384"/>
      <c r="N404" s="1384"/>
      <c r="O404" s="1384"/>
      <c r="P404" s="1384"/>
      <c r="Q404" s="1384"/>
      <c r="R404" s="1384"/>
      <c r="S404" s="1384"/>
      <c r="T404" s="1384"/>
      <c r="U404" s="1385"/>
      <c r="V404" s="1385"/>
      <c r="W404" s="1385"/>
      <c r="X404" s="1386"/>
      <c r="Z404" s="3738"/>
    </row>
    <row r="405" spans="2:26" x14ac:dyDescent="0.25">
      <c r="B405" s="2"/>
      <c r="C405" s="5536"/>
      <c r="D405" s="413"/>
      <c r="E405" s="991"/>
      <c r="F405" s="991"/>
      <c r="G405" s="991"/>
      <c r="H405" s="991"/>
      <c r="I405" s="991"/>
      <c r="J405" s="2"/>
      <c r="K405" s="2"/>
      <c r="L405" s="2"/>
      <c r="M405" s="2"/>
      <c r="N405" s="2"/>
      <c r="O405" s="2"/>
      <c r="P405" s="2"/>
      <c r="Q405" s="2"/>
      <c r="R405" s="2"/>
      <c r="S405" s="2"/>
      <c r="T405" s="2"/>
      <c r="U405" s="2"/>
      <c r="V405" s="2"/>
      <c r="W405" s="2"/>
      <c r="X405" s="2"/>
    </row>
    <row r="406" spans="2:26" ht="21.75" thickBot="1" x14ac:dyDescent="0.3">
      <c r="B406" s="2"/>
      <c r="C406" s="5537"/>
      <c r="D406" s="1221"/>
      <c r="E406" s="1221">
        <v>1</v>
      </c>
      <c r="F406" s="6431" t="s">
        <v>567</v>
      </c>
      <c r="G406" s="6431"/>
      <c r="H406" s="6431"/>
      <c r="I406" s="390"/>
      <c r="J406" s="2"/>
      <c r="K406" s="2"/>
      <c r="L406" s="2"/>
      <c r="M406" s="2"/>
      <c r="N406" s="2"/>
      <c r="O406" s="2"/>
      <c r="P406" s="2"/>
      <c r="Q406" s="2"/>
      <c r="R406" s="2"/>
      <c r="S406" s="2"/>
      <c r="T406" s="2"/>
      <c r="U406" s="2"/>
      <c r="V406" s="2"/>
      <c r="W406" s="2"/>
      <c r="X406" s="2"/>
    </row>
    <row r="407" spans="2:26" ht="18.75" thickBot="1" x14ac:dyDescent="0.35">
      <c r="B407" s="389"/>
      <c r="C407" s="5538" t="s">
        <v>3155</v>
      </c>
      <c r="D407" s="3422" t="s">
        <v>786</v>
      </c>
      <c r="E407" s="2976" t="s">
        <v>78</v>
      </c>
      <c r="F407" s="6447" t="s">
        <v>1740</v>
      </c>
      <c r="G407" s="6448"/>
      <c r="H407" s="6449"/>
      <c r="I407" s="5904"/>
      <c r="J407" s="2"/>
      <c r="K407" s="2"/>
      <c r="L407" s="2"/>
      <c r="M407" s="2"/>
      <c r="N407" s="2"/>
      <c r="O407" s="2"/>
      <c r="P407" s="2"/>
      <c r="Q407" s="2"/>
      <c r="R407" s="2"/>
      <c r="S407" s="2"/>
      <c r="T407" s="2"/>
      <c r="U407" s="2"/>
      <c r="V407" s="2"/>
      <c r="W407" s="2"/>
      <c r="X407" s="2"/>
      <c r="Z407" s="3735">
        <f>'Perf assessment'!U184</f>
        <v>0</v>
      </c>
    </row>
    <row r="408" spans="2:26" x14ac:dyDescent="0.25">
      <c r="B408" s="2"/>
      <c r="C408" s="5537"/>
      <c r="D408" s="1140"/>
      <c r="E408" s="392"/>
      <c r="F408" s="401"/>
      <c r="G408" s="401"/>
      <c r="H408" s="401"/>
      <c r="I408" s="388"/>
      <c r="J408" s="2"/>
      <c r="K408" s="2"/>
      <c r="L408" s="2"/>
      <c r="M408" s="2"/>
      <c r="N408" s="2"/>
      <c r="O408" s="2"/>
      <c r="P408" s="2"/>
      <c r="Q408" s="2"/>
      <c r="R408" s="2"/>
      <c r="S408" s="2"/>
      <c r="T408" s="2"/>
      <c r="U408" s="2"/>
      <c r="V408" s="2"/>
      <c r="W408" s="2"/>
      <c r="X408" s="2"/>
    </row>
    <row r="409" spans="2:26" x14ac:dyDescent="0.25">
      <c r="B409" s="2"/>
      <c r="C409" s="5536"/>
      <c r="D409" s="1139"/>
      <c r="E409" s="402"/>
      <c r="F409" s="57"/>
      <c r="G409" s="57"/>
      <c r="H409" s="57"/>
      <c r="I409" s="991"/>
      <c r="J409" s="2"/>
      <c r="K409" s="2"/>
      <c r="L409" s="2"/>
      <c r="M409" s="2"/>
      <c r="N409" s="2"/>
      <c r="O409" s="2"/>
      <c r="P409" s="2"/>
      <c r="Q409" s="2"/>
      <c r="R409" s="2"/>
      <c r="S409" s="2"/>
      <c r="T409" s="2"/>
      <c r="U409" s="2"/>
      <c r="V409" s="2"/>
      <c r="W409" s="2"/>
      <c r="X409" s="2"/>
    </row>
    <row r="410" spans="2:26" ht="21.75" thickBot="1" x14ac:dyDescent="0.3">
      <c r="B410" s="2"/>
      <c r="C410" s="5537"/>
      <c r="D410" s="399"/>
      <c r="E410" s="399">
        <v>2</v>
      </c>
      <c r="F410" s="6431" t="s">
        <v>1044</v>
      </c>
      <c r="G410" s="6431"/>
      <c r="H410" s="6431"/>
      <c r="I410" s="390"/>
      <c r="J410" s="2"/>
      <c r="K410" s="2"/>
      <c r="L410" s="2"/>
      <c r="M410" s="2"/>
      <c r="N410" s="2"/>
      <c r="O410" s="2"/>
      <c r="P410" s="2"/>
      <c r="Q410" s="2"/>
      <c r="R410" s="2"/>
      <c r="S410" s="2"/>
      <c r="T410" s="2"/>
      <c r="U410" s="2"/>
      <c r="V410" s="2"/>
      <c r="W410" s="2"/>
      <c r="X410" s="2"/>
    </row>
    <row r="411" spans="2:26" ht="18.75" customHeight="1" thickBot="1" x14ac:dyDescent="0.3">
      <c r="B411" s="2"/>
      <c r="C411" s="5538" t="s">
        <v>3156</v>
      </c>
      <c r="D411" s="3422" t="s">
        <v>786</v>
      </c>
      <c r="E411" s="2976" t="s">
        <v>78</v>
      </c>
      <c r="F411" s="2984" t="s">
        <v>1801</v>
      </c>
      <c r="G411" s="3922"/>
      <c r="H411" s="3923"/>
      <c r="I411" s="5904"/>
      <c r="J411" s="2"/>
      <c r="K411" s="2"/>
      <c r="L411" s="2"/>
      <c r="M411" s="2"/>
      <c r="N411" s="2"/>
      <c r="O411" s="2"/>
      <c r="P411" s="2"/>
      <c r="Q411" s="2"/>
      <c r="R411" s="2"/>
      <c r="S411" s="2"/>
      <c r="T411" s="2"/>
      <c r="U411" s="2"/>
      <c r="V411" s="2"/>
      <c r="W411" s="2"/>
      <c r="X411" s="2"/>
      <c r="Z411" s="3735">
        <f>'Perf assessment'!U186</f>
        <v>0</v>
      </c>
    </row>
    <row r="412" spans="2:26" ht="30" x14ac:dyDescent="0.25">
      <c r="B412" s="2"/>
      <c r="C412" s="5537"/>
      <c r="D412" s="6421" t="s">
        <v>82</v>
      </c>
      <c r="E412" s="6422"/>
      <c r="F412" s="2974" t="s">
        <v>3005</v>
      </c>
      <c r="G412" s="3113" t="s">
        <v>18</v>
      </c>
      <c r="H412" s="890">
        <f>IFERROR('Finance info'!J80/'Finance info'!I80,0)</f>
        <v>0</v>
      </c>
      <c r="I412" s="5904"/>
      <c r="J412" s="2"/>
      <c r="K412" s="2"/>
      <c r="L412" s="2"/>
      <c r="M412" s="2"/>
      <c r="N412" s="2"/>
      <c r="O412" s="2"/>
      <c r="P412" s="2"/>
      <c r="Q412" s="2"/>
      <c r="R412" s="2"/>
      <c r="S412" s="2"/>
      <c r="T412" s="2"/>
      <c r="U412" s="2"/>
      <c r="V412" s="2"/>
      <c r="W412" s="2"/>
      <c r="X412" s="2"/>
    </row>
    <row r="413" spans="2:26" ht="15" customHeight="1" x14ac:dyDescent="0.25">
      <c r="B413" s="2"/>
      <c r="C413" s="5537"/>
      <c r="D413" s="6421"/>
      <c r="E413" s="6422"/>
      <c r="F413" s="3110" t="s">
        <v>3006</v>
      </c>
      <c r="G413" s="3111" t="s">
        <v>18</v>
      </c>
      <c r="H413" s="533">
        <f>IFERROR('Finance info'!J87/'Finance info'!I87,0)</f>
        <v>0</v>
      </c>
      <c r="I413" s="5904"/>
      <c r="J413" s="2"/>
      <c r="K413" s="2"/>
      <c r="L413" s="2"/>
      <c r="M413" s="2"/>
      <c r="N413" s="2"/>
      <c r="O413" s="2"/>
      <c r="P413" s="2"/>
      <c r="Q413" s="2"/>
      <c r="R413" s="2"/>
      <c r="S413" s="2"/>
      <c r="T413" s="2"/>
      <c r="U413" s="2"/>
      <c r="V413" s="2"/>
      <c r="W413" s="2"/>
      <c r="X413" s="2"/>
    </row>
    <row r="414" spans="2:26" ht="15.75" x14ac:dyDescent="0.25">
      <c r="B414" s="2"/>
      <c r="C414" s="5537"/>
      <c r="D414" s="6429" t="s">
        <v>210</v>
      </c>
      <c r="E414" s="6430"/>
      <c r="F414" s="3142" t="s">
        <v>1064</v>
      </c>
      <c r="G414" s="3150" t="s">
        <v>18</v>
      </c>
      <c r="H414" s="3231"/>
      <c r="I414" s="5904"/>
      <c r="J414" s="2"/>
      <c r="K414" s="2"/>
      <c r="L414" s="2"/>
      <c r="M414" s="2"/>
      <c r="N414" s="2"/>
      <c r="O414" s="2"/>
      <c r="P414" s="2"/>
      <c r="Q414" s="2"/>
      <c r="R414" s="2"/>
      <c r="S414" s="2"/>
      <c r="T414" s="2"/>
      <c r="U414" s="2"/>
      <c r="V414" s="2"/>
      <c r="W414" s="2"/>
      <c r="X414" s="2"/>
    </row>
    <row r="415" spans="2:26" ht="15.75" x14ac:dyDescent="0.25">
      <c r="B415" s="2"/>
      <c r="C415" s="5537"/>
      <c r="D415" s="6436"/>
      <c r="E415" s="6437"/>
      <c r="F415" s="3222" t="s">
        <v>1065</v>
      </c>
      <c r="G415" s="3114" t="s">
        <v>18</v>
      </c>
      <c r="H415" s="3232"/>
      <c r="I415" s="5904"/>
      <c r="J415" s="2"/>
      <c r="K415" s="2"/>
      <c r="L415" s="2"/>
      <c r="M415" s="2"/>
      <c r="N415" s="2"/>
      <c r="O415" s="2"/>
      <c r="P415" s="2"/>
      <c r="Q415" s="2"/>
      <c r="R415" s="2"/>
      <c r="S415" s="2"/>
      <c r="T415" s="2"/>
      <c r="U415" s="2"/>
      <c r="V415" s="2"/>
      <c r="W415" s="2"/>
      <c r="X415" s="2"/>
    </row>
    <row r="416" spans="2:26" ht="15.75" x14ac:dyDescent="0.25">
      <c r="B416" s="2"/>
      <c r="C416" s="5537"/>
      <c r="D416" s="6432" t="s">
        <v>211</v>
      </c>
      <c r="E416" s="6433"/>
      <c r="F416" s="5353" t="s">
        <v>3528</v>
      </c>
      <c r="G416" s="3112" t="s">
        <v>3520</v>
      </c>
      <c r="H416" s="3773"/>
      <c r="I416" s="5904"/>
      <c r="J416" s="2"/>
      <c r="K416" s="2"/>
      <c r="L416" s="2"/>
      <c r="M416" s="2"/>
      <c r="N416" s="2"/>
      <c r="O416" s="2"/>
      <c r="P416" s="2"/>
      <c r="Q416" s="2"/>
      <c r="R416" s="2"/>
      <c r="S416" s="2"/>
      <c r="T416" s="2"/>
      <c r="U416" s="2"/>
      <c r="V416" s="2"/>
      <c r="W416" s="2"/>
      <c r="X416" s="2"/>
    </row>
    <row r="417" spans="1:45" ht="15.75" x14ac:dyDescent="0.25">
      <c r="B417" s="2"/>
      <c r="C417" s="5537"/>
      <c r="D417" s="415"/>
      <c r="E417" s="388"/>
      <c r="F417" s="388"/>
      <c r="G417" s="388"/>
      <c r="H417" s="388"/>
      <c r="I417" s="390"/>
      <c r="J417" s="2"/>
      <c r="K417" s="2"/>
      <c r="L417" s="2"/>
      <c r="M417" s="2"/>
      <c r="N417" s="2"/>
      <c r="O417" s="2"/>
      <c r="P417" s="2"/>
      <c r="Q417" s="2"/>
      <c r="R417" s="2"/>
      <c r="S417" s="2"/>
      <c r="T417" s="2"/>
      <c r="U417" s="2"/>
      <c r="V417" s="2"/>
      <c r="W417" s="2"/>
      <c r="X417" s="2"/>
    </row>
    <row r="418" spans="1:45" x14ac:dyDescent="0.25">
      <c r="B418" s="2"/>
      <c r="C418" s="5536"/>
      <c r="D418" s="413"/>
      <c r="E418" s="991"/>
      <c r="F418" s="991"/>
      <c r="G418" s="413"/>
      <c r="H418" s="991"/>
      <c r="I418" s="412"/>
      <c r="J418" s="2"/>
      <c r="K418" s="2"/>
      <c r="L418" s="2"/>
      <c r="M418" s="2"/>
      <c r="N418" s="2"/>
      <c r="O418" s="2"/>
      <c r="P418" s="2"/>
      <c r="Q418" s="2"/>
      <c r="R418" s="2"/>
      <c r="S418" s="2"/>
      <c r="T418" s="2"/>
      <c r="U418" s="2"/>
      <c r="V418" s="2"/>
      <c r="W418" s="2"/>
      <c r="X418" s="2"/>
    </row>
    <row r="419" spans="1:45" x14ac:dyDescent="0.25">
      <c r="B419" s="2"/>
      <c r="C419" s="5536"/>
      <c r="D419" s="413"/>
      <c r="E419" s="991"/>
      <c r="F419" s="991"/>
      <c r="G419" s="413"/>
      <c r="H419" s="991"/>
      <c r="I419" s="412"/>
      <c r="J419" s="2"/>
      <c r="K419" s="2"/>
      <c r="L419" s="2"/>
      <c r="M419" s="2"/>
      <c r="N419" s="2"/>
      <c r="O419" s="2"/>
      <c r="P419" s="2"/>
      <c r="Q419" s="2"/>
      <c r="R419" s="2"/>
      <c r="S419" s="2"/>
      <c r="T419" s="2"/>
      <c r="U419" s="2"/>
      <c r="V419" s="2"/>
      <c r="W419" s="2"/>
      <c r="X419" s="2"/>
    </row>
    <row r="420" spans="1:45" s="480" customFormat="1" ht="31.5" customHeight="1" x14ac:dyDescent="0.25">
      <c r="B420" s="1382"/>
      <c r="C420" s="1383"/>
      <c r="D420" s="1384"/>
      <c r="E420" s="1384" t="s">
        <v>1046</v>
      </c>
      <c r="F420" s="1384"/>
      <c r="G420" s="1384"/>
      <c r="H420" s="1384"/>
      <c r="I420" s="1384"/>
      <c r="J420" s="1384"/>
      <c r="K420" s="1384"/>
      <c r="L420" s="1384"/>
      <c r="M420" s="1384"/>
      <c r="N420" s="1384"/>
      <c r="O420" s="1384"/>
      <c r="P420" s="1384"/>
      <c r="Q420" s="1384"/>
      <c r="R420" s="1384"/>
      <c r="S420" s="1384"/>
      <c r="T420" s="1384"/>
      <c r="U420" s="1385"/>
      <c r="V420" s="1385"/>
      <c r="W420" s="1385"/>
      <c r="X420" s="1386"/>
      <c r="Z420" s="3738"/>
    </row>
    <row r="421" spans="1:45" s="490" customFormat="1" ht="12.75" x14ac:dyDescent="0.2">
      <c r="A421" s="489"/>
      <c r="B421" s="417"/>
      <c r="C421" s="417"/>
      <c r="D421" s="418"/>
      <c r="E421" s="418"/>
      <c r="F421" s="419"/>
      <c r="G421" s="419"/>
      <c r="H421" s="419"/>
      <c r="I421" s="420"/>
      <c r="J421" s="420"/>
      <c r="K421" s="420"/>
      <c r="L421" s="420"/>
      <c r="M421" s="420"/>
      <c r="N421" s="420"/>
      <c r="O421" s="420"/>
      <c r="P421" s="420"/>
      <c r="Q421" s="420"/>
      <c r="R421" s="420"/>
      <c r="S421" s="420"/>
      <c r="T421" s="420"/>
      <c r="U421" s="420"/>
      <c r="V421" s="420"/>
      <c r="W421" s="420"/>
      <c r="X421" s="420"/>
      <c r="Y421" s="489"/>
      <c r="Z421" s="3741"/>
    </row>
    <row r="422" spans="1:45" s="490" customFormat="1" ht="13.5" thickBot="1" x14ac:dyDescent="0.25">
      <c r="A422" s="489"/>
      <c r="B422" s="417"/>
      <c r="C422" s="526"/>
      <c r="D422" s="527"/>
      <c r="E422" s="527"/>
      <c r="F422" s="528"/>
      <c r="G422" s="528"/>
      <c r="H422" s="528"/>
      <c r="I422" s="529"/>
      <c r="J422" s="420"/>
      <c r="K422" s="529"/>
      <c r="L422" s="529"/>
      <c r="M422" s="529"/>
      <c r="N422" s="529"/>
      <c r="O422" s="529"/>
      <c r="P422" s="529"/>
      <c r="Q422" s="529"/>
      <c r="R422" s="529"/>
      <c r="S422" s="529"/>
      <c r="T422" s="529"/>
      <c r="U422" s="529"/>
      <c r="V422" s="529"/>
      <c r="W422" s="529"/>
      <c r="X422" s="420"/>
      <c r="Y422" s="489"/>
      <c r="Z422" s="3741"/>
    </row>
    <row r="423" spans="1:45" ht="17.25" thickBot="1" x14ac:dyDescent="0.35">
      <c r="B423" s="389"/>
      <c r="C423" s="5538" t="s">
        <v>3157</v>
      </c>
      <c r="D423" s="3189"/>
      <c r="E423" s="2981" t="s">
        <v>78</v>
      </c>
      <c r="F423" s="3403" t="s">
        <v>3074</v>
      </c>
      <c r="G423" s="3927"/>
      <c r="H423" s="3932"/>
      <c r="I423" s="3560"/>
      <c r="J423" s="420"/>
      <c r="K423" s="529"/>
      <c r="L423" s="6492" t="s">
        <v>1807</v>
      </c>
      <c r="M423" s="6493"/>
      <c r="N423" s="6493"/>
      <c r="O423" s="6493"/>
      <c r="P423" s="6493"/>
      <c r="Q423" s="6493"/>
      <c r="R423" s="6493"/>
      <c r="S423" s="6493"/>
      <c r="T423" s="6493"/>
      <c r="U423" s="6493"/>
      <c r="V423" s="6494"/>
      <c r="W423" s="529"/>
      <c r="X423" s="420"/>
    </row>
    <row r="424" spans="1:45" ht="15" customHeight="1" x14ac:dyDescent="0.25">
      <c r="B424" s="2"/>
      <c r="C424" s="5537"/>
      <c r="D424" s="6425" t="s">
        <v>82</v>
      </c>
      <c r="E424" s="6426"/>
      <c r="F424" s="3438"/>
      <c r="G424" s="3205"/>
      <c r="H424" s="3204"/>
      <c r="I424" s="3560"/>
      <c r="J424" s="420"/>
      <c r="K424" s="529"/>
      <c r="L424" s="6618"/>
      <c r="M424" s="6619"/>
      <c r="N424" s="6619"/>
      <c r="O424" s="6619"/>
      <c r="P424" s="6619"/>
      <c r="Q424" s="6619"/>
      <c r="R424" s="6619"/>
      <c r="S424" s="6619"/>
      <c r="T424" s="6619"/>
      <c r="U424" s="6619"/>
      <c r="V424" s="6620"/>
      <c r="W424" s="529"/>
      <c r="X424" s="420"/>
    </row>
    <row r="425" spans="1:45" ht="15" customHeight="1" x14ac:dyDescent="0.25">
      <c r="B425" s="2"/>
      <c r="C425" s="5537"/>
      <c r="D425" s="6501" t="s">
        <v>210</v>
      </c>
      <c r="E425" s="6502"/>
      <c r="F425" s="5473"/>
      <c r="G425" s="3223"/>
      <c r="H425" s="3224"/>
      <c r="I425" s="3560"/>
      <c r="J425" s="420"/>
      <c r="K425" s="529"/>
      <c r="L425" s="6618"/>
      <c r="M425" s="6619"/>
      <c r="N425" s="6619"/>
      <c r="O425" s="6619"/>
      <c r="P425" s="6619"/>
      <c r="Q425" s="6619"/>
      <c r="R425" s="6619"/>
      <c r="S425" s="6619"/>
      <c r="T425" s="6619"/>
      <c r="U425" s="6619"/>
      <c r="V425" s="6620"/>
      <c r="W425" s="529"/>
      <c r="X425" s="420"/>
    </row>
    <row r="426" spans="1:45" ht="32.25" customHeight="1" x14ac:dyDescent="0.25">
      <c r="B426" s="2"/>
      <c r="C426" s="5537"/>
      <c r="D426" s="6503" t="s">
        <v>211</v>
      </c>
      <c r="E426" s="6504"/>
      <c r="F426" s="3191" t="s">
        <v>3571</v>
      </c>
      <c r="G426" s="3226"/>
      <c r="H426" s="5787"/>
      <c r="I426" s="3560"/>
      <c r="J426" s="420"/>
      <c r="K426" s="529"/>
      <c r="L426" s="6618"/>
      <c r="M426" s="6619"/>
      <c r="N426" s="6619"/>
      <c r="O426" s="6619"/>
      <c r="P426" s="6619"/>
      <c r="Q426" s="6619"/>
      <c r="R426" s="6619"/>
      <c r="S426" s="6619"/>
      <c r="T426" s="6619"/>
      <c r="U426" s="6619"/>
      <c r="V426" s="6620"/>
      <c r="W426" s="529"/>
      <c r="X426" s="420"/>
    </row>
    <row r="427" spans="1:45" x14ac:dyDescent="0.25">
      <c r="B427" s="2"/>
      <c r="C427" s="5537"/>
      <c r="D427" s="6505"/>
      <c r="E427" s="6506"/>
      <c r="F427" s="3208" t="s">
        <v>3572</v>
      </c>
      <c r="G427" s="3228" t="s">
        <v>3520</v>
      </c>
      <c r="H427" s="5751"/>
      <c r="I427" s="3560"/>
      <c r="J427" s="420"/>
      <c r="K427" s="529"/>
      <c r="L427" s="6618"/>
      <c r="M427" s="6619"/>
      <c r="N427" s="6619"/>
      <c r="O427" s="6619"/>
      <c r="P427" s="6619"/>
      <c r="Q427" s="6619"/>
      <c r="R427" s="6619"/>
      <c r="S427" s="6619"/>
      <c r="T427" s="6619"/>
      <c r="U427" s="6619"/>
      <c r="V427" s="6620"/>
      <c r="W427" s="529"/>
      <c r="X427" s="420"/>
    </row>
    <row r="428" spans="1:45" x14ac:dyDescent="0.25">
      <c r="B428" s="2"/>
      <c r="C428" s="5537"/>
      <c r="D428" s="6507"/>
      <c r="E428" s="6508"/>
      <c r="F428" s="3209" t="s">
        <v>1062</v>
      </c>
      <c r="G428" s="3229" t="s">
        <v>1418</v>
      </c>
      <c r="H428" s="3230"/>
      <c r="I428" s="3560"/>
      <c r="J428" s="420"/>
      <c r="K428" s="529"/>
      <c r="L428" s="6618"/>
      <c r="M428" s="6619"/>
      <c r="N428" s="6619"/>
      <c r="O428" s="6619"/>
      <c r="P428" s="6619"/>
      <c r="Q428" s="6619"/>
      <c r="R428" s="6619"/>
      <c r="S428" s="6619"/>
      <c r="T428" s="6619"/>
      <c r="U428" s="6619"/>
      <c r="V428" s="6620"/>
      <c r="W428" s="529"/>
      <c r="X428" s="420"/>
    </row>
    <row r="429" spans="1:45" ht="15.75" thickBot="1" x14ac:dyDescent="0.3">
      <c r="B429" s="2"/>
      <c r="C429" s="5537"/>
      <c r="D429" s="527"/>
      <c r="E429" s="388"/>
      <c r="F429" s="388"/>
      <c r="G429" s="388"/>
      <c r="H429" s="388"/>
      <c r="I429" s="3560"/>
      <c r="J429" s="420"/>
      <c r="K429" s="529"/>
      <c r="L429" s="6618"/>
      <c r="M429" s="6619"/>
      <c r="N429" s="6619"/>
      <c r="O429" s="6619"/>
      <c r="P429" s="6619"/>
      <c r="Q429" s="6619"/>
      <c r="R429" s="6619"/>
      <c r="S429" s="6619"/>
      <c r="T429" s="6619"/>
      <c r="U429" s="6619"/>
      <c r="V429" s="6620"/>
      <c r="W429" s="529"/>
      <c r="X429" s="420"/>
    </row>
    <row r="430" spans="1:45" ht="16.5" thickBot="1" x14ac:dyDescent="0.35">
      <c r="B430" s="389"/>
      <c r="C430" s="5538" t="s">
        <v>3158</v>
      </c>
      <c r="D430" s="3189"/>
      <c r="E430" s="2981" t="s">
        <v>78</v>
      </c>
      <c r="F430" s="3403" t="s">
        <v>3076</v>
      </c>
      <c r="G430" s="3927"/>
      <c r="H430" s="3932"/>
      <c r="I430" s="3560"/>
      <c r="J430" s="420"/>
      <c r="K430" s="529"/>
      <c r="L430" s="6618"/>
      <c r="M430" s="6619"/>
      <c r="N430" s="6619"/>
      <c r="O430" s="6619"/>
      <c r="P430" s="6619"/>
      <c r="Q430" s="6619"/>
      <c r="R430" s="6619"/>
      <c r="S430" s="6619"/>
      <c r="T430" s="6619"/>
      <c r="U430" s="6619"/>
      <c r="V430" s="6620"/>
      <c r="W430" s="529"/>
      <c r="X430" s="420"/>
    </row>
    <row r="431" spans="1:45" s="466" customFormat="1" ht="15" customHeight="1" x14ac:dyDescent="0.25">
      <c r="B431" s="2"/>
      <c r="C431" s="5537"/>
      <c r="D431" s="6425" t="s">
        <v>82</v>
      </c>
      <c r="E431" s="6426"/>
      <c r="F431" s="3438"/>
      <c r="G431" s="3205"/>
      <c r="H431" s="3204"/>
      <c r="I431" s="3560"/>
      <c r="J431" s="420"/>
      <c r="K431" s="529"/>
      <c r="L431" s="6618"/>
      <c r="M431" s="6619"/>
      <c r="N431" s="6619"/>
      <c r="O431" s="6619"/>
      <c r="P431" s="6619"/>
      <c r="Q431" s="6619"/>
      <c r="R431" s="6619"/>
      <c r="S431" s="6619"/>
      <c r="T431" s="6619"/>
      <c r="U431" s="6619"/>
      <c r="V431" s="6620"/>
      <c r="W431" s="529"/>
      <c r="X431" s="420"/>
      <c r="Z431" s="3735"/>
      <c r="AS431" s="921"/>
    </row>
    <row r="432" spans="1:45" ht="15" customHeight="1" x14ac:dyDescent="0.25">
      <c r="B432" s="2"/>
      <c r="C432" s="5537"/>
      <c r="D432" s="6501" t="s">
        <v>210</v>
      </c>
      <c r="E432" s="6502"/>
      <c r="F432" s="5473"/>
      <c r="G432" s="3223"/>
      <c r="H432" s="3225"/>
      <c r="I432" s="3560"/>
      <c r="J432" s="420"/>
      <c r="K432" s="529"/>
      <c r="L432" s="6618"/>
      <c r="M432" s="6619"/>
      <c r="N432" s="6619"/>
      <c r="O432" s="6619"/>
      <c r="P432" s="6619"/>
      <c r="Q432" s="6619"/>
      <c r="R432" s="6619"/>
      <c r="S432" s="6619"/>
      <c r="T432" s="6619"/>
      <c r="U432" s="6619"/>
      <c r="V432" s="6620"/>
      <c r="W432" s="529"/>
      <c r="X432" s="420"/>
    </row>
    <row r="433" spans="1:26" ht="30.75" customHeight="1" x14ac:dyDescent="0.25">
      <c r="B433" s="2"/>
      <c r="C433" s="5537"/>
      <c r="D433" s="6503" t="s">
        <v>211</v>
      </c>
      <c r="E433" s="6504"/>
      <c r="F433" s="3191" t="s">
        <v>3571</v>
      </c>
      <c r="G433" s="3226"/>
      <c r="H433" s="5787"/>
      <c r="I433" s="3560"/>
      <c r="J433" s="420"/>
      <c r="K433" s="529"/>
      <c r="L433" s="6618"/>
      <c r="M433" s="6619"/>
      <c r="N433" s="6619"/>
      <c r="O433" s="6619"/>
      <c r="P433" s="6619"/>
      <c r="Q433" s="6619"/>
      <c r="R433" s="6619"/>
      <c r="S433" s="6619"/>
      <c r="T433" s="6619"/>
      <c r="U433" s="6619"/>
      <c r="V433" s="6620"/>
      <c r="W433" s="529"/>
      <c r="X433" s="420"/>
    </row>
    <row r="434" spans="1:26" x14ac:dyDescent="0.25">
      <c r="B434" s="2"/>
      <c r="C434" s="5537"/>
      <c r="D434" s="6505"/>
      <c r="E434" s="6506"/>
      <c r="F434" s="3208" t="s">
        <v>1061</v>
      </c>
      <c r="G434" s="3228" t="s">
        <v>3520</v>
      </c>
      <c r="H434" s="5751"/>
      <c r="I434" s="3560"/>
      <c r="J434" s="420"/>
      <c r="K434" s="529"/>
      <c r="L434" s="6618"/>
      <c r="M434" s="6619"/>
      <c r="N434" s="6619"/>
      <c r="O434" s="6619"/>
      <c r="P434" s="6619"/>
      <c r="Q434" s="6619"/>
      <c r="R434" s="6619"/>
      <c r="S434" s="6619"/>
      <c r="T434" s="6619"/>
      <c r="U434" s="6619"/>
      <c r="V434" s="6620"/>
      <c r="W434" s="529"/>
      <c r="X434" s="420"/>
    </row>
    <row r="435" spans="1:26" x14ac:dyDescent="0.25">
      <c r="B435" s="2"/>
      <c r="C435" s="5537"/>
      <c r="D435" s="6507"/>
      <c r="E435" s="6508"/>
      <c r="F435" s="3209" t="s">
        <v>1062</v>
      </c>
      <c r="G435" s="3229" t="s">
        <v>1418</v>
      </c>
      <c r="H435" s="3230"/>
      <c r="I435" s="3560"/>
      <c r="J435" s="420"/>
      <c r="K435" s="529"/>
      <c r="L435" s="6621"/>
      <c r="M435" s="6622"/>
      <c r="N435" s="6622"/>
      <c r="O435" s="6622"/>
      <c r="P435" s="6622"/>
      <c r="Q435" s="6622"/>
      <c r="R435" s="6622"/>
      <c r="S435" s="6622"/>
      <c r="T435" s="6622"/>
      <c r="U435" s="6622"/>
      <c r="V435" s="6623"/>
      <c r="W435" s="529"/>
      <c r="X435" s="420"/>
    </row>
    <row r="436" spans="1:26" s="490" customFormat="1" ht="12.75" x14ac:dyDescent="0.2">
      <c r="A436" s="489"/>
      <c r="B436" s="417"/>
      <c r="C436" s="526"/>
      <c r="D436" s="527"/>
      <c r="E436" s="527"/>
      <c r="F436" s="528"/>
      <c r="G436" s="528"/>
      <c r="H436" s="528"/>
      <c r="I436" s="529"/>
      <c r="J436" s="420"/>
      <c r="K436" s="529"/>
      <c r="L436" s="529"/>
      <c r="M436" s="529"/>
      <c r="N436" s="529"/>
      <c r="O436" s="529"/>
      <c r="P436" s="529"/>
      <c r="Q436" s="529"/>
      <c r="R436" s="529"/>
      <c r="S436" s="529"/>
      <c r="T436" s="529"/>
      <c r="U436" s="529"/>
      <c r="V436" s="529"/>
      <c r="W436" s="529"/>
      <c r="X436" s="420"/>
      <c r="Y436" s="489"/>
      <c r="Z436" s="3741"/>
    </row>
    <row r="437" spans="1:26" s="490" customFormat="1" ht="12.75" x14ac:dyDescent="0.2">
      <c r="A437" s="489"/>
      <c r="B437" s="417"/>
      <c r="C437" s="417"/>
      <c r="D437" s="418"/>
      <c r="E437" s="418"/>
      <c r="F437" s="419"/>
      <c r="G437" s="419"/>
      <c r="H437" s="419"/>
      <c r="I437" s="420"/>
      <c r="J437" s="420"/>
      <c r="K437" s="420"/>
      <c r="L437" s="420"/>
      <c r="M437" s="420"/>
      <c r="N437" s="420"/>
      <c r="O437" s="420"/>
      <c r="P437" s="420"/>
      <c r="Q437" s="420"/>
      <c r="R437" s="420"/>
      <c r="S437" s="420"/>
      <c r="T437" s="420"/>
      <c r="U437" s="420"/>
      <c r="V437" s="420"/>
      <c r="W437" s="420"/>
      <c r="X437" s="420"/>
      <c r="Y437" s="489"/>
      <c r="Z437" s="3741"/>
    </row>
    <row r="438" spans="1:26" s="490" customFormat="1" ht="12.75" x14ac:dyDescent="0.2">
      <c r="A438" s="489"/>
      <c r="B438" s="417"/>
      <c r="C438" s="417"/>
      <c r="D438" s="418"/>
      <c r="E438" s="418"/>
      <c r="F438" s="419"/>
      <c r="G438" s="419"/>
      <c r="H438" s="419"/>
      <c r="I438" s="420"/>
      <c r="J438" s="420"/>
      <c r="K438" s="420"/>
      <c r="L438" s="420"/>
      <c r="M438" s="420"/>
      <c r="N438" s="420"/>
      <c r="O438" s="420"/>
      <c r="P438" s="420"/>
      <c r="Q438" s="420"/>
      <c r="R438" s="420"/>
      <c r="S438" s="420"/>
      <c r="T438" s="420"/>
      <c r="U438" s="420"/>
      <c r="V438" s="420"/>
      <c r="W438" s="420"/>
      <c r="X438" s="420"/>
      <c r="Y438" s="489"/>
      <c r="Z438" s="3741"/>
    </row>
    <row r="439" spans="1:26" s="490" customFormat="1" ht="12.75" x14ac:dyDescent="0.2">
      <c r="A439" s="489"/>
      <c r="B439" s="417"/>
      <c r="C439" s="417"/>
      <c r="D439" s="418"/>
      <c r="E439" s="418"/>
      <c r="F439" s="419"/>
      <c r="G439" s="419"/>
      <c r="H439" s="419"/>
      <c r="I439" s="420"/>
      <c r="J439" s="420"/>
      <c r="K439" s="420"/>
      <c r="L439" s="420"/>
      <c r="M439" s="420"/>
      <c r="N439" s="420"/>
      <c r="O439" s="420"/>
      <c r="P439" s="420"/>
      <c r="Q439" s="420"/>
      <c r="R439" s="420"/>
      <c r="S439" s="420"/>
      <c r="T439" s="420"/>
      <c r="U439" s="420"/>
      <c r="V439" s="420"/>
      <c r="W439" s="420"/>
      <c r="X439" s="420"/>
      <c r="Y439" s="489"/>
      <c r="Z439" s="3741"/>
    </row>
  </sheetData>
  <sheetProtection password="DBDC" sheet="1" objects="1" scenarios="1"/>
  <mergeCells count="220">
    <mergeCell ref="D115:E116"/>
    <mergeCell ref="D151:E152"/>
    <mergeCell ref="G151:H151"/>
    <mergeCell ref="D153:E153"/>
    <mergeCell ref="D154:E158"/>
    <mergeCell ref="D159:E160"/>
    <mergeCell ref="G159:H159"/>
    <mergeCell ref="F137:H137"/>
    <mergeCell ref="D143:E143"/>
    <mergeCell ref="D144:E145"/>
    <mergeCell ref="D146:E147"/>
    <mergeCell ref="G146:H146"/>
    <mergeCell ref="D148:E148"/>
    <mergeCell ref="D149:E150"/>
    <mergeCell ref="D138:E142"/>
    <mergeCell ref="D309:E310"/>
    <mergeCell ref="D319:E321"/>
    <mergeCell ref="D246:E252"/>
    <mergeCell ref="D263:E263"/>
    <mergeCell ref="D257:E260"/>
    <mergeCell ref="D278:E279"/>
    <mergeCell ref="D261:E262"/>
    <mergeCell ref="D267:E268"/>
    <mergeCell ref="D269:E270"/>
    <mergeCell ref="D265:E266"/>
    <mergeCell ref="D284:E287"/>
    <mergeCell ref="D304:E307"/>
    <mergeCell ref="D280:E281"/>
    <mergeCell ref="D253:E255"/>
    <mergeCell ref="D274:E274"/>
    <mergeCell ref="D289:E292"/>
    <mergeCell ref="D294:E297"/>
    <mergeCell ref="D298:E303"/>
    <mergeCell ref="D333:E334"/>
    <mergeCell ref="D324:E325"/>
    <mergeCell ref="D342:E343"/>
    <mergeCell ref="D338:E340"/>
    <mergeCell ref="D311:E318"/>
    <mergeCell ref="D356:E357"/>
    <mergeCell ref="D354:E355"/>
    <mergeCell ref="D373:E373"/>
    <mergeCell ref="D387:E387"/>
    <mergeCell ref="D383:E385"/>
    <mergeCell ref="D372:E372"/>
    <mergeCell ref="D326:E328"/>
    <mergeCell ref="D379:E379"/>
    <mergeCell ref="D344:E349"/>
    <mergeCell ref="D380:E380"/>
    <mergeCell ref="D335:E337"/>
    <mergeCell ref="D329:E331"/>
    <mergeCell ref="D382:E382"/>
    <mergeCell ref="D358:E359"/>
    <mergeCell ref="D322:E322"/>
    <mergeCell ref="D399:E399"/>
    <mergeCell ref="D400:E400"/>
    <mergeCell ref="D395:E395"/>
    <mergeCell ref="D396:E396"/>
    <mergeCell ref="D398:E398"/>
    <mergeCell ref="D350:E352"/>
    <mergeCell ref="D394:E394"/>
    <mergeCell ref="D376:E378"/>
    <mergeCell ref="D375:E375"/>
    <mergeCell ref="D390:E392"/>
    <mergeCell ref="D386:E386"/>
    <mergeCell ref="D389:E389"/>
    <mergeCell ref="L423:V423"/>
    <mergeCell ref="L424:V435"/>
    <mergeCell ref="D424:E424"/>
    <mergeCell ref="D425:E425"/>
    <mergeCell ref="D431:E431"/>
    <mergeCell ref="D416:E416"/>
    <mergeCell ref="D414:E415"/>
    <mergeCell ref="D412:E413"/>
    <mergeCell ref="D426:E428"/>
    <mergeCell ref="D432:E432"/>
    <mergeCell ref="D433:E435"/>
    <mergeCell ref="F410:H410"/>
    <mergeCell ref="F406:H406"/>
    <mergeCell ref="F407:H407"/>
    <mergeCell ref="F273:H273"/>
    <mergeCell ref="G121:H121"/>
    <mergeCell ref="F365:H365"/>
    <mergeCell ref="F366:H366"/>
    <mergeCell ref="F371:H371"/>
    <mergeCell ref="F322:H322"/>
    <mergeCell ref="F367:H367"/>
    <mergeCell ref="G167:H167"/>
    <mergeCell ref="F219:F220"/>
    <mergeCell ref="F182:H182"/>
    <mergeCell ref="F212:H212"/>
    <mergeCell ref="G280:H280"/>
    <mergeCell ref="F370:H370"/>
    <mergeCell ref="G304:H304"/>
    <mergeCell ref="G307:H307"/>
    <mergeCell ref="G305:H305"/>
    <mergeCell ref="G295:H295"/>
    <mergeCell ref="G296:H296"/>
    <mergeCell ref="G298:H298"/>
    <mergeCell ref="G299:H299"/>
    <mergeCell ref="G284:H284"/>
    <mergeCell ref="D30:E31"/>
    <mergeCell ref="D59:E61"/>
    <mergeCell ref="F57:H57"/>
    <mergeCell ref="G104:H104"/>
    <mergeCell ref="D98:E100"/>
    <mergeCell ref="D80:E80"/>
    <mergeCell ref="G54:H54"/>
    <mergeCell ref="D26:E27"/>
    <mergeCell ref="D29:E29"/>
    <mergeCell ref="D33:E34"/>
    <mergeCell ref="F37:H37"/>
    <mergeCell ref="F68:F69"/>
    <mergeCell ref="D88:E93"/>
    <mergeCell ref="F38:H38"/>
    <mergeCell ref="D81:E81"/>
    <mergeCell ref="D82:E82"/>
    <mergeCell ref="D83:E85"/>
    <mergeCell ref="G53:H53"/>
    <mergeCell ref="C2:R2"/>
    <mergeCell ref="C4:S4"/>
    <mergeCell ref="B6:E6"/>
    <mergeCell ref="F6:Q6"/>
    <mergeCell ref="C8:T8"/>
    <mergeCell ref="C9:F9"/>
    <mergeCell ref="D24:E25"/>
    <mergeCell ref="G9:J9"/>
    <mergeCell ref="K9:L9"/>
    <mergeCell ref="S9:V9"/>
    <mergeCell ref="B10:E16"/>
    <mergeCell ref="F10:W10"/>
    <mergeCell ref="G16:W16"/>
    <mergeCell ref="F21:H21"/>
    <mergeCell ref="D23:E23"/>
    <mergeCell ref="G11:W11"/>
    <mergeCell ref="G12:W12"/>
    <mergeCell ref="G13:W13"/>
    <mergeCell ref="G14:W14"/>
    <mergeCell ref="G15:W15"/>
    <mergeCell ref="M9:Q9"/>
    <mergeCell ref="G289:H289"/>
    <mergeCell ref="G290:H290"/>
    <mergeCell ref="G292:H292"/>
    <mergeCell ref="G288:H288"/>
    <mergeCell ref="F274:H274"/>
    <mergeCell ref="D58:E58"/>
    <mergeCell ref="F79:H79"/>
    <mergeCell ref="D64:E66"/>
    <mergeCell ref="D62:E63"/>
    <mergeCell ref="F110:H110"/>
    <mergeCell ref="F111:H111"/>
    <mergeCell ref="D68:E69"/>
    <mergeCell ref="D135:E136"/>
    <mergeCell ref="G126:H126"/>
    <mergeCell ref="D117:E117"/>
    <mergeCell ref="D171:E173"/>
    <mergeCell ref="D174:E174"/>
    <mergeCell ref="D175:E177"/>
    <mergeCell ref="D178:E178"/>
    <mergeCell ref="G99:H99"/>
    <mergeCell ref="G101:H101"/>
    <mergeCell ref="G285:H285"/>
    <mergeCell ref="D277:E277"/>
    <mergeCell ref="D236:E238"/>
    <mergeCell ref="F209:H209"/>
    <mergeCell ref="D216:E216"/>
    <mergeCell ref="D215:E215"/>
    <mergeCell ref="D214:E214"/>
    <mergeCell ref="G218:H218"/>
    <mergeCell ref="D221:E224"/>
    <mergeCell ref="D218:E220"/>
    <mergeCell ref="D198:E198"/>
    <mergeCell ref="D199:E201"/>
    <mergeCell ref="D232:E235"/>
    <mergeCell ref="D226:E227"/>
    <mergeCell ref="D228:E229"/>
    <mergeCell ref="D242:E245"/>
    <mergeCell ref="D195:E197"/>
    <mergeCell ref="D190:E190"/>
    <mergeCell ref="D194:E194"/>
    <mergeCell ref="F41:H41"/>
    <mergeCell ref="D87:E87"/>
    <mergeCell ref="G63:H63"/>
    <mergeCell ref="D101:E102"/>
    <mergeCell ref="D103:E105"/>
    <mergeCell ref="D70:E75"/>
    <mergeCell ref="D76:E78"/>
    <mergeCell ref="G55:H55"/>
    <mergeCell ref="D239:E240"/>
    <mergeCell ref="G135:H135"/>
    <mergeCell ref="D130:E134"/>
    <mergeCell ref="D112:E114"/>
    <mergeCell ref="D128:E128"/>
    <mergeCell ref="G103:H103"/>
    <mergeCell ref="F208:H208"/>
    <mergeCell ref="D183:E184"/>
    <mergeCell ref="F207:H207"/>
    <mergeCell ref="G303:H303"/>
    <mergeCell ref="D107:E107"/>
    <mergeCell ref="D47:E52"/>
    <mergeCell ref="D53:E56"/>
    <mergeCell ref="D43:E46"/>
    <mergeCell ref="D67:E67"/>
    <mergeCell ref="D94:E96"/>
    <mergeCell ref="D86:E86"/>
    <mergeCell ref="D170:E170"/>
    <mergeCell ref="D118:E118"/>
    <mergeCell ref="D162:E164"/>
    <mergeCell ref="D121:E122"/>
    <mergeCell ref="D179:E181"/>
    <mergeCell ref="D126:E127"/>
    <mergeCell ref="D123:E123"/>
    <mergeCell ref="D129:E129"/>
    <mergeCell ref="D165:E167"/>
    <mergeCell ref="D168:E169"/>
    <mergeCell ref="D119:E120"/>
    <mergeCell ref="D124:E125"/>
    <mergeCell ref="D230:E230"/>
    <mergeCell ref="D188:E189"/>
    <mergeCell ref="D191:E193"/>
    <mergeCell ref="D185:E187"/>
  </mergeCells>
  <conditionalFormatting sqref="H23:H27 G22:H22">
    <cfRule type="expression" dxfId="245" priority="77">
      <formula>$E$22="Deactivate"</formula>
    </cfRule>
  </conditionalFormatting>
  <conditionalFormatting sqref="H411:H416 G411">
    <cfRule type="expression" dxfId="244" priority="75">
      <formula>$E$411="Deactivate"</formula>
    </cfRule>
  </conditionalFormatting>
  <conditionalFormatting sqref="H341:H352 G341">
    <cfRule type="expression" dxfId="243" priority="74">
      <formula>$E$341="Deactivate"</formula>
    </cfRule>
  </conditionalFormatting>
  <conditionalFormatting sqref="G332 H332:H340 H342:H343">
    <cfRule type="expression" dxfId="242" priority="73">
      <formula>$E$332="Deactivate"</formula>
    </cfRule>
  </conditionalFormatting>
  <conditionalFormatting sqref="H372:H392 G372 G379 G386">
    <cfRule type="expression" dxfId="241" priority="72">
      <formula>$E$371="Deactivate"</formula>
    </cfRule>
  </conditionalFormatting>
  <conditionalFormatting sqref="H397:H400 G397">
    <cfRule type="expression" dxfId="240" priority="71">
      <formula>$E$397="Deactivate"</formula>
    </cfRule>
  </conditionalFormatting>
  <conditionalFormatting sqref="H393:H396 G393">
    <cfRule type="expression" dxfId="239" priority="70">
      <formula>$E$393="Deactivate"</formula>
    </cfRule>
  </conditionalFormatting>
  <conditionalFormatting sqref="H353:H359 G353">
    <cfRule type="expression" dxfId="238" priority="69">
      <formula>$E$353="Deactivate"</formula>
    </cfRule>
  </conditionalFormatting>
  <conditionalFormatting sqref="G225:H225 H226:H230">
    <cfRule type="expression" dxfId="237" priority="68">
      <formula>$E$225="Deactivate"</formula>
    </cfRule>
  </conditionalFormatting>
  <conditionalFormatting sqref="G241:H241 H242:H255">
    <cfRule type="expression" dxfId="236" priority="67">
      <formula>$E$241="Deactivate"</formula>
    </cfRule>
  </conditionalFormatting>
  <conditionalFormatting sqref="G256:H256 H257:H263">
    <cfRule type="expression" dxfId="235" priority="66">
      <formula>$E$256="Deactivate"</formula>
    </cfRule>
  </conditionalFormatting>
  <conditionalFormatting sqref="G32:H32">
    <cfRule type="expression" dxfId="234" priority="65">
      <formula>$E$32="Deactivate"</formula>
    </cfRule>
  </conditionalFormatting>
  <conditionalFormatting sqref="H106:H107 G106">
    <cfRule type="expression" dxfId="233" priority="64">
      <formula>$E$106="Deactivate"</formula>
    </cfRule>
  </conditionalFormatting>
  <conditionalFormatting sqref="G115:H136">
    <cfRule type="expression" dxfId="232" priority="63">
      <formula>$E$111="Deactivate"</formula>
    </cfRule>
  </conditionalFormatting>
  <conditionalFormatting sqref="G213:H213 H214:H216">
    <cfRule type="expression" dxfId="231" priority="62">
      <formula>$E$213="Deactivate"</formula>
    </cfRule>
  </conditionalFormatting>
  <conditionalFormatting sqref="G264:H264 H265:H270">
    <cfRule type="expression" dxfId="230" priority="61">
      <formula>$E$264="Deactivate"</formula>
    </cfRule>
  </conditionalFormatting>
  <conditionalFormatting sqref="G231:H231 H232:H240">
    <cfRule type="expression" dxfId="229" priority="60">
      <formula>$E$231="Deactivate"</formula>
    </cfRule>
  </conditionalFormatting>
  <conditionalFormatting sqref="G308 H308:H321">
    <cfRule type="expression" dxfId="228" priority="59">
      <formula>$E$308="Deactivate"</formula>
    </cfRule>
  </conditionalFormatting>
  <conditionalFormatting sqref="G217:H224">
    <cfRule type="expression" dxfId="227" priority="58">
      <formula>$E$217="Deactivate"</formula>
    </cfRule>
  </conditionalFormatting>
  <conditionalFormatting sqref="F379 F372 F386">
    <cfRule type="expression" dxfId="226" priority="57">
      <formula>$E$371="Deactivate"</formula>
    </cfRule>
  </conditionalFormatting>
  <conditionalFormatting sqref="F58 F67">
    <cfRule type="expression" dxfId="225" priority="78">
      <formula>$E$57="Deactivate"</formula>
    </cfRule>
  </conditionalFormatting>
  <conditionalFormatting sqref="G58:H78">
    <cfRule type="expression" dxfId="224" priority="79">
      <formula>$E$57="Deactivate"</formula>
    </cfRule>
  </conditionalFormatting>
  <conditionalFormatting sqref="G275:H281">
    <cfRule type="expression" dxfId="223" priority="80">
      <formula>$E$275="Deactivate"</formula>
    </cfRule>
  </conditionalFormatting>
  <conditionalFormatting sqref="G282:H292">
    <cfRule type="expression" dxfId="222" priority="81">
      <formula>$E$282="Deactivate"</formula>
    </cfRule>
  </conditionalFormatting>
  <conditionalFormatting sqref="H333:H334 G323 H323:H331 H342:H343">
    <cfRule type="expression" dxfId="221" priority="82">
      <formula>$E$323="Deactivate"</formula>
    </cfRule>
  </conditionalFormatting>
  <conditionalFormatting sqref="H223">
    <cfRule type="expression" dxfId="220" priority="56">
      <formula>#REF!="Deactivate"</formula>
    </cfRule>
  </conditionalFormatting>
  <conditionalFormatting sqref="F22 F28 F32 F38:H38 F42 F57:H57 F79:H79 F97 F106 F111:H111 F161:H161 F182:H182 F208:H209 F213 F217 F225 F231 F241 F256 F264 F308 F353 F366:H367 F371:H371 F393 F397 F407:H407 F411">
    <cfRule type="expression" dxfId="219" priority="55">
      <formula>$E22="Activate"</formula>
    </cfRule>
  </conditionalFormatting>
  <conditionalFormatting sqref="G28:H28">
    <cfRule type="expression" dxfId="218" priority="54">
      <formula>$E28="Deactivate"</formula>
    </cfRule>
  </conditionalFormatting>
  <conditionalFormatting sqref="H30:H31">
    <cfRule type="expression" dxfId="217" priority="53">
      <formula>$E$28="Deactivate"</formula>
    </cfRule>
  </conditionalFormatting>
  <conditionalFormatting sqref="G80:H80 H81:H85 G86:H86 H87:H96">
    <cfRule type="expression" dxfId="216" priority="52">
      <formula>$E$79="Deactivate"</formula>
    </cfRule>
  </conditionalFormatting>
  <conditionalFormatting sqref="F80 F86">
    <cfRule type="expression" dxfId="215" priority="51">
      <formula>$E$79="Activate"</formula>
    </cfRule>
  </conditionalFormatting>
  <conditionalFormatting sqref="G97:H97 G101:H105">
    <cfRule type="expression" dxfId="214" priority="50">
      <formula>$E$97="Deactivate"</formula>
    </cfRule>
  </conditionalFormatting>
  <conditionalFormatting sqref="G42:H46 G48:H56">
    <cfRule type="expression" dxfId="213" priority="49">
      <formula>$E$42="Deactivate"</formula>
    </cfRule>
  </conditionalFormatting>
  <conditionalFormatting sqref="F117 F123 F128">
    <cfRule type="expression" dxfId="212" priority="48">
      <formula>$E$111="Deactivate"</formula>
    </cfRule>
  </conditionalFormatting>
  <conditionalFormatting sqref="F170 F174 F178">
    <cfRule type="expression" dxfId="211" priority="47">
      <formula>$E$161="Deactivate"</formula>
    </cfRule>
  </conditionalFormatting>
  <conditionalFormatting sqref="G165:H181">
    <cfRule type="expression" dxfId="210" priority="46">
      <formula>$E$161="Deactivate"</formula>
    </cfRule>
  </conditionalFormatting>
  <conditionalFormatting sqref="F190 F194 F198">
    <cfRule type="expression" dxfId="209" priority="45">
      <formula>$E$182="Deactivate"</formula>
    </cfRule>
  </conditionalFormatting>
  <conditionalFormatting sqref="H185:H201 G198 G194 G190">
    <cfRule type="expression" dxfId="208" priority="44">
      <formula>$E$182="Deactivate"</formula>
    </cfRule>
  </conditionalFormatting>
  <conditionalFormatting sqref="F275">
    <cfRule type="expression" dxfId="207" priority="43">
      <formula>$E$275="Activate"</formula>
    </cfRule>
  </conditionalFormatting>
  <conditionalFormatting sqref="F282">
    <cfRule type="expression" dxfId="206" priority="42">
      <formula>$E$282="Activate"</formula>
    </cfRule>
  </conditionalFormatting>
  <conditionalFormatting sqref="F293">
    <cfRule type="expression" dxfId="205" priority="41">
      <formula>$E$293="Activate"</formula>
    </cfRule>
  </conditionalFormatting>
  <conditionalFormatting sqref="G293:G307 H293:H302 H304:H307">
    <cfRule type="expression" dxfId="204" priority="40">
      <formula>$E$293="Deactivate"</formula>
    </cfRule>
  </conditionalFormatting>
  <conditionalFormatting sqref="F274:H274">
    <cfRule type="expression" dxfId="203" priority="39">
      <formula>OR($E$275="Activate",$E$282="Activate",$E$293="Activate")</formula>
    </cfRule>
  </conditionalFormatting>
  <conditionalFormatting sqref="F322:H322">
    <cfRule type="expression" dxfId="202" priority="38">
      <formula>OR($E$323="Activate",$E$332="Activate",$E$341="Activate")</formula>
    </cfRule>
  </conditionalFormatting>
  <conditionalFormatting sqref="F323">
    <cfRule type="expression" dxfId="201" priority="37">
      <formula>$E$323="Activate"</formula>
    </cfRule>
  </conditionalFormatting>
  <conditionalFormatting sqref="F332">
    <cfRule type="expression" dxfId="200" priority="36">
      <formula>$E$332="Activate"</formula>
    </cfRule>
  </conditionalFormatting>
  <conditionalFormatting sqref="F341">
    <cfRule type="expression" dxfId="199" priority="35">
      <formula>$E$341="Activate"</formula>
    </cfRule>
  </conditionalFormatting>
  <conditionalFormatting sqref="G423:H428">
    <cfRule type="expression" dxfId="198" priority="34">
      <formula>$E$423="Deactivate"</formula>
    </cfRule>
  </conditionalFormatting>
  <conditionalFormatting sqref="G430:H433">
    <cfRule type="expression" dxfId="197" priority="33">
      <formula>$E$430="Deactivate"</formula>
    </cfRule>
  </conditionalFormatting>
  <conditionalFormatting sqref="F423">
    <cfRule type="expression" dxfId="196" priority="32">
      <formula>$E$423="Activate"</formula>
    </cfRule>
  </conditionalFormatting>
  <conditionalFormatting sqref="F430">
    <cfRule type="expression" dxfId="195" priority="31">
      <formula>$E$430="Activate"</formula>
    </cfRule>
  </conditionalFormatting>
  <conditionalFormatting sqref="F424:F425">
    <cfRule type="expression" dxfId="194" priority="30">
      <formula>$E$423="Deactivate"</formula>
    </cfRule>
  </conditionalFormatting>
  <conditionalFormatting sqref="F431:F432">
    <cfRule type="expression" dxfId="193" priority="29">
      <formula>$E$430="Deactivate"</formula>
    </cfRule>
  </conditionalFormatting>
  <conditionalFormatting sqref="F137:H137">
    <cfRule type="expression" dxfId="192" priority="28">
      <formula>$E137="Activate"</formula>
    </cfRule>
  </conditionalFormatting>
  <conditionalFormatting sqref="G138:H160">
    <cfRule type="expression" dxfId="191" priority="27">
      <formula>$E$137="Deactivate"</formula>
    </cfRule>
  </conditionalFormatting>
  <conditionalFormatting sqref="F143 F148 F153">
    <cfRule type="expression" dxfId="190" priority="26">
      <formula>$E$137="Deactivate"</formula>
    </cfRule>
  </conditionalFormatting>
  <conditionalFormatting sqref="E117">
    <cfRule type="expression" dxfId="189" priority="23">
      <formula>#REF!="Deactivate"</formula>
    </cfRule>
  </conditionalFormatting>
  <conditionalFormatting sqref="D379:E379 D372:E372 D386:E386">
    <cfRule type="expression" dxfId="188" priority="22">
      <formula>$E$371="Deactivate"</formula>
    </cfRule>
  </conditionalFormatting>
  <conditionalFormatting sqref="D58:E58 D67">
    <cfRule type="expression" dxfId="187" priority="24">
      <formula>$E$57="Deactivate"</formula>
    </cfRule>
  </conditionalFormatting>
  <conditionalFormatting sqref="E22 E28 E32 E38 E42 E57 E79 E97 E106 E111 E161 E182 E208:E209 E213 E217 E225 E231 E241 E256 E264 E308 E353 E366:E367 E371 E393 E397 E407 E411 D423:E423 D430:E430">
    <cfRule type="expression" dxfId="186" priority="21">
      <formula>$E22="Activate"</formula>
    </cfRule>
  </conditionalFormatting>
  <conditionalFormatting sqref="D80:E80 D86:E86">
    <cfRule type="expression" dxfId="185" priority="20">
      <formula>$E$79="Activate"</formula>
    </cfRule>
  </conditionalFormatting>
  <conditionalFormatting sqref="D117:E117 D123:E123 D128:E128">
    <cfRule type="expression" dxfId="184" priority="19">
      <formula>$E$111="Deactivate"</formula>
    </cfRule>
  </conditionalFormatting>
  <conditionalFormatting sqref="D170:E170 D174:E174 D178:E178">
    <cfRule type="expression" dxfId="183" priority="18">
      <formula>$E$161="Deactivate"</formula>
    </cfRule>
  </conditionalFormatting>
  <conditionalFormatting sqref="D190:E190 D194:E194 D198:E198">
    <cfRule type="expression" dxfId="182" priority="17">
      <formula>$E$182="Deactivate"</formula>
    </cfRule>
  </conditionalFormatting>
  <conditionalFormatting sqref="E275">
    <cfRule type="expression" dxfId="181" priority="16">
      <formula>$E$275="Activate"</formula>
    </cfRule>
  </conditionalFormatting>
  <conditionalFormatting sqref="E282">
    <cfRule type="expression" dxfId="180" priority="15">
      <formula>$E$282="Activate"</formula>
    </cfRule>
  </conditionalFormatting>
  <conditionalFormatting sqref="E293">
    <cfRule type="expression" dxfId="179" priority="14">
      <formula>$E$293="Activate"</formula>
    </cfRule>
  </conditionalFormatting>
  <conditionalFormatting sqref="D274:E274">
    <cfRule type="expression" dxfId="178" priority="13">
      <formula>OR($E$275="Activate",$E$282="Activate",$E$293="Activate")</formula>
    </cfRule>
  </conditionalFormatting>
  <conditionalFormatting sqref="D322:E322">
    <cfRule type="expression" dxfId="177" priority="12">
      <formula>OR($E$323="Activate",$E$332="Activate",$E$341="Activate")</formula>
    </cfRule>
  </conditionalFormatting>
  <conditionalFormatting sqref="E323">
    <cfRule type="expression" dxfId="176" priority="11">
      <formula>$E$323="Activate"</formula>
    </cfRule>
  </conditionalFormatting>
  <conditionalFormatting sqref="E332">
    <cfRule type="expression" dxfId="175" priority="10">
      <formula>$E$332="Activate"</formula>
    </cfRule>
  </conditionalFormatting>
  <conditionalFormatting sqref="E341">
    <cfRule type="expression" dxfId="174" priority="9">
      <formula>$E$341="Activate"</formula>
    </cfRule>
  </conditionalFormatting>
  <conditionalFormatting sqref="E137">
    <cfRule type="expression" dxfId="173" priority="8">
      <formula>$E137="Activate"</formula>
    </cfRule>
  </conditionalFormatting>
  <conditionalFormatting sqref="D143:E143 D148:E148 D153:E153">
    <cfRule type="expression" dxfId="172" priority="7">
      <formula>$E$137="Deactivate"</formula>
    </cfRule>
  </conditionalFormatting>
  <conditionalFormatting sqref="E22 E28 E32 E38 E225 E231 E241 E256 E264 E282 E293 E308 E323 E332 E341 E353 E371 E42 E57 E79 E97 E106 E111 E161 E182 E208:E209 E213 E217 E275 E366:E367 E393 E397 E407 E411 E423 E430 E137">
    <cfRule type="expression" dxfId="171" priority="25">
      <formula>$Z22=TRUE</formula>
    </cfRule>
  </conditionalFormatting>
  <conditionalFormatting sqref="H29">
    <cfRule type="expression" dxfId="170" priority="6">
      <formula>$E$22="Deactivate"</formula>
    </cfRule>
  </conditionalFormatting>
  <conditionalFormatting sqref="H33:H34">
    <cfRule type="expression" dxfId="169" priority="5">
      <formula>$E$28="Deactivate"</formula>
    </cfRule>
  </conditionalFormatting>
  <conditionalFormatting sqref="H434:H435">
    <cfRule type="expression" dxfId="168" priority="4">
      <formula>$E$423="Deactivate"</formula>
    </cfRule>
  </conditionalFormatting>
  <conditionalFormatting sqref="G434:G435">
    <cfRule type="expression" dxfId="167" priority="3">
      <formula>$E$423="Deactivate"</formula>
    </cfRule>
  </conditionalFormatting>
  <conditionalFormatting sqref="G47:H47">
    <cfRule type="expression" dxfId="166" priority="2">
      <formula>$E$42="Deactivate"</formula>
    </cfRule>
  </conditionalFormatting>
  <conditionalFormatting sqref="E137">
    <cfRule type="expression" dxfId="165" priority="1">
      <formula>$E137="Activate"</formula>
    </cfRule>
  </conditionalFormatting>
  <dataValidations count="4">
    <dataValidation type="list" allowBlank="1" showInputMessage="1" showErrorMessage="1" sqref="E407 E353 E371 E161 E182 E208:E209 E213 E217 E225 E241 E293 E282 E275 E264 E256 E308 E332 E341 E323 E366:E367 E231 E430 E393 E397 E423 E411 E28 E22 E32 E111 E106 E97 E57 E38 E79 E42 E137">
      <formula1>"Activate, Deactivate"</formula1>
    </dataValidation>
    <dataValidation type="list" allowBlank="1" showInputMessage="1" showErrorMessage="1" sqref="G433">
      <formula1>"None, Starts after project is completed, Only during implementation years"</formula1>
    </dataValidation>
    <dataValidation type="list" allowBlank="1" showInputMessage="1" showErrorMessage="1" sqref="G426">
      <formula1>" None, Starts after project is completed, Only during implementation years"</formula1>
    </dataValidation>
    <dataValidation type="list" allowBlank="1" showInputMessage="1" showErrorMessage="1" sqref="G213:H213 G217:H217 G225:H225 G231:H231 G241:H241 G256:H256 G264:H264 G275:H275 G282:H282 G293:H293 G308:H308 G323:H323 G332:H332 G341:H341 G353:H353 G393:H393 G397:H397 G411:H411 G423:H423 G430:H430 G372:H372 G379:H379 G386:H386 G198:H198 G194:H194 G190:H190 G178:H178 G174:H174 G170:H170 G128:H128 G123:H123 G117:H117 G86:H86 G80:H80 G67:H67 G58:H58 G106:H106 G97:H97 G42:H42 G32:H32 G28:H28 G22:H22 G153:H153 G148:H148 G143:H143">
      <formula1>PlanPeriod</formula1>
    </dataValidation>
  </dataValidations>
  <hyperlinks>
    <hyperlink ref="C9:F9" location="'WW Plan'!E19" display="Access and coverage"/>
    <hyperlink ref="G9:J9" location="'WW Plan'!E205" display="Service levels and quality"/>
    <hyperlink ref="M9:Q9" location="'WW Plan'!E363" display="Efficiency in service operations"/>
    <hyperlink ref="S9:V9" location="'WW Plan'!E404" display="Financial sustainability"/>
    <hyperlink ref="C9:E9" location="'WW Plan'!E19" display="Access and coverage"/>
    <hyperlink ref="D22" location="Annexure!D69" display="Learn more"/>
    <hyperlink ref="D28" location="Annexure!D70" display="Learn more"/>
    <hyperlink ref="D32" location="Annexure!D71" display="Learn more"/>
    <hyperlink ref="D38" location="Annexure!D72" display="Learn more"/>
    <hyperlink ref="D42" location="Annexure!D73" display="Learn more"/>
    <hyperlink ref="D57" location="Annexure!D74" display="Learn more"/>
    <hyperlink ref="D79" location="Annexure!D75" display="Learn more"/>
    <hyperlink ref="D97" location="Annexure!D76" display="Learn more"/>
    <hyperlink ref="D106" location="Annexure!D77" display="Learn more"/>
    <hyperlink ref="D111" location="Annexure!D78" display="Learn more"/>
    <hyperlink ref="D137" location="Annexure!D79" display="Learn more"/>
    <hyperlink ref="D161" location="Annexure!D80" display="Learn more"/>
    <hyperlink ref="D182" location="Annexure!D81" display="Learn more"/>
    <hyperlink ref="D208" location="Annexure!D83" display="Learn more"/>
    <hyperlink ref="D209" location="Annexure!D84" display="Learn more"/>
    <hyperlink ref="D213" location="Annexure!D85" display="Learn more"/>
    <hyperlink ref="D217" location="Annexure!D86" display="Learn more"/>
    <hyperlink ref="D225" location="Annexure!D87" display="Learn more"/>
    <hyperlink ref="D231" location="Annexure!D88" display="Learn more"/>
    <hyperlink ref="D241" location="Annexure!D89" display="Learn more"/>
    <hyperlink ref="D256" location="Annexure!D90" display="Learn more"/>
    <hyperlink ref="D264" location="Annexure!D91" display="Learn more"/>
    <hyperlink ref="D275" location="Annexure!D92" display="Learn more"/>
    <hyperlink ref="D282" location="Annexure!D93" display="Learn more"/>
    <hyperlink ref="D293" location="Annexure!D94" display="Learn more"/>
    <hyperlink ref="D308" location="Annexure!D95" display="Learn more"/>
    <hyperlink ref="D323" location="Annexure!D96" display="Learn more"/>
    <hyperlink ref="D332" location="Annexure!D97" display="Learn more"/>
    <hyperlink ref="D341" location="Annexure!D98" display="Learn more"/>
    <hyperlink ref="D353" location="Annexure!D99" display="Learn more"/>
    <hyperlink ref="D366" location="Annexure!D101" display="Learn more"/>
    <hyperlink ref="D367" location="Annexure!D102" display="Learn more"/>
    <hyperlink ref="D371" location="Annexure!D103" display="Learn more"/>
    <hyperlink ref="D393" location="Annexure!D107" display="Learn more"/>
    <hyperlink ref="D397" location="Annexure!D108" display="Learn more"/>
    <hyperlink ref="D407" location="Annexure!D110" display="Learn more"/>
    <hyperlink ref="D411" location="Annexure!D111" display="Learn more"/>
  </hyperlinks>
  <printOptions horizontalCentered="1"/>
  <pageMargins left="0.196850393700787" right="0.118110236220472" top="0.118110236220472" bottom="0.118110236220472" header="0.118110236220472" footer="0.118110236220472"/>
  <pageSetup paperSize="9" scale="53" fitToHeight="0" orientation="landscape" verticalDpi="300" r:id="rId1"/>
  <rowBreaks count="10" manualBreakCount="10">
    <brk id="40" min="1" max="23" man="1"/>
    <brk id="78" min="1" max="23" man="1"/>
    <brk id="122" min="1" max="23" man="1"/>
    <brk id="160" min="1" max="23" man="1"/>
    <brk id="204" min="1" max="23" man="1"/>
    <brk id="255" min="1" max="23" man="1"/>
    <brk id="307" min="1" max="23" man="1"/>
    <brk id="362" min="1" max="23" man="1"/>
    <brk id="418" min="1" max="23" man="1"/>
    <brk id="439" min="1"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66563" r:id="rId4" name="Button 3">
              <controlPr defaultSize="0" print="0" autoFill="0" autoPict="0" macro="[0]!Print_Sheet" altText="Print this page">
                <anchor moveWithCells="1" sizeWithCells="1">
                  <from>
                    <xdr:col>21</xdr:col>
                    <xdr:colOff>152400</xdr:colOff>
                    <xdr:row>4</xdr:row>
                    <xdr:rowOff>85725</xdr:rowOff>
                  </from>
                  <to>
                    <xdr:col>22</xdr:col>
                    <xdr:colOff>542925</xdr:colOff>
                    <xdr:row>6</xdr:row>
                    <xdr:rowOff>0</xdr:rowOff>
                  </to>
                </anchor>
              </controlPr>
            </control>
          </mc:Choice>
        </mc:AlternateContent>
        <mc:AlternateContent xmlns:mc="http://schemas.openxmlformats.org/markup-compatibility/2006">
          <mc:Choice Requires="x14">
            <control shapeId="66564" r:id="rId5" name="Button 4">
              <controlPr defaultSize="0" print="0" autoFill="0" autoPict="0" macro="[0]!ResetInputCells" altText="Print this page">
                <anchor moveWithCells="1" sizeWithCells="1">
                  <from>
                    <xdr:col>19</xdr:col>
                    <xdr:colOff>123825</xdr:colOff>
                    <xdr:row>4</xdr:row>
                    <xdr:rowOff>95250</xdr:rowOff>
                  </from>
                  <to>
                    <xdr:col>21</xdr:col>
                    <xdr:colOff>38100</xdr:colOff>
                    <xdr:row>6</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23</vt:i4>
      </vt:variant>
      <vt:variant>
        <vt:lpstr>Charts</vt:lpstr>
      </vt:variant>
      <vt:variant>
        <vt:i4>1</vt:i4>
      </vt:variant>
      <vt:variant>
        <vt:lpstr>Named Ranges</vt:lpstr>
      </vt:variant>
      <vt:variant>
        <vt:i4>426</vt:i4>
      </vt:variant>
    </vt:vector>
  </HeadingPairs>
  <TitlesOfParts>
    <vt:vector size="450" baseType="lpstr">
      <vt:lpstr>Cover</vt:lpstr>
      <vt:lpstr>Introduction</vt:lpstr>
      <vt:lpstr>General info</vt:lpstr>
      <vt:lpstr>WSS Profile</vt:lpstr>
      <vt:lpstr>Finance info</vt:lpstr>
      <vt:lpstr>Indicator info</vt:lpstr>
      <vt:lpstr>Perf assessment</vt:lpstr>
      <vt:lpstr>WS Plan</vt:lpstr>
      <vt:lpstr>WW Plan</vt:lpstr>
      <vt:lpstr>SW Plan</vt:lpstr>
      <vt:lpstr>Summary of PIP</vt:lpstr>
      <vt:lpstr>Financial Projections</vt:lpstr>
      <vt:lpstr>Action Plan finance</vt:lpstr>
      <vt:lpstr>Financing Plan</vt:lpstr>
      <vt:lpstr>PIP options</vt:lpstr>
      <vt:lpstr>Annexure</vt:lpstr>
      <vt:lpstr>Dashboard</vt:lpstr>
      <vt:lpstr>Population</vt:lpstr>
      <vt:lpstr>WS calcu</vt:lpstr>
      <vt:lpstr>MSW calcu</vt:lpstr>
      <vt:lpstr>WW calcu</vt:lpstr>
      <vt:lpstr>PIP finance</vt:lpstr>
      <vt:lpstr>Activation list</vt:lpstr>
      <vt:lpstr>Chart1</vt:lpstr>
      <vt:lpstr>_AggSTPFuncCap</vt:lpstr>
      <vt:lpstr>_AggSTPinstallCap</vt:lpstr>
      <vt:lpstr>_AGRNonResiProp</vt:lpstr>
      <vt:lpstr>_AGRResiProp</vt:lpstr>
      <vt:lpstr>_AreaInhabited</vt:lpstr>
      <vt:lpstr>_AreaJuris</vt:lpstr>
      <vt:lpstr>_AvgDailySupplyHrs</vt:lpstr>
      <vt:lpstr>_AvgMonthlySupplyDays</vt:lpstr>
      <vt:lpstr>_AvgWaterBenefitTaxPerConxn</vt:lpstr>
      <vt:lpstr>_ClosedDrainsAreaCoverage</vt:lpstr>
      <vt:lpstr>_ClosedDrainsLen</vt:lpstr>
      <vt:lpstr>_CommunToiletHHperSeatperDayNonSlum</vt:lpstr>
      <vt:lpstr>_CommunToiletHHperSeatperDaySlum</vt:lpstr>
      <vt:lpstr>_CommunToiletonSepticDisposalNonSlum</vt:lpstr>
      <vt:lpstr>_CommunToiletonSepticDisposalSlum</vt:lpstr>
      <vt:lpstr>_CommunToiletonSewerDisposalNonSlum</vt:lpstr>
      <vt:lpstr>_CommunToiletonSewerDisposalSlum</vt:lpstr>
      <vt:lpstr>_CommunToiletonUnsafeDisposalNonSlum</vt:lpstr>
      <vt:lpstr>_CommunToiletonUnsafeDisposalSlum</vt:lpstr>
      <vt:lpstr>_CommunToiletSeatsHHNonSlum</vt:lpstr>
      <vt:lpstr>_CommunToiletSeatsHHSlum</vt:lpstr>
      <vt:lpstr>_CommunToiletSeatsNonFuncHHNonSlum</vt:lpstr>
      <vt:lpstr>_CommunToiletSeatsNonFuncHHSlum</vt:lpstr>
      <vt:lpstr>_CommunToiletsHHNonSlum</vt:lpstr>
      <vt:lpstr>_CommunToiletsHHSlum</vt:lpstr>
      <vt:lpstr>_Conxns.50Comm_Inst</vt:lpstr>
      <vt:lpstr>_Conxns.50DomesticNonSlum</vt:lpstr>
      <vt:lpstr>_Conxns.50DomesticSlum</vt:lpstr>
      <vt:lpstr>_Conxns.50Other</vt:lpstr>
      <vt:lpstr>_Conxns.75Comm_Inst</vt:lpstr>
      <vt:lpstr>_Conxns.75DomesticNonSlum</vt:lpstr>
      <vt:lpstr>_Conxns.75DomesticSlum</vt:lpstr>
      <vt:lpstr>_Conxns.75Other</vt:lpstr>
      <vt:lpstr>_Conxns1.0Comm_Inst</vt:lpstr>
      <vt:lpstr>_Conxns1.0DomesticNonSlum</vt:lpstr>
      <vt:lpstr>_Conxns1.0DomesticSlum</vt:lpstr>
      <vt:lpstr>_Conxns1.0Other</vt:lpstr>
      <vt:lpstr>_Conxns1.0plusComm_Inst</vt:lpstr>
      <vt:lpstr>_Conxns1.0plusDomesticNonSlum</vt:lpstr>
      <vt:lpstr>_Conxns1.0plusDomesticSlum</vt:lpstr>
      <vt:lpstr>_Conxns1.0plusOther</vt:lpstr>
      <vt:lpstr>_ConxnsHH.50DomesticNonSlum</vt:lpstr>
      <vt:lpstr>_ConxnsHH.50DomesticSlum</vt:lpstr>
      <vt:lpstr>_ConxnsHH.75DomesticNonSlum</vt:lpstr>
      <vt:lpstr>_ConxnsHH.75DomesticSlum</vt:lpstr>
      <vt:lpstr>_ConxnsHH1.0DomesticNonSlum</vt:lpstr>
      <vt:lpstr>_ConxnsHH1.0DomesticSlum</vt:lpstr>
      <vt:lpstr>_ConxnsHH1.0plusDomesticNonSlum</vt:lpstr>
      <vt:lpstr>_ConxnsHH1.0plusDomesticSlum</vt:lpstr>
      <vt:lpstr>_ConxnsMetered.50CommInst</vt:lpstr>
      <vt:lpstr>_ConxnsMetered.50DomesticNonSlum</vt:lpstr>
      <vt:lpstr>_ConxnsMetered.50DomesticSlum</vt:lpstr>
      <vt:lpstr>_ConxnsMetered.50Others</vt:lpstr>
      <vt:lpstr>_ConxnsMetered.75CommInst</vt:lpstr>
      <vt:lpstr>_ConxnsMetered.75DomesticNonSlum</vt:lpstr>
      <vt:lpstr>_ConxnsMetered.75DomesticSlum</vt:lpstr>
      <vt:lpstr>_ConxnsMetered.75Others</vt:lpstr>
      <vt:lpstr>_ConxnsMetered1.0CommInst</vt:lpstr>
      <vt:lpstr>_ConxnsMetered1.0DomesticNonSlum</vt:lpstr>
      <vt:lpstr>_ConxnsMetered1.0DomesticSlum</vt:lpstr>
      <vt:lpstr>_ConxnsMetered1.0Others</vt:lpstr>
      <vt:lpstr>_ConxnsMetered1.0plusCommInst</vt:lpstr>
      <vt:lpstr>_ConxnsMetered1.0plusDomesticNonSlum</vt:lpstr>
      <vt:lpstr>_ConxnsMetered1.0plusDomesticSlum</vt:lpstr>
      <vt:lpstr>_ConxnsMetered1.0plusOthers</vt:lpstr>
      <vt:lpstr>_ConxnsMeteredFree</vt:lpstr>
      <vt:lpstr>_ConxnsMeteredFunc.50CommInst</vt:lpstr>
      <vt:lpstr>_ConxnsMeteredFunc.50DomesticNonSlum</vt:lpstr>
      <vt:lpstr>_ConxnsMeteredFunc.50DomesticSlum</vt:lpstr>
      <vt:lpstr>_ConxnsMeteredFunc.50Others</vt:lpstr>
      <vt:lpstr>_ConxnsMeteredFunc.75CommInst</vt:lpstr>
      <vt:lpstr>_ConxnsMeteredFunc.75DomesticNonSlum</vt:lpstr>
      <vt:lpstr>_ConxnsMeteredFunc.75DomesticSlum</vt:lpstr>
      <vt:lpstr>_ConxnsMeteredFunc.75Others</vt:lpstr>
      <vt:lpstr>_ConxnsMeteredFunc1.0CommInst</vt:lpstr>
      <vt:lpstr>_ConxnsMeteredFunc1.0DomesticNonSlum</vt:lpstr>
      <vt:lpstr>_ConxnsMeteredFunc1.0DomesticSlum</vt:lpstr>
      <vt:lpstr>_ConxnsMeteredFunc1.0Others</vt:lpstr>
      <vt:lpstr>_ConxnsMeteredFunc1.0plusCommInst</vt:lpstr>
      <vt:lpstr>_ConxnsMeteredFunc1.0plusDomesticNonSlum</vt:lpstr>
      <vt:lpstr>_ConxnsMeteredFunc1.0plusDomesticSlum</vt:lpstr>
      <vt:lpstr>_ConxnsMeteredFunc1.0plusOthers</vt:lpstr>
      <vt:lpstr>_ConxnsMeteredFuncFree</vt:lpstr>
      <vt:lpstr>_ConxnsMeteredFuncGroupSlums</vt:lpstr>
      <vt:lpstr>_ConxnsMeteredGroupSlums</vt:lpstr>
      <vt:lpstr>_ConxnsMiscFree</vt:lpstr>
      <vt:lpstr>_ConxnsMiscGrpSlum</vt:lpstr>
      <vt:lpstr>_ConxnsMiscHHGrpSlum</vt:lpstr>
      <vt:lpstr>_ConxnsMiscHHPublic</vt:lpstr>
      <vt:lpstr>_ConxnsMiscPublic</vt:lpstr>
      <vt:lpstr>_ConxnsTotal</vt:lpstr>
      <vt:lpstr>_ConxnsTotalHH</vt:lpstr>
      <vt:lpstr>_DistribNtwrkCoverage</vt:lpstr>
      <vt:lpstr>_DistribNtwrkCoverageSlum</vt:lpstr>
      <vt:lpstr>_DistribNtwrkLen</vt:lpstr>
      <vt:lpstr>_EffluentSullageTreatedWaterEstpc</vt:lpstr>
      <vt:lpstr>_EffluentSullageTreatmentFuncCap</vt:lpstr>
      <vt:lpstr>_EffluentSullageTreatmentInstalledCap</vt:lpstr>
      <vt:lpstr>_EffluentSullageTreatmentWaterReused</vt:lpstr>
      <vt:lpstr>_ESRtotalCap</vt:lpstr>
      <vt:lpstr>'WSS Profile'!_FilterDatabase</vt:lpstr>
      <vt:lpstr>_FloodingFreq</vt:lpstr>
      <vt:lpstr>_FloodingPoints</vt:lpstr>
      <vt:lpstr>_FSMByproductpc</vt:lpstr>
      <vt:lpstr>_FSMbyproductQtyReused</vt:lpstr>
      <vt:lpstr>_FSMFuncCap</vt:lpstr>
      <vt:lpstr>_FSMinstalledCap</vt:lpstr>
      <vt:lpstr>_HHCensus2001</vt:lpstr>
      <vt:lpstr>_HHCensus2011</vt:lpstr>
      <vt:lpstr>_HHConxnsUnauthorised</vt:lpstr>
      <vt:lpstr>_HHConxnsUnauthorisedSlums</vt:lpstr>
      <vt:lpstr>_HHILNonSlum</vt:lpstr>
      <vt:lpstr>_HHILSlum</vt:lpstr>
      <vt:lpstr>_HHSlumCensus2001</vt:lpstr>
      <vt:lpstr>_HHSlumCensus2011</vt:lpstr>
      <vt:lpstr>_isWaterTaxLinked2PropTax</vt:lpstr>
      <vt:lpstr>_ModeCityWWDisposal</vt:lpstr>
      <vt:lpstr>_NewConxnChrg.50CommInst</vt:lpstr>
      <vt:lpstr>_NewConxnChrg.50DomesticNonSlum</vt:lpstr>
      <vt:lpstr>_NewConxnChrg.50DomesticSlum</vt:lpstr>
      <vt:lpstr>_NewConxnChrg.50Other</vt:lpstr>
      <vt:lpstr>_NewConxnChrg.75CommInst</vt:lpstr>
      <vt:lpstr>_NewConxnChrg.75DomesticNonSlum</vt:lpstr>
      <vt:lpstr>_NewConxnChrg.75DomesticSlum</vt:lpstr>
      <vt:lpstr>_NewConxnChrg.75Other</vt:lpstr>
      <vt:lpstr>_NewConxnChrg1.0CommInst</vt:lpstr>
      <vt:lpstr>_NewConxnChrg1.0DomesticNonSlum</vt:lpstr>
      <vt:lpstr>_NewConxnChrg1.0DomesticSlum</vt:lpstr>
      <vt:lpstr>_NewConxnChrg1.0Other</vt:lpstr>
      <vt:lpstr>_NewConxnChrg1.0plusCommInst</vt:lpstr>
      <vt:lpstr>_NewConxnChrg1.0plusDomesticNonSlum</vt:lpstr>
      <vt:lpstr>_NewConxnChrg1.0plusDomesticSlum</vt:lpstr>
      <vt:lpstr>_NewConxnChrg1.0plusOther</vt:lpstr>
      <vt:lpstr>_NewConxnChrgFreeConxn</vt:lpstr>
      <vt:lpstr>_NewConxnChrgSlumGrpCnxn</vt:lpstr>
      <vt:lpstr>_NewConxnChrgStandPosts</vt:lpstr>
      <vt:lpstr>_NonResiProp</vt:lpstr>
      <vt:lpstr>_NonSewerHHNonSlum</vt:lpstr>
      <vt:lpstr>_NonSewerHHSlum</vt:lpstr>
      <vt:lpstr>_onSiteOutputSeptage</vt:lpstr>
      <vt:lpstr>_onSiteOutputSullage</vt:lpstr>
      <vt:lpstr>_OpenDrainsAreaCoverage</vt:lpstr>
      <vt:lpstr>_OpenDrainsLen</vt:lpstr>
      <vt:lpstr>_pcTreatedWaterDerivedfromSTP</vt:lpstr>
      <vt:lpstr>_PitLatrineDrainsHHNonSlum</vt:lpstr>
      <vt:lpstr>_PitLatrineDrainsHHSlum</vt:lpstr>
      <vt:lpstr>_PopCensus2001</vt:lpstr>
      <vt:lpstr>_PopCensus2011</vt:lpstr>
      <vt:lpstr>_PopGR20012011</vt:lpstr>
      <vt:lpstr>_PopGR20112021Est</vt:lpstr>
      <vt:lpstr>_PopSlumCensus2001</vt:lpstr>
      <vt:lpstr>_PopSlumCensus2011</vt:lpstr>
      <vt:lpstr>_PublicToiletonSepticDisposal</vt:lpstr>
      <vt:lpstr>_PublicToiletonSewerDisposal</vt:lpstr>
      <vt:lpstr>_PublicToiletonUnsafeDisposal</vt:lpstr>
      <vt:lpstr>_PublicToilets</vt:lpstr>
      <vt:lpstr>_PublicToiletSeats</vt:lpstr>
      <vt:lpstr>_PublicToiletSeatsNonFunc</vt:lpstr>
      <vt:lpstr>_PublicToiletsUserperSeatperDayEst</vt:lpstr>
      <vt:lpstr>_PvtEmptierTruckDailyTrips</vt:lpstr>
      <vt:lpstr>_PvtEmptierTrucks</vt:lpstr>
      <vt:lpstr>_PvtEmptierTrucksCap</vt:lpstr>
      <vt:lpstr>_PvtemptiesSepticTank</vt:lpstr>
      <vt:lpstr>_QtyTreatedSewageReused</vt:lpstr>
      <vt:lpstr>_ResiProp</vt:lpstr>
      <vt:lpstr>_SepticDrainsHHNonSlum</vt:lpstr>
      <vt:lpstr>_SepticDrainsHHSlum</vt:lpstr>
      <vt:lpstr>_SepticSoakpitHHNonSlum</vt:lpstr>
      <vt:lpstr>_SepticSoakpitHHSlum</vt:lpstr>
      <vt:lpstr>_SewageGen</vt:lpstr>
      <vt:lpstr>_SewerArea</vt:lpstr>
      <vt:lpstr>_SewerConxnDomNonSlum</vt:lpstr>
      <vt:lpstr>_SewerConxnDomSlum</vt:lpstr>
      <vt:lpstr>_SewerConxnHHDomNonSlum</vt:lpstr>
      <vt:lpstr>_SewerConxnHHDomSlum</vt:lpstr>
      <vt:lpstr>_SewerConxnHHILDomNonSlum</vt:lpstr>
      <vt:lpstr>_SewerConxnHHILDomSlum</vt:lpstr>
      <vt:lpstr>_SewerConxnHHILTot</vt:lpstr>
      <vt:lpstr>_SewerConxnHHTot</vt:lpstr>
      <vt:lpstr>_SewerConxnNonResi</vt:lpstr>
      <vt:lpstr>_SewerConxnTot</vt:lpstr>
      <vt:lpstr>_SewerConxnUnauthorEst</vt:lpstr>
      <vt:lpstr>_SeweredSlums</vt:lpstr>
      <vt:lpstr>_SewerLen</vt:lpstr>
      <vt:lpstr>_SewerLossesEst</vt:lpstr>
      <vt:lpstr>_Slums</vt:lpstr>
      <vt:lpstr>_SrcBulkRawAlloc</vt:lpstr>
      <vt:lpstr>_SrcBulkRawDrawal</vt:lpstr>
      <vt:lpstr>_SrcBulkTreatedAlloc</vt:lpstr>
      <vt:lpstr>_SrcBulkTreatedDrawal</vt:lpstr>
      <vt:lpstr>_SrcGroundAlloc</vt:lpstr>
      <vt:lpstr>_SrcGroundDrawal</vt:lpstr>
      <vt:lpstr>_SrcNonULBDrawal</vt:lpstr>
      <vt:lpstr>_SrcSurfaceOwnAlloc</vt:lpstr>
      <vt:lpstr>_SrcSurfaceOwnDrawal</vt:lpstr>
      <vt:lpstr>_SWHasLandfillSite</vt:lpstr>
      <vt:lpstr>_SWHasLandfillSiteRemainingCap</vt:lpstr>
      <vt:lpstr>_SWLandfillSiteInstalCap</vt:lpstr>
      <vt:lpstr>_SWM3wCap</vt:lpstr>
      <vt:lpstr>_SWM3wNum</vt:lpstr>
      <vt:lpstr>_SWM3wTrips</vt:lpstr>
      <vt:lpstr>_SWMComplaintRcvdMonthly</vt:lpstr>
      <vt:lpstr>_SWMComplaintResolvedMonthly</vt:lpstr>
      <vt:lpstr>_SWMDumperCap</vt:lpstr>
      <vt:lpstr>_SWMDumperNum</vt:lpstr>
      <vt:lpstr>_SWMDumperTrips</vt:lpstr>
      <vt:lpstr>_SWMDumpsiteDisposed</vt:lpstr>
      <vt:lpstr>_SWMFlatRate</vt:lpstr>
      <vt:lpstr>_SWMFlatRateBasis</vt:lpstr>
      <vt:lpstr>_SWMFreqCleanDrain</vt:lpstr>
      <vt:lpstr>_SWMFreqEmptySecBin</vt:lpstr>
      <vt:lpstr>_SWMFreqSweepStreet</vt:lpstr>
      <vt:lpstr>_SWMGeneratedMonthlyEst</vt:lpstr>
      <vt:lpstr>_SWMGeneratedPerCapitaGrowthRate</vt:lpstr>
      <vt:lpstr>_SWMGeneratedPerCapitaperday</vt:lpstr>
      <vt:lpstr>_SWMHasFlatRate</vt:lpstr>
      <vt:lpstr>_SWMHasPropTax_pc</vt:lpstr>
      <vt:lpstr>_SWMMiniLorCap</vt:lpstr>
      <vt:lpstr>_SWMMiniLorNum</vt:lpstr>
      <vt:lpstr>_SWMMiniLorTrips</vt:lpstr>
      <vt:lpstr>_SWMPriColxnD2DEstblshmts</vt:lpstr>
      <vt:lpstr>_SWMPriColxnD2DHHNonSlum</vt:lpstr>
      <vt:lpstr>_SWMPriColxnD2DHHSlum</vt:lpstr>
      <vt:lpstr>_SWMProcessed2ByprodPercent</vt:lpstr>
      <vt:lpstr>_SWMProcessingFuncCap</vt:lpstr>
      <vt:lpstr>_SWMProcessingInstalCapMTperDay</vt:lpstr>
      <vt:lpstr>_SWMPropTax_pc</vt:lpstr>
      <vt:lpstr>_SWMQtyRcvdSeg4Processing</vt:lpstr>
      <vt:lpstr>_SWMrecyclerTakeaway</vt:lpstr>
      <vt:lpstr>_SWMsecondaryColxnBins</vt:lpstr>
      <vt:lpstr>_SWMsecondaryColxnBinsAggCapacity</vt:lpstr>
      <vt:lpstr>_SWMsecondaryColxnHH</vt:lpstr>
      <vt:lpstr>_SWMsegregatingEstb</vt:lpstr>
      <vt:lpstr>_SWMsegregatingHH</vt:lpstr>
      <vt:lpstr>_SWMslumHHsecondaryColxn</vt:lpstr>
      <vt:lpstr>_SWMTipperCap</vt:lpstr>
      <vt:lpstr>_SWMTipperNum</vt:lpstr>
      <vt:lpstr>_SWMTipperTrips</vt:lpstr>
      <vt:lpstr>_SWMTrailerCap</vt:lpstr>
      <vt:lpstr>_SWMTrailerNum</vt:lpstr>
      <vt:lpstr>_SWMTrailerTrips</vt:lpstr>
      <vt:lpstr>_SWMTransferStns</vt:lpstr>
      <vt:lpstr>_SWMTransferStnsCap</vt:lpstr>
      <vt:lpstr>_SWMTruckCap</vt:lpstr>
      <vt:lpstr>_SWMTruckNum</vt:lpstr>
      <vt:lpstr>_SWMTruckTrips</vt:lpstr>
      <vt:lpstr>_TariffAnnual.50CommInst</vt:lpstr>
      <vt:lpstr>_TariffAnnual.50DomesticNonSlum</vt:lpstr>
      <vt:lpstr>_TariffAnnual.50DomesticSlum</vt:lpstr>
      <vt:lpstr>_TariffAnnual.50Other</vt:lpstr>
      <vt:lpstr>_TariffAnnual.75CommInst</vt:lpstr>
      <vt:lpstr>_TariffAnnual.75DomesticNonSlum</vt:lpstr>
      <vt:lpstr>_TariffAnnual.75DomesticSlum</vt:lpstr>
      <vt:lpstr>_TariffAnnual.75Other</vt:lpstr>
      <vt:lpstr>_TariffAnnual1.0CommInst</vt:lpstr>
      <vt:lpstr>_TariffAnnual1.0DomesticNonSlum</vt:lpstr>
      <vt:lpstr>_TariffAnnual1.0DomesticSlum</vt:lpstr>
      <vt:lpstr>_TariffAnnual1.0Other</vt:lpstr>
      <vt:lpstr>_TariffAnnual1.0plusCommInst</vt:lpstr>
      <vt:lpstr>_TariffAnnual1.0plusDomesticNonSlum</vt:lpstr>
      <vt:lpstr>_TariffAnnual1.0plusDomesticSlum</vt:lpstr>
      <vt:lpstr>_TariffAnnual1.0plusOther</vt:lpstr>
      <vt:lpstr>_TariffAnnualFreeCnxn</vt:lpstr>
      <vt:lpstr>_TariffAnnualSlumGrpCnxn</vt:lpstr>
      <vt:lpstr>_TariffAnnualSlumGrpConxn</vt:lpstr>
      <vt:lpstr>_TariffAnnualStandPosts</vt:lpstr>
      <vt:lpstr>_TariffRsPerKLCommInst</vt:lpstr>
      <vt:lpstr>_TariffRsPerKLDomesticNonSlum</vt:lpstr>
      <vt:lpstr>_TariffRsPerKLDomesticSlum</vt:lpstr>
      <vt:lpstr>_TariffRsPerKLGrpConxn</vt:lpstr>
      <vt:lpstr>_TariffRsPerKLOther</vt:lpstr>
      <vt:lpstr>_TotTaxedNonResiProp</vt:lpstr>
      <vt:lpstr>_TotTaxedResiProp</vt:lpstr>
      <vt:lpstr>_TransmissionLossEst</vt:lpstr>
      <vt:lpstr>_TransmissionNtwrkLen</vt:lpstr>
      <vt:lpstr>_TreatedGrndWater</vt:lpstr>
      <vt:lpstr>_TreatedSeptageSamplesPassedMonthly</vt:lpstr>
      <vt:lpstr>_TreatedSeptageSamplesTestedMonthly</vt:lpstr>
      <vt:lpstr>_TreatedTransmissionLossEst</vt:lpstr>
      <vt:lpstr>_TreatedTransmissionNtwrkLen</vt:lpstr>
      <vt:lpstr>_TreatedWWsamplesPassedMonthly</vt:lpstr>
      <vt:lpstr>_TreatedWWsamplesTestedMonthly</vt:lpstr>
      <vt:lpstr>_ULBemptierTruckDailyTrips</vt:lpstr>
      <vt:lpstr>_ULBemptierTrucks</vt:lpstr>
      <vt:lpstr>_ULBemptierTrucksCap</vt:lpstr>
      <vt:lpstr>_ULBemptiesSepticTank</vt:lpstr>
      <vt:lpstr>_Wards</vt:lpstr>
      <vt:lpstr>_WaterBenefitTax</vt:lpstr>
      <vt:lpstr>_WaterComplaintsMonthly</vt:lpstr>
      <vt:lpstr>_WaterComplaintsResolvedMonthly</vt:lpstr>
      <vt:lpstr>_WaterFlatUserCharges</vt:lpstr>
      <vt:lpstr>_WaterSamplesCityMonthly</vt:lpstr>
      <vt:lpstr>_WaterSamplesCityMonthlyPass</vt:lpstr>
      <vt:lpstr>_WaterSupplyDistribLosses</vt:lpstr>
      <vt:lpstr>_WaterTaxPropTaxPercent</vt:lpstr>
      <vt:lpstr>_WaterVolumetricCharges</vt:lpstr>
      <vt:lpstr>_WTPfuncCap</vt:lpstr>
      <vt:lpstr>_WTPinstalledCap</vt:lpstr>
      <vt:lpstr>_WTPLossEst</vt:lpstr>
      <vt:lpstr>_WWChargesPropertyTax</vt:lpstr>
      <vt:lpstr>_WWChargesPropertyTaxTariff</vt:lpstr>
      <vt:lpstr>_WWChargesSewerBenefitTax</vt:lpstr>
      <vt:lpstr>_WWChargesSewerBenefitTaxTariff</vt:lpstr>
      <vt:lpstr>_WWComplaintsMonthly</vt:lpstr>
      <vt:lpstr>_WWComplaintsResolvedMonthly</vt:lpstr>
      <vt:lpstr>_WWFlatRateBasis</vt:lpstr>
      <vt:lpstr>_WWFlatRateTariff</vt:lpstr>
      <vt:lpstr>_WWFlatRateYN</vt:lpstr>
      <vt:lpstr>_WWNewSewerConxnChargDomNonSlum</vt:lpstr>
      <vt:lpstr>_WWNewSewerConxnChargDomSlum</vt:lpstr>
      <vt:lpstr>_WWNewSewerConxnChargNonResi</vt:lpstr>
      <vt:lpstr>_WWSepticEmptyChrgPvt</vt:lpstr>
      <vt:lpstr>_WWSepticEmptyChrgULB</vt:lpstr>
      <vt:lpstr>_Year</vt:lpstr>
      <vt:lpstr>ActionPlanGanttSelection</vt:lpstr>
      <vt:lpstr>ActionsPrioritised</vt:lpstr>
      <vt:lpstr>ActionsSW</vt:lpstr>
      <vt:lpstr>ActionsWS</vt:lpstr>
      <vt:lpstr>ActionsWW</vt:lpstr>
      <vt:lpstr>ActivatedCounts</vt:lpstr>
      <vt:lpstr>BudgetFigType</vt:lpstr>
      <vt:lpstr>'Action Plan finance'!CapexSource</vt:lpstr>
      <vt:lpstr>'Summary of PIP'!ColourRange</vt:lpstr>
      <vt:lpstr>'SW Plan'!ColumnActivateSW</vt:lpstr>
      <vt:lpstr>ColumnActivateWS</vt:lpstr>
      <vt:lpstr>'WW Plan'!ColumnActivateWW</vt:lpstr>
      <vt:lpstr>FundSources</vt:lpstr>
      <vt:lpstr>I._EQUAL_WEIGHTAGE</vt:lpstr>
      <vt:lpstr>Inflation</vt:lpstr>
      <vt:lpstr>Inflation1</vt:lpstr>
      <vt:lpstr>Inflation2</vt:lpstr>
      <vt:lpstr>Inflation3</vt:lpstr>
      <vt:lpstr>'WSS Profile'!InputCells</vt:lpstr>
      <vt:lpstr>InputCellsWSSNo</vt:lpstr>
      <vt:lpstr>InputCellsWSSNone</vt:lpstr>
      <vt:lpstr>'PIP options'!InputCustomizeWeightsCheckbox</vt:lpstr>
      <vt:lpstr>'Finance info'!InputRangeFinInfo</vt:lpstr>
      <vt:lpstr>'Financing Plan'!InputRangeFinPlan1WSS_OP_CP</vt:lpstr>
      <vt:lpstr>'Financing Plan'!InputRangeFinPlan2EnhanceRev</vt:lpstr>
      <vt:lpstr>'Financing Plan'!InputRangeFinPlan3TariffWS</vt:lpstr>
      <vt:lpstr>'Financing Plan'!InputRangeFinPlan4TariffWW</vt:lpstr>
      <vt:lpstr>'Financing Plan'!InputRangeFinPlan5TariffSW</vt:lpstr>
      <vt:lpstr>'Financing Plan'!InputRangeFinPlan6Guidelines</vt:lpstr>
      <vt:lpstr>'Financing Plan'!InputRangeFinPlanCheckBox</vt:lpstr>
      <vt:lpstr>'General info'!InputRangeGenInfo</vt:lpstr>
      <vt:lpstr>'Indicator info'!InputRangeIndicatorInfo</vt:lpstr>
      <vt:lpstr>'Financial Projections'!InputRangeMuniFin</vt:lpstr>
      <vt:lpstr>'Perf assessment'!InputRangePerfAssess</vt:lpstr>
      <vt:lpstr>'SW Plan'!InputRangeSWplan</vt:lpstr>
      <vt:lpstr>'WS Plan'!InputRangeWSplan</vt:lpstr>
      <vt:lpstr>'WSS Profile'!InputRangeWSSinfo</vt:lpstr>
      <vt:lpstr>'WW Plan'!InputRangeWWplan</vt:lpstr>
      <vt:lpstr>'Summary of PIP'!KPI</vt:lpstr>
      <vt:lpstr>MSW_Sector_Information</vt:lpstr>
      <vt:lpstr>Names</vt:lpstr>
      <vt:lpstr>PIP_Scenario_name</vt:lpstr>
      <vt:lpstr>PIPBaseYr</vt:lpstr>
      <vt:lpstr>PIPEndYr</vt:lpstr>
      <vt:lpstr>PIPStartYr</vt:lpstr>
      <vt:lpstr>PlanPeriod</vt:lpstr>
      <vt:lpstr>'Action Plan finance'!Print_Area</vt:lpstr>
      <vt:lpstr>Annexure!Print_Area</vt:lpstr>
      <vt:lpstr>Cover!Print_Area</vt:lpstr>
      <vt:lpstr>'Finance info'!Print_Area</vt:lpstr>
      <vt:lpstr>'Financial Projections'!Print_Area</vt:lpstr>
      <vt:lpstr>'Financing Plan'!Print_Area</vt:lpstr>
      <vt:lpstr>'General info'!Print_Area</vt:lpstr>
      <vt:lpstr>Introduction!Print_Area</vt:lpstr>
      <vt:lpstr>'Perf assessment'!Print_Area</vt:lpstr>
      <vt:lpstr>'PIP options'!Print_Area</vt:lpstr>
      <vt:lpstr>'Summary of PIP'!Print_Area</vt:lpstr>
      <vt:lpstr>'SW Plan'!Print_Area</vt:lpstr>
      <vt:lpstr>'WS Plan'!Print_Area</vt:lpstr>
      <vt:lpstr>'WSS Profile'!Print_Area</vt:lpstr>
      <vt:lpstr>'WW Plan'!Print_Area</vt:lpstr>
      <vt:lpstr>'Action Plan finance'!Print_Titles</vt:lpstr>
      <vt:lpstr>Annexure!Print_Titles</vt:lpstr>
      <vt:lpstr>'Finance info'!Print_Titles</vt:lpstr>
      <vt:lpstr>'Financial Projections'!Print_Titles</vt:lpstr>
      <vt:lpstr>'Financing Plan'!Print_Titles</vt:lpstr>
      <vt:lpstr>'Perf assessment'!Print_Titles</vt:lpstr>
      <vt:lpstr>'PIP options'!Print_Titles</vt:lpstr>
      <vt:lpstr>'Summary of PIP'!Print_Titles</vt:lpstr>
      <vt:lpstr>'SW Plan'!Print_Titles</vt:lpstr>
      <vt:lpstr>'WS Plan'!Print_Titles</vt:lpstr>
      <vt:lpstr>'WSS Profile'!Print_Titles</vt:lpstr>
      <vt:lpstr>'WW Plan'!Print_Titles</vt:lpstr>
      <vt:lpstr>SectorName</vt:lpstr>
      <vt:lpstr>'Activation list'!StartPoint</vt:lpstr>
      <vt:lpstr>STEmptyingChargeLevyAnnual</vt:lpstr>
      <vt:lpstr>STEmptyingChargeLevyAtEmptying</vt:lpstr>
      <vt:lpstr>STEmptyingChargingMode1</vt:lpstr>
      <vt:lpstr>STEmptyingChargingMode2</vt:lpstr>
      <vt:lpstr>STEmptyingChargingMode3</vt:lpstr>
      <vt:lpstr>STEmptyingChargingMode4</vt:lpstr>
      <vt:lpstr>STEmptyingChargingMode5</vt:lpstr>
      <vt:lpstr>STEmptyingChargingMode6</vt:lpstr>
      <vt:lpstr>STEmptyingChargingMode7</vt:lpstr>
      <vt:lpstr>STLevyAnnual</vt:lpstr>
      <vt:lpstr>STLevyAnnualStart</vt:lpstr>
      <vt:lpstr>STLevyAtEmptying</vt:lpstr>
      <vt:lpstr>STLevyAtEmptyingStart</vt:lpstr>
      <vt:lpstr>STulbChargingCurrentMode</vt:lpstr>
      <vt:lpstr>STulbChargingCurrentRate</vt:lpstr>
      <vt:lpstr>SW_Plan</vt:lpstr>
      <vt:lpstr>SWCapex</vt:lpstr>
      <vt:lpstr>SWOpex</vt:lpstr>
      <vt:lpstr>SWRevenue</vt:lpstr>
      <vt:lpstr>TrafficLightWeight</vt:lpstr>
      <vt:lpstr>ULB</vt:lpstr>
      <vt:lpstr>Water_Supply_Sector_Information</vt:lpstr>
      <vt:lpstr>WS_CAPEX</vt:lpstr>
      <vt:lpstr>WS_O_M</vt:lpstr>
      <vt:lpstr>WS_Plan</vt:lpstr>
      <vt:lpstr>WS_REVENUE</vt:lpstr>
      <vt:lpstr>WSCapex</vt:lpstr>
      <vt:lpstr>WSOpex</vt:lpstr>
      <vt:lpstr>WSRevenue</vt:lpstr>
      <vt:lpstr>WW_CAPEX</vt:lpstr>
      <vt:lpstr>WW_O_M</vt:lpstr>
      <vt:lpstr>WW_Plan</vt:lpstr>
      <vt:lpstr>WW_REVENUE</vt:lpstr>
      <vt:lpstr>WWCapex</vt:lpstr>
      <vt:lpstr>WWChargesYN</vt:lpstr>
      <vt:lpstr>WWOpex</vt:lpstr>
      <vt:lpstr>WWRevenue</vt:lpstr>
    </vt:vector>
  </TitlesOfParts>
  <Company>cept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maitri</dc:creator>
  <dc:description>Saniplan v2 copy to import defined names in WSS Info sheet. for PIP-Checkist integration.</dc:description>
  <cp:lastModifiedBy>Upasana</cp:lastModifiedBy>
  <cp:lastPrinted>2016-01-11T09:50:46Z</cp:lastPrinted>
  <dcterms:created xsi:type="dcterms:W3CDTF">2011-11-10T07:09:55Z</dcterms:created>
  <dcterms:modified xsi:type="dcterms:W3CDTF">2017-03-07T13:08:09Z</dcterms:modified>
</cp:coreProperties>
</file>